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2.xml" ContentType="application/vnd.openxmlformats-officedocument.drawing+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drawings/drawing3.xml" ContentType="application/vnd.openxmlformats-officedocument.drawing+xml"/>
  <Override PartName="/xl/comments22.xml" ContentType="application/vnd.openxmlformats-officedocument.spreadsheetml.comments+xml"/>
  <Override PartName="/xl/comments23.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Denne_projektmappe" defaultThemeVersion="124226"/>
  <mc:AlternateContent xmlns:mc="http://schemas.openxmlformats.org/markup-compatibility/2006">
    <mc:Choice Requires="x15">
      <x15ac:absPath xmlns:x15ac="http://schemas.microsoft.com/office/spreadsheetml/2010/11/ac" url="/Users/Jonathan/Documents/GitHub/Bachelor_Git/TIMES-DE/SubRES_TMPL/"/>
    </mc:Choice>
  </mc:AlternateContent>
  <xr:revisionPtr revIDLastSave="0" documentId="13_ncr:1_{595E0A14-0CC8-7E4F-B9DA-5F7C0BB16460}" xr6:coauthVersionLast="47" xr6:coauthVersionMax="47" xr10:uidLastSave="{00000000-0000-0000-0000-000000000000}"/>
  <bookViews>
    <workbookView xWindow="0" yWindow="460" windowWidth="25600" windowHeight="15540" tabRatio="764" firstSheet="54" activeTab="61" xr2:uid="{00000000-000D-0000-FFFF-FFFF00000000}"/>
  </bookViews>
  <sheets>
    <sheet name="LOG" sheetId="35" r:id="rId1"/>
    <sheet name="Intro" sheetId="48" r:id="rId2"/>
    <sheet name="READ THIS" sheetId="21" r:id="rId3"/>
    <sheet name="Notes" sheetId="75" r:id="rId4"/>
    <sheet name="IND_Construction_new" sheetId="94" r:id="rId5"/>
    <sheet name="IND_Utilities_new" sheetId="93" r:id="rId6"/>
    <sheet name="IND_Vehicles_new" sheetId="92" r:id="rId7"/>
    <sheet name="IND_PaperPulp_new" sheetId="91" r:id="rId8"/>
    <sheet name="IND_Wood_new" sheetId="89" r:id="rId9"/>
    <sheet name="IND_Other_new" sheetId="88" r:id="rId10"/>
    <sheet name="IND_Mining_new" sheetId="87" r:id="rId11"/>
    <sheet name="IND_IronSteel_new" sheetId="85" r:id="rId12"/>
    <sheet name="IND_Aluminium_new" sheetId="84" r:id="rId13"/>
    <sheet name="IND_Machinery_new" sheetId="83" r:id="rId14"/>
    <sheet name="IND_Food_new" sheetId="82" r:id="rId15"/>
    <sheet name="IND_CHEM_new" sheetId="81" r:id="rId16"/>
    <sheet name="IND_G&amp;C_new" sheetId="74" r:id="rId17"/>
    <sheet name="Carbon Capture Storage" sheetId="73" r:id="rId18"/>
    <sheet name="Transport" sheetId="106" r:id="rId19"/>
    <sheet name="Oil-fired boiler_NEW" sheetId="55" r:id="rId20"/>
    <sheet name="Natural gas boiler_New" sheetId="56" r:id="rId21"/>
    <sheet name="Biomass boiler" sheetId="72" r:id="rId22"/>
    <sheet name="Coal boiler" sheetId="79" r:id="rId23"/>
    <sheet name="Trad. Heat pump 80C" sheetId="63" r:id="rId24"/>
    <sheet name="Heat driven Heat pump 80C" sheetId="65" r:id="rId25"/>
    <sheet name="High Temp abs. Heat pump 150C" sheetId="62" r:id="rId26"/>
    <sheet name="Booster Heat pump 150C" sheetId="64" r:id="rId27"/>
    <sheet name="MVR" sheetId="66" r:id="rId28"/>
    <sheet name="Hotdisc" sheetId="68" r:id="rId29"/>
    <sheet name="Dielectric heating" sheetId="69" r:id="rId30"/>
    <sheet name="Infrared" sheetId="70" r:id="rId31"/>
    <sheet name="Electric boiler" sheetId="71" r:id="rId32"/>
    <sheet name="Direct electric heating" sheetId="57" r:id="rId33"/>
    <sheet name="DH substation" sheetId="5" r:id="rId34"/>
    <sheet name="DH network" sheetId="19" r:id="rId35"/>
    <sheet name="Electrical grid" sheetId="20" r:id="rId36"/>
    <sheet name="Solar heating" sheetId="13" r:id="rId37"/>
    <sheet name="Oil-fired boiler" sheetId="86" r:id="rId38"/>
    <sheet name="Natural gas boiler" sheetId="4" r:id="rId39"/>
    <sheet name="DHB Wood-Chips" sheetId="34" r:id="rId40"/>
    <sheet name="Biomass boiler, automatic" sheetId="6" r:id="rId41"/>
    <sheet name="Biomass boiler, manual" sheetId="7" r:id="rId42"/>
    <sheet name="Wood stove" sheetId="8" r:id="rId43"/>
    <sheet name="Heat pump, air-to-air" sheetId="9" r:id="rId44"/>
    <sheet name="Heat pump, air-to-water" sheetId="10" r:id="rId45"/>
    <sheet name="Heat pump, ground source" sheetId="11" r:id="rId46"/>
    <sheet name="HP, gas absorption,air-to-water" sheetId="28" r:id="rId47"/>
    <sheet name="HP, gas absorpt,brine-to-water" sheetId="29" r:id="rId48"/>
    <sheet name="Heat pump, gas engine air-water" sheetId="30" r:id="rId49"/>
    <sheet name="Heat pump, gas engine Brine-wat" sheetId="24" r:id="rId50"/>
    <sheet name="Heat pump, gas adsorption" sheetId="27" r:id="rId51"/>
    <sheet name="Heat pump, ventilation" sheetId="12" r:id="rId52"/>
    <sheet name="Electric heating" sheetId="14" r:id="rId53"/>
    <sheet name="Micro CHP, natural gas FC" sheetId="15" r:id="rId54"/>
    <sheet name="Micro CHP, hydrogen FC" sheetId="16" r:id="rId55"/>
    <sheet name="Micro CHP - Stirling engine" sheetId="17" r:id="rId56"/>
    <sheet name="Micro CHP - Gas engine" sheetId="18" r:id="rId57"/>
    <sheet name="HX_TechData" sheetId="99" r:id="rId58"/>
    <sheet name="HP_TechData" sheetId="100" r:id="rId59"/>
    <sheet name="HP_DATA" sheetId="101" r:id="rId60"/>
    <sheet name="HX_Data" sheetId="102" r:id="rId61"/>
    <sheet name="COP DH_LDC" sheetId="10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61" hidden="1">'COP DH_LDC'!$A$1:$L$452</definedName>
    <definedName name="_ftn1" localSheetId="55">'Micro CHP - Stirling engine'!$B$91</definedName>
    <definedName name="_ftnref1" localSheetId="55">'Micro CHP - Stirling engine'!#REF!</definedName>
    <definedName name="_Order1" hidden="1">255</definedName>
    <definedName name="_Order2" hidden="1">255</definedName>
    <definedName name="_Sort" hidden="1">#REF!</definedName>
    <definedName name="_Toc305146851" localSheetId="40">'Biomass boiler, automatic'!$B$3</definedName>
    <definedName name="_Toc305146851" localSheetId="39">'DHB Wood-Chips'!$B$3</definedName>
    <definedName name="A4chosenYear">#REF!</definedName>
    <definedName name="A4colActive">#REF!</definedName>
    <definedName name="A4colCount">#REF!</definedName>
    <definedName name="A4filePath">#REF!</definedName>
    <definedName name="A4firstRow">#REF!</definedName>
    <definedName name="A4resultCol">#REF!</definedName>
    <definedName name="A4rowActive">[1]A4results!$X$7</definedName>
    <definedName name="A4rowCount">#REF!</definedName>
    <definedName name="A4sensitivity">#REF!</definedName>
    <definedName name="A4yearTable">#REF!</definedName>
    <definedName name="BG_valg">'[1]Biogas ENS'!$T$201</definedName>
    <definedName name="BiomassLargeCHP">[2]TechnologyData!$A$14:$M$41</definedName>
    <definedName name="BPslut">[2]Plants!$J$2</definedName>
    <definedName name="chosenLUC">[1]Cockpit!$B$8</definedName>
    <definedName name="chosenYear">[1]Cockpit!$B$5</definedName>
    <definedName name="DHareas" localSheetId="61">'COP DH_LDC'!$A$1:$G$439</definedName>
    <definedName name="dkkPerEUR">'[3]Centrale data'!$C$34</definedName>
    <definedName name="dkkPerUSD">[1]Supplementary!$C$38</definedName>
    <definedName name="E_waste">#REF!</definedName>
    <definedName name="Eksportstigning">[2]Plants!$J$6</definedName>
    <definedName name="ElBoiler">[2]TechnologyData!$O$72:$AA$99</definedName>
    <definedName name="ElPriceMix">[2]Subsidy!#REF!</definedName>
    <definedName name="EmissionOil">[4]Sheet1!$B$17</definedName>
    <definedName name="Euro" localSheetId="21">[5]IND_ELC!$E$2</definedName>
    <definedName name="Euro" localSheetId="26">[5]IND_ELC!$E$2</definedName>
    <definedName name="Euro" localSheetId="17">[5]IND_ELC!$E$2</definedName>
    <definedName name="Euro" localSheetId="22">[5]IND_ELC!$E$2</definedName>
    <definedName name="Euro" localSheetId="61">#REF!</definedName>
    <definedName name="Euro" localSheetId="29">[5]IND_ELC!$E$2</definedName>
    <definedName name="Euro" localSheetId="32">[5]IND_ELC!$E$2</definedName>
    <definedName name="Euro" localSheetId="31">[5]IND_ELC!$E$2</definedName>
    <definedName name="Euro" localSheetId="24">[5]IND_ELC!$E$2</definedName>
    <definedName name="Euro" localSheetId="25">[5]IND_ELC!$E$2</definedName>
    <definedName name="Euro" localSheetId="28">[5]IND_ELC!$E$2</definedName>
    <definedName name="Euro" localSheetId="59">#REF!</definedName>
    <definedName name="Euro" localSheetId="60">#REF!</definedName>
    <definedName name="Euro" localSheetId="30">[5]IND_ELC!$E$2</definedName>
    <definedName name="Euro" localSheetId="27">[5]IND_ELC!$E$2</definedName>
    <definedName name="Euro" localSheetId="20">[5]IND_ELC!$E$2</definedName>
    <definedName name="Euro" localSheetId="19">[5]IND_ELC!$E$2</definedName>
    <definedName name="Euro" localSheetId="23">[5]IND_ELC!$E$2</definedName>
    <definedName name="Euro">[6]IND_ELC!$E$2</definedName>
    <definedName name="Fastprisår">[7]Forside!$B$5</definedName>
    <definedName name="FID_1">[8]AGR_Fuels!$A$2</definedName>
    <definedName name="FIXWINOFF">'[9]O&amp;M waste and WIN '!$K$13</definedName>
    <definedName name="FIXWINON">'[9]O&amp;M waste and WIN '!$K$14</definedName>
    <definedName name="FIXWSTBO">'[10]O&amp;M waste and WIN '!$E$5</definedName>
    <definedName name="FIXWSTBP" localSheetId="21">'[11]O&amp;M waste '!$C$4</definedName>
    <definedName name="FIXWSTBP" localSheetId="26">'[11]O&amp;M waste '!$C$4</definedName>
    <definedName name="FIXWSTBP" localSheetId="17">'[11]O&amp;M waste '!$C$4</definedName>
    <definedName name="FIXWSTBP" localSheetId="22">'[11]O&amp;M waste '!$C$4</definedName>
    <definedName name="FIXWSTBP" localSheetId="29">'[11]O&amp;M waste '!$C$4</definedName>
    <definedName name="FIXWSTBP" localSheetId="32">'[11]O&amp;M waste '!$C$4</definedName>
    <definedName name="FIXWSTBP" localSheetId="31">'[11]O&amp;M waste '!$C$4</definedName>
    <definedName name="FIXWSTBP" localSheetId="24">'[11]O&amp;M waste '!$C$4</definedName>
    <definedName name="FIXWSTBP" localSheetId="25">'[11]O&amp;M waste '!$C$4</definedName>
    <definedName name="FIXWSTBP" localSheetId="28">'[11]O&amp;M waste '!$C$4</definedName>
    <definedName name="FIXWSTBP" localSheetId="30">'[11]O&amp;M waste '!$C$4</definedName>
    <definedName name="FIXWSTBP" localSheetId="27">'[11]O&amp;M waste '!$C$4</definedName>
    <definedName name="FIXWSTBP" localSheetId="20">'[11]O&amp;M waste '!$C$4</definedName>
    <definedName name="FIXWSTBP" localSheetId="19">'[11]O&amp;M waste '!$C$4</definedName>
    <definedName name="FIXWSTBP" localSheetId="23">'[11]O&amp;M waste '!$C$4</definedName>
    <definedName name="FIXWSTBP">'[12]O&amp;M waste '!$C$4</definedName>
    <definedName name="HeatPump_Large">[2]TechnologyData!$O$101:$AA$128</definedName>
    <definedName name="HTML_CodePage" hidden="1">1252</definedName>
    <definedName name="HTML_Control"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flation">[2]General!#REF!</definedName>
    <definedName name="LastPSOYear">[2]Plants!$H$2</definedName>
    <definedName name="MWhGJ">#REF!</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al_Workbook_GUID" hidden="1">"72JZWYL6P959RFW66W1IKY6K"</definedName>
    <definedName name="priceYear">[1]Supplementary!$C$40</definedName>
    <definedName name="Real_interest_rate">[13]TechnologyData!$B$37</definedName>
    <definedName name="referencer">#REF!</definedName>
    <definedName name="RefurbishedCoalBioCHP">[2]TechnologyData!$A$43:$M$70</definedName>
    <definedName name="RenovCKV">[2]Plants!$J$4</definedName>
    <definedName name="rfdf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'[3]Centrale data'!$C$32</definedName>
    <definedName name="Series_Agriculture">OFFSET([14]TimeSeries!$I$6,0,0,COUNTA([14]TimeSeries!$A$6:$A$8759))</definedName>
    <definedName name="Series_Chemical">OFFSET([14]TimeSeries!$K$6,0,0,COUNTA([14]TimeSeries!$A$6:$A$8759))</definedName>
    <definedName name="Series_Construction">OFFSET([14]TimeSeries!$S$6,0,0,COUNTA([14]TimeSeries!$A$6:$A$8759))</definedName>
    <definedName name="Series_Food">OFFSET([14]TimeSeries!$J$6,0,0,COUNTA([14]TimeSeries!$A$6:$A$8759))</definedName>
    <definedName name="Series_Glas_Concrete">OFFSET([14]TimeSeries!$L$6,0,0,COUNTA([14]TimeSeries!$A$6:$A$8759))</definedName>
    <definedName name="Series_Metal">OFFSET([14]TimeSeries!$M$6,0,0,COUNTA([14]TimeSeries!$A$6:$A$8759))</definedName>
    <definedName name="Series_Motor_Vehicles">OFFSET([14]TimeSeries!$O$6,0,0,COUNTA([14]TimeSeries!$A$6:$A$8759))</definedName>
    <definedName name="Series_Oth_Commodity">OFFSET([14]TimeSeries!$N$6,0,0,COUNTA([14]TimeSeries!$A$6:$A$8759))</definedName>
    <definedName name="Series_Oth_Utilities">OFFSET([14]TimeSeries!$T$6,0,0,COUNTA([14]TimeSeries!$A$6:$A$8759))</definedName>
    <definedName name="Series_Private_Service">OFFSET([14]TimeSeries!$Q$6,0,0,COUNTA([14]TimeSeries!$A$6:$A$8759))</definedName>
    <definedName name="Series_Public_Service">OFFSET([14]TimeSeries!$R$6,0,0,COUNTA([14]TimeSeries!$A$6:$A$8759))</definedName>
    <definedName name="Series_PV">OFFSET([14]TimeSeries!$D$6,0,0,COUNTA([14]TimeSeries!$A$6:$A$8759))</definedName>
    <definedName name="Series_Wholesale_Retail">OFFSET([14]TimeSeries!$P$6,0,0,COUNTA([14]TimeSeries!$A$6:$A$8759))</definedName>
    <definedName name="Series_Wind_OfS_DKE">OFFSET([14]TimeSeries!$G$6,0,0,COUNTA([14]TimeSeries!$A$6:$A$8759))</definedName>
    <definedName name="Series_Wind_OfS_DKW">OFFSET([14]TimeSeries!$H$6,0,0,COUNTA([14]TimeSeries!$A$6:$A$8759))</definedName>
    <definedName name="Series_Wind_OnS_DKE">OFFSET([14]TimeSeries!$E$6,0,0,COUNTA([14]TimeSeries!$A$6:$A$8759))</definedName>
    <definedName name="Series_Wind_OnS_DKW">OFFSET([14]TimeSeries!$F$6,0,0,COUNTA([14]TimeSeries!$A$6:$A$8759))</definedName>
    <definedName name="TS_Duration">OFFSET([14]TimeSeries!$C$6,0,0,COUNTA([14]TimeSeries!$A$6:$A$8759))</definedName>
    <definedName name="TS_Name">OFFSET([14]TimeSeries!$A$6,0,0,COUNTA([14]TimeSeries!$A$6:$A$8759))</definedName>
    <definedName name="VARWINOFF">'[9]O&amp;M waste and WIN '!$L$13</definedName>
    <definedName name="VARWINON">'[9]O&amp;M waste and WIN '!$L$14</definedName>
    <definedName name="VARWSTBO" localSheetId="21">'[11]O&amp;M waste '!$D$5</definedName>
    <definedName name="VARWSTBO" localSheetId="26">'[11]O&amp;M waste '!$D$5</definedName>
    <definedName name="VARWSTBO" localSheetId="17">'[11]O&amp;M waste '!$D$5</definedName>
    <definedName name="VARWSTBO" localSheetId="22">'[11]O&amp;M waste '!$D$5</definedName>
    <definedName name="VARWSTBO" localSheetId="29">'[11]O&amp;M waste '!$D$5</definedName>
    <definedName name="VARWSTBO" localSheetId="32">'[11]O&amp;M waste '!$D$5</definedName>
    <definedName name="VARWSTBO" localSheetId="31">'[11]O&amp;M waste '!$D$5</definedName>
    <definedName name="VARWSTBO" localSheetId="24">'[11]O&amp;M waste '!$D$5</definedName>
    <definedName name="VARWSTBO" localSheetId="25">'[11]O&amp;M waste '!$D$5</definedName>
    <definedName name="VARWSTBO" localSheetId="28">'[11]O&amp;M waste '!$D$5</definedName>
    <definedName name="VARWSTBO" localSheetId="30">'[11]O&amp;M waste '!$D$5</definedName>
    <definedName name="VARWSTBO" localSheetId="27">'[11]O&amp;M waste '!$D$5</definedName>
    <definedName name="VARWSTBO" localSheetId="20">'[11]O&amp;M waste '!$D$5</definedName>
    <definedName name="VARWSTBO" localSheetId="19">'[11]O&amp;M waste '!$D$5</definedName>
    <definedName name="VARWSTBO" localSheetId="23">'[11]O&amp;M waste '!$D$5</definedName>
    <definedName name="VARWSTBO">'[12]O&amp;M waste '!$D$5</definedName>
    <definedName name="VARWSTBP" localSheetId="21">'[11]O&amp;M waste '!$D$4</definedName>
    <definedName name="VARWSTBP" localSheetId="26">'[11]O&amp;M waste '!$D$4</definedName>
    <definedName name="VARWSTBP" localSheetId="17">'[11]O&amp;M waste '!$D$4</definedName>
    <definedName name="VARWSTBP" localSheetId="22">'[11]O&amp;M waste '!$D$4</definedName>
    <definedName name="VARWSTBP" localSheetId="29">'[11]O&amp;M waste '!$D$4</definedName>
    <definedName name="VARWSTBP" localSheetId="32">'[11]O&amp;M waste '!$D$4</definedName>
    <definedName name="VARWSTBP" localSheetId="31">'[11]O&amp;M waste '!$D$4</definedName>
    <definedName name="VARWSTBP" localSheetId="24">'[11]O&amp;M waste '!$D$4</definedName>
    <definedName name="VARWSTBP" localSheetId="25">'[11]O&amp;M waste '!$D$4</definedName>
    <definedName name="VARWSTBP" localSheetId="28">'[11]O&amp;M waste '!$D$4</definedName>
    <definedName name="VARWSTBP" localSheetId="30">'[11]O&amp;M waste '!$D$4</definedName>
    <definedName name="VARWSTBP" localSheetId="27">'[11]O&amp;M waste '!$D$4</definedName>
    <definedName name="VARWSTBP" localSheetId="20">'[11]O&amp;M waste '!$D$4</definedName>
    <definedName name="VARWSTBP" localSheetId="19">'[11]O&amp;M waste '!$D$4</definedName>
    <definedName name="VARWSTBP" localSheetId="23">'[11]O&amp;M waste '!$D$4</definedName>
    <definedName name="VARWSTBP">'[12]O&amp;M waste '!$D$4</definedName>
    <definedName name="vehicleproductionemissions">[4]Sheet1!$B$14</definedName>
    <definedName name="WasteCHP">[2]TechnologyData!$A$101:$M$129</definedName>
    <definedName name="Wood_SmallBP">[2]TechnologyData!$A$131:$M$158</definedName>
    <definedName name="x">[15]AGR_Fuels!$A$2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5" i="84" l="1"/>
  <c r="T190" i="93"/>
  <c r="T190" i="92"/>
  <c r="T190" i="91"/>
  <c r="T190" i="89"/>
  <c r="T190" i="88"/>
  <c r="T190" i="87"/>
  <c r="T190" i="85"/>
  <c r="T190" i="83"/>
  <c r="T190" i="82"/>
  <c r="T190" i="81"/>
  <c r="T190" i="74"/>
  <c r="T190" i="94"/>
  <c r="S190" i="93"/>
  <c r="S190" i="92"/>
  <c r="S190" i="91"/>
  <c r="S190" i="89"/>
  <c r="S190" i="88"/>
  <c r="S190" i="87"/>
  <c r="S190" i="85"/>
  <c r="S190" i="84"/>
  <c r="S190" i="83"/>
  <c r="S190" i="82"/>
  <c r="S190" i="81"/>
  <c r="S190" i="74"/>
  <c r="S190" i="94"/>
  <c r="S189" i="93"/>
  <c r="S189" i="92"/>
  <c r="S189" i="91"/>
  <c r="S189" i="89"/>
  <c r="S189" i="88"/>
  <c r="S189" i="87"/>
  <c r="S189" i="85"/>
  <c r="S189" i="84"/>
  <c r="S189" i="83"/>
  <c r="S189" i="82"/>
  <c r="S189" i="81"/>
  <c r="S189" i="74"/>
  <c r="S189" i="94"/>
  <c r="R190" i="93"/>
  <c r="R190" i="92"/>
  <c r="R190" i="91"/>
  <c r="R190" i="89"/>
  <c r="R190" i="88"/>
  <c r="R190" i="87"/>
  <c r="R190" i="85"/>
  <c r="R190" i="84"/>
  <c r="R190" i="83"/>
  <c r="R190" i="82"/>
  <c r="R190" i="81"/>
  <c r="R190" i="74"/>
  <c r="R190" i="94"/>
  <c r="R189" i="93"/>
  <c r="R189" i="92"/>
  <c r="R189" i="91"/>
  <c r="R189" i="89"/>
  <c r="R189" i="88"/>
  <c r="R189" i="87"/>
  <c r="R189" i="85"/>
  <c r="R189" i="84"/>
  <c r="R189" i="83"/>
  <c r="R189" i="82"/>
  <c r="R189" i="81"/>
  <c r="R189" i="74"/>
  <c r="R189" i="94"/>
  <c r="O190" i="93"/>
  <c r="O190" i="92"/>
  <c r="O190" i="91"/>
  <c r="O190" i="89"/>
  <c r="O190" i="88"/>
  <c r="O190" i="87"/>
  <c r="O190" i="85"/>
  <c r="O190" i="84"/>
  <c r="O190" i="83"/>
  <c r="O190" i="82"/>
  <c r="O190" i="81"/>
  <c r="O190" i="74"/>
  <c r="O190" i="94"/>
  <c r="O189" i="93"/>
  <c r="O189" i="92"/>
  <c r="O189" i="91"/>
  <c r="O189" i="89"/>
  <c r="O189" i="88"/>
  <c r="O189" i="87"/>
  <c r="O189" i="85"/>
  <c r="O189" i="84"/>
  <c r="O189" i="83"/>
  <c r="O189" i="82"/>
  <c r="O189" i="81"/>
  <c r="O189" i="74"/>
  <c r="O189" i="94"/>
  <c r="N190" i="93"/>
  <c r="N190" i="92"/>
  <c r="N190" i="91"/>
  <c r="N190" i="89"/>
  <c r="N190" i="88"/>
  <c r="N190" i="87"/>
  <c r="N190" i="85"/>
  <c r="N190" i="84"/>
  <c r="N190" i="83"/>
  <c r="N190" i="82"/>
  <c r="N190" i="81"/>
  <c r="N190" i="74"/>
  <c r="N190" i="94"/>
  <c r="N189" i="93"/>
  <c r="N189" i="92"/>
  <c r="N189" i="91"/>
  <c r="N189" i="89"/>
  <c r="N189" i="88"/>
  <c r="N189" i="87"/>
  <c r="N189" i="85"/>
  <c r="N189" i="84"/>
  <c r="N189" i="83"/>
  <c r="N189" i="82"/>
  <c r="N189" i="81"/>
  <c r="N189" i="74"/>
  <c r="N189" i="94"/>
  <c r="L190" i="93"/>
  <c r="L190" i="92"/>
  <c r="L190" i="91"/>
  <c r="L190" i="89"/>
  <c r="L190" i="88"/>
  <c r="L190" i="87"/>
  <c r="L190" i="85"/>
  <c r="L190" i="84"/>
  <c r="L190" i="83"/>
  <c r="L190" i="82"/>
  <c r="L190" i="81"/>
  <c r="L190" i="74"/>
  <c r="L190" i="94"/>
  <c r="L189" i="93"/>
  <c r="L189" i="92"/>
  <c r="L189" i="91"/>
  <c r="L189" i="89"/>
  <c r="L189" i="88"/>
  <c r="L189" i="87"/>
  <c r="L189" i="85"/>
  <c r="L189" i="84"/>
  <c r="L189" i="83"/>
  <c r="L189" i="82"/>
  <c r="L189" i="81"/>
  <c r="L189" i="74"/>
  <c r="L189" i="94"/>
  <c r="K190" i="93"/>
  <c r="K190" i="92"/>
  <c r="K190" i="91"/>
  <c r="K190" i="89"/>
  <c r="K190" i="88"/>
  <c r="K190" i="87"/>
  <c r="K190" i="85"/>
  <c r="K190" i="84"/>
  <c r="K190" i="83"/>
  <c r="K190" i="82"/>
  <c r="K190" i="81"/>
  <c r="K190" i="74"/>
  <c r="K190" i="94"/>
  <c r="K189" i="93"/>
  <c r="K189" i="92"/>
  <c r="K189" i="91"/>
  <c r="K189" i="89"/>
  <c r="K189" i="88"/>
  <c r="K189" i="87"/>
  <c r="K189" i="85"/>
  <c r="K189" i="84"/>
  <c r="K189" i="83"/>
  <c r="K189" i="82"/>
  <c r="K189" i="81"/>
  <c r="K189" i="74"/>
  <c r="K189" i="94"/>
  <c r="J190" i="93"/>
  <c r="J190" i="92"/>
  <c r="J190" i="91"/>
  <c r="J190" i="89"/>
  <c r="J190" i="88"/>
  <c r="J190" i="87"/>
  <c r="J190" i="85"/>
  <c r="J190" i="84"/>
  <c r="J190" i="83"/>
  <c r="J190" i="82"/>
  <c r="J190" i="81"/>
  <c r="J190" i="74"/>
  <c r="J190" i="94"/>
  <c r="J189" i="93"/>
  <c r="J189" i="92"/>
  <c r="J189" i="91"/>
  <c r="J189" i="89"/>
  <c r="J189" i="88"/>
  <c r="J189" i="87"/>
  <c r="J189" i="85"/>
  <c r="J189" i="84"/>
  <c r="J189" i="83"/>
  <c r="J189" i="82"/>
  <c r="J189" i="81"/>
  <c r="J189" i="74"/>
  <c r="J189" i="94"/>
  <c r="H218" i="85"/>
  <c r="AJ21" i="93"/>
  <c r="AJ21" i="92"/>
  <c r="AJ21" i="94"/>
  <c r="AI21" i="93"/>
  <c r="H218" i="93" s="1"/>
  <c r="AI21" i="92"/>
  <c r="H218" i="92" s="1"/>
  <c r="AI21" i="94"/>
  <c r="H218" i="94" s="1"/>
  <c r="H218" i="91"/>
  <c r="H218" i="87"/>
  <c r="AI13" i="84"/>
  <c r="AJ13" i="92"/>
  <c r="AI20" i="94"/>
  <c r="AI19" i="94"/>
  <c r="AI18" i="94"/>
  <c r="AI17" i="94"/>
  <c r="AI16" i="94"/>
  <c r="AI15" i="94"/>
  <c r="AI14" i="94"/>
  <c r="AI13" i="94"/>
  <c r="AI20" i="93"/>
  <c r="AI19" i="93"/>
  <c r="AI18" i="93"/>
  <c r="AI17" i="93"/>
  <c r="AI16" i="93"/>
  <c r="AI15" i="93"/>
  <c r="AI14" i="93"/>
  <c r="AI13" i="93"/>
  <c r="AI15" i="92"/>
  <c r="AI14" i="92"/>
  <c r="AI13" i="92"/>
  <c r="AI13" i="81"/>
  <c r="L129" i="84"/>
  <c r="L156" i="84"/>
  <c r="L162" i="84"/>
  <c r="L130" i="84"/>
  <c r="L98" i="84"/>
  <c r="L87" i="84"/>
  <c r="L109" i="84"/>
  <c r="L138" i="84"/>
  <c r="L140" i="84"/>
  <c r="L121" i="84"/>
  <c r="L163" i="84"/>
  <c r="L103" i="84"/>
  <c r="L85" i="83"/>
  <c r="L157" i="84"/>
  <c r="L136" i="84"/>
  <c r="L81" i="83"/>
  <c r="L102" i="84"/>
  <c r="L115" i="84"/>
  <c r="L122" i="84"/>
  <c r="L178" i="84"/>
  <c r="L97" i="84"/>
  <c r="L123" i="84"/>
  <c r="L144" i="84"/>
  <c r="L96" i="84"/>
  <c r="L114" i="84"/>
  <c r="L110" i="84"/>
  <c r="L170" i="84"/>
  <c r="L171" i="84"/>
  <c r="L89" i="84"/>
  <c r="L104" i="84"/>
  <c r="L137" i="84"/>
  <c r="L107" i="84"/>
  <c r="L168" i="84"/>
  <c r="L82" i="83"/>
  <c r="L150" i="84"/>
  <c r="L146" i="84"/>
  <c r="L124" i="84"/>
  <c r="L84" i="83"/>
  <c r="L151" i="84"/>
  <c r="L116" i="84"/>
  <c r="T27" i="84"/>
  <c r="L152" i="84"/>
  <c r="L108" i="84"/>
  <c r="L120" i="84"/>
  <c r="L135" i="84"/>
  <c r="L139" i="84"/>
  <c r="L173" i="84"/>
  <c r="L90" i="84"/>
  <c r="L88" i="84"/>
  <c r="L105" i="84"/>
  <c r="L172" i="84"/>
  <c r="L179" i="84"/>
  <c r="L169" i="84"/>
  <c r="L125" i="84"/>
  <c r="L164" i="84"/>
  <c r="L158" i="84"/>
  <c r="L92" i="84"/>
  <c r="L145" i="84"/>
  <c r="L106" i="84"/>
  <c r="L177" i="84"/>
  <c r="L83" i="83"/>
  <c r="L131" i="84"/>
  <c r="L91" i="84"/>
  <c r="E218" i="92" l="1"/>
  <c r="E291" i="92" s="1"/>
  <c r="E218" i="93"/>
  <c r="E291" i="93" s="1"/>
  <c r="E218" i="94"/>
  <c r="E291" i="94" s="1"/>
  <c r="O213" i="93"/>
  <c r="O212" i="93"/>
  <c r="O211" i="93"/>
  <c r="O210" i="93"/>
  <c r="O209" i="93"/>
  <c r="O208" i="93"/>
  <c r="O207" i="93"/>
  <c r="O206" i="93"/>
  <c r="O205" i="93"/>
  <c r="O204" i="93"/>
  <c r="O213" i="92"/>
  <c r="O212" i="92"/>
  <c r="O211" i="92"/>
  <c r="O210" i="92"/>
  <c r="O209" i="92"/>
  <c r="O208" i="92"/>
  <c r="O207" i="92"/>
  <c r="O206" i="92"/>
  <c r="O205" i="92"/>
  <c r="O204" i="92"/>
  <c r="O213" i="91"/>
  <c r="O212" i="91"/>
  <c r="O211" i="91"/>
  <c r="O210" i="91"/>
  <c r="O209" i="91"/>
  <c r="O208" i="91"/>
  <c r="O207" i="91"/>
  <c r="O206" i="91"/>
  <c r="O205" i="91"/>
  <c r="O204" i="91"/>
  <c r="O213" i="89"/>
  <c r="O212" i="89"/>
  <c r="O211" i="89"/>
  <c r="O210" i="89"/>
  <c r="O209" i="89"/>
  <c r="O208" i="89"/>
  <c r="O207" i="89"/>
  <c r="O206" i="89"/>
  <c r="O205" i="89"/>
  <c r="O204" i="89"/>
  <c r="O213" i="88"/>
  <c r="O212" i="88"/>
  <c r="O211" i="88"/>
  <c r="O210" i="88"/>
  <c r="O209" i="88"/>
  <c r="O208" i="88"/>
  <c r="O207" i="88"/>
  <c r="O206" i="88"/>
  <c r="O205" i="88"/>
  <c r="O204" i="88"/>
  <c r="O213" i="87"/>
  <c r="O212" i="87"/>
  <c r="O211" i="87"/>
  <c r="O210" i="87"/>
  <c r="O209" i="87"/>
  <c r="O208" i="87"/>
  <c r="O207" i="87"/>
  <c r="O206" i="87"/>
  <c r="O205" i="87"/>
  <c r="O204" i="87"/>
  <c r="O213" i="85"/>
  <c r="O212" i="85"/>
  <c r="O211" i="85"/>
  <c r="O210" i="85"/>
  <c r="O209" i="85"/>
  <c r="O208" i="85"/>
  <c r="O207" i="85"/>
  <c r="O206" i="85"/>
  <c r="O205" i="85"/>
  <c r="O204" i="85"/>
  <c r="O213" i="84"/>
  <c r="O212" i="84"/>
  <c r="O211" i="84"/>
  <c r="O210" i="84"/>
  <c r="O209" i="84"/>
  <c r="O208" i="84"/>
  <c r="O207" i="84"/>
  <c r="O206" i="84"/>
  <c r="O205" i="84"/>
  <c r="O204" i="84"/>
  <c r="O213" i="83"/>
  <c r="O212" i="83"/>
  <c r="O211" i="83"/>
  <c r="O210" i="83"/>
  <c r="O209" i="83"/>
  <c r="O208" i="83"/>
  <c r="O207" i="83"/>
  <c r="O206" i="83"/>
  <c r="O205" i="83"/>
  <c r="O204" i="83"/>
  <c r="O213" i="82"/>
  <c r="O212" i="82"/>
  <c r="O211" i="82"/>
  <c r="O210" i="82"/>
  <c r="O209" i="82"/>
  <c r="O208" i="82"/>
  <c r="O207" i="82"/>
  <c r="O206" i="82"/>
  <c r="O205" i="82"/>
  <c r="O204" i="82"/>
  <c r="O213" i="81"/>
  <c r="O212" i="81"/>
  <c r="O211" i="81"/>
  <c r="O210" i="81"/>
  <c r="O209" i="81"/>
  <c r="O208" i="81"/>
  <c r="O207" i="81"/>
  <c r="O206" i="81"/>
  <c r="O205" i="81"/>
  <c r="O204" i="81"/>
  <c r="O213" i="74"/>
  <c r="O212" i="74"/>
  <c r="O211" i="74"/>
  <c r="O210" i="74"/>
  <c r="O209" i="74"/>
  <c r="O208" i="74"/>
  <c r="O207" i="74"/>
  <c r="O206" i="74"/>
  <c r="O205" i="74"/>
  <c r="O204" i="74"/>
  <c r="O213" i="94"/>
  <c r="O212" i="94"/>
  <c r="O211" i="94"/>
  <c r="O210" i="94"/>
  <c r="O209" i="94"/>
  <c r="O208" i="94"/>
  <c r="O207" i="94"/>
  <c r="O206" i="94"/>
  <c r="O205" i="94"/>
  <c r="O204" i="94"/>
  <c r="O203" i="93"/>
  <c r="O203" i="92"/>
  <c r="O203" i="91"/>
  <c r="O203" i="89"/>
  <c r="O203" i="88"/>
  <c r="O203" i="87"/>
  <c r="O203" i="85"/>
  <c r="O203" i="84"/>
  <c r="O203" i="83"/>
  <c r="O203" i="82"/>
  <c r="O203" i="81"/>
  <c r="O203" i="74"/>
  <c r="O203" i="94"/>
  <c r="AT14" i="106"/>
  <c r="AT15" i="106"/>
  <c r="AT16" i="106"/>
  <c r="AT17" i="106"/>
  <c r="AT18" i="106"/>
  <c r="AT19" i="106"/>
  <c r="AT20" i="106"/>
  <c r="AT21" i="106"/>
  <c r="AT22" i="106"/>
  <c r="AT23" i="106"/>
  <c r="AT24" i="106"/>
  <c r="AT25" i="106"/>
  <c r="AT26" i="106"/>
  <c r="AT27" i="106"/>
  <c r="AT28" i="106"/>
  <c r="AT29" i="106"/>
  <c r="AT30" i="106"/>
  <c r="AT31" i="106"/>
  <c r="AT32" i="106"/>
  <c r="AT33" i="106"/>
  <c r="AT34" i="106"/>
  <c r="AT35" i="106"/>
  <c r="AT36" i="106"/>
  <c r="AT37" i="106"/>
  <c r="AT38" i="106"/>
  <c r="AT39" i="106"/>
  <c r="AT40" i="106"/>
  <c r="AT41" i="106"/>
  <c r="AT42" i="106"/>
  <c r="AT43" i="106"/>
  <c r="AT44" i="106"/>
  <c r="AT45" i="106"/>
  <c r="AT46" i="106"/>
  <c r="AT47" i="106"/>
  <c r="AT48" i="106"/>
  <c r="AT49" i="106"/>
  <c r="AT50" i="106"/>
  <c r="AT51" i="106"/>
  <c r="AT52" i="106"/>
  <c r="AT53" i="106"/>
  <c r="AT54" i="106"/>
  <c r="AT55" i="106"/>
  <c r="AT56" i="106"/>
  <c r="AT57" i="106"/>
  <c r="AT58" i="106"/>
  <c r="AT59" i="106"/>
  <c r="AT60" i="106"/>
  <c r="AT61" i="106"/>
  <c r="AT62" i="106"/>
  <c r="AT63" i="106"/>
  <c r="AT64" i="106"/>
  <c r="AT65" i="106"/>
  <c r="AT66" i="106"/>
  <c r="AT67" i="106"/>
  <c r="AT68" i="106"/>
  <c r="AT69" i="106"/>
  <c r="AT70" i="106"/>
  <c r="AT71" i="106"/>
  <c r="AT72" i="106"/>
  <c r="AT73" i="106"/>
  <c r="AT74" i="106"/>
  <c r="AT75" i="106"/>
  <c r="AT76" i="106"/>
  <c r="AT77" i="106"/>
  <c r="AT78" i="106"/>
  <c r="AT79" i="106"/>
  <c r="AT80" i="106"/>
  <c r="AT81" i="106"/>
  <c r="AT82" i="106"/>
  <c r="AT83" i="106"/>
  <c r="AT84" i="106"/>
  <c r="AT85" i="106"/>
  <c r="AT86" i="106"/>
  <c r="AT87" i="106"/>
  <c r="AT88" i="106"/>
  <c r="AT89" i="106"/>
  <c r="AT90" i="106"/>
  <c r="AT91" i="106"/>
  <c r="AT92" i="106"/>
  <c r="AT93" i="106"/>
  <c r="AT94" i="106"/>
  <c r="AT95" i="106"/>
  <c r="AT96" i="106"/>
  <c r="AT97" i="106"/>
  <c r="AT98" i="106"/>
  <c r="AT99" i="106"/>
  <c r="AT100" i="106"/>
  <c r="AT101" i="106"/>
  <c r="AT102" i="106"/>
  <c r="AT103" i="106"/>
  <c r="AT104" i="106"/>
  <c r="AT105" i="106"/>
  <c r="AT106" i="106"/>
  <c r="AT107" i="106"/>
  <c r="AT108" i="106"/>
  <c r="AT109" i="106"/>
  <c r="AT110" i="106"/>
  <c r="AT111" i="106"/>
  <c r="AT112" i="106"/>
  <c r="AT113" i="106"/>
  <c r="AT114" i="106"/>
  <c r="AT115" i="106"/>
  <c r="AT116" i="106"/>
  <c r="AT117" i="106"/>
  <c r="AT118" i="106"/>
  <c r="AT119" i="106"/>
  <c r="AT120" i="106"/>
  <c r="AT121" i="106"/>
  <c r="AT122" i="106"/>
  <c r="AT123" i="106"/>
  <c r="AT124" i="106"/>
  <c r="AT125" i="106"/>
  <c r="AT126" i="106"/>
  <c r="AT127" i="106"/>
  <c r="AT128" i="106"/>
  <c r="AT129" i="106"/>
  <c r="AT130" i="106"/>
  <c r="AT131" i="106"/>
  <c r="AT132" i="106"/>
  <c r="AT133" i="106"/>
  <c r="AT134" i="106"/>
  <c r="AT135" i="106"/>
  <c r="AT136" i="106"/>
  <c r="AT137" i="106"/>
  <c r="AT138" i="106"/>
  <c r="AT139" i="106"/>
  <c r="AT140" i="106"/>
  <c r="AT141" i="106"/>
  <c r="AT142" i="106"/>
  <c r="AT143" i="106"/>
  <c r="AT144" i="106"/>
  <c r="AT145" i="106"/>
  <c r="AT146" i="106"/>
  <c r="AT147" i="106"/>
  <c r="AT148" i="106"/>
  <c r="AT149" i="106"/>
  <c r="AT150" i="106"/>
  <c r="AT151" i="106"/>
  <c r="AT152" i="106"/>
  <c r="AT153" i="106"/>
  <c r="AT154" i="106"/>
  <c r="AT155" i="106"/>
  <c r="AT156" i="106"/>
  <c r="AT157" i="106"/>
  <c r="AT158" i="106"/>
  <c r="AT159" i="106"/>
  <c r="AT160" i="106"/>
  <c r="AT161" i="106"/>
  <c r="AT162" i="106"/>
  <c r="AT163" i="106"/>
  <c r="AT164" i="106"/>
  <c r="AT165" i="106"/>
  <c r="AT166" i="106"/>
  <c r="AT167" i="106"/>
  <c r="AT168" i="106"/>
  <c r="AT169" i="106"/>
  <c r="AT170" i="106"/>
  <c r="AT171" i="106"/>
  <c r="AT172" i="106"/>
  <c r="AT173" i="106"/>
  <c r="AT174" i="106"/>
  <c r="AT175" i="106"/>
  <c r="AT176" i="106"/>
  <c r="AT177" i="106"/>
  <c r="AT178" i="106"/>
  <c r="AT179" i="106"/>
  <c r="AT180" i="106"/>
  <c r="AT181" i="106"/>
  <c r="AT182" i="106"/>
  <c r="AT183" i="106"/>
  <c r="AT184" i="106"/>
  <c r="AT185" i="106"/>
  <c r="AT186" i="106"/>
  <c r="AT187" i="106"/>
  <c r="AT188" i="106"/>
  <c r="AT189" i="106"/>
  <c r="AT190" i="106"/>
  <c r="AT191" i="106"/>
  <c r="AT192" i="106"/>
  <c r="AT193" i="106"/>
  <c r="AT194" i="106"/>
  <c r="AT195" i="106"/>
  <c r="AT196" i="106"/>
  <c r="AT197" i="106"/>
  <c r="AT198" i="106"/>
  <c r="AT199" i="106"/>
  <c r="AT200" i="106"/>
  <c r="AT201" i="106"/>
  <c r="AT202" i="106"/>
  <c r="AT203" i="106"/>
  <c r="AT204" i="106"/>
  <c r="AT205" i="106"/>
  <c r="AT206" i="106"/>
  <c r="AT207" i="106"/>
  <c r="AT208" i="106"/>
  <c r="AT209" i="106"/>
  <c r="AT210" i="106"/>
  <c r="AT211" i="106"/>
  <c r="AT212" i="106"/>
  <c r="AT213" i="106"/>
  <c r="AT214" i="106"/>
  <c r="AT215" i="106"/>
  <c r="AT216" i="106"/>
  <c r="AT217" i="106"/>
  <c r="AT218" i="106"/>
  <c r="AT219" i="106"/>
  <c r="AT220" i="106"/>
  <c r="AT221" i="106"/>
  <c r="AT222" i="106"/>
  <c r="AT223" i="106"/>
  <c r="AT224" i="106"/>
  <c r="AT225" i="106"/>
  <c r="AT226" i="106"/>
  <c r="AT227" i="106"/>
  <c r="AT228" i="106"/>
  <c r="AT229" i="106"/>
  <c r="AT230" i="106"/>
  <c r="AT231" i="106"/>
  <c r="AT232" i="106"/>
  <c r="AT233" i="106"/>
  <c r="AT234" i="106"/>
  <c r="AT235" i="106"/>
  <c r="AT236" i="106"/>
  <c r="AT237" i="106"/>
  <c r="AT238" i="106"/>
  <c r="AT239" i="106"/>
  <c r="AT240" i="106"/>
  <c r="AT241" i="106"/>
  <c r="AT242" i="106"/>
  <c r="AT243" i="106"/>
  <c r="AT244" i="106"/>
  <c r="AT245" i="106"/>
  <c r="AT246" i="106"/>
  <c r="AT247" i="106"/>
  <c r="AT248" i="106"/>
  <c r="AT249" i="106"/>
  <c r="AT250" i="106"/>
  <c r="AT251" i="106"/>
  <c r="AT252" i="106"/>
  <c r="AT253" i="106"/>
  <c r="AT254" i="106"/>
  <c r="AT255" i="106"/>
  <c r="AT256" i="106"/>
  <c r="AT257" i="106"/>
  <c r="AT258" i="106"/>
  <c r="AT259" i="106"/>
  <c r="AT260" i="106"/>
  <c r="AT261" i="106"/>
  <c r="AT262" i="106"/>
  <c r="AT263" i="106"/>
  <c r="AT264" i="106"/>
  <c r="AT13" i="106"/>
  <c r="D218" i="93" l="1"/>
  <c r="D218" i="92"/>
  <c r="D218" i="94"/>
  <c r="AO13" i="106"/>
  <c r="AQ13" i="106"/>
  <c r="AO114" i="106" l="1"/>
  <c r="AO113" i="106"/>
  <c r="AO112" i="106"/>
  <c r="AO111" i="106"/>
  <c r="AO110" i="106"/>
  <c r="H87" i="94"/>
  <c r="H210" i="93"/>
  <c r="E210" i="93" s="1"/>
  <c r="H206" i="93"/>
  <c r="D291" i="93" s="1"/>
  <c r="O202" i="93"/>
  <c r="H202" i="93"/>
  <c r="E202" i="93" s="1"/>
  <c r="O202" i="92"/>
  <c r="O202" i="91"/>
  <c r="O202" i="89"/>
  <c r="O202" i="88"/>
  <c r="O202" i="87"/>
  <c r="O202" i="85"/>
  <c r="O202" i="84"/>
  <c r="O202" i="83"/>
  <c r="O202" i="82"/>
  <c r="O202" i="81"/>
  <c r="O202" i="74"/>
  <c r="H210" i="94"/>
  <c r="E210" i="94" s="1"/>
  <c r="H206" i="94"/>
  <c r="D291" i="94" s="1"/>
  <c r="O202" i="94"/>
  <c r="H202" i="94"/>
  <c r="E202" i="94" s="1"/>
  <c r="D202" i="94" s="1"/>
  <c r="AQ229" i="106"/>
  <c r="AQ193" i="106"/>
  <c r="AQ157" i="106"/>
  <c r="AQ120" i="106"/>
  <c r="AQ85" i="106"/>
  <c r="AQ49" i="106"/>
  <c r="AQ14" i="106"/>
  <c r="AQ15" i="106" s="1"/>
  <c r="AQ16" i="106" s="1"/>
  <c r="AQ17" i="106" s="1"/>
  <c r="AQ18" i="106" s="1"/>
  <c r="AQ19" i="106" s="1"/>
  <c r="AQ20" i="106" s="1"/>
  <c r="AQ21" i="106" s="1"/>
  <c r="AQ22" i="106" s="1"/>
  <c r="AQ23" i="106" s="1"/>
  <c r="AQ24" i="106" s="1"/>
  <c r="AQ25" i="106" s="1"/>
  <c r="AQ26" i="106" s="1"/>
  <c r="AQ27" i="106" s="1"/>
  <c r="AQ28" i="106" s="1"/>
  <c r="AQ29" i="106" s="1"/>
  <c r="AQ30" i="106" s="1"/>
  <c r="AQ31" i="106" s="1"/>
  <c r="AQ32" i="106" s="1"/>
  <c r="AQ33" i="106" s="1"/>
  <c r="AQ34" i="106" s="1"/>
  <c r="AQ35" i="106" s="1"/>
  <c r="AQ36" i="106" s="1"/>
  <c r="AQ37" i="106" s="1"/>
  <c r="AW13" i="106"/>
  <c r="AW15" i="106" s="1"/>
  <c r="AW20" i="106" s="1"/>
  <c r="AS13" i="106"/>
  <c r="AO14" i="106"/>
  <c r="AO15" i="106"/>
  <c r="AS15" i="106" s="1"/>
  <c r="AO16" i="106"/>
  <c r="AO17" i="106"/>
  <c r="AS17" i="106" s="1"/>
  <c r="AO18" i="106"/>
  <c r="AO19" i="106"/>
  <c r="AS19" i="106" s="1"/>
  <c r="AO20" i="106"/>
  <c r="AS20" i="106" s="1"/>
  <c r="AO21" i="106"/>
  <c r="AS21" i="106" s="1"/>
  <c r="AO22" i="106"/>
  <c r="AS22" i="106" s="1"/>
  <c r="AO23" i="106"/>
  <c r="AS23" i="106" s="1"/>
  <c r="AO24" i="106"/>
  <c r="AO25" i="106"/>
  <c r="AO26" i="106"/>
  <c r="AO27" i="106"/>
  <c r="AS27" i="106" s="1"/>
  <c r="AO28" i="106"/>
  <c r="AO29" i="106"/>
  <c r="AO30" i="106"/>
  <c r="AO31" i="106"/>
  <c r="AO32" i="106"/>
  <c r="AO33" i="106"/>
  <c r="AS33" i="106" s="1"/>
  <c r="AO34" i="106"/>
  <c r="AO35" i="106"/>
  <c r="AS35" i="106" s="1"/>
  <c r="AO36" i="106"/>
  <c r="AS36" i="106" s="1"/>
  <c r="AO37" i="106"/>
  <c r="AS37" i="106" s="1"/>
  <c r="AO38" i="106"/>
  <c r="AS38" i="106" s="1"/>
  <c r="AO39" i="106"/>
  <c r="AO40" i="106"/>
  <c r="AO41" i="106"/>
  <c r="AO42" i="106"/>
  <c r="AO43" i="106"/>
  <c r="AS43" i="106" s="1"/>
  <c r="AO44" i="106"/>
  <c r="AO45" i="106"/>
  <c r="AS45" i="106" s="1"/>
  <c r="AO46" i="106"/>
  <c r="AO47" i="106"/>
  <c r="AS47" i="106" s="1"/>
  <c r="AO48" i="106"/>
  <c r="AS48" i="106" s="1"/>
  <c r="AO49" i="106"/>
  <c r="AO50" i="106"/>
  <c r="AO51" i="106"/>
  <c r="AO52" i="106"/>
  <c r="AO53" i="106"/>
  <c r="AO54" i="106"/>
  <c r="AO55" i="106"/>
  <c r="AO56" i="106"/>
  <c r="AO57" i="106"/>
  <c r="AO58" i="106"/>
  <c r="AO59" i="106"/>
  <c r="AO60" i="106"/>
  <c r="AO61" i="106"/>
  <c r="AO62" i="106"/>
  <c r="AO63" i="106"/>
  <c r="AO64" i="106"/>
  <c r="AO65" i="106"/>
  <c r="AO66" i="106"/>
  <c r="AO67" i="106"/>
  <c r="AO68" i="106"/>
  <c r="AO69" i="106"/>
  <c r="AO70" i="106"/>
  <c r="AO71" i="106"/>
  <c r="AO72" i="106"/>
  <c r="AO73" i="106"/>
  <c r="AO74" i="106"/>
  <c r="AO75" i="106"/>
  <c r="AO76" i="106"/>
  <c r="AO77" i="106"/>
  <c r="AS77" i="106" s="1"/>
  <c r="AO78" i="106"/>
  <c r="AO79" i="106"/>
  <c r="AO80" i="106"/>
  <c r="AO81" i="106"/>
  <c r="AO82" i="106"/>
  <c r="AO83" i="106"/>
  <c r="AO84" i="106"/>
  <c r="AO85" i="106"/>
  <c r="AO86" i="106"/>
  <c r="AO87" i="106"/>
  <c r="AO88" i="106"/>
  <c r="AO89" i="106"/>
  <c r="AO90" i="106"/>
  <c r="AO91" i="106"/>
  <c r="AO92" i="106"/>
  <c r="AO93" i="106"/>
  <c r="AO94" i="106"/>
  <c r="AO95" i="106"/>
  <c r="AO96" i="106"/>
  <c r="AO97" i="106"/>
  <c r="AO98" i="106"/>
  <c r="AO99" i="106"/>
  <c r="AO100" i="106"/>
  <c r="AO101" i="106"/>
  <c r="AO102" i="106"/>
  <c r="AO103" i="106"/>
  <c r="AO104" i="106"/>
  <c r="AO105" i="106"/>
  <c r="AO106" i="106"/>
  <c r="AO107" i="106"/>
  <c r="AO108" i="106"/>
  <c r="AO109" i="106"/>
  <c r="AO115" i="106"/>
  <c r="AO116" i="106"/>
  <c r="AO117" i="106"/>
  <c r="AO118" i="106"/>
  <c r="AS118" i="106" s="1"/>
  <c r="L208" i="94" s="1"/>
  <c r="AO119" i="106"/>
  <c r="AO120" i="106"/>
  <c r="AO121" i="106"/>
  <c r="AO122" i="106"/>
  <c r="AO123" i="106"/>
  <c r="AO124" i="106"/>
  <c r="AO125" i="106"/>
  <c r="AO126" i="106"/>
  <c r="AO127" i="106"/>
  <c r="AO128" i="106"/>
  <c r="AO129" i="106"/>
  <c r="AO130" i="106"/>
  <c r="AO131" i="106"/>
  <c r="AO132" i="106"/>
  <c r="AO133" i="106"/>
  <c r="AO134" i="106"/>
  <c r="AO135" i="106"/>
  <c r="AO136" i="106"/>
  <c r="AO137" i="106"/>
  <c r="AO138" i="106"/>
  <c r="AO139" i="106"/>
  <c r="AO140" i="106"/>
  <c r="AO141" i="106"/>
  <c r="AO142" i="106"/>
  <c r="AO143" i="106"/>
  <c r="AO144" i="106"/>
  <c r="AO145" i="106"/>
  <c r="AO146" i="106"/>
  <c r="AO147" i="106"/>
  <c r="AO148" i="106"/>
  <c r="AO149" i="106"/>
  <c r="AO150" i="106"/>
  <c r="AO151" i="106"/>
  <c r="AO152" i="106"/>
  <c r="AO153" i="106"/>
  <c r="AO154" i="106"/>
  <c r="AO155" i="106"/>
  <c r="AO156" i="106"/>
  <c r="AO157" i="106"/>
  <c r="AS157" i="106" s="1"/>
  <c r="AO158" i="106"/>
  <c r="AO159" i="106"/>
  <c r="AO160" i="106"/>
  <c r="AO161" i="106"/>
  <c r="AO162" i="106"/>
  <c r="AS162" i="106" s="1"/>
  <c r="AO163" i="106"/>
  <c r="AO164" i="106"/>
  <c r="AO165" i="106"/>
  <c r="AO166" i="106"/>
  <c r="AO167" i="106"/>
  <c r="AO168" i="106"/>
  <c r="AO169" i="106"/>
  <c r="AO170" i="106"/>
  <c r="AO171" i="106"/>
  <c r="AO172" i="106"/>
  <c r="AO173" i="106"/>
  <c r="AO174" i="106"/>
  <c r="AO175" i="106"/>
  <c r="AO176" i="106"/>
  <c r="AO177" i="106"/>
  <c r="AO178" i="106"/>
  <c r="AO179" i="106"/>
  <c r="AO180" i="106"/>
  <c r="AO181" i="106"/>
  <c r="AO182" i="106"/>
  <c r="AO183" i="106"/>
  <c r="AO184" i="106"/>
  <c r="AO185" i="106"/>
  <c r="AS185" i="106" s="1"/>
  <c r="AO186" i="106"/>
  <c r="AO187" i="106"/>
  <c r="AO188" i="106"/>
  <c r="AO189" i="106"/>
  <c r="AO190" i="106"/>
  <c r="AS190" i="106" s="1"/>
  <c r="AO191" i="106"/>
  <c r="AO192" i="106"/>
  <c r="AO193" i="106"/>
  <c r="AO194" i="106"/>
  <c r="AO195" i="106"/>
  <c r="AO196" i="106"/>
  <c r="AS196" i="106" s="1"/>
  <c r="AO197" i="106"/>
  <c r="AS197" i="106" s="1"/>
  <c r="AO198" i="106"/>
  <c r="AO199" i="106"/>
  <c r="AO200" i="106"/>
  <c r="AO201" i="106"/>
  <c r="AO202" i="106"/>
  <c r="AO203" i="106"/>
  <c r="AO204" i="106"/>
  <c r="AO205" i="106"/>
  <c r="AO206" i="106"/>
  <c r="AO207" i="106"/>
  <c r="AO208" i="106"/>
  <c r="AO209" i="106"/>
  <c r="AO210" i="106"/>
  <c r="AO211" i="106"/>
  <c r="AO212" i="106"/>
  <c r="AO213" i="106"/>
  <c r="AO214" i="106"/>
  <c r="AO215" i="106"/>
  <c r="AO216" i="106"/>
  <c r="AO217" i="106"/>
  <c r="AO218" i="106"/>
  <c r="AO219" i="106"/>
  <c r="AO220" i="106"/>
  <c r="AO221" i="106"/>
  <c r="AS221" i="106" s="1"/>
  <c r="AO222" i="106"/>
  <c r="AO223" i="106"/>
  <c r="AO224" i="106"/>
  <c r="AS224" i="106" s="1"/>
  <c r="AO225" i="106"/>
  <c r="AS225" i="106" s="1"/>
  <c r="AO226" i="106"/>
  <c r="AO227" i="106"/>
  <c r="AO228" i="106"/>
  <c r="AO229" i="106"/>
  <c r="AO230" i="106"/>
  <c r="AO231" i="106"/>
  <c r="AO232" i="106"/>
  <c r="AO233" i="106"/>
  <c r="AO234" i="106"/>
  <c r="AO235" i="106"/>
  <c r="AO236" i="106"/>
  <c r="AO237" i="106"/>
  <c r="AO238" i="106"/>
  <c r="AO239" i="106"/>
  <c r="AO240" i="106"/>
  <c r="AO241" i="106"/>
  <c r="AO242" i="106"/>
  <c r="AO243" i="106"/>
  <c r="AO244" i="106"/>
  <c r="AO245" i="106"/>
  <c r="AO246" i="106"/>
  <c r="AO247" i="106"/>
  <c r="AO248" i="106"/>
  <c r="AO249" i="106"/>
  <c r="AO250" i="106"/>
  <c r="AO251" i="106"/>
  <c r="AO252" i="106"/>
  <c r="AO253" i="106"/>
  <c r="AO254" i="106"/>
  <c r="AO255" i="106"/>
  <c r="AO256" i="106"/>
  <c r="AO257" i="106"/>
  <c r="AO258" i="106"/>
  <c r="AO259" i="106"/>
  <c r="AO260" i="106"/>
  <c r="AO261" i="106"/>
  <c r="AO262" i="106"/>
  <c r="AO263" i="106"/>
  <c r="AO264" i="106"/>
  <c r="E206" i="93" l="1"/>
  <c r="D206" i="93" s="1"/>
  <c r="D288" i="93" s="1"/>
  <c r="E206" i="94"/>
  <c r="D206" i="94" s="1"/>
  <c r="D288" i="94" s="1"/>
  <c r="D210" i="94"/>
  <c r="D289" i="94" s="1"/>
  <c r="AS125" i="106"/>
  <c r="AS257" i="106"/>
  <c r="AS93" i="106"/>
  <c r="AS92" i="106"/>
  <c r="AS255" i="106"/>
  <c r="AS108" i="106"/>
  <c r="AS107" i="106"/>
  <c r="AS264" i="106"/>
  <c r="AS236" i="106"/>
  <c r="AS263" i="106"/>
  <c r="AS235" i="106"/>
  <c r="AS261" i="106"/>
  <c r="AS233" i="106"/>
  <c r="AS259" i="106"/>
  <c r="AS231" i="106"/>
  <c r="AS258" i="106"/>
  <c r="AS230" i="106"/>
  <c r="AS82" i="106"/>
  <c r="AS53" i="106"/>
  <c r="AS81" i="106"/>
  <c r="AS253" i="106"/>
  <c r="AS169" i="106"/>
  <c r="AS79" i="106"/>
  <c r="AS51" i="106"/>
  <c r="AS251" i="106"/>
  <c r="AS78" i="106"/>
  <c r="AS50" i="106"/>
  <c r="AS248" i="106"/>
  <c r="AS192" i="106"/>
  <c r="AS164" i="106"/>
  <c r="AS247" i="106"/>
  <c r="AS191" i="106"/>
  <c r="AS163" i="106"/>
  <c r="AS252" i="106"/>
  <c r="AS246" i="106"/>
  <c r="AS158" i="106"/>
  <c r="AS177" i="106"/>
  <c r="AS227" i="106"/>
  <c r="AS199" i="106"/>
  <c r="AS171" i="106"/>
  <c r="AS115" i="106"/>
  <c r="AS226" i="106"/>
  <c r="AS198" i="106"/>
  <c r="AS170" i="106"/>
  <c r="AS168" i="106"/>
  <c r="AS223" i="106"/>
  <c r="AS195" i="106"/>
  <c r="AS167" i="106"/>
  <c r="AS106" i="106"/>
  <c r="AS250" i="106"/>
  <c r="AS222" i="106"/>
  <c r="AS194" i="106"/>
  <c r="AS166" i="106"/>
  <c r="AS213" i="106"/>
  <c r="AS165" i="106"/>
  <c r="AS186" i="106"/>
  <c r="AS193" i="106"/>
  <c r="AS184" i="106"/>
  <c r="AS91" i="106"/>
  <c r="AS141" i="106"/>
  <c r="AS80" i="106"/>
  <c r="AS52" i="106"/>
  <c r="AS139" i="106"/>
  <c r="AS76" i="106"/>
  <c r="AS154" i="106"/>
  <c r="AS245" i="106"/>
  <c r="AS189" i="106"/>
  <c r="AS161" i="106"/>
  <c r="AS133" i="106"/>
  <c r="AS72" i="106"/>
  <c r="AS244" i="106"/>
  <c r="AS188" i="106"/>
  <c r="AS160" i="106"/>
  <c r="AS132" i="106"/>
  <c r="AS99" i="106"/>
  <c r="AS138" i="106"/>
  <c r="AS134" i="106"/>
  <c r="AS101" i="106"/>
  <c r="AS243" i="106"/>
  <c r="AS187" i="106"/>
  <c r="AS159" i="106"/>
  <c r="AS131" i="106"/>
  <c r="AS98" i="106"/>
  <c r="AS97" i="106"/>
  <c r="AS102" i="106"/>
  <c r="AS212" i="106"/>
  <c r="AS67" i="106"/>
  <c r="AS105" i="106"/>
  <c r="AS61" i="106"/>
  <c r="AS104" i="106"/>
  <c r="AS136" i="106"/>
  <c r="AS103" i="106"/>
  <c r="AS239" i="106"/>
  <c r="AS211" i="106"/>
  <c r="AS183" i="106"/>
  <c r="AS155" i="106"/>
  <c r="AS127" i="106"/>
  <c r="AS94" i="106"/>
  <c r="AS238" i="106"/>
  <c r="AS210" i="106"/>
  <c r="AS182" i="106"/>
  <c r="AS126" i="106"/>
  <c r="AS65" i="106"/>
  <c r="AS237" i="106"/>
  <c r="AS209" i="106"/>
  <c r="AS181" i="106"/>
  <c r="AS153" i="106"/>
  <c r="AS64" i="106"/>
  <c r="AS176" i="106"/>
  <c r="AS88" i="106"/>
  <c r="L204" i="94" s="1"/>
  <c r="AS119" i="106"/>
  <c r="AS86" i="106"/>
  <c r="AS228" i="106"/>
  <c r="AS172" i="106"/>
  <c r="AS204" i="106"/>
  <c r="AS218" i="106"/>
  <c r="AS73" i="106"/>
  <c r="AS200" i="106"/>
  <c r="AS217" i="106"/>
  <c r="AS216" i="106"/>
  <c r="AS71" i="106"/>
  <c r="AS206" i="106"/>
  <c r="AS215" i="106"/>
  <c r="AS70" i="106"/>
  <c r="AS42" i="106"/>
  <c r="AS14" i="106"/>
  <c r="AS69" i="106"/>
  <c r="AS41" i="106"/>
  <c r="AS178" i="106"/>
  <c r="AS214" i="106"/>
  <c r="AS208" i="106"/>
  <c r="AS180" i="106"/>
  <c r="AS152" i="106"/>
  <c r="AS124" i="106"/>
  <c r="AS207" i="106"/>
  <c r="AS179" i="106"/>
  <c r="AS151" i="106"/>
  <c r="AS123" i="106"/>
  <c r="AS90" i="106"/>
  <c r="L205" i="94" s="1"/>
  <c r="AS62" i="106"/>
  <c r="AS34" i="106"/>
  <c r="AS54" i="106"/>
  <c r="AS205" i="106"/>
  <c r="AS150" i="106"/>
  <c r="AS147" i="106"/>
  <c r="AS58" i="106"/>
  <c r="AS89" i="106"/>
  <c r="AS57" i="106"/>
  <c r="AS29" i="106"/>
  <c r="AS66" i="106"/>
  <c r="AS149" i="106"/>
  <c r="AS60" i="106"/>
  <c r="AS32" i="106"/>
  <c r="AS59" i="106"/>
  <c r="AS63" i="106"/>
  <c r="AS203" i="106"/>
  <c r="AS175" i="106"/>
  <c r="AS30" i="106"/>
  <c r="AS202" i="106"/>
  <c r="AS174" i="106"/>
  <c r="AS146" i="106"/>
  <c r="AS262" i="106"/>
  <c r="L208" i="89" s="1"/>
  <c r="AS201" i="106"/>
  <c r="AS173" i="106"/>
  <c r="AS145" i="106"/>
  <c r="AS117" i="106"/>
  <c r="AS84" i="106"/>
  <c r="AS56" i="106"/>
  <c r="AS28" i="106"/>
  <c r="AS220" i="106"/>
  <c r="AS75" i="106"/>
  <c r="AS83" i="106"/>
  <c r="AS55" i="106"/>
  <c r="AS68" i="106"/>
  <c r="AS219" i="106"/>
  <c r="AS135" i="106"/>
  <c r="AS74" i="106"/>
  <c r="AS46" i="106"/>
  <c r="AS18" i="106"/>
  <c r="L209" i="92"/>
  <c r="L209" i="74"/>
  <c r="L209" i="81"/>
  <c r="L209" i="91"/>
  <c r="L209" i="89"/>
  <c r="L209" i="88"/>
  <c r="L209" i="87"/>
  <c r="L209" i="85"/>
  <c r="L209" i="84"/>
  <c r="L209" i="83"/>
  <c r="L209" i="82"/>
  <c r="L209" i="93"/>
  <c r="L207" i="93"/>
  <c r="L207" i="82"/>
  <c r="L207" i="81"/>
  <c r="L206" i="93"/>
  <c r="L207" i="92"/>
  <c r="L206" i="82"/>
  <c r="L206" i="81"/>
  <c r="L207" i="74"/>
  <c r="L206" i="92"/>
  <c r="L206" i="83"/>
  <c r="L207" i="91"/>
  <c r="L206" i="74"/>
  <c r="L207" i="89"/>
  <c r="L206" i="91"/>
  <c r="L206" i="89"/>
  <c r="L207" i="88"/>
  <c r="L206" i="88"/>
  <c r="L207" i="87"/>
  <c r="L206" i="84"/>
  <c r="L207" i="85"/>
  <c r="L206" i="87"/>
  <c r="L206" i="85"/>
  <c r="L207" i="84"/>
  <c r="L207" i="83"/>
  <c r="L213" i="88"/>
  <c r="L213" i="87"/>
  <c r="L213" i="85"/>
  <c r="L213" i="84"/>
  <c r="L213" i="83"/>
  <c r="L213" i="82"/>
  <c r="L213" i="93"/>
  <c r="L213" i="92"/>
  <c r="L213" i="81"/>
  <c r="L213" i="74"/>
  <c r="L213" i="91"/>
  <c r="L213" i="89"/>
  <c r="L208" i="81"/>
  <c r="L208" i="88"/>
  <c r="L208" i="92"/>
  <c r="L208" i="91"/>
  <c r="L208" i="93"/>
  <c r="L208" i="82"/>
  <c r="L208" i="87"/>
  <c r="L208" i="84"/>
  <c r="L208" i="83"/>
  <c r="AQ38" i="106"/>
  <c r="AQ39" i="106" s="1"/>
  <c r="AQ40" i="106" s="1"/>
  <c r="AQ41" i="106" s="1"/>
  <c r="AQ42" i="106" s="1"/>
  <c r="AQ43" i="106" s="1"/>
  <c r="L207" i="94"/>
  <c r="L206" i="94"/>
  <c r="L210" i="91"/>
  <c r="L211" i="89"/>
  <c r="L211" i="88"/>
  <c r="L210" i="89"/>
  <c r="L210" i="88"/>
  <c r="L211" i="84"/>
  <c r="L211" i="87"/>
  <c r="L211" i="85"/>
  <c r="L210" i="87"/>
  <c r="L210" i="85"/>
  <c r="L211" i="83"/>
  <c r="L210" i="84"/>
  <c r="L210" i="83"/>
  <c r="L210" i="74"/>
  <c r="L211" i="82"/>
  <c r="L211" i="93"/>
  <c r="L211" i="92"/>
  <c r="L210" i="82"/>
  <c r="L211" i="81"/>
  <c r="L211" i="91"/>
  <c r="L210" i="93"/>
  <c r="L211" i="74"/>
  <c r="L210" i="92"/>
  <c r="L210" i="81"/>
  <c r="AS128" i="106"/>
  <c r="AS156" i="106"/>
  <c r="AS240" i="106"/>
  <c r="AS95" i="106"/>
  <c r="AS241" i="106"/>
  <c r="AS40" i="106"/>
  <c r="AS129" i="106"/>
  <c r="AS39" i="106"/>
  <c r="AS130" i="106"/>
  <c r="AS242" i="106"/>
  <c r="AS96" i="106"/>
  <c r="AS16" i="106"/>
  <c r="AS44" i="106"/>
  <c r="AS100" i="106"/>
  <c r="AS137" i="106"/>
  <c r="AS249" i="106"/>
  <c r="AS110" i="106"/>
  <c r="AS49" i="106"/>
  <c r="AS111" i="106"/>
  <c r="AS112" i="106"/>
  <c r="L212" i="94" s="1"/>
  <c r="AS24" i="106"/>
  <c r="AS142" i="106"/>
  <c r="AS254" i="106"/>
  <c r="AS113" i="106"/>
  <c r="AS114" i="106"/>
  <c r="L213" i="94" s="1"/>
  <c r="AS25" i="106"/>
  <c r="AS143" i="106"/>
  <c r="AS26" i="106"/>
  <c r="AS116" i="106"/>
  <c r="AS144" i="106"/>
  <c r="AS256" i="106"/>
  <c r="AS140" i="106"/>
  <c r="AS229" i="106"/>
  <c r="AS85" i="106"/>
  <c r="L203" i="94" s="1"/>
  <c r="L202" i="94" s="1"/>
  <c r="AS109" i="106"/>
  <c r="AS120" i="106"/>
  <c r="L209" i="94" s="1"/>
  <c r="AS148" i="106"/>
  <c r="AS232" i="106"/>
  <c r="AS260" i="106"/>
  <c r="AS121" i="106"/>
  <c r="AS31" i="106"/>
  <c r="AS87" i="106"/>
  <c r="AS122" i="106"/>
  <c r="AS234" i="106"/>
  <c r="D210" i="93"/>
  <c r="D289" i="93" s="1"/>
  <c r="D202" i="93"/>
  <c r="AQ50" i="106"/>
  <c r="AQ51" i="106" s="1"/>
  <c r="AQ52" i="106" s="1"/>
  <c r="AQ53" i="106" s="1"/>
  <c r="AQ54" i="106" s="1"/>
  <c r="AQ55" i="106" s="1"/>
  <c r="AQ56" i="106" s="1"/>
  <c r="AQ57" i="106" s="1"/>
  <c r="AQ58" i="106" s="1"/>
  <c r="AQ59" i="106" s="1"/>
  <c r="AQ60" i="106" s="1"/>
  <c r="AQ61" i="106" s="1"/>
  <c r="AQ62" i="106" s="1"/>
  <c r="AQ63" i="106" s="1"/>
  <c r="AQ64" i="106" s="1"/>
  <c r="AQ65" i="106" s="1"/>
  <c r="AQ66" i="106" s="1"/>
  <c r="AQ67" i="106" s="1"/>
  <c r="AQ68" i="106" s="1"/>
  <c r="AQ69" i="106" s="1"/>
  <c r="AQ70" i="106" s="1"/>
  <c r="AQ71" i="106" s="1"/>
  <c r="AQ72" i="106" s="1"/>
  <c r="AQ73" i="106" s="1"/>
  <c r="AQ74" i="106" s="1"/>
  <c r="AQ75" i="106" s="1"/>
  <c r="AQ76" i="106" s="1"/>
  <c r="AQ77" i="106" s="1"/>
  <c r="AQ78" i="106" s="1"/>
  <c r="AQ79" i="106" s="1"/>
  <c r="AQ80" i="106" s="1"/>
  <c r="AQ81" i="106" s="1"/>
  <c r="AQ82" i="106" s="1"/>
  <c r="AQ83" i="106" s="1"/>
  <c r="AQ84" i="106" s="1"/>
  <c r="AQ86" i="106" s="1"/>
  <c r="AQ87" i="106" s="1"/>
  <c r="AQ88" i="106" s="1"/>
  <c r="AQ89" i="106" s="1"/>
  <c r="AQ90" i="106" s="1"/>
  <c r="AQ91" i="106" s="1"/>
  <c r="AQ92" i="106" s="1"/>
  <c r="AQ93" i="106" s="1"/>
  <c r="AQ94" i="106" s="1"/>
  <c r="AQ95" i="106" s="1"/>
  <c r="AQ96" i="106" s="1"/>
  <c r="AQ97" i="106" s="1"/>
  <c r="AQ98" i="106" s="1"/>
  <c r="AQ99" i="106" s="1"/>
  <c r="AQ100" i="106" s="1"/>
  <c r="AQ101" i="106" s="1"/>
  <c r="AQ102" i="106" s="1"/>
  <c r="AQ103" i="106" s="1"/>
  <c r="AQ104" i="106" s="1"/>
  <c r="AQ105" i="106" s="1"/>
  <c r="AQ106" i="106" s="1"/>
  <c r="AQ107" i="106" s="1"/>
  <c r="AQ108" i="106" s="1"/>
  <c r="AQ109" i="106" s="1"/>
  <c r="L208" i="74" l="1"/>
  <c r="L208" i="85"/>
  <c r="L205" i="84"/>
  <c r="L205" i="83"/>
  <c r="L205" i="85"/>
  <c r="L205" i="82"/>
  <c r="L205" i="93"/>
  <c r="L205" i="81"/>
  <c r="L205" i="92"/>
  <c r="L205" i="74"/>
  <c r="L205" i="91"/>
  <c r="L205" i="89"/>
  <c r="L205" i="88"/>
  <c r="L205" i="87"/>
  <c r="L204" i="85"/>
  <c r="L204" i="84"/>
  <c r="L204" i="83"/>
  <c r="L204" i="82"/>
  <c r="L204" i="93"/>
  <c r="L204" i="81"/>
  <c r="L204" i="92"/>
  <c r="L204" i="74"/>
  <c r="L204" i="91"/>
  <c r="L204" i="87"/>
  <c r="L204" i="89"/>
  <c r="L204" i="88"/>
  <c r="AQ44" i="106"/>
  <c r="AQ45" i="106" s="1"/>
  <c r="AQ46" i="106" s="1"/>
  <c r="AQ47" i="106" s="1"/>
  <c r="AQ48" i="106" s="1"/>
  <c r="L203" i="85"/>
  <c r="L202" i="85" s="1"/>
  <c r="L203" i="84"/>
  <c r="L202" i="84" s="1"/>
  <c r="L203" i="83"/>
  <c r="L202" i="83" s="1"/>
  <c r="L203" i="88"/>
  <c r="L202" i="88" s="1"/>
  <c r="L203" i="82"/>
  <c r="L202" i="82" s="1"/>
  <c r="L203" i="93"/>
  <c r="L202" i="93" s="1"/>
  <c r="L203" i="81"/>
  <c r="L202" i="81" s="1"/>
  <c r="L203" i="92"/>
  <c r="L202" i="92" s="1"/>
  <c r="L203" i="87"/>
  <c r="L202" i="87" s="1"/>
  <c r="L203" i="74"/>
  <c r="L202" i="74" s="1"/>
  <c r="L203" i="91"/>
  <c r="L202" i="91" s="1"/>
  <c r="L203" i="89"/>
  <c r="L202" i="89" s="1"/>
  <c r="L212" i="88"/>
  <c r="L212" i="87"/>
  <c r="L212" i="85"/>
  <c r="L212" i="84"/>
  <c r="L212" i="83"/>
  <c r="L212" i="82"/>
  <c r="L212" i="89"/>
  <c r="L212" i="93"/>
  <c r="L212" i="92"/>
  <c r="L212" i="81"/>
  <c r="L212" i="74"/>
  <c r="L212" i="91"/>
  <c r="AQ110" i="106"/>
  <c r="AQ111" i="106" s="1"/>
  <c r="AQ112" i="106" s="1"/>
  <c r="AQ113" i="106" s="1"/>
  <c r="AQ114" i="106" s="1"/>
  <c r="AQ115" i="106" s="1"/>
  <c r="L210" i="94"/>
  <c r="L211" i="94"/>
  <c r="J64" i="93"/>
  <c r="J65" i="93"/>
  <c r="J66" i="93"/>
  <c r="J67" i="93"/>
  <c r="J68" i="93"/>
  <c r="J69" i="93"/>
  <c r="J70" i="93"/>
  <c r="J71" i="93"/>
  <c r="J72" i="93"/>
  <c r="J73" i="93"/>
  <c r="J74" i="93"/>
  <c r="J75" i="93"/>
  <c r="J76" i="93"/>
  <c r="J77" i="93"/>
  <c r="J78" i="93"/>
  <c r="J79" i="93"/>
  <c r="J80" i="93"/>
  <c r="J81" i="93"/>
  <c r="J82" i="93"/>
  <c r="J83" i="93"/>
  <c r="J84" i="93"/>
  <c r="J85" i="93"/>
  <c r="J86" i="93"/>
  <c r="J87" i="93"/>
  <c r="J88" i="93"/>
  <c r="J89" i="93"/>
  <c r="J90" i="93"/>
  <c r="J91" i="93"/>
  <c r="J92" i="93"/>
  <c r="J93" i="93"/>
  <c r="J94" i="93"/>
  <c r="J95" i="93"/>
  <c r="J96" i="93"/>
  <c r="J97" i="93"/>
  <c r="J98" i="93"/>
  <c r="J99" i="93"/>
  <c r="J100" i="93"/>
  <c r="J101" i="93"/>
  <c r="J102" i="93"/>
  <c r="J103" i="93"/>
  <c r="J104" i="93"/>
  <c r="J105" i="93"/>
  <c r="J106" i="93"/>
  <c r="J107" i="93"/>
  <c r="J108" i="93"/>
  <c r="J109" i="93"/>
  <c r="J110" i="93"/>
  <c r="J111" i="93"/>
  <c r="J112" i="93"/>
  <c r="J113" i="93"/>
  <c r="J114" i="93"/>
  <c r="J115" i="93"/>
  <c r="J116" i="93"/>
  <c r="J117" i="93"/>
  <c r="J118" i="93"/>
  <c r="J119" i="93"/>
  <c r="J120" i="93"/>
  <c r="J121" i="93"/>
  <c r="J122" i="93"/>
  <c r="J123" i="93"/>
  <c r="J124" i="93"/>
  <c r="J125" i="93"/>
  <c r="J126" i="93"/>
  <c r="J127" i="93"/>
  <c r="J128" i="93"/>
  <c r="J129" i="93"/>
  <c r="J130" i="93"/>
  <c r="J131" i="93"/>
  <c r="J132" i="93"/>
  <c r="J133" i="93"/>
  <c r="J134" i="93"/>
  <c r="J135" i="93"/>
  <c r="J136" i="93"/>
  <c r="J137" i="93"/>
  <c r="J138" i="93"/>
  <c r="K138" i="93" s="1"/>
  <c r="J139" i="93"/>
  <c r="J140" i="93"/>
  <c r="J141" i="93"/>
  <c r="K141" i="93" s="1"/>
  <c r="J142" i="93"/>
  <c r="J143" i="93"/>
  <c r="J144" i="93"/>
  <c r="K144" i="93" s="1"/>
  <c r="J145" i="93"/>
  <c r="J146" i="93"/>
  <c r="J147" i="93"/>
  <c r="K147" i="93" s="1"/>
  <c r="J148" i="93"/>
  <c r="J149" i="93"/>
  <c r="J150" i="93"/>
  <c r="K150" i="93" s="1"/>
  <c r="J151" i="93"/>
  <c r="J152" i="93"/>
  <c r="J153" i="93"/>
  <c r="K153" i="93" s="1"/>
  <c r="J154" i="93"/>
  <c r="J155" i="93"/>
  <c r="J156" i="93"/>
  <c r="K156" i="93" s="1"/>
  <c r="J157" i="93"/>
  <c r="J158" i="93"/>
  <c r="J159" i="93"/>
  <c r="K159" i="93" s="1"/>
  <c r="J160" i="93"/>
  <c r="J161" i="93"/>
  <c r="J162" i="93"/>
  <c r="K162" i="93" s="1"/>
  <c r="J163" i="93"/>
  <c r="J164" i="93"/>
  <c r="J165" i="93"/>
  <c r="K165" i="93" s="1"/>
  <c r="J166" i="93"/>
  <c r="J167" i="93"/>
  <c r="J168" i="93"/>
  <c r="J169" i="93"/>
  <c r="J170" i="93"/>
  <c r="J171" i="93"/>
  <c r="J172" i="93"/>
  <c r="J173" i="93"/>
  <c r="J174" i="93"/>
  <c r="J175" i="93"/>
  <c r="J176" i="93"/>
  <c r="J177" i="93"/>
  <c r="J178" i="93"/>
  <c r="J179" i="93"/>
  <c r="J180" i="93"/>
  <c r="J181" i="93"/>
  <c r="J182" i="93"/>
  <c r="J183" i="93"/>
  <c r="J184" i="93"/>
  <c r="J185" i="93"/>
  <c r="J186" i="93"/>
  <c r="J64" i="92"/>
  <c r="J65" i="92"/>
  <c r="J66" i="92"/>
  <c r="J67" i="92"/>
  <c r="J68" i="92"/>
  <c r="J69" i="92"/>
  <c r="J70" i="92"/>
  <c r="J71" i="92"/>
  <c r="J72" i="92"/>
  <c r="J73" i="92"/>
  <c r="J74" i="92"/>
  <c r="J75" i="92"/>
  <c r="J76" i="92"/>
  <c r="J77" i="92"/>
  <c r="J78" i="92"/>
  <c r="J79" i="92"/>
  <c r="J80" i="92"/>
  <c r="J81" i="92"/>
  <c r="J82" i="92"/>
  <c r="J83" i="92"/>
  <c r="J84" i="92"/>
  <c r="J85" i="92"/>
  <c r="J86" i="92"/>
  <c r="J87" i="92"/>
  <c r="J88" i="92"/>
  <c r="J89" i="92"/>
  <c r="J90" i="92"/>
  <c r="J91" i="92"/>
  <c r="J92" i="92"/>
  <c r="J93" i="92"/>
  <c r="J94" i="92"/>
  <c r="J95" i="92"/>
  <c r="J96" i="92"/>
  <c r="J97" i="92"/>
  <c r="J98" i="92"/>
  <c r="J99" i="92"/>
  <c r="J100" i="92"/>
  <c r="J101" i="92"/>
  <c r="J102" i="92"/>
  <c r="J103" i="92"/>
  <c r="J104" i="92"/>
  <c r="J105" i="92"/>
  <c r="J106" i="92"/>
  <c r="J107" i="92"/>
  <c r="J108" i="92"/>
  <c r="J109" i="92"/>
  <c r="J110" i="92"/>
  <c r="J111" i="92"/>
  <c r="J112" i="92"/>
  <c r="J113" i="92"/>
  <c r="J114" i="92"/>
  <c r="J115" i="92"/>
  <c r="J116" i="92"/>
  <c r="J117" i="92"/>
  <c r="J118" i="92"/>
  <c r="J119" i="92"/>
  <c r="J120" i="92"/>
  <c r="J121" i="92"/>
  <c r="J122" i="92"/>
  <c r="J123" i="92"/>
  <c r="J124" i="92"/>
  <c r="J125" i="92"/>
  <c r="J126" i="92"/>
  <c r="J127" i="92"/>
  <c r="J128" i="92"/>
  <c r="J129" i="92"/>
  <c r="J130" i="92"/>
  <c r="J131" i="92"/>
  <c r="J132" i="92"/>
  <c r="J133" i="92"/>
  <c r="J134" i="92"/>
  <c r="J135" i="92"/>
  <c r="J136" i="92"/>
  <c r="J137" i="92"/>
  <c r="J138" i="92"/>
  <c r="K138" i="92" s="1"/>
  <c r="J139" i="92"/>
  <c r="J140" i="92"/>
  <c r="J141" i="92"/>
  <c r="K141" i="92" s="1"/>
  <c r="J142" i="92"/>
  <c r="J143" i="92"/>
  <c r="J144" i="92"/>
  <c r="K144" i="92" s="1"/>
  <c r="J145" i="92"/>
  <c r="J146" i="92"/>
  <c r="J147" i="92"/>
  <c r="K147" i="92" s="1"/>
  <c r="J148" i="92"/>
  <c r="J149" i="92"/>
  <c r="J150" i="92"/>
  <c r="K150" i="92" s="1"/>
  <c r="J151" i="92"/>
  <c r="J152" i="92"/>
  <c r="J153" i="92"/>
  <c r="K153" i="92" s="1"/>
  <c r="J154" i="92"/>
  <c r="J155" i="92"/>
  <c r="J156" i="92"/>
  <c r="K156" i="92" s="1"/>
  <c r="J157" i="92"/>
  <c r="J158" i="92"/>
  <c r="J159" i="92"/>
  <c r="K159" i="92" s="1"/>
  <c r="J160" i="92"/>
  <c r="J161" i="92"/>
  <c r="J162" i="92"/>
  <c r="K162" i="92" s="1"/>
  <c r="J163" i="92"/>
  <c r="J164" i="92"/>
  <c r="J165" i="92"/>
  <c r="K165" i="92" s="1"/>
  <c r="J166" i="92"/>
  <c r="J167" i="92"/>
  <c r="J168" i="92"/>
  <c r="J169" i="92"/>
  <c r="J170" i="92"/>
  <c r="J171" i="92"/>
  <c r="J172" i="92"/>
  <c r="J173" i="92"/>
  <c r="J174" i="92"/>
  <c r="J175" i="92"/>
  <c r="J176" i="92"/>
  <c r="J177" i="92"/>
  <c r="J178" i="92"/>
  <c r="J179" i="92"/>
  <c r="J180" i="92"/>
  <c r="J181" i="92"/>
  <c r="J182" i="92"/>
  <c r="J183" i="92"/>
  <c r="J184" i="92"/>
  <c r="J185" i="92"/>
  <c r="J186" i="92"/>
  <c r="J64" i="91"/>
  <c r="J65" i="91"/>
  <c r="J66" i="91"/>
  <c r="J67" i="91"/>
  <c r="J68" i="91"/>
  <c r="J69" i="91"/>
  <c r="J70" i="91"/>
  <c r="J71" i="91"/>
  <c r="J72" i="91"/>
  <c r="J73" i="91"/>
  <c r="J74" i="91"/>
  <c r="J75" i="91"/>
  <c r="J76" i="91"/>
  <c r="J77" i="91"/>
  <c r="J78" i="91"/>
  <c r="J79" i="91"/>
  <c r="J80" i="91"/>
  <c r="J81" i="91"/>
  <c r="J82" i="91"/>
  <c r="J83" i="91"/>
  <c r="J84" i="91"/>
  <c r="J85" i="91"/>
  <c r="J86" i="91"/>
  <c r="J87" i="91"/>
  <c r="J88" i="91"/>
  <c r="J89" i="91"/>
  <c r="J90" i="91"/>
  <c r="J91" i="91"/>
  <c r="J92" i="91"/>
  <c r="J93" i="91"/>
  <c r="J94" i="91"/>
  <c r="J95" i="91"/>
  <c r="J96" i="91"/>
  <c r="J97" i="91"/>
  <c r="J98" i="91"/>
  <c r="J99" i="91"/>
  <c r="J100" i="91"/>
  <c r="J101" i="91"/>
  <c r="J102" i="91"/>
  <c r="J103" i="91"/>
  <c r="J104" i="91"/>
  <c r="J105" i="91"/>
  <c r="J106" i="91"/>
  <c r="J107" i="91"/>
  <c r="J108" i="91"/>
  <c r="J109" i="91"/>
  <c r="J110" i="91"/>
  <c r="J111" i="91"/>
  <c r="J112" i="91"/>
  <c r="J113" i="91"/>
  <c r="J114" i="91"/>
  <c r="J115" i="91"/>
  <c r="J116" i="91"/>
  <c r="J117" i="91"/>
  <c r="J118" i="91"/>
  <c r="J119" i="91"/>
  <c r="J120" i="91"/>
  <c r="J121" i="91"/>
  <c r="J122" i="91"/>
  <c r="J123" i="91"/>
  <c r="J124" i="91"/>
  <c r="J125" i="91"/>
  <c r="J126" i="91"/>
  <c r="J127" i="91"/>
  <c r="J128" i="91"/>
  <c r="J129" i="91"/>
  <c r="J130" i="91"/>
  <c r="J131" i="91"/>
  <c r="J132" i="91"/>
  <c r="J133" i="91"/>
  <c r="J134" i="91"/>
  <c r="J135" i="91"/>
  <c r="J136" i="91"/>
  <c r="J137" i="91"/>
  <c r="J138" i="91"/>
  <c r="K138" i="91" s="1"/>
  <c r="J139" i="91"/>
  <c r="J140" i="91"/>
  <c r="J141" i="91"/>
  <c r="K141" i="91" s="1"/>
  <c r="J142" i="91"/>
  <c r="J143" i="91"/>
  <c r="J144" i="91"/>
  <c r="K144" i="91" s="1"/>
  <c r="J145" i="91"/>
  <c r="J146" i="91"/>
  <c r="J147" i="91"/>
  <c r="K147" i="91" s="1"/>
  <c r="J148" i="91"/>
  <c r="J149" i="91"/>
  <c r="J150" i="91"/>
  <c r="K150" i="91" s="1"/>
  <c r="J151" i="91"/>
  <c r="J152" i="91"/>
  <c r="J153" i="91"/>
  <c r="K153" i="91" s="1"/>
  <c r="J154" i="91"/>
  <c r="J155" i="91"/>
  <c r="J156" i="91"/>
  <c r="K156" i="91" s="1"/>
  <c r="J157" i="91"/>
  <c r="J158" i="91"/>
  <c r="J159" i="91"/>
  <c r="K159" i="91" s="1"/>
  <c r="J160" i="91"/>
  <c r="J161" i="91"/>
  <c r="J162" i="91"/>
  <c r="K162" i="91" s="1"/>
  <c r="J163" i="91"/>
  <c r="J164" i="91"/>
  <c r="J165" i="91"/>
  <c r="K165" i="91" s="1"/>
  <c r="J166" i="91"/>
  <c r="J167" i="91"/>
  <c r="J168" i="91"/>
  <c r="J169" i="91"/>
  <c r="J170" i="91"/>
  <c r="J171" i="91"/>
  <c r="J172" i="91"/>
  <c r="J173" i="91"/>
  <c r="J174" i="91"/>
  <c r="J175" i="91"/>
  <c r="J176" i="91"/>
  <c r="J177" i="91"/>
  <c r="J178" i="91"/>
  <c r="J179" i="91"/>
  <c r="J180" i="91"/>
  <c r="J181" i="91"/>
  <c r="J182" i="91"/>
  <c r="J183" i="91"/>
  <c r="J184" i="91"/>
  <c r="J185" i="91"/>
  <c r="J186" i="91"/>
  <c r="J64" i="89"/>
  <c r="J65" i="89"/>
  <c r="J66" i="89"/>
  <c r="J67" i="89"/>
  <c r="J68" i="89"/>
  <c r="J69" i="89"/>
  <c r="J70" i="89"/>
  <c r="J71" i="89"/>
  <c r="J72" i="89"/>
  <c r="J73" i="89"/>
  <c r="J74" i="89"/>
  <c r="J75" i="89"/>
  <c r="J76" i="89"/>
  <c r="J77" i="89"/>
  <c r="J78" i="89"/>
  <c r="J79" i="89"/>
  <c r="J80" i="89"/>
  <c r="J81" i="89"/>
  <c r="J82" i="89"/>
  <c r="J83" i="89"/>
  <c r="J84" i="89"/>
  <c r="J85" i="89"/>
  <c r="J86" i="89"/>
  <c r="J87" i="89"/>
  <c r="J88" i="89"/>
  <c r="J89" i="89"/>
  <c r="J90" i="89"/>
  <c r="J91" i="89"/>
  <c r="J92" i="89"/>
  <c r="J93" i="89"/>
  <c r="J94" i="89"/>
  <c r="J95" i="89"/>
  <c r="J96" i="89"/>
  <c r="J97" i="89"/>
  <c r="J98" i="89"/>
  <c r="J99" i="89"/>
  <c r="J100" i="89"/>
  <c r="J101" i="89"/>
  <c r="J102" i="89"/>
  <c r="J103" i="89"/>
  <c r="J104" i="89"/>
  <c r="J105" i="89"/>
  <c r="J106" i="89"/>
  <c r="J107" i="89"/>
  <c r="J108" i="89"/>
  <c r="J109" i="89"/>
  <c r="J110" i="89"/>
  <c r="J111" i="89"/>
  <c r="J112" i="89"/>
  <c r="J113" i="89"/>
  <c r="J114" i="89"/>
  <c r="J115" i="89"/>
  <c r="J116" i="89"/>
  <c r="J117" i="89"/>
  <c r="J118" i="89"/>
  <c r="J119" i="89"/>
  <c r="J120" i="89"/>
  <c r="J121" i="89"/>
  <c r="J122" i="89"/>
  <c r="J123" i="89"/>
  <c r="J124" i="89"/>
  <c r="J125" i="89"/>
  <c r="J126" i="89"/>
  <c r="J127" i="89"/>
  <c r="J128" i="89"/>
  <c r="J129" i="89"/>
  <c r="J130" i="89"/>
  <c r="J131" i="89"/>
  <c r="J132" i="89"/>
  <c r="J133" i="89"/>
  <c r="J134" i="89"/>
  <c r="J135" i="89"/>
  <c r="J136" i="89"/>
  <c r="J137" i="89"/>
  <c r="J138" i="89"/>
  <c r="K138" i="89" s="1"/>
  <c r="J139" i="89"/>
  <c r="J140" i="89"/>
  <c r="J141" i="89"/>
  <c r="K141" i="89" s="1"/>
  <c r="J142" i="89"/>
  <c r="J143" i="89"/>
  <c r="J144" i="89"/>
  <c r="K144" i="89" s="1"/>
  <c r="J145" i="89"/>
  <c r="J146" i="89"/>
  <c r="J147" i="89"/>
  <c r="K147" i="89" s="1"/>
  <c r="J148" i="89"/>
  <c r="J149" i="89"/>
  <c r="J150" i="89"/>
  <c r="K150" i="89" s="1"/>
  <c r="J151" i="89"/>
  <c r="J152" i="89"/>
  <c r="J153" i="89"/>
  <c r="K153" i="89" s="1"/>
  <c r="J154" i="89"/>
  <c r="J155" i="89"/>
  <c r="J156" i="89"/>
  <c r="K156" i="89" s="1"/>
  <c r="J157" i="89"/>
  <c r="J158" i="89"/>
  <c r="J159" i="89"/>
  <c r="K159" i="89" s="1"/>
  <c r="J160" i="89"/>
  <c r="J161" i="89"/>
  <c r="J162" i="89"/>
  <c r="K162" i="89" s="1"/>
  <c r="J163" i="89"/>
  <c r="J164" i="89"/>
  <c r="J165" i="89"/>
  <c r="K165" i="89" s="1"/>
  <c r="J166" i="89"/>
  <c r="J167" i="89"/>
  <c r="J168" i="89"/>
  <c r="J169" i="89"/>
  <c r="J170" i="89"/>
  <c r="J171" i="89"/>
  <c r="J172" i="89"/>
  <c r="J173" i="89"/>
  <c r="J174" i="89"/>
  <c r="J175" i="89"/>
  <c r="J176" i="89"/>
  <c r="J177" i="89"/>
  <c r="J178" i="89"/>
  <c r="J179" i="89"/>
  <c r="J180" i="89"/>
  <c r="J181" i="89"/>
  <c r="J182" i="89"/>
  <c r="J183" i="89"/>
  <c r="J184" i="89"/>
  <c r="J185" i="89"/>
  <c r="J186" i="89"/>
  <c r="J64" i="88"/>
  <c r="J65" i="88"/>
  <c r="J66" i="88"/>
  <c r="J67" i="88"/>
  <c r="J68" i="88"/>
  <c r="J69" i="88"/>
  <c r="J70" i="88"/>
  <c r="J71" i="88"/>
  <c r="J72" i="88"/>
  <c r="J73" i="88"/>
  <c r="J74" i="88"/>
  <c r="J75" i="88"/>
  <c r="J76" i="88"/>
  <c r="J77" i="88"/>
  <c r="J78" i="88"/>
  <c r="J79" i="88"/>
  <c r="J80" i="88"/>
  <c r="J81" i="88"/>
  <c r="J82" i="88"/>
  <c r="J83" i="88"/>
  <c r="J84" i="88"/>
  <c r="J85" i="88"/>
  <c r="J86" i="88"/>
  <c r="J87" i="88"/>
  <c r="J88" i="88"/>
  <c r="J89" i="88"/>
  <c r="J90" i="88"/>
  <c r="J91" i="88"/>
  <c r="J92" i="88"/>
  <c r="J93" i="88"/>
  <c r="J94" i="88"/>
  <c r="J95" i="88"/>
  <c r="J96" i="88"/>
  <c r="J97" i="88"/>
  <c r="J98" i="88"/>
  <c r="J99" i="88"/>
  <c r="J100" i="88"/>
  <c r="J101" i="88"/>
  <c r="J102" i="88"/>
  <c r="J103" i="88"/>
  <c r="J104" i="88"/>
  <c r="J105" i="88"/>
  <c r="J106" i="88"/>
  <c r="J107" i="88"/>
  <c r="J108" i="88"/>
  <c r="J109" i="88"/>
  <c r="J110" i="88"/>
  <c r="J111" i="88"/>
  <c r="J112" i="88"/>
  <c r="J113" i="88"/>
  <c r="J114" i="88"/>
  <c r="J115" i="88"/>
  <c r="J116" i="88"/>
  <c r="J117" i="88"/>
  <c r="J118" i="88"/>
  <c r="J119" i="88"/>
  <c r="J120" i="88"/>
  <c r="J121" i="88"/>
  <c r="J122" i="88"/>
  <c r="J123" i="88"/>
  <c r="J124" i="88"/>
  <c r="J125" i="88"/>
  <c r="J126" i="88"/>
  <c r="J127" i="88"/>
  <c r="J128" i="88"/>
  <c r="J129" i="88"/>
  <c r="J130" i="88"/>
  <c r="J131" i="88"/>
  <c r="J132" i="88"/>
  <c r="J133" i="88"/>
  <c r="J134" i="88"/>
  <c r="J135" i="88"/>
  <c r="J136" i="88"/>
  <c r="J137" i="88"/>
  <c r="J138" i="88"/>
  <c r="K138" i="88" s="1"/>
  <c r="J139" i="88"/>
  <c r="J140" i="88"/>
  <c r="J141" i="88"/>
  <c r="K141" i="88" s="1"/>
  <c r="J142" i="88"/>
  <c r="J143" i="88"/>
  <c r="J144" i="88"/>
  <c r="K144" i="88" s="1"/>
  <c r="J145" i="88"/>
  <c r="J146" i="88"/>
  <c r="J147" i="88"/>
  <c r="K147" i="88" s="1"/>
  <c r="J148" i="88"/>
  <c r="J149" i="88"/>
  <c r="J150" i="88"/>
  <c r="K150" i="88" s="1"/>
  <c r="J151" i="88"/>
  <c r="J152" i="88"/>
  <c r="J153" i="88"/>
  <c r="K153" i="88" s="1"/>
  <c r="J154" i="88"/>
  <c r="J155" i="88"/>
  <c r="J156" i="88"/>
  <c r="K156" i="88" s="1"/>
  <c r="J157" i="88"/>
  <c r="J158" i="88"/>
  <c r="J159" i="88"/>
  <c r="K159" i="88" s="1"/>
  <c r="J160" i="88"/>
  <c r="J161" i="88"/>
  <c r="J162" i="88"/>
  <c r="K162" i="88" s="1"/>
  <c r="J163" i="88"/>
  <c r="J164" i="88"/>
  <c r="J165" i="88"/>
  <c r="K165" i="88" s="1"/>
  <c r="J166" i="88"/>
  <c r="J167" i="88"/>
  <c r="J168" i="88"/>
  <c r="J169" i="88"/>
  <c r="J170" i="88"/>
  <c r="J171" i="88"/>
  <c r="J172" i="88"/>
  <c r="J173" i="88"/>
  <c r="J174" i="88"/>
  <c r="J175" i="88"/>
  <c r="J176" i="88"/>
  <c r="J177" i="88"/>
  <c r="J178" i="88"/>
  <c r="J179" i="88"/>
  <c r="J180" i="88"/>
  <c r="J181" i="88"/>
  <c r="J182" i="88"/>
  <c r="J183" i="88"/>
  <c r="J184" i="88"/>
  <c r="J185" i="88"/>
  <c r="J186" i="88"/>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K138" i="87" s="1"/>
  <c r="J139" i="87"/>
  <c r="J140" i="87"/>
  <c r="J141" i="87"/>
  <c r="K141" i="87" s="1"/>
  <c r="J142" i="87"/>
  <c r="J143" i="87"/>
  <c r="J144" i="87"/>
  <c r="K144" i="87" s="1"/>
  <c r="J145" i="87"/>
  <c r="J146" i="87"/>
  <c r="J147" i="87"/>
  <c r="K147" i="87" s="1"/>
  <c r="J148" i="87"/>
  <c r="J149" i="87"/>
  <c r="J150" i="87"/>
  <c r="K150" i="87" s="1"/>
  <c r="J151" i="87"/>
  <c r="J152" i="87"/>
  <c r="J153" i="87"/>
  <c r="K153" i="87" s="1"/>
  <c r="J154" i="87"/>
  <c r="J155" i="87"/>
  <c r="J156" i="87"/>
  <c r="K156" i="87" s="1"/>
  <c r="J157" i="87"/>
  <c r="J158" i="87"/>
  <c r="J159" i="87"/>
  <c r="K159" i="87" s="1"/>
  <c r="J160" i="87"/>
  <c r="J161" i="87"/>
  <c r="J162" i="87"/>
  <c r="K162" i="87" s="1"/>
  <c r="J163" i="87"/>
  <c r="J164" i="87"/>
  <c r="J165" i="87"/>
  <c r="K165" i="87" s="1"/>
  <c r="J166" i="87"/>
  <c r="J167" i="87"/>
  <c r="J168" i="87"/>
  <c r="J169" i="87"/>
  <c r="J170" i="87"/>
  <c r="J171" i="87"/>
  <c r="J172" i="87"/>
  <c r="J173" i="87"/>
  <c r="J174" i="87"/>
  <c r="J175" i="87"/>
  <c r="J176" i="87"/>
  <c r="J177" i="87"/>
  <c r="J178" i="87"/>
  <c r="J179" i="87"/>
  <c r="J180" i="87"/>
  <c r="J181" i="87"/>
  <c r="J182" i="87"/>
  <c r="J183" i="87"/>
  <c r="J184" i="87"/>
  <c r="J185" i="87"/>
  <c r="J186" i="87"/>
  <c r="J64" i="85"/>
  <c r="J65" i="85"/>
  <c r="J66" i="85"/>
  <c r="J67" i="85"/>
  <c r="J68" i="85"/>
  <c r="J69" i="85"/>
  <c r="J70" i="85"/>
  <c r="J71" i="85"/>
  <c r="J72" i="85"/>
  <c r="J73" i="85"/>
  <c r="J74" i="85"/>
  <c r="J75" i="85"/>
  <c r="J76" i="85"/>
  <c r="J77" i="85"/>
  <c r="J78" i="85"/>
  <c r="J79" i="85"/>
  <c r="J80" i="85"/>
  <c r="J81" i="85"/>
  <c r="J82" i="85"/>
  <c r="J83" i="85"/>
  <c r="J84" i="85"/>
  <c r="J85" i="85"/>
  <c r="J86" i="85"/>
  <c r="J87" i="85"/>
  <c r="J88" i="85"/>
  <c r="J89" i="85"/>
  <c r="J90" i="85"/>
  <c r="J91" i="85"/>
  <c r="J92" i="85"/>
  <c r="J93" i="85"/>
  <c r="J94" i="85"/>
  <c r="J95" i="85"/>
  <c r="J96" i="85"/>
  <c r="J97" i="85"/>
  <c r="J98" i="85"/>
  <c r="J99" i="85"/>
  <c r="J100" i="85"/>
  <c r="J101" i="85"/>
  <c r="J102" i="85"/>
  <c r="J103" i="85"/>
  <c r="J104" i="85"/>
  <c r="J105" i="85"/>
  <c r="J106" i="85"/>
  <c r="J107" i="85"/>
  <c r="J108" i="85"/>
  <c r="J109" i="85"/>
  <c r="J110" i="85"/>
  <c r="J111" i="85"/>
  <c r="J112" i="85"/>
  <c r="J113" i="85"/>
  <c r="J114" i="85"/>
  <c r="J115" i="85"/>
  <c r="J116" i="85"/>
  <c r="J117" i="85"/>
  <c r="J118" i="85"/>
  <c r="J119" i="85"/>
  <c r="J120" i="85"/>
  <c r="J121" i="85"/>
  <c r="J122" i="85"/>
  <c r="J123" i="85"/>
  <c r="J124" i="85"/>
  <c r="J125" i="85"/>
  <c r="J126" i="85"/>
  <c r="J127" i="85"/>
  <c r="J128" i="85"/>
  <c r="J129" i="85"/>
  <c r="J130" i="85"/>
  <c r="J131" i="85"/>
  <c r="J132" i="85"/>
  <c r="J133" i="85"/>
  <c r="J134" i="85"/>
  <c r="J135" i="85"/>
  <c r="J136" i="85"/>
  <c r="J137" i="85"/>
  <c r="J138" i="85"/>
  <c r="K138" i="85" s="1"/>
  <c r="J139" i="85"/>
  <c r="J140" i="85"/>
  <c r="J141" i="85"/>
  <c r="K141" i="85" s="1"/>
  <c r="J142" i="85"/>
  <c r="J143" i="85"/>
  <c r="J144" i="85"/>
  <c r="K144" i="85" s="1"/>
  <c r="J145" i="85"/>
  <c r="J146" i="85"/>
  <c r="J147" i="85"/>
  <c r="K147" i="85" s="1"/>
  <c r="J148" i="85"/>
  <c r="J149" i="85"/>
  <c r="J150" i="85"/>
  <c r="K150" i="85" s="1"/>
  <c r="J151" i="85"/>
  <c r="J152" i="85"/>
  <c r="J153" i="85"/>
  <c r="K153" i="85" s="1"/>
  <c r="J154" i="85"/>
  <c r="J155" i="85"/>
  <c r="J156" i="85"/>
  <c r="K156" i="85" s="1"/>
  <c r="J157" i="85"/>
  <c r="J158" i="85"/>
  <c r="J159" i="85"/>
  <c r="K159" i="85" s="1"/>
  <c r="J160" i="85"/>
  <c r="J161" i="85"/>
  <c r="J162" i="85"/>
  <c r="K162" i="85" s="1"/>
  <c r="J163" i="85"/>
  <c r="J164" i="85"/>
  <c r="J165" i="85"/>
  <c r="K165" i="85" s="1"/>
  <c r="J166" i="85"/>
  <c r="J167" i="85"/>
  <c r="J168" i="85"/>
  <c r="J169" i="85"/>
  <c r="J170" i="85"/>
  <c r="J171" i="85"/>
  <c r="J172" i="85"/>
  <c r="J173" i="85"/>
  <c r="J174" i="85"/>
  <c r="J175" i="85"/>
  <c r="J176" i="85"/>
  <c r="J177" i="85"/>
  <c r="J178" i="85"/>
  <c r="J179" i="85"/>
  <c r="J180" i="85"/>
  <c r="J181" i="85"/>
  <c r="J182" i="85"/>
  <c r="J183" i="85"/>
  <c r="J184" i="85"/>
  <c r="J185" i="85"/>
  <c r="J186" i="85"/>
  <c r="J64" i="84"/>
  <c r="J65" i="84"/>
  <c r="J66" i="84"/>
  <c r="J67" i="84"/>
  <c r="J68" i="84"/>
  <c r="J69" i="84"/>
  <c r="J70" i="84"/>
  <c r="J71" i="84"/>
  <c r="J72" i="84"/>
  <c r="J73" i="84"/>
  <c r="J74" i="84"/>
  <c r="J75" i="84"/>
  <c r="J76" i="84"/>
  <c r="J77" i="84"/>
  <c r="J78" i="84"/>
  <c r="J79" i="84"/>
  <c r="J80" i="84"/>
  <c r="J81" i="84"/>
  <c r="J82" i="84"/>
  <c r="J83" i="84"/>
  <c r="J84" i="84"/>
  <c r="J85" i="84"/>
  <c r="J86" i="84"/>
  <c r="J87" i="84"/>
  <c r="J88" i="84"/>
  <c r="J89" i="84"/>
  <c r="J90" i="84"/>
  <c r="J91" i="84"/>
  <c r="J92" i="84"/>
  <c r="J93" i="84"/>
  <c r="J94" i="84"/>
  <c r="J95" i="84"/>
  <c r="J96" i="84"/>
  <c r="J97" i="84"/>
  <c r="J98" i="84"/>
  <c r="J99" i="84"/>
  <c r="J100" i="84"/>
  <c r="J101" i="84"/>
  <c r="J102" i="84"/>
  <c r="J103" i="84"/>
  <c r="J104" i="84"/>
  <c r="J105" i="84"/>
  <c r="J106" i="84"/>
  <c r="J107" i="84"/>
  <c r="J108" i="84"/>
  <c r="J109" i="84"/>
  <c r="J110" i="84"/>
  <c r="J111" i="84"/>
  <c r="J112" i="84"/>
  <c r="J113" i="84"/>
  <c r="J114" i="84"/>
  <c r="J115" i="84"/>
  <c r="J116" i="84"/>
  <c r="J117" i="84"/>
  <c r="J118" i="84"/>
  <c r="J119" i="84"/>
  <c r="J120" i="84"/>
  <c r="J121" i="84"/>
  <c r="J122" i="84"/>
  <c r="J123" i="84"/>
  <c r="J124" i="84"/>
  <c r="J125" i="84"/>
  <c r="J126" i="84"/>
  <c r="J127" i="84"/>
  <c r="J128" i="84"/>
  <c r="J129" i="84"/>
  <c r="J130" i="84"/>
  <c r="J131" i="84"/>
  <c r="J132" i="84"/>
  <c r="J133" i="84"/>
  <c r="J134" i="84"/>
  <c r="J135" i="84"/>
  <c r="J136" i="84"/>
  <c r="J137" i="84"/>
  <c r="J138" i="84"/>
  <c r="J139" i="84"/>
  <c r="J140" i="84"/>
  <c r="J141" i="84"/>
  <c r="J142" i="84"/>
  <c r="J143" i="84"/>
  <c r="J144" i="84"/>
  <c r="J145" i="84"/>
  <c r="J146" i="84"/>
  <c r="J147" i="84"/>
  <c r="J148" i="84"/>
  <c r="J149" i="84"/>
  <c r="J150" i="84"/>
  <c r="J151" i="84"/>
  <c r="J152" i="84"/>
  <c r="J153" i="84"/>
  <c r="J154" i="84"/>
  <c r="J155" i="84"/>
  <c r="J156" i="84"/>
  <c r="J157" i="84"/>
  <c r="J158" i="84"/>
  <c r="J159" i="84"/>
  <c r="J160" i="84"/>
  <c r="J161" i="84"/>
  <c r="J162" i="84"/>
  <c r="J163" i="84"/>
  <c r="J164" i="84"/>
  <c r="J165" i="84"/>
  <c r="J166" i="84"/>
  <c r="J167" i="84"/>
  <c r="J168" i="84"/>
  <c r="J169" i="84"/>
  <c r="J170" i="84"/>
  <c r="J171" i="84"/>
  <c r="J172" i="84"/>
  <c r="J173" i="84"/>
  <c r="J174" i="84"/>
  <c r="J175" i="84"/>
  <c r="J176" i="84"/>
  <c r="J177" i="84"/>
  <c r="J178" i="84"/>
  <c r="J179" i="84"/>
  <c r="J180" i="84"/>
  <c r="J181" i="84"/>
  <c r="J182" i="84"/>
  <c r="J183" i="84"/>
  <c r="J184" i="84"/>
  <c r="J185" i="84"/>
  <c r="J186" i="84"/>
  <c r="J64" i="83"/>
  <c r="J65" i="83"/>
  <c r="J66" i="83"/>
  <c r="J67" i="83"/>
  <c r="J68" i="83"/>
  <c r="J69" i="83"/>
  <c r="J70" i="83"/>
  <c r="J71" i="83"/>
  <c r="J72" i="83"/>
  <c r="J73" i="83"/>
  <c r="J74" i="83"/>
  <c r="J75" i="83"/>
  <c r="J76" i="83"/>
  <c r="J77" i="83"/>
  <c r="J78" i="83"/>
  <c r="J79" i="83"/>
  <c r="J80" i="83"/>
  <c r="J81" i="83"/>
  <c r="J82" i="83"/>
  <c r="J83" i="83"/>
  <c r="J84" i="83"/>
  <c r="J85" i="83"/>
  <c r="J86" i="83"/>
  <c r="J87" i="83"/>
  <c r="J88" i="83"/>
  <c r="J89" i="83"/>
  <c r="J90" i="83"/>
  <c r="J91" i="83"/>
  <c r="J92" i="83"/>
  <c r="J93" i="83"/>
  <c r="J94" i="83"/>
  <c r="J95" i="83"/>
  <c r="J96" i="83"/>
  <c r="J97" i="83"/>
  <c r="J98" i="83"/>
  <c r="J99" i="83"/>
  <c r="J100" i="83"/>
  <c r="J101" i="83"/>
  <c r="J102" i="83"/>
  <c r="J103" i="83"/>
  <c r="J104" i="83"/>
  <c r="J105" i="83"/>
  <c r="J106" i="83"/>
  <c r="J107" i="83"/>
  <c r="J108" i="83"/>
  <c r="J109" i="83"/>
  <c r="J110" i="83"/>
  <c r="J111" i="83"/>
  <c r="J112" i="83"/>
  <c r="J113" i="83"/>
  <c r="J114" i="83"/>
  <c r="J115" i="83"/>
  <c r="J116" i="83"/>
  <c r="J117" i="83"/>
  <c r="J118" i="83"/>
  <c r="J119" i="83"/>
  <c r="J120" i="83"/>
  <c r="J121" i="83"/>
  <c r="J122" i="83"/>
  <c r="J123" i="83"/>
  <c r="J124" i="83"/>
  <c r="J125" i="83"/>
  <c r="J126" i="83"/>
  <c r="J127" i="83"/>
  <c r="J128" i="83"/>
  <c r="J129" i="83"/>
  <c r="J130" i="83"/>
  <c r="J131" i="83"/>
  <c r="J132" i="83"/>
  <c r="J133" i="83"/>
  <c r="J134" i="83"/>
  <c r="J135" i="83"/>
  <c r="J136" i="83"/>
  <c r="J137" i="83"/>
  <c r="J138" i="83"/>
  <c r="K138" i="83" s="1"/>
  <c r="J139" i="83"/>
  <c r="J140" i="83"/>
  <c r="J141" i="83"/>
  <c r="K141" i="83" s="1"/>
  <c r="J142" i="83"/>
  <c r="J143" i="83"/>
  <c r="J144" i="83"/>
  <c r="K144" i="83" s="1"/>
  <c r="J145" i="83"/>
  <c r="J146" i="83"/>
  <c r="J147" i="83"/>
  <c r="K147" i="83" s="1"/>
  <c r="J148" i="83"/>
  <c r="J149" i="83"/>
  <c r="J150" i="83"/>
  <c r="K150" i="83" s="1"/>
  <c r="J151" i="83"/>
  <c r="J152" i="83"/>
  <c r="J153" i="83"/>
  <c r="K153" i="83" s="1"/>
  <c r="J154" i="83"/>
  <c r="J155" i="83"/>
  <c r="J156" i="83"/>
  <c r="K156" i="83" s="1"/>
  <c r="J157" i="83"/>
  <c r="J158" i="83"/>
  <c r="J159" i="83"/>
  <c r="K159" i="83" s="1"/>
  <c r="J160" i="83"/>
  <c r="J161" i="83"/>
  <c r="J162" i="83"/>
  <c r="K162" i="83" s="1"/>
  <c r="J163" i="83"/>
  <c r="J164" i="83"/>
  <c r="J165" i="83"/>
  <c r="K165" i="83" s="1"/>
  <c r="J166" i="83"/>
  <c r="J167" i="83"/>
  <c r="J168" i="83"/>
  <c r="J169" i="83"/>
  <c r="J170" i="83"/>
  <c r="J171" i="83"/>
  <c r="J172" i="83"/>
  <c r="J173" i="83"/>
  <c r="J174" i="83"/>
  <c r="J175" i="83"/>
  <c r="J176" i="83"/>
  <c r="J177" i="83"/>
  <c r="J178" i="83"/>
  <c r="J179" i="83"/>
  <c r="J180" i="83"/>
  <c r="J181" i="83"/>
  <c r="J182" i="83"/>
  <c r="J183" i="83"/>
  <c r="J184" i="83"/>
  <c r="J185" i="83"/>
  <c r="J186" i="83"/>
  <c r="J64" i="82"/>
  <c r="J65" i="82"/>
  <c r="J66" i="82"/>
  <c r="J67" i="82"/>
  <c r="J68" i="82"/>
  <c r="J69" i="82"/>
  <c r="J70" i="82"/>
  <c r="J71" i="82"/>
  <c r="J72" i="82"/>
  <c r="J73" i="82"/>
  <c r="J74" i="82"/>
  <c r="J75" i="82"/>
  <c r="J76" i="82"/>
  <c r="J77" i="82"/>
  <c r="J78" i="82"/>
  <c r="J79" i="82"/>
  <c r="J80" i="82"/>
  <c r="J81" i="82"/>
  <c r="J82" i="82"/>
  <c r="J83" i="82"/>
  <c r="J84" i="82"/>
  <c r="J85" i="82"/>
  <c r="J86" i="82"/>
  <c r="J87" i="82"/>
  <c r="J88" i="82"/>
  <c r="J89" i="82"/>
  <c r="J90" i="82"/>
  <c r="J91" i="82"/>
  <c r="J92" i="82"/>
  <c r="J93" i="82"/>
  <c r="J94" i="82"/>
  <c r="J95" i="82"/>
  <c r="J96" i="82"/>
  <c r="J97" i="82"/>
  <c r="J98" i="82"/>
  <c r="J99" i="82"/>
  <c r="J100" i="82"/>
  <c r="J101" i="82"/>
  <c r="J102" i="82"/>
  <c r="J103" i="82"/>
  <c r="J104" i="82"/>
  <c r="J105" i="82"/>
  <c r="J106" i="82"/>
  <c r="J107" i="82"/>
  <c r="J108" i="82"/>
  <c r="J109" i="82"/>
  <c r="J110" i="82"/>
  <c r="J111" i="82"/>
  <c r="J112" i="82"/>
  <c r="J113" i="82"/>
  <c r="J114" i="82"/>
  <c r="J115" i="82"/>
  <c r="J116" i="82"/>
  <c r="J117" i="82"/>
  <c r="J118" i="82"/>
  <c r="J119" i="82"/>
  <c r="J120" i="82"/>
  <c r="J121" i="82"/>
  <c r="J122" i="82"/>
  <c r="J123" i="82"/>
  <c r="J124" i="82"/>
  <c r="J125" i="82"/>
  <c r="J126" i="82"/>
  <c r="J127" i="82"/>
  <c r="J128" i="82"/>
  <c r="J129" i="82"/>
  <c r="J130" i="82"/>
  <c r="J131" i="82"/>
  <c r="J132" i="82"/>
  <c r="J133" i="82"/>
  <c r="J134" i="82"/>
  <c r="J135" i="82"/>
  <c r="J136" i="82"/>
  <c r="J137" i="82"/>
  <c r="J138" i="82"/>
  <c r="K138" i="82" s="1"/>
  <c r="J139" i="82"/>
  <c r="J140" i="82"/>
  <c r="J141" i="82"/>
  <c r="K141" i="82" s="1"/>
  <c r="J142" i="82"/>
  <c r="J143" i="82"/>
  <c r="J144" i="82"/>
  <c r="K144" i="82" s="1"/>
  <c r="J145" i="82"/>
  <c r="J146" i="82"/>
  <c r="J147" i="82"/>
  <c r="K147" i="82" s="1"/>
  <c r="J148" i="82"/>
  <c r="J149" i="82"/>
  <c r="J150" i="82"/>
  <c r="K150" i="82" s="1"/>
  <c r="J151" i="82"/>
  <c r="J152" i="82"/>
  <c r="J153" i="82"/>
  <c r="K153" i="82" s="1"/>
  <c r="J154" i="82"/>
  <c r="J155" i="82"/>
  <c r="J156" i="82"/>
  <c r="K156" i="82" s="1"/>
  <c r="J157" i="82"/>
  <c r="J158" i="82"/>
  <c r="J159" i="82"/>
  <c r="K159" i="82" s="1"/>
  <c r="J160" i="82"/>
  <c r="J161" i="82"/>
  <c r="J162" i="82"/>
  <c r="K162" i="82" s="1"/>
  <c r="J163" i="82"/>
  <c r="J164" i="82"/>
  <c r="J165" i="82"/>
  <c r="K165" i="82" s="1"/>
  <c r="J166" i="82"/>
  <c r="J167" i="82"/>
  <c r="J168" i="82"/>
  <c r="J169" i="82"/>
  <c r="J170" i="82"/>
  <c r="J171" i="82"/>
  <c r="J172" i="82"/>
  <c r="J173" i="82"/>
  <c r="J174" i="82"/>
  <c r="J175" i="82"/>
  <c r="J176" i="82"/>
  <c r="J177" i="82"/>
  <c r="J178" i="82"/>
  <c r="J179" i="82"/>
  <c r="J180" i="82"/>
  <c r="J181" i="82"/>
  <c r="J182" i="82"/>
  <c r="J183" i="82"/>
  <c r="J184" i="82"/>
  <c r="J185" i="82"/>
  <c r="J186" i="82"/>
  <c r="J64" i="81"/>
  <c r="J65" i="81"/>
  <c r="J66" i="81"/>
  <c r="J67" i="81"/>
  <c r="J68" i="81"/>
  <c r="J69" i="81"/>
  <c r="J70" i="81"/>
  <c r="J71" i="81"/>
  <c r="J72" i="81"/>
  <c r="J73" i="81"/>
  <c r="J74" i="81"/>
  <c r="J75" i="81"/>
  <c r="J76" i="81"/>
  <c r="J77" i="81"/>
  <c r="J78" i="81"/>
  <c r="J79" i="81"/>
  <c r="J80" i="81"/>
  <c r="J81" i="81"/>
  <c r="J82" i="81"/>
  <c r="J83" i="81"/>
  <c r="J84" i="81"/>
  <c r="J85" i="81"/>
  <c r="J86" i="81"/>
  <c r="J87" i="81"/>
  <c r="J88" i="81"/>
  <c r="J89" i="81"/>
  <c r="J90" i="81"/>
  <c r="J91" i="81"/>
  <c r="J92" i="81"/>
  <c r="J93" i="81"/>
  <c r="J94" i="81"/>
  <c r="J95" i="81"/>
  <c r="J96" i="81"/>
  <c r="J97" i="81"/>
  <c r="J98" i="81"/>
  <c r="J99" i="81"/>
  <c r="J100" i="81"/>
  <c r="J101" i="81"/>
  <c r="J102" i="81"/>
  <c r="J103" i="81"/>
  <c r="J104" i="81"/>
  <c r="J105" i="81"/>
  <c r="J106" i="81"/>
  <c r="J107" i="81"/>
  <c r="J108" i="81"/>
  <c r="J109" i="81"/>
  <c r="J110" i="81"/>
  <c r="J111" i="81"/>
  <c r="J112" i="81"/>
  <c r="J113" i="81"/>
  <c r="J114" i="81"/>
  <c r="J115" i="81"/>
  <c r="J116" i="81"/>
  <c r="J117" i="81"/>
  <c r="J118" i="81"/>
  <c r="J119" i="81"/>
  <c r="J120" i="81"/>
  <c r="J121" i="81"/>
  <c r="J122" i="81"/>
  <c r="J123" i="81"/>
  <c r="J124" i="81"/>
  <c r="J125" i="81"/>
  <c r="J126" i="81"/>
  <c r="J127" i="81"/>
  <c r="J128" i="81"/>
  <c r="J129" i="81"/>
  <c r="J130" i="81"/>
  <c r="J131" i="81"/>
  <c r="J132" i="81"/>
  <c r="J133" i="81"/>
  <c r="J134" i="81"/>
  <c r="J135" i="81"/>
  <c r="J136" i="81"/>
  <c r="J137" i="81"/>
  <c r="J138" i="81"/>
  <c r="K138" i="81" s="1"/>
  <c r="J139" i="81"/>
  <c r="J140" i="81"/>
  <c r="J141" i="81"/>
  <c r="K141" i="81" s="1"/>
  <c r="J142" i="81"/>
  <c r="J143" i="81"/>
  <c r="J144" i="81"/>
  <c r="K144" i="81" s="1"/>
  <c r="J145" i="81"/>
  <c r="J146" i="81"/>
  <c r="J147" i="81"/>
  <c r="K147" i="81" s="1"/>
  <c r="J148" i="81"/>
  <c r="J149" i="81"/>
  <c r="J150" i="81"/>
  <c r="K150" i="81" s="1"/>
  <c r="J151" i="81"/>
  <c r="J152" i="81"/>
  <c r="J153" i="81"/>
  <c r="K153" i="81" s="1"/>
  <c r="J154" i="81"/>
  <c r="J155" i="81"/>
  <c r="J156" i="81"/>
  <c r="K156" i="81" s="1"/>
  <c r="J157" i="81"/>
  <c r="J158" i="81"/>
  <c r="J159" i="81"/>
  <c r="K159" i="81" s="1"/>
  <c r="J160" i="81"/>
  <c r="J161" i="81"/>
  <c r="J162" i="81"/>
  <c r="K162" i="81" s="1"/>
  <c r="J163" i="81"/>
  <c r="J164" i="81"/>
  <c r="J165" i="81"/>
  <c r="K165" i="81" s="1"/>
  <c r="J166" i="81"/>
  <c r="J167" i="81"/>
  <c r="J168" i="81"/>
  <c r="J169" i="81"/>
  <c r="J170" i="81"/>
  <c r="J171" i="81"/>
  <c r="J172" i="81"/>
  <c r="J173" i="81"/>
  <c r="J174" i="81"/>
  <c r="J175" i="81"/>
  <c r="J176" i="81"/>
  <c r="J177" i="81"/>
  <c r="J178" i="81"/>
  <c r="J179" i="81"/>
  <c r="J180" i="81"/>
  <c r="J181" i="81"/>
  <c r="J182" i="81"/>
  <c r="J183" i="81"/>
  <c r="J184" i="81"/>
  <c r="J185" i="81"/>
  <c r="J186" i="81"/>
  <c r="J64" i="74"/>
  <c r="J65" i="74"/>
  <c r="J66" i="74"/>
  <c r="J67" i="74"/>
  <c r="J68" i="74"/>
  <c r="J69" i="74"/>
  <c r="J70" i="74"/>
  <c r="J71" i="74"/>
  <c r="J72" i="74"/>
  <c r="J73" i="74"/>
  <c r="J74" i="74"/>
  <c r="J75" i="74"/>
  <c r="J76" i="74"/>
  <c r="J77" i="74"/>
  <c r="J78" i="74"/>
  <c r="J79" i="74"/>
  <c r="J80" i="74"/>
  <c r="J81" i="74"/>
  <c r="J82" i="74"/>
  <c r="J83" i="74"/>
  <c r="J84" i="74"/>
  <c r="J85" i="74"/>
  <c r="J86" i="74"/>
  <c r="J87" i="74"/>
  <c r="J88" i="74"/>
  <c r="J89" i="74"/>
  <c r="J90" i="74"/>
  <c r="J91" i="74"/>
  <c r="J92" i="74"/>
  <c r="J93" i="74"/>
  <c r="J94" i="74"/>
  <c r="J95" i="74"/>
  <c r="J96" i="74"/>
  <c r="J97" i="74"/>
  <c r="J98" i="74"/>
  <c r="J99" i="74"/>
  <c r="J100" i="74"/>
  <c r="J101" i="74"/>
  <c r="J102" i="74"/>
  <c r="J103" i="74"/>
  <c r="J104" i="74"/>
  <c r="J105" i="74"/>
  <c r="J106" i="74"/>
  <c r="J107" i="74"/>
  <c r="J108" i="74"/>
  <c r="J109" i="74"/>
  <c r="J110" i="74"/>
  <c r="J111" i="74"/>
  <c r="J112" i="74"/>
  <c r="J113" i="74"/>
  <c r="J114" i="74"/>
  <c r="J115" i="74"/>
  <c r="J116" i="74"/>
  <c r="J117" i="74"/>
  <c r="J118" i="74"/>
  <c r="J119" i="74"/>
  <c r="J120" i="74"/>
  <c r="J121" i="74"/>
  <c r="J122" i="74"/>
  <c r="J123" i="74"/>
  <c r="J124" i="74"/>
  <c r="J125" i="74"/>
  <c r="J126" i="74"/>
  <c r="J127" i="74"/>
  <c r="J128" i="74"/>
  <c r="J129" i="74"/>
  <c r="J130" i="74"/>
  <c r="J131" i="74"/>
  <c r="J132" i="74"/>
  <c r="J133" i="74"/>
  <c r="J134" i="74"/>
  <c r="J135" i="74"/>
  <c r="J136" i="74"/>
  <c r="J137" i="74"/>
  <c r="J138" i="74"/>
  <c r="K138" i="74" s="1"/>
  <c r="J139" i="74"/>
  <c r="J140" i="74"/>
  <c r="J141" i="74"/>
  <c r="K141" i="74" s="1"/>
  <c r="J142" i="74"/>
  <c r="J143" i="74"/>
  <c r="J144" i="74"/>
  <c r="K144" i="74" s="1"/>
  <c r="J145" i="74"/>
  <c r="J146" i="74"/>
  <c r="J147" i="74"/>
  <c r="K147" i="74" s="1"/>
  <c r="J148" i="74"/>
  <c r="J149" i="74"/>
  <c r="J150" i="74"/>
  <c r="K150" i="74" s="1"/>
  <c r="J151" i="74"/>
  <c r="J152" i="74"/>
  <c r="J153" i="74"/>
  <c r="K153" i="74" s="1"/>
  <c r="J154" i="74"/>
  <c r="J155" i="74"/>
  <c r="J156" i="74"/>
  <c r="K156" i="74" s="1"/>
  <c r="J157" i="74"/>
  <c r="J158" i="74"/>
  <c r="J159" i="74"/>
  <c r="K159" i="74" s="1"/>
  <c r="J160" i="74"/>
  <c r="J161" i="74"/>
  <c r="J162" i="74"/>
  <c r="K162" i="74" s="1"/>
  <c r="J163" i="74"/>
  <c r="J164" i="74"/>
  <c r="J165" i="74"/>
  <c r="K165" i="74" s="1"/>
  <c r="J166" i="74"/>
  <c r="J167" i="74"/>
  <c r="J168" i="74"/>
  <c r="J169" i="74"/>
  <c r="J170" i="74"/>
  <c r="J171" i="74"/>
  <c r="J172" i="74"/>
  <c r="J173" i="74"/>
  <c r="J174" i="74"/>
  <c r="J175" i="74"/>
  <c r="J176" i="74"/>
  <c r="J177" i="74"/>
  <c r="J178" i="74"/>
  <c r="J179" i="74"/>
  <c r="J180" i="74"/>
  <c r="J181" i="74"/>
  <c r="J182" i="74"/>
  <c r="J183" i="74"/>
  <c r="J184" i="74"/>
  <c r="J185" i="74"/>
  <c r="J186" i="7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J110" i="94"/>
  <c r="J111" i="94"/>
  <c r="J112" i="94"/>
  <c r="J113" i="94"/>
  <c r="J114" i="94"/>
  <c r="J115" i="94"/>
  <c r="J116" i="94"/>
  <c r="J117" i="94"/>
  <c r="J118" i="94"/>
  <c r="J119" i="94"/>
  <c r="J120" i="94"/>
  <c r="J121" i="94"/>
  <c r="J122" i="94"/>
  <c r="J123" i="94"/>
  <c r="J124" i="94"/>
  <c r="J125" i="94"/>
  <c r="J126" i="94"/>
  <c r="J127" i="94"/>
  <c r="J128" i="94"/>
  <c r="J129" i="94"/>
  <c r="J130" i="94"/>
  <c r="J131" i="94"/>
  <c r="J132" i="94"/>
  <c r="J133" i="94"/>
  <c r="J134" i="94"/>
  <c r="J135" i="94"/>
  <c r="J136" i="94"/>
  <c r="J137" i="94"/>
  <c r="J138" i="94"/>
  <c r="K138" i="94" s="1"/>
  <c r="J139" i="94"/>
  <c r="J140" i="94"/>
  <c r="J141" i="94"/>
  <c r="K141" i="94" s="1"/>
  <c r="J142" i="94"/>
  <c r="J143" i="94"/>
  <c r="J144" i="94"/>
  <c r="K144" i="94" s="1"/>
  <c r="J145" i="94"/>
  <c r="J146" i="94"/>
  <c r="J147" i="94"/>
  <c r="K147" i="94" s="1"/>
  <c r="J148" i="94"/>
  <c r="J149" i="94"/>
  <c r="J150" i="94"/>
  <c r="K150" i="94" s="1"/>
  <c r="J151" i="94"/>
  <c r="J152" i="94"/>
  <c r="J153" i="94"/>
  <c r="K153" i="94" s="1"/>
  <c r="J154" i="94"/>
  <c r="J155" i="94"/>
  <c r="J156" i="94"/>
  <c r="K156" i="94" s="1"/>
  <c r="J157" i="94"/>
  <c r="J158" i="94"/>
  <c r="J159" i="94"/>
  <c r="K159" i="94" s="1"/>
  <c r="J160" i="94"/>
  <c r="J161" i="94"/>
  <c r="J162" i="94"/>
  <c r="K162" i="94" s="1"/>
  <c r="J163" i="94"/>
  <c r="J164" i="94"/>
  <c r="J165" i="94"/>
  <c r="K165" i="94" s="1"/>
  <c r="J166" i="94"/>
  <c r="J167" i="94"/>
  <c r="J168" i="94"/>
  <c r="J169" i="94"/>
  <c r="J170" i="94"/>
  <c r="J171" i="94"/>
  <c r="J172" i="94"/>
  <c r="J173" i="94"/>
  <c r="J174" i="94"/>
  <c r="J175" i="94"/>
  <c r="J176" i="94"/>
  <c r="J177" i="94"/>
  <c r="J178" i="94"/>
  <c r="J179" i="94"/>
  <c r="J180" i="94"/>
  <c r="J181" i="94"/>
  <c r="J182" i="94"/>
  <c r="J183" i="94"/>
  <c r="J184" i="94"/>
  <c r="J185" i="94"/>
  <c r="J186" i="94"/>
  <c r="J63" i="93"/>
  <c r="J63" i="92"/>
  <c r="J63" i="91"/>
  <c r="J63" i="89"/>
  <c r="J63" i="88"/>
  <c r="J63" i="87"/>
  <c r="J63" i="85"/>
  <c r="J63" i="84"/>
  <c r="J63" i="83"/>
  <c r="J63" i="82"/>
  <c r="J63" i="81"/>
  <c r="J63" i="74"/>
  <c r="J63" i="94"/>
  <c r="J21" i="93"/>
  <c r="J23" i="93"/>
  <c r="J25" i="93"/>
  <c r="J27" i="93"/>
  <c r="J29" i="93"/>
  <c r="J31" i="93"/>
  <c r="J33" i="93"/>
  <c r="J35" i="93"/>
  <c r="J37" i="93"/>
  <c r="J39" i="93"/>
  <c r="J41" i="93"/>
  <c r="J43" i="93"/>
  <c r="J45" i="93"/>
  <c r="J47" i="93"/>
  <c r="J49" i="93"/>
  <c r="J51" i="93"/>
  <c r="J53" i="93"/>
  <c r="J55" i="93"/>
  <c r="J57" i="93"/>
  <c r="J59" i="93"/>
  <c r="J61" i="93"/>
  <c r="J21" i="92"/>
  <c r="J23" i="92"/>
  <c r="J25" i="92"/>
  <c r="J27" i="92"/>
  <c r="J29" i="92"/>
  <c r="J31" i="92"/>
  <c r="J33" i="92"/>
  <c r="J35" i="92"/>
  <c r="J37" i="92"/>
  <c r="J39" i="92"/>
  <c r="J41" i="92"/>
  <c r="J43" i="92"/>
  <c r="J45" i="92"/>
  <c r="J47" i="92"/>
  <c r="J49" i="92"/>
  <c r="J51" i="92"/>
  <c r="J53" i="92"/>
  <c r="J55" i="92"/>
  <c r="J57" i="92"/>
  <c r="J59" i="92"/>
  <c r="J61" i="92"/>
  <c r="J21" i="91"/>
  <c r="J23" i="91"/>
  <c r="J25" i="91"/>
  <c r="J27" i="91"/>
  <c r="J29" i="91"/>
  <c r="J31" i="91"/>
  <c r="J33" i="91"/>
  <c r="J35" i="91"/>
  <c r="J37" i="91"/>
  <c r="J39" i="91"/>
  <c r="J41" i="91"/>
  <c r="J43" i="91"/>
  <c r="J45" i="91"/>
  <c r="J47" i="91"/>
  <c r="J49" i="91"/>
  <c r="J51" i="91"/>
  <c r="J53" i="91"/>
  <c r="J55" i="91"/>
  <c r="J57" i="91"/>
  <c r="J59" i="91"/>
  <c r="J61" i="91"/>
  <c r="J21" i="89"/>
  <c r="J23" i="89"/>
  <c r="J25" i="89"/>
  <c r="J27" i="89"/>
  <c r="J29" i="89"/>
  <c r="J31" i="89"/>
  <c r="J33" i="89"/>
  <c r="J35" i="89"/>
  <c r="J37" i="89"/>
  <c r="J39" i="89"/>
  <c r="J41" i="89"/>
  <c r="J43" i="89"/>
  <c r="J45" i="89"/>
  <c r="J47" i="89"/>
  <c r="J49" i="89"/>
  <c r="J51" i="89"/>
  <c r="J53" i="89"/>
  <c r="J55" i="89"/>
  <c r="J57" i="89"/>
  <c r="J59" i="89"/>
  <c r="J61" i="89"/>
  <c r="J21" i="88"/>
  <c r="J23" i="88"/>
  <c r="J25" i="88"/>
  <c r="J27" i="88"/>
  <c r="J29" i="88"/>
  <c r="J31" i="88"/>
  <c r="J33" i="88"/>
  <c r="J35" i="88"/>
  <c r="J37" i="88"/>
  <c r="J39" i="88"/>
  <c r="J41" i="88"/>
  <c r="J43" i="88"/>
  <c r="J45" i="88"/>
  <c r="J47" i="88"/>
  <c r="J49" i="88"/>
  <c r="J51" i="88"/>
  <c r="J53" i="88"/>
  <c r="J55" i="88"/>
  <c r="J57" i="88"/>
  <c r="J59" i="88"/>
  <c r="J61" i="88"/>
  <c r="J21" i="87"/>
  <c r="J23" i="87"/>
  <c r="J25" i="87"/>
  <c r="J27" i="87"/>
  <c r="J29" i="87"/>
  <c r="J31" i="87"/>
  <c r="J33" i="87"/>
  <c r="J35" i="87"/>
  <c r="J37" i="87"/>
  <c r="J39" i="87"/>
  <c r="J41" i="87"/>
  <c r="J43" i="87"/>
  <c r="J45" i="87"/>
  <c r="J47" i="87"/>
  <c r="J49" i="87"/>
  <c r="J51" i="87"/>
  <c r="J53" i="87"/>
  <c r="J55" i="87"/>
  <c r="J57" i="87"/>
  <c r="J59" i="87"/>
  <c r="J61" i="87"/>
  <c r="J21" i="85"/>
  <c r="J23" i="85"/>
  <c r="J25" i="85"/>
  <c r="J27" i="85"/>
  <c r="J29" i="85"/>
  <c r="J31" i="85"/>
  <c r="J33" i="85"/>
  <c r="J35" i="85"/>
  <c r="J37" i="85"/>
  <c r="J39" i="85"/>
  <c r="J41" i="85"/>
  <c r="J43" i="85"/>
  <c r="J45" i="85"/>
  <c r="J47" i="85"/>
  <c r="J49" i="85"/>
  <c r="J51" i="85"/>
  <c r="J53" i="85"/>
  <c r="J55" i="85"/>
  <c r="J57" i="85"/>
  <c r="J59" i="85"/>
  <c r="J61" i="85"/>
  <c r="J21" i="84"/>
  <c r="J23" i="84"/>
  <c r="J25" i="84"/>
  <c r="J27" i="84"/>
  <c r="J29" i="84"/>
  <c r="J31" i="84"/>
  <c r="J33" i="84"/>
  <c r="J35" i="84"/>
  <c r="J37" i="84"/>
  <c r="J39" i="84"/>
  <c r="J41" i="84"/>
  <c r="J43" i="84"/>
  <c r="J45" i="84"/>
  <c r="J47" i="84"/>
  <c r="J49" i="84"/>
  <c r="J51" i="84"/>
  <c r="J53" i="84"/>
  <c r="J55" i="84"/>
  <c r="J57" i="84"/>
  <c r="J59" i="84"/>
  <c r="J61" i="84"/>
  <c r="J21" i="83"/>
  <c r="J23" i="83"/>
  <c r="J25" i="83"/>
  <c r="J27" i="83"/>
  <c r="J29" i="83"/>
  <c r="J31" i="83"/>
  <c r="J33" i="83"/>
  <c r="J35" i="83"/>
  <c r="J37" i="83"/>
  <c r="J39" i="83"/>
  <c r="J41" i="83"/>
  <c r="J43" i="83"/>
  <c r="J45" i="83"/>
  <c r="J47" i="83"/>
  <c r="J49" i="83"/>
  <c r="J51" i="83"/>
  <c r="J53" i="83"/>
  <c r="J55" i="83"/>
  <c r="J57" i="83"/>
  <c r="J59" i="83"/>
  <c r="J61" i="83"/>
  <c r="J21" i="82"/>
  <c r="J23" i="82"/>
  <c r="J25" i="82"/>
  <c r="J27" i="82"/>
  <c r="J29" i="82"/>
  <c r="J31" i="82"/>
  <c r="J33" i="82"/>
  <c r="J35" i="82"/>
  <c r="J37" i="82"/>
  <c r="J39" i="82"/>
  <c r="J41" i="82"/>
  <c r="J43" i="82"/>
  <c r="J45" i="82"/>
  <c r="J47" i="82"/>
  <c r="J49" i="82"/>
  <c r="J51" i="82"/>
  <c r="J53" i="82"/>
  <c r="J55" i="82"/>
  <c r="J57" i="82"/>
  <c r="J59" i="82"/>
  <c r="J61" i="82"/>
  <c r="J21" i="81"/>
  <c r="J23" i="81"/>
  <c r="J25" i="81"/>
  <c r="J27" i="81"/>
  <c r="J29" i="81"/>
  <c r="J31" i="81"/>
  <c r="J33" i="81"/>
  <c r="J35" i="81"/>
  <c r="J37" i="81"/>
  <c r="J39" i="81"/>
  <c r="J41" i="81"/>
  <c r="J43" i="81"/>
  <c r="J45" i="81"/>
  <c r="J47" i="81"/>
  <c r="J49" i="81"/>
  <c r="J51" i="81"/>
  <c r="J53" i="81"/>
  <c r="J55" i="81"/>
  <c r="J57" i="81"/>
  <c r="J59" i="81"/>
  <c r="J61" i="81"/>
  <c r="J21" i="74"/>
  <c r="J23" i="74"/>
  <c r="J25" i="74"/>
  <c r="J27" i="74"/>
  <c r="J29" i="74"/>
  <c r="J31" i="74"/>
  <c r="J33" i="74"/>
  <c r="J35" i="74"/>
  <c r="J37" i="74"/>
  <c r="J39" i="74"/>
  <c r="J41" i="74"/>
  <c r="J43" i="74"/>
  <c r="J45" i="74"/>
  <c r="J47" i="74"/>
  <c r="J49" i="74"/>
  <c r="J51" i="74"/>
  <c r="J53" i="74"/>
  <c r="J55" i="74"/>
  <c r="J57" i="74"/>
  <c r="J59" i="74"/>
  <c r="J61" i="74"/>
  <c r="J21" i="94"/>
  <c r="J23" i="94"/>
  <c r="J25" i="94"/>
  <c r="J27" i="94"/>
  <c r="J29" i="94"/>
  <c r="J31" i="94"/>
  <c r="J33" i="94"/>
  <c r="J35" i="94"/>
  <c r="J37" i="94"/>
  <c r="J39" i="94"/>
  <c r="J41" i="94"/>
  <c r="J43" i="94"/>
  <c r="J45" i="94"/>
  <c r="J47" i="94"/>
  <c r="J49" i="94"/>
  <c r="J51" i="94"/>
  <c r="J53" i="94"/>
  <c r="J55" i="94"/>
  <c r="J57" i="94"/>
  <c r="J59" i="94"/>
  <c r="J61" i="94"/>
  <c r="J19" i="93"/>
  <c r="J19" i="92"/>
  <c r="J19" i="91"/>
  <c r="J19" i="89"/>
  <c r="J19" i="88"/>
  <c r="J19" i="87"/>
  <c r="J19" i="85"/>
  <c r="J19" i="84"/>
  <c r="J19" i="83"/>
  <c r="J19" i="82"/>
  <c r="J19" i="81"/>
  <c r="J19" i="74"/>
  <c r="J19" i="94"/>
  <c r="J17" i="93"/>
  <c r="J17" i="92"/>
  <c r="J17" i="91"/>
  <c r="J17" i="89"/>
  <c r="J17" i="88"/>
  <c r="J17" i="87"/>
  <c r="J17" i="85"/>
  <c r="J17" i="84"/>
  <c r="J17" i="83"/>
  <c r="J17" i="82"/>
  <c r="J17" i="81"/>
  <c r="J17" i="74"/>
  <c r="J17" i="94"/>
  <c r="J15" i="93"/>
  <c r="J15" i="92"/>
  <c r="J15" i="91"/>
  <c r="J15" i="89"/>
  <c r="J15" i="88"/>
  <c r="J15" i="87"/>
  <c r="J15" i="85"/>
  <c r="J15" i="84"/>
  <c r="J15" i="83"/>
  <c r="J15" i="82"/>
  <c r="J15" i="81"/>
  <c r="J15" i="74"/>
  <c r="J15" i="94"/>
  <c r="J13" i="93"/>
  <c r="J13" i="92"/>
  <c r="J13" i="91"/>
  <c r="J13" i="89"/>
  <c r="J13" i="88"/>
  <c r="J13" i="87"/>
  <c r="J13" i="85"/>
  <c r="J13" i="84"/>
  <c r="J13" i="83"/>
  <c r="J13" i="82"/>
  <c r="J13" i="81"/>
  <c r="J13" i="74"/>
  <c r="J13" i="94"/>
  <c r="J11" i="93"/>
  <c r="J11" i="92"/>
  <c r="J11" i="91"/>
  <c r="J11" i="89"/>
  <c r="J11" i="88"/>
  <c r="J11" i="87"/>
  <c r="J11" i="85"/>
  <c r="J11" i="84"/>
  <c r="J11" i="83"/>
  <c r="J11" i="82"/>
  <c r="J11" i="81"/>
  <c r="J11" i="74"/>
  <c r="J11" i="94"/>
  <c r="J9" i="93"/>
  <c r="J9" i="92"/>
  <c r="J9" i="91"/>
  <c r="J9" i="89"/>
  <c r="J9" i="88"/>
  <c r="J9" i="87"/>
  <c r="J9" i="85"/>
  <c r="J9" i="84"/>
  <c r="J9" i="83"/>
  <c r="J9" i="82"/>
  <c r="J9" i="81"/>
  <c r="J9" i="74"/>
  <c r="J9" i="94"/>
  <c r="AQ116" i="106" l="1"/>
  <c r="AQ117" i="106" s="1"/>
  <c r="AQ118" i="106" s="1"/>
  <c r="AQ119" i="106" s="1"/>
  <c r="AQ121" i="106" s="1"/>
  <c r="AQ122" i="106" s="1"/>
  <c r="AQ123" i="106" s="1"/>
  <c r="AQ124" i="106" s="1"/>
  <c r="AQ125" i="106" s="1"/>
  <c r="AQ126" i="106" s="1"/>
  <c r="AQ127" i="106" s="1"/>
  <c r="AQ128" i="106" s="1"/>
  <c r="AQ129" i="106" s="1"/>
  <c r="AQ130" i="106" s="1"/>
  <c r="AQ131" i="106" s="1"/>
  <c r="AQ132" i="106" s="1"/>
  <c r="AQ133" i="106" s="1"/>
  <c r="AQ134" i="106" s="1"/>
  <c r="AQ135" i="106" s="1"/>
  <c r="AQ136" i="106" s="1"/>
  <c r="AQ137" i="106" s="1"/>
  <c r="AQ138" i="106" s="1"/>
  <c r="AQ139" i="106" s="1"/>
  <c r="AQ140" i="106" s="1"/>
  <c r="AQ141" i="106" s="1"/>
  <c r="AQ142" i="106" s="1"/>
  <c r="AQ143" i="106" s="1"/>
  <c r="AQ144" i="106" s="1"/>
  <c r="AQ145" i="106" s="1"/>
  <c r="AQ146" i="106" s="1"/>
  <c r="AQ147" i="106" s="1"/>
  <c r="AQ148" i="106" s="1"/>
  <c r="AQ149" i="106" s="1"/>
  <c r="AQ150" i="106" s="1"/>
  <c r="AQ151" i="106" s="1"/>
  <c r="AQ152" i="106" s="1"/>
  <c r="AQ153" i="106" s="1"/>
  <c r="AQ154" i="106" s="1"/>
  <c r="AQ155" i="106" s="1"/>
  <c r="AQ156" i="106" s="1"/>
  <c r="AQ158" i="106" s="1"/>
  <c r="AQ159" i="106" s="1"/>
  <c r="AQ160" i="106" s="1"/>
  <c r="AQ161" i="106" s="1"/>
  <c r="AQ162" i="106" s="1"/>
  <c r="AQ163" i="106" s="1"/>
  <c r="AQ164" i="106" s="1"/>
  <c r="AQ165" i="106" s="1"/>
  <c r="AQ166" i="106" s="1"/>
  <c r="AQ167" i="106" s="1"/>
  <c r="AQ168" i="106" s="1"/>
  <c r="AQ169" i="106" s="1"/>
  <c r="AQ170" i="106" s="1"/>
  <c r="AQ171" i="106" s="1"/>
  <c r="AQ172" i="106" s="1"/>
  <c r="AQ173" i="106" s="1"/>
  <c r="AQ174" i="106" s="1"/>
  <c r="AQ175" i="106" s="1"/>
  <c r="AQ176" i="106" s="1"/>
  <c r="AQ177" i="106" s="1"/>
  <c r="AQ178" i="106" s="1"/>
  <c r="AQ179" i="106" s="1"/>
  <c r="AQ180" i="106" s="1"/>
  <c r="AQ181" i="106" s="1"/>
  <c r="AQ182" i="106" s="1"/>
  <c r="AQ183" i="106" s="1"/>
  <c r="AQ184" i="106" s="1"/>
  <c r="AQ185" i="106" s="1"/>
  <c r="AQ186" i="106" s="1"/>
  <c r="AQ187" i="106" s="1"/>
  <c r="AQ188" i="106" s="1"/>
  <c r="AQ189" i="106" s="1"/>
  <c r="AQ190" i="106" s="1"/>
  <c r="AQ191" i="106" s="1"/>
  <c r="AQ192" i="106" s="1"/>
  <c r="AQ194" i="106" s="1"/>
  <c r="AQ195" i="106" s="1"/>
  <c r="AQ196" i="106" s="1"/>
  <c r="AQ197" i="106" s="1"/>
  <c r="AQ198" i="106" s="1"/>
  <c r="AQ199" i="106" s="1"/>
  <c r="AQ200" i="106" s="1"/>
  <c r="AQ201" i="106" s="1"/>
  <c r="AQ202" i="106" s="1"/>
  <c r="AQ203" i="106" s="1"/>
  <c r="AQ204" i="106" s="1"/>
  <c r="AQ205" i="106" s="1"/>
  <c r="AQ206" i="106" s="1"/>
  <c r="AQ207" i="106" s="1"/>
  <c r="AQ208" i="106" s="1"/>
  <c r="AQ209" i="106" s="1"/>
  <c r="AQ210" i="106" s="1"/>
  <c r="AQ211" i="106" s="1"/>
  <c r="AQ212" i="106" s="1"/>
  <c r="AQ213" i="106" s="1"/>
  <c r="AQ214" i="106" s="1"/>
  <c r="AQ215" i="106" s="1"/>
  <c r="AQ216" i="106" s="1"/>
  <c r="AQ217" i="106" s="1"/>
  <c r="AQ218" i="106" s="1"/>
  <c r="AQ219" i="106" s="1"/>
  <c r="AQ220" i="106" s="1"/>
  <c r="AQ221" i="106" s="1"/>
  <c r="AQ222" i="106" s="1"/>
  <c r="AQ223" i="106" s="1"/>
  <c r="AQ224" i="106" s="1"/>
  <c r="AQ225" i="106" s="1"/>
  <c r="AQ226" i="106" s="1"/>
  <c r="AQ227" i="106" s="1"/>
  <c r="AQ228" i="106" s="1"/>
  <c r="AQ230" i="106" s="1"/>
  <c r="AQ231" i="106" s="1"/>
  <c r="AQ232" i="106" s="1"/>
  <c r="AQ233" i="106" s="1"/>
  <c r="AQ234" i="106" s="1"/>
  <c r="AQ235" i="106" s="1"/>
  <c r="AQ236" i="106" s="1"/>
  <c r="AQ237" i="106" s="1"/>
  <c r="AQ238" i="106" s="1"/>
  <c r="AQ239" i="106" s="1"/>
  <c r="AQ240" i="106" s="1"/>
  <c r="AQ241" i="106" s="1"/>
  <c r="AQ242" i="106" s="1"/>
  <c r="AQ243" i="106" s="1"/>
  <c r="AQ244" i="106" s="1"/>
  <c r="AQ245" i="106" s="1"/>
  <c r="AQ246" i="106" s="1"/>
  <c r="AQ247" i="106" s="1"/>
  <c r="AQ248" i="106" s="1"/>
  <c r="AQ249" i="106" s="1"/>
  <c r="AQ250" i="106" s="1"/>
  <c r="AQ251" i="106" s="1"/>
  <c r="AQ252" i="106" s="1"/>
  <c r="AQ253" i="106" s="1"/>
  <c r="P68" i="13"/>
  <c r="AQ254" i="106" l="1"/>
  <c r="AQ255" i="106" s="1"/>
  <c r="AQ256" i="106" s="1"/>
  <c r="AQ257" i="106" s="1"/>
  <c r="AQ258" i="106" s="1"/>
  <c r="AQ259" i="106" s="1"/>
  <c r="G59" i="13"/>
  <c r="F58" i="13"/>
  <c r="E58" i="13"/>
  <c r="D58" i="13"/>
  <c r="C58" i="13"/>
  <c r="C59" i="13"/>
  <c r="C60" i="13"/>
  <c r="O68" i="13"/>
  <c r="C87" i="13"/>
  <c r="C86" i="13"/>
  <c r="AQ260" i="106" l="1"/>
  <c r="AQ261" i="106" s="1"/>
  <c r="AQ262" i="106" s="1"/>
  <c r="AQ263" i="106" s="1"/>
  <c r="AQ264" i="106" s="1"/>
  <c r="P40" i="13"/>
  <c r="AB41" i="74"/>
  <c r="AB115" i="74"/>
  <c r="AB47" i="74"/>
  <c r="AB139" i="74"/>
  <c r="AB167" i="74"/>
  <c r="AB160" i="74"/>
  <c r="AB125" i="74"/>
  <c r="AB171" i="74"/>
  <c r="AB157" i="74"/>
  <c r="AB77" i="74"/>
  <c r="AB161" i="74"/>
  <c r="AB118" i="74"/>
  <c r="AB53" i="74"/>
  <c r="AB76" i="74"/>
  <c r="AB130" i="74"/>
  <c r="AB123" i="74"/>
  <c r="AB100" i="74"/>
  <c r="AB173" i="74"/>
  <c r="AB109" i="74"/>
  <c r="AB106" i="74"/>
  <c r="AB97" i="74"/>
  <c r="AB180" i="74"/>
  <c r="AB117" i="74"/>
  <c r="AB134" i="74"/>
  <c r="AB79" i="74"/>
  <c r="AB174" i="74"/>
  <c r="AB124" i="74"/>
  <c r="AB155" i="74"/>
  <c r="AB81" i="74"/>
  <c r="AB165" i="74"/>
  <c r="AB57" i="74"/>
  <c r="AB152" i="74"/>
  <c r="AB120" i="74"/>
  <c r="AB91" i="74"/>
  <c r="AB65" i="74"/>
  <c r="AB146" i="74"/>
  <c r="AB177" i="74"/>
  <c r="AB129" i="74"/>
  <c r="AB170" i="74"/>
  <c r="AB69" i="74"/>
  <c r="AB107" i="74"/>
  <c r="AB63" i="74"/>
  <c r="AB138" i="74"/>
  <c r="AB164" i="74"/>
  <c r="AB17" i="74"/>
  <c r="AB94" i="74"/>
  <c r="AB108" i="74"/>
  <c r="AB163" i="74"/>
  <c r="AB49" i="74"/>
  <c r="AB127" i="74"/>
  <c r="AB143" i="74"/>
  <c r="AB158" i="74"/>
  <c r="AB133" i="74"/>
  <c r="AB27" i="74"/>
  <c r="AB72" i="74"/>
  <c r="AB11" i="74"/>
  <c r="AB135" i="74"/>
  <c r="AB153" i="74"/>
  <c r="AB166" i="74"/>
  <c r="AB156" i="74"/>
  <c r="AB119" i="74"/>
  <c r="AB59" i="74"/>
  <c r="AB176" i="74"/>
  <c r="AB128" i="74"/>
  <c r="AB89" i="74"/>
  <c r="AB35" i="74"/>
  <c r="AB84" i="74"/>
  <c r="AB168" i="74"/>
  <c r="AB151" i="74"/>
  <c r="AB92" i="74"/>
  <c r="AB67" i="74"/>
  <c r="AB169" i="74"/>
  <c r="AB99" i="74"/>
  <c r="AB147" i="74"/>
  <c r="AB172" i="74"/>
  <c r="AB122" i="74"/>
  <c r="AB144" i="74"/>
  <c r="AB23" i="74"/>
  <c r="AB64" i="74"/>
  <c r="AB111" i="74"/>
  <c r="AB132" i="74"/>
  <c r="AB114" i="74"/>
  <c r="AB112" i="74"/>
  <c r="AB131" i="74"/>
  <c r="AB88" i="74"/>
  <c r="AB140" i="74"/>
  <c r="AB78" i="74"/>
  <c r="AB13" i="74"/>
  <c r="AB80" i="74"/>
  <c r="AB29" i="74"/>
  <c r="AB87" i="74"/>
  <c r="AB136" i="74"/>
  <c r="AB75" i="74"/>
  <c r="AB162" i="74"/>
  <c r="AB113" i="74"/>
  <c r="AB31" i="74"/>
  <c r="AB45" i="74"/>
  <c r="AB25" i="74"/>
  <c r="AB105" i="74"/>
  <c r="AB55" i="74"/>
  <c r="AB43" i="74"/>
  <c r="AB141" i="74"/>
  <c r="AB102" i="74"/>
  <c r="AB98" i="74"/>
  <c r="AB175" i="74"/>
  <c r="AB90" i="74"/>
  <c r="AB83" i="74"/>
  <c r="AB142" i="74"/>
  <c r="AB82" i="74"/>
  <c r="AB148" i="74"/>
  <c r="AB9" i="74"/>
  <c r="AB74" i="74"/>
  <c r="AB71" i="74"/>
  <c r="AB19" i="74"/>
  <c r="AB86" i="74"/>
  <c r="AB104" i="74"/>
  <c r="AB21" i="74"/>
  <c r="AB85" i="74"/>
  <c r="AB51" i="74"/>
  <c r="AB39" i="74"/>
  <c r="AB110" i="74"/>
  <c r="AB68" i="74"/>
  <c r="AB116" i="74"/>
  <c r="AB150" i="74"/>
  <c r="AB103" i="74"/>
  <c r="AB149" i="74"/>
  <c r="AB15" i="74"/>
  <c r="AB154" i="74"/>
  <c r="AB121" i="74"/>
  <c r="AB95" i="74"/>
  <c r="AB96" i="74"/>
  <c r="AB101" i="74"/>
  <c r="AB159" i="74"/>
  <c r="AB33" i="74"/>
  <c r="AB137" i="74"/>
  <c r="AB73" i="74"/>
  <c r="AB126" i="74"/>
  <c r="AB61" i="74"/>
  <c r="AB70" i="74"/>
  <c r="AB66" i="74"/>
  <c r="AB93" i="74"/>
  <c r="AB37" i="74"/>
  <c r="F4" i="103" l="1"/>
  <c r="G4" i="103"/>
  <c r="H4" i="103"/>
  <c r="I4" i="103"/>
  <c r="J4" i="103"/>
  <c r="K4" i="103"/>
  <c r="L4" i="103"/>
  <c r="F5" i="103"/>
  <c r="G5" i="103"/>
  <c r="H5" i="103"/>
  <c r="I5" i="103"/>
  <c r="J5" i="103"/>
  <c r="K5" i="103"/>
  <c r="L5" i="103"/>
  <c r="G18" i="103"/>
  <c r="G37" i="103"/>
  <c r="G38" i="103"/>
  <c r="G82" i="103"/>
  <c r="G6" i="103"/>
  <c r="G7" i="103"/>
  <c r="G8" i="103"/>
  <c r="G10" i="103"/>
  <c r="G12" i="103"/>
  <c r="G14" i="103"/>
  <c r="G15" i="103"/>
  <c r="G16" i="103"/>
  <c r="G20" i="103"/>
  <c r="G21" i="103"/>
  <c r="G22" i="103"/>
  <c r="G23" i="103"/>
  <c r="G24" i="103"/>
  <c r="G27" i="103"/>
  <c r="G29" i="103"/>
  <c r="G30" i="103"/>
  <c r="G31" i="103"/>
  <c r="G32" i="103"/>
  <c r="G33" i="103"/>
  <c r="G34" i="103"/>
  <c r="G35" i="103"/>
  <c r="G36" i="103"/>
  <c r="G40" i="103"/>
  <c r="G41" i="103"/>
  <c r="G42" i="103"/>
  <c r="G44" i="103"/>
  <c r="G46" i="103"/>
  <c r="G52" i="103"/>
  <c r="G53" i="103"/>
  <c r="G59" i="103"/>
  <c r="G61" i="103"/>
  <c r="G62" i="103"/>
  <c r="G63" i="103"/>
  <c r="G65" i="103"/>
  <c r="G68" i="103"/>
  <c r="G69" i="103"/>
  <c r="G70" i="103"/>
  <c r="G72" i="103"/>
  <c r="G74" i="103"/>
  <c r="G77" i="103"/>
  <c r="G79" i="103"/>
  <c r="G80" i="103"/>
  <c r="G81" i="103"/>
  <c r="G83" i="103"/>
  <c r="G84" i="103"/>
  <c r="G88" i="103"/>
  <c r="G89" i="103"/>
  <c r="G90" i="103"/>
  <c r="G91" i="103"/>
  <c r="G93" i="103"/>
  <c r="G94" i="103"/>
  <c r="G96" i="103"/>
  <c r="G97" i="103"/>
  <c r="G106" i="103"/>
  <c r="G109" i="103"/>
  <c r="G110" i="103"/>
  <c r="G114" i="103"/>
  <c r="G117" i="103"/>
  <c r="G120" i="103"/>
  <c r="G121" i="103"/>
  <c r="G122" i="103"/>
  <c r="G123" i="103"/>
  <c r="G124" i="103"/>
  <c r="G126" i="103"/>
  <c r="G127" i="103"/>
  <c r="G128" i="103"/>
  <c r="G129" i="103"/>
  <c r="G131" i="103"/>
  <c r="G133" i="103"/>
  <c r="G134" i="103"/>
  <c r="G136" i="103"/>
  <c r="G138" i="103"/>
  <c r="G139" i="103"/>
  <c r="G140" i="103"/>
  <c r="G142" i="103"/>
  <c r="G143" i="103"/>
  <c r="G144" i="103"/>
  <c r="G145" i="103"/>
  <c r="G148" i="103"/>
  <c r="G151" i="103"/>
  <c r="G152" i="103"/>
  <c r="G153" i="103"/>
  <c r="G154" i="103"/>
  <c r="G155" i="103"/>
  <c r="G159" i="103"/>
  <c r="G161" i="103"/>
  <c r="G162" i="103"/>
  <c r="G163" i="103"/>
  <c r="G164" i="103"/>
  <c r="G165" i="103"/>
  <c r="G166" i="103"/>
  <c r="G170" i="103"/>
  <c r="G171" i="103"/>
  <c r="G173" i="103"/>
  <c r="G174" i="103"/>
  <c r="G175" i="103"/>
  <c r="G176" i="103"/>
  <c r="G177" i="103"/>
  <c r="G178" i="103"/>
  <c r="G180" i="103"/>
  <c r="G181" i="103"/>
  <c r="G183" i="103"/>
  <c r="G188" i="103"/>
  <c r="G192" i="103"/>
  <c r="G193" i="103"/>
  <c r="G195" i="103"/>
  <c r="G196" i="103"/>
  <c r="G197" i="103"/>
  <c r="G200" i="103"/>
  <c r="G202" i="103"/>
  <c r="G203" i="103"/>
  <c r="G207" i="103"/>
  <c r="G208" i="103"/>
  <c r="G215" i="103"/>
  <c r="G216" i="103"/>
  <c r="G220" i="103"/>
  <c r="G221" i="103"/>
  <c r="G222" i="103"/>
  <c r="G223" i="103"/>
  <c r="G227" i="103"/>
  <c r="G229" i="103"/>
  <c r="G230" i="103"/>
  <c r="G233" i="103"/>
  <c r="G235" i="103"/>
  <c r="G237" i="103"/>
  <c r="G238" i="103"/>
  <c r="G241" i="103"/>
  <c r="G245" i="103"/>
  <c r="G246" i="103"/>
  <c r="G248" i="103"/>
  <c r="G250" i="103"/>
  <c r="G251" i="103"/>
  <c r="G252" i="103"/>
  <c r="G255" i="103"/>
  <c r="G256" i="103"/>
  <c r="G257" i="103"/>
  <c r="G258" i="103"/>
  <c r="G262" i="103"/>
  <c r="G263" i="103"/>
  <c r="G264" i="103"/>
  <c r="G265" i="103"/>
  <c r="G269" i="103"/>
  <c r="G270" i="103"/>
  <c r="G271" i="103"/>
  <c r="G272" i="103"/>
  <c r="G273" i="103"/>
  <c r="G277" i="103"/>
  <c r="G278" i="103"/>
  <c r="G279" i="103"/>
  <c r="G280" i="103"/>
  <c r="G282" i="103"/>
  <c r="G284" i="103"/>
  <c r="G285" i="103"/>
  <c r="G290" i="103"/>
  <c r="G291" i="103"/>
  <c r="G292" i="103"/>
  <c r="G293" i="103"/>
  <c r="G294" i="103"/>
  <c r="G297" i="103"/>
  <c r="G298" i="103"/>
  <c r="G299" i="103"/>
  <c r="G300" i="103"/>
  <c r="G301" i="103"/>
  <c r="G302" i="103"/>
  <c r="G303" i="103"/>
  <c r="G304" i="103"/>
  <c r="G305" i="103"/>
  <c r="G308" i="103"/>
  <c r="G309" i="103"/>
  <c r="G313" i="103"/>
  <c r="G316" i="103"/>
  <c r="G317" i="103"/>
  <c r="G318" i="103"/>
  <c r="G320" i="103"/>
  <c r="G321" i="103"/>
  <c r="G323" i="103"/>
  <c r="G324" i="103"/>
  <c r="G325" i="103"/>
  <c r="G327" i="103"/>
  <c r="G329" i="103"/>
  <c r="G332" i="103"/>
  <c r="G333" i="103"/>
  <c r="G339" i="103"/>
  <c r="G340" i="103"/>
  <c r="G341" i="103"/>
  <c r="G342" i="103"/>
  <c r="G343" i="103"/>
  <c r="G345" i="103"/>
  <c r="G346" i="103"/>
  <c r="G347" i="103"/>
  <c r="G349" i="103"/>
  <c r="G350" i="103"/>
  <c r="G351" i="103"/>
  <c r="G353" i="103"/>
  <c r="G355" i="103"/>
  <c r="G356" i="103"/>
  <c r="G358" i="103"/>
  <c r="G359" i="103"/>
  <c r="G361" i="103"/>
  <c r="G363" i="103"/>
  <c r="G364" i="103"/>
  <c r="G365" i="103"/>
  <c r="G366" i="103"/>
  <c r="G367" i="103"/>
  <c r="G368" i="103"/>
  <c r="G370" i="103"/>
  <c r="G371" i="103"/>
  <c r="G372" i="103"/>
  <c r="G373" i="103"/>
  <c r="G374" i="103"/>
  <c r="G375" i="103"/>
  <c r="G376" i="103"/>
  <c r="G379" i="103"/>
  <c r="G380" i="103"/>
  <c r="G381" i="103"/>
  <c r="G383" i="103"/>
  <c r="G384" i="103"/>
  <c r="G385" i="103"/>
  <c r="G389" i="103"/>
  <c r="G392" i="103"/>
  <c r="G393" i="103"/>
  <c r="G394" i="103"/>
  <c r="G397" i="103"/>
  <c r="G398" i="103"/>
  <c r="G400" i="103"/>
  <c r="G401" i="103"/>
  <c r="G402" i="103"/>
  <c r="G403" i="103"/>
  <c r="G404" i="103"/>
  <c r="G405" i="103"/>
  <c r="G406" i="103"/>
  <c r="G408" i="103"/>
  <c r="G411" i="103"/>
  <c r="G412" i="103"/>
  <c r="G415" i="103"/>
  <c r="G416" i="103"/>
  <c r="G418" i="103"/>
  <c r="G420" i="103"/>
  <c r="G422" i="103"/>
  <c r="G425" i="103"/>
  <c r="G426" i="103"/>
  <c r="G427" i="103"/>
  <c r="G429" i="103"/>
  <c r="G430" i="103"/>
  <c r="G431" i="103"/>
  <c r="G434" i="103"/>
  <c r="G435" i="103"/>
  <c r="G437" i="103"/>
  <c r="G438" i="103"/>
  <c r="G439" i="103"/>
  <c r="AE5" i="103"/>
  <c r="I18" i="103"/>
  <c r="I37" i="103"/>
  <c r="I38" i="103"/>
  <c r="I82" i="103"/>
  <c r="I6" i="103"/>
  <c r="I7" i="103"/>
  <c r="I8" i="103"/>
  <c r="I10" i="103"/>
  <c r="I12" i="103"/>
  <c r="I14" i="103"/>
  <c r="I15" i="103"/>
  <c r="I16" i="103"/>
  <c r="I20" i="103"/>
  <c r="I21" i="103"/>
  <c r="I22" i="103"/>
  <c r="I23" i="103"/>
  <c r="I24" i="103"/>
  <c r="I27" i="103"/>
  <c r="I29" i="103"/>
  <c r="I30" i="103"/>
  <c r="I31" i="103"/>
  <c r="I32" i="103"/>
  <c r="I33" i="103"/>
  <c r="I34" i="103"/>
  <c r="I35" i="103"/>
  <c r="I36" i="103"/>
  <c r="I40" i="103"/>
  <c r="I41" i="103"/>
  <c r="I42" i="103"/>
  <c r="I44" i="103"/>
  <c r="I46" i="103"/>
  <c r="I52" i="103"/>
  <c r="I53" i="103"/>
  <c r="I59" i="103"/>
  <c r="I61" i="103"/>
  <c r="I62" i="103"/>
  <c r="I63" i="103"/>
  <c r="I65" i="103"/>
  <c r="I68" i="103"/>
  <c r="I69" i="103"/>
  <c r="I70" i="103"/>
  <c r="I72" i="103"/>
  <c r="I74" i="103"/>
  <c r="I77" i="103"/>
  <c r="I79" i="103"/>
  <c r="I80" i="103"/>
  <c r="I81" i="103"/>
  <c r="I83" i="103"/>
  <c r="I84" i="103"/>
  <c r="I88" i="103"/>
  <c r="I89" i="103"/>
  <c r="I90" i="103"/>
  <c r="I91" i="103"/>
  <c r="I93" i="103"/>
  <c r="I94" i="103"/>
  <c r="I96" i="103"/>
  <c r="I97" i="103"/>
  <c r="I106" i="103"/>
  <c r="I109" i="103"/>
  <c r="I110" i="103"/>
  <c r="I114" i="103"/>
  <c r="I117" i="103"/>
  <c r="I120" i="103"/>
  <c r="I121" i="103"/>
  <c r="I122" i="103"/>
  <c r="I123" i="103"/>
  <c r="I124" i="103"/>
  <c r="I126" i="103"/>
  <c r="I127" i="103"/>
  <c r="I128" i="103"/>
  <c r="I129" i="103"/>
  <c r="I131" i="103"/>
  <c r="I133" i="103"/>
  <c r="I134" i="103"/>
  <c r="I136" i="103"/>
  <c r="I138" i="103"/>
  <c r="I139" i="103"/>
  <c r="I140" i="103"/>
  <c r="I142" i="103"/>
  <c r="I143" i="103"/>
  <c r="I144" i="103"/>
  <c r="I145" i="103"/>
  <c r="I148" i="103"/>
  <c r="I151" i="103"/>
  <c r="I152" i="103"/>
  <c r="I153" i="103"/>
  <c r="I154" i="103"/>
  <c r="I155" i="103"/>
  <c r="I159" i="103"/>
  <c r="I161" i="103"/>
  <c r="I162" i="103"/>
  <c r="I163" i="103"/>
  <c r="I164" i="103"/>
  <c r="I165" i="103"/>
  <c r="I166" i="103"/>
  <c r="I170" i="103"/>
  <c r="I171" i="103"/>
  <c r="I173" i="103"/>
  <c r="I174" i="103"/>
  <c r="I175" i="103"/>
  <c r="I176" i="103"/>
  <c r="I177" i="103"/>
  <c r="I178" i="103"/>
  <c r="I180" i="103"/>
  <c r="I181" i="103"/>
  <c r="I183" i="103"/>
  <c r="I188" i="103"/>
  <c r="I192" i="103"/>
  <c r="I193" i="103"/>
  <c r="I195" i="103"/>
  <c r="I196" i="103"/>
  <c r="I197" i="103"/>
  <c r="I200" i="103"/>
  <c r="I202" i="103"/>
  <c r="I203" i="103"/>
  <c r="I207" i="103"/>
  <c r="I208" i="103"/>
  <c r="I215" i="103"/>
  <c r="I216" i="103"/>
  <c r="I220" i="103"/>
  <c r="I221" i="103"/>
  <c r="I222" i="103"/>
  <c r="I223" i="103"/>
  <c r="I227" i="103"/>
  <c r="I229" i="103"/>
  <c r="I230" i="103"/>
  <c r="I233" i="103"/>
  <c r="I235" i="103"/>
  <c r="I237" i="103"/>
  <c r="I238" i="103"/>
  <c r="I241" i="103"/>
  <c r="I245" i="103"/>
  <c r="I246" i="103"/>
  <c r="I248" i="103"/>
  <c r="I250" i="103"/>
  <c r="I251" i="103"/>
  <c r="I252" i="103"/>
  <c r="I255" i="103"/>
  <c r="I256" i="103"/>
  <c r="I257" i="103"/>
  <c r="I258" i="103"/>
  <c r="I262" i="103"/>
  <c r="I263" i="103"/>
  <c r="I264" i="103"/>
  <c r="I265" i="103"/>
  <c r="I269" i="103"/>
  <c r="I270" i="103"/>
  <c r="I271" i="103"/>
  <c r="I272" i="103"/>
  <c r="I273" i="103"/>
  <c r="I277" i="103"/>
  <c r="I278" i="103"/>
  <c r="I279" i="103"/>
  <c r="I280" i="103"/>
  <c r="I282" i="103"/>
  <c r="I284" i="103"/>
  <c r="I285" i="103"/>
  <c r="I290" i="103"/>
  <c r="I291" i="103"/>
  <c r="I292" i="103"/>
  <c r="I293" i="103"/>
  <c r="I294" i="103"/>
  <c r="I297" i="103"/>
  <c r="I298" i="103"/>
  <c r="I299" i="103"/>
  <c r="I300" i="103"/>
  <c r="I301" i="103"/>
  <c r="I302" i="103"/>
  <c r="I303" i="103"/>
  <c r="I304" i="103"/>
  <c r="I305" i="103"/>
  <c r="I308" i="103"/>
  <c r="I309" i="103"/>
  <c r="I313" i="103"/>
  <c r="I316" i="103"/>
  <c r="I317" i="103"/>
  <c r="I318" i="103"/>
  <c r="I320" i="103"/>
  <c r="I321" i="103"/>
  <c r="I323" i="103"/>
  <c r="I324" i="103"/>
  <c r="I325" i="103"/>
  <c r="I327" i="103"/>
  <c r="I329" i="103"/>
  <c r="I332" i="103"/>
  <c r="I333" i="103"/>
  <c r="I339" i="103"/>
  <c r="I340" i="103"/>
  <c r="I341" i="103"/>
  <c r="I342" i="103"/>
  <c r="I343" i="103"/>
  <c r="I345" i="103"/>
  <c r="I346" i="103"/>
  <c r="I347" i="103"/>
  <c r="I349" i="103"/>
  <c r="I350" i="103"/>
  <c r="I351" i="103"/>
  <c r="I353" i="103"/>
  <c r="I355" i="103"/>
  <c r="I356" i="103"/>
  <c r="I358" i="103"/>
  <c r="I359" i="103"/>
  <c r="I361" i="103"/>
  <c r="I363" i="103"/>
  <c r="I364" i="103"/>
  <c r="I365" i="103"/>
  <c r="I366" i="103"/>
  <c r="I367" i="103"/>
  <c r="I368" i="103"/>
  <c r="I370" i="103"/>
  <c r="I371" i="103"/>
  <c r="I372" i="103"/>
  <c r="I373" i="103"/>
  <c r="I374" i="103"/>
  <c r="I375" i="103"/>
  <c r="I376" i="103"/>
  <c r="I379" i="103"/>
  <c r="I380" i="103"/>
  <c r="I381" i="103"/>
  <c r="I383" i="103"/>
  <c r="I384" i="103"/>
  <c r="I385" i="103"/>
  <c r="I389" i="103"/>
  <c r="I392" i="103"/>
  <c r="I393" i="103"/>
  <c r="I394" i="103"/>
  <c r="I397" i="103"/>
  <c r="I398" i="103"/>
  <c r="I400" i="103"/>
  <c r="I401" i="103"/>
  <c r="I402" i="103"/>
  <c r="I403" i="103"/>
  <c r="I404" i="103"/>
  <c r="I405" i="103"/>
  <c r="I406" i="103"/>
  <c r="I408" i="103"/>
  <c r="I411" i="103"/>
  <c r="I412" i="103"/>
  <c r="I415" i="103"/>
  <c r="I416" i="103"/>
  <c r="I418" i="103"/>
  <c r="I420" i="103"/>
  <c r="I422" i="103"/>
  <c r="I425" i="103"/>
  <c r="I426" i="103"/>
  <c r="I427" i="103"/>
  <c r="I429" i="103"/>
  <c r="I430" i="103"/>
  <c r="I431" i="103"/>
  <c r="I434" i="103"/>
  <c r="I435" i="103"/>
  <c r="I437" i="103"/>
  <c r="I438" i="103"/>
  <c r="I439" i="103"/>
  <c r="AI5" i="103"/>
  <c r="AG5" i="103"/>
  <c r="AC5" i="103"/>
  <c r="H18" i="103"/>
  <c r="H37" i="103"/>
  <c r="H38" i="103"/>
  <c r="H82" i="103"/>
  <c r="H6" i="103"/>
  <c r="H7" i="103"/>
  <c r="H8" i="103"/>
  <c r="H10" i="103"/>
  <c r="H12" i="103"/>
  <c r="H14" i="103"/>
  <c r="H15" i="103"/>
  <c r="H16" i="103"/>
  <c r="H20" i="103"/>
  <c r="H21" i="103"/>
  <c r="H22" i="103"/>
  <c r="H23" i="103"/>
  <c r="H24" i="103"/>
  <c r="H27" i="103"/>
  <c r="H29" i="103"/>
  <c r="H30" i="103"/>
  <c r="H31" i="103"/>
  <c r="H32" i="103"/>
  <c r="H33" i="103"/>
  <c r="H34" i="103"/>
  <c r="H35" i="103"/>
  <c r="H36" i="103"/>
  <c r="H40" i="103"/>
  <c r="H41" i="103"/>
  <c r="H42" i="103"/>
  <c r="H44" i="103"/>
  <c r="H46" i="103"/>
  <c r="H52" i="103"/>
  <c r="H53" i="103"/>
  <c r="H59" i="103"/>
  <c r="H61" i="103"/>
  <c r="H62" i="103"/>
  <c r="H63" i="103"/>
  <c r="H65" i="103"/>
  <c r="H68" i="103"/>
  <c r="H69" i="103"/>
  <c r="H70" i="103"/>
  <c r="H72" i="103"/>
  <c r="H74" i="103"/>
  <c r="H77" i="103"/>
  <c r="H79" i="103"/>
  <c r="H80" i="103"/>
  <c r="H81" i="103"/>
  <c r="H83" i="103"/>
  <c r="H84" i="103"/>
  <c r="H88" i="103"/>
  <c r="H89" i="103"/>
  <c r="H90" i="103"/>
  <c r="H91" i="103"/>
  <c r="H93" i="103"/>
  <c r="H94" i="103"/>
  <c r="H96" i="103"/>
  <c r="H97" i="103"/>
  <c r="H106" i="103"/>
  <c r="H109" i="103"/>
  <c r="H110" i="103"/>
  <c r="H114" i="103"/>
  <c r="H117" i="103"/>
  <c r="H120" i="103"/>
  <c r="H121" i="103"/>
  <c r="H122" i="103"/>
  <c r="H123" i="103"/>
  <c r="H124" i="103"/>
  <c r="H126" i="103"/>
  <c r="H127" i="103"/>
  <c r="H128" i="103"/>
  <c r="H129" i="103"/>
  <c r="H131" i="103"/>
  <c r="H133" i="103"/>
  <c r="H134" i="103"/>
  <c r="H136" i="103"/>
  <c r="H138" i="103"/>
  <c r="H139" i="103"/>
  <c r="H140" i="103"/>
  <c r="H142" i="103"/>
  <c r="H143" i="103"/>
  <c r="H144" i="103"/>
  <c r="H145" i="103"/>
  <c r="H148" i="103"/>
  <c r="H151" i="103"/>
  <c r="H152" i="103"/>
  <c r="H153" i="103"/>
  <c r="H154" i="103"/>
  <c r="H155" i="103"/>
  <c r="H159" i="103"/>
  <c r="H161" i="103"/>
  <c r="H162" i="103"/>
  <c r="H163" i="103"/>
  <c r="H164" i="103"/>
  <c r="H165" i="103"/>
  <c r="H166" i="103"/>
  <c r="H170" i="103"/>
  <c r="H171" i="103"/>
  <c r="H173" i="103"/>
  <c r="H174" i="103"/>
  <c r="H175" i="103"/>
  <c r="H176" i="103"/>
  <c r="H177" i="103"/>
  <c r="H178" i="103"/>
  <c r="H180" i="103"/>
  <c r="H181" i="103"/>
  <c r="H183" i="103"/>
  <c r="H188" i="103"/>
  <c r="H192" i="103"/>
  <c r="H193" i="103"/>
  <c r="H195" i="103"/>
  <c r="H196" i="103"/>
  <c r="H197" i="103"/>
  <c r="H200" i="103"/>
  <c r="H202" i="103"/>
  <c r="H203" i="103"/>
  <c r="H207" i="103"/>
  <c r="H208" i="103"/>
  <c r="H215" i="103"/>
  <c r="H216" i="103"/>
  <c r="H220" i="103"/>
  <c r="H221" i="103"/>
  <c r="H222" i="103"/>
  <c r="H223" i="103"/>
  <c r="H227" i="103"/>
  <c r="H229" i="103"/>
  <c r="H230" i="103"/>
  <c r="H233" i="103"/>
  <c r="H235" i="103"/>
  <c r="H237" i="103"/>
  <c r="H238" i="103"/>
  <c r="H241" i="103"/>
  <c r="H245" i="103"/>
  <c r="H246" i="103"/>
  <c r="H248" i="103"/>
  <c r="H250" i="103"/>
  <c r="H251" i="103"/>
  <c r="H252" i="103"/>
  <c r="H255" i="103"/>
  <c r="H256" i="103"/>
  <c r="H257" i="103"/>
  <c r="H258" i="103"/>
  <c r="H262" i="103"/>
  <c r="H263" i="103"/>
  <c r="H264" i="103"/>
  <c r="H265" i="103"/>
  <c r="H269" i="103"/>
  <c r="H270" i="103"/>
  <c r="H271" i="103"/>
  <c r="H272" i="103"/>
  <c r="H273" i="103"/>
  <c r="H277" i="103"/>
  <c r="H278" i="103"/>
  <c r="H279" i="103"/>
  <c r="H280" i="103"/>
  <c r="H282" i="103"/>
  <c r="H284" i="103"/>
  <c r="H285" i="103"/>
  <c r="H290" i="103"/>
  <c r="H291" i="103"/>
  <c r="H292" i="103"/>
  <c r="H293" i="103"/>
  <c r="H294" i="103"/>
  <c r="H297" i="103"/>
  <c r="H298" i="103"/>
  <c r="H299" i="103"/>
  <c r="H300" i="103"/>
  <c r="H301" i="103"/>
  <c r="H302" i="103"/>
  <c r="H303" i="103"/>
  <c r="H304" i="103"/>
  <c r="H305" i="103"/>
  <c r="H308" i="103"/>
  <c r="H309" i="103"/>
  <c r="H313" i="103"/>
  <c r="H316" i="103"/>
  <c r="H317" i="103"/>
  <c r="H318" i="103"/>
  <c r="H320" i="103"/>
  <c r="H321" i="103"/>
  <c r="H323" i="103"/>
  <c r="H324" i="103"/>
  <c r="H325" i="103"/>
  <c r="H327" i="103"/>
  <c r="H329" i="103"/>
  <c r="H332" i="103"/>
  <c r="H333" i="103"/>
  <c r="H339" i="103"/>
  <c r="H340" i="103"/>
  <c r="H341" i="103"/>
  <c r="H342" i="103"/>
  <c r="H343" i="103"/>
  <c r="H345" i="103"/>
  <c r="H346" i="103"/>
  <c r="H347" i="103"/>
  <c r="H349" i="103"/>
  <c r="H350" i="103"/>
  <c r="H351" i="103"/>
  <c r="H353" i="103"/>
  <c r="H355" i="103"/>
  <c r="H356" i="103"/>
  <c r="H358" i="103"/>
  <c r="H359" i="103"/>
  <c r="H361" i="103"/>
  <c r="H363" i="103"/>
  <c r="H364" i="103"/>
  <c r="H365" i="103"/>
  <c r="H366" i="103"/>
  <c r="H367" i="103"/>
  <c r="H368" i="103"/>
  <c r="H370" i="103"/>
  <c r="H371" i="103"/>
  <c r="H372" i="103"/>
  <c r="H373" i="103"/>
  <c r="H374" i="103"/>
  <c r="H375" i="103"/>
  <c r="H376" i="103"/>
  <c r="H379" i="103"/>
  <c r="H380" i="103"/>
  <c r="H381" i="103"/>
  <c r="H383" i="103"/>
  <c r="H384" i="103"/>
  <c r="H385" i="103"/>
  <c r="H389" i="103"/>
  <c r="H392" i="103"/>
  <c r="H393" i="103"/>
  <c r="H394" i="103"/>
  <c r="H397" i="103"/>
  <c r="H398" i="103"/>
  <c r="H400" i="103"/>
  <c r="H401" i="103"/>
  <c r="H402" i="103"/>
  <c r="H403" i="103"/>
  <c r="H404" i="103"/>
  <c r="H405" i="103"/>
  <c r="H406" i="103"/>
  <c r="H408" i="103"/>
  <c r="H411" i="103"/>
  <c r="H412" i="103"/>
  <c r="H415" i="103"/>
  <c r="H416" i="103"/>
  <c r="H418" i="103"/>
  <c r="H420" i="103"/>
  <c r="H422" i="103"/>
  <c r="H425" i="103"/>
  <c r="H426" i="103"/>
  <c r="H427" i="103"/>
  <c r="H429" i="103"/>
  <c r="H430" i="103"/>
  <c r="H431" i="103"/>
  <c r="H434" i="103"/>
  <c r="H435" i="103"/>
  <c r="H437" i="103"/>
  <c r="H438" i="103"/>
  <c r="H439" i="103"/>
  <c r="AF5" i="103"/>
  <c r="J18" i="103"/>
  <c r="J37" i="103"/>
  <c r="J38" i="103"/>
  <c r="J82" i="103"/>
  <c r="J6" i="103"/>
  <c r="J7" i="103"/>
  <c r="J8" i="103"/>
  <c r="J10" i="103"/>
  <c r="J12" i="103"/>
  <c r="J14" i="103"/>
  <c r="J15" i="103"/>
  <c r="J16" i="103"/>
  <c r="J20" i="103"/>
  <c r="J21" i="103"/>
  <c r="J22" i="103"/>
  <c r="J23" i="103"/>
  <c r="J24" i="103"/>
  <c r="J27" i="103"/>
  <c r="J29" i="103"/>
  <c r="J30" i="103"/>
  <c r="J31" i="103"/>
  <c r="J32" i="103"/>
  <c r="J33" i="103"/>
  <c r="J34" i="103"/>
  <c r="J35" i="103"/>
  <c r="J36" i="103"/>
  <c r="J40" i="103"/>
  <c r="J41" i="103"/>
  <c r="J42" i="103"/>
  <c r="J44" i="103"/>
  <c r="J46" i="103"/>
  <c r="J52" i="103"/>
  <c r="J53" i="103"/>
  <c r="J59" i="103"/>
  <c r="J61" i="103"/>
  <c r="J62" i="103"/>
  <c r="J63" i="103"/>
  <c r="J65" i="103"/>
  <c r="J68" i="103"/>
  <c r="J69" i="103"/>
  <c r="J70" i="103"/>
  <c r="J72" i="103"/>
  <c r="J74" i="103"/>
  <c r="J77" i="103"/>
  <c r="J79" i="103"/>
  <c r="J80" i="103"/>
  <c r="J81" i="103"/>
  <c r="J83" i="103"/>
  <c r="J84" i="103"/>
  <c r="J88" i="103"/>
  <c r="J89" i="103"/>
  <c r="J90" i="103"/>
  <c r="J91" i="103"/>
  <c r="J93" i="103"/>
  <c r="J94" i="103"/>
  <c r="J96" i="103"/>
  <c r="J97" i="103"/>
  <c r="J106" i="103"/>
  <c r="J109" i="103"/>
  <c r="J110" i="103"/>
  <c r="J114" i="103"/>
  <c r="J117" i="103"/>
  <c r="J120" i="103"/>
  <c r="J121" i="103"/>
  <c r="J122" i="103"/>
  <c r="J123" i="103"/>
  <c r="J124" i="103"/>
  <c r="J126" i="103"/>
  <c r="J127" i="103"/>
  <c r="J128" i="103"/>
  <c r="J129" i="103"/>
  <c r="J131" i="103"/>
  <c r="J133" i="103"/>
  <c r="J134" i="103"/>
  <c r="J136" i="103"/>
  <c r="J138" i="103"/>
  <c r="J139" i="103"/>
  <c r="J140" i="103"/>
  <c r="J142" i="103"/>
  <c r="J143" i="103"/>
  <c r="J144" i="103"/>
  <c r="J145" i="103"/>
  <c r="J148" i="103"/>
  <c r="J151" i="103"/>
  <c r="J152" i="103"/>
  <c r="J153" i="103"/>
  <c r="J154" i="103"/>
  <c r="J155" i="103"/>
  <c r="J159" i="103"/>
  <c r="J161" i="103"/>
  <c r="J162" i="103"/>
  <c r="J163" i="103"/>
  <c r="J164" i="103"/>
  <c r="J165" i="103"/>
  <c r="J166" i="103"/>
  <c r="J170" i="103"/>
  <c r="J171" i="103"/>
  <c r="J173" i="103"/>
  <c r="J174" i="103"/>
  <c r="J175" i="103"/>
  <c r="J176" i="103"/>
  <c r="J177" i="103"/>
  <c r="J178" i="103"/>
  <c r="J180" i="103"/>
  <c r="J181" i="103"/>
  <c r="J183" i="103"/>
  <c r="J188" i="103"/>
  <c r="J192" i="103"/>
  <c r="J193" i="103"/>
  <c r="J195" i="103"/>
  <c r="J196" i="103"/>
  <c r="J197" i="103"/>
  <c r="J200" i="103"/>
  <c r="J202" i="103"/>
  <c r="J203" i="103"/>
  <c r="J207" i="103"/>
  <c r="J208" i="103"/>
  <c r="J215" i="103"/>
  <c r="J216" i="103"/>
  <c r="J220" i="103"/>
  <c r="J221" i="103"/>
  <c r="J222" i="103"/>
  <c r="J223" i="103"/>
  <c r="J227" i="103"/>
  <c r="J229" i="103"/>
  <c r="J230" i="103"/>
  <c r="J233" i="103"/>
  <c r="J235" i="103"/>
  <c r="J237" i="103"/>
  <c r="J238" i="103"/>
  <c r="J241" i="103"/>
  <c r="J245" i="103"/>
  <c r="J246" i="103"/>
  <c r="J248" i="103"/>
  <c r="J250" i="103"/>
  <c r="J251" i="103"/>
  <c r="J252" i="103"/>
  <c r="J255" i="103"/>
  <c r="J256" i="103"/>
  <c r="J257" i="103"/>
  <c r="J258" i="103"/>
  <c r="J262" i="103"/>
  <c r="J263" i="103"/>
  <c r="J264" i="103"/>
  <c r="J265" i="103"/>
  <c r="J269" i="103"/>
  <c r="J270" i="103"/>
  <c r="J271" i="103"/>
  <c r="J272" i="103"/>
  <c r="J273" i="103"/>
  <c r="J277" i="103"/>
  <c r="J278" i="103"/>
  <c r="J279" i="103"/>
  <c r="J280" i="103"/>
  <c r="J282" i="103"/>
  <c r="J284" i="103"/>
  <c r="J285" i="103"/>
  <c r="J290" i="103"/>
  <c r="J291" i="103"/>
  <c r="J292" i="103"/>
  <c r="J293" i="103"/>
  <c r="J294" i="103"/>
  <c r="J297" i="103"/>
  <c r="J298" i="103"/>
  <c r="J299" i="103"/>
  <c r="J300" i="103"/>
  <c r="J301" i="103"/>
  <c r="J302" i="103"/>
  <c r="J303" i="103"/>
  <c r="J304" i="103"/>
  <c r="J305" i="103"/>
  <c r="J308" i="103"/>
  <c r="J309" i="103"/>
  <c r="J313" i="103"/>
  <c r="J316" i="103"/>
  <c r="J317" i="103"/>
  <c r="J318" i="103"/>
  <c r="J320" i="103"/>
  <c r="J321" i="103"/>
  <c r="J323" i="103"/>
  <c r="J324" i="103"/>
  <c r="J325" i="103"/>
  <c r="J327" i="103"/>
  <c r="J329" i="103"/>
  <c r="J332" i="103"/>
  <c r="J333" i="103"/>
  <c r="J339" i="103"/>
  <c r="J340" i="103"/>
  <c r="J341" i="103"/>
  <c r="J342" i="103"/>
  <c r="J343" i="103"/>
  <c r="J345" i="103"/>
  <c r="J346" i="103"/>
  <c r="J347" i="103"/>
  <c r="J349" i="103"/>
  <c r="J350" i="103"/>
  <c r="J351" i="103"/>
  <c r="J353" i="103"/>
  <c r="J355" i="103"/>
  <c r="J356" i="103"/>
  <c r="J358" i="103"/>
  <c r="J359" i="103"/>
  <c r="J361" i="103"/>
  <c r="J363" i="103"/>
  <c r="J364" i="103"/>
  <c r="J365" i="103"/>
  <c r="J366" i="103"/>
  <c r="J367" i="103"/>
  <c r="J368" i="103"/>
  <c r="J370" i="103"/>
  <c r="J371" i="103"/>
  <c r="J372" i="103"/>
  <c r="J373" i="103"/>
  <c r="J374" i="103"/>
  <c r="J375" i="103"/>
  <c r="J376" i="103"/>
  <c r="J379" i="103"/>
  <c r="J380" i="103"/>
  <c r="J381" i="103"/>
  <c r="J383" i="103"/>
  <c r="J384" i="103"/>
  <c r="J385" i="103"/>
  <c r="J389" i="103"/>
  <c r="J392" i="103"/>
  <c r="J393" i="103"/>
  <c r="J394" i="103"/>
  <c r="J397" i="103"/>
  <c r="J398" i="103"/>
  <c r="J400" i="103"/>
  <c r="J401" i="103"/>
  <c r="J402" i="103"/>
  <c r="J403" i="103"/>
  <c r="J404" i="103"/>
  <c r="J405" i="103"/>
  <c r="J406" i="103"/>
  <c r="J408" i="103"/>
  <c r="J411" i="103"/>
  <c r="J412" i="103"/>
  <c r="J415" i="103"/>
  <c r="J416" i="103"/>
  <c r="J418" i="103"/>
  <c r="J420" i="103"/>
  <c r="J422" i="103"/>
  <c r="J425" i="103"/>
  <c r="J426" i="103"/>
  <c r="J427" i="103"/>
  <c r="J429" i="103"/>
  <c r="J430" i="103"/>
  <c r="J431" i="103"/>
  <c r="J434" i="103"/>
  <c r="J435" i="103"/>
  <c r="J437" i="103"/>
  <c r="J438" i="103"/>
  <c r="J439" i="103"/>
  <c r="AJ5" i="103"/>
  <c r="AH5" i="103"/>
  <c r="AD5" i="103"/>
  <c r="AW5" i="103"/>
  <c r="AX5" i="103"/>
  <c r="AY5" i="103"/>
  <c r="AZ5" i="103"/>
  <c r="BA5" i="103"/>
  <c r="BB5" i="103"/>
  <c r="BC5" i="103"/>
  <c r="BD5" i="103"/>
  <c r="BI5" i="103"/>
  <c r="BM5" i="103"/>
  <c r="F6" i="103"/>
  <c r="K6" i="103"/>
  <c r="L6" i="103"/>
  <c r="AE6" i="103"/>
  <c r="AI6" i="103"/>
  <c r="AG6" i="103"/>
  <c r="AC6" i="103"/>
  <c r="AF6" i="103"/>
  <c r="AJ6" i="103"/>
  <c r="AH6" i="103"/>
  <c r="AD6" i="103"/>
  <c r="AW6" i="103"/>
  <c r="AX6" i="103"/>
  <c r="AY6" i="103"/>
  <c r="AZ6" i="103"/>
  <c r="BA6" i="103"/>
  <c r="BB6" i="103"/>
  <c r="BC6" i="103"/>
  <c r="BD6" i="103"/>
  <c r="BI6" i="103"/>
  <c r="BM6" i="103"/>
  <c r="F7" i="103"/>
  <c r="K7" i="103"/>
  <c r="L7" i="103"/>
  <c r="AE7" i="103"/>
  <c r="AI7" i="103"/>
  <c r="AG7" i="103"/>
  <c r="AC7" i="103"/>
  <c r="AF7" i="103"/>
  <c r="AJ7" i="103"/>
  <c r="AH7" i="103"/>
  <c r="AD7" i="103"/>
  <c r="AW7" i="103"/>
  <c r="AX7" i="103"/>
  <c r="AY7" i="103"/>
  <c r="AZ7" i="103"/>
  <c r="BA7" i="103"/>
  <c r="BB7" i="103"/>
  <c r="BC7" i="103"/>
  <c r="BD7" i="103"/>
  <c r="BI7" i="103"/>
  <c r="BM7" i="103"/>
  <c r="BV7" i="103"/>
  <c r="BW7" i="103"/>
  <c r="BX7" i="103"/>
  <c r="BY7" i="103"/>
  <c r="CB7" i="103"/>
  <c r="F8" i="103"/>
  <c r="K8" i="103"/>
  <c r="L8" i="103"/>
  <c r="AE8" i="103"/>
  <c r="AI8" i="103"/>
  <c r="AG8" i="103"/>
  <c r="AC8" i="103"/>
  <c r="AF8" i="103"/>
  <c r="AJ8" i="103"/>
  <c r="AH8" i="103"/>
  <c r="AD8" i="103"/>
  <c r="AW8" i="103"/>
  <c r="AX8" i="103"/>
  <c r="AY8" i="103"/>
  <c r="AZ8" i="103"/>
  <c r="BA8" i="103"/>
  <c r="BB8" i="103"/>
  <c r="BC8" i="103"/>
  <c r="BD8" i="103"/>
  <c r="BV19" i="103"/>
  <c r="BW19" i="103"/>
  <c r="BX19" i="103"/>
  <c r="BY19" i="103"/>
  <c r="CB19" i="103"/>
  <c r="BI8" i="103"/>
  <c r="BV8" i="103"/>
  <c r="BW8" i="103"/>
  <c r="BX8" i="103"/>
  <c r="BY8" i="103"/>
  <c r="CB8" i="103"/>
  <c r="CC8" i="103"/>
  <c r="CD8" i="103"/>
  <c r="BV9" i="103"/>
  <c r="BW9" i="103"/>
  <c r="BX9" i="103"/>
  <c r="BY9" i="103"/>
  <c r="CB9" i="103"/>
  <c r="F10" i="103"/>
  <c r="K10" i="103"/>
  <c r="L10" i="103"/>
  <c r="BV10" i="103"/>
  <c r="BW10" i="103"/>
  <c r="BX10" i="103"/>
  <c r="BY10" i="103"/>
  <c r="CB10" i="103"/>
  <c r="CC10" i="103"/>
  <c r="CD10" i="103"/>
  <c r="AC11" i="103"/>
  <c r="AD11" i="103"/>
  <c r="AE11" i="103"/>
  <c r="AF11" i="103"/>
  <c r="BV11" i="103"/>
  <c r="BW11" i="103"/>
  <c r="BX11" i="103"/>
  <c r="BY11" i="103"/>
  <c r="CB11" i="103"/>
  <c r="F12" i="103"/>
  <c r="K12" i="103"/>
  <c r="L12" i="103"/>
  <c r="AC12" i="103"/>
  <c r="AD12" i="103"/>
  <c r="AE12" i="103"/>
  <c r="AF12" i="103"/>
  <c r="AW12" i="103"/>
  <c r="AX12" i="103"/>
  <c r="AY12" i="103"/>
  <c r="AZ12" i="103"/>
  <c r="BA12" i="103"/>
  <c r="BB12" i="103"/>
  <c r="BC12" i="103"/>
  <c r="BD12" i="103"/>
  <c r="BV12" i="103"/>
  <c r="BW12" i="103"/>
  <c r="BX12" i="103"/>
  <c r="BY12" i="103"/>
  <c r="CB12" i="103"/>
  <c r="CC12" i="103"/>
  <c r="CD12" i="103"/>
  <c r="AC13" i="103"/>
  <c r="AD13" i="103"/>
  <c r="AE13" i="103"/>
  <c r="AF13" i="103"/>
  <c r="AW13" i="103"/>
  <c r="AX13" i="103"/>
  <c r="AY13" i="103"/>
  <c r="AZ13" i="103"/>
  <c r="BA13" i="103"/>
  <c r="BB13" i="103"/>
  <c r="BC13" i="103"/>
  <c r="BD13" i="103"/>
  <c r="BV13" i="103"/>
  <c r="BW13" i="103"/>
  <c r="BX13" i="103"/>
  <c r="BY13" i="103"/>
  <c r="CB13" i="103"/>
  <c r="F14" i="103"/>
  <c r="K14" i="103"/>
  <c r="L14" i="103"/>
  <c r="AC14" i="103"/>
  <c r="AD14" i="103"/>
  <c r="AE14" i="103"/>
  <c r="AF14" i="103"/>
  <c r="AW14" i="103"/>
  <c r="AX14" i="103"/>
  <c r="AY14" i="103"/>
  <c r="AZ14" i="103"/>
  <c r="BA14" i="103"/>
  <c r="BB14" i="103"/>
  <c r="BC14" i="103"/>
  <c r="BD14" i="103"/>
  <c r="BV14" i="103"/>
  <c r="BW14" i="103"/>
  <c r="BX14" i="103"/>
  <c r="BY14" i="103"/>
  <c r="CB14" i="103"/>
  <c r="CC14" i="103"/>
  <c r="CD14" i="103"/>
  <c r="F15" i="103"/>
  <c r="K15" i="103"/>
  <c r="L15" i="103"/>
  <c r="AW15" i="103"/>
  <c r="AX15" i="103"/>
  <c r="AY15" i="103"/>
  <c r="AZ15" i="103"/>
  <c r="BA15" i="103"/>
  <c r="BB15" i="103"/>
  <c r="BC15" i="103"/>
  <c r="BD15" i="103"/>
  <c r="BV15" i="103"/>
  <c r="BW15" i="103"/>
  <c r="BX15" i="103"/>
  <c r="BY15" i="103"/>
  <c r="CB15" i="103"/>
  <c r="F16" i="103"/>
  <c r="K16" i="103"/>
  <c r="L16" i="103"/>
  <c r="BV16" i="103"/>
  <c r="BW16" i="103"/>
  <c r="BX16" i="103"/>
  <c r="BY16" i="103"/>
  <c r="CB16" i="103"/>
  <c r="CC16" i="103"/>
  <c r="CD16" i="103"/>
  <c r="BV17" i="103"/>
  <c r="BW17" i="103"/>
  <c r="BX17" i="103"/>
  <c r="BY17" i="103"/>
  <c r="CB17" i="103"/>
  <c r="F18" i="103"/>
  <c r="K18" i="103"/>
  <c r="L18" i="103"/>
  <c r="AC18" i="103"/>
  <c r="AD18" i="103"/>
  <c r="AE18" i="103"/>
  <c r="AF18" i="103"/>
  <c r="AW18" i="103"/>
  <c r="AX18" i="103"/>
  <c r="AY18" i="103"/>
  <c r="AZ18" i="103"/>
  <c r="BV18" i="103"/>
  <c r="BW18" i="103"/>
  <c r="BX18" i="103"/>
  <c r="BY18" i="103"/>
  <c r="CB18" i="103"/>
  <c r="CC18" i="103"/>
  <c r="CD18" i="103"/>
  <c r="AC19" i="103"/>
  <c r="AD19" i="103"/>
  <c r="AE19" i="103"/>
  <c r="AF19" i="103"/>
  <c r="AW19" i="103"/>
  <c r="AX19" i="103"/>
  <c r="AY19" i="103"/>
  <c r="AZ19" i="103"/>
  <c r="F20" i="103"/>
  <c r="K20" i="103"/>
  <c r="L20" i="103"/>
  <c r="AC20" i="103"/>
  <c r="AD20" i="103"/>
  <c r="AE20" i="103"/>
  <c r="AF20" i="103"/>
  <c r="AW20" i="103"/>
  <c r="AX20" i="103"/>
  <c r="AY20" i="103"/>
  <c r="AZ20" i="103"/>
  <c r="BV20" i="103"/>
  <c r="BW20" i="103"/>
  <c r="BX20" i="103"/>
  <c r="BY20" i="103"/>
  <c r="CB20" i="103"/>
  <c r="CC20" i="103"/>
  <c r="CD20" i="103"/>
  <c r="F21" i="103"/>
  <c r="K21" i="103"/>
  <c r="L21" i="103"/>
  <c r="AC21" i="103"/>
  <c r="AD21" i="103"/>
  <c r="AE21" i="103"/>
  <c r="AF21" i="103"/>
  <c r="AW21" i="103"/>
  <c r="AX21" i="103"/>
  <c r="AY21" i="103"/>
  <c r="AZ21" i="103"/>
  <c r="BV21" i="103"/>
  <c r="BW21" i="103"/>
  <c r="BX21" i="103"/>
  <c r="BY21" i="103"/>
  <c r="CB21" i="103"/>
  <c r="F22" i="103"/>
  <c r="K22" i="103"/>
  <c r="L22" i="103"/>
  <c r="BV22" i="103"/>
  <c r="BW22" i="103"/>
  <c r="BX22" i="103"/>
  <c r="BY22" i="103"/>
  <c r="CB22" i="103"/>
  <c r="CC22" i="103"/>
  <c r="CD22" i="103"/>
  <c r="F23" i="103"/>
  <c r="K23" i="103"/>
  <c r="L23" i="103"/>
  <c r="F24" i="103"/>
  <c r="K24" i="103"/>
  <c r="L24" i="103"/>
  <c r="AW25" i="103"/>
  <c r="AX25" i="103"/>
  <c r="AY25" i="103"/>
  <c r="AZ25" i="103"/>
  <c r="BR25" i="103"/>
  <c r="BS25" i="103"/>
  <c r="BT25" i="103"/>
  <c r="BU25" i="103"/>
  <c r="BV25" i="103"/>
  <c r="AW26" i="103"/>
  <c r="AX26" i="103"/>
  <c r="AY26" i="103"/>
  <c r="AZ26" i="103"/>
  <c r="F27" i="103"/>
  <c r="K27" i="103"/>
  <c r="L27" i="103"/>
  <c r="AW27" i="103"/>
  <c r="AX27" i="103"/>
  <c r="AY27" i="103"/>
  <c r="AZ27" i="103"/>
  <c r="AD28" i="103"/>
  <c r="AE28" i="103"/>
  <c r="AH28" i="103"/>
  <c r="AI28" i="103"/>
  <c r="AW28" i="103"/>
  <c r="AX28" i="103"/>
  <c r="AY28" i="103"/>
  <c r="AZ28" i="103"/>
  <c r="F29" i="103"/>
  <c r="K29" i="103"/>
  <c r="L29" i="103"/>
  <c r="AD29" i="103"/>
  <c r="AE29" i="103"/>
  <c r="AH29" i="103"/>
  <c r="AI29" i="103"/>
  <c r="F30" i="103"/>
  <c r="K30" i="103"/>
  <c r="L30" i="103"/>
  <c r="AD30" i="103"/>
  <c r="AE30" i="103"/>
  <c r="AH30" i="103"/>
  <c r="AI30" i="103"/>
  <c r="F31" i="103"/>
  <c r="K31" i="103"/>
  <c r="L31" i="103"/>
  <c r="BR31" i="103"/>
  <c r="BS31" i="103"/>
  <c r="BT31" i="103"/>
  <c r="BU31" i="103"/>
  <c r="F32" i="103"/>
  <c r="K32" i="103"/>
  <c r="F33" i="103"/>
  <c r="K33" i="103"/>
  <c r="L33" i="103"/>
  <c r="AB33" i="103"/>
  <c r="AC33" i="103"/>
  <c r="AD33" i="103"/>
  <c r="AE33" i="103"/>
  <c r="F34" i="103"/>
  <c r="K34" i="103"/>
  <c r="L34" i="103"/>
  <c r="AB34" i="103"/>
  <c r="AC34" i="103"/>
  <c r="AD34" i="103"/>
  <c r="AE34" i="103"/>
  <c r="F35" i="103"/>
  <c r="K35" i="103"/>
  <c r="L35" i="103"/>
  <c r="AB35" i="103"/>
  <c r="AC35" i="103"/>
  <c r="AD35" i="103"/>
  <c r="AE35" i="103"/>
  <c r="AX35" i="103"/>
  <c r="AY35" i="103"/>
  <c r="BB35" i="103"/>
  <c r="BC35" i="103"/>
  <c r="F36" i="103"/>
  <c r="K36" i="103"/>
  <c r="AX36" i="103"/>
  <c r="AY36" i="103"/>
  <c r="BB36" i="103"/>
  <c r="BC36" i="103"/>
  <c r="BR36" i="103"/>
  <c r="BS36" i="103"/>
  <c r="BT36" i="103"/>
  <c r="BU36" i="103"/>
  <c r="F37" i="103"/>
  <c r="K37" i="103"/>
  <c r="L37" i="103"/>
  <c r="AX37" i="103"/>
  <c r="AY37" i="103"/>
  <c r="BB37" i="103"/>
  <c r="BC37" i="103"/>
  <c r="F38" i="103"/>
  <c r="K38" i="103"/>
  <c r="L38" i="103"/>
  <c r="AB39" i="103"/>
  <c r="AC39" i="103"/>
  <c r="AD39" i="103"/>
  <c r="AE39" i="103"/>
  <c r="F40" i="103"/>
  <c r="K40" i="103"/>
  <c r="L40" i="103"/>
  <c r="AB40" i="103"/>
  <c r="AC40" i="103"/>
  <c r="AD40" i="103"/>
  <c r="AE40" i="103"/>
  <c r="AV40" i="103"/>
  <c r="AW40" i="103"/>
  <c r="AX40" i="103"/>
  <c r="AY40" i="103"/>
  <c r="AZ40" i="103"/>
  <c r="BA40" i="103"/>
  <c r="BB40" i="103"/>
  <c r="BC40" i="103"/>
  <c r="F41" i="103"/>
  <c r="K41" i="103"/>
  <c r="AB41" i="103"/>
  <c r="AC41" i="103"/>
  <c r="AD41" i="103"/>
  <c r="AE41" i="103"/>
  <c r="AV41" i="103"/>
  <c r="AW41" i="103"/>
  <c r="AX41" i="103"/>
  <c r="AY41" i="103"/>
  <c r="AZ41" i="103"/>
  <c r="BA41" i="103"/>
  <c r="BB41" i="103"/>
  <c r="BC41" i="103"/>
  <c r="F42" i="103"/>
  <c r="K42" i="103"/>
  <c r="L42" i="103"/>
  <c r="AV42" i="103"/>
  <c r="AW42" i="103"/>
  <c r="AX42" i="103"/>
  <c r="AY42" i="103"/>
  <c r="AZ42" i="103"/>
  <c r="BA42" i="103"/>
  <c r="BB42" i="103"/>
  <c r="BC42" i="103"/>
  <c r="F44" i="103"/>
  <c r="K44" i="103"/>
  <c r="L44" i="103"/>
  <c r="AC44" i="103"/>
  <c r="AE45" i="103"/>
  <c r="AV45" i="103"/>
  <c r="AW45" i="103"/>
  <c r="AX45" i="103"/>
  <c r="AY45" i="103"/>
  <c r="F46" i="103"/>
  <c r="K46" i="103"/>
  <c r="L46" i="103"/>
  <c r="AE46" i="103"/>
  <c r="AV46" i="103"/>
  <c r="AW46" i="103"/>
  <c r="AX46" i="103"/>
  <c r="AY46" i="103"/>
  <c r="AE47" i="103"/>
  <c r="AV47" i="103"/>
  <c r="AW47" i="103"/>
  <c r="AX47" i="103"/>
  <c r="AY47" i="103"/>
  <c r="AE48" i="103"/>
  <c r="AE49" i="103"/>
  <c r="AE50" i="103"/>
  <c r="AE51" i="103"/>
  <c r="AV51" i="103"/>
  <c r="AW51" i="103"/>
  <c r="AX51" i="103"/>
  <c r="AY51" i="103"/>
  <c r="F52" i="103"/>
  <c r="K52" i="103"/>
  <c r="L52" i="103"/>
  <c r="AE52" i="103"/>
  <c r="AV52" i="103"/>
  <c r="AW52" i="103"/>
  <c r="AX52" i="103"/>
  <c r="AY52" i="103"/>
  <c r="F53" i="103"/>
  <c r="K53" i="103"/>
  <c r="L53" i="103"/>
  <c r="AE53" i="103"/>
  <c r="AV53" i="103"/>
  <c r="AW53" i="103"/>
  <c r="AX53" i="103"/>
  <c r="AY53" i="103"/>
  <c r="AE54" i="103"/>
  <c r="AE55" i="103"/>
  <c r="AE56" i="103"/>
  <c r="AV56" i="103"/>
  <c r="AC57" i="103"/>
  <c r="AY57" i="103"/>
  <c r="AZ57" i="103"/>
  <c r="BA57" i="103"/>
  <c r="BB57" i="103"/>
  <c r="BH57" i="103"/>
  <c r="BI57" i="103"/>
  <c r="BJ57" i="103"/>
  <c r="BK57" i="103"/>
  <c r="AE58" i="103"/>
  <c r="AY58" i="103"/>
  <c r="AZ58" i="103"/>
  <c r="BA58" i="103"/>
  <c r="BB58" i="103"/>
  <c r="BH58" i="103"/>
  <c r="BI58" i="103"/>
  <c r="BJ58" i="103"/>
  <c r="BK58" i="103"/>
  <c r="F59" i="103"/>
  <c r="K59" i="103"/>
  <c r="L59" i="103"/>
  <c r="AE59" i="103"/>
  <c r="AY59" i="103"/>
  <c r="AZ59" i="103"/>
  <c r="BA59" i="103"/>
  <c r="BB59" i="103"/>
  <c r="BH59" i="103"/>
  <c r="BI59" i="103"/>
  <c r="BJ59" i="103"/>
  <c r="BK59" i="103"/>
  <c r="AE60" i="103"/>
  <c r="AY60" i="103"/>
  <c r="AZ60" i="103"/>
  <c r="BA60" i="103"/>
  <c r="BB60" i="103"/>
  <c r="BH60" i="103"/>
  <c r="BI60" i="103"/>
  <c r="BJ60" i="103"/>
  <c r="BK60" i="103"/>
  <c r="F61" i="103"/>
  <c r="K61" i="103"/>
  <c r="L61" i="103"/>
  <c r="AE61" i="103"/>
  <c r="AY61" i="103"/>
  <c r="AZ61" i="103"/>
  <c r="BA61" i="103"/>
  <c r="BB61" i="103"/>
  <c r="BH61" i="103"/>
  <c r="BI61" i="103"/>
  <c r="BJ61" i="103"/>
  <c r="BK61" i="103"/>
  <c r="F62" i="103"/>
  <c r="K62" i="103"/>
  <c r="L62" i="103"/>
  <c r="AE62" i="103"/>
  <c r="AY62" i="103"/>
  <c r="AZ62" i="103"/>
  <c r="BA62" i="103"/>
  <c r="BB62" i="103"/>
  <c r="BH62" i="103"/>
  <c r="BI62" i="103"/>
  <c r="BJ62" i="103"/>
  <c r="BK62" i="103"/>
  <c r="F63" i="103"/>
  <c r="K63" i="103"/>
  <c r="L63" i="103"/>
  <c r="AE63" i="103"/>
  <c r="AY63" i="103"/>
  <c r="AZ63" i="103"/>
  <c r="BA63" i="103"/>
  <c r="BB63" i="103"/>
  <c r="BH63" i="103"/>
  <c r="BI63" i="103"/>
  <c r="BJ63" i="103"/>
  <c r="BK63" i="103"/>
  <c r="AE64" i="103"/>
  <c r="AY64" i="103"/>
  <c r="AZ64" i="103"/>
  <c r="BA64" i="103"/>
  <c r="BB64" i="103"/>
  <c r="BH64" i="103"/>
  <c r="BI64" i="103"/>
  <c r="BJ64" i="103"/>
  <c r="BK64" i="103"/>
  <c r="F65" i="103"/>
  <c r="K65" i="103"/>
  <c r="L65" i="103"/>
  <c r="AE65" i="103"/>
  <c r="AY65" i="103"/>
  <c r="AZ65" i="103"/>
  <c r="BA65" i="103"/>
  <c r="BB65" i="103"/>
  <c r="BH65" i="103"/>
  <c r="BI65" i="103"/>
  <c r="BJ65" i="103"/>
  <c r="BK65" i="103"/>
  <c r="AE66" i="103"/>
  <c r="AY66" i="103"/>
  <c r="AZ66" i="103"/>
  <c r="BA66" i="103"/>
  <c r="BB66" i="103"/>
  <c r="BH66" i="103"/>
  <c r="BI66" i="103"/>
  <c r="BJ66" i="103"/>
  <c r="BK66" i="103"/>
  <c r="AE67" i="103"/>
  <c r="AY67" i="103"/>
  <c r="AZ67" i="103"/>
  <c r="BA67" i="103"/>
  <c r="BB67" i="103"/>
  <c r="BH67" i="103"/>
  <c r="BI67" i="103"/>
  <c r="BJ67" i="103"/>
  <c r="BK67" i="103"/>
  <c r="F68" i="103"/>
  <c r="K68" i="103"/>
  <c r="L68" i="103"/>
  <c r="AE68" i="103"/>
  <c r="AY68" i="103"/>
  <c r="AZ68" i="103"/>
  <c r="BA68" i="103"/>
  <c r="BB68" i="103"/>
  <c r="BH68" i="103"/>
  <c r="BI68" i="103"/>
  <c r="BJ68" i="103"/>
  <c r="BK68" i="103"/>
  <c r="F69" i="103"/>
  <c r="K69" i="103"/>
  <c r="L69" i="103"/>
  <c r="AE69" i="103"/>
  <c r="AY69" i="103"/>
  <c r="AZ69" i="103"/>
  <c r="BA69" i="103"/>
  <c r="BB69" i="103"/>
  <c r="BH69" i="103"/>
  <c r="BI69" i="103"/>
  <c r="BJ69" i="103"/>
  <c r="BK69" i="103"/>
  <c r="F70" i="103"/>
  <c r="K70" i="103"/>
  <c r="L70" i="103"/>
  <c r="AY70" i="103"/>
  <c r="AZ70" i="103"/>
  <c r="BA70" i="103"/>
  <c r="BB70" i="103"/>
  <c r="BH70" i="103"/>
  <c r="BI70" i="103"/>
  <c r="BJ70" i="103"/>
  <c r="BK70" i="103"/>
  <c r="AY71" i="103"/>
  <c r="AZ71" i="103"/>
  <c r="BA71" i="103"/>
  <c r="BB71" i="103"/>
  <c r="BH71" i="103"/>
  <c r="BI71" i="103"/>
  <c r="BJ71" i="103"/>
  <c r="BK71" i="103"/>
  <c r="F72" i="103"/>
  <c r="K72" i="103"/>
  <c r="AY72" i="103"/>
  <c r="AZ72" i="103"/>
  <c r="BA72" i="103"/>
  <c r="BB72" i="103"/>
  <c r="BH72" i="103"/>
  <c r="BI72" i="103"/>
  <c r="BJ72" i="103"/>
  <c r="BK72" i="103"/>
  <c r="F74" i="103"/>
  <c r="K74" i="103"/>
  <c r="L74" i="103"/>
  <c r="BE74" i="103"/>
  <c r="BH75" i="103"/>
  <c r="BI75" i="103"/>
  <c r="BJ75" i="103"/>
  <c r="BK75" i="103"/>
  <c r="BH76" i="103"/>
  <c r="BI76" i="103"/>
  <c r="BJ76" i="103"/>
  <c r="BK76" i="103"/>
  <c r="F77" i="103"/>
  <c r="K77" i="103"/>
  <c r="BH77" i="103"/>
  <c r="BI77" i="103"/>
  <c r="BJ77" i="103"/>
  <c r="BK77" i="103"/>
  <c r="BH78" i="103"/>
  <c r="BI78" i="103"/>
  <c r="BJ78" i="103"/>
  <c r="BK78" i="103"/>
  <c r="F79" i="103"/>
  <c r="K79" i="103"/>
  <c r="L79" i="103"/>
  <c r="F80" i="103"/>
  <c r="K80" i="103"/>
  <c r="L80" i="103"/>
  <c r="F81" i="103"/>
  <c r="K81" i="103"/>
  <c r="L81" i="103"/>
  <c r="F82" i="103"/>
  <c r="K82" i="103"/>
  <c r="L82" i="103"/>
  <c r="F83" i="103"/>
  <c r="K83" i="103"/>
  <c r="L83" i="103"/>
  <c r="F84" i="103"/>
  <c r="K84" i="103"/>
  <c r="L84" i="103"/>
  <c r="F88" i="103"/>
  <c r="K88" i="103"/>
  <c r="L88" i="103"/>
  <c r="F89" i="103"/>
  <c r="K89" i="103"/>
  <c r="L89" i="103"/>
  <c r="F90" i="103"/>
  <c r="K90" i="103"/>
  <c r="L90" i="103"/>
  <c r="F91" i="103"/>
  <c r="K91" i="103"/>
  <c r="L91" i="103"/>
  <c r="F93" i="103"/>
  <c r="K93" i="103"/>
  <c r="F94" i="103"/>
  <c r="K94" i="103"/>
  <c r="F96" i="103"/>
  <c r="K96" i="103"/>
  <c r="L96" i="103"/>
  <c r="F97" i="103"/>
  <c r="K97" i="103"/>
  <c r="L97" i="103"/>
  <c r="F106" i="103"/>
  <c r="K106" i="103"/>
  <c r="L106" i="103"/>
  <c r="F109" i="103"/>
  <c r="K109" i="103"/>
  <c r="L109" i="103"/>
  <c r="F110" i="103"/>
  <c r="K110" i="103"/>
  <c r="L110" i="103"/>
  <c r="F114" i="103"/>
  <c r="K114" i="103"/>
  <c r="L114" i="103"/>
  <c r="F117" i="103"/>
  <c r="K117" i="103"/>
  <c r="L117" i="103"/>
  <c r="F120" i="103"/>
  <c r="K120" i="103"/>
  <c r="L120" i="103"/>
  <c r="F121" i="103"/>
  <c r="K121" i="103"/>
  <c r="L121" i="103"/>
  <c r="F122" i="103"/>
  <c r="K122" i="103"/>
  <c r="L122" i="103"/>
  <c r="F123" i="103"/>
  <c r="K123" i="103"/>
  <c r="L123" i="103"/>
  <c r="F124" i="103"/>
  <c r="K124" i="103"/>
  <c r="L124" i="103"/>
  <c r="F126" i="103"/>
  <c r="K126" i="103"/>
  <c r="L126" i="103"/>
  <c r="F127" i="103"/>
  <c r="K127" i="103"/>
  <c r="L127" i="103"/>
  <c r="F128" i="103"/>
  <c r="K128" i="103"/>
  <c r="L128" i="103"/>
  <c r="F129" i="103"/>
  <c r="K129" i="103"/>
  <c r="L129" i="103"/>
  <c r="F131" i="103"/>
  <c r="K131" i="103"/>
  <c r="L131" i="103"/>
  <c r="F133" i="103"/>
  <c r="K133" i="103"/>
  <c r="L133" i="103"/>
  <c r="F134" i="103"/>
  <c r="K134" i="103"/>
  <c r="L134" i="103"/>
  <c r="F136" i="103"/>
  <c r="K136" i="103"/>
  <c r="L136" i="103"/>
  <c r="F138" i="103"/>
  <c r="K138" i="103"/>
  <c r="F139" i="103"/>
  <c r="K139" i="103"/>
  <c r="L139" i="103"/>
  <c r="F140" i="103"/>
  <c r="K140" i="103"/>
  <c r="L140" i="103"/>
  <c r="F142" i="103"/>
  <c r="K142" i="103"/>
  <c r="L142" i="103"/>
  <c r="F143" i="103"/>
  <c r="K143" i="103"/>
  <c r="F144" i="103"/>
  <c r="K144" i="103"/>
  <c r="L144" i="103"/>
  <c r="F145" i="103"/>
  <c r="K145" i="103"/>
  <c r="L145" i="103"/>
  <c r="F148" i="103"/>
  <c r="K148" i="103"/>
  <c r="L148" i="103"/>
  <c r="F151" i="103"/>
  <c r="K151" i="103"/>
  <c r="L151" i="103"/>
  <c r="F152" i="103"/>
  <c r="K152" i="103"/>
  <c r="L152" i="103"/>
  <c r="F153" i="103"/>
  <c r="K153" i="103"/>
  <c r="L153" i="103"/>
  <c r="F154" i="103"/>
  <c r="K154" i="103"/>
  <c r="L154" i="103"/>
  <c r="F155" i="103"/>
  <c r="K155" i="103"/>
  <c r="L155" i="103"/>
  <c r="F159" i="103"/>
  <c r="K159" i="103"/>
  <c r="L159" i="103"/>
  <c r="F161" i="103"/>
  <c r="K161" i="103"/>
  <c r="L161" i="103"/>
  <c r="F162" i="103"/>
  <c r="K162" i="103"/>
  <c r="F163" i="103"/>
  <c r="K163" i="103"/>
  <c r="F164" i="103"/>
  <c r="K164" i="103"/>
  <c r="F165" i="103"/>
  <c r="K165" i="103"/>
  <c r="L165" i="103"/>
  <c r="F166" i="103"/>
  <c r="K166" i="103"/>
  <c r="L166" i="103"/>
  <c r="F170" i="103"/>
  <c r="K170" i="103"/>
  <c r="L170" i="103"/>
  <c r="F171" i="103"/>
  <c r="K171" i="103"/>
  <c r="L171" i="103"/>
  <c r="F173" i="103"/>
  <c r="K173" i="103"/>
  <c r="L173" i="103"/>
  <c r="F174" i="103"/>
  <c r="K174" i="103"/>
  <c r="L174" i="103"/>
  <c r="F175" i="103"/>
  <c r="K175" i="103"/>
  <c r="L175" i="103"/>
  <c r="F176" i="103"/>
  <c r="K176" i="103"/>
  <c r="L176" i="103"/>
  <c r="F177" i="103"/>
  <c r="K177" i="103"/>
  <c r="L177" i="103"/>
  <c r="F178" i="103"/>
  <c r="K178" i="103"/>
  <c r="L178" i="103"/>
  <c r="F180" i="103"/>
  <c r="K180" i="103"/>
  <c r="L180" i="103"/>
  <c r="F181" i="103"/>
  <c r="K181" i="103"/>
  <c r="L181" i="103"/>
  <c r="F183" i="103"/>
  <c r="K183" i="103"/>
  <c r="L183" i="103"/>
  <c r="F188" i="103"/>
  <c r="K188" i="103"/>
  <c r="L188" i="103"/>
  <c r="F192" i="103"/>
  <c r="K192" i="103"/>
  <c r="L192" i="103"/>
  <c r="F193" i="103"/>
  <c r="K193" i="103"/>
  <c r="L193" i="103"/>
  <c r="F195" i="103"/>
  <c r="K195" i="103"/>
  <c r="F196" i="103"/>
  <c r="K196" i="103"/>
  <c r="L196" i="103"/>
  <c r="F197" i="103"/>
  <c r="K197" i="103"/>
  <c r="F200" i="103"/>
  <c r="K200" i="103"/>
  <c r="L200" i="103"/>
  <c r="F202" i="103"/>
  <c r="K202" i="103"/>
  <c r="L202" i="103"/>
  <c r="F203" i="103"/>
  <c r="K203" i="103"/>
  <c r="F207" i="103"/>
  <c r="K207" i="103"/>
  <c r="L207" i="103"/>
  <c r="F208" i="103"/>
  <c r="K208" i="103"/>
  <c r="L208" i="103"/>
  <c r="F215" i="103"/>
  <c r="K215" i="103"/>
  <c r="F216" i="103"/>
  <c r="K216" i="103"/>
  <c r="L216" i="103"/>
  <c r="F220" i="103"/>
  <c r="K220" i="103"/>
  <c r="L220" i="103"/>
  <c r="F221" i="103"/>
  <c r="K221" i="103"/>
  <c r="L221" i="103"/>
  <c r="F222" i="103"/>
  <c r="K222" i="103"/>
  <c r="L222" i="103"/>
  <c r="F223" i="103"/>
  <c r="K223" i="103"/>
  <c r="L223" i="103"/>
  <c r="F227" i="103"/>
  <c r="K227" i="103"/>
  <c r="L227" i="103"/>
  <c r="F229" i="103"/>
  <c r="K229" i="103"/>
  <c r="L229" i="103"/>
  <c r="F230" i="103"/>
  <c r="K230" i="103"/>
  <c r="L230" i="103"/>
  <c r="F233" i="103"/>
  <c r="K233" i="103"/>
  <c r="L233" i="103"/>
  <c r="F235" i="103"/>
  <c r="K235" i="103"/>
  <c r="L235" i="103"/>
  <c r="F237" i="103"/>
  <c r="K237" i="103"/>
  <c r="L237" i="103"/>
  <c r="F238" i="103"/>
  <c r="K238" i="103"/>
  <c r="F241" i="103"/>
  <c r="K241" i="103"/>
  <c r="L241" i="103"/>
  <c r="F245" i="103"/>
  <c r="K245" i="103"/>
  <c r="L245" i="103"/>
  <c r="F246" i="103"/>
  <c r="K246" i="103"/>
  <c r="F248" i="103"/>
  <c r="K248" i="103"/>
  <c r="L248" i="103"/>
  <c r="F250" i="103"/>
  <c r="K250" i="103"/>
  <c r="L250" i="103"/>
  <c r="F251" i="103"/>
  <c r="K251" i="103"/>
  <c r="L251" i="103"/>
  <c r="F252" i="103"/>
  <c r="K252" i="103"/>
  <c r="L252" i="103"/>
  <c r="F255" i="103"/>
  <c r="K255" i="103"/>
  <c r="F256" i="103"/>
  <c r="K256" i="103"/>
  <c r="L256" i="103"/>
  <c r="F257" i="103"/>
  <c r="K257" i="103"/>
  <c r="F258" i="103"/>
  <c r="K258" i="103"/>
  <c r="L258" i="103"/>
  <c r="F262" i="103"/>
  <c r="K262" i="103"/>
  <c r="L262" i="103"/>
  <c r="F263" i="103"/>
  <c r="K263" i="103"/>
  <c r="L263" i="103"/>
  <c r="F264" i="103"/>
  <c r="K264" i="103"/>
  <c r="L264" i="103"/>
  <c r="F265" i="103"/>
  <c r="K265" i="103"/>
  <c r="L265" i="103"/>
  <c r="F269" i="103"/>
  <c r="K269" i="103"/>
  <c r="L269" i="103"/>
  <c r="F270" i="103"/>
  <c r="K270" i="103"/>
  <c r="L270" i="103"/>
  <c r="F271" i="103"/>
  <c r="K271" i="103"/>
  <c r="L271" i="103"/>
  <c r="F272" i="103"/>
  <c r="K272" i="103"/>
  <c r="L272" i="103"/>
  <c r="F273" i="103"/>
  <c r="K273" i="103"/>
  <c r="L273" i="103"/>
  <c r="F277" i="103"/>
  <c r="K277" i="103"/>
  <c r="L277" i="103"/>
  <c r="F278" i="103"/>
  <c r="K278" i="103"/>
  <c r="L278" i="103"/>
  <c r="F279" i="103"/>
  <c r="K279" i="103"/>
  <c r="L279" i="103"/>
  <c r="F280" i="103"/>
  <c r="K280" i="103"/>
  <c r="L280" i="103"/>
  <c r="F282" i="103"/>
  <c r="K282" i="103"/>
  <c r="L282" i="103"/>
  <c r="F284" i="103"/>
  <c r="K284" i="103"/>
  <c r="L284" i="103"/>
  <c r="F285" i="103"/>
  <c r="K285" i="103"/>
  <c r="F290" i="103"/>
  <c r="K290" i="103"/>
  <c r="L290" i="103"/>
  <c r="F291" i="103"/>
  <c r="K291" i="103"/>
  <c r="L291" i="103"/>
  <c r="F292" i="103"/>
  <c r="K292" i="103"/>
  <c r="L292" i="103"/>
  <c r="F293" i="103"/>
  <c r="K293" i="103"/>
  <c r="L293" i="103"/>
  <c r="F294" i="103"/>
  <c r="K294" i="103"/>
  <c r="L294" i="103"/>
  <c r="F297" i="103"/>
  <c r="K297" i="103"/>
  <c r="L297" i="103"/>
  <c r="F298" i="103"/>
  <c r="K298" i="103"/>
  <c r="L298" i="103"/>
  <c r="F299" i="103"/>
  <c r="K299" i="103"/>
  <c r="L299" i="103"/>
  <c r="F300" i="103"/>
  <c r="K300" i="103"/>
  <c r="L300" i="103"/>
  <c r="F301" i="103"/>
  <c r="K301" i="103"/>
  <c r="L301" i="103"/>
  <c r="F302" i="103"/>
  <c r="K302" i="103"/>
  <c r="L302" i="103"/>
  <c r="F303" i="103"/>
  <c r="K303" i="103"/>
  <c r="L303" i="103"/>
  <c r="F304" i="103"/>
  <c r="K304" i="103"/>
  <c r="L304" i="103"/>
  <c r="F305" i="103"/>
  <c r="K305" i="103"/>
  <c r="L305" i="103"/>
  <c r="F308" i="103"/>
  <c r="K308" i="103"/>
  <c r="L308" i="103"/>
  <c r="F309" i="103"/>
  <c r="K309" i="103"/>
  <c r="L309" i="103"/>
  <c r="F313" i="103"/>
  <c r="K313" i="103"/>
  <c r="L313" i="103"/>
  <c r="F316" i="103"/>
  <c r="K316" i="103"/>
  <c r="L316" i="103"/>
  <c r="F317" i="103"/>
  <c r="K317" i="103"/>
  <c r="L317" i="103"/>
  <c r="F318" i="103"/>
  <c r="K318" i="103"/>
  <c r="L318" i="103"/>
  <c r="F320" i="103"/>
  <c r="K320" i="103"/>
  <c r="L320" i="103"/>
  <c r="F321" i="103"/>
  <c r="K321" i="103"/>
  <c r="L321" i="103"/>
  <c r="F323" i="103"/>
  <c r="K323" i="103"/>
  <c r="L323" i="103"/>
  <c r="F324" i="103"/>
  <c r="K324" i="103"/>
  <c r="L324" i="103"/>
  <c r="F325" i="103"/>
  <c r="K325" i="103"/>
  <c r="F327" i="103"/>
  <c r="K327" i="103"/>
  <c r="L327" i="103"/>
  <c r="F329" i="103"/>
  <c r="K329" i="103"/>
  <c r="L329" i="103"/>
  <c r="F332" i="103"/>
  <c r="K332" i="103"/>
  <c r="L332" i="103"/>
  <c r="F333" i="103"/>
  <c r="K333" i="103"/>
  <c r="L333" i="103"/>
  <c r="F339" i="103"/>
  <c r="K339" i="103"/>
  <c r="L339" i="103"/>
  <c r="F340" i="103"/>
  <c r="K340" i="103"/>
  <c r="L340" i="103"/>
  <c r="F341" i="103"/>
  <c r="K341" i="103"/>
  <c r="L341" i="103"/>
  <c r="F342" i="103"/>
  <c r="K342" i="103"/>
  <c r="F343" i="103"/>
  <c r="K343" i="103"/>
  <c r="L343" i="103"/>
  <c r="F345" i="103"/>
  <c r="K345" i="103"/>
  <c r="L345" i="103"/>
  <c r="F346" i="103"/>
  <c r="K346" i="103"/>
  <c r="L346" i="103"/>
  <c r="F347" i="103"/>
  <c r="K347" i="103"/>
  <c r="L347" i="103"/>
  <c r="F349" i="103"/>
  <c r="K349" i="103"/>
  <c r="L349" i="103"/>
  <c r="F350" i="103"/>
  <c r="K350" i="103"/>
  <c r="L350" i="103"/>
  <c r="F351" i="103"/>
  <c r="K351" i="103"/>
  <c r="F353" i="103"/>
  <c r="K353" i="103"/>
  <c r="L353" i="103"/>
  <c r="F355" i="103"/>
  <c r="K355" i="103"/>
  <c r="L355" i="103"/>
  <c r="F356" i="103"/>
  <c r="K356" i="103"/>
  <c r="F358" i="103"/>
  <c r="K358" i="103"/>
  <c r="L358" i="103"/>
  <c r="F359" i="103"/>
  <c r="K359" i="103"/>
  <c r="L359" i="103"/>
  <c r="F361" i="103"/>
  <c r="K361" i="103"/>
  <c r="L361" i="103"/>
  <c r="F363" i="103"/>
  <c r="K363" i="103"/>
  <c r="F364" i="103"/>
  <c r="K364" i="103"/>
  <c r="L364" i="103"/>
  <c r="F365" i="103"/>
  <c r="K365" i="103"/>
  <c r="L365" i="103"/>
  <c r="F366" i="103"/>
  <c r="K366" i="103"/>
  <c r="L366" i="103"/>
  <c r="F367" i="103"/>
  <c r="K367" i="103"/>
  <c r="L367" i="103"/>
  <c r="F368" i="103"/>
  <c r="K368" i="103"/>
  <c r="L368" i="103"/>
  <c r="F370" i="103"/>
  <c r="K370" i="103"/>
  <c r="F371" i="103"/>
  <c r="K371" i="103"/>
  <c r="L371" i="103"/>
  <c r="F372" i="103"/>
  <c r="K372" i="103"/>
  <c r="F373" i="103"/>
  <c r="K373" i="103"/>
  <c r="L373" i="103"/>
  <c r="F374" i="103"/>
  <c r="K374" i="103"/>
  <c r="L374" i="103"/>
  <c r="F375" i="103"/>
  <c r="K375" i="103"/>
  <c r="L375" i="103"/>
  <c r="F376" i="103"/>
  <c r="K376" i="103"/>
  <c r="L376" i="103"/>
  <c r="F379" i="103"/>
  <c r="K379" i="103"/>
  <c r="F380" i="103"/>
  <c r="K380" i="103"/>
  <c r="L380" i="103"/>
  <c r="F381" i="103"/>
  <c r="K381" i="103"/>
  <c r="L381" i="103"/>
  <c r="F383" i="103"/>
  <c r="K383" i="103"/>
  <c r="L383" i="103"/>
  <c r="F384" i="103"/>
  <c r="K384" i="103"/>
  <c r="L384" i="103"/>
  <c r="F385" i="103"/>
  <c r="K385" i="103"/>
  <c r="L385" i="103"/>
  <c r="F389" i="103"/>
  <c r="K389" i="103"/>
  <c r="L389" i="103"/>
  <c r="F392" i="103"/>
  <c r="K392" i="103"/>
  <c r="L392" i="103"/>
  <c r="F393" i="103"/>
  <c r="K393" i="103"/>
  <c r="F394" i="103"/>
  <c r="K394" i="103"/>
  <c r="L394" i="103"/>
  <c r="F397" i="103"/>
  <c r="K397" i="103"/>
  <c r="F398" i="103"/>
  <c r="K398" i="103"/>
  <c r="L398" i="103"/>
  <c r="F400" i="103"/>
  <c r="K400" i="103"/>
  <c r="L400" i="103"/>
  <c r="F401" i="103"/>
  <c r="K401" i="103"/>
  <c r="L401" i="103"/>
  <c r="F402" i="103"/>
  <c r="K402" i="103"/>
  <c r="L402" i="103"/>
  <c r="F403" i="103"/>
  <c r="K403" i="103"/>
  <c r="L403" i="103"/>
  <c r="F404" i="103"/>
  <c r="K404" i="103"/>
  <c r="L404" i="103"/>
  <c r="F405" i="103"/>
  <c r="K405" i="103"/>
  <c r="L405" i="103"/>
  <c r="F406" i="103"/>
  <c r="K406" i="103"/>
  <c r="L406" i="103"/>
  <c r="F408" i="103"/>
  <c r="K408" i="103"/>
  <c r="L408" i="103"/>
  <c r="F411" i="103"/>
  <c r="K411" i="103"/>
  <c r="L411" i="103"/>
  <c r="F412" i="103"/>
  <c r="K412" i="103"/>
  <c r="L412" i="103"/>
  <c r="F415" i="103"/>
  <c r="K415" i="103"/>
  <c r="L415" i="103"/>
  <c r="F416" i="103"/>
  <c r="K416" i="103"/>
  <c r="L416" i="103"/>
  <c r="F418" i="103"/>
  <c r="K418" i="103"/>
  <c r="L418" i="103"/>
  <c r="F420" i="103"/>
  <c r="K420" i="103"/>
  <c r="L420" i="103"/>
  <c r="F422" i="103"/>
  <c r="K422" i="103"/>
  <c r="L422" i="103"/>
  <c r="F425" i="103"/>
  <c r="K425" i="103"/>
  <c r="L425" i="103"/>
  <c r="F426" i="103"/>
  <c r="K426" i="103"/>
  <c r="L426" i="103"/>
  <c r="F427" i="103"/>
  <c r="K427" i="103"/>
  <c r="L427" i="103"/>
  <c r="F429" i="103"/>
  <c r="K429" i="103"/>
  <c r="L429" i="103"/>
  <c r="F430" i="103"/>
  <c r="K430" i="103"/>
  <c r="L430" i="103"/>
  <c r="F431" i="103"/>
  <c r="K431" i="103"/>
  <c r="L431" i="103"/>
  <c r="F434" i="103"/>
  <c r="K434" i="103"/>
  <c r="L434" i="103"/>
  <c r="F435" i="103"/>
  <c r="K435" i="103"/>
  <c r="L435" i="103"/>
  <c r="F437" i="103"/>
  <c r="K437" i="103"/>
  <c r="L437" i="103"/>
  <c r="F438" i="103"/>
  <c r="K438" i="103"/>
  <c r="L438" i="103"/>
  <c r="F439" i="103"/>
  <c r="K439" i="103"/>
  <c r="L439" i="103"/>
  <c r="I444" i="103"/>
  <c r="D6" i="102"/>
  <c r="F6" i="102"/>
  <c r="G6" i="102"/>
  <c r="H6" i="102"/>
  <c r="I6" i="102"/>
  <c r="M6" i="102"/>
  <c r="D7" i="102"/>
  <c r="F7" i="102"/>
  <c r="G7" i="102"/>
  <c r="H7" i="102"/>
  <c r="I7" i="102"/>
  <c r="M7" i="102"/>
  <c r="D8" i="102"/>
  <c r="F8" i="102"/>
  <c r="G8" i="102"/>
  <c r="H8" i="102"/>
  <c r="I8" i="102"/>
  <c r="M8" i="102"/>
  <c r="D9" i="102"/>
  <c r="F9" i="102"/>
  <c r="G9" i="102"/>
  <c r="H9" i="102"/>
  <c r="I9" i="102"/>
  <c r="M9" i="102"/>
  <c r="D6" i="101"/>
  <c r="E6" i="101"/>
  <c r="F6" i="101"/>
  <c r="G6" i="101"/>
  <c r="H6" i="101"/>
  <c r="L6" i="101"/>
  <c r="D7" i="101"/>
  <c r="E7" i="101"/>
  <c r="F7" i="101"/>
  <c r="G7" i="101"/>
  <c r="H7" i="101"/>
  <c r="L7" i="101"/>
  <c r="D8" i="101"/>
  <c r="E8" i="101"/>
  <c r="F8" i="101"/>
  <c r="G8" i="101"/>
  <c r="H8" i="101"/>
  <c r="L8" i="101"/>
  <c r="D9" i="101"/>
  <c r="E9" i="101"/>
  <c r="F9" i="101"/>
  <c r="G9" i="101"/>
  <c r="H9" i="101"/>
  <c r="L9" i="101"/>
  <c r="D10" i="101"/>
  <c r="E10" i="101"/>
  <c r="F10" i="101"/>
  <c r="G10" i="101"/>
  <c r="H10" i="101"/>
  <c r="L10" i="101"/>
  <c r="D11" i="101"/>
  <c r="E11" i="101"/>
  <c r="F11" i="101"/>
  <c r="G11" i="101"/>
  <c r="H11" i="101"/>
  <c r="L11" i="101"/>
  <c r="D12" i="101"/>
  <c r="E12" i="101"/>
  <c r="F12" i="101"/>
  <c r="G12" i="101"/>
  <c r="H12" i="101"/>
  <c r="L12" i="101"/>
  <c r="D13" i="101"/>
  <c r="E13" i="101"/>
  <c r="F13" i="101"/>
  <c r="G13" i="101"/>
  <c r="H13" i="101"/>
  <c r="L13" i="101"/>
  <c r="Z12" i="100"/>
  <c r="Z13" i="100"/>
  <c r="Z15" i="100"/>
  <c r="B6" i="100"/>
  <c r="D6" i="100"/>
  <c r="E6" i="100"/>
  <c r="F6" i="100"/>
  <c r="G6" i="100"/>
  <c r="H6" i="100"/>
  <c r="I6" i="100"/>
  <c r="J6" i="100"/>
  <c r="M6" i="100"/>
  <c r="D7" i="100"/>
  <c r="E7" i="100"/>
  <c r="F7" i="100"/>
  <c r="G7" i="100"/>
  <c r="H7" i="100"/>
  <c r="D8" i="100"/>
  <c r="E8" i="100"/>
  <c r="F8" i="100"/>
  <c r="G8" i="100"/>
  <c r="H8" i="100"/>
  <c r="D9" i="100"/>
  <c r="E9" i="100"/>
  <c r="F9" i="100"/>
  <c r="G9" i="100"/>
  <c r="H9" i="100"/>
  <c r="AJ19" i="91"/>
  <c r="AI19" i="91"/>
  <c r="AI20" i="91" s="1"/>
  <c r="I156" i="91" s="1"/>
  <c r="AJ18" i="91"/>
  <c r="AI18" i="91"/>
  <c r="AJ17" i="91"/>
  <c r="AI17" i="91"/>
  <c r="AJ16" i="91"/>
  <c r="AI16" i="91"/>
  <c r="AJ15" i="91"/>
  <c r="AI15" i="91"/>
  <c r="H183" i="91" s="1"/>
  <c r="AJ14" i="91"/>
  <c r="AI14" i="91"/>
  <c r="H156" i="91" s="1"/>
  <c r="AJ13" i="91"/>
  <c r="AI13" i="91"/>
  <c r="H168" i="91" s="1"/>
  <c r="AJ12" i="91"/>
  <c r="AJ19" i="89"/>
  <c r="AI19" i="89"/>
  <c r="AI20" i="89" s="1"/>
  <c r="I154" i="89" s="1"/>
  <c r="AJ18" i="89"/>
  <c r="AI18" i="89"/>
  <c r="AJ17" i="89"/>
  <c r="AI17" i="89"/>
  <c r="H198" i="89" s="1"/>
  <c r="E198" i="89" s="1"/>
  <c r="D198" i="89" s="1"/>
  <c r="D286" i="89" s="1"/>
  <c r="AJ16" i="89"/>
  <c r="AI16" i="89"/>
  <c r="AJ15" i="89"/>
  <c r="AI15" i="89"/>
  <c r="H27" i="89" s="1"/>
  <c r="AJ14" i="89"/>
  <c r="AI14" i="89"/>
  <c r="H13" i="89" s="1"/>
  <c r="AJ13" i="89"/>
  <c r="AI13" i="89"/>
  <c r="H162" i="89" s="1"/>
  <c r="AJ12" i="89"/>
  <c r="E299" i="89" s="1"/>
  <c r="AJ19" i="88"/>
  <c r="AI19" i="88"/>
  <c r="AI20" i="88" s="1"/>
  <c r="I177" i="88" s="1"/>
  <c r="AJ18" i="88"/>
  <c r="AI18" i="88"/>
  <c r="AJ17" i="88"/>
  <c r="AI17" i="88"/>
  <c r="AJ16" i="88"/>
  <c r="AI16" i="88"/>
  <c r="AJ15" i="88"/>
  <c r="AI15" i="88"/>
  <c r="H183" i="88" s="1"/>
  <c r="AJ14" i="88"/>
  <c r="AI14" i="88"/>
  <c r="H35" i="88" s="1"/>
  <c r="AJ13" i="88"/>
  <c r="AI13" i="88"/>
  <c r="H168" i="88" s="1"/>
  <c r="AJ12" i="88"/>
  <c r="E298" i="88" s="1"/>
  <c r="AJ19" i="87"/>
  <c r="AI19" i="87"/>
  <c r="AI20" i="87" s="1"/>
  <c r="I141" i="87" s="1"/>
  <c r="AJ18" i="87"/>
  <c r="AI18" i="87"/>
  <c r="AJ17" i="87"/>
  <c r="AI17" i="87"/>
  <c r="AJ16" i="87"/>
  <c r="AI16" i="87"/>
  <c r="AJ15" i="87"/>
  <c r="AI15" i="87"/>
  <c r="H191" i="87" s="1"/>
  <c r="AJ14" i="87"/>
  <c r="AI14" i="87"/>
  <c r="H11" i="87" s="1"/>
  <c r="AJ13" i="87"/>
  <c r="AI13" i="87"/>
  <c r="H120" i="87" s="1"/>
  <c r="AJ12" i="87"/>
  <c r="AJ19" i="85"/>
  <c r="AI19" i="85"/>
  <c r="AI20" i="85" s="1"/>
  <c r="I177" i="85" s="1"/>
  <c r="AJ18" i="85"/>
  <c r="AI18" i="85"/>
  <c r="AJ17" i="85"/>
  <c r="AI17" i="85"/>
  <c r="AJ16" i="85"/>
  <c r="AI16" i="85"/>
  <c r="AJ15" i="85"/>
  <c r="AI15" i="85"/>
  <c r="H183" i="85" s="1"/>
  <c r="AJ14" i="85"/>
  <c r="AI14" i="85"/>
  <c r="H66" i="85" s="1"/>
  <c r="AJ13" i="85"/>
  <c r="AI13" i="85"/>
  <c r="H162" i="85" s="1"/>
  <c r="AJ12" i="85"/>
  <c r="E299" i="85" s="1"/>
  <c r="AJ19" i="84"/>
  <c r="AI19" i="84"/>
  <c r="AI20" i="84" s="1"/>
  <c r="AJ18" i="84"/>
  <c r="AI18" i="84"/>
  <c r="AJ17" i="84"/>
  <c r="AI17" i="84"/>
  <c r="AJ16" i="84"/>
  <c r="AI16" i="84"/>
  <c r="AJ15" i="84"/>
  <c r="AI15" i="84"/>
  <c r="H183" i="84" s="1"/>
  <c r="AJ14" i="84"/>
  <c r="AI14" i="84"/>
  <c r="H75" i="84" s="1"/>
  <c r="AJ13" i="84"/>
  <c r="AJ12" i="84"/>
  <c r="E299" i="84" s="1"/>
  <c r="AJ19" i="83"/>
  <c r="AI19" i="83"/>
  <c r="AI20" i="83" s="1"/>
  <c r="I174" i="83" s="1"/>
  <c r="AJ18" i="83"/>
  <c r="AI18" i="83"/>
  <c r="AJ17" i="83"/>
  <c r="AI17" i="83"/>
  <c r="AJ16" i="83"/>
  <c r="AI16" i="83"/>
  <c r="AJ15" i="83"/>
  <c r="AI15" i="83"/>
  <c r="H183" i="83" s="1"/>
  <c r="AJ14" i="83"/>
  <c r="AI14" i="83"/>
  <c r="H177" i="83" s="1"/>
  <c r="AJ13" i="83"/>
  <c r="AI13" i="83"/>
  <c r="AJ12" i="83"/>
  <c r="AJ19" i="82"/>
  <c r="AI19" i="82"/>
  <c r="AI20" i="82" s="1"/>
  <c r="G44" i="82" s="1"/>
  <c r="AJ18" i="82"/>
  <c r="AI18" i="82"/>
  <c r="AJ17" i="82"/>
  <c r="AI17" i="82"/>
  <c r="AJ16" i="82"/>
  <c r="AI16" i="82"/>
  <c r="AJ15" i="82"/>
  <c r="AI15" i="82"/>
  <c r="H183" i="82" s="1"/>
  <c r="AJ14" i="82"/>
  <c r="AI14" i="82"/>
  <c r="H9" i="82" s="1"/>
  <c r="E9" i="82" s="1"/>
  <c r="D9" i="82" s="1"/>
  <c r="AJ13" i="82"/>
  <c r="AI13" i="82"/>
  <c r="H168" i="82" s="1"/>
  <c r="E168" i="82" s="1"/>
  <c r="D168" i="82" s="1"/>
  <c r="D273" i="82" s="1"/>
  <c r="AJ12" i="82"/>
  <c r="AJ19" i="81"/>
  <c r="AI19" i="81"/>
  <c r="AI20" i="81" s="1"/>
  <c r="AJ18" i="81"/>
  <c r="AI18" i="81"/>
  <c r="AJ17" i="81"/>
  <c r="AI17" i="81"/>
  <c r="AJ16" i="81"/>
  <c r="AI16" i="81"/>
  <c r="AJ15" i="81"/>
  <c r="AI15" i="81"/>
  <c r="H183" i="81" s="1"/>
  <c r="AJ14" i="81"/>
  <c r="AI14" i="81"/>
  <c r="H9" i="81" s="1"/>
  <c r="AJ13" i="81"/>
  <c r="AJ12" i="81"/>
  <c r="E301" i="81" s="1"/>
  <c r="AJ19" i="74"/>
  <c r="AI19" i="74"/>
  <c r="AI20" i="74" s="1"/>
  <c r="I170" i="74" s="1"/>
  <c r="AJ18" i="74"/>
  <c r="AI18" i="74"/>
  <c r="AJ17" i="74"/>
  <c r="AI17" i="74"/>
  <c r="AJ16" i="74"/>
  <c r="AI16" i="74"/>
  <c r="AJ15" i="74"/>
  <c r="AI15" i="74"/>
  <c r="H183" i="74" s="1"/>
  <c r="AJ14" i="74"/>
  <c r="AI14" i="74"/>
  <c r="H144" i="74" s="1"/>
  <c r="AJ13" i="74"/>
  <c r="AI13" i="74"/>
  <c r="H87" i="74" s="1"/>
  <c r="AJ12" i="74"/>
  <c r="D296" i="74" s="1"/>
  <c r="X6" i="74" s="1"/>
  <c r="P192" i="94"/>
  <c r="L192" i="94"/>
  <c r="P191" i="94"/>
  <c r="L191" i="94"/>
  <c r="P188" i="94"/>
  <c r="P190" i="94" s="1"/>
  <c r="P187" i="94"/>
  <c r="P189" i="94" s="1"/>
  <c r="AJ20" i="94"/>
  <c r="T2" i="94"/>
  <c r="S2" i="94"/>
  <c r="P192" i="93"/>
  <c r="L192" i="93"/>
  <c r="P191" i="93"/>
  <c r="L191" i="93"/>
  <c r="P188" i="93"/>
  <c r="P190" i="93" s="1"/>
  <c r="P187" i="93"/>
  <c r="P189" i="93" s="1"/>
  <c r="H214" i="93"/>
  <c r="T2" i="93"/>
  <c r="S2" i="93"/>
  <c r="P192" i="92"/>
  <c r="L192" i="92"/>
  <c r="P191" i="92"/>
  <c r="L191" i="92"/>
  <c r="P188" i="92"/>
  <c r="P190" i="92" s="1"/>
  <c r="P187" i="92"/>
  <c r="P189" i="92" s="1"/>
  <c r="T2" i="92"/>
  <c r="S2" i="92"/>
  <c r="H126" i="94"/>
  <c r="H214" i="94"/>
  <c r="E301" i="94"/>
  <c r="E300" i="94"/>
  <c r="E296" i="94"/>
  <c r="E299" i="94"/>
  <c r="D298" i="94"/>
  <c r="Z6" i="94" s="1"/>
  <c r="D299" i="94"/>
  <c r="AA6" i="94" s="1"/>
  <c r="E298" i="94"/>
  <c r="E297" i="94"/>
  <c r="H194" i="94"/>
  <c r="H37" i="94"/>
  <c r="H135" i="93"/>
  <c r="E135" i="93" s="1"/>
  <c r="E301" i="93"/>
  <c r="E300" i="93"/>
  <c r="E296" i="93"/>
  <c r="D296" i="93"/>
  <c r="X6" i="93" s="1"/>
  <c r="E299" i="93"/>
  <c r="D298" i="93"/>
  <c r="Z6" i="93" s="1"/>
  <c r="E298" i="93"/>
  <c r="H126" i="93"/>
  <c r="E126" i="93" s="1"/>
  <c r="E301" i="92"/>
  <c r="AI17" i="92"/>
  <c r="C114" i="13"/>
  <c r="D114" i="13"/>
  <c r="E114" i="13"/>
  <c r="F114" i="13"/>
  <c r="H177" i="94"/>
  <c r="E177" i="94" s="1"/>
  <c r="P192" i="91"/>
  <c r="L192" i="91"/>
  <c r="P191" i="91"/>
  <c r="L191" i="91"/>
  <c r="P188" i="91"/>
  <c r="P190" i="91" s="1"/>
  <c r="P187" i="91"/>
  <c r="P189" i="91" s="1"/>
  <c r="T2" i="91"/>
  <c r="S2" i="91"/>
  <c r="P192" i="89"/>
  <c r="L192" i="89"/>
  <c r="P191" i="89"/>
  <c r="L191" i="89"/>
  <c r="P188" i="89"/>
  <c r="P190" i="89" s="1"/>
  <c r="P187" i="89"/>
  <c r="P189" i="89" s="1"/>
  <c r="T2" i="89"/>
  <c r="S2" i="89"/>
  <c r="P192" i="88"/>
  <c r="L192" i="88"/>
  <c r="P191" i="88"/>
  <c r="L191" i="88"/>
  <c r="P188" i="88"/>
  <c r="P190" i="88" s="1"/>
  <c r="P187" i="88"/>
  <c r="P189" i="88" s="1"/>
  <c r="T2" i="88"/>
  <c r="S2" i="88"/>
  <c r="P192" i="87"/>
  <c r="L192" i="87"/>
  <c r="P191" i="87"/>
  <c r="L191" i="87"/>
  <c r="P188" i="87"/>
  <c r="P190" i="87" s="1"/>
  <c r="P187" i="87"/>
  <c r="P189" i="87" s="1"/>
  <c r="T2" i="87"/>
  <c r="S2" i="87"/>
  <c r="F113" i="86"/>
  <c r="Q96" i="86"/>
  <c r="E113" i="86"/>
  <c r="D113" i="86"/>
  <c r="C113" i="86"/>
  <c r="F112" i="86"/>
  <c r="E112" i="86"/>
  <c r="D112" i="86"/>
  <c r="P94" i="86"/>
  <c r="C112" i="86"/>
  <c r="P93" i="86"/>
  <c r="G111" i="86"/>
  <c r="G103" i="86"/>
  <c r="F110" i="86"/>
  <c r="F111" i="86"/>
  <c r="E110" i="86"/>
  <c r="O95" i="86"/>
  <c r="D110" i="86"/>
  <c r="D111" i="86"/>
  <c r="C110" i="86"/>
  <c r="C111" i="86"/>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c r="D86" i="86"/>
  <c r="C86" i="86"/>
  <c r="F85" i="86"/>
  <c r="E85" i="86"/>
  <c r="D85" i="86"/>
  <c r="C85" i="86"/>
  <c r="P66" i="86"/>
  <c r="G84" i="86"/>
  <c r="D83" i="86"/>
  <c r="D84" i="86"/>
  <c r="H76" i="86"/>
  <c r="G76" i="86"/>
  <c r="F76" i="86"/>
  <c r="F83" i="86"/>
  <c r="E76" i="86"/>
  <c r="E83" i="86"/>
  <c r="D76" i="86"/>
  <c r="C76" i="86"/>
  <c r="C83" i="86"/>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c r="D59" i="86"/>
  <c r="C59" i="86"/>
  <c r="F58" i="86"/>
  <c r="E58" i="86"/>
  <c r="D58" i="86"/>
  <c r="C58" i="86"/>
  <c r="C57" i="86"/>
  <c r="F56" i="86"/>
  <c r="O42" i="86"/>
  <c r="C56" i="86"/>
  <c r="H49" i="86"/>
  <c r="G49" i="86"/>
  <c r="F49" i="86"/>
  <c r="E49" i="86"/>
  <c r="E56" i="86"/>
  <c r="D49" i="86"/>
  <c r="D56" i="86"/>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c r="E31" i="86"/>
  <c r="D31" i="86"/>
  <c r="P13" i="86"/>
  <c r="C31" i="86"/>
  <c r="P12" i="86"/>
  <c r="F30" i="86"/>
  <c r="E30" i="86"/>
  <c r="D30" i="86"/>
  <c r="C30" i="86"/>
  <c r="F29" i="86"/>
  <c r="O15" i="86"/>
  <c r="D29" i="86"/>
  <c r="O13" i="86"/>
  <c r="C29" i="86"/>
  <c r="O12" i="86"/>
  <c r="H22" i="86"/>
  <c r="G22" i="86"/>
  <c r="F22" i="86"/>
  <c r="E22" i="86"/>
  <c r="E29" i="86"/>
  <c r="O14" i="86"/>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I181" i="91"/>
  <c r="I177" i="91"/>
  <c r="I143" i="91"/>
  <c r="I131" i="91"/>
  <c r="I163" i="91"/>
  <c r="I168" i="91"/>
  <c r="I144" i="91"/>
  <c r="I151" i="91"/>
  <c r="I149" i="91"/>
  <c r="I160" i="91"/>
  <c r="I128" i="91"/>
  <c r="I127" i="91"/>
  <c r="I173" i="91"/>
  <c r="I171" i="91"/>
  <c r="I174" i="91"/>
  <c r="I126" i="91"/>
  <c r="I100" i="91"/>
  <c r="I120" i="91"/>
  <c r="I136" i="91"/>
  <c r="I108" i="91"/>
  <c r="I88" i="91"/>
  <c r="I137" i="91"/>
  <c r="I138" i="91"/>
  <c r="I90" i="91"/>
  <c r="I74" i="91"/>
  <c r="I72" i="91"/>
  <c r="I95" i="91"/>
  <c r="I147" i="91"/>
  <c r="I139" i="91"/>
  <c r="I87" i="91"/>
  <c r="I75" i="91"/>
  <c r="G56" i="91"/>
  <c r="I76" i="91"/>
  <c r="G10" i="91"/>
  <c r="I85" i="91"/>
  <c r="G22" i="91"/>
  <c r="G32" i="91"/>
  <c r="G14" i="91"/>
  <c r="I96" i="91"/>
  <c r="I73" i="91"/>
  <c r="I80" i="91"/>
  <c r="I78" i="91"/>
  <c r="G46" i="91"/>
  <c r="G18" i="91"/>
  <c r="G36" i="91"/>
  <c r="I66" i="91"/>
  <c r="I174" i="89"/>
  <c r="I140" i="89"/>
  <c r="I128" i="89"/>
  <c r="I167" i="89"/>
  <c r="I153" i="89"/>
  <c r="I143" i="89"/>
  <c r="I175" i="89"/>
  <c r="I168" i="89"/>
  <c r="I146" i="89"/>
  <c r="I132" i="89"/>
  <c r="I171" i="89"/>
  <c r="I159" i="89"/>
  <c r="I148" i="89"/>
  <c r="I145" i="89"/>
  <c r="I130" i="89"/>
  <c r="I116" i="89"/>
  <c r="I104" i="89"/>
  <c r="I124" i="89"/>
  <c r="I117" i="89"/>
  <c r="I107" i="89"/>
  <c r="I127" i="89"/>
  <c r="I106" i="89"/>
  <c r="I94" i="89"/>
  <c r="I86" i="89"/>
  <c r="I133" i="89"/>
  <c r="I121" i="89"/>
  <c r="I96" i="89"/>
  <c r="I111" i="89"/>
  <c r="I64" i="89"/>
  <c r="I136" i="89"/>
  <c r="I89" i="89"/>
  <c r="I120" i="89"/>
  <c r="I67" i="89"/>
  <c r="G62" i="89"/>
  <c r="I135" i="89"/>
  <c r="I108" i="89"/>
  <c r="I87" i="89"/>
  <c r="I122" i="89"/>
  <c r="I113" i="89"/>
  <c r="I109" i="89"/>
  <c r="I77" i="89"/>
  <c r="I65" i="89"/>
  <c r="G56" i="89"/>
  <c r="G10" i="89"/>
  <c r="I68" i="89"/>
  <c r="G38" i="89"/>
  <c r="G26" i="89"/>
  <c r="G36" i="89"/>
  <c r="G52" i="89"/>
  <c r="G34" i="89"/>
  <c r="G28" i="89"/>
  <c r="G22" i="89"/>
  <c r="I66" i="89"/>
  <c r="H214" i="89"/>
  <c r="D297" i="89"/>
  <c r="Y6" i="89" s="1"/>
  <c r="E296" i="89"/>
  <c r="D296" i="89"/>
  <c r="X6" i="89" s="1"/>
  <c r="D299" i="89"/>
  <c r="AA6" i="89" s="1"/>
  <c r="E298" i="89"/>
  <c r="E297" i="89"/>
  <c r="H198" i="88"/>
  <c r="E198" i="88" s="1"/>
  <c r="D198" i="88" s="1"/>
  <c r="D286" i="88" s="1"/>
  <c r="E301" i="88"/>
  <c r="E296" i="88"/>
  <c r="D296" i="88"/>
  <c r="X6" i="88" s="1"/>
  <c r="E299" i="88"/>
  <c r="D299" i="88"/>
  <c r="AA6" i="88" s="1"/>
  <c r="E297" i="88"/>
  <c r="E300" i="87"/>
  <c r="D298" i="87"/>
  <c r="Z6" i="87" s="1"/>
  <c r="O40" i="86"/>
  <c r="D57" i="86"/>
  <c r="E57" i="86"/>
  <c r="O41" i="86"/>
  <c r="E84" i="86"/>
  <c r="O68" i="86"/>
  <c r="O69" i="86"/>
  <c r="F84" i="86"/>
  <c r="C84" i="86"/>
  <c r="O66" i="86"/>
  <c r="O93" i="86"/>
  <c r="O96" i="86"/>
  <c r="F57" i="86"/>
  <c r="O94" i="86"/>
  <c r="O67" i="86"/>
  <c r="E111" i="86"/>
  <c r="H171" i="91"/>
  <c r="H192" i="91"/>
  <c r="H144" i="91"/>
  <c r="H188" i="91"/>
  <c r="H190" i="91" s="1"/>
  <c r="H96" i="91"/>
  <c r="H90" i="91"/>
  <c r="H129" i="91"/>
  <c r="H138" i="91"/>
  <c r="H61" i="91"/>
  <c r="H35" i="91"/>
  <c r="H75" i="91"/>
  <c r="H25" i="91"/>
  <c r="H37" i="91"/>
  <c r="H57" i="91"/>
  <c r="H49" i="91"/>
  <c r="H33" i="91"/>
  <c r="H23" i="91"/>
  <c r="H66" i="91"/>
  <c r="H111" i="91"/>
  <c r="H105" i="91"/>
  <c r="H29" i="91"/>
  <c r="H59" i="89"/>
  <c r="H33" i="89"/>
  <c r="E33" i="89" s="1"/>
  <c r="I176" i="88"/>
  <c r="I162" i="88"/>
  <c r="I181" i="88"/>
  <c r="I165" i="88"/>
  <c r="I155" i="88"/>
  <c r="I143" i="88"/>
  <c r="I129" i="88"/>
  <c r="I182" i="88"/>
  <c r="I175" i="88"/>
  <c r="I170" i="88"/>
  <c r="I158" i="88"/>
  <c r="I156" i="88"/>
  <c r="I154" i="88"/>
  <c r="I142" i="88"/>
  <c r="I130" i="88"/>
  <c r="I171" i="88"/>
  <c r="I125" i="88"/>
  <c r="I123" i="88"/>
  <c r="I111" i="88"/>
  <c r="I101" i="88"/>
  <c r="I159" i="88"/>
  <c r="I135" i="88"/>
  <c r="I133" i="88"/>
  <c r="I127" i="88"/>
  <c r="I121" i="88"/>
  <c r="I109" i="88"/>
  <c r="I145" i="88"/>
  <c r="I144" i="88"/>
  <c r="I137" i="88"/>
  <c r="I116" i="88"/>
  <c r="I102" i="88"/>
  <c r="I92" i="88"/>
  <c r="I90" i="88"/>
  <c r="I180" i="88"/>
  <c r="I157" i="88"/>
  <c r="I150" i="88"/>
  <c r="I149" i="88"/>
  <c r="I146" i="88"/>
  <c r="I140" i="88"/>
  <c r="I124" i="88"/>
  <c r="I100" i="88"/>
  <c r="I152" i="88"/>
  <c r="I119" i="88"/>
  <c r="I117" i="88"/>
  <c r="I105" i="88"/>
  <c r="I95" i="88"/>
  <c r="I93" i="88"/>
  <c r="I83" i="88"/>
  <c r="I173" i="88"/>
  <c r="I115" i="88"/>
  <c r="I120" i="88"/>
  <c r="I110" i="88"/>
  <c r="G62" i="88"/>
  <c r="G46" i="88"/>
  <c r="I94" i="88"/>
  <c r="I72" i="88"/>
  <c r="G36" i="88"/>
  <c r="G28" i="88"/>
  <c r="G16" i="88"/>
  <c r="G58" i="88"/>
  <c r="G26" i="88"/>
  <c r="I108" i="88"/>
  <c r="I77" i="88"/>
  <c r="I75" i="88"/>
  <c r="I65" i="88"/>
  <c r="G56" i="88"/>
  <c r="G40" i="88"/>
  <c r="G10" i="88"/>
  <c r="I96" i="88"/>
  <c r="I82" i="88"/>
  <c r="I73" i="88"/>
  <c r="G22" i="88"/>
  <c r="I122" i="88"/>
  <c r="I78" i="88"/>
  <c r="G60" i="88"/>
  <c r="I98" i="88"/>
  <c r="I76" i="88"/>
  <c r="I64" i="88"/>
  <c r="G42" i="88"/>
  <c r="G14" i="88"/>
  <c r="G12" i="88"/>
  <c r="G24" i="88"/>
  <c r="G32" i="88"/>
  <c r="I86" i="88"/>
  <c r="G20" i="88"/>
  <c r="H180" i="88"/>
  <c r="E180" i="88" s="1"/>
  <c r="D180" i="88" s="1"/>
  <c r="D277" i="88" s="1"/>
  <c r="H159" i="88"/>
  <c r="H191" i="88"/>
  <c r="E191" i="88" s="1"/>
  <c r="H174" i="88"/>
  <c r="H187" i="88"/>
  <c r="H141" i="88"/>
  <c r="E141" i="88" s="1"/>
  <c r="H132" i="88"/>
  <c r="H111" i="88"/>
  <c r="E111" i="88" s="1"/>
  <c r="D111" i="88" s="1"/>
  <c r="D254" i="88" s="1"/>
  <c r="H126" i="88"/>
  <c r="H105" i="88"/>
  <c r="E105" i="88" s="1"/>
  <c r="D105" i="88" s="1"/>
  <c r="D252" i="88" s="1"/>
  <c r="H93" i="88"/>
  <c r="E93" i="88" s="1"/>
  <c r="H39" i="88"/>
  <c r="E39" i="88" s="1"/>
  <c r="H84" i="88"/>
  <c r="H41" i="88"/>
  <c r="H99" i="88"/>
  <c r="E99" i="88" s="1"/>
  <c r="H51" i="88"/>
  <c r="E51" i="88" s="1"/>
  <c r="H31" i="88"/>
  <c r="H43" i="88"/>
  <c r="H19" i="88"/>
  <c r="H17" i="88"/>
  <c r="H78" i="88"/>
  <c r="E78" i="88" s="1"/>
  <c r="D78" i="88" s="1"/>
  <c r="D243" i="88" s="1"/>
  <c r="H55" i="88"/>
  <c r="H27" i="88"/>
  <c r="E27" i="88" s="1"/>
  <c r="H15" i="88"/>
  <c r="E15" i="88" s="1"/>
  <c r="H33" i="88"/>
  <c r="E33" i="88" s="1"/>
  <c r="D33" i="88" s="1"/>
  <c r="D233" i="88" s="1"/>
  <c r="H13" i="88"/>
  <c r="H75" i="88"/>
  <c r="H162" i="87"/>
  <c r="E162" i="87" s="1"/>
  <c r="H168" i="87"/>
  <c r="E168" i="87" s="1"/>
  <c r="D168" i="87" s="1"/>
  <c r="D273" i="87" s="1"/>
  <c r="H114" i="87"/>
  <c r="E114" i="87" s="1"/>
  <c r="D114" i="87" s="1"/>
  <c r="D255" i="87" s="1"/>
  <c r="H72" i="87"/>
  <c r="E72" i="87" s="1"/>
  <c r="D72" i="87" s="1"/>
  <c r="D241" i="87" s="1"/>
  <c r="H87" i="87"/>
  <c r="E87" i="87" s="1"/>
  <c r="H63" i="87"/>
  <c r="E63" i="87" s="1"/>
  <c r="D63" i="87" s="1"/>
  <c r="D238" i="87" s="1"/>
  <c r="H180" i="87"/>
  <c r="E180" i="87" s="1"/>
  <c r="H159" i="87"/>
  <c r="E159" i="87" s="1"/>
  <c r="I179" i="87"/>
  <c r="I169" i="87"/>
  <c r="I176" i="87"/>
  <c r="I162" i="87"/>
  <c r="I152" i="87"/>
  <c r="I150" i="87"/>
  <c r="I181" i="87"/>
  <c r="I172" i="87"/>
  <c r="I160" i="87"/>
  <c r="I177" i="87"/>
  <c r="I167" i="87"/>
  <c r="I155" i="87"/>
  <c r="I143" i="87"/>
  <c r="I129" i="87"/>
  <c r="I182" i="87"/>
  <c r="I170" i="87"/>
  <c r="I168" i="87"/>
  <c r="I158" i="87"/>
  <c r="I156" i="87"/>
  <c r="I146" i="87"/>
  <c r="I144" i="87"/>
  <c r="I132" i="87"/>
  <c r="I178" i="87"/>
  <c r="I166" i="87"/>
  <c r="I130" i="87"/>
  <c r="I157" i="87"/>
  <c r="I118" i="87"/>
  <c r="I106" i="87"/>
  <c r="I171" i="87"/>
  <c r="I161" i="87"/>
  <c r="I123" i="87"/>
  <c r="I135" i="87"/>
  <c r="I133" i="87"/>
  <c r="I127" i="87"/>
  <c r="I145" i="87"/>
  <c r="I138" i="87"/>
  <c r="I137" i="87"/>
  <c r="I136" i="87"/>
  <c r="I114" i="87"/>
  <c r="I104" i="87"/>
  <c r="I102" i="87"/>
  <c r="I90" i="87"/>
  <c r="I180" i="87"/>
  <c r="I159" i="87"/>
  <c r="I149" i="87"/>
  <c r="I126" i="87"/>
  <c r="I124" i="87"/>
  <c r="I112" i="87"/>
  <c r="I173" i="87"/>
  <c r="I122" i="87"/>
  <c r="I120" i="87"/>
  <c r="I110" i="87"/>
  <c r="I108" i="87"/>
  <c r="I96" i="87"/>
  <c r="I86" i="87"/>
  <c r="I84" i="87"/>
  <c r="I85" i="87"/>
  <c r="I76" i="87"/>
  <c r="I64" i="87"/>
  <c r="I101" i="87"/>
  <c r="I100" i="87"/>
  <c r="I71" i="87"/>
  <c r="I69" i="87"/>
  <c r="I119" i="87"/>
  <c r="I94" i="87"/>
  <c r="I79" i="87"/>
  <c r="I67" i="87"/>
  <c r="I88" i="87"/>
  <c r="I72" i="87"/>
  <c r="G44" i="87"/>
  <c r="G36" i="87"/>
  <c r="G28" i="87"/>
  <c r="I93" i="87"/>
  <c r="I83" i="87"/>
  <c r="I82" i="87"/>
  <c r="I70" i="87"/>
  <c r="I103" i="87"/>
  <c r="I77" i="87"/>
  <c r="I75" i="87"/>
  <c r="I117" i="87"/>
  <c r="I97" i="87"/>
  <c r="I81" i="87"/>
  <c r="I73" i="87"/>
  <c r="I121" i="87"/>
  <c r="I91" i="87"/>
  <c r="I78" i="87"/>
  <c r="I66" i="87"/>
  <c r="G60" i="87"/>
  <c r="G52" i="87"/>
  <c r="G18" i="87"/>
  <c r="G32" i="87"/>
  <c r="G26" i="87"/>
  <c r="G54" i="87"/>
  <c r="G10" i="87"/>
  <c r="G58" i="87"/>
  <c r="G30" i="87"/>
  <c r="G24" i="87"/>
  <c r="G20" i="87"/>
  <c r="G46" i="87"/>
  <c r="G40" i="87"/>
  <c r="G34" i="87"/>
  <c r="G22" i="87"/>
  <c r="G14" i="87"/>
  <c r="G12" i="87"/>
  <c r="G16" i="87"/>
  <c r="E132" i="88"/>
  <c r="D132" i="88" s="1"/>
  <c r="D261" i="88" s="1"/>
  <c r="E174" i="88"/>
  <c r="D174" i="88" s="1"/>
  <c r="D275" i="88" s="1"/>
  <c r="P192" i="85"/>
  <c r="L192" i="85"/>
  <c r="P191" i="85"/>
  <c r="L191" i="85"/>
  <c r="P188" i="85"/>
  <c r="P190" i="85" s="1"/>
  <c r="P187" i="85"/>
  <c r="P189" i="85" s="1"/>
  <c r="T2" i="85"/>
  <c r="S2" i="85"/>
  <c r="P192" i="84"/>
  <c r="L192" i="84"/>
  <c r="P191" i="84"/>
  <c r="L191" i="84"/>
  <c r="P188" i="84"/>
  <c r="P190" i="84" s="1"/>
  <c r="P187" i="84"/>
  <c r="P189" i="84" s="1"/>
  <c r="T2" i="84"/>
  <c r="S2" i="84"/>
  <c r="P192" i="83"/>
  <c r="L192" i="83"/>
  <c r="P191" i="83"/>
  <c r="L191" i="83"/>
  <c r="P188" i="83"/>
  <c r="P190" i="83" s="1"/>
  <c r="P187" i="83"/>
  <c r="P189" i="83" s="1"/>
  <c r="I77" i="83"/>
  <c r="T2" i="83"/>
  <c r="S2" i="83"/>
  <c r="P192" i="82"/>
  <c r="L192" i="82"/>
  <c r="P191" i="82"/>
  <c r="L191" i="82"/>
  <c r="P188" i="82"/>
  <c r="P190" i="82" s="1"/>
  <c r="P187" i="82"/>
  <c r="P189" i="82" s="1"/>
  <c r="T2" i="82"/>
  <c r="S2" i="82"/>
  <c r="P192" i="81"/>
  <c r="L192" i="81"/>
  <c r="P191" i="81"/>
  <c r="L191" i="81"/>
  <c r="P188" i="81"/>
  <c r="P190" i="81" s="1"/>
  <c r="P187" i="81"/>
  <c r="P189" i="81" s="1"/>
  <c r="H214" i="81"/>
  <c r="T2" i="81"/>
  <c r="S2" i="81"/>
  <c r="AD49" i="73"/>
  <c r="AD47" i="73"/>
  <c r="AD44" i="73"/>
  <c r="AC49" i="73"/>
  <c r="AC47" i="73"/>
  <c r="AC44" i="73"/>
  <c r="AB49" i="73"/>
  <c r="AB47" i="73"/>
  <c r="AB44" i="73"/>
  <c r="X39" i="73"/>
  <c r="Y47" i="73"/>
  <c r="X40" i="73"/>
  <c r="Y49" i="73"/>
  <c r="X38" i="73"/>
  <c r="Y44" i="73"/>
  <c r="X50" i="73"/>
  <c r="X48" i="73"/>
  <c r="X45" i="73"/>
  <c r="Y38" i="73"/>
  <c r="AG46" i="73"/>
  <c r="X23" i="73"/>
  <c r="Y23" i="73"/>
  <c r="X24" i="73"/>
  <c r="Y24" i="73"/>
  <c r="X22" i="73"/>
  <c r="Y22" i="73"/>
  <c r="W40" i="73"/>
  <c r="W39" i="73"/>
  <c r="W38" i="73"/>
  <c r="V40" i="73"/>
  <c r="V39" i="73"/>
  <c r="V38" i="73"/>
  <c r="U40" i="73"/>
  <c r="U39" i="73"/>
  <c r="U38" i="73"/>
  <c r="T40" i="73"/>
  <c r="T39" i="73"/>
  <c r="T38" i="73"/>
  <c r="R39" i="73"/>
  <c r="R40" i="73"/>
  <c r="R38" i="73"/>
  <c r="Q39" i="73"/>
  <c r="Q40" i="73"/>
  <c r="Q38" i="73"/>
  <c r="AD33" i="73"/>
  <c r="AC33" i="73"/>
  <c r="AB33" i="73"/>
  <c r="AD31" i="73"/>
  <c r="AC31" i="73"/>
  <c r="AB31" i="73"/>
  <c r="Y33" i="73"/>
  <c r="Y31" i="73"/>
  <c r="Y28"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c r="H194" i="85"/>
  <c r="E194" i="85" s="1"/>
  <c r="E301" i="85"/>
  <c r="D297" i="85"/>
  <c r="Y6" i="85" s="1"/>
  <c r="E296" i="85"/>
  <c r="D300" i="85"/>
  <c r="AB6" i="85" s="1"/>
  <c r="D296" i="85"/>
  <c r="X6" i="85" s="1"/>
  <c r="D299" i="85"/>
  <c r="AA6" i="85" s="1"/>
  <c r="D298" i="85"/>
  <c r="Z6" i="85" s="1"/>
  <c r="E298" i="85"/>
  <c r="E301" i="84"/>
  <c r="D297" i="84"/>
  <c r="Y6" i="84" s="1"/>
  <c r="E300" i="84"/>
  <c r="E296" i="84"/>
  <c r="D300" i="84"/>
  <c r="AB6" i="84" s="1"/>
  <c r="D296" i="84"/>
  <c r="X6" i="84" s="1"/>
  <c r="D299" i="84"/>
  <c r="AA6" i="84" s="1"/>
  <c r="E297" i="84"/>
  <c r="E298" i="84"/>
  <c r="G18" i="83"/>
  <c r="H194" i="83"/>
  <c r="H198" i="83"/>
  <c r="G56" i="83"/>
  <c r="I68" i="83"/>
  <c r="I78" i="83"/>
  <c r="I66" i="83"/>
  <c r="I111" i="83"/>
  <c r="H214" i="83"/>
  <c r="G22" i="83"/>
  <c r="G28" i="83"/>
  <c r="I101" i="83"/>
  <c r="G60" i="83"/>
  <c r="I65" i="83"/>
  <c r="I75" i="83"/>
  <c r="G54" i="83"/>
  <c r="G14" i="83"/>
  <c r="G30" i="83"/>
  <c r="I179" i="83"/>
  <c r="I157" i="83"/>
  <c r="I176" i="83"/>
  <c r="I172" i="83"/>
  <c r="I165" i="83"/>
  <c r="I155" i="83"/>
  <c r="I143" i="83"/>
  <c r="I141" i="83"/>
  <c r="I131" i="83"/>
  <c r="I182" i="83"/>
  <c r="I175" i="83"/>
  <c r="I163" i="83"/>
  <c r="I170" i="83"/>
  <c r="I168" i="83"/>
  <c r="I158" i="83"/>
  <c r="I144" i="83"/>
  <c r="I178" i="83"/>
  <c r="I142" i="83"/>
  <c r="I130" i="83"/>
  <c r="I125" i="83"/>
  <c r="I164" i="83"/>
  <c r="I162" i="83"/>
  <c r="I133" i="83"/>
  <c r="I128" i="83"/>
  <c r="I121" i="83"/>
  <c r="I147" i="83"/>
  <c r="I145" i="83"/>
  <c r="I139" i="83"/>
  <c r="I138" i="83"/>
  <c r="I137" i="83"/>
  <c r="I136" i="83"/>
  <c r="I132" i="83"/>
  <c r="I116" i="83"/>
  <c r="I114" i="83"/>
  <c r="I151" i="83"/>
  <c r="I150" i="83"/>
  <c r="I148" i="83"/>
  <c r="I140" i="83"/>
  <c r="I126" i="83"/>
  <c r="I100" i="83"/>
  <c r="I88" i="83"/>
  <c r="I180" i="83"/>
  <c r="I152" i="83"/>
  <c r="I119" i="83"/>
  <c r="I107" i="83"/>
  <c r="I95" i="83"/>
  <c r="I115" i="83"/>
  <c r="I103" i="83"/>
  <c r="I122" i="83"/>
  <c r="I120" i="83"/>
  <c r="I110" i="83"/>
  <c r="I108" i="83"/>
  <c r="I98" i="83"/>
  <c r="I86" i="83"/>
  <c r="I84" i="83"/>
  <c r="I99" i="83"/>
  <c r="I87" i="83"/>
  <c r="I73" i="83"/>
  <c r="I104" i="83"/>
  <c r="I118" i="83"/>
  <c r="I94" i="83"/>
  <c r="I83" i="83"/>
  <c r="I71" i="83"/>
  <c r="G32" i="83"/>
  <c r="G24" i="83"/>
  <c r="G20" i="83"/>
  <c r="I79" i="83"/>
  <c r="I67" i="83"/>
  <c r="I74" i="83"/>
  <c r="I72" i="83"/>
  <c r="G44" i="83"/>
  <c r="I106" i="83"/>
  <c r="I82" i="83"/>
  <c r="I70" i="83"/>
  <c r="G58" i="83"/>
  <c r="G26" i="83"/>
  <c r="G46" i="83"/>
  <c r="G50" i="83"/>
  <c r="I64" i="83"/>
  <c r="G48" i="83"/>
  <c r="G34" i="83"/>
  <c r="I63" i="83"/>
  <c r="E301" i="82"/>
  <c r="E300" i="82"/>
  <c r="E296" i="82"/>
  <c r="E299" i="82"/>
  <c r="D299" i="82"/>
  <c r="AA6" i="82" s="1"/>
  <c r="D298" i="82"/>
  <c r="Z6" i="82" s="1"/>
  <c r="E298" i="82"/>
  <c r="E297" i="82"/>
  <c r="H198" i="81"/>
  <c r="E198" i="81" s="1"/>
  <c r="D297" i="81"/>
  <c r="Y6" i="81" s="1"/>
  <c r="E300" i="81"/>
  <c r="D300" i="81"/>
  <c r="AB6" i="81" s="1"/>
  <c r="D299" i="81"/>
  <c r="AA6" i="81" s="1"/>
  <c r="E298" i="81"/>
  <c r="D298" i="81"/>
  <c r="Z6" i="81" s="1"/>
  <c r="E297" i="81"/>
  <c r="Y40" i="73"/>
  <c r="Y39" i="73"/>
  <c r="AG30" i="73"/>
  <c r="S40" i="73"/>
  <c r="S38" i="73"/>
  <c r="S39" i="73"/>
  <c r="S22" i="73"/>
  <c r="T22" i="73"/>
  <c r="H114" i="85"/>
  <c r="E114" i="85" s="1"/>
  <c r="H120" i="85"/>
  <c r="E120" i="85" s="1"/>
  <c r="D120" i="85" s="1"/>
  <c r="D257" i="85" s="1"/>
  <c r="H72" i="85"/>
  <c r="E72" i="85" s="1"/>
  <c r="D72" i="85" s="1"/>
  <c r="D241" i="85" s="1"/>
  <c r="H135" i="85"/>
  <c r="E135" i="85" s="1"/>
  <c r="H63" i="85"/>
  <c r="H168" i="85"/>
  <c r="E168" i="85" s="1"/>
  <c r="I179" i="85"/>
  <c r="I176" i="85"/>
  <c r="I174" i="85"/>
  <c r="I162" i="85"/>
  <c r="I152" i="85"/>
  <c r="I150" i="85"/>
  <c r="I181" i="85"/>
  <c r="I172" i="85"/>
  <c r="I160" i="85"/>
  <c r="I148" i="85"/>
  <c r="I167" i="85"/>
  <c r="I165" i="85"/>
  <c r="I155" i="85"/>
  <c r="I153" i="85"/>
  <c r="I143" i="85"/>
  <c r="I141" i="85"/>
  <c r="I131" i="85"/>
  <c r="I182" i="85"/>
  <c r="I175" i="85"/>
  <c r="I163" i="85"/>
  <c r="I139" i="85"/>
  <c r="I166" i="85"/>
  <c r="I154" i="85"/>
  <c r="I142" i="85"/>
  <c r="I130" i="85"/>
  <c r="I157" i="85"/>
  <c r="I126" i="85"/>
  <c r="I124" i="85"/>
  <c r="I112" i="85"/>
  <c r="I119" i="85"/>
  <c r="I117" i="85"/>
  <c r="I105" i="85"/>
  <c r="I95" i="85"/>
  <c r="I93" i="85"/>
  <c r="I83" i="85"/>
  <c r="I170" i="85"/>
  <c r="I145" i="85"/>
  <c r="I115" i="85"/>
  <c r="I180" i="85"/>
  <c r="I168" i="85"/>
  <c r="I128" i="85"/>
  <c r="I122" i="85"/>
  <c r="I120" i="85"/>
  <c r="I98" i="85"/>
  <c r="I96" i="85"/>
  <c r="I156" i="85"/>
  <c r="I146" i="85"/>
  <c r="I135" i="85"/>
  <c r="I133" i="85"/>
  <c r="I127" i="85"/>
  <c r="I118" i="85"/>
  <c r="I106" i="85"/>
  <c r="I109" i="85"/>
  <c r="I97" i="85"/>
  <c r="I102" i="85"/>
  <c r="I92" i="85"/>
  <c r="I80" i="85"/>
  <c r="I78" i="85"/>
  <c r="I68" i="85"/>
  <c r="I66" i="85"/>
  <c r="G60" i="85"/>
  <c r="G52" i="85"/>
  <c r="I134" i="85"/>
  <c r="I86" i="85"/>
  <c r="I64" i="85"/>
  <c r="I169" i="85"/>
  <c r="I94" i="85"/>
  <c r="I81" i="85"/>
  <c r="I71" i="85"/>
  <c r="I69" i="85"/>
  <c r="G32" i="85"/>
  <c r="G24" i="85"/>
  <c r="I137" i="85"/>
  <c r="I111" i="85"/>
  <c r="I99" i="85"/>
  <c r="I67" i="85"/>
  <c r="G62" i="85"/>
  <c r="G54" i="85"/>
  <c r="G46" i="85"/>
  <c r="G18" i="85"/>
  <c r="I147" i="85"/>
  <c r="I116" i="85"/>
  <c r="I104" i="85"/>
  <c r="I90" i="85"/>
  <c r="I136" i="85"/>
  <c r="I173" i="85"/>
  <c r="I75" i="85"/>
  <c r="I65" i="85"/>
  <c r="I63" i="85"/>
  <c r="G48" i="85"/>
  <c r="G40" i="85"/>
  <c r="I171" i="85"/>
  <c r="I101" i="85"/>
  <c r="I74" i="85"/>
  <c r="I72" i="85"/>
  <c r="I125" i="85"/>
  <c r="I123" i="85"/>
  <c r="I113" i="85"/>
  <c r="G42" i="85"/>
  <c r="G22" i="85"/>
  <c r="G16" i="85"/>
  <c r="G44" i="85"/>
  <c r="G28" i="85"/>
  <c r="I73" i="85"/>
  <c r="G26" i="85"/>
  <c r="I87" i="85"/>
  <c r="G30" i="85"/>
  <c r="G36" i="85"/>
  <c r="G14" i="85"/>
  <c r="I91" i="85"/>
  <c r="G50" i="85"/>
  <c r="G34" i="85"/>
  <c r="G12" i="85"/>
  <c r="H135" i="84"/>
  <c r="E135" i="84" s="1"/>
  <c r="H162" i="84"/>
  <c r="E162" i="84" s="1"/>
  <c r="D271" i="84" s="1"/>
  <c r="H168" i="84"/>
  <c r="H114" i="84"/>
  <c r="E114" i="84" s="1"/>
  <c r="D114" i="84" s="1"/>
  <c r="D255" i="84" s="1"/>
  <c r="H120" i="84"/>
  <c r="E120" i="84" s="1"/>
  <c r="H87" i="84"/>
  <c r="H72" i="84"/>
  <c r="E72" i="84" s="1"/>
  <c r="D72" i="84" s="1"/>
  <c r="D241" i="84" s="1"/>
  <c r="H63" i="84"/>
  <c r="E63" i="84" s="1"/>
  <c r="D63" i="84" s="1"/>
  <c r="D238" i="84" s="1"/>
  <c r="H171" i="84"/>
  <c r="E171" i="84" s="1"/>
  <c r="H177" i="84"/>
  <c r="E177" i="84" s="1"/>
  <c r="D177" i="84" s="1"/>
  <c r="D276" i="84" s="1"/>
  <c r="H156" i="84"/>
  <c r="E156" i="84" s="1"/>
  <c r="D156" i="84" s="1"/>
  <c r="D269" i="84" s="1"/>
  <c r="H144" i="84"/>
  <c r="E144" i="84" s="1"/>
  <c r="D144" i="84" s="1"/>
  <c r="D265" i="84" s="1"/>
  <c r="H188" i="84"/>
  <c r="H129" i="84"/>
  <c r="E129" i="84" s="1"/>
  <c r="D129" i="84" s="1"/>
  <c r="D260" i="84" s="1"/>
  <c r="H81" i="84"/>
  <c r="E81" i="84" s="1"/>
  <c r="D81" i="84" s="1"/>
  <c r="D244" i="84" s="1"/>
  <c r="H138" i="84"/>
  <c r="E138" i="84" s="1"/>
  <c r="H90" i="84"/>
  <c r="E90" i="84" s="1"/>
  <c r="H69" i="84"/>
  <c r="E69" i="84" s="1"/>
  <c r="D69" i="84" s="1"/>
  <c r="D240" i="84" s="1"/>
  <c r="H108" i="84"/>
  <c r="E108" i="84" s="1"/>
  <c r="D108" i="84" s="1"/>
  <c r="D253" i="84" s="1"/>
  <c r="H102" i="84"/>
  <c r="E102" i="84" s="1"/>
  <c r="D102" i="84" s="1"/>
  <c r="D251" i="84" s="1"/>
  <c r="H35" i="84"/>
  <c r="H96" i="84"/>
  <c r="E96" i="84" s="1"/>
  <c r="D96" i="84" s="1"/>
  <c r="D249" i="84" s="1"/>
  <c r="H25" i="84"/>
  <c r="H66" i="84"/>
  <c r="E66" i="84" s="1"/>
  <c r="H9" i="84"/>
  <c r="E9" i="84" s="1"/>
  <c r="H13" i="84"/>
  <c r="H23" i="84"/>
  <c r="H49" i="84"/>
  <c r="H21" i="84"/>
  <c r="E21" i="84" s="1"/>
  <c r="D21" i="84" s="1"/>
  <c r="D231" i="84" s="1"/>
  <c r="H11" i="84"/>
  <c r="H33" i="84"/>
  <c r="H153" i="83"/>
  <c r="H132" i="83"/>
  <c r="H111" i="83"/>
  <c r="H168" i="83"/>
  <c r="H87" i="83"/>
  <c r="H162" i="83"/>
  <c r="H135" i="83"/>
  <c r="H114" i="83"/>
  <c r="H120" i="83"/>
  <c r="H72" i="83"/>
  <c r="H63" i="83"/>
  <c r="H192" i="83"/>
  <c r="H165" i="83"/>
  <c r="H156" i="83"/>
  <c r="H123" i="83"/>
  <c r="H138" i="83"/>
  <c r="H90" i="83"/>
  <c r="H150" i="83"/>
  <c r="H117" i="83"/>
  <c r="H129" i="83"/>
  <c r="H37" i="83"/>
  <c r="H81" i="83"/>
  <c r="H69" i="83"/>
  <c r="H23" i="83"/>
  <c r="H96" i="83"/>
  <c r="H47" i="83"/>
  <c r="H11" i="83"/>
  <c r="H61" i="83"/>
  <c r="H45" i="83"/>
  <c r="H25" i="83"/>
  <c r="H59" i="83"/>
  <c r="H33" i="83"/>
  <c r="H35" i="83"/>
  <c r="H13" i="83"/>
  <c r="H21" i="83"/>
  <c r="H171" i="82"/>
  <c r="E171" i="82" s="1"/>
  <c r="D171" i="82" s="1"/>
  <c r="D274" i="82" s="1"/>
  <c r="H192" i="82"/>
  <c r="H165" i="82"/>
  <c r="E165" i="82" s="1"/>
  <c r="D165" i="82" s="1"/>
  <c r="D272" i="82" s="1"/>
  <c r="H156" i="82"/>
  <c r="E156" i="82" s="1"/>
  <c r="D156" i="82" s="1"/>
  <c r="D269" i="82" s="1"/>
  <c r="H144" i="82"/>
  <c r="H117" i="82"/>
  <c r="E117" i="82" s="1"/>
  <c r="D117" i="82" s="1"/>
  <c r="D256" i="82" s="1"/>
  <c r="H188" i="82"/>
  <c r="H150" i="82"/>
  <c r="E150" i="82" s="1"/>
  <c r="D150" i="82" s="1"/>
  <c r="D267" i="82" s="1"/>
  <c r="H108" i="82"/>
  <c r="E108" i="82" s="1"/>
  <c r="D108" i="82" s="1"/>
  <c r="D253" i="82" s="1"/>
  <c r="H96" i="82"/>
  <c r="E96" i="82" s="1"/>
  <c r="D96" i="82" s="1"/>
  <c r="D249" i="82" s="1"/>
  <c r="H123" i="82"/>
  <c r="E123" i="82" s="1"/>
  <c r="D123" i="82" s="1"/>
  <c r="D258" i="82" s="1"/>
  <c r="H66" i="82"/>
  <c r="H57" i="82"/>
  <c r="E57" i="82" s="1"/>
  <c r="D57" i="82" s="1"/>
  <c r="D237" i="82" s="1"/>
  <c r="H37" i="82"/>
  <c r="H102" i="82"/>
  <c r="E102" i="82" s="1"/>
  <c r="H81" i="82"/>
  <c r="E81" i="82" s="1"/>
  <c r="H69" i="82"/>
  <c r="E69" i="82" s="1"/>
  <c r="D69" i="82" s="1"/>
  <c r="D240" i="82" s="1"/>
  <c r="H59" i="82"/>
  <c r="H49" i="82"/>
  <c r="H13" i="82"/>
  <c r="H61" i="82"/>
  <c r="H25" i="82"/>
  <c r="H47" i="82"/>
  <c r="H35" i="82"/>
  <c r="H21" i="82"/>
  <c r="H23" i="82"/>
  <c r="H90" i="82"/>
  <c r="E90" i="82" s="1"/>
  <c r="D90" i="82" s="1"/>
  <c r="D247" i="82" s="1"/>
  <c r="H45" i="82"/>
  <c r="H33" i="82"/>
  <c r="E33" i="82" s="1"/>
  <c r="I150" i="82"/>
  <c r="I172" i="82"/>
  <c r="I154" i="82"/>
  <c r="I146" i="82"/>
  <c r="I130" i="82"/>
  <c r="I168" i="82"/>
  <c r="I100" i="82"/>
  <c r="I73" i="82"/>
  <c r="I88" i="82"/>
  <c r="I64" i="82"/>
  <c r="I79" i="82"/>
  <c r="G54" i="82"/>
  <c r="G12" i="82"/>
  <c r="G58" i="82"/>
  <c r="G16" i="82"/>
  <c r="H162" i="82"/>
  <c r="E162" i="82" s="1"/>
  <c r="D162" i="82" s="1"/>
  <c r="D271" i="82" s="1"/>
  <c r="H120" i="82"/>
  <c r="H135" i="82"/>
  <c r="E135" i="82" s="1"/>
  <c r="H114" i="82"/>
  <c r="H72" i="82"/>
  <c r="H63" i="82"/>
  <c r="H180" i="82"/>
  <c r="H159" i="82"/>
  <c r="E159" i="82" s="1"/>
  <c r="H191" i="82"/>
  <c r="E191" i="82" s="1"/>
  <c r="D191" i="82" s="1"/>
  <c r="D283" i="82" s="1"/>
  <c r="H174" i="82"/>
  <c r="E174" i="82" s="1"/>
  <c r="D174" i="82" s="1"/>
  <c r="D275" i="82" s="1"/>
  <c r="H187" i="82"/>
  <c r="H189" i="82" s="1"/>
  <c r="H153" i="82"/>
  <c r="H126" i="82"/>
  <c r="E126" i="82" s="1"/>
  <c r="H141" i="82"/>
  <c r="E141" i="82" s="1"/>
  <c r="D141" i="82" s="1"/>
  <c r="D264" i="82" s="1"/>
  <c r="H105" i="82"/>
  <c r="H132" i="82"/>
  <c r="H111" i="82"/>
  <c r="E111" i="82" s="1"/>
  <c r="D111" i="82" s="1"/>
  <c r="D254" i="82" s="1"/>
  <c r="H99" i="82"/>
  <c r="E99" i="82" s="1"/>
  <c r="H147" i="82"/>
  <c r="E147" i="82" s="1"/>
  <c r="H78" i="82"/>
  <c r="E78" i="82" s="1"/>
  <c r="D78" i="82" s="1"/>
  <c r="D243" i="82" s="1"/>
  <c r="H29" i="82"/>
  <c r="H39" i="82"/>
  <c r="E39" i="82" s="1"/>
  <c r="D39" i="82" s="1"/>
  <c r="D234" i="82" s="1"/>
  <c r="H27" i="82"/>
  <c r="H17" i="82"/>
  <c r="H84" i="82"/>
  <c r="E84" i="82" s="1"/>
  <c r="H51" i="82"/>
  <c r="H93" i="82"/>
  <c r="E93" i="82" s="1"/>
  <c r="D93" i="82" s="1"/>
  <c r="D248" i="82" s="1"/>
  <c r="H19" i="82"/>
  <c r="H55" i="82"/>
  <c r="H43" i="82"/>
  <c r="H31" i="82"/>
  <c r="H53" i="82"/>
  <c r="H41" i="82"/>
  <c r="H15" i="82"/>
  <c r="E15" i="82" s="1"/>
  <c r="H171" i="81"/>
  <c r="H156" i="81"/>
  <c r="E156" i="81" s="1"/>
  <c r="D156" i="81" s="1"/>
  <c r="D269" i="81" s="1"/>
  <c r="H144" i="81"/>
  <c r="E144" i="81" s="1"/>
  <c r="D144" i="81" s="1"/>
  <c r="D265" i="81" s="1"/>
  <c r="H188" i="81"/>
  <c r="H150" i="81"/>
  <c r="E150" i="81" s="1"/>
  <c r="D150" i="81" s="1"/>
  <c r="D267" i="81" s="1"/>
  <c r="H192" i="81"/>
  <c r="E192" i="81" s="1"/>
  <c r="H129" i="81"/>
  <c r="E129" i="81" s="1"/>
  <c r="D129" i="81" s="1"/>
  <c r="D260" i="81" s="1"/>
  <c r="H102" i="81"/>
  <c r="E102" i="81" s="1"/>
  <c r="D102" i="81" s="1"/>
  <c r="D251" i="81" s="1"/>
  <c r="H165" i="81"/>
  <c r="E165" i="81" s="1"/>
  <c r="H117" i="81"/>
  <c r="E117" i="81" s="1"/>
  <c r="D117" i="81" s="1"/>
  <c r="D256" i="81" s="1"/>
  <c r="H81" i="81"/>
  <c r="E81" i="81" s="1"/>
  <c r="H57" i="81"/>
  <c r="E57" i="81" s="1"/>
  <c r="H37" i="81"/>
  <c r="H49" i="81"/>
  <c r="H61" i="81"/>
  <c r="H96" i="81"/>
  <c r="E96" i="81" s="1"/>
  <c r="D96" i="81" s="1"/>
  <c r="D249" i="81" s="1"/>
  <c r="H90" i="81"/>
  <c r="E90" i="81" s="1"/>
  <c r="H75" i="81"/>
  <c r="E75" i="81" s="1"/>
  <c r="H59" i="81"/>
  <c r="H47" i="81"/>
  <c r="H23" i="81"/>
  <c r="H13" i="81"/>
  <c r="H35" i="81"/>
  <c r="H25" i="81"/>
  <c r="H45" i="81"/>
  <c r="E45" i="81" s="1"/>
  <c r="H33" i="81"/>
  <c r="E33" i="81" s="1"/>
  <c r="H11" i="81"/>
  <c r="H66" i="81"/>
  <c r="E66" i="81" s="1"/>
  <c r="D66" i="81" s="1"/>
  <c r="D239" i="81" s="1"/>
  <c r="H21" i="81"/>
  <c r="E21" i="81" s="1"/>
  <c r="D21" i="81" s="1"/>
  <c r="D231" i="81" s="1"/>
  <c r="H162" i="81"/>
  <c r="E162" i="81" s="1"/>
  <c r="H168" i="81"/>
  <c r="H135" i="81"/>
  <c r="H114" i="81"/>
  <c r="E114" i="81" s="1"/>
  <c r="D114" i="81" s="1"/>
  <c r="D255" i="81" s="1"/>
  <c r="H87" i="81"/>
  <c r="E87" i="81" s="1"/>
  <c r="D87" i="81" s="1"/>
  <c r="D246" i="81" s="1"/>
  <c r="H120" i="81"/>
  <c r="E120" i="81" s="1"/>
  <c r="H72" i="81"/>
  <c r="E72" i="81" s="1"/>
  <c r="H63" i="81"/>
  <c r="E63" i="81" s="1"/>
  <c r="D63" i="81" s="1"/>
  <c r="D238" i="81" s="1"/>
  <c r="H180" i="81"/>
  <c r="E180" i="81" s="1"/>
  <c r="H147" i="81"/>
  <c r="E147" i="81" s="1"/>
  <c r="D147" i="81" s="1"/>
  <c r="D266" i="81" s="1"/>
  <c r="H191" i="81"/>
  <c r="E191" i="81" s="1"/>
  <c r="H174" i="81"/>
  <c r="E174" i="81" s="1"/>
  <c r="H132" i="81"/>
  <c r="H187" i="81"/>
  <c r="H126" i="81"/>
  <c r="E126" i="81" s="1"/>
  <c r="H105" i="81"/>
  <c r="E105" i="81" s="1"/>
  <c r="H111" i="81"/>
  <c r="E111" i="81" s="1"/>
  <c r="D111" i="81" s="1"/>
  <c r="D254" i="81" s="1"/>
  <c r="H29" i="81"/>
  <c r="H41" i="81"/>
  <c r="H51" i="81"/>
  <c r="E51" i="81" s="1"/>
  <c r="D51" i="81" s="1"/>
  <c r="D236" i="81" s="1"/>
  <c r="H53" i="81"/>
  <c r="H43" i="81"/>
  <c r="H31" i="81"/>
  <c r="H19" i="81"/>
  <c r="H55" i="81"/>
  <c r="H17" i="81"/>
  <c r="H15" i="81"/>
  <c r="E15" i="81" s="1"/>
  <c r="W22" i="73"/>
  <c r="H177" i="74"/>
  <c r="E177" i="74" s="1"/>
  <c r="I177" i="74"/>
  <c r="I176" i="74"/>
  <c r="I175" i="74"/>
  <c r="I174" i="74"/>
  <c r="I173" i="74"/>
  <c r="I172" i="74"/>
  <c r="I171" i="74"/>
  <c r="H171" i="74"/>
  <c r="E171" i="74" s="1"/>
  <c r="D171" i="74" s="1"/>
  <c r="D274" i="74" s="1"/>
  <c r="I169" i="74"/>
  <c r="I168" i="74"/>
  <c r="H168" i="74"/>
  <c r="E168" i="74" s="1"/>
  <c r="P90" i="79"/>
  <c r="AE90" i="79"/>
  <c r="P11" i="79"/>
  <c r="AE11" i="79"/>
  <c r="AR93" i="79"/>
  <c r="AP93" i="79"/>
  <c r="AN93" i="79"/>
  <c r="AL93" i="79"/>
  <c r="AJ93" i="79"/>
  <c r="F113" i="79"/>
  <c r="E113" i="79"/>
  <c r="D113" i="79"/>
  <c r="C113" i="79"/>
  <c r="F112" i="79"/>
  <c r="E112" i="79"/>
  <c r="D112" i="79"/>
  <c r="C112" i="79"/>
  <c r="E111" i="79"/>
  <c r="F110" i="79"/>
  <c r="E110" i="79"/>
  <c r="D110" i="79"/>
  <c r="C110" i="79"/>
  <c r="F108" i="79"/>
  <c r="E108" i="79"/>
  <c r="D108" i="79"/>
  <c r="C108" i="79"/>
  <c r="J94" i="79"/>
  <c r="I94" i="79"/>
  <c r="H94" i="79"/>
  <c r="G94" i="79"/>
  <c r="F94" i="79"/>
  <c r="E94" i="79"/>
  <c r="D94" i="79"/>
  <c r="C94" i="79"/>
  <c r="J93" i="79"/>
  <c r="H93" i="79"/>
  <c r="F93" i="79"/>
  <c r="E93" i="79"/>
  <c r="D93" i="79"/>
  <c r="C93" i="79"/>
  <c r="I91" i="79"/>
  <c r="H91" i="79"/>
  <c r="G91" i="79"/>
  <c r="F91" i="79"/>
  <c r="E91" i="79"/>
  <c r="D91" i="79"/>
  <c r="C91" i="79"/>
  <c r="J90" i="79"/>
  <c r="J91" i="79"/>
  <c r="H90" i="79"/>
  <c r="F34" i="79"/>
  <c r="E34" i="79"/>
  <c r="D34" i="79"/>
  <c r="C34" i="79"/>
  <c r="F33" i="79"/>
  <c r="E33" i="79"/>
  <c r="D33" i="79"/>
  <c r="C33" i="79"/>
  <c r="E32" i="79"/>
  <c r="F31" i="79"/>
  <c r="E31" i="79"/>
  <c r="D31" i="79"/>
  <c r="C31" i="79"/>
  <c r="J15" i="79"/>
  <c r="I15" i="79"/>
  <c r="H15" i="79"/>
  <c r="G15" i="79"/>
  <c r="F15" i="79"/>
  <c r="E15" i="79"/>
  <c r="D15" i="79"/>
  <c r="C15" i="79"/>
  <c r="J14" i="79"/>
  <c r="H14" i="79"/>
  <c r="F14" i="79"/>
  <c r="E14" i="79"/>
  <c r="D14" i="79"/>
  <c r="C14" i="79"/>
  <c r="I12" i="79"/>
  <c r="H12" i="79"/>
  <c r="G12" i="79"/>
  <c r="F12" i="79"/>
  <c r="E12" i="79"/>
  <c r="D12" i="79"/>
  <c r="C12" i="79"/>
  <c r="J11" i="79"/>
  <c r="J12" i="79"/>
  <c r="H11" i="79"/>
  <c r="E63" i="85"/>
  <c r="D63" i="85" s="1"/>
  <c r="D238" i="85" s="1"/>
  <c r="E153" i="82"/>
  <c r="T18" i="73"/>
  <c r="F128" i="79"/>
  <c r="W121" i="79"/>
  <c r="F127" i="79"/>
  <c r="V121" i="79"/>
  <c r="D127" i="79"/>
  <c r="V119" i="79"/>
  <c r="C127" i="79"/>
  <c r="V118" i="79"/>
  <c r="F125" i="79"/>
  <c r="F126" i="79"/>
  <c r="E125" i="79"/>
  <c r="E126" i="79"/>
  <c r="D125" i="79"/>
  <c r="D126" i="79"/>
  <c r="C125" i="79"/>
  <c r="C126" i="79"/>
  <c r="AD121" i="79"/>
  <c r="AC121" i="79"/>
  <c r="AB121" i="79"/>
  <c r="AA121" i="79"/>
  <c r="Z121" i="79"/>
  <c r="U121" i="79"/>
  <c r="T121" i="79"/>
  <c r="P121" i="79"/>
  <c r="O121" i="79"/>
  <c r="R121" i="79"/>
  <c r="AD120" i="79"/>
  <c r="AC120" i="79"/>
  <c r="AB120" i="79"/>
  <c r="AA120" i="79"/>
  <c r="Z120" i="79"/>
  <c r="U120" i="79"/>
  <c r="T120" i="79"/>
  <c r="P120" i="79"/>
  <c r="O120" i="79"/>
  <c r="R120" i="79"/>
  <c r="AD119" i="79"/>
  <c r="AC119" i="79"/>
  <c r="AB119" i="79"/>
  <c r="AA119" i="79"/>
  <c r="Z119" i="79"/>
  <c r="U119" i="79"/>
  <c r="T119" i="79"/>
  <c r="P119" i="79"/>
  <c r="O119" i="79"/>
  <c r="R119" i="79"/>
  <c r="AD118" i="79"/>
  <c r="AC118" i="79"/>
  <c r="AB118" i="79"/>
  <c r="AA118" i="79"/>
  <c r="Z118" i="79"/>
  <c r="T118" i="79"/>
  <c r="P118" i="79"/>
  <c r="Q118" i="79"/>
  <c r="O118" i="79"/>
  <c r="R118" i="79"/>
  <c r="D128" i="79"/>
  <c r="W119" i="79"/>
  <c r="P113" i="79"/>
  <c r="E128" i="79"/>
  <c r="W120" i="79"/>
  <c r="E127" i="79"/>
  <c r="V120" i="79"/>
  <c r="B81" i="79"/>
  <c r="F48" i="79"/>
  <c r="V42" i="79"/>
  <c r="E48" i="79"/>
  <c r="V41" i="79"/>
  <c r="D48" i="79"/>
  <c r="V40" i="79"/>
  <c r="C48" i="79"/>
  <c r="V39" i="79"/>
  <c r="D47" i="79"/>
  <c r="F46" i="79"/>
  <c r="F47" i="79"/>
  <c r="E46" i="79"/>
  <c r="U41" i="79"/>
  <c r="D46" i="79"/>
  <c r="U40" i="79"/>
  <c r="C46" i="79"/>
  <c r="U39" i="79"/>
  <c r="AD42" i="79"/>
  <c r="AC42" i="79"/>
  <c r="AB42" i="79"/>
  <c r="AA42" i="79"/>
  <c r="Z42" i="79"/>
  <c r="T42" i="79"/>
  <c r="P42" i="79"/>
  <c r="AD41" i="79"/>
  <c r="AC41" i="79"/>
  <c r="AB41" i="79"/>
  <c r="AA41" i="79"/>
  <c r="Z41" i="79"/>
  <c r="T41" i="79"/>
  <c r="P41" i="79"/>
  <c r="O41" i="79"/>
  <c r="R41" i="79"/>
  <c r="AD40" i="79"/>
  <c r="AC40" i="79"/>
  <c r="AB40" i="79"/>
  <c r="AA40" i="79"/>
  <c r="Z40" i="79"/>
  <c r="T40" i="79"/>
  <c r="P40" i="79"/>
  <c r="O40" i="79"/>
  <c r="R40" i="79"/>
  <c r="AD39" i="79"/>
  <c r="AC39" i="79"/>
  <c r="AB39" i="79"/>
  <c r="AA39" i="79"/>
  <c r="Z39" i="79"/>
  <c r="T39" i="79"/>
  <c r="P39" i="79"/>
  <c r="Q39" i="79"/>
  <c r="F49" i="79"/>
  <c r="W42" i="79"/>
  <c r="D49" i="79"/>
  <c r="W40" i="79"/>
  <c r="P34" i="79"/>
  <c r="E49" i="79"/>
  <c r="W41" i="79"/>
  <c r="O42" i="79"/>
  <c r="R42" i="79"/>
  <c r="O39" i="79"/>
  <c r="R39" i="79"/>
  <c r="B2" i="79"/>
  <c r="C16" i="73"/>
  <c r="C47" i="73"/>
  <c r="A13" i="73"/>
  <c r="A12" i="73"/>
  <c r="A11" i="73"/>
  <c r="A14" i="73"/>
  <c r="K119" i="73"/>
  <c r="J119" i="73"/>
  <c r="I119" i="73"/>
  <c r="H119" i="73"/>
  <c r="G119" i="73"/>
  <c r="G129" i="73"/>
  <c r="F119" i="73"/>
  <c r="F129" i="73"/>
  <c r="V125" i="73"/>
  <c r="E119" i="73"/>
  <c r="E129" i="73"/>
  <c r="V124" i="73"/>
  <c r="D119" i="73"/>
  <c r="D129" i="73"/>
  <c r="V123" i="73"/>
  <c r="C119" i="73"/>
  <c r="C129" i="73"/>
  <c r="V122" i="73"/>
  <c r="P94" i="73"/>
  <c r="P99" i="73"/>
  <c r="P98" i="73"/>
  <c r="P97" i="73"/>
  <c r="Q99" i="73"/>
  <c r="Q98" i="73"/>
  <c r="R99" i="73"/>
  <c r="R98" i="73"/>
  <c r="S99" i="73"/>
  <c r="S98" i="73"/>
  <c r="T99" i="73"/>
  <c r="T98" i="73"/>
  <c r="G130" i="73"/>
  <c r="F130" i="73"/>
  <c r="E130" i="73"/>
  <c r="W124" i="73"/>
  <c r="D130" i="73"/>
  <c r="W123" i="73"/>
  <c r="C130" i="73"/>
  <c r="W122" i="73"/>
  <c r="G127" i="73"/>
  <c r="F127" i="73"/>
  <c r="F128" i="73"/>
  <c r="E127" i="73"/>
  <c r="U124" i="73"/>
  <c r="D127" i="73"/>
  <c r="D128" i="73"/>
  <c r="C127" i="73"/>
  <c r="C128" i="73"/>
  <c r="AD126" i="73"/>
  <c r="AC126" i="73"/>
  <c r="AB126" i="73"/>
  <c r="AA126" i="73"/>
  <c r="Z126" i="73"/>
  <c r="W126" i="73"/>
  <c r="V126" i="73"/>
  <c r="T126" i="73"/>
  <c r="P126" i="73"/>
  <c r="O126" i="73"/>
  <c r="R126" i="73"/>
  <c r="AD125" i="73"/>
  <c r="AC125" i="73"/>
  <c r="AB125" i="73"/>
  <c r="AA125" i="73"/>
  <c r="Z125" i="73"/>
  <c r="W125" i="73"/>
  <c r="T125" i="73"/>
  <c r="P125" i="73"/>
  <c r="O125" i="73"/>
  <c r="R125" i="73"/>
  <c r="AD124" i="73"/>
  <c r="AC124" i="73"/>
  <c r="AB124" i="73"/>
  <c r="AA124" i="73"/>
  <c r="Z124" i="73"/>
  <c r="T124" i="73"/>
  <c r="P124" i="73"/>
  <c r="O124" i="73"/>
  <c r="R124" i="73"/>
  <c r="AD123" i="73"/>
  <c r="AC123" i="73"/>
  <c r="AB123" i="73"/>
  <c r="AA123" i="73"/>
  <c r="Z123" i="73"/>
  <c r="T123" i="73"/>
  <c r="P123" i="73"/>
  <c r="O123" i="73"/>
  <c r="R123" i="73"/>
  <c r="AD122" i="73"/>
  <c r="AC122" i="73"/>
  <c r="AB122" i="73"/>
  <c r="AA122" i="73"/>
  <c r="Z122" i="73"/>
  <c r="P122" i="73"/>
  <c r="Q122" i="73"/>
  <c r="O122" i="73"/>
  <c r="R122" i="73"/>
  <c r="P117" i="73"/>
  <c r="P116" i="73"/>
  <c r="P104" i="73"/>
  <c r="P103" i="73"/>
  <c r="T122" i="73"/>
  <c r="S17" i="73"/>
  <c r="D50" i="73"/>
  <c r="E50" i="73"/>
  <c r="F50" i="73"/>
  <c r="G50" i="73"/>
  <c r="C50" i="73"/>
  <c r="T13" i="73"/>
  <c r="T12" i="73"/>
  <c r="Q13" i="73"/>
  <c r="Q12" i="73"/>
  <c r="R13" i="73"/>
  <c r="R12" i="73"/>
  <c r="S13" i="73"/>
  <c r="S12" i="73"/>
  <c r="D47" i="73"/>
  <c r="E47" i="73"/>
  <c r="F47" i="73"/>
  <c r="G47" i="73"/>
  <c r="T17" i="73"/>
  <c r="V17" i="73"/>
  <c r="C47" i="79"/>
  <c r="E47" i="79"/>
  <c r="U118" i="79"/>
  <c r="U42" i="79"/>
  <c r="U123" i="73"/>
  <c r="P102" i="73"/>
  <c r="U122" i="73"/>
  <c r="U125" i="73"/>
  <c r="E128" i="73"/>
  <c r="U126" i="73"/>
  <c r="P8" i="73"/>
  <c r="P13" i="73"/>
  <c r="P112" i="79"/>
  <c r="C128" i="79"/>
  <c r="W118" i="79"/>
  <c r="C49" i="79"/>
  <c r="W39" i="79"/>
  <c r="P33" i="79"/>
  <c r="P16" i="73"/>
  <c r="P12" i="73"/>
  <c r="P11" i="73"/>
  <c r="E301" i="74"/>
  <c r="K39" i="73"/>
  <c r="J39" i="73"/>
  <c r="I39" i="73"/>
  <c r="H39" i="73"/>
  <c r="G39" i="73"/>
  <c r="G49" i="73"/>
  <c r="F39" i="73"/>
  <c r="F49" i="73"/>
  <c r="E39" i="73"/>
  <c r="E49" i="73"/>
  <c r="D39" i="73"/>
  <c r="D49" i="73"/>
  <c r="C39" i="73"/>
  <c r="C49" i="73"/>
  <c r="U17" i="73"/>
  <c r="O39" i="63"/>
  <c r="O42" i="63"/>
  <c r="O41" i="63"/>
  <c r="O40" i="63"/>
  <c r="F192" i="63"/>
  <c r="E192" i="63"/>
  <c r="V185" i="63"/>
  <c r="D192" i="63"/>
  <c r="C192" i="63"/>
  <c r="V183" i="63"/>
  <c r="F190" i="63"/>
  <c r="F191" i="63"/>
  <c r="E190" i="63"/>
  <c r="E191" i="63"/>
  <c r="D190" i="63"/>
  <c r="D191" i="63"/>
  <c r="C190" i="63"/>
  <c r="C191" i="63"/>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U184" i="63"/>
  <c r="T184" i="63"/>
  <c r="P184" i="63"/>
  <c r="AD183" i="63"/>
  <c r="AC183" i="63"/>
  <c r="AB183" i="63"/>
  <c r="AA183" i="63"/>
  <c r="Z183" i="63"/>
  <c r="T183" i="63"/>
  <c r="P183" i="63"/>
  <c r="Q183" i="63"/>
  <c r="F183" i="63"/>
  <c r="E183" i="63"/>
  <c r="D183" i="63"/>
  <c r="C183" i="63"/>
  <c r="E179" i="63"/>
  <c r="P178" i="63"/>
  <c r="F178" i="63"/>
  <c r="F177" i="63"/>
  <c r="E178" i="63"/>
  <c r="D178" i="63"/>
  <c r="C178" i="63"/>
  <c r="D177" i="63"/>
  <c r="D193" i="63"/>
  <c r="W184" i="63"/>
  <c r="C177" i="63"/>
  <c r="C193" i="63"/>
  <c r="W183" i="63"/>
  <c r="AR163" i="63"/>
  <c r="AP163" i="63"/>
  <c r="AN163" i="63"/>
  <c r="AL163" i="63"/>
  <c r="AJ163" i="63"/>
  <c r="AC163" i="63"/>
  <c r="AA163" i="63"/>
  <c r="Y163" i="63"/>
  <c r="W163" i="63"/>
  <c r="U163" i="63"/>
  <c r="AR158" i="63"/>
  <c r="AP158" i="63"/>
  <c r="AN158" i="63"/>
  <c r="AL158" i="63"/>
  <c r="AJ158" i="63"/>
  <c r="C156" i="63"/>
  <c r="O183" i="63"/>
  <c r="R183" i="63"/>
  <c r="AE155" i="63"/>
  <c r="P155" i="63"/>
  <c r="H155" i="63"/>
  <c r="H156" i="63"/>
  <c r="G155" i="63"/>
  <c r="G156" i="63"/>
  <c r="D155" i="63"/>
  <c r="D156" i="63"/>
  <c r="O184" i="63"/>
  <c r="R184" i="63"/>
  <c r="F120" i="63"/>
  <c r="E120" i="63"/>
  <c r="V113" i="63"/>
  <c r="D120" i="63"/>
  <c r="C120" i="63"/>
  <c r="V111" i="63"/>
  <c r="F118" i="63"/>
  <c r="F119" i="63"/>
  <c r="E118" i="63"/>
  <c r="E119" i="63"/>
  <c r="D118" i="63"/>
  <c r="D119" i="63"/>
  <c r="C118" i="63"/>
  <c r="C119" i="63"/>
  <c r="AD114" i="63"/>
  <c r="AC114" i="63"/>
  <c r="AB114" i="63"/>
  <c r="AA114" i="63"/>
  <c r="Z114" i="63"/>
  <c r="V114" i="63"/>
  <c r="U114" i="63"/>
  <c r="T114" i="63"/>
  <c r="P114" i="63"/>
  <c r="AD113" i="63"/>
  <c r="AC113" i="63"/>
  <c r="AB113" i="63"/>
  <c r="AA113" i="63"/>
  <c r="Z113" i="63"/>
  <c r="T113" i="63"/>
  <c r="P113" i="63"/>
  <c r="O113" i="63"/>
  <c r="R113" i="63"/>
  <c r="AD112" i="63"/>
  <c r="AC112" i="63"/>
  <c r="AB112" i="63"/>
  <c r="AA112" i="63"/>
  <c r="Z112" i="63"/>
  <c r="V112" i="63"/>
  <c r="U112" i="63"/>
  <c r="T112" i="63"/>
  <c r="P112" i="63"/>
  <c r="AD111" i="63"/>
  <c r="AC111" i="63"/>
  <c r="AB111" i="63"/>
  <c r="AA111" i="63"/>
  <c r="Z111" i="63"/>
  <c r="T111" i="63"/>
  <c r="P111" i="63"/>
  <c r="Q111" i="63"/>
  <c r="F111" i="63"/>
  <c r="E111" i="63"/>
  <c r="D111" i="63"/>
  <c r="C111" i="63"/>
  <c r="E107" i="63"/>
  <c r="P106" i="63"/>
  <c r="F106" i="63"/>
  <c r="F105" i="63"/>
  <c r="E106" i="63"/>
  <c r="D106" i="63"/>
  <c r="C106" i="63"/>
  <c r="D105" i="63"/>
  <c r="D121" i="63"/>
  <c r="W112" i="63"/>
  <c r="C105" i="63"/>
  <c r="C121" i="63"/>
  <c r="W111" i="63"/>
  <c r="AR91" i="63"/>
  <c r="AP91" i="63"/>
  <c r="AN91" i="63"/>
  <c r="AL91" i="63"/>
  <c r="AJ91" i="63"/>
  <c r="AC91" i="63"/>
  <c r="AA91" i="63"/>
  <c r="Y91" i="63"/>
  <c r="W91" i="63"/>
  <c r="U91" i="63"/>
  <c r="AN86" i="63"/>
  <c r="AL86" i="63"/>
  <c r="AJ86" i="63"/>
  <c r="AC86" i="63"/>
  <c r="AR86" i="63"/>
  <c r="AA86" i="63"/>
  <c r="AP86" i="63"/>
  <c r="Y86" i="63"/>
  <c r="W86" i="63"/>
  <c r="U86" i="63"/>
  <c r="G84" i="63"/>
  <c r="F84" i="63"/>
  <c r="O114" i="63"/>
  <c r="R114" i="63"/>
  <c r="E84" i="63"/>
  <c r="D84" i="63"/>
  <c r="O112" i="63"/>
  <c r="R112" i="63"/>
  <c r="C84" i="63"/>
  <c r="O111" i="63"/>
  <c r="R111" i="63"/>
  <c r="P83" i="63"/>
  <c r="AE83" i="63"/>
  <c r="J83" i="63"/>
  <c r="J84" i="63"/>
  <c r="I83" i="63"/>
  <c r="I84" i="63"/>
  <c r="H83" i="63"/>
  <c r="H84" i="63"/>
  <c r="G83" i="63"/>
  <c r="F193" i="63"/>
  <c r="W186" i="63"/>
  <c r="E177" i="63"/>
  <c r="E193" i="63"/>
  <c r="W185" i="63"/>
  <c r="E155" i="63"/>
  <c r="P177" i="63"/>
  <c r="U183" i="63"/>
  <c r="U185" i="63"/>
  <c r="F121" i="63"/>
  <c r="W114" i="63"/>
  <c r="E105" i="63"/>
  <c r="E121" i="63"/>
  <c r="W113" i="63"/>
  <c r="P105" i="63"/>
  <c r="U111" i="63"/>
  <c r="U113" i="63"/>
  <c r="P11" i="56"/>
  <c r="P90" i="55"/>
  <c r="I148" i="74"/>
  <c r="I93" i="74"/>
  <c r="I133" i="74"/>
  <c r="I65" i="74"/>
  <c r="I78" i="74"/>
  <c r="I86" i="74"/>
  <c r="I94" i="74"/>
  <c r="I102" i="74"/>
  <c r="I110" i="74"/>
  <c r="I126" i="74"/>
  <c r="I134" i="74"/>
  <c r="I142" i="74"/>
  <c r="I166" i="74"/>
  <c r="I64" i="74"/>
  <c r="I72" i="74"/>
  <c r="I96" i="74"/>
  <c r="I112" i="74"/>
  <c r="I128" i="74"/>
  <c r="I160" i="74"/>
  <c r="I98" i="74"/>
  <c r="I130" i="74"/>
  <c r="I91" i="74"/>
  <c r="I115" i="74"/>
  <c r="I139" i="74"/>
  <c r="I67" i="74"/>
  <c r="I76" i="74"/>
  <c r="I84" i="74"/>
  <c r="I92" i="74"/>
  <c r="I108" i="74"/>
  <c r="I124" i="74"/>
  <c r="I140" i="74"/>
  <c r="I66" i="74"/>
  <c r="I101" i="74"/>
  <c r="I141" i="74"/>
  <c r="I149" i="74"/>
  <c r="I79" i="74"/>
  <c r="I95" i="74"/>
  <c r="I103" i="74"/>
  <c r="I111" i="74"/>
  <c r="I119" i="74"/>
  <c r="I127" i="74"/>
  <c r="I143" i="74"/>
  <c r="I151" i="74"/>
  <c r="I159" i="74"/>
  <c r="I88" i="74"/>
  <c r="I104" i="74"/>
  <c r="I120" i="74"/>
  <c r="I136" i="74"/>
  <c r="I152" i="74"/>
  <c r="I70" i="74"/>
  <c r="I114" i="74"/>
  <c r="I162" i="74"/>
  <c r="I83" i="74"/>
  <c r="I99" i="74"/>
  <c r="I123" i="74"/>
  <c r="I100" i="74"/>
  <c r="I164" i="74"/>
  <c r="I85" i="74"/>
  <c r="I75" i="74"/>
  <c r="I117" i="74"/>
  <c r="I73" i="74"/>
  <c r="I81" i="74"/>
  <c r="I89" i="74"/>
  <c r="I97" i="74"/>
  <c r="I113" i="74"/>
  <c r="I121" i="74"/>
  <c r="I129" i="74"/>
  <c r="I153" i="74"/>
  <c r="I161" i="74"/>
  <c r="I69" i="74"/>
  <c r="G62" i="74"/>
  <c r="I74" i="74"/>
  <c r="I82" i="74"/>
  <c r="I90" i="74"/>
  <c r="I106" i="74"/>
  <c r="I122" i="74"/>
  <c r="I154" i="74"/>
  <c r="G60" i="74"/>
  <c r="I131" i="74"/>
  <c r="G58" i="74"/>
  <c r="I116" i="74"/>
  <c r="I156" i="74"/>
  <c r="I157" i="74"/>
  <c r="G54" i="74"/>
  <c r="G38" i="74"/>
  <c r="G22" i="74"/>
  <c r="G52" i="74"/>
  <c r="G20" i="74"/>
  <c r="G44" i="74"/>
  <c r="G56" i="74"/>
  <c r="G34" i="74"/>
  <c r="G18" i="74"/>
  <c r="G32" i="74"/>
  <c r="G16" i="74"/>
  <c r="G46" i="74"/>
  <c r="G28" i="74"/>
  <c r="G42" i="74"/>
  <c r="G48" i="74"/>
  <c r="G30" i="74"/>
  <c r="G26" i="74"/>
  <c r="G12" i="74"/>
  <c r="F155" i="63"/>
  <c r="E156" i="63"/>
  <c r="O185" i="63"/>
  <c r="R185" i="63"/>
  <c r="J155" i="63"/>
  <c r="J156" i="63"/>
  <c r="I155" i="63"/>
  <c r="I156" i="63"/>
  <c r="F156" i="63"/>
  <c r="O186" i="63"/>
  <c r="R186" i="63"/>
  <c r="S2" i="74"/>
  <c r="H35" i="74"/>
  <c r="H49" i="74"/>
  <c r="H59" i="74"/>
  <c r="H47" i="74"/>
  <c r="H23" i="74"/>
  <c r="H61" i="74"/>
  <c r="H13" i="74"/>
  <c r="H11" i="74"/>
  <c r="H123" i="74"/>
  <c r="E123" i="74" s="1"/>
  <c r="H138" i="74"/>
  <c r="E138" i="74" s="1"/>
  <c r="H165" i="74"/>
  <c r="H150" i="74"/>
  <c r="E150" i="74" s="1"/>
  <c r="H156" i="74"/>
  <c r="E156" i="74" s="1"/>
  <c r="H129" i="74"/>
  <c r="H162" i="74"/>
  <c r="E162" i="74" s="1"/>
  <c r="H120" i="74"/>
  <c r="E120" i="74" s="1"/>
  <c r="H114" i="74"/>
  <c r="E114" i="74" s="1"/>
  <c r="H72" i="74"/>
  <c r="E72" i="74" s="1"/>
  <c r="H63" i="74"/>
  <c r="E63" i="74" s="1"/>
  <c r="H117" i="74"/>
  <c r="E117" i="74" s="1"/>
  <c r="H108" i="74"/>
  <c r="E108" i="74" s="1"/>
  <c r="H102" i="74"/>
  <c r="E102" i="74" s="1"/>
  <c r="D102" i="74" s="1"/>
  <c r="D251" i="74" s="1"/>
  <c r="H96" i="74"/>
  <c r="E96" i="74" s="1"/>
  <c r="H75" i="74"/>
  <c r="E75" i="74" s="1"/>
  <c r="H81" i="74"/>
  <c r="E81" i="74" s="1"/>
  <c r="H33" i="74"/>
  <c r="E33" i="74" s="1"/>
  <c r="H57" i="74"/>
  <c r="E57" i="74" s="1"/>
  <c r="H9" i="74"/>
  <c r="E9" i="74" s="1"/>
  <c r="H21" i="74"/>
  <c r="E21" i="74" s="1"/>
  <c r="H45" i="74"/>
  <c r="E45" i="74" s="1"/>
  <c r="T2" i="74"/>
  <c r="R4" i="63"/>
  <c r="X4" i="63" a="1"/>
  <c r="X4" i="63"/>
  <c r="C46" i="63"/>
  <c r="D46" i="63"/>
  <c r="E46" i="63"/>
  <c r="F46" i="63"/>
  <c r="E300" i="74"/>
  <c r="D300" i="74"/>
  <c r="AB6" i="74" s="1"/>
  <c r="D299" i="74"/>
  <c r="AA6" i="74" s="1"/>
  <c r="E298" i="74"/>
  <c r="D298" i="74"/>
  <c r="Z6" i="74" s="1"/>
  <c r="E297" i="74"/>
  <c r="D297" i="74"/>
  <c r="Y6" i="74" s="1"/>
  <c r="E296" i="74"/>
  <c r="P192" i="74"/>
  <c r="L192" i="74"/>
  <c r="P191" i="74"/>
  <c r="L191" i="74"/>
  <c r="P188" i="74"/>
  <c r="P190" i="74" s="1"/>
  <c r="P187" i="74"/>
  <c r="P189" i="74" s="1"/>
  <c r="H214" i="74"/>
  <c r="H194" i="74"/>
  <c r="E194" i="74" s="1"/>
  <c r="H188" i="74"/>
  <c r="H55" i="74"/>
  <c r="H31" i="74"/>
  <c r="H43" i="74"/>
  <c r="H53" i="74"/>
  <c r="H29" i="74"/>
  <c r="H19" i="74"/>
  <c r="H41" i="74"/>
  <c r="H17" i="74"/>
  <c r="H141" i="74"/>
  <c r="E141" i="74" s="1"/>
  <c r="D141" i="74" s="1"/>
  <c r="D264" i="74" s="1"/>
  <c r="H153" i="74"/>
  <c r="H132" i="74"/>
  <c r="E132" i="74" s="1"/>
  <c r="D132" i="74" s="1"/>
  <c r="D261" i="74" s="1"/>
  <c r="H159" i="74"/>
  <c r="H147" i="74"/>
  <c r="H126" i="74"/>
  <c r="E126" i="74" s="1"/>
  <c r="H105" i="74"/>
  <c r="E105" i="74" s="1"/>
  <c r="H111" i="74"/>
  <c r="E111" i="74" s="1"/>
  <c r="H93" i="74"/>
  <c r="E93" i="74" s="1"/>
  <c r="D93" i="74" s="1"/>
  <c r="D248" i="74" s="1"/>
  <c r="H99" i="74"/>
  <c r="E99" i="74" s="1"/>
  <c r="D99" i="74" s="1"/>
  <c r="D250" i="74" s="1"/>
  <c r="H84" i="74"/>
  <c r="H78" i="74"/>
  <c r="E78" i="74" s="1"/>
  <c r="H39" i="74"/>
  <c r="E39" i="74" s="1"/>
  <c r="D39" i="74" s="1"/>
  <c r="D234" i="74" s="1"/>
  <c r="H15" i="74"/>
  <c r="E15" i="74" s="1"/>
  <c r="H51" i="74"/>
  <c r="H27" i="74"/>
  <c r="H187" i="74"/>
  <c r="H189" i="74" s="1"/>
  <c r="H192" i="74"/>
  <c r="E192" i="74" s="1"/>
  <c r="H191" i="74"/>
  <c r="E191" i="74" s="1"/>
  <c r="F289" i="73"/>
  <c r="V286" i="73"/>
  <c r="D289" i="73"/>
  <c r="V284" i="73"/>
  <c r="C289" i="73"/>
  <c r="V283" i="73"/>
  <c r="AD286" i="73"/>
  <c r="AC286" i="73"/>
  <c r="AB286" i="73"/>
  <c r="AA286" i="73"/>
  <c r="Z286" i="73"/>
  <c r="T286" i="73"/>
  <c r="P286" i="73"/>
  <c r="O286" i="73"/>
  <c r="R286" i="73"/>
  <c r="AD285" i="73"/>
  <c r="AC285" i="73"/>
  <c r="AB285" i="73"/>
  <c r="AA285" i="73"/>
  <c r="Z285" i="73"/>
  <c r="T285" i="73"/>
  <c r="P285" i="73"/>
  <c r="O285" i="73"/>
  <c r="R285" i="73"/>
  <c r="AD284" i="73"/>
  <c r="AC284" i="73"/>
  <c r="AB284" i="73"/>
  <c r="AA284" i="73"/>
  <c r="Z284" i="73"/>
  <c r="T284" i="73"/>
  <c r="P284" i="73"/>
  <c r="O284" i="73"/>
  <c r="R284" i="73"/>
  <c r="AD283" i="73"/>
  <c r="AC283" i="73"/>
  <c r="AB283" i="73"/>
  <c r="AA283" i="73"/>
  <c r="Z283" i="73"/>
  <c r="T283" i="73"/>
  <c r="P283" i="73"/>
  <c r="Q283" i="73"/>
  <c r="O283" i="73"/>
  <c r="R283" i="73"/>
  <c r="F275" i="73"/>
  <c r="F274" i="73"/>
  <c r="F290" i="73"/>
  <c r="W286" i="73"/>
  <c r="E275" i="73"/>
  <c r="E274" i="73"/>
  <c r="E290" i="73"/>
  <c r="W285" i="73"/>
  <c r="D275" i="73"/>
  <c r="D274" i="73"/>
  <c r="D290" i="73"/>
  <c r="W284" i="73"/>
  <c r="C275" i="73"/>
  <c r="C274" i="73"/>
  <c r="E273" i="73"/>
  <c r="E289" i="73"/>
  <c r="V285" i="73"/>
  <c r="F272" i="73"/>
  <c r="E272" i="73"/>
  <c r="D272" i="73"/>
  <c r="C272" i="73"/>
  <c r="F270" i="73"/>
  <c r="F287" i="73"/>
  <c r="E270" i="73"/>
  <c r="E287" i="73"/>
  <c r="D270" i="73"/>
  <c r="D287" i="73"/>
  <c r="C270" i="73"/>
  <c r="C287" i="73"/>
  <c r="C288" i="73"/>
  <c r="AR255" i="73"/>
  <c r="AP255" i="73"/>
  <c r="AN255" i="73"/>
  <c r="AL255" i="73"/>
  <c r="AJ258" i="73"/>
  <c r="P255" i="73"/>
  <c r="AE255" i="73"/>
  <c r="F210" i="73"/>
  <c r="V207" i="73"/>
  <c r="D210" i="73"/>
  <c r="V205" i="73"/>
  <c r="C210" i="73"/>
  <c r="V204" i="73"/>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c r="F196" i="73"/>
  <c r="F195" i="73"/>
  <c r="F211" i="73"/>
  <c r="W207" i="73"/>
  <c r="E196" i="73"/>
  <c r="E195" i="73"/>
  <c r="E211" i="73"/>
  <c r="W206" i="73"/>
  <c r="D196" i="73"/>
  <c r="D195" i="73"/>
  <c r="D211" i="73"/>
  <c r="W205" i="73"/>
  <c r="C196" i="73"/>
  <c r="P199" i="73"/>
  <c r="E194" i="73"/>
  <c r="E210" i="73"/>
  <c r="V206" i="73"/>
  <c r="F193" i="73"/>
  <c r="E193" i="73"/>
  <c r="D193" i="73"/>
  <c r="C193" i="73"/>
  <c r="F191" i="73"/>
  <c r="F208" i="73"/>
  <c r="U207" i="73"/>
  <c r="D191" i="73"/>
  <c r="D208" i="73"/>
  <c r="U205" i="73"/>
  <c r="C191" i="73"/>
  <c r="C208" i="73"/>
  <c r="AR176" i="73"/>
  <c r="AP176" i="73"/>
  <c r="AN176" i="73"/>
  <c r="AL176" i="73"/>
  <c r="AJ179" i="73"/>
  <c r="F174" i="73"/>
  <c r="O207" i="73"/>
  <c r="R207" i="73"/>
  <c r="E174" i="73"/>
  <c r="O206" i="73"/>
  <c r="R206" i="73"/>
  <c r="D174" i="73"/>
  <c r="O205" i="73"/>
  <c r="R205" i="73"/>
  <c r="C174" i="73"/>
  <c r="O204" i="73"/>
  <c r="R204" i="73"/>
  <c r="P176" i="73"/>
  <c r="AE176" i="73"/>
  <c r="J173" i="73"/>
  <c r="J174" i="73"/>
  <c r="I173" i="73"/>
  <c r="I174" i="73"/>
  <c r="H173" i="73"/>
  <c r="H174" i="73"/>
  <c r="G173" i="73"/>
  <c r="G174" i="73"/>
  <c r="B82" i="73"/>
  <c r="D48" i="73"/>
  <c r="C48" i="73"/>
  <c r="B2" i="73"/>
  <c r="D288" i="73"/>
  <c r="U284" i="73"/>
  <c r="C195" i="73"/>
  <c r="E191" i="73"/>
  <c r="E208" i="73"/>
  <c r="E209" i="73"/>
  <c r="P278" i="73"/>
  <c r="C290" i="73"/>
  <c r="W283" i="73"/>
  <c r="P277" i="73"/>
  <c r="C209" i="73"/>
  <c r="U204" i="73"/>
  <c r="E48" i="73"/>
  <c r="E288" i="73"/>
  <c r="U285" i="73"/>
  <c r="F288" i="73"/>
  <c r="U286" i="73"/>
  <c r="F48" i="73"/>
  <c r="D209" i="73"/>
  <c r="F209" i="73"/>
  <c r="U283" i="73"/>
  <c r="AR254" i="72"/>
  <c r="AP254" i="72"/>
  <c r="AN254" i="72"/>
  <c r="AL254" i="72"/>
  <c r="AJ254" i="72"/>
  <c r="AE251" i="72"/>
  <c r="F274" i="72"/>
  <c r="F273" i="72"/>
  <c r="F289" i="72"/>
  <c r="W282" i="72"/>
  <c r="E274" i="72"/>
  <c r="E273" i="72"/>
  <c r="E289" i="72"/>
  <c r="W281" i="72"/>
  <c r="D274" i="72"/>
  <c r="D273" i="72"/>
  <c r="D289" i="72"/>
  <c r="W280" i="72"/>
  <c r="C274" i="72"/>
  <c r="C273" i="72"/>
  <c r="C289" i="72"/>
  <c r="W279" i="72"/>
  <c r="E272" i="72"/>
  <c r="E288" i="72"/>
  <c r="V281" i="72"/>
  <c r="F271" i="72"/>
  <c r="E271" i="72"/>
  <c r="D271" i="72"/>
  <c r="C271" i="72"/>
  <c r="F269" i="72"/>
  <c r="E269" i="72"/>
  <c r="D269" i="72"/>
  <c r="D286" i="72"/>
  <c r="C269" i="72"/>
  <c r="F288" i="72"/>
  <c r="D288" i="72"/>
  <c r="V280" i="72"/>
  <c r="C288" i="72"/>
  <c r="V279" i="72"/>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Q279" i="72"/>
  <c r="P274" i="72"/>
  <c r="E286" i="72"/>
  <c r="C286" i="72"/>
  <c r="C287" i="72"/>
  <c r="O282" i="72"/>
  <c r="R282" i="72"/>
  <c r="O281" i="72"/>
  <c r="R281" i="72"/>
  <c r="O280" i="72"/>
  <c r="R280" i="72"/>
  <c r="O279" i="72"/>
  <c r="R279" i="72"/>
  <c r="P251" i="72"/>
  <c r="AR175" i="72"/>
  <c r="AP175" i="72"/>
  <c r="AN175" i="72"/>
  <c r="AL175" i="72"/>
  <c r="AJ175" i="72"/>
  <c r="F195" i="72"/>
  <c r="F194" i="72"/>
  <c r="F210" i="72"/>
  <c r="W203" i="72"/>
  <c r="E195" i="72"/>
  <c r="E194" i="72"/>
  <c r="E210" i="72"/>
  <c r="W202" i="72"/>
  <c r="D195" i="72"/>
  <c r="D194" i="72"/>
  <c r="D210" i="72"/>
  <c r="W201" i="72"/>
  <c r="C195" i="72"/>
  <c r="C194" i="72"/>
  <c r="E193" i="72"/>
  <c r="E209" i="72"/>
  <c r="V202" i="72"/>
  <c r="F192" i="72"/>
  <c r="E192" i="72"/>
  <c r="D192" i="72"/>
  <c r="C192" i="72"/>
  <c r="F190" i="72"/>
  <c r="E190" i="72"/>
  <c r="E207" i="72"/>
  <c r="D190" i="72"/>
  <c r="C190" i="72"/>
  <c r="F173" i="72"/>
  <c r="O203" i="72"/>
  <c r="R203" i="72"/>
  <c r="E173" i="72"/>
  <c r="D173" i="72"/>
  <c r="O201" i="72"/>
  <c r="R201" i="72"/>
  <c r="C173" i="72"/>
  <c r="O200" i="72"/>
  <c r="R200" i="72"/>
  <c r="J172" i="72"/>
  <c r="J173" i="72"/>
  <c r="I172" i="72"/>
  <c r="I173" i="72"/>
  <c r="H172" i="72"/>
  <c r="H173" i="72"/>
  <c r="G172" i="72"/>
  <c r="G173" i="72"/>
  <c r="F209" i="72"/>
  <c r="D209" i="72"/>
  <c r="V201" i="72"/>
  <c r="C209" i="72"/>
  <c r="V200" i="72"/>
  <c r="F207" i="72"/>
  <c r="F208" i="72"/>
  <c r="D207" i="72"/>
  <c r="D208" i="72"/>
  <c r="C207" i="72"/>
  <c r="C208" i="72"/>
  <c r="AD203" i="72"/>
  <c r="AC203" i="72"/>
  <c r="AB203" i="72"/>
  <c r="AA203" i="72"/>
  <c r="Z203" i="72"/>
  <c r="V203" i="72"/>
  <c r="T203" i="72"/>
  <c r="P203" i="72"/>
  <c r="AD202" i="72"/>
  <c r="AC202" i="72"/>
  <c r="AB202" i="72"/>
  <c r="AA202" i="72"/>
  <c r="Z202" i="72"/>
  <c r="T202" i="72"/>
  <c r="P202" i="72"/>
  <c r="O202" i="72"/>
  <c r="R202" i="72"/>
  <c r="AD201" i="72"/>
  <c r="AC201" i="72"/>
  <c r="AB201" i="72"/>
  <c r="AA201" i="72"/>
  <c r="Z201" i="72"/>
  <c r="T201" i="72"/>
  <c r="P201" i="72"/>
  <c r="AD200" i="72"/>
  <c r="AC200" i="72"/>
  <c r="AB200" i="72"/>
  <c r="AA200" i="72"/>
  <c r="Z200" i="72"/>
  <c r="T200" i="72"/>
  <c r="P200" i="72"/>
  <c r="Q200" i="72"/>
  <c r="P195" i="72"/>
  <c r="C210" i="72"/>
  <c r="W200" i="72"/>
  <c r="P172" i="72"/>
  <c r="AE172" i="72"/>
  <c r="F113" i="72"/>
  <c r="F112" i="72"/>
  <c r="F128" i="72"/>
  <c r="W121" i="72"/>
  <c r="E113" i="72"/>
  <c r="E112" i="72"/>
  <c r="E128" i="72"/>
  <c r="W120" i="72"/>
  <c r="D113" i="72"/>
  <c r="D112" i="72"/>
  <c r="D128" i="72"/>
  <c r="W119" i="72"/>
  <c r="C113" i="72"/>
  <c r="C112" i="72"/>
  <c r="P112" i="72"/>
  <c r="E111" i="72"/>
  <c r="E127" i="72"/>
  <c r="V120" i="72"/>
  <c r="F110" i="72"/>
  <c r="E110" i="72"/>
  <c r="D110" i="72"/>
  <c r="C110" i="72"/>
  <c r="F34" i="72"/>
  <c r="E34" i="72"/>
  <c r="D34" i="72"/>
  <c r="D33" i="72"/>
  <c r="D49" i="72"/>
  <c r="W40" i="72"/>
  <c r="C34" i="72"/>
  <c r="P34" i="72"/>
  <c r="F33" i="72"/>
  <c r="E33" i="72"/>
  <c r="E49" i="72"/>
  <c r="W41" i="72"/>
  <c r="E32" i="72"/>
  <c r="F31" i="72"/>
  <c r="E31" i="72"/>
  <c r="D31" i="72"/>
  <c r="C31" i="72"/>
  <c r="E29" i="72"/>
  <c r="F12" i="72"/>
  <c r="O42" i="72"/>
  <c r="R42" i="72"/>
  <c r="E12" i="72"/>
  <c r="D12" i="72"/>
  <c r="C12" i="72"/>
  <c r="O39" i="72"/>
  <c r="R39" i="72"/>
  <c r="J11" i="72"/>
  <c r="J12" i="72"/>
  <c r="I11" i="72"/>
  <c r="I12" i="72"/>
  <c r="H11" i="72"/>
  <c r="H12" i="72"/>
  <c r="G11" i="72"/>
  <c r="G12" i="72"/>
  <c r="F127" i="72"/>
  <c r="V121" i="72"/>
  <c r="D127" i="72"/>
  <c r="C127" i="72"/>
  <c r="V118" i="72"/>
  <c r="F125" i="72"/>
  <c r="F126" i="72"/>
  <c r="E125" i="72"/>
  <c r="E126" i="72"/>
  <c r="D125" i="72"/>
  <c r="D126" i="72"/>
  <c r="C125" i="72"/>
  <c r="C126" i="72"/>
  <c r="AD121" i="72"/>
  <c r="AC121" i="72"/>
  <c r="AB121" i="72"/>
  <c r="AA121" i="72"/>
  <c r="Z121" i="72"/>
  <c r="T121" i="72"/>
  <c r="P121" i="72"/>
  <c r="O121" i="72"/>
  <c r="R121" i="72"/>
  <c r="AD120" i="72"/>
  <c r="AC120" i="72"/>
  <c r="AB120" i="72"/>
  <c r="AA120" i="72"/>
  <c r="Z120" i="72"/>
  <c r="T120" i="72"/>
  <c r="P120" i="72"/>
  <c r="O120" i="72"/>
  <c r="R120" i="72"/>
  <c r="AD119" i="72"/>
  <c r="AC119" i="72"/>
  <c r="AB119" i="72"/>
  <c r="AA119" i="72"/>
  <c r="Z119" i="72"/>
  <c r="V119" i="72"/>
  <c r="T119" i="72"/>
  <c r="P119" i="72"/>
  <c r="O119" i="72"/>
  <c r="R119" i="72"/>
  <c r="AD118" i="72"/>
  <c r="AC118" i="72"/>
  <c r="AB118" i="72"/>
  <c r="AA118" i="72"/>
  <c r="Z118" i="72"/>
  <c r="T118" i="72"/>
  <c r="P118" i="72"/>
  <c r="Q118" i="72"/>
  <c r="O118" i="72"/>
  <c r="R118" i="72"/>
  <c r="P113" i="72"/>
  <c r="P90" i="72"/>
  <c r="AE90" i="72"/>
  <c r="B81" i="72"/>
  <c r="F48" i="72"/>
  <c r="E48" i="72"/>
  <c r="D48" i="72"/>
  <c r="V40" i="72"/>
  <c r="C48" i="72"/>
  <c r="C47" i="72"/>
  <c r="F46" i="72"/>
  <c r="U42" i="72"/>
  <c r="E46" i="72"/>
  <c r="E47" i="72"/>
  <c r="D46" i="72"/>
  <c r="D47" i="72"/>
  <c r="C46" i="72"/>
  <c r="U39" i="72"/>
  <c r="AD42" i="72"/>
  <c r="AC42" i="72"/>
  <c r="AB42" i="72"/>
  <c r="AA42" i="72"/>
  <c r="Z42" i="72"/>
  <c r="V42" i="72"/>
  <c r="T42" i="72"/>
  <c r="P42" i="72"/>
  <c r="AD41" i="72"/>
  <c r="AC41" i="72"/>
  <c r="AB41" i="72"/>
  <c r="AA41" i="72"/>
  <c r="Z41" i="72"/>
  <c r="V41" i="72"/>
  <c r="T41" i="72"/>
  <c r="P41" i="72"/>
  <c r="O41" i="72"/>
  <c r="R41" i="72"/>
  <c r="AD40" i="72"/>
  <c r="AC40" i="72"/>
  <c r="AB40" i="72"/>
  <c r="AA40" i="72"/>
  <c r="Z40" i="72"/>
  <c r="U40" i="72"/>
  <c r="T40" i="72"/>
  <c r="R40" i="72"/>
  <c r="P40" i="72"/>
  <c r="O40" i="72"/>
  <c r="AD39" i="72"/>
  <c r="AC39" i="72"/>
  <c r="AB39" i="72"/>
  <c r="AA39" i="72"/>
  <c r="Z39" i="72"/>
  <c r="V39" i="72"/>
  <c r="T39" i="72"/>
  <c r="P39" i="72"/>
  <c r="Q39" i="72"/>
  <c r="F49" i="72"/>
  <c r="W42" i="72"/>
  <c r="P11" i="72"/>
  <c r="AE11" i="72"/>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E90" i="71"/>
  <c r="AD121" i="71"/>
  <c r="AC121" i="71"/>
  <c r="AB121" i="71"/>
  <c r="AA121" i="71"/>
  <c r="Z121" i="71"/>
  <c r="W121" i="71"/>
  <c r="V121" i="71"/>
  <c r="U121" i="71"/>
  <c r="T121" i="71"/>
  <c r="P121" i="71"/>
  <c r="O121" i="71"/>
  <c r="R121" i="71"/>
  <c r="AD120" i="71"/>
  <c r="AC120" i="71"/>
  <c r="AB120" i="71"/>
  <c r="AA120" i="71"/>
  <c r="Z120" i="71"/>
  <c r="W120" i="71"/>
  <c r="V120" i="71"/>
  <c r="U120" i="71"/>
  <c r="T120" i="71"/>
  <c r="R120" i="71"/>
  <c r="P120" i="71"/>
  <c r="O120" i="71"/>
  <c r="AD119" i="71"/>
  <c r="AC119" i="71"/>
  <c r="AB119" i="71"/>
  <c r="AA119" i="71"/>
  <c r="Z119" i="71"/>
  <c r="W119" i="71"/>
  <c r="V119" i="71"/>
  <c r="U119" i="71"/>
  <c r="T119" i="71"/>
  <c r="P119" i="71"/>
  <c r="O119" i="71"/>
  <c r="R119" i="71"/>
  <c r="AD118" i="71"/>
  <c r="AC118" i="71"/>
  <c r="AB118" i="71"/>
  <c r="AA118" i="71"/>
  <c r="Z118" i="71"/>
  <c r="W118" i="71"/>
  <c r="V118" i="71"/>
  <c r="U118" i="71"/>
  <c r="T118" i="71"/>
  <c r="R118" i="71"/>
  <c r="P118" i="71"/>
  <c r="Q118" i="71"/>
  <c r="O118" i="71"/>
  <c r="P113" i="71"/>
  <c r="P112" i="71"/>
  <c r="P90" i="71"/>
  <c r="F128" i="71"/>
  <c r="E128" i="71"/>
  <c r="D128" i="71"/>
  <c r="C128" i="71"/>
  <c r="F127" i="71"/>
  <c r="E127" i="71"/>
  <c r="D127" i="71"/>
  <c r="C127" i="71"/>
  <c r="F126" i="71"/>
  <c r="D126" i="71"/>
  <c r="F125" i="71"/>
  <c r="E125" i="71"/>
  <c r="E126" i="71"/>
  <c r="D125" i="71"/>
  <c r="C125" i="71"/>
  <c r="C126" i="71"/>
  <c r="F118" i="71"/>
  <c r="E118" i="71"/>
  <c r="D118" i="71"/>
  <c r="C118" i="71"/>
  <c r="F113" i="71"/>
  <c r="E113" i="71"/>
  <c r="E112" i="71"/>
  <c r="D113" i="71"/>
  <c r="C113" i="71"/>
  <c r="C112" i="71"/>
  <c r="F112" i="71"/>
  <c r="D112" i="71"/>
  <c r="AH18" i="71"/>
  <c r="AH17" i="71"/>
  <c r="AH16" i="71"/>
  <c r="AH15" i="71"/>
  <c r="AR14" i="71"/>
  <c r="AQ14" i="71"/>
  <c r="AP14" i="71"/>
  <c r="AO14" i="71"/>
  <c r="AN14" i="71"/>
  <c r="AM14" i="71"/>
  <c r="AL14" i="71"/>
  <c r="AK14" i="71"/>
  <c r="AJ14" i="71"/>
  <c r="AI14" i="71"/>
  <c r="AH14" i="71"/>
  <c r="AH13" i="71"/>
  <c r="AH12" i="71"/>
  <c r="AR11" i="71"/>
  <c r="AQ11" i="71"/>
  <c r="AP11" i="71"/>
  <c r="AO11" i="71"/>
  <c r="AN11" i="71"/>
  <c r="AM11" i="71"/>
  <c r="AL11" i="71"/>
  <c r="AK11" i="71"/>
  <c r="AJ11" i="71"/>
  <c r="AI11" i="71"/>
  <c r="AH11" i="71"/>
  <c r="AE11" i="71"/>
  <c r="F34" i="71"/>
  <c r="E34" i="71"/>
  <c r="D34" i="71"/>
  <c r="C34" i="71"/>
  <c r="F33" i="71"/>
  <c r="E33" i="71"/>
  <c r="D33" i="71"/>
  <c r="C33" i="71"/>
  <c r="P251" i="56"/>
  <c r="P172" i="56"/>
  <c r="O282" i="56"/>
  <c r="F48" i="71"/>
  <c r="V42" i="71"/>
  <c r="E48" i="71"/>
  <c r="V41" i="71"/>
  <c r="D48" i="71"/>
  <c r="C48" i="71"/>
  <c r="V39" i="71"/>
  <c r="F46" i="71"/>
  <c r="F47" i="71"/>
  <c r="E46" i="71"/>
  <c r="E47" i="71"/>
  <c r="D46" i="71"/>
  <c r="D47" i="71"/>
  <c r="C46" i="71"/>
  <c r="C47" i="71"/>
  <c r="AD42" i="71"/>
  <c r="AC42" i="71"/>
  <c r="AB42" i="71"/>
  <c r="AA42" i="71"/>
  <c r="Z42" i="71"/>
  <c r="T42" i="71"/>
  <c r="P42" i="71"/>
  <c r="O42" i="71"/>
  <c r="R42" i="71"/>
  <c r="AD41" i="71"/>
  <c r="AC41" i="71"/>
  <c r="AB41" i="71"/>
  <c r="AA41" i="71"/>
  <c r="Z41" i="71"/>
  <c r="T41" i="71"/>
  <c r="P41" i="71"/>
  <c r="O41" i="71"/>
  <c r="R41" i="71"/>
  <c r="AD40" i="71"/>
  <c r="AC40" i="71"/>
  <c r="AB40" i="71"/>
  <c r="AA40" i="71"/>
  <c r="Z40" i="71"/>
  <c r="V40" i="71"/>
  <c r="U40" i="71"/>
  <c r="T40" i="71"/>
  <c r="P40" i="71"/>
  <c r="O40" i="71"/>
  <c r="R40" i="71"/>
  <c r="AD39" i="71"/>
  <c r="AC39" i="71"/>
  <c r="AB39" i="71"/>
  <c r="AA39" i="71"/>
  <c r="Z39" i="71"/>
  <c r="T39" i="71"/>
  <c r="P39" i="71"/>
  <c r="Q39" i="71"/>
  <c r="O39" i="71"/>
  <c r="R39" i="71"/>
  <c r="D49" i="71"/>
  <c r="W40" i="71"/>
  <c r="P34" i="71"/>
  <c r="F49" i="71"/>
  <c r="W42" i="71"/>
  <c r="E49" i="71"/>
  <c r="W41" i="71"/>
  <c r="P11" i="71"/>
  <c r="B2" i="71"/>
  <c r="AE11" i="70"/>
  <c r="F34" i="70"/>
  <c r="F33" i="70"/>
  <c r="F49" i="70"/>
  <c r="W42" i="70"/>
  <c r="E34" i="70"/>
  <c r="D34" i="70"/>
  <c r="C34" i="70"/>
  <c r="E33" i="70"/>
  <c r="E49" i="70"/>
  <c r="W41" i="70"/>
  <c r="D33" i="70"/>
  <c r="D49" i="70"/>
  <c r="W40" i="70"/>
  <c r="C33" i="70"/>
  <c r="C49" i="70"/>
  <c r="W39" i="70"/>
  <c r="F48" i="70"/>
  <c r="V42" i="70"/>
  <c r="E48" i="70"/>
  <c r="D48" i="70"/>
  <c r="C48" i="70"/>
  <c r="V39" i="70"/>
  <c r="F46" i="70"/>
  <c r="F47" i="70"/>
  <c r="E46" i="70"/>
  <c r="E47" i="70"/>
  <c r="D46" i="70"/>
  <c r="D47" i="70"/>
  <c r="C46" i="70"/>
  <c r="C47" i="70"/>
  <c r="AD42" i="70"/>
  <c r="AC42" i="70"/>
  <c r="AB42" i="70"/>
  <c r="AA42" i="70"/>
  <c r="Z42" i="70"/>
  <c r="T42" i="70"/>
  <c r="R42" i="70"/>
  <c r="P42" i="70"/>
  <c r="O42" i="70"/>
  <c r="AD41" i="70"/>
  <c r="AC41" i="70"/>
  <c r="AB41" i="70"/>
  <c r="AA41" i="70"/>
  <c r="Z41" i="70"/>
  <c r="V41" i="70"/>
  <c r="T41" i="70"/>
  <c r="P41" i="70"/>
  <c r="O41" i="70"/>
  <c r="R41" i="70"/>
  <c r="AD40" i="70"/>
  <c r="AC40" i="70"/>
  <c r="AB40" i="70"/>
  <c r="AA40" i="70"/>
  <c r="Z40" i="70"/>
  <c r="V40" i="70"/>
  <c r="T40" i="70"/>
  <c r="P40" i="70"/>
  <c r="O40" i="70"/>
  <c r="R40" i="70"/>
  <c r="AD39" i="70"/>
  <c r="AC39" i="70"/>
  <c r="AB39" i="70"/>
  <c r="AA39" i="70"/>
  <c r="Z39" i="70"/>
  <c r="T39" i="70"/>
  <c r="P39" i="70"/>
  <c r="Q39" i="70"/>
  <c r="O39" i="70"/>
  <c r="R39" i="70"/>
  <c r="P34" i="70"/>
  <c r="P11" i="70"/>
  <c r="B2" i="70"/>
  <c r="AE11" i="69"/>
  <c r="F34" i="69"/>
  <c r="E34" i="69"/>
  <c r="D34" i="69"/>
  <c r="D33" i="69"/>
  <c r="D49" i="69"/>
  <c r="W40" i="69"/>
  <c r="C34" i="69"/>
  <c r="F33" i="69"/>
  <c r="E33" i="69"/>
  <c r="E49" i="69"/>
  <c r="W41" i="69"/>
  <c r="C33" i="69"/>
  <c r="C49" i="69"/>
  <c r="W39" i="69"/>
  <c r="F48" i="69"/>
  <c r="E48" i="69"/>
  <c r="D48" i="69"/>
  <c r="C48" i="69"/>
  <c r="V39" i="69"/>
  <c r="F47" i="69"/>
  <c r="D47" i="69"/>
  <c r="F46" i="69"/>
  <c r="E46" i="69"/>
  <c r="U41" i="69"/>
  <c r="D46" i="69"/>
  <c r="C46" i="69"/>
  <c r="C47" i="69"/>
  <c r="AD42" i="69"/>
  <c r="AC42" i="69"/>
  <c r="AB42" i="69"/>
  <c r="AA42" i="69"/>
  <c r="Z42" i="69"/>
  <c r="V42" i="69"/>
  <c r="U42" i="69"/>
  <c r="T42" i="69"/>
  <c r="R42" i="69"/>
  <c r="P42" i="69"/>
  <c r="O42" i="69"/>
  <c r="AD41" i="69"/>
  <c r="AC41" i="69"/>
  <c r="AB41" i="69"/>
  <c r="AA41" i="69"/>
  <c r="Z41" i="69"/>
  <c r="V41" i="69"/>
  <c r="T41" i="69"/>
  <c r="P41" i="69"/>
  <c r="O41" i="69"/>
  <c r="R41" i="69"/>
  <c r="AD40" i="69"/>
  <c r="AC40" i="69"/>
  <c r="AB40" i="69"/>
  <c r="AA40" i="69"/>
  <c r="Z40" i="69"/>
  <c r="V40" i="69"/>
  <c r="U40" i="69"/>
  <c r="T40" i="69"/>
  <c r="R40" i="69"/>
  <c r="P40" i="69"/>
  <c r="O40" i="69"/>
  <c r="AD39" i="69"/>
  <c r="AC39" i="69"/>
  <c r="AB39" i="69"/>
  <c r="AA39" i="69"/>
  <c r="Z39" i="69"/>
  <c r="T39" i="69"/>
  <c r="P39" i="69"/>
  <c r="Q39" i="69"/>
  <c r="O39" i="69"/>
  <c r="R39" i="69"/>
  <c r="P34" i="69"/>
  <c r="F49" i="69"/>
  <c r="W42" i="69"/>
  <c r="P11" i="69"/>
  <c r="B2" i="69"/>
  <c r="AR14" i="68"/>
  <c r="AP14" i="68"/>
  <c r="AN14" i="68"/>
  <c r="AL14" i="68"/>
  <c r="AJ14" i="68"/>
  <c r="AE11" i="68"/>
  <c r="F34" i="68"/>
  <c r="E34" i="68"/>
  <c r="D34" i="68"/>
  <c r="C34" i="68"/>
  <c r="F33" i="68"/>
  <c r="F49" i="68"/>
  <c r="W42" i="68"/>
  <c r="E33" i="68"/>
  <c r="E49" i="68"/>
  <c r="W41" i="68"/>
  <c r="D33" i="68"/>
  <c r="D49" i="68"/>
  <c r="W40" i="68"/>
  <c r="C33" i="68"/>
  <c r="F48" i="68"/>
  <c r="E48" i="68"/>
  <c r="V41" i="68"/>
  <c r="D48" i="68"/>
  <c r="C48" i="68"/>
  <c r="V39" i="68"/>
  <c r="F47" i="68"/>
  <c r="F46" i="68"/>
  <c r="U42" i="68"/>
  <c r="E46" i="68"/>
  <c r="E47" i="68"/>
  <c r="D46" i="68"/>
  <c r="D47" i="68"/>
  <c r="C46" i="68"/>
  <c r="C47" i="68"/>
  <c r="AD42" i="68"/>
  <c r="AC42" i="68"/>
  <c r="AB42" i="68"/>
  <c r="AA42" i="68"/>
  <c r="Z42" i="68"/>
  <c r="V42" i="68"/>
  <c r="T42" i="68"/>
  <c r="P42" i="68"/>
  <c r="O42" i="68"/>
  <c r="R42" i="68"/>
  <c r="AD41" i="68"/>
  <c r="AC41" i="68"/>
  <c r="AB41" i="68"/>
  <c r="AA41" i="68"/>
  <c r="Z41" i="68"/>
  <c r="T41" i="68"/>
  <c r="P41" i="68"/>
  <c r="O41" i="68"/>
  <c r="R41" i="68"/>
  <c r="AD40" i="68"/>
  <c r="AC40" i="68"/>
  <c r="AB40" i="68"/>
  <c r="AA40" i="68"/>
  <c r="Z40" i="68"/>
  <c r="V40" i="68"/>
  <c r="U40" i="68"/>
  <c r="T40" i="68"/>
  <c r="P40" i="68"/>
  <c r="O40" i="68"/>
  <c r="R40" i="68"/>
  <c r="AD39" i="68"/>
  <c r="AC39" i="68"/>
  <c r="AB39" i="68"/>
  <c r="AA39" i="68"/>
  <c r="Z39" i="68"/>
  <c r="T39" i="68"/>
  <c r="R39" i="68"/>
  <c r="P39" i="68"/>
  <c r="Q39" i="68"/>
  <c r="O39" i="68"/>
  <c r="P34" i="68"/>
  <c r="P11" i="68"/>
  <c r="B2" i="68"/>
  <c r="V39" i="62"/>
  <c r="V40" i="62"/>
  <c r="U42" i="62"/>
  <c r="U41" i="62"/>
  <c r="U40" i="62"/>
  <c r="U39" i="62"/>
  <c r="O42" i="62"/>
  <c r="O41" i="62"/>
  <c r="O40" i="62"/>
  <c r="O39" i="62"/>
  <c r="R39" i="62"/>
  <c r="AR86" i="62"/>
  <c r="AP86" i="62"/>
  <c r="AN86" i="62"/>
  <c r="AL86" i="62"/>
  <c r="AJ86" i="62"/>
  <c r="AE83" i="62"/>
  <c r="F111" i="62"/>
  <c r="D111" i="62"/>
  <c r="F106" i="62"/>
  <c r="E106" i="62"/>
  <c r="E105" i="62"/>
  <c r="E121" i="62"/>
  <c r="W113" i="62"/>
  <c r="D106" i="62"/>
  <c r="C106" i="62"/>
  <c r="C105" i="62"/>
  <c r="F105" i="62"/>
  <c r="F121" i="62"/>
  <c r="W114" i="62"/>
  <c r="D105" i="62"/>
  <c r="F101" i="62"/>
  <c r="F118" i="62"/>
  <c r="E101" i="62"/>
  <c r="E111" i="62"/>
  <c r="D101" i="62"/>
  <c r="C101" i="62"/>
  <c r="C111" i="62"/>
  <c r="H84" i="62"/>
  <c r="F84" i="62"/>
  <c r="E84" i="62"/>
  <c r="D84" i="62"/>
  <c r="C84" i="62"/>
  <c r="J83" i="62"/>
  <c r="J84" i="62"/>
  <c r="I83" i="62"/>
  <c r="I84" i="62"/>
  <c r="H83" i="62"/>
  <c r="G83" i="62"/>
  <c r="G84" i="62"/>
  <c r="F120" i="62"/>
  <c r="V114" i="62"/>
  <c r="E120" i="62"/>
  <c r="D120" i="62"/>
  <c r="C120" i="62"/>
  <c r="V111" i="62"/>
  <c r="D118" i="62"/>
  <c r="D119" i="62"/>
  <c r="AD114" i="62"/>
  <c r="AC114" i="62"/>
  <c r="AB114" i="62"/>
  <c r="AA114" i="62"/>
  <c r="Z114" i="62"/>
  <c r="T114" i="62"/>
  <c r="P114" i="62"/>
  <c r="AD113" i="62"/>
  <c r="AC113" i="62"/>
  <c r="AB113" i="62"/>
  <c r="AA113" i="62"/>
  <c r="Z113" i="62"/>
  <c r="V113" i="62"/>
  <c r="T113" i="62"/>
  <c r="P113" i="62"/>
  <c r="AD112" i="62"/>
  <c r="AC112" i="62"/>
  <c r="AB112" i="62"/>
  <c r="AA112" i="62"/>
  <c r="Z112" i="62"/>
  <c r="V112" i="62"/>
  <c r="T112" i="62"/>
  <c r="P112" i="62"/>
  <c r="AD111" i="62"/>
  <c r="AC111" i="62"/>
  <c r="AB111" i="62"/>
  <c r="AA111" i="62"/>
  <c r="Z111" i="62"/>
  <c r="T111" i="62"/>
  <c r="P111" i="62"/>
  <c r="Q111" i="62"/>
  <c r="D121" i="62"/>
  <c r="W112" i="62"/>
  <c r="O114" i="62"/>
  <c r="R114" i="62"/>
  <c r="O111" i="62"/>
  <c r="R111" i="62"/>
  <c r="P83" i="62"/>
  <c r="O113" i="62"/>
  <c r="R113" i="62"/>
  <c r="AP14" i="62"/>
  <c r="AN14" i="62"/>
  <c r="AC14" i="62"/>
  <c r="AR14" i="62"/>
  <c r="Y14" i="62"/>
  <c r="W14" i="62"/>
  <c r="AL14" i="62"/>
  <c r="U14" i="62"/>
  <c r="AJ14" i="62"/>
  <c r="AE11" i="62"/>
  <c r="F39" i="62"/>
  <c r="E39" i="62"/>
  <c r="D39" i="62"/>
  <c r="C39" i="62"/>
  <c r="F34" i="62"/>
  <c r="E34" i="62"/>
  <c r="E33" i="62"/>
  <c r="D34" i="62"/>
  <c r="D33" i="62"/>
  <c r="D49" i="62"/>
  <c r="W40" i="62"/>
  <c r="C34" i="62"/>
  <c r="P34" i="62"/>
  <c r="F33" i="62"/>
  <c r="I12" i="62"/>
  <c r="C12" i="62"/>
  <c r="I11" i="62"/>
  <c r="H11" i="62"/>
  <c r="H12" i="62"/>
  <c r="G11" i="62"/>
  <c r="G12" i="62"/>
  <c r="F11" i="62"/>
  <c r="F12" i="62"/>
  <c r="E11" i="62"/>
  <c r="E12" i="62"/>
  <c r="D11" i="62"/>
  <c r="D12" i="62"/>
  <c r="AH18" i="64"/>
  <c r="AH17" i="64"/>
  <c r="AH16" i="64"/>
  <c r="AH15" i="64"/>
  <c r="AR14" i="64"/>
  <c r="AP14" i="64"/>
  <c r="AN14" i="64"/>
  <c r="AL14" i="64"/>
  <c r="AJ14" i="64"/>
  <c r="AH14" i="64"/>
  <c r="AH13" i="64"/>
  <c r="AH12" i="64"/>
  <c r="AH11" i="64"/>
  <c r="AE11" i="64"/>
  <c r="C66" i="64"/>
  <c r="F34" i="64"/>
  <c r="F33" i="64"/>
  <c r="E34" i="64"/>
  <c r="E33" i="64"/>
  <c r="D34" i="64"/>
  <c r="D33" i="64"/>
  <c r="D49" i="64"/>
  <c r="W40" i="64"/>
  <c r="C34" i="64"/>
  <c r="C33" i="64"/>
  <c r="C49" i="64"/>
  <c r="W39" i="64"/>
  <c r="AH18" i="65"/>
  <c r="AH17" i="65"/>
  <c r="AH16" i="65"/>
  <c r="AH15" i="65"/>
  <c r="AR14" i="65"/>
  <c r="AP14" i="65"/>
  <c r="AN14" i="65"/>
  <c r="AL14" i="65"/>
  <c r="AJ14" i="65"/>
  <c r="AH14" i="65"/>
  <c r="AH13" i="65"/>
  <c r="AH12" i="65"/>
  <c r="AH11" i="65"/>
  <c r="AE11" i="65"/>
  <c r="F45" i="65"/>
  <c r="E45" i="65"/>
  <c r="D45" i="65"/>
  <c r="C45" i="65"/>
  <c r="F34" i="65"/>
  <c r="E34" i="65"/>
  <c r="D34" i="65"/>
  <c r="D33" i="65"/>
  <c r="D49" i="65"/>
  <c r="W40" i="65"/>
  <c r="C34" i="65"/>
  <c r="C33" i="65"/>
  <c r="C49" i="65"/>
  <c r="W39" i="65"/>
  <c r="F33" i="65"/>
  <c r="E33" i="65"/>
  <c r="AR19" i="66"/>
  <c r="AP19" i="66"/>
  <c r="AN19" i="66"/>
  <c r="AL19" i="66"/>
  <c r="AJ19" i="66"/>
  <c r="AC19" i="66"/>
  <c r="AA19" i="66"/>
  <c r="Y19" i="66"/>
  <c r="W19" i="66"/>
  <c r="U19" i="66"/>
  <c r="AE11" i="66"/>
  <c r="F34" i="66"/>
  <c r="F33" i="66"/>
  <c r="F49" i="66"/>
  <c r="W42" i="66"/>
  <c r="E34" i="66"/>
  <c r="D34" i="66"/>
  <c r="D33" i="66"/>
  <c r="C34" i="66"/>
  <c r="E33" i="66"/>
  <c r="C33" i="66"/>
  <c r="C49" i="66"/>
  <c r="W39" i="66"/>
  <c r="J12" i="66"/>
  <c r="I12" i="66"/>
  <c r="H12" i="66"/>
  <c r="G12" i="66"/>
  <c r="F12" i="66"/>
  <c r="E12" i="66"/>
  <c r="D12" i="66"/>
  <c r="C12" i="66"/>
  <c r="O39" i="66"/>
  <c r="R39" i="66"/>
  <c r="F48" i="66"/>
  <c r="E48" i="66"/>
  <c r="V41" i="66"/>
  <c r="D48" i="66"/>
  <c r="C48" i="66"/>
  <c r="F47" i="66"/>
  <c r="F46" i="66"/>
  <c r="E46" i="66"/>
  <c r="E47" i="66"/>
  <c r="D46" i="66"/>
  <c r="D47" i="66"/>
  <c r="C46" i="66"/>
  <c r="C47" i="66"/>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Q39" i="66"/>
  <c r="P39" i="66"/>
  <c r="P34" i="66"/>
  <c r="P11" i="66"/>
  <c r="B2" i="66"/>
  <c r="F48" i="65"/>
  <c r="V42" i="65"/>
  <c r="E48" i="65"/>
  <c r="V41" i="65"/>
  <c r="D48" i="65"/>
  <c r="C48" i="65"/>
  <c r="F46" i="65"/>
  <c r="F47" i="65"/>
  <c r="E46" i="65"/>
  <c r="E47" i="65"/>
  <c r="D46" i="65"/>
  <c r="D47" i="65"/>
  <c r="C46" i="65"/>
  <c r="C47" i="65"/>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R39" i="65"/>
  <c r="P39" i="65"/>
  <c r="Q39" i="65"/>
  <c r="O39" i="65"/>
  <c r="F49" i="65"/>
  <c r="W42" i="65"/>
  <c r="E49" i="65"/>
  <c r="W41" i="65"/>
  <c r="O42" i="65"/>
  <c r="R42" i="65"/>
  <c r="O41" i="65"/>
  <c r="R41" i="65"/>
  <c r="O40" i="65"/>
  <c r="R40" i="65"/>
  <c r="P11" i="65"/>
  <c r="B2" i="65"/>
  <c r="F48" i="64"/>
  <c r="V42" i="64"/>
  <c r="E48" i="64"/>
  <c r="V41" i="64"/>
  <c r="D48" i="64"/>
  <c r="C48" i="64"/>
  <c r="V39" i="64"/>
  <c r="F46" i="64"/>
  <c r="U42" i="64"/>
  <c r="E46" i="64"/>
  <c r="E47" i="64"/>
  <c r="D46" i="64"/>
  <c r="D47" i="64"/>
  <c r="C46" i="64"/>
  <c r="C47" i="64"/>
  <c r="AD42" i="64"/>
  <c r="AC42" i="64"/>
  <c r="AB42" i="64"/>
  <c r="AA42" i="64"/>
  <c r="Z42" i="64"/>
  <c r="T42" i="64"/>
  <c r="P42" i="64"/>
  <c r="AD41" i="64"/>
  <c r="AC41" i="64"/>
  <c r="AB41" i="64"/>
  <c r="AA41" i="64"/>
  <c r="Z41" i="64"/>
  <c r="U41" i="64"/>
  <c r="T41" i="64"/>
  <c r="P41" i="64"/>
  <c r="AD40" i="64"/>
  <c r="AC40" i="64"/>
  <c r="AB40" i="64"/>
  <c r="AA40" i="64"/>
  <c r="Z40" i="64"/>
  <c r="V40" i="64"/>
  <c r="U40" i="64"/>
  <c r="T40" i="64"/>
  <c r="P40" i="64"/>
  <c r="AD39" i="64"/>
  <c r="AC39" i="64"/>
  <c r="AB39" i="64"/>
  <c r="AA39" i="64"/>
  <c r="Z39" i="64"/>
  <c r="U39" i="64"/>
  <c r="T39" i="64"/>
  <c r="P39" i="64"/>
  <c r="Q39" i="64"/>
  <c r="P34" i="64"/>
  <c r="O39" i="64"/>
  <c r="R39" i="64"/>
  <c r="P11" i="64"/>
  <c r="B2" i="64"/>
  <c r="F48" i="63"/>
  <c r="V42" i="63"/>
  <c r="E48" i="63"/>
  <c r="V41" i="63"/>
  <c r="D48" i="63"/>
  <c r="C48" i="63"/>
  <c r="V39" i="63"/>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Q39" i="63"/>
  <c r="R39" i="63"/>
  <c r="F39" i="63"/>
  <c r="E39" i="63"/>
  <c r="D39" i="63"/>
  <c r="C39" i="63"/>
  <c r="E35" i="63"/>
  <c r="F34" i="63"/>
  <c r="F33" i="63"/>
  <c r="E34" i="63"/>
  <c r="D34" i="63"/>
  <c r="C34" i="63"/>
  <c r="P34" i="63"/>
  <c r="D33" i="63"/>
  <c r="D49" i="63"/>
  <c r="W40" i="63"/>
  <c r="C33" i="63"/>
  <c r="C49" i="63"/>
  <c r="W39" i="63"/>
  <c r="AR14" i="63"/>
  <c r="AJ14" i="63"/>
  <c r="AC14" i="63"/>
  <c r="AA14" i="63"/>
  <c r="AP14" i="63"/>
  <c r="Y14" i="63"/>
  <c r="AN14" i="63"/>
  <c r="W14" i="63"/>
  <c r="AL14" i="63"/>
  <c r="U14" i="63"/>
  <c r="H12" i="63"/>
  <c r="G12" i="63"/>
  <c r="F12" i="63"/>
  <c r="R42" i="63"/>
  <c r="E12" i="63"/>
  <c r="R41" i="63"/>
  <c r="D12" i="63"/>
  <c r="R40" i="63"/>
  <c r="C12" i="63"/>
  <c r="AE11" i="63"/>
  <c r="P11" i="63"/>
  <c r="J11" i="63"/>
  <c r="J12" i="63"/>
  <c r="I11" i="63"/>
  <c r="I12" i="63"/>
  <c r="H11" i="63"/>
  <c r="G11" i="63"/>
  <c r="B2" i="63"/>
  <c r="F48" i="62"/>
  <c r="V42" i="62"/>
  <c r="E48" i="62"/>
  <c r="V41" i="62"/>
  <c r="D48" i="62"/>
  <c r="C48" i="62"/>
  <c r="F47" i="62"/>
  <c r="F46" i="62"/>
  <c r="E46" i="62"/>
  <c r="E47" i="62"/>
  <c r="D46" i="62"/>
  <c r="D47" i="62"/>
  <c r="C46" i="62"/>
  <c r="C47" i="62"/>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Q39" i="62"/>
  <c r="P11" i="62"/>
  <c r="B2" i="62"/>
  <c r="O121" i="55"/>
  <c r="O120" i="55"/>
  <c r="O119" i="55"/>
  <c r="O118" i="55"/>
  <c r="O42" i="55"/>
  <c r="R42" i="55"/>
  <c r="O41" i="55"/>
  <c r="R41" i="55"/>
  <c r="O40" i="55"/>
  <c r="R40" i="55"/>
  <c r="O39" i="55"/>
  <c r="O42" i="57"/>
  <c r="R42" i="57"/>
  <c r="O41" i="57"/>
  <c r="R41" i="57"/>
  <c r="O40" i="57"/>
  <c r="R40" i="57"/>
  <c r="O39" i="57"/>
  <c r="O348" i="56"/>
  <c r="O347" i="56"/>
  <c r="R347" i="56"/>
  <c r="O346" i="56"/>
  <c r="R346" i="56"/>
  <c r="O345" i="56"/>
  <c r="F49" i="57"/>
  <c r="W42" i="57"/>
  <c r="F47" i="57"/>
  <c r="D47" i="57"/>
  <c r="F46" i="57"/>
  <c r="E46" i="57"/>
  <c r="E47" i="57"/>
  <c r="D46" i="57"/>
  <c r="C46" i="57"/>
  <c r="C47" i="57"/>
  <c r="AD42" i="57"/>
  <c r="AC42" i="57"/>
  <c r="AB42" i="57"/>
  <c r="AA42" i="57"/>
  <c r="Z42" i="57"/>
  <c r="U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Q39" i="57"/>
  <c r="R39" i="57"/>
  <c r="P34" i="57"/>
  <c r="P33" i="57"/>
  <c r="F33" i="57"/>
  <c r="E33" i="57"/>
  <c r="E49" i="57"/>
  <c r="W41" i="57"/>
  <c r="D33" i="57"/>
  <c r="D49" i="57"/>
  <c r="W40" i="57"/>
  <c r="C33" i="57"/>
  <c r="C49" i="57"/>
  <c r="W39" i="57"/>
  <c r="F32" i="57"/>
  <c r="F48" i="57"/>
  <c r="V42" i="57"/>
  <c r="E32" i="57"/>
  <c r="E48" i="57"/>
  <c r="V41" i="57"/>
  <c r="D32" i="57"/>
  <c r="D48" i="57"/>
  <c r="V40" i="57"/>
  <c r="C32" i="57"/>
  <c r="C48" i="57"/>
  <c r="V39" i="57"/>
  <c r="P11" i="57"/>
  <c r="AE11" i="57"/>
  <c r="F353" i="56"/>
  <c r="D353" i="56"/>
  <c r="F352" i="56"/>
  <c r="E352" i="56"/>
  <c r="U347" i="56"/>
  <c r="D352" i="56"/>
  <c r="C352" i="56"/>
  <c r="C353" i="56"/>
  <c r="AD348" i="56"/>
  <c r="AC348" i="56"/>
  <c r="AB348" i="56"/>
  <c r="AA348" i="56"/>
  <c r="Z348" i="56"/>
  <c r="U348" i="56"/>
  <c r="T348" i="56"/>
  <c r="R348" i="56"/>
  <c r="P348" i="56"/>
  <c r="AD347" i="56"/>
  <c r="AC347" i="56"/>
  <c r="AB347" i="56"/>
  <c r="AA347" i="56"/>
  <c r="Z347" i="56"/>
  <c r="T347" i="56"/>
  <c r="P347" i="56"/>
  <c r="AD346" i="56"/>
  <c r="AC346" i="56"/>
  <c r="AB346" i="56"/>
  <c r="AA346" i="56"/>
  <c r="Z346" i="56"/>
  <c r="U346" i="56"/>
  <c r="T346" i="56"/>
  <c r="P346" i="56"/>
  <c r="AD345" i="56"/>
  <c r="AC345" i="56"/>
  <c r="AB345" i="56"/>
  <c r="AA345" i="56"/>
  <c r="Z345" i="56"/>
  <c r="T345" i="56"/>
  <c r="P345" i="56"/>
  <c r="Q345" i="56"/>
  <c r="R345" i="56"/>
  <c r="F340" i="56"/>
  <c r="F339" i="56"/>
  <c r="F355" i="56"/>
  <c r="W348" i="56"/>
  <c r="E340" i="56"/>
  <c r="D340" i="56"/>
  <c r="C340" i="56"/>
  <c r="P340" i="56"/>
  <c r="E339" i="56"/>
  <c r="E355" i="56"/>
  <c r="W347" i="56"/>
  <c r="D339" i="56"/>
  <c r="D355" i="56"/>
  <c r="W346" i="56"/>
  <c r="F338" i="56"/>
  <c r="F354" i="56"/>
  <c r="V348" i="56"/>
  <c r="E338" i="56"/>
  <c r="E354" i="56"/>
  <c r="V347" i="56"/>
  <c r="D338" i="56"/>
  <c r="D354" i="56"/>
  <c r="V346" i="56"/>
  <c r="C338" i="56"/>
  <c r="C354" i="56"/>
  <c r="V345" i="56"/>
  <c r="V331" i="56"/>
  <c r="U331" i="56"/>
  <c r="T331" i="56"/>
  <c r="AH317" i="56"/>
  <c r="P317" i="56"/>
  <c r="AE317" i="56"/>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C275" i="56"/>
  <c r="P273" i="56"/>
  <c r="F273" i="56"/>
  <c r="F289" i="56"/>
  <c r="W282" i="56"/>
  <c r="E273" i="56"/>
  <c r="E289" i="56"/>
  <c r="W281" i="56"/>
  <c r="D273" i="56"/>
  <c r="C273" i="56"/>
  <c r="C289" i="56"/>
  <c r="W279" i="56"/>
  <c r="F272" i="56"/>
  <c r="F288" i="56"/>
  <c r="V282" i="56"/>
  <c r="E272" i="56"/>
  <c r="E288" i="56"/>
  <c r="V281" i="56"/>
  <c r="D272" i="56"/>
  <c r="D288" i="56"/>
  <c r="V280" i="56"/>
  <c r="C272" i="56"/>
  <c r="C288" i="56"/>
  <c r="V279" i="56"/>
  <c r="F271" i="56"/>
  <c r="E271" i="56"/>
  <c r="D271" i="56"/>
  <c r="C271" i="56"/>
  <c r="F269" i="56"/>
  <c r="F286" i="56"/>
  <c r="U282" i="56"/>
  <c r="E269" i="56"/>
  <c r="E286" i="56"/>
  <c r="U281" i="56"/>
  <c r="D269" i="56"/>
  <c r="D286" i="56"/>
  <c r="C269" i="56"/>
  <c r="C286" i="56"/>
  <c r="V265" i="56"/>
  <c r="U265" i="56"/>
  <c r="T265" i="56"/>
  <c r="AR254" i="56"/>
  <c r="AP254" i="56"/>
  <c r="AN254" i="56"/>
  <c r="AL254" i="56"/>
  <c r="AJ254" i="56"/>
  <c r="J252" i="56"/>
  <c r="I252" i="56"/>
  <c r="H252" i="56"/>
  <c r="G252" i="56"/>
  <c r="F252" i="56"/>
  <c r="E252" i="56"/>
  <c r="O281" i="56"/>
  <c r="D252" i="56"/>
  <c r="O280" i="56"/>
  <c r="C252" i="56"/>
  <c r="O279" i="56"/>
  <c r="AE251" i="56"/>
  <c r="C207" i="56"/>
  <c r="C208" i="56"/>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c r="F194" i="56"/>
  <c r="F210" i="56"/>
  <c r="W203" i="56"/>
  <c r="E194" i="56"/>
  <c r="E210" i="56"/>
  <c r="W202" i="56"/>
  <c r="D194" i="56"/>
  <c r="D210" i="56"/>
  <c r="W201" i="56"/>
  <c r="C194" i="56"/>
  <c r="P194" i="56"/>
  <c r="F193" i="56"/>
  <c r="F209" i="56"/>
  <c r="V203" i="56"/>
  <c r="E193" i="56"/>
  <c r="E209" i="56"/>
  <c r="V202" i="56"/>
  <c r="D193" i="56"/>
  <c r="D209" i="56"/>
  <c r="V201" i="56"/>
  <c r="C193" i="56"/>
  <c r="C209" i="56"/>
  <c r="V200" i="56"/>
  <c r="F192" i="56"/>
  <c r="E192" i="56"/>
  <c r="D192" i="56"/>
  <c r="C192" i="56"/>
  <c r="F190" i="56"/>
  <c r="F207" i="56"/>
  <c r="E190" i="56"/>
  <c r="E207" i="56"/>
  <c r="D190" i="56"/>
  <c r="D207" i="56"/>
  <c r="D208" i="56"/>
  <c r="C190" i="56"/>
  <c r="V186" i="56"/>
  <c r="U186" i="56"/>
  <c r="T186" i="56"/>
  <c r="AR175" i="56"/>
  <c r="AP175" i="56"/>
  <c r="AN175" i="56"/>
  <c r="AL175" i="56"/>
  <c r="AJ175" i="56"/>
  <c r="J173" i="56"/>
  <c r="I173" i="56"/>
  <c r="H173" i="56"/>
  <c r="G173" i="56"/>
  <c r="C173" i="56"/>
  <c r="O200" i="56"/>
  <c r="AE172" i="56"/>
  <c r="D172" i="56"/>
  <c r="E172" i="56"/>
  <c r="E173" i="56"/>
  <c r="O202" i="56"/>
  <c r="F125" i="56"/>
  <c r="F126" i="56"/>
  <c r="E125" i="56"/>
  <c r="E126" i="56"/>
  <c r="D125" i="56"/>
  <c r="D126" i="56"/>
  <c r="C125" i="56"/>
  <c r="C126" i="56"/>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E114" i="56"/>
  <c r="D113" i="56"/>
  <c r="C113" i="56"/>
  <c r="P113" i="56"/>
  <c r="F112" i="56"/>
  <c r="F128" i="56"/>
  <c r="W121" i="56"/>
  <c r="E112" i="56"/>
  <c r="E128" i="56"/>
  <c r="W120" i="56"/>
  <c r="D112" i="56"/>
  <c r="D128" i="56"/>
  <c r="W119" i="56"/>
  <c r="C112" i="56"/>
  <c r="P112" i="56"/>
  <c r="F111" i="56"/>
  <c r="F127" i="56"/>
  <c r="V121" i="56"/>
  <c r="E111" i="56"/>
  <c r="E127" i="56"/>
  <c r="V120" i="56"/>
  <c r="D111" i="56"/>
  <c r="D127" i="56"/>
  <c r="V119" i="56"/>
  <c r="C111" i="56"/>
  <c r="C127" i="56"/>
  <c r="V118" i="56"/>
  <c r="F110" i="56"/>
  <c r="E110" i="56"/>
  <c r="D110" i="56"/>
  <c r="C110" i="56"/>
  <c r="V104" i="56"/>
  <c r="U104" i="56"/>
  <c r="T104" i="56"/>
  <c r="J91" i="56"/>
  <c r="I91" i="56"/>
  <c r="H91" i="56"/>
  <c r="G91" i="56"/>
  <c r="F91" i="56"/>
  <c r="O121" i="56"/>
  <c r="E91" i="56"/>
  <c r="O120" i="56"/>
  <c r="D91" i="56"/>
  <c r="O119" i="56"/>
  <c r="C91" i="56"/>
  <c r="O118" i="56"/>
  <c r="P90" i="56"/>
  <c r="AE90" i="56"/>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c r="F33" i="56"/>
  <c r="F35" i="56"/>
  <c r="E33" i="56"/>
  <c r="D33" i="56"/>
  <c r="D49" i="56"/>
  <c r="W40" i="56"/>
  <c r="C33" i="56"/>
  <c r="C49" i="56"/>
  <c r="W39" i="56"/>
  <c r="F32" i="56"/>
  <c r="F48" i="56"/>
  <c r="V42" i="56"/>
  <c r="E32" i="56"/>
  <c r="E48" i="56"/>
  <c r="V41" i="56"/>
  <c r="D32" i="56"/>
  <c r="D48" i="56"/>
  <c r="V40" i="56"/>
  <c r="C32" i="56"/>
  <c r="C48" i="56"/>
  <c r="V39" i="56"/>
  <c r="F31" i="56"/>
  <c r="E31" i="56"/>
  <c r="D31" i="56"/>
  <c r="C31" i="56"/>
  <c r="F29" i="56"/>
  <c r="F46" i="56"/>
  <c r="U42" i="56"/>
  <c r="E29" i="56"/>
  <c r="E46" i="56"/>
  <c r="D29" i="56"/>
  <c r="D46" i="56"/>
  <c r="C29" i="56"/>
  <c r="C46" i="56"/>
  <c r="V25" i="56"/>
  <c r="U25" i="56"/>
  <c r="T25" i="56"/>
  <c r="J12" i="56"/>
  <c r="I12" i="56"/>
  <c r="H12" i="56"/>
  <c r="G12" i="56"/>
  <c r="D12" i="56"/>
  <c r="O40" i="56"/>
  <c r="C12" i="56"/>
  <c r="O39" i="56"/>
  <c r="AE11" i="56"/>
  <c r="D11" i="56"/>
  <c r="F11" i="56"/>
  <c r="F12" i="56"/>
  <c r="O42" i="56"/>
  <c r="J10" i="56"/>
  <c r="I10" i="56"/>
  <c r="H10" i="56"/>
  <c r="G10" i="56"/>
  <c r="F10" i="56"/>
  <c r="E10" i="56"/>
  <c r="D10" i="56"/>
  <c r="C10" i="56"/>
  <c r="F128" i="55"/>
  <c r="W121" i="55"/>
  <c r="E128" i="55"/>
  <c r="D128" i="55"/>
  <c r="W119" i="55"/>
  <c r="F127" i="55"/>
  <c r="E127" i="55"/>
  <c r="D127" i="55"/>
  <c r="F126" i="55"/>
  <c r="E126" i="55"/>
  <c r="D126" i="55"/>
  <c r="F125" i="55"/>
  <c r="E125" i="55"/>
  <c r="U120" i="55"/>
  <c r="D125" i="55"/>
  <c r="C125" i="55"/>
  <c r="C126" i="55"/>
  <c r="AD121" i="55"/>
  <c r="AC121" i="55"/>
  <c r="AB121" i="55"/>
  <c r="AA121" i="55"/>
  <c r="Z121" i="55"/>
  <c r="V121" i="55"/>
  <c r="U121" i="55"/>
  <c r="T121" i="55"/>
  <c r="R121" i="55"/>
  <c r="P121" i="55"/>
  <c r="AD120" i="55"/>
  <c r="AC120" i="55"/>
  <c r="AB120" i="55"/>
  <c r="AA120" i="55"/>
  <c r="Z120" i="55"/>
  <c r="W120" i="55"/>
  <c r="V120" i="55"/>
  <c r="T120" i="55"/>
  <c r="P120" i="55"/>
  <c r="R120" i="55"/>
  <c r="AD119" i="55"/>
  <c r="AC119" i="55"/>
  <c r="AB119" i="55"/>
  <c r="AA119" i="55"/>
  <c r="Z119" i="55"/>
  <c r="V119" i="55"/>
  <c r="U119" i="55"/>
  <c r="T119" i="55"/>
  <c r="R119" i="55"/>
  <c r="P119" i="55"/>
  <c r="AD118" i="55"/>
  <c r="AC118" i="55"/>
  <c r="AB118" i="55"/>
  <c r="AA118" i="55"/>
  <c r="Z118" i="55"/>
  <c r="T118" i="55"/>
  <c r="P118" i="55"/>
  <c r="Q118" i="55"/>
  <c r="R118" i="55"/>
  <c r="P113" i="55"/>
  <c r="P112" i="55"/>
  <c r="F112" i="55"/>
  <c r="E112" i="55"/>
  <c r="D112" i="55"/>
  <c r="C112" i="55"/>
  <c r="C128" i="55"/>
  <c r="W118" i="55"/>
  <c r="C111" i="55"/>
  <c r="C127" i="55"/>
  <c r="V118" i="55"/>
  <c r="AE90" i="55"/>
  <c r="F49" i="55"/>
  <c r="W42" i="55"/>
  <c r="F48" i="55"/>
  <c r="V42" i="55"/>
  <c r="E48" i="55"/>
  <c r="V41" i="55"/>
  <c r="D48" i="55"/>
  <c r="V40" i="55"/>
  <c r="C48" i="55"/>
  <c r="V39" i="55"/>
  <c r="F47" i="55"/>
  <c r="F46" i="55"/>
  <c r="E46" i="55"/>
  <c r="E47" i="55"/>
  <c r="D46" i="55"/>
  <c r="D47" i="55"/>
  <c r="C46" i="55"/>
  <c r="U39" i="55"/>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Q39" i="55"/>
  <c r="R39" i="55"/>
  <c r="P34" i="55"/>
  <c r="F33" i="55"/>
  <c r="E33" i="55"/>
  <c r="E49" i="55"/>
  <c r="W41" i="55"/>
  <c r="D33" i="55"/>
  <c r="D49" i="55"/>
  <c r="W40" i="55"/>
  <c r="C33" i="55"/>
  <c r="C49" i="55"/>
  <c r="W39" i="55"/>
  <c r="V25" i="55"/>
  <c r="U25" i="55"/>
  <c r="T25" i="55"/>
  <c r="P11" i="55"/>
  <c r="AE11" i="55"/>
  <c r="U206" i="73"/>
  <c r="C211" i="73"/>
  <c r="W204" i="73"/>
  <c r="P198" i="73"/>
  <c r="P33" i="56"/>
  <c r="C339" i="56"/>
  <c r="C355" i="56"/>
  <c r="W345" i="56"/>
  <c r="E353" i="56"/>
  <c r="E196" i="56"/>
  <c r="E275" i="56"/>
  <c r="E11" i="56"/>
  <c r="E12" i="56"/>
  <c r="O41" i="56"/>
  <c r="Q118" i="56"/>
  <c r="C35" i="56"/>
  <c r="Q279" i="56"/>
  <c r="E35" i="56"/>
  <c r="D35" i="56"/>
  <c r="F114" i="56"/>
  <c r="Q200" i="56"/>
  <c r="Q39" i="56"/>
  <c r="C33" i="72"/>
  <c r="C49" i="72"/>
  <c r="W39" i="72"/>
  <c r="D287" i="72"/>
  <c r="U280" i="72"/>
  <c r="E287" i="72"/>
  <c r="U281" i="72"/>
  <c r="P273" i="72"/>
  <c r="F286" i="72"/>
  <c r="U279" i="72"/>
  <c r="U202" i="72"/>
  <c r="E208" i="72"/>
  <c r="U203" i="72"/>
  <c r="U201" i="72"/>
  <c r="P194" i="72"/>
  <c r="U200" i="72"/>
  <c r="U119" i="72"/>
  <c r="U121" i="72"/>
  <c r="U41" i="72"/>
  <c r="F47" i="72"/>
  <c r="P33" i="72"/>
  <c r="U118" i="72"/>
  <c r="U120" i="72"/>
  <c r="C128" i="72"/>
  <c r="W118" i="72"/>
  <c r="D275" i="56"/>
  <c r="P274" i="56"/>
  <c r="R282" i="56"/>
  <c r="U201" i="56"/>
  <c r="F196" i="56"/>
  <c r="U42" i="71"/>
  <c r="U39" i="71"/>
  <c r="U41" i="71"/>
  <c r="U42" i="70"/>
  <c r="U40" i="70"/>
  <c r="U41" i="70"/>
  <c r="P33" i="70"/>
  <c r="U39" i="70"/>
  <c r="E47" i="69"/>
  <c r="P33" i="69"/>
  <c r="U39" i="69"/>
  <c r="U39" i="68"/>
  <c r="U41" i="68"/>
  <c r="F119" i="62"/>
  <c r="U114" i="62"/>
  <c r="U112" i="62"/>
  <c r="C118" i="62"/>
  <c r="C119" i="62"/>
  <c r="E118" i="62"/>
  <c r="P106" i="62"/>
  <c r="O112" i="62"/>
  <c r="R112" i="62"/>
  <c r="U111" i="62"/>
  <c r="J11" i="62"/>
  <c r="J12" i="62"/>
  <c r="C33" i="62"/>
  <c r="C49" i="62"/>
  <c r="W39" i="62"/>
  <c r="F47" i="64"/>
  <c r="P34" i="65"/>
  <c r="D49" i="66"/>
  <c r="W40" i="66"/>
  <c r="E49" i="66"/>
  <c r="W41" i="66"/>
  <c r="U41" i="66"/>
  <c r="P33" i="66"/>
  <c r="U40" i="66"/>
  <c r="O40" i="66"/>
  <c r="R40" i="66"/>
  <c r="U42" i="65"/>
  <c r="P33" i="65"/>
  <c r="U41" i="65"/>
  <c r="F49" i="64"/>
  <c r="W42" i="64"/>
  <c r="E49" i="64"/>
  <c r="W41" i="64"/>
  <c r="P33" i="64"/>
  <c r="O40" i="64"/>
  <c r="R40" i="64"/>
  <c r="F49" i="63"/>
  <c r="W42" i="63"/>
  <c r="E33" i="63"/>
  <c r="E49" i="63"/>
  <c r="W41" i="63"/>
  <c r="P33" i="63"/>
  <c r="U39" i="63"/>
  <c r="U41" i="63"/>
  <c r="F49" i="62"/>
  <c r="W42" i="62"/>
  <c r="E49" i="62"/>
  <c r="W41" i="62"/>
  <c r="R40" i="62"/>
  <c r="R120" i="56"/>
  <c r="R39" i="56"/>
  <c r="U39" i="57"/>
  <c r="U41" i="57"/>
  <c r="U39" i="56"/>
  <c r="C47" i="56"/>
  <c r="U41" i="56"/>
  <c r="E47" i="56"/>
  <c r="E208" i="56"/>
  <c r="U202" i="56"/>
  <c r="U280" i="56"/>
  <c r="D287" i="56"/>
  <c r="D47" i="56"/>
  <c r="U40" i="56"/>
  <c r="C287" i="56"/>
  <c r="U279" i="56"/>
  <c r="U203" i="56"/>
  <c r="F208" i="56"/>
  <c r="R42" i="56"/>
  <c r="R40" i="56"/>
  <c r="D289" i="56"/>
  <c r="W280" i="56"/>
  <c r="F47" i="56"/>
  <c r="F49" i="56"/>
  <c r="W42" i="56"/>
  <c r="C114" i="56"/>
  <c r="C196" i="56"/>
  <c r="F275" i="56"/>
  <c r="E287" i="56"/>
  <c r="P339" i="56"/>
  <c r="U118" i="56"/>
  <c r="U120" i="56"/>
  <c r="C128" i="56"/>
  <c r="W118" i="56"/>
  <c r="D196" i="56"/>
  <c r="U200" i="56"/>
  <c r="C210" i="56"/>
  <c r="W200" i="56"/>
  <c r="R279" i="56"/>
  <c r="F287" i="56"/>
  <c r="E49" i="56"/>
  <c r="W41" i="56"/>
  <c r="F172" i="56"/>
  <c r="F173" i="56"/>
  <c r="O203" i="56"/>
  <c r="D114" i="56"/>
  <c r="R121" i="56"/>
  <c r="R281" i="56"/>
  <c r="R41" i="56"/>
  <c r="R119" i="56"/>
  <c r="D173" i="56"/>
  <c r="O201" i="56"/>
  <c r="U345" i="56"/>
  <c r="R118" i="56"/>
  <c r="R280" i="56"/>
  <c r="C47" i="55"/>
  <c r="P33" i="55"/>
  <c r="U41" i="55"/>
  <c r="U118" i="55"/>
  <c r="F287" i="72"/>
  <c r="U282" i="72"/>
  <c r="C49" i="71"/>
  <c r="W39" i="71"/>
  <c r="P33" i="71"/>
  <c r="C49" i="68"/>
  <c r="W39" i="68"/>
  <c r="P33" i="68"/>
  <c r="E119" i="62"/>
  <c r="U113" i="62"/>
  <c r="P105" i="62"/>
  <c r="C121" i="62"/>
  <c r="W111" i="62"/>
  <c r="P33" i="62"/>
  <c r="O41" i="66"/>
  <c r="R41" i="66"/>
  <c r="O41" i="64"/>
  <c r="R41" i="64"/>
  <c r="R41" i="62"/>
  <c r="R202" i="56"/>
  <c r="R200" i="56"/>
  <c r="R203" i="56"/>
  <c r="R201" i="56"/>
  <c r="O42" i="66"/>
  <c r="R42" i="66"/>
  <c r="O42" i="64"/>
  <c r="R42" i="64"/>
  <c r="R42" i="62"/>
  <c r="D5" i="35"/>
  <c r="L42" i="14"/>
  <c r="L41" i="14"/>
  <c r="L40" i="14"/>
  <c r="L39" i="14"/>
  <c r="O41" i="14"/>
  <c r="O39" i="14"/>
  <c r="N39" i="14"/>
  <c r="Q42" i="14"/>
  <c r="O42" i="14"/>
  <c r="Q41" i="14"/>
  <c r="Q40" i="14"/>
  <c r="O40" i="14"/>
  <c r="Q39" i="14"/>
  <c r="P40" i="14"/>
  <c r="P41" i="14"/>
  <c r="P42" i="14"/>
  <c r="P39" i="14"/>
  <c r="D6" i="35"/>
  <c r="N42" i="14"/>
  <c r="N41" i="14"/>
  <c r="N40" i="14"/>
  <c r="F134" i="14"/>
  <c r="E134" i="14"/>
  <c r="D134" i="14"/>
  <c r="F133" i="14"/>
  <c r="D133" i="14"/>
  <c r="F131" i="14"/>
  <c r="E131" i="14"/>
  <c r="D131" i="14"/>
  <c r="C30" i="14"/>
  <c r="C29" i="14"/>
  <c r="E60" i="13"/>
  <c r="Q52" i="13"/>
  <c r="Q54" i="13"/>
  <c r="Q55" i="13"/>
  <c r="C88" i="13"/>
  <c r="J52" i="13"/>
  <c r="J54" i="13"/>
  <c r="J55" i="13"/>
  <c r="D59" i="13"/>
  <c r="O41" i="13"/>
  <c r="E59" i="13"/>
  <c r="O42" i="13"/>
  <c r="F59" i="13"/>
  <c r="O43" i="13"/>
  <c r="O40" i="13"/>
  <c r="D60" i="13"/>
  <c r="F60" i="13"/>
  <c r="J62" i="13"/>
  <c r="J63" i="13"/>
  <c r="D31" i="14"/>
  <c r="E31" i="14"/>
  <c r="F31" i="14"/>
  <c r="C31" i="14"/>
  <c r="C58" i="14"/>
  <c r="C60" i="14"/>
  <c r="D40" i="34"/>
  <c r="M9" i="19"/>
  <c r="D117" i="13"/>
  <c r="E117" i="13"/>
  <c r="F117" i="13"/>
  <c r="Q99" i="13"/>
  <c r="C117" i="13"/>
  <c r="Q96" i="13"/>
  <c r="D89" i="13"/>
  <c r="Q69" i="13"/>
  <c r="E89" i="13"/>
  <c r="Q70" i="13"/>
  <c r="F89" i="13"/>
  <c r="C89" i="13"/>
  <c r="D33" i="13"/>
  <c r="E33" i="13"/>
  <c r="F33" i="13"/>
  <c r="Q15" i="13"/>
  <c r="C33" i="13"/>
  <c r="I42" i="4"/>
  <c r="L42" i="4"/>
  <c r="I41" i="4"/>
  <c r="L41" i="4"/>
  <c r="I39" i="4"/>
  <c r="L39" i="4"/>
  <c r="I40" i="4"/>
  <c r="L40" i="4"/>
  <c r="L13" i="34"/>
  <c r="L12" i="34"/>
  <c r="L15" i="34"/>
  <c r="L14" i="34"/>
  <c r="L39" i="6"/>
  <c r="L42" i="6"/>
  <c r="L40" i="6"/>
  <c r="L41" i="6"/>
  <c r="D23" i="35"/>
  <c r="D24" i="35"/>
  <c r="D25" i="35"/>
  <c r="D26" i="35"/>
  <c r="D27" i="35"/>
  <c r="W15" i="34"/>
  <c r="W14" i="34"/>
  <c r="W13" i="34"/>
  <c r="W12" i="34"/>
  <c r="V15" i="34"/>
  <c r="V14" i="34"/>
  <c r="V13" i="34"/>
  <c r="V12" i="34"/>
  <c r="N15" i="34"/>
  <c r="N14" i="34"/>
  <c r="N13" i="34"/>
  <c r="N12" i="34"/>
  <c r="F26" i="34"/>
  <c r="E26" i="34"/>
  <c r="D26" i="34"/>
  <c r="C26" i="34"/>
  <c r="F23" i="34"/>
  <c r="O15" i="34"/>
  <c r="E23" i="34"/>
  <c r="O14" i="34"/>
  <c r="D23" i="34"/>
  <c r="C23" i="34"/>
  <c r="O12" i="34"/>
  <c r="U15" i="34"/>
  <c r="T15" i="34"/>
  <c r="J15" i="34"/>
  <c r="U14" i="34"/>
  <c r="T14" i="34"/>
  <c r="J14" i="34"/>
  <c r="U13" i="34"/>
  <c r="T13" i="34"/>
  <c r="J13" i="34"/>
  <c r="U12" i="34"/>
  <c r="T12" i="34"/>
  <c r="J12" i="34"/>
  <c r="J6" i="34"/>
  <c r="Q98" i="13"/>
  <c r="F116" i="13"/>
  <c r="E116" i="13"/>
  <c r="P98" i="13"/>
  <c r="D116" i="13"/>
  <c r="P97" i="13"/>
  <c r="C116" i="13"/>
  <c r="P96" i="13"/>
  <c r="F115" i="13"/>
  <c r="E115" i="13"/>
  <c r="D115" i="13"/>
  <c r="C115" i="13"/>
  <c r="O99" i="13"/>
  <c r="O98" i="13"/>
  <c r="O97" i="13"/>
  <c r="O96" i="13"/>
  <c r="P43" i="13"/>
  <c r="P42" i="13"/>
  <c r="P41" i="13"/>
  <c r="D13" i="27"/>
  <c r="L13" i="27"/>
  <c r="T12" i="10"/>
  <c r="T12" i="11"/>
  <c r="T12" i="9"/>
  <c r="F17" i="24"/>
  <c r="U15" i="24"/>
  <c r="E17" i="24"/>
  <c r="U14" i="24"/>
  <c r="C17" i="24"/>
  <c r="U12" i="24"/>
  <c r="D17" i="24"/>
  <c r="U13" i="24"/>
  <c r="E14" i="30"/>
  <c r="N14" i="30"/>
  <c r="F14" i="30"/>
  <c r="N15" i="30"/>
  <c r="D14" i="30"/>
  <c r="N13" i="30"/>
  <c r="C14" i="30"/>
  <c r="N12" i="30"/>
  <c r="F17" i="30"/>
  <c r="U15" i="30"/>
  <c r="E17" i="30"/>
  <c r="U14" i="30"/>
  <c r="D17" i="30"/>
  <c r="U13" i="30"/>
  <c r="C17" i="30"/>
  <c r="U12" i="30"/>
  <c r="F18" i="27"/>
  <c r="V15" i="27"/>
  <c r="F17" i="27"/>
  <c r="U15" i="27"/>
  <c r="E14" i="24"/>
  <c r="N14" i="24"/>
  <c r="F14" i="24"/>
  <c r="N15" i="24"/>
  <c r="D14" i="24"/>
  <c r="N13" i="24"/>
  <c r="C14" i="24"/>
  <c r="C86" i="6"/>
  <c r="Q66" i="6"/>
  <c r="D86" i="6"/>
  <c r="Q67" i="6"/>
  <c r="E86" i="6"/>
  <c r="F86" i="6"/>
  <c r="Q69" i="6"/>
  <c r="F18" i="4"/>
  <c r="F17" i="4"/>
  <c r="U15" i="4"/>
  <c r="P13" i="14"/>
  <c r="P14" i="14"/>
  <c r="D58" i="14"/>
  <c r="E58" i="14"/>
  <c r="F58" i="14"/>
  <c r="P12" i="14"/>
  <c r="Q71" i="13"/>
  <c r="Q68" i="13"/>
  <c r="Q12" i="13"/>
  <c r="C32" i="4"/>
  <c r="Q12" i="4"/>
  <c r="C30" i="11"/>
  <c r="C112" i="10"/>
  <c r="P93" i="10"/>
  <c r="C110" i="10"/>
  <c r="C111" i="10"/>
  <c r="C56" i="10"/>
  <c r="C31" i="10"/>
  <c r="P12" i="10"/>
  <c r="C31" i="9"/>
  <c r="P12" i="9"/>
  <c r="F22" i="9"/>
  <c r="E22" i="9"/>
  <c r="D22" i="9"/>
  <c r="C22" i="9"/>
  <c r="C29" i="9"/>
  <c r="O12" i="9"/>
  <c r="F32" i="4"/>
  <c r="Q15" i="4"/>
  <c r="E32" i="4"/>
  <c r="D32" i="4"/>
  <c r="Q13" i="4"/>
  <c r="F56" i="14"/>
  <c r="E56" i="14"/>
  <c r="D56" i="14"/>
  <c r="C56" i="14"/>
  <c r="C63" i="28"/>
  <c r="C64" i="28"/>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c r="F32" i="30"/>
  <c r="Q15" i="30"/>
  <c r="E32" i="30"/>
  <c r="Q14" i="30"/>
  <c r="D32" i="30"/>
  <c r="Q13" i="30"/>
  <c r="C32" i="30"/>
  <c r="Q12" i="30"/>
  <c r="F31" i="30"/>
  <c r="P15" i="30"/>
  <c r="E31" i="30"/>
  <c r="P14" i="30"/>
  <c r="D31" i="30"/>
  <c r="P13" i="30"/>
  <c r="C31" i="30"/>
  <c r="P12" i="30"/>
  <c r="F30" i="30"/>
  <c r="F29" i="30"/>
  <c r="O15" i="30"/>
  <c r="E30" i="30"/>
  <c r="E29" i="30"/>
  <c r="O14" i="30"/>
  <c r="D30" i="30"/>
  <c r="D29" i="30"/>
  <c r="O13" i="30"/>
  <c r="C30" i="30"/>
  <c r="C29" i="30"/>
  <c r="O12" i="30"/>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c r="D32" i="27"/>
  <c r="Q13" i="27"/>
  <c r="C32" i="27"/>
  <c r="Q12" i="27"/>
  <c r="F31" i="27"/>
  <c r="P15" i="27"/>
  <c r="E31" i="27"/>
  <c r="P14" i="27"/>
  <c r="D31" i="27"/>
  <c r="P13" i="27"/>
  <c r="C31" i="27"/>
  <c r="P12" i="27"/>
  <c r="F32" i="24"/>
  <c r="Q15" i="24"/>
  <c r="E32" i="24"/>
  <c r="Q14" i="24"/>
  <c r="D32" i="24"/>
  <c r="Q13" i="24"/>
  <c r="C32" i="24"/>
  <c r="Q12" i="24"/>
  <c r="F31" i="24"/>
  <c r="P15" i="24"/>
  <c r="E31" i="24"/>
  <c r="P14" i="24"/>
  <c r="D31" i="24"/>
  <c r="P13" i="24"/>
  <c r="C31" i="24"/>
  <c r="P12" i="24"/>
  <c r="F23" i="24"/>
  <c r="E23" i="24"/>
  <c r="E30" i="24"/>
  <c r="E29" i="24"/>
  <c r="O14" i="24"/>
  <c r="D23" i="24"/>
  <c r="D30" i="24"/>
  <c r="C23" i="24"/>
  <c r="C30" i="29"/>
  <c r="C29" i="29"/>
  <c r="O12" i="29"/>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c r="E32" i="28"/>
  <c r="Q14" i="28"/>
  <c r="D32" i="28"/>
  <c r="Q13" i="28"/>
  <c r="C32" i="28"/>
  <c r="Q12" i="28"/>
  <c r="D113" i="6"/>
  <c r="Q94" i="6"/>
  <c r="E113" i="6"/>
  <c r="Q95" i="6"/>
  <c r="F113" i="6"/>
  <c r="Q96" i="6"/>
  <c r="C113" i="6"/>
  <c r="D59" i="6"/>
  <c r="E59" i="6"/>
  <c r="F59" i="6"/>
  <c r="Q42" i="6"/>
  <c r="C59" i="6"/>
  <c r="Q39" i="6"/>
  <c r="D32" i="6"/>
  <c r="Q13" i="6"/>
  <c r="E32" i="6"/>
  <c r="Q14" i="6"/>
  <c r="F32" i="6"/>
  <c r="C32" i="6"/>
  <c r="C23" i="27"/>
  <c r="D23" i="27"/>
  <c r="D30" i="27"/>
  <c r="D29" i="27"/>
  <c r="O13" i="27"/>
  <c r="E23" i="27"/>
  <c r="F23" i="27"/>
  <c r="F22" i="27"/>
  <c r="F50" i="29"/>
  <c r="F57" i="29"/>
  <c r="F56" i="29"/>
  <c r="O42" i="29"/>
  <c r="E50" i="29"/>
  <c r="E57" i="29"/>
  <c r="E56" i="29"/>
  <c r="O41" i="29"/>
  <c r="D50" i="29"/>
  <c r="D57" i="29"/>
  <c r="D56" i="29"/>
  <c r="O40" i="29"/>
  <c r="C50" i="29"/>
  <c r="C57" i="29"/>
  <c r="C56" i="29"/>
  <c r="O39" i="29"/>
  <c r="F26" i="29"/>
  <c r="E26" i="29"/>
  <c r="D26" i="29"/>
  <c r="C26" i="29"/>
  <c r="F32" i="29"/>
  <c r="Q15" i="29"/>
  <c r="E32" i="29"/>
  <c r="Q14" i="29"/>
  <c r="D32" i="29"/>
  <c r="Q13" i="29"/>
  <c r="C32" i="29"/>
  <c r="Q12" i="29"/>
  <c r="F58" i="29"/>
  <c r="P42" i="29"/>
  <c r="E58" i="29"/>
  <c r="P41" i="29"/>
  <c r="D58" i="29"/>
  <c r="P40" i="29"/>
  <c r="C58" i="29"/>
  <c r="P39" i="29"/>
  <c r="F30" i="24"/>
  <c r="F29" i="24"/>
  <c r="O15" i="24"/>
  <c r="D29" i="24"/>
  <c r="O13" i="24"/>
  <c r="C30" i="24"/>
  <c r="C29" i="24"/>
  <c r="O12" i="24"/>
  <c r="J7" i="30"/>
  <c r="J6" i="30"/>
  <c r="J7" i="24"/>
  <c r="J6" i="24"/>
  <c r="F31" i="29"/>
  <c r="P15" i="29"/>
  <c r="E31" i="29"/>
  <c r="P14" i="29"/>
  <c r="D31" i="29"/>
  <c r="P13" i="29"/>
  <c r="C31" i="29"/>
  <c r="P12" i="29"/>
  <c r="F58" i="28"/>
  <c r="P42" i="28"/>
  <c r="E58" i="28"/>
  <c r="P41" i="28"/>
  <c r="D58" i="28"/>
  <c r="P40" i="28"/>
  <c r="C58" i="28"/>
  <c r="P39" i="28"/>
  <c r="F31" i="28"/>
  <c r="P15" i="28"/>
  <c r="E31" i="28"/>
  <c r="P14" i="28"/>
  <c r="D31" i="28"/>
  <c r="P13" i="28"/>
  <c r="C31" i="28"/>
  <c r="P12" i="28"/>
  <c r="F112" i="11"/>
  <c r="P96" i="11"/>
  <c r="E112" i="11"/>
  <c r="P95" i="11"/>
  <c r="D112" i="11"/>
  <c r="P94" i="11"/>
  <c r="C112" i="11"/>
  <c r="P93" i="11"/>
  <c r="F85" i="11"/>
  <c r="E85" i="11"/>
  <c r="P68" i="11"/>
  <c r="D85" i="11"/>
  <c r="P67" i="11"/>
  <c r="C85" i="11"/>
  <c r="P66" i="11"/>
  <c r="F31" i="9"/>
  <c r="P15" i="9"/>
  <c r="E31" i="9"/>
  <c r="P14" i="9"/>
  <c r="D31" i="9"/>
  <c r="P13" i="9"/>
  <c r="C85" i="10"/>
  <c r="P66" i="10"/>
  <c r="C58" i="10"/>
  <c r="P39" i="10"/>
  <c r="J42" i="14"/>
  <c r="J41" i="14"/>
  <c r="J40" i="14"/>
  <c r="J39" i="14"/>
  <c r="K39" i="14"/>
  <c r="C57" i="14"/>
  <c r="F113" i="10"/>
  <c r="Q96" i="10"/>
  <c r="E113" i="10"/>
  <c r="Q95" i="10"/>
  <c r="D113" i="10"/>
  <c r="Q94" i="10"/>
  <c r="C113" i="10"/>
  <c r="Q93" i="10"/>
  <c r="F112" i="10"/>
  <c r="P96" i="10"/>
  <c r="E112" i="10"/>
  <c r="P95" i="10"/>
  <c r="D112" i="10"/>
  <c r="P94" i="10"/>
  <c r="C84" i="10"/>
  <c r="D84" i="10"/>
  <c r="E84" i="10"/>
  <c r="F84" i="10"/>
  <c r="D85" i="10"/>
  <c r="P67" i="10"/>
  <c r="E85" i="10"/>
  <c r="P68" i="10"/>
  <c r="F85" i="10"/>
  <c r="P69" i="10"/>
  <c r="C86" i="10"/>
  <c r="Q66" i="10"/>
  <c r="D86" i="10"/>
  <c r="Q67" i="10"/>
  <c r="E86" i="10"/>
  <c r="F86" i="10"/>
  <c r="F58" i="10"/>
  <c r="P42" i="10"/>
  <c r="E58" i="10"/>
  <c r="P41" i="10"/>
  <c r="D58" i="10"/>
  <c r="P40" i="10"/>
  <c r="F31" i="10"/>
  <c r="P15" i="10"/>
  <c r="E31" i="10"/>
  <c r="P14" i="10"/>
  <c r="D31" i="10"/>
  <c r="P13" i="10"/>
  <c r="F112" i="6"/>
  <c r="P96" i="6"/>
  <c r="E112" i="6"/>
  <c r="D112" i="6"/>
  <c r="C112" i="6"/>
  <c r="P93" i="6"/>
  <c r="F110" i="6"/>
  <c r="F111" i="6"/>
  <c r="E110" i="6"/>
  <c r="D110" i="6"/>
  <c r="D111" i="6"/>
  <c r="C110" i="6"/>
  <c r="F85" i="6"/>
  <c r="P69" i="6"/>
  <c r="E85" i="6"/>
  <c r="P68" i="6"/>
  <c r="D85" i="6"/>
  <c r="P67" i="6"/>
  <c r="C85" i="6"/>
  <c r="P66" i="6"/>
  <c r="F56" i="6"/>
  <c r="F57" i="6"/>
  <c r="E56" i="6"/>
  <c r="E57" i="6"/>
  <c r="D56" i="6"/>
  <c r="D57" i="6"/>
  <c r="C56" i="6"/>
  <c r="C57" i="6"/>
  <c r="C58" i="6"/>
  <c r="P39" i="6"/>
  <c r="F31" i="4"/>
  <c r="E31" i="4"/>
  <c r="P14" i="4"/>
  <c r="D31" i="4"/>
  <c r="P13" i="4"/>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L39" i="29"/>
  <c r="J39" i="29"/>
  <c r="K39" i="29"/>
  <c r="J34" i="29"/>
  <c r="J33" i="29"/>
  <c r="F30" i="29"/>
  <c r="F29" i="29"/>
  <c r="O15" i="29"/>
  <c r="E30" i="29"/>
  <c r="E29" i="29"/>
  <c r="O14" i="29"/>
  <c r="D30" i="29"/>
  <c r="D29" i="29"/>
  <c r="O13" i="29"/>
  <c r="J7" i="29"/>
  <c r="J6" i="29"/>
  <c r="F57" i="28"/>
  <c r="F56" i="28"/>
  <c r="O42" i="28"/>
  <c r="E57" i="28"/>
  <c r="E56" i="28"/>
  <c r="O41" i="28"/>
  <c r="D57" i="28"/>
  <c r="D56" i="28"/>
  <c r="O40" i="28"/>
  <c r="C57" i="28"/>
  <c r="C56" i="28"/>
  <c r="O39" i="28"/>
  <c r="X42" i="28"/>
  <c r="W42" i="28"/>
  <c r="V42" i="28"/>
  <c r="U42" i="28"/>
  <c r="T42" i="28"/>
  <c r="N42" i="28"/>
  <c r="L42" i="28"/>
  <c r="J42" i="28"/>
  <c r="X41" i="28"/>
  <c r="W41" i="28"/>
  <c r="V41" i="28"/>
  <c r="U41" i="28"/>
  <c r="T41" i="28"/>
  <c r="N41" i="28"/>
  <c r="L41" i="28"/>
  <c r="J41" i="28"/>
  <c r="X40" i="28"/>
  <c r="W40" i="28"/>
  <c r="V40" i="28"/>
  <c r="U40" i="28"/>
  <c r="T40" i="28"/>
  <c r="N40" i="28"/>
  <c r="L40" i="28"/>
  <c r="J40" i="28"/>
  <c r="X39" i="28"/>
  <c r="W39" i="28"/>
  <c r="V39" i="28"/>
  <c r="U39" i="28"/>
  <c r="T39" i="28"/>
  <c r="N39" i="28"/>
  <c r="L39" i="28"/>
  <c r="J39" i="28"/>
  <c r="K39" i="28"/>
  <c r="J34" i="28"/>
  <c r="J33" i="28"/>
  <c r="F30" i="28"/>
  <c r="F29" i="28"/>
  <c r="O15" i="28"/>
  <c r="E30" i="28"/>
  <c r="E29" i="28"/>
  <c r="O14" i="28"/>
  <c r="D30" i="28"/>
  <c r="D29" i="28"/>
  <c r="O13" i="28"/>
  <c r="C30" i="28"/>
  <c r="C29" i="28"/>
  <c r="O12" i="28"/>
  <c r="J7" i="28"/>
  <c r="J6" i="28"/>
  <c r="J6" i="27"/>
  <c r="J7" i="27"/>
  <c r="H22" i="27"/>
  <c r="I22" i="27"/>
  <c r="Q14" i="13"/>
  <c r="K29" i="13"/>
  <c r="C31" i="11"/>
  <c r="P12" i="11"/>
  <c r="F58" i="11"/>
  <c r="P42" i="11"/>
  <c r="E58" i="11"/>
  <c r="P41" i="11"/>
  <c r="D58" i="11"/>
  <c r="P40" i="11"/>
  <c r="C58" i="11"/>
  <c r="P39" i="11"/>
  <c r="F31" i="11"/>
  <c r="P15" i="11"/>
  <c r="E31" i="11"/>
  <c r="P14" i="11"/>
  <c r="D31" i="11"/>
  <c r="P13" i="11"/>
  <c r="P99" i="13"/>
  <c r="N99" i="13"/>
  <c r="L99" i="13"/>
  <c r="J99" i="13"/>
  <c r="N98" i="13"/>
  <c r="L98" i="13"/>
  <c r="J98" i="13"/>
  <c r="Q97" i="13"/>
  <c r="N97" i="13"/>
  <c r="L97" i="13"/>
  <c r="J97" i="13"/>
  <c r="N96" i="13"/>
  <c r="L96" i="13"/>
  <c r="J96" i="13"/>
  <c r="K96" i="13"/>
  <c r="N71" i="13"/>
  <c r="L71" i="13"/>
  <c r="J71" i="13"/>
  <c r="N70" i="13"/>
  <c r="L70" i="13"/>
  <c r="J70" i="13"/>
  <c r="N69" i="13"/>
  <c r="L69" i="13"/>
  <c r="J69" i="13"/>
  <c r="N68" i="13"/>
  <c r="L68" i="13"/>
  <c r="J68" i="13"/>
  <c r="K68" i="13"/>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c r="E32" i="14"/>
  <c r="Q14" i="14"/>
  <c r="D32" i="14"/>
  <c r="Q13" i="14"/>
  <c r="C32" i="14"/>
  <c r="Q12" i="14"/>
  <c r="P15" i="14"/>
  <c r="G30" i="14"/>
  <c r="F30" i="14"/>
  <c r="F29" i="14"/>
  <c r="O15" i="14"/>
  <c r="E30" i="14"/>
  <c r="E29" i="14"/>
  <c r="O14" i="14"/>
  <c r="D30" i="14"/>
  <c r="D29" i="14"/>
  <c r="O13" i="14"/>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c r="E88" i="13"/>
  <c r="P70" i="13"/>
  <c r="D88" i="13"/>
  <c r="P69" i="13"/>
  <c r="G87" i="13"/>
  <c r="F87" i="13"/>
  <c r="E87" i="13"/>
  <c r="D87" i="13"/>
  <c r="F86" i="13"/>
  <c r="O71" i="13"/>
  <c r="E86" i="13"/>
  <c r="O70" i="13"/>
  <c r="D86" i="13"/>
  <c r="O69" i="13"/>
  <c r="G31" i="13"/>
  <c r="E32" i="13"/>
  <c r="P14" i="13"/>
  <c r="F31" i="13"/>
  <c r="E31" i="13"/>
  <c r="D31" i="13"/>
  <c r="C31" i="13"/>
  <c r="F30" i="13"/>
  <c r="O15" i="13"/>
  <c r="E30" i="13"/>
  <c r="O14" i="13"/>
  <c r="D30" i="13"/>
  <c r="O13" i="13"/>
  <c r="C30" i="13"/>
  <c r="O12" i="13"/>
  <c r="X42" i="4"/>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c r="J88" i="11"/>
  <c r="J87" i="11"/>
  <c r="P69" i="11"/>
  <c r="N69" i="11"/>
  <c r="L69" i="11"/>
  <c r="J69" i="11"/>
  <c r="N68" i="11"/>
  <c r="L68" i="11"/>
  <c r="J68" i="11"/>
  <c r="N67" i="11"/>
  <c r="L67" i="11"/>
  <c r="J67" i="11"/>
  <c r="N66" i="11"/>
  <c r="L66" i="11"/>
  <c r="J66" i="11"/>
  <c r="K66" i="11"/>
  <c r="J61" i="11"/>
  <c r="J60" i="11"/>
  <c r="N42" i="11"/>
  <c r="L42" i="11"/>
  <c r="J42" i="11"/>
  <c r="N41" i="11"/>
  <c r="L41" i="11"/>
  <c r="J41" i="11"/>
  <c r="N40" i="11"/>
  <c r="L40" i="11"/>
  <c r="J40" i="11"/>
  <c r="N39" i="11"/>
  <c r="L39" i="11"/>
  <c r="J39" i="11"/>
  <c r="K39" i="11"/>
  <c r="J34" i="11"/>
  <c r="J33" i="11"/>
  <c r="J7" i="11"/>
  <c r="J6" i="11"/>
  <c r="F113" i="11"/>
  <c r="Q96" i="11"/>
  <c r="E113" i="11"/>
  <c r="Q95" i="11"/>
  <c r="D113" i="11"/>
  <c r="Q94" i="11"/>
  <c r="C113" i="11"/>
  <c r="Q93" i="11"/>
  <c r="F111" i="11"/>
  <c r="E111" i="11"/>
  <c r="D111" i="11"/>
  <c r="C111" i="11"/>
  <c r="F110" i="11"/>
  <c r="O96" i="11"/>
  <c r="E110" i="11"/>
  <c r="O95" i="11"/>
  <c r="D110" i="11"/>
  <c r="O94" i="11"/>
  <c r="C110" i="11"/>
  <c r="O93" i="11"/>
  <c r="F86" i="11"/>
  <c r="Q69" i="11"/>
  <c r="E86" i="11"/>
  <c r="Q68" i="11"/>
  <c r="D86" i="11"/>
  <c r="Q67" i="11"/>
  <c r="C86" i="11"/>
  <c r="Q66" i="11"/>
  <c r="G84" i="11"/>
  <c r="F84" i="11"/>
  <c r="E84" i="11"/>
  <c r="D84" i="11"/>
  <c r="C84" i="11"/>
  <c r="F83" i="11"/>
  <c r="O69" i="11"/>
  <c r="E83" i="11"/>
  <c r="O68" i="11"/>
  <c r="D83" i="11"/>
  <c r="O67" i="11"/>
  <c r="C83" i="11"/>
  <c r="O66" i="11"/>
  <c r="F59" i="11"/>
  <c r="Q42" i="11"/>
  <c r="E59" i="11"/>
  <c r="Q41" i="11"/>
  <c r="D59" i="11"/>
  <c r="Q40" i="11"/>
  <c r="C59" i="11"/>
  <c r="Q39" i="11"/>
  <c r="F57" i="11"/>
  <c r="E57" i="11"/>
  <c r="D57" i="11"/>
  <c r="C57" i="11"/>
  <c r="F56" i="11"/>
  <c r="O42" i="11"/>
  <c r="E56" i="11"/>
  <c r="O41" i="11"/>
  <c r="D56" i="11"/>
  <c r="O40" i="11"/>
  <c r="C56" i="11"/>
  <c r="O39" i="11"/>
  <c r="F32" i="11"/>
  <c r="Q15" i="11"/>
  <c r="E32" i="11"/>
  <c r="Q14" i="11"/>
  <c r="D32" i="11"/>
  <c r="Q13" i="11"/>
  <c r="C32" i="11"/>
  <c r="Q12" i="11"/>
  <c r="G30" i="11"/>
  <c r="G22" i="11"/>
  <c r="F30" i="11"/>
  <c r="E30" i="11"/>
  <c r="D30" i="11"/>
  <c r="H22" i="11"/>
  <c r="F22" i="11"/>
  <c r="F29" i="11"/>
  <c r="O15" i="11"/>
  <c r="E22" i="11"/>
  <c r="E29" i="11"/>
  <c r="O14" i="11"/>
  <c r="D22" i="11"/>
  <c r="D29" i="11"/>
  <c r="O13" i="11"/>
  <c r="C22" i="11"/>
  <c r="C29" i="11"/>
  <c r="O12" i="11"/>
  <c r="F58" i="6"/>
  <c r="P42" i="6"/>
  <c r="E58" i="6"/>
  <c r="P41" i="6"/>
  <c r="D58" i="6"/>
  <c r="P40" i="6"/>
  <c r="F76" i="6"/>
  <c r="E76" i="6"/>
  <c r="D76" i="6"/>
  <c r="H76" i="6"/>
  <c r="G76" i="6"/>
  <c r="C76" i="6"/>
  <c r="F22" i="6"/>
  <c r="F29" i="6"/>
  <c r="O15" i="6"/>
  <c r="E22" i="6"/>
  <c r="E29" i="6"/>
  <c r="E30" i="6"/>
  <c r="D22" i="6"/>
  <c r="D29" i="6"/>
  <c r="O13" i="6"/>
  <c r="C22" i="6"/>
  <c r="C29" i="6"/>
  <c r="C30" i="6"/>
  <c r="H22" i="6"/>
  <c r="G22" i="6"/>
  <c r="I15" i="4"/>
  <c r="L15" i="4"/>
  <c r="I14" i="4"/>
  <c r="L14" i="4"/>
  <c r="I13" i="4"/>
  <c r="L13" i="4"/>
  <c r="I12" i="4"/>
  <c r="L12" i="4"/>
  <c r="I10" i="4"/>
  <c r="I38" i="4"/>
  <c r="H50" i="4"/>
  <c r="G50" i="4"/>
  <c r="H22" i="4"/>
  <c r="G22" i="4"/>
  <c r="J33" i="4"/>
  <c r="H22" i="9"/>
  <c r="H76" i="10"/>
  <c r="D32" i="10"/>
  <c r="Q13" i="10"/>
  <c r="E32" i="10"/>
  <c r="Q14" i="10"/>
  <c r="F32" i="10"/>
  <c r="Q15" i="10"/>
  <c r="C32" i="10"/>
  <c r="Q12" i="10"/>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c r="N69" i="6"/>
  <c r="L69" i="6"/>
  <c r="J69" i="6"/>
  <c r="Q68" i="6"/>
  <c r="N68" i="6"/>
  <c r="L68" i="6"/>
  <c r="J68" i="6"/>
  <c r="N67" i="6"/>
  <c r="L67" i="6"/>
  <c r="J67" i="6"/>
  <c r="N66" i="6"/>
  <c r="L66" i="6"/>
  <c r="J66" i="6"/>
  <c r="K66" i="6"/>
  <c r="N42" i="6"/>
  <c r="J42" i="6"/>
  <c r="N41" i="6"/>
  <c r="J41" i="6"/>
  <c r="N40" i="6"/>
  <c r="J40" i="6"/>
  <c r="N39" i="6"/>
  <c r="J39" i="6"/>
  <c r="K39" i="6"/>
  <c r="N15" i="6"/>
  <c r="L15" i="6"/>
  <c r="J15" i="6"/>
  <c r="N14" i="6"/>
  <c r="L14" i="6"/>
  <c r="J14" i="6"/>
  <c r="N13" i="6"/>
  <c r="L13" i="6"/>
  <c r="J13" i="6"/>
  <c r="Q12" i="6"/>
  <c r="N12" i="6"/>
  <c r="L12" i="6"/>
  <c r="J12" i="6"/>
  <c r="J42" i="4"/>
  <c r="J41" i="4"/>
  <c r="J40" i="4"/>
  <c r="J39" i="4"/>
  <c r="K39" i="4"/>
  <c r="J12" i="4"/>
  <c r="N96" i="10"/>
  <c r="L96" i="10"/>
  <c r="J96" i="10"/>
  <c r="N95" i="10"/>
  <c r="L95" i="10"/>
  <c r="J95" i="10"/>
  <c r="N94" i="10"/>
  <c r="L94" i="10"/>
  <c r="J94" i="10"/>
  <c r="N93" i="10"/>
  <c r="L93" i="10"/>
  <c r="J93" i="10"/>
  <c r="K93" i="10"/>
  <c r="N69" i="10"/>
  <c r="L69" i="10"/>
  <c r="J69" i="10"/>
  <c r="N68" i="10"/>
  <c r="L68" i="10"/>
  <c r="J68" i="10"/>
  <c r="N67" i="10"/>
  <c r="L67" i="10"/>
  <c r="J67" i="10"/>
  <c r="N66" i="10"/>
  <c r="L66" i="10"/>
  <c r="J66" i="10"/>
  <c r="K66" i="10"/>
  <c r="N42" i="10"/>
  <c r="L42" i="10"/>
  <c r="J42" i="10"/>
  <c r="N41" i="10"/>
  <c r="L41" i="10"/>
  <c r="J41" i="10"/>
  <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c r="O68" i="10"/>
  <c r="D76" i="10"/>
  <c r="D83" i="10"/>
  <c r="O67" i="10"/>
  <c r="C76" i="10"/>
  <c r="C83" i="10"/>
  <c r="O66" i="10"/>
  <c r="F59" i="10"/>
  <c r="Q42" i="10"/>
  <c r="E59" i="10"/>
  <c r="Q41" i="10"/>
  <c r="D59" i="10"/>
  <c r="Q40" i="10"/>
  <c r="C59" i="10"/>
  <c r="Q39" i="10"/>
  <c r="F56" i="10"/>
  <c r="F57" i="10"/>
  <c r="E56" i="10"/>
  <c r="D56" i="10"/>
  <c r="D57" i="10"/>
  <c r="O40" i="10"/>
  <c r="C30" i="10"/>
  <c r="F30" i="10"/>
  <c r="E30" i="10"/>
  <c r="D30" i="10"/>
  <c r="F22" i="10"/>
  <c r="F29" i="10"/>
  <c r="O15" i="10"/>
  <c r="E22" i="10"/>
  <c r="E29" i="10"/>
  <c r="O14" i="10"/>
  <c r="D22" i="10"/>
  <c r="D29" i="10"/>
  <c r="O13" i="10"/>
  <c r="C22" i="10"/>
  <c r="C29" i="10"/>
  <c r="O12" i="10"/>
  <c r="D30" i="9"/>
  <c r="E30" i="9"/>
  <c r="F30" i="9"/>
  <c r="C30" i="9"/>
  <c r="F29" i="9"/>
  <c r="O15" i="9"/>
  <c r="D29" i="9"/>
  <c r="O13" i="9"/>
  <c r="F32" i="9"/>
  <c r="Q15" i="9"/>
  <c r="E32" i="9"/>
  <c r="Q14" i="9"/>
  <c r="D32" i="9"/>
  <c r="Q13" i="9"/>
  <c r="C32" i="9"/>
  <c r="Q12" i="9"/>
  <c r="E29" i="9"/>
  <c r="O14" i="9"/>
  <c r="F22" i="4"/>
  <c r="F29" i="4"/>
  <c r="O15" i="4"/>
  <c r="E22" i="4"/>
  <c r="E29" i="4"/>
  <c r="O14" i="4"/>
  <c r="D22" i="4"/>
  <c r="D29" i="4"/>
  <c r="O13" i="4"/>
  <c r="C22" i="4"/>
  <c r="C29" i="4"/>
  <c r="O12" i="4"/>
  <c r="D30" i="4"/>
  <c r="E30" i="4"/>
  <c r="F30" i="4"/>
  <c r="C30" i="4"/>
  <c r="F50" i="4"/>
  <c r="F57" i="4"/>
  <c r="O42" i="4"/>
  <c r="E50" i="4"/>
  <c r="E57" i="4"/>
  <c r="O41" i="4"/>
  <c r="D50" i="4"/>
  <c r="D57" i="4"/>
  <c r="D58" i="4"/>
  <c r="C50" i="4"/>
  <c r="C57" i="4"/>
  <c r="O39" i="4"/>
  <c r="O42" i="10"/>
  <c r="O42" i="6"/>
  <c r="Q41" i="6"/>
  <c r="Q40" i="6"/>
  <c r="Q15" i="6"/>
  <c r="C31" i="6"/>
  <c r="P12" i="6"/>
  <c r="D31" i="6"/>
  <c r="P13" i="6"/>
  <c r="E31" i="6"/>
  <c r="P14" i="6"/>
  <c r="F31" i="6"/>
  <c r="P15" i="6"/>
  <c r="P12" i="4"/>
  <c r="D59" i="4"/>
  <c r="P40" i="4"/>
  <c r="E59" i="4"/>
  <c r="P41" i="4"/>
  <c r="F59" i="4"/>
  <c r="P42" i="4"/>
  <c r="D60" i="4"/>
  <c r="Q40" i="4"/>
  <c r="E60" i="4"/>
  <c r="Q41" i="4"/>
  <c r="F60" i="4"/>
  <c r="Q42" i="4"/>
  <c r="C60" i="4"/>
  <c r="Q39" i="4"/>
  <c r="C59" i="4"/>
  <c r="P39" i="4"/>
  <c r="Q14" i="4"/>
  <c r="P15" i="4"/>
  <c r="E24" i="34"/>
  <c r="K12" i="34"/>
  <c r="D32" i="13"/>
  <c r="P13" i="13"/>
  <c r="C32" i="13"/>
  <c r="P12" i="13"/>
  <c r="K12" i="27"/>
  <c r="K12" i="30"/>
  <c r="D83" i="6"/>
  <c r="P13" i="34"/>
  <c r="Q13" i="34"/>
  <c r="Q15" i="34"/>
  <c r="P15" i="34"/>
  <c r="P14" i="34"/>
  <c r="Q14" i="34"/>
  <c r="P12" i="34"/>
  <c r="Q12" i="34"/>
  <c r="O95" i="10"/>
  <c r="M50" i="4"/>
  <c r="O39" i="6"/>
  <c r="K12" i="28"/>
  <c r="C24" i="34"/>
  <c r="O40" i="6"/>
  <c r="K12" i="6"/>
  <c r="D30" i="6"/>
  <c r="F30" i="6"/>
  <c r="F83" i="6"/>
  <c r="F84" i="6"/>
  <c r="E13" i="27"/>
  <c r="L14" i="27"/>
  <c r="F30" i="27"/>
  <c r="F29" i="27"/>
  <c r="O15" i="27"/>
  <c r="O93" i="10"/>
  <c r="O12" i="6"/>
  <c r="F59" i="28"/>
  <c r="Q42" i="28"/>
  <c r="C59" i="28"/>
  <c r="Q39" i="28"/>
  <c r="O41" i="6"/>
  <c r="O94" i="6"/>
  <c r="F58" i="4"/>
  <c r="D22" i="27"/>
  <c r="C83" i="6"/>
  <c r="O66" i="6"/>
  <c r="K12" i="29"/>
  <c r="O40" i="4"/>
  <c r="O14" i="6"/>
  <c r="C111" i="6"/>
  <c r="O93" i="6"/>
  <c r="K12" i="10"/>
  <c r="K12" i="11"/>
  <c r="K12" i="9"/>
  <c r="E58" i="4"/>
  <c r="F24" i="34"/>
  <c r="F111" i="10"/>
  <c r="C58" i="4"/>
  <c r="K12" i="14"/>
  <c r="D24" i="34"/>
  <c r="O13" i="34"/>
  <c r="D84" i="6"/>
  <c r="O67" i="6"/>
  <c r="K12" i="4"/>
  <c r="K12" i="13"/>
  <c r="D59" i="28"/>
  <c r="Q40" i="28"/>
  <c r="E111" i="6"/>
  <c r="O95" i="6"/>
  <c r="E30" i="27"/>
  <c r="E29" i="27"/>
  <c r="O14" i="27"/>
  <c r="E22" i="27"/>
  <c r="C57" i="10"/>
  <c r="O39" i="10"/>
  <c r="C84" i="6"/>
  <c r="O69" i="6"/>
  <c r="E57" i="10"/>
  <c r="O41" i="10"/>
  <c r="E83" i="6"/>
  <c r="F32" i="13"/>
  <c r="P15" i="13"/>
  <c r="C30" i="27"/>
  <c r="C29" i="27"/>
  <c r="O12" i="27"/>
  <c r="C22" i="27"/>
  <c r="F13" i="27"/>
  <c r="L15" i="27"/>
  <c r="E59" i="28"/>
  <c r="Q41" i="28"/>
  <c r="C66" i="28"/>
  <c r="O96" i="6"/>
  <c r="D61" i="13"/>
  <c r="Q41" i="13"/>
  <c r="C61" i="13"/>
  <c r="Q40" i="13"/>
  <c r="F130" i="14"/>
  <c r="E130" i="14"/>
  <c r="D130" i="14"/>
  <c r="F61" i="13"/>
  <c r="Q43" i="13"/>
  <c r="E61" i="13"/>
  <c r="Q42" i="13"/>
  <c r="E84" i="6"/>
  <c r="O68" i="6"/>
  <c r="Y76" i="93"/>
  <c r="N129" i="94"/>
  <c r="AB104" i="94"/>
  <c r="AB138" i="94"/>
  <c r="AB145" i="74"/>
  <c r="I123" i="83" l="1"/>
  <c r="G40" i="83"/>
  <c r="E300" i="85"/>
  <c r="G48" i="87"/>
  <c r="I89" i="87"/>
  <c r="I92" i="87"/>
  <c r="I175" i="87"/>
  <c r="I71" i="88"/>
  <c r="I74" i="88"/>
  <c r="I136" i="88"/>
  <c r="I167" i="88"/>
  <c r="I107" i="91"/>
  <c r="E66" i="85"/>
  <c r="D66" i="85" s="1"/>
  <c r="D239" i="85" s="1"/>
  <c r="E168" i="88"/>
  <c r="E188" i="82"/>
  <c r="D188" i="82" s="1"/>
  <c r="D280" i="82" s="1"/>
  <c r="H190" i="82"/>
  <c r="I166" i="83"/>
  <c r="H87" i="85"/>
  <c r="E87" i="85" s="1"/>
  <c r="G38" i="87"/>
  <c r="I105" i="87"/>
  <c r="I116" i="87"/>
  <c r="I153" i="87"/>
  <c r="G50" i="88"/>
  <c r="I84" i="88"/>
  <c r="I147" i="88"/>
  <c r="H19" i="89"/>
  <c r="G40" i="91"/>
  <c r="I104" i="91"/>
  <c r="E188" i="84"/>
  <c r="D188" i="84" s="1"/>
  <c r="D280" i="84" s="1"/>
  <c r="H190" i="84"/>
  <c r="E188" i="81"/>
  <c r="D188" i="81" s="1"/>
  <c r="D280" i="81" s="1"/>
  <c r="H190" i="81"/>
  <c r="E188" i="74"/>
  <c r="H190" i="74"/>
  <c r="E187" i="88"/>
  <c r="D187" i="88" s="1"/>
  <c r="D279" i="88" s="1"/>
  <c r="H189" i="88"/>
  <c r="E162" i="85"/>
  <c r="E187" i="81"/>
  <c r="H189" i="81"/>
  <c r="H194" i="81"/>
  <c r="E194" i="81" s="1"/>
  <c r="D194" i="81" s="1"/>
  <c r="D285" i="81" s="1"/>
  <c r="E218" i="91"/>
  <c r="E27" i="74"/>
  <c r="H66" i="74"/>
  <c r="E66" i="74" s="1"/>
  <c r="H37" i="74"/>
  <c r="G50" i="74"/>
  <c r="I145" i="74"/>
  <c r="I63" i="74"/>
  <c r="I68" i="74"/>
  <c r="H27" i="81"/>
  <c r="E135" i="81"/>
  <c r="H138" i="81"/>
  <c r="E138" i="81" s="1"/>
  <c r="D138" i="81" s="1"/>
  <c r="D263" i="81" s="1"/>
  <c r="E132" i="82"/>
  <c r="I156" i="82"/>
  <c r="H75" i="82"/>
  <c r="E75" i="82" s="1"/>
  <c r="H49" i="83"/>
  <c r="H47" i="84"/>
  <c r="H192" i="84"/>
  <c r="E192" i="84" s="1"/>
  <c r="I70" i="85"/>
  <c r="I79" i="85"/>
  <c r="I149" i="85"/>
  <c r="I88" i="85"/>
  <c r="I138" i="85"/>
  <c r="E299" i="81"/>
  <c r="I113" i="83"/>
  <c r="I161" i="83"/>
  <c r="I97" i="83"/>
  <c r="I167" i="83"/>
  <c r="G10" i="83"/>
  <c r="G56" i="87"/>
  <c r="I99" i="87"/>
  <c r="I140" i="87"/>
  <c r="I142" i="87"/>
  <c r="I164" i="87"/>
  <c r="I66" i="88"/>
  <c r="I67" i="88"/>
  <c r="I104" i="88"/>
  <c r="I151" i="88"/>
  <c r="H45" i="91"/>
  <c r="G32" i="89"/>
  <c r="I91" i="89"/>
  <c r="H198" i="91"/>
  <c r="E51" i="74"/>
  <c r="H69" i="74"/>
  <c r="E69" i="74" s="1"/>
  <c r="H25" i="74"/>
  <c r="G24" i="74"/>
  <c r="I137" i="74"/>
  <c r="I167" i="74"/>
  <c r="I146" i="74"/>
  <c r="H39" i="81"/>
  <c r="H123" i="81"/>
  <c r="I118" i="82"/>
  <c r="H129" i="82"/>
  <c r="H108" i="83"/>
  <c r="H59" i="84"/>
  <c r="H150" i="84"/>
  <c r="E150" i="84" s="1"/>
  <c r="D150" i="84" s="1"/>
  <c r="D267" i="84" s="1"/>
  <c r="I82" i="85"/>
  <c r="I85" i="85"/>
  <c r="I159" i="85"/>
  <c r="I100" i="85"/>
  <c r="I140" i="85"/>
  <c r="D296" i="81"/>
  <c r="X6" i="81" s="1"/>
  <c r="G36" i="83"/>
  <c r="I173" i="83"/>
  <c r="I109" i="83"/>
  <c r="I177" i="83"/>
  <c r="H214" i="84"/>
  <c r="G62" i="87"/>
  <c r="I115" i="87"/>
  <c r="I148" i="87"/>
  <c r="I154" i="87"/>
  <c r="I174" i="87"/>
  <c r="E84" i="88"/>
  <c r="I68" i="88"/>
  <c r="I79" i="88"/>
  <c r="I114" i="88"/>
  <c r="I163" i="88"/>
  <c r="H214" i="87"/>
  <c r="I70" i="89"/>
  <c r="I115" i="89"/>
  <c r="H198" i="85"/>
  <c r="E198" i="85" s="1"/>
  <c r="D198" i="85" s="1"/>
  <c r="D286" i="85" s="1"/>
  <c r="H194" i="88"/>
  <c r="E84" i="74"/>
  <c r="D84" i="74" s="1"/>
  <c r="D245" i="74" s="1"/>
  <c r="H90" i="74"/>
  <c r="E90" i="74" s="1"/>
  <c r="G36" i="74"/>
  <c r="I105" i="74"/>
  <c r="I135" i="74"/>
  <c r="I144" i="74"/>
  <c r="E132" i="81"/>
  <c r="D132" i="81" s="1"/>
  <c r="D261" i="81" s="1"/>
  <c r="H99" i="81"/>
  <c r="E99" i="81" s="1"/>
  <c r="E9" i="81"/>
  <c r="H177" i="81"/>
  <c r="E187" i="82"/>
  <c r="I163" i="82"/>
  <c r="H138" i="82"/>
  <c r="E138" i="82" s="1"/>
  <c r="D138" i="82" s="1"/>
  <c r="D263" i="82" s="1"/>
  <c r="H57" i="83"/>
  <c r="H37" i="84"/>
  <c r="E87" i="84"/>
  <c r="D87" i="84" s="1"/>
  <c r="D246" i="84" s="1"/>
  <c r="G58" i="85"/>
  <c r="I161" i="85"/>
  <c r="I132" i="85"/>
  <c r="I144" i="85"/>
  <c r="I164" i="85"/>
  <c r="I90" i="83"/>
  <c r="I105" i="83"/>
  <c r="I135" i="83"/>
  <c r="I169" i="83"/>
  <c r="I68" i="87"/>
  <c r="I95" i="87"/>
  <c r="I80" i="87"/>
  <c r="I134" i="87"/>
  <c r="H27" i="87"/>
  <c r="E27" i="87" s="1"/>
  <c r="D27" i="87" s="1"/>
  <c r="D232" i="87" s="1"/>
  <c r="E126" i="88"/>
  <c r="G38" i="88"/>
  <c r="I103" i="88"/>
  <c r="I138" i="88"/>
  <c r="I141" i="88"/>
  <c r="H117" i="91"/>
  <c r="G40" i="89"/>
  <c r="I166" i="89"/>
  <c r="E190" i="74"/>
  <c r="D190" i="74" s="1"/>
  <c r="D282" i="74" s="1"/>
  <c r="E189" i="74"/>
  <c r="E218" i="74"/>
  <c r="E291" i="74" s="1"/>
  <c r="AI21" i="74"/>
  <c r="H218" i="74" s="1"/>
  <c r="H194" i="91"/>
  <c r="E180" i="82"/>
  <c r="D180" i="82" s="1"/>
  <c r="D277" i="82" s="1"/>
  <c r="E189" i="82"/>
  <c r="AI21" i="82"/>
  <c r="H218" i="82" s="1"/>
  <c r="E218" i="82" s="1"/>
  <c r="E291" i="82" s="1"/>
  <c r="D298" i="84"/>
  <c r="Z6" i="84" s="1"/>
  <c r="AI21" i="84"/>
  <c r="H218" i="84" s="1"/>
  <c r="E218" i="84" s="1"/>
  <c r="E291" i="84" s="1"/>
  <c r="E301" i="87"/>
  <c r="E218" i="87"/>
  <c r="E75" i="84"/>
  <c r="E120" i="87"/>
  <c r="D120" i="87" s="1"/>
  <c r="D257" i="87" s="1"/>
  <c r="E159" i="74"/>
  <c r="E299" i="74"/>
  <c r="H135" i="74"/>
  <c r="E135" i="74" s="1"/>
  <c r="D135" i="74" s="1"/>
  <c r="D262" i="74" s="1"/>
  <c r="I132" i="74"/>
  <c r="I165" i="74"/>
  <c r="I71" i="74"/>
  <c r="I158" i="74"/>
  <c r="H78" i="81"/>
  <c r="E78" i="81" s="1"/>
  <c r="D78" i="81" s="1"/>
  <c r="D243" i="81" s="1"/>
  <c r="H69" i="81"/>
  <c r="E69" i="81" s="1"/>
  <c r="H87" i="82"/>
  <c r="E87" i="82" s="1"/>
  <c r="H11" i="82"/>
  <c r="H177" i="82"/>
  <c r="E177" i="82" s="1"/>
  <c r="D177" i="82" s="1"/>
  <c r="D276" i="82" s="1"/>
  <c r="H144" i="83"/>
  <c r="H45" i="84"/>
  <c r="E45" i="84" s="1"/>
  <c r="D45" i="84" s="1"/>
  <c r="D235" i="84" s="1"/>
  <c r="G20" i="85"/>
  <c r="G56" i="85"/>
  <c r="I114" i="85"/>
  <c r="I108" i="85"/>
  <c r="I151" i="85"/>
  <c r="D300" i="82"/>
  <c r="AB6" i="82" s="1"/>
  <c r="I81" i="83"/>
  <c r="I124" i="83"/>
  <c r="I154" i="83"/>
  <c r="G62" i="83"/>
  <c r="E297" i="85"/>
  <c r="I65" i="87"/>
  <c r="I107" i="87"/>
  <c r="I109" i="87"/>
  <c r="I128" i="87"/>
  <c r="I163" i="87"/>
  <c r="H135" i="87"/>
  <c r="E135" i="87" s="1"/>
  <c r="D135" i="87" s="1"/>
  <c r="D262" i="87" s="1"/>
  <c r="E159" i="88"/>
  <c r="D159" i="88" s="1"/>
  <c r="D270" i="88" s="1"/>
  <c r="I63" i="88"/>
  <c r="I107" i="88"/>
  <c r="I128" i="88"/>
  <c r="I174" i="88"/>
  <c r="I84" i="89"/>
  <c r="I137" i="89"/>
  <c r="AI21" i="89"/>
  <c r="H218" i="89" s="1"/>
  <c r="E218" i="89" s="1"/>
  <c r="E291" i="89" s="1"/>
  <c r="H198" i="92"/>
  <c r="H194" i="82"/>
  <c r="E190" i="82"/>
  <c r="H198" i="74"/>
  <c r="H194" i="84"/>
  <c r="G10" i="74"/>
  <c r="I107" i="74"/>
  <c r="I163" i="74"/>
  <c r="I77" i="74"/>
  <c r="I118" i="74"/>
  <c r="H141" i="81"/>
  <c r="E141" i="81" s="1"/>
  <c r="D141" i="81" s="1"/>
  <c r="D264" i="81" s="1"/>
  <c r="H108" i="81"/>
  <c r="E108" i="81" s="1"/>
  <c r="D108" i="81" s="1"/>
  <c r="D253" i="81" s="1"/>
  <c r="H9" i="83"/>
  <c r="H171" i="83"/>
  <c r="H123" i="84"/>
  <c r="E123" i="84" s="1"/>
  <c r="D123" i="84" s="1"/>
  <c r="D258" i="84" s="1"/>
  <c r="G10" i="85"/>
  <c r="I77" i="85"/>
  <c r="I103" i="85"/>
  <c r="I158" i="85"/>
  <c r="I129" i="85"/>
  <c r="I76" i="83"/>
  <c r="I92" i="83"/>
  <c r="I149" i="83"/>
  <c r="I156" i="83"/>
  <c r="I80" i="83"/>
  <c r="I63" i="87"/>
  <c r="I87" i="87"/>
  <c r="I113" i="87"/>
  <c r="I139" i="87"/>
  <c r="G18" i="88"/>
  <c r="I97" i="88"/>
  <c r="I88" i="88"/>
  <c r="I99" i="88"/>
  <c r="H61" i="89"/>
  <c r="G18" i="89"/>
  <c r="I123" i="89"/>
  <c r="H198" i="82"/>
  <c r="H198" i="84"/>
  <c r="H194" i="87"/>
  <c r="H198" i="87"/>
  <c r="H194" i="89"/>
  <c r="E296" i="81"/>
  <c r="E190" i="81"/>
  <c r="AI21" i="81"/>
  <c r="H218" i="81" s="1"/>
  <c r="E189" i="81"/>
  <c r="D189" i="81" s="1"/>
  <c r="D281" i="81" s="1"/>
  <c r="AI21" i="83"/>
  <c r="H218" i="83" s="1"/>
  <c r="E218" i="85"/>
  <c r="D297" i="88"/>
  <c r="Y6" i="88" s="1"/>
  <c r="E189" i="88"/>
  <c r="D189" i="88" s="1"/>
  <c r="D281" i="88" s="1"/>
  <c r="AI21" i="88"/>
  <c r="H218" i="88" s="1"/>
  <c r="E218" i="88" s="1"/>
  <c r="E291" i="88" s="1"/>
  <c r="H187" i="83"/>
  <c r="H189" i="83" s="1"/>
  <c r="E189" i="83" s="1"/>
  <c r="D189" i="83" s="1"/>
  <c r="D281" i="83" s="1"/>
  <c r="H61" i="88"/>
  <c r="H174" i="83"/>
  <c r="H53" i="85"/>
  <c r="H23" i="88"/>
  <c r="H84" i="81"/>
  <c r="E84" i="81" s="1"/>
  <c r="D84" i="81" s="1"/>
  <c r="D245" i="81" s="1"/>
  <c r="E168" i="81"/>
  <c r="D168" i="81" s="1"/>
  <c r="D273" i="81" s="1"/>
  <c r="E123" i="81"/>
  <c r="E105" i="82"/>
  <c r="I109" i="82"/>
  <c r="E66" i="82"/>
  <c r="D66" i="82" s="1"/>
  <c r="D239" i="82" s="1"/>
  <c r="H66" i="83"/>
  <c r="H191" i="83"/>
  <c r="H117" i="84"/>
  <c r="E117" i="84" s="1"/>
  <c r="I84" i="85"/>
  <c r="I76" i="85"/>
  <c r="I110" i="85"/>
  <c r="I178" i="85"/>
  <c r="I91" i="83"/>
  <c r="I96" i="83"/>
  <c r="I160" i="83"/>
  <c r="I134" i="83"/>
  <c r="I159" i="83"/>
  <c r="H39" i="85"/>
  <c r="E39" i="85" s="1"/>
  <c r="D39" i="85" s="1"/>
  <c r="D234" i="85" s="1"/>
  <c r="E75" i="88"/>
  <c r="D75" i="88" s="1"/>
  <c r="D242" i="88" s="1"/>
  <c r="H11" i="88"/>
  <c r="H53" i="88"/>
  <c r="G34" i="88"/>
  <c r="I70" i="88"/>
  <c r="I112" i="88"/>
  <c r="I89" i="88"/>
  <c r="I164" i="88"/>
  <c r="H102" i="91"/>
  <c r="G24" i="89"/>
  <c r="I139" i="89"/>
  <c r="I157" i="89"/>
  <c r="I170" i="89"/>
  <c r="I79" i="91"/>
  <c r="I124" i="91"/>
  <c r="H159" i="83"/>
  <c r="H29" i="85"/>
  <c r="H21" i="88"/>
  <c r="E21" i="88" s="1"/>
  <c r="D21" i="88" s="1"/>
  <c r="D231" i="88" s="1"/>
  <c r="E194" i="88"/>
  <c r="H180" i="83"/>
  <c r="I146" i="83"/>
  <c r="G52" i="83"/>
  <c r="H78" i="85"/>
  <c r="E78" i="85" s="1"/>
  <c r="H49" i="88"/>
  <c r="H150" i="91"/>
  <c r="D298" i="88"/>
  <c r="Z6" i="88" s="1"/>
  <c r="G30" i="89"/>
  <c r="G46" i="89"/>
  <c r="I161" i="89"/>
  <c r="I182" i="89"/>
  <c r="H17" i="83"/>
  <c r="H99" i="85"/>
  <c r="E99" i="85" s="1"/>
  <c r="H59" i="88"/>
  <c r="G54" i="89"/>
  <c r="I95" i="89"/>
  <c r="I141" i="89"/>
  <c r="H55" i="83"/>
  <c r="H111" i="85"/>
  <c r="E111" i="85" s="1"/>
  <c r="D111" i="85" s="1"/>
  <c r="D254" i="85" s="1"/>
  <c r="H69" i="88"/>
  <c r="E69" i="88" s="1"/>
  <c r="D69" i="88" s="1"/>
  <c r="D240" i="88" s="1"/>
  <c r="H78" i="83"/>
  <c r="H126" i="85"/>
  <c r="E126" i="85" s="1"/>
  <c r="D126" i="85" s="1"/>
  <c r="D259" i="85" s="1"/>
  <c r="H96" i="88"/>
  <c r="E96" i="88" s="1"/>
  <c r="D96" i="88" s="1"/>
  <c r="D249" i="88" s="1"/>
  <c r="H19" i="83"/>
  <c r="H187" i="85"/>
  <c r="H132" i="85"/>
  <c r="H117" i="88"/>
  <c r="E117" i="88" s="1"/>
  <c r="D117" i="88" s="1"/>
  <c r="D256" i="88" s="1"/>
  <c r="I79" i="89"/>
  <c r="I129" i="89"/>
  <c r="I155" i="89"/>
  <c r="H39" i="83"/>
  <c r="H93" i="85"/>
  <c r="E93" i="85" s="1"/>
  <c r="H141" i="85"/>
  <c r="E141" i="85" s="1"/>
  <c r="D141" i="85" s="1"/>
  <c r="D264" i="85" s="1"/>
  <c r="H150" i="88"/>
  <c r="E150" i="88" s="1"/>
  <c r="D150" i="88" s="1"/>
  <c r="D267" i="88" s="1"/>
  <c r="H72" i="91"/>
  <c r="D300" i="88"/>
  <c r="AB6" i="88" s="1"/>
  <c r="G20" i="89"/>
  <c r="I103" i="89"/>
  <c r="I160" i="89"/>
  <c r="I165" i="89"/>
  <c r="H53" i="83"/>
  <c r="H31" i="85"/>
  <c r="H153" i="85"/>
  <c r="E153" i="85" s="1"/>
  <c r="D153" i="85" s="1"/>
  <c r="D268" i="85" s="1"/>
  <c r="H90" i="88"/>
  <c r="E90" i="88" s="1"/>
  <c r="D90" i="88" s="1"/>
  <c r="D247" i="88" s="1"/>
  <c r="H87" i="91"/>
  <c r="H15" i="83"/>
  <c r="H17" i="85"/>
  <c r="H19" i="85"/>
  <c r="H174" i="85"/>
  <c r="E174" i="85" s="1"/>
  <c r="H102" i="88"/>
  <c r="E102" i="88" s="1"/>
  <c r="E300" i="88"/>
  <c r="G44" i="89"/>
  <c r="I69" i="89"/>
  <c r="I149" i="89"/>
  <c r="I177" i="89"/>
  <c r="D300" i="89"/>
  <c r="AB6" i="89" s="1"/>
  <c r="H93" i="81"/>
  <c r="E93" i="81" s="1"/>
  <c r="E45" i="82"/>
  <c r="E144" i="82"/>
  <c r="H75" i="83"/>
  <c r="H27" i="83"/>
  <c r="H61" i="84"/>
  <c r="H147" i="85"/>
  <c r="E147" i="85" s="1"/>
  <c r="D147" i="85" s="1"/>
  <c r="D266" i="85" s="1"/>
  <c r="D296" i="82"/>
  <c r="X6" i="82" s="1"/>
  <c r="I89" i="83"/>
  <c r="I93" i="83"/>
  <c r="I85" i="83"/>
  <c r="I129" i="83"/>
  <c r="G42" i="83"/>
  <c r="H105" i="85"/>
  <c r="E105" i="85" s="1"/>
  <c r="D105" i="85" s="1"/>
  <c r="D252" i="85" s="1"/>
  <c r="H191" i="85"/>
  <c r="E191" i="85" s="1"/>
  <c r="H138" i="88"/>
  <c r="E138" i="88" s="1"/>
  <c r="H147" i="88"/>
  <c r="E147" i="88" s="1"/>
  <c r="I166" i="88"/>
  <c r="H126" i="91"/>
  <c r="G50" i="89"/>
  <c r="I71" i="89"/>
  <c r="I102" i="89"/>
  <c r="I181" i="89"/>
  <c r="I89" i="91"/>
  <c r="I166" i="91"/>
  <c r="H43" i="83"/>
  <c r="H159" i="85"/>
  <c r="E159" i="85" s="1"/>
  <c r="D159" i="85" s="1"/>
  <c r="D270" i="85" s="1"/>
  <c r="H43" i="85"/>
  <c r="H180" i="85"/>
  <c r="H123" i="88"/>
  <c r="E123" i="88" s="1"/>
  <c r="H31" i="83"/>
  <c r="H15" i="85"/>
  <c r="E15" i="85" s="1"/>
  <c r="D15" i="85" s="1"/>
  <c r="D230" i="85" s="1"/>
  <c r="H41" i="85"/>
  <c r="H108" i="88"/>
  <c r="E108" i="88" s="1"/>
  <c r="D108" i="88" s="1"/>
  <c r="D253" i="88" s="1"/>
  <c r="I114" i="89"/>
  <c r="I138" i="89"/>
  <c r="H27" i="85"/>
  <c r="E27" i="85" s="1"/>
  <c r="H57" i="88"/>
  <c r="E57" i="88" s="1"/>
  <c r="D57" i="88" s="1"/>
  <c r="D237" i="88" s="1"/>
  <c r="H129" i="88"/>
  <c r="E129" i="88" s="1"/>
  <c r="H51" i="83"/>
  <c r="H174" i="74"/>
  <c r="H153" i="81"/>
  <c r="E153" i="81" s="1"/>
  <c r="D153" i="81" s="1"/>
  <c r="D268" i="81" s="1"/>
  <c r="E120" i="82"/>
  <c r="D120" i="82" s="1"/>
  <c r="D257" i="82" s="1"/>
  <c r="E21" i="82"/>
  <c r="D21" i="82" s="1"/>
  <c r="D231" i="82" s="1"/>
  <c r="E192" i="82"/>
  <c r="H102" i="83"/>
  <c r="H41" i="83"/>
  <c r="H57" i="84"/>
  <c r="E57" i="84" s="1"/>
  <c r="D57" i="84" s="1"/>
  <c r="D237" i="84" s="1"/>
  <c r="G38" i="85"/>
  <c r="I89" i="85"/>
  <c r="I121" i="85"/>
  <c r="I107" i="85"/>
  <c r="D297" i="82"/>
  <c r="Y6" i="82" s="1"/>
  <c r="I69" i="83"/>
  <c r="I117" i="83"/>
  <c r="I127" i="83"/>
  <c r="I153" i="83"/>
  <c r="G16" i="83"/>
  <c r="H51" i="85"/>
  <c r="E51" i="85" s="1"/>
  <c r="H214" i="85"/>
  <c r="H9" i="88"/>
  <c r="H144" i="88"/>
  <c r="E144" i="88" s="1"/>
  <c r="D144" i="88" s="1"/>
  <c r="D265" i="88" s="1"/>
  <c r="H153" i="88"/>
  <c r="E153" i="88" s="1"/>
  <c r="D153" i="88" s="1"/>
  <c r="D268" i="88" s="1"/>
  <c r="I81" i="88"/>
  <c r="I91" i="88"/>
  <c r="I132" i="88"/>
  <c r="I139" i="88"/>
  <c r="H21" i="91"/>
  <c r="D298" i="89"/>
  <c r="Z6" i="89" s="1"/>
  <c r="G48" i="89"/>
  <c r="I101" i="89"/>
  <c r="I126" i="89"/>
  <c r="I162" i="89"/>
  <c r="I122" i="91"/>
  <c r="I175" i="91"/>
  <c r="H29" i="83"/>
  <c r="H84" i="85"/>
  <c r="E84" i="85" s="1"/>
  <c r="H37" i="88"/>
  <c r="H156" i="88"/>
  <c r="E156" i="88" s="1"/>
  <c r="H84" i="83"/>
  <c r="H55" i="85"/>
  <c r="H188" i="88"/>
  <c r="H165" i="88"/>
  <c r="E165" i="88" s="1"/>
  <c r="D165" i="88" s="1"/>
  <c r="D272" i="88" s="1"/>
  <c r="I63" i="89"/>
  <c r="I90" i="89"/>
  <c r="I131" i="89"/>
  <c r="I176" i="89"/>
  <c r="H93" i="83"/>
  <c r="H47" i="88"/>
  <c r="H177" i="88"/>
  <c r="E177" i="88" s="1"/>
  <c r="D177" i="88" s="1"/>
  <c r="D276" i="88" s="1"/>
  <c r="H105" i="83"/>
  <c r="E105" i="83" s="1"/>
  <c r="D105" i="83" s="1"/>
  <c r="D252" i="83" s="1"/>
  <c r="H66" i="88"/>
  <c r="E66" i="88" s="1"/>
  <c r="D66" i="88" s="1"/>
  <c r="D239" i="88" s="1"/>
  <c r="H192" i="88"/>
  <c r="E192" i="88" s="1"/>
  <c r="D192" i="88" s="1"/>
  <c r="D284" i="88" s="1"/>
  <c r="H25" i="88"/>
  <c r="H171" i="88"/>
  <c r="E171" i="88" s="1"/>
  <c r="D171" i="88" s="1"/>
  <c r="D274" i="88" s="1"/>
  <c r="H126" i="83"/>
  <c r="H69" i="85"/>
  <c r="E69" i="85" s="1"/>
  <c r="D69" i="85" s="1"/>
  <c r="D240" i="85" s="1"/>
  <c r="H180" i="74"/>
  <c r="E180" i="74" s="1"/>
  <c r="H159" i="81"/>
  <c r="E159" i="81" s="1"/>
  <c r="D159" i="81" s="1"/>
  <c r="D270" i="81" s="1"/>
  <c r="E27" i="82"/>
  <c r="H188" i="83"/>
  <c r="H190" i="83" s="1"/>
  <c r="E190" i="83" s="1"/>
  <c r="D190" i="83" s="1"/>
  <c r="D282" i="83" s="1"/>
  <c r="H141" i="83"/>
  <c r="H25" i="85"/>
  <c r="G12" i="83"/>
  <c r="I102" i="83"/>
  <c r="I112" i="83"/>
  <c r="I171" i="83"/>
  <c r="I181" i="83"/>
  <c r="G38" i="83"/>
  <c r="H45" i="88"/>
  <c r="E45" i="88" s="1"/>
  <c r="D45" i="88" s="1"/>
  <c r="D235" i="88" s="1"/>
  <c r="H29" i="88"/>
  <c r="I131" i="88"/>
  <c r="H59" i="91"/>
  <c r="E300" i="89"/>
  <c r="I142" i="89"/>
  <c r="I73" i="89"/>
  <c r="I151" i="89"/>
  <c r="G48" i="91"/>
  <c r="I92" i="91"/>
  <c r="H147" i="83"/>
  <c r="H81" i="88"/>
  <c r="E81" i="88" s="1"/>
  <c r="I82" i="89"/>
  <c r="I85" i="89"/>
  <c r="H99" i="83"/>
  <c r="H45" i="85"/>
  <c r="E45" i="85" s="1"/>
  <c r="D45" i="85" s="1"/>
  <c r="D235" i="85" s="1"/>
  <c r="H84" i="91"/>
  <c r="I77" i="91"/>
  <c r="I176" i="91"/>
  <c r="H171" i="85"/>
  <c r="E171" i="85" s="1"/>
  <c r="H141" i="91"/>
  <c r="H108" i="85"/>
  <c r="E108" i="85" s="1"/>
  <c r="D108" i="85" s="1"/>
  <c r="D253" i="85" s="1"/>
  <c r="H132" i="91"/>
  <c r="E132" i="91" s="1"/>
  <c r="D132" i="91" s="1"/>
  <c r="D261" i="91" s="1"/>
  <c r="I99" i="91"/>
  <c r="I94" i="91"/>
  <c r="E183" i="88"/>
  <c r="H123" i="85"/>
  <c r="E123" i="85" s="1"/>
  <c r="D123" i="85" s="1"/>
  <c r="D258" i="85" s="1"/>
  <c r="H117" i="85"/>
  <c r="E117" i="85" s="1"/>
  <c r="D117" i="85" s="1"/>
  <c r="D256" i="85" s="1"/>
  <c r="G52" i="88"/>
  <c r="G44" i="88"/>
  <c r="I126" i="88"/>
  <c r="I161" i="88"/>
  <c r="H93" i="91"/>
  <c r="E93" i="91" s="1"/>
  <c r="D93" i="91" s="1"/>
  <c r="D248" i="91" s="1"/>
  <c r="H214" i="91"/>
  <c r="I116" i="91"/>
  <c r="I106" i="91"/>
  <c r="H202" i="81"/>
  <c r="E202" i="81" s="1"/>
  <c r="H210" i="81"/>
  <c r="H206" i="81"/>
  <c r="H188" i="85"/>
  <c r="H90" i="85"/>
  <c r="E90" i="85" s="1"/>
  <c r="D90" i="85" s="1"/>
  <c r="D247" i="85" s="1"/>
  <c r="H147" i="91"/>
  <c r="E147" i="91" s="1"/>
  <c r="D147" i="91" s="1"/>
  <c r="D266" i="91" s="1"/>
  <c r="H210" i="83"/>
  <c r="E210" i="83" s="1"/>
  <c r="H206" i="83"/>
  <c r="H202" i="83"/>
  <c r="E202" i="83" s="1"/>
  <c r="H35" i="85"/>
  <c r="H102" i="85"/>
  <c r="E102" i="85" s="1"/>
  <c r="H153" i="91"/>
  <c r="H210" i="85"/>
  <c r="H202" i="85"/>
  <c r="E202" i="85" s="1"/>
  <c r="H206" i="85"/>
  <c r="H13" i="85"/>
  <c r="H144" i="85"/>
  <c r="E144" i="85" s="1"/>
  <c r="H159" i="91"/>
  <c r="D301" i="83"/>
  <c r="H49" i="85"/>
  <c r="H156" i="85"/>
  <c r="E156" i="85" s="1"/>
  <c r="H174" i="91"/>
  <c r="D301" i="85"/>
  <c r="H206" i="88"/>
  <c r="E206" i="88" s="1"/>
  <c r="H210" i="88"/>
  <c r="E210" i="88" s="1"/>
  <c r="H202" i="88"/>
  <c r="H75" i="85"/>
  <c r="E75" i="85" s="1"/>
  <c r="D75" i="85" s="1"/>
  <c r="D242" i="85" s="1"/>
  <c r="H165" i="85"/>
  <c r="E165" i="85" s="1"/>
  <c r="D165" i="85" s="1"/>
  <c r="D272" i="85" s="1"/>
  <c r="H187" i="91"/>
  <c r="H189" i="91" s="1"/>
  <c r="H11" i="85"/>
  <c r="H177" i="85"/>
  <c r="E177" i="85" s="1"/>
  <c r="D177" i="85" s="1"/>
  <c r="D276" i="85" s="1"/>
  <c r="H191" i="91"/>
  <c r="E296" i="87"/>
  <c r="I178" i="88"/>
  <c r="H210" i="91"/>
  <c r="H202" i="91"/>
  <c r="H206" i="91"/>
  <c r="H47" i="85"/>
  <c r="H192" i="85"/>
  <c r="E192" i="85" s="1"/>
  <c r="H180" i="91"/>
  <c r="H150" i="85"/>
  <c r="E150" i="85" s="1"/>
  <c r="I172" i="91"/>
  <c r="H9" i="85"/>
  <c r="E9" i="85" s="1"/>
  <c r="D114" i="85"/>
  <c r="D255" i="85" s="1"/>
  <c r="H21" i="85"/>
  <c r="E21" i="85" s="1"/>
  <c r="H55" i="91"/>
  <c r="G24" i="91"/>
  <c r="I81" i="91"/>
  <c r="I170" i="91"/>
  <c r="E162" i="89"/>
  <c r="D162" i="89" s="1"/>
  <c r="D271" i="89" s="1"/>
  <c r="H23" i="85"/>
  <c r="H31" i="91"/>
  <c r="E194" i="82"/>
  <c r="H33" i="85"/>
  <c r="E33" i="85" s="1"/>
  <c r="D33" i="85" s="1"/>
  <c r="D233" i="85" s="1"/>
  <c r="H51" i="91"/>
  <c r="H162" i="88"/>
  <c r="E162" i="88" s="1"/>
  <c r="D162" i="88" s="1"/>
  <c r="D271" i="88" s="1"/>
  <c r="E198" i="74"/>
  <c r="H61" i="85"/>
  <c r="H41" i="91"/>
  <c r="H63" i="88"/>
  <c r="E63" i="88" s="1"/>
  <c r="H96" i="85"/>
  <c r="E96" i="85" s="1"/>
  <c r="I69" i="88"/>
  <c r="G48" i="88"/>
  <c r="I160" i="88"/>
  <c r="I134" i="88"/>
  <c r="I168" i="88"/>
  <c r="H78" i="91"/>
  <c r="H87" i="88"/>
  <c r="E87" i="88" s="1"/>
  <c r="D87" i="88" s="1"/>
  <c r="D246" i="88" s="1"/>
  <c r="G12" i="91"/>
  <c r="I98" i="91"/>
  <c r="I141" i="91"/>
  <c r="H210" i="74"/>
  <c r="E210" i="74" s="1"/>
  <c r="H206" i="74"/>
  <c r="H202" i="74"/>
  <c r="E214" i="74" s="1"/>
  <c r="D214" i="74" s="1"/>
  <c r="D290" i="74" s="1"/>
  <c r="E194" i="87"/>
  <c r="D194" i="87" s="1"/>
  <c r="D285" i="87" s="1"/>
  <c r="E27" i="89"/>
  <c r="D27" i="89" s="1"/>
  <c r="D232" i="89" s="1"/>
  <c r="H129" i="85"/>
  <c r="E129" i="85" s="1"/>
  <c r="D129" i="85" s="1"/>
  <c r="D260" i="85" s="1"/>
  <c r="H15" i="91"/>
  <c r="E15" i="91" s="1"/>
  <c r="D15" i="91" s="1"/>
  <c r="D230" i="91" s="1"/>
  <c r="H72" i="88"/>
  <c r="E72" i="88" s="1"/>
  <c r="D72" i="88" s="1"/>
  <c r="D241" i="88" s="1"/>
  <c r="H202" i="82"/>
  <c r="E202" i="82" s="1"/>
  <c r="H206" i="82"/>
  <c r="H210" i="82"/>
  <c r="E210" i="82" s="1"/>
  <c r="H59" i="85"/>
  <c r="H39" i="91"/>
  <c r="E39" i="91" s="1"/>
  <c r="D39" i="91" s="1"/>
  <c r="D234" i="91" s="1"/>
  <c r="H114" i="88"/>
  <c r="E114" i="88" s="1"/>
  <c r="D114" i="88" s="1"/>
  <c r="D255" i="88" s="1"/>
  <c r="G52" i="91"/>
  <c r="I148" i="91"/>
  <c r="I165" i="91"/>
  <c r="D301" i="74"/>
  <c r="H135" i="88"/>
  <c r="E135" i="88" s="1"/>
  <c r="D301" i="82"/>
  <c r="H81" i="85"/>
  <c r="E81" i="85" s="1"/>
  <c r="H27" i="91"/>
  <c r="H120" i="88"/>
  <c r="H206" i="87"/>
  <c r="H210" i="87"/>
  <c r="E210" i="87" s="1"/>
  <c r="H202" i="87"/>
  <c r="E202" i="87" s="1"/>
  <c r="H37" i="85"/>
  <c r="H17" i="91"/>
  <c r="H57" i="85"/>
  <c r="E57" i="85" s="1"/>
  <c r="D57" i="85" s="1"/>
  <c r="D237" i="85" s="1"/>
  <c r="H19" i="91"/>
  <c r="E210" i="85"/>
  <c r="E206" i="85"/>
  <c r="D206" i="85" s="1"/>
  <c r="D288" i="85" s="1"/>
  <c r="H202" i="89"/>
  <c r="E202" i="89" s="1"/>
  <c r="H210" i="89"/>
  <c r="H206" i="89"/>
  <c r="H138" i="85"/>
  <c r="E138" i="85" s="1"/>
  <c r="D138" i="85" s="1"/>
  <c r="D263" i="85" s="1"/>
  <c r="H43" i="91"/>
  <c r="H53" i="91"/>
  <c r="H206" i="84"/>
  <c r="H210" i="84"/>
  <c r="H202" i="84"/>
  <c r="E9" i="88"/>
  <c r="E297" i="87"/>
  <c r="I118" i="88"/>
  <c r="I169" i="88"/>
  <c r="H165" i="91"/>
  <c r="D299" i="87"/>
  <c r="AA6" i="87" s="1"/>
  <c r="H177" i="91"/>
  <c r="E177" i="91" s="1"/>
  <c r="D177" i="91" s="1"/>
  <c r="D276" i="91" s="1"/>
  <c r="D296" i="87"/>
  <c r="X6" i="87" s="1"/>
  <c r="H183" i="93"/>
  <c r="E183" i="93" s="1"/>
  <c r="H11" i="91"/>
  <c r="H63" i="91"/>
  <c r="E63" i="91" s="1"/>
  <c r="H81" i="91"/>
  <c r="E81" i="91" s="1"/>
  <c r="D81" i="91" s="1"/>
  <c r="D244" i="91" s="1"/>
  <c r="H69" i="91"/>
  <c r="E69" i="91" s="1"/>
  <c r="D69" i="91" s="1"/>
  <c r="D240" i="91" s="1"/>
  <c r="H47" i="91"/>
  <c r="H111" i="84"/>
  <c r="E111" i="84" s="1"/>
  <c r="D229" i="82"/>
  <c r="E229" i="82" s="1"/>
  <c r="H105" i="84"/>
  <c r="E105" i="84" s="1"/>
  <c r="E191" i="87"/>
  <c r="D191" i="87" s="1"/>
  <c r="D283" i="87" s="1"/>
  <c r="H126" i="84"/>
  <c r="E126" i="84" s="1"/>
  <c r="D126" i="84" s="1"/>
  <c r="D259" i="84" s="1"/>
  <c r="H141" i="84"/>
  <c r="E141" i="84" s="1"/>
  <c r="D141" i="84" s="1"/>
  <c r="D264" i="84" s="1"/>
  <c r="H153" i="84"/>
  <c r="E153" i="84" s="1"/>
  <c r="H187" i="84"/>
  <c r="H189" i="84" s="1"/>
  <c r="H174" i="84"/>
  <c r="E174" i="84" s="1"/>
  <c r="D174" i="84" s="1"/>
  <c r="D275" i="84" s="1"/>
  <c r="H191" i="84"/>
  <c r="E191" i="84" s="1"/>
  <c r="D191" i="84" s="1"/>
  <c r="D283" i="84" s="1"/>
  <c r="H78" i="93"/>
  <c r="E78" i="93" s="1"/>
  <c r="H147" i="84"/>
  <c r="E147" i="84" s="1"/>
  <c r="D156" i="88"/>
  <c r="D269" i="88" s="1"/>
  <c r="H27" i="93"/>
  <c r="E27" i="93" s="1"/>
  <c r="H159" i="84"/>
  <c r="E159" i="84" s="1"/>
  <c r="D159" i="84" s="1"/>
  <c r="D270" i="84" s="1"/>
  <c r="H180" i="84"/>
  <c r="E180" i="84" s="1"/>
  <c r="D180" i="84" s="1"/>
  <c r="D277" i="84" s="1"/>
  <c r="H168" i="93"/>
  <c r="E168" i="93" s="1"/>
  <c r="E183" i="81"/>
  <c r="D180" i="74"/>
  <c r="D277" i="74" s="1"/>
  <c r="H31" i="84"/>
  <c r="H66" i="94"/>
  <c r="E66" i="94" s="1"/>
  <c r="H29" i="84"/>
  <c r="E298" i="87"/>
  <c r="H90" i="94"/>
  <c r="E90" i="94" s="1"/>
  <c r="D90" i="94" s="1"/>
  <c r="D247" i="94" s="1"/>
  <c r="H93" i="84"/>
  <c r="E93" i="84" s="1"/>
  <c r="H41" i="84"/>
  <c r="H35" i="94"/>
  <c r="D72" i="81"/>
  <c r="D241" i="81" s="1"/>
  <c r="H15" i="84"/>
  <c r="E15" i="84" s="1"/>
  <c r="E299" i="87"/>
  <c r="G34" i="91"/>
  <c r="I91" i="91"/>
  <c r="I157" i="91"/>
  <c r="H138" i="94"/>
  <c r="E138" i="94" s="1"/>
  <c r="H55" i="84"/>
  <c r="H27" i="84"/>
  <c r="E27" i="84" s="1"/>
  <c r="D27" i="84" s="1"/>
  <c r="D232" i="84" s="1"/>
  <c r="D300" i="87"/>
  <c r="AB6" i="87" s="1"/>
  <c r="G58" i="91"/>
  <c r="I102" i="91"/>
  <c r="I178" i="91"/>
  <c r="H39" i="84"/>
  <c r="E39" i="84" s="1"/>
  <c r="D39" i="84" s="1"/>
  <c r="D234" i="84" s="1"/>
  <c r="I69" i="91"/>
  <c r="I123" i="91"/>
  <c r="I134" i="91"/>
  <c r="H51" i="84"/>
  <c r="E51" i="84" s="1"/>
  <c r="D51" i="84" s="1"/>
  <c r="D236" i="84" s="1"/>
  <c r="H17" i="84"/>
  <c r="H84" i="84"/>
  <c r="H99" i="91"/>
  <c r="E99" i="91" s="1"/>
  <c r="H9" i="91"/>
  <c r="H214" i="88"/>
  <c r="G60" i="91"/>
  <c r="I97" i="91"/>
  <c r="I158" i="91"/>
  <c r="H19" i="84"/>
  <c r="H53" i="84"/>
  <c r="H43" i="84"/>
  <c r="E33" i="91"/>
  <c r="D33" i="91" s="1"/>
  <c r="D233" i="91" s="1"/>
  <c r="H132" i="84"/>
  <c r="E132" i="84" s="1"/>
  <c r="H78" i="84"/>
  <c r="E78" i="84" s="1"/>
  <c r="D78" i="84" s="1"/>
  <c r="D243" i="84" s="1"/>
  <c r="I65" i="91"/>
  <c r="I114" i="91"/>
  <c r="I129" i="91"/>
  <c r="H99" i="84"/>
  <c r="E99" i="84" s="1"/>
  <c r="E198" i="82"/>
  <c r="D198" i="82" s="1"/>
  <c r="D286" i="82" s="1"/>
  <c r="E194" i="84"/>
  <c r="D194" i="84" s="1"/>
  <c r="D285" i="84" s="1"/>
  <c r="E198" i="84"/>
  <c r="D198" i="84" s="1"/>
  <c r="D286" i="84" s="1"/>
  <c r="D301" i="84"/>
  <c r="I181" i="84"/>
  <c r="I116" i="84"/>
  <c r="I111" i="84"/>
  <c r="I70" i="84"/>
  <c r="G40" i="84"/>
  <c r="I132" i="84"/>
  <c r="I172" i="84"/>
  <c r="I114" i="84"/>
  <c r="I101" i="84"/>
  <c r="I118" i="84"/>
  <c r="G28" i="84"/>
  <c r="I108" i="84"/>
  <c r="I160" i="84"/>
  <c r="I156" i="84"/>
  <c r="I99" i="84"/>
  <c r="I96" i="84"/>
  <c r="G20" i="84"/>
  <c r="I177" i="84"/>
  <c r="I144" i="84"/>
  <c r="I89" i="84"/>
  <c r="I86" i="84"/>
  <c r="I65" i="84"/>
  <c r="I167" i="84"/>
  <c r="I126" i="84"/>
  <c r="I87" i="84"/>
  <c r="I85" i="84"/>
  <c r="G14" i="84"/>
  <c r="I165" i="84"/>
  <c r="I134" i="84"/>
  <c r="I77" i="84"/>
  <c r="G38" i="84"/>
  <c r="G12" i="84"/>
  <c r="I155" i="84"/>
  <c r="I119" i="84"/>
  <c r="I75" i="84"/>
  <c r="G30" i="84"/>
  <c r="G62" i="84"/>
  <c r="I153" i="84"/>
  <c r="I117" i="84"/>
  <c r="I112" i="84"/>
  <c r="G22" i="84"/>
  <c r="G50" i="84"/>
  <c r="I152" i="84"/>
  <c r="I159" i="84"/>
  <c r="I125" i="84"/>
  <c r="I94" i="84"/>
  <c r="I149" i="84"/>
  <c r="I97" i="84"/>
  <c r="I71" i="84"/>
  <c r="I143" i="84"/>
  <c r="I170" i="84"/>
  <c r="I100" i="84"/>
  <c r="I121" i="84"/>
  <c r="G18" i="84"/>
  <c r="I141" i="84"/>
  <c r="I147" i="84"/>
  <c r="I84" i="84"/>
  <c r="I107" i="84"/>
  <c r="G24" i="84"/>
  <c r="I131" i="84"/>
  <c r="I137" i="84"/>
  <c r="I74" i="84"/>
  <c r="I106" i="84"/>
  <c r="G10" i="84"/>
  <c r="I129" i="84"/>
  <c r="I115" i="84"/>
  <c r="I73" i="84"/>
  <c r="I90" i="84"/>
  <c r="G56" i="84"/>
  <c r="I182" i="84"/>
  <c r="I103" i="84"/>
  <c r="I124" i="84"/>
  <c r="I80" i="84"/>
  <c r="G44" i="84"/>
  <c r="I98" i="84"/>
  <c r="I123" i="84"/>
  <c r="I138" i="84"/>
  <c r="I146" i="84"/>
  <c r="I113" i="84"/>
  <c r="I76" i="84"/>
  <c r="I63" i="84"/>
  <c r="I175" i="84"/>
  <c r="I91" i="84"/>
  <c r="I105" i="84"/>
  <c r="I68" i="84"/>
  <c r="G32" i="84"/>
  <c r="I163" i="84"/>
  <c r="I79" i="84"/>
  <c r="I136" i="84"/>
  <c r="I66" i="84"/>
  <c r="G16" i="84"/>
  <c r="I179" i="84"/>
  <c r="I151" i="84"/>
  <c r="I135" i="84"/>
  <c r="I110" i="84"/>
  <c r="G60" i="84"/>
  <c r="I102" i="84"/>
  <c r="I140" i="84"/>
  <c r="I169" i="84"/>
  <c r="I139" i="84"/>
  <c r="I128" i="84"/>
  <c r="I109" i="84"/>
  <c r="G52" i="84"/>
  <c r="I92" i="84"/>
  <c r="I157" i="84"/>
  <c r="I178" i="84"/>
  <c r="I122" i="84"/>
  <c r="I88" i="84"/>
  <c r="I95" i="84"/>
  <c r="G54" i="84"/>
  <c r="I145" i="84"/>
  <c r="I166" i="84"/>
  <c r="I120" i="84"/>
  <c r="I67" i="84"/>
  <c r="I78" i="84"/>
  <c r="G42" i="84"/>
  <c r="I133" i="84"/>
  <c r="I154" i="84"/>
  <c r="I130" i="84"/>
  <c r="I104" i="84"/>
  <c r="I69" i="84"/>
  <c r="G26" i="84"/>
  <c r="I161" i="84"/>
  <c r="I176" i="84"/>
  <c r="I142" i="84"/>
  <c r="I127" i="84"/>
  <c r="I93" i="84"/>
  <c r="I64" i="84"/>
  <c r="G48" i="84"/>
  <c r="I174" i="84"/>
  <c r="I180" i="84"/>
  <c r="I168" i="84"/>
  <c r="I83" i="84"/>
  <c r="I81" i="84"/>
  <c r="G36" i="84"/>
  <c r="I164" i="84"/>
  <c r="I173" i="84"/>
  <c r="I158" i="84"/>
  <c r="I82" i="84"/>
  <c r="G58" i="84"/>
  <c r="I150" i="84"/>
  <c r="I162" i="84"/>
  <c r="I171" i="84"/>
  <c r="I148" i="84"/>
  <c r="I72" i="84"/>
  <c r="G46" i="84"/>
  <c r="G34" i="84"/>
  <c r="H39" i="87"/>
  <c r="E39" i="87" s="1"/>
  <c r="H69" i="89"/>
  <c r="E27" i="91"/>
  <c r="D27" i="91" s="1"/>
  <c r="D232" i="91" s="1"/>
  <c r="E57" i="91"/>
  <c r="D57" i="91" s="1"/>
  <c r="D237" i="91" s="1"/>
  <c r="H135" i="91"/>
  <c r="E135" i="91" s="1"/>
  <c r="H19" i="87"/>
  <c r="H81" i="89"/>
  <c r="E81" i="89" s="1"/>
  <c r="H114" i="91"/>
  <c r="D153" i="82"/>
  <c r="D268" i="82" s="1"/>
  <c r="H51" i="87"/>
  <c r="E51" i="87" s="1"/>
  <c r="H57" i="89"/>
  <c r="E57" i="89" s="1"/>
  <c r="H162" i="91"/>
  <c r="E162" i="91" s="1"/>
  <c r="D162" i="91" s="1"/>
  <c r="D271" i="91" s="1"/>
  <c r="I182" i="74"/>
  <c r="E171" i="91"/>
  <c r="D171" i="91" s="1"/>
  <c r="D274" i="91" s="1"/>
  <c r="H29" i="87"/>
  <c r="H123" i="89"/>
  <c r="E123" i="89" s="1"/>
  <c r="H120" i="91"/>
  <c r="E120" i="91" s="1"/>
  <c r="D120" i="91" s="1"/>
  <c r="D257" i="91" s="1"/>
  <c r="H93" i="94"/>
  <c r="I181" i="74"/>
  <c r="H53" i="87"/>
  <c r="H66" i="89"/>
  <c r="E66" i="89" s="1"/>
  <c r="D66" i="89" s="1"/>
  <c r="D239" i="89" s="1"/>
  <c r="H132" i="94"/>
  <c r="E132" i="94" s="1"/>
  <c r="D132" i="94" s="1"/>
  <c r="D261" i="94" s="1"/>
  <c r="I180" i="74"/>
  <c r="E141" i="91"/>
  <c r="D141" i="91" s="1"/>
  <c r="D264" i="91" s="1"/>
  <c r="H17" i="87"/>
  <c r="H90" i="89"/>
  <c r="E90" i="89" s="1"/>
  <c r="D90" i="89" s="1"/>
  <c r="D247" i="89" s="1"/>
  <c r="I179" i="74"/>
  <c r="H31" i="87"/>
  <c r="H75" i="89"/>
  <c r="E75" i="89" s="1"/>
  <c r="D102" i="82"/>
  <c r="D251" i="82" s="1"/>
  <c r="I178" i="74"/>
  <c r="E96" i="91"/>
  <c r="D96" i="91" s="1"/>
  <c r="D249" i="91" s="1"/>
  <c r="H43" i="87"/>
  <c r="H96" i="89"/>
  <c r="H55" i="87"/>
  <c r="H108" i="89"/>
  <c r="E108" i="89" s="1"/>
  <c r="D9" i="85"/>
  <c r="D51" i="88"/>
  <c r="D236" i="88" s="1"/>
  <c r="D33" i="89"/>
  <c r="D233" i="89" s="1"/>
  <c r="E111" i="91"/>
  <c r="D111" i="91" s="1"/>
  <c r="D254" i="91" s="1"/>
  <c r="H15" i="87"/>
  <c r="E15" i="87" s="1"/>
  <c r="H117" i="89"/>
  <c r="E117" i="89" s="1"/>
  <c r="D117" i="89" s="1"/>
  <c r="D256" i="89" s="1"/>
  <c r="AI16" i="92"/>
  <c r="D144" i="82"/>
  <c r="D265" i="82" s="1"/>
  <c r="H93" i="87"/>
  <c r="E93" i="87" s="1"/>
  <c r="D93" i="87" s="1"/>
  <c r="D248" i="87" s="1"/>
  <c r="H129" i="89"/>
  <c r="E129" i="89" s="1"/>
  <c r="E138" i="91"/>
  <c r="D138" i="91" s="1"/>
  <c r="D263" i="91" s="1"/>
  <c r="H111" i="87"/>
  <c r="E111" i="87" s="1"/>
  <c r="H156" i="89"/>
  <c r="E126" i="91"/>
  <c r="E296" i="91"/>
  <c r="H144" i="92"/>
  <c r="D87" i="85"/>
  <c r="D246" i="85" s="1"/>
  <c r="D168" i="88"/>
  <c r="D273" i="88" s="1"/>
  <c r="G14" i="74"/>
  <c r="I155" i="74"/>
  <c r="I125" i="74"/>
  <c r="I87" i="74"/>
  <c r="I80" i="74"/>
  <c r="D78" i="85"/>
  <c r="D243" i="85" s="1"/>
  <c r="E102" i="91"/>
  <c r="D102" i="91" s="1"/>
  <c r="D251" i="91" s="1"/>
  <c r="H99" i="87"/>
  <c r="E99" i="87" s="1"/>
  <c r="H51" i="89"/>
  <c r="E51" i="89" s="1"/>
  <c r="D51" i="89" s="1"/>
  <c r="D236" i="89" s="1"/>
  <c r="H188" i="89"/>
  <c r="H123" i="91"/>
  <c r="E123" i="91" s="1"/>
  <c r="D123" i="91" s="1"/>
  <c r="D258" i="91" s="1"/>
  <c r="E301" i="89"/>
  <c r="E297" i="91"/>
  <c r="E298" i="92"/>
  <c r="H183" i="87"/>
  <c r="E183" i="87" s="1"/>
  <c r="D183" i="87" s="1"/>
  <c r="D278" i="87" s="1"/>
  <c r="E75" i="91"/>
  <c r="D75" i="91" s="1"/>
  <c r="D242" i="91" s="1"/>
  <c r="H41" i="87"/>
  <c r="H102" i="89"/>
  <c r="E102" i="89" s="1"/>
  <c r="D102" i="89" s="1"/>
  <c r="D251" i="89" s="1"/>
  <c r="E300" i="91"/>
  <c r="E159" i="91"/>
  <c r="D159" i="91" s="1"/>
  <c r="D270" i="91" s="1"/>
  <c r="H105" i="87"/>
  <c r="E105" i="87" s="1"/>
  <c r="D105" i="87" s="1"/>
  <c r="D252" i="87" s="1"/>
  <c r="H21" i="89"/>
  <c r="E21" i="89" s="1"/>
  <c r="D21" i="89" s="1"/>
  <c r="H150" i="89"/>
  <c r="E150" i="89" s="1"/>
  <c r="D150" i="89" s="1"/>
  <c r="D267" i="89" s="1"/>
  <c r="E90" i="91"/>
  <c r="D90" i="91" s="1"/>
  <c r="D247" i="91" s="1"/>
  <c r="D298" i="91"/>
  <c r="Z6" i="91" s="1"/>
  <c r="E84" i="91"/>
  <c r="D84" i="91" s="1"/>
  <c r="D245" i="91" s="1"/>
  <c r="H84" i="87"/>
  <c r="E84" i="87" s="1"/>
  <c r="D84" i="87" s="1"/>
  <c r="D245" i="87" s="1"/>
  <c r="H11" i="89"/>
  <c r="H138" i="89"/>
  <c r="E138" i="89" s="1"/>
  <c r="D138" i="89" s="1"/>
  <c r="D263" i="89" s="1"/>
  <c r="E174" i="91"/>
  <c r="D174" i="91" s="1"/>
  <c r="D275" i="91" s="1"/>
  <c r="E298" i="91"/>
  <c r="E183" i="91"/>
  <c r="D99" i="91"/>
  <c r="D250" i="91" s="1"/>
  <c r="H78" i="87"/>
  <c r="E78" i="87" s="1"/>
  <c r="D78" i="87" s="1"/>
  <c r="D243" i="87" s="1"/>
  <c r="H45" i="89"/>
  <c r="E45" i="89" s="1"/>
  <c r="H144" i="89"/>
  <c r="E144" i="89" s="1"/>
  <c r="D144" i="89" s="1"/>
  <c r="D265" i="89" s="1"/>
  <c r="E187" i="91"/>
  <c r="D187" i="91" s="1"/>
  <c r="D279" i="91" s="1"/>
  <c r="D299" i="91"/>
  <c r="AA6" i="91" s="1"/>
  <c r="H33" i="87"/>
  <c r="E33" i="87" s="1"/>
  <c r="D33" i="87" s="1"/>
  <c r="D233" i="87" s="1"/>
  <c r="E9" i="91"/>
  <c r="D9" i="91" s="1"/>
  <c r="G40" i="74"/>
  <c r="I138" i="74"/>
  <c r="I147" i="74"/>
  <c r="I109" i="74"/>
  <c r="I150" i="74"/>
  <c r="E165" i="91"/>
  <c r="H126" i="87"/>
  <c r="E126" i="87" s="1"/>
  <c r="D126" i="87" s="1"/>
  <c r="D259" i="87" s="1"/>
  <c r="H9" i="89"/>
  <c r="E9" i="89" s="1"/>
  <c r="D9" i="89" s="1"/>
  <c r="H165" i="89"/>
  <c r="E165" i="89" s="1"/>
  <c r="D165" i="89" s="1"/>
  <c r="D272" i="89" s="1"/>
  <c r="E191" i="91"/>
  <c r="D191" i="91" s="1"/>
  <c r="D283" i="91" s="1"/>
  <c r="H108" i="91"/>
  <c r="E108" i="91" s="1"/>
  <c r="D108" i="91" s="1"/>
  <c r="D253" i="91" s="1"/>
  <c r="E299" i="91"/>
  <c r="E72" i="91"/>
  <c r="D72" i="91" s="1"/>
  <c r="D241" i="91" s="1"/>
  <c r="E153" i="91"/>
  <c r="D153" i="91" s="1"/>
  <c r="D268" i="91" s="1"/>
  <c r="H141" i="87"/>
  <c r="E141" i="87" s="1"/>
  <c r="D141" i="87" s="1"/>
  <c r="D264" i="87" s="1"/>
  <c r="H23" i="89"/>
  <c r="H177" i="89"/>
  <c r="E180" i="91"/>
  <c r="D180" i="91" s="1"/>
  <c r="D277" i="91" s="1"/>
  <c r="E150" i="91"/>
  <c r="D296" i="91"/>
  <c r="X6" i="91" s="1"/>
  <c r="D126" i="82"/>
  <c r="D259" i="82" s="1"/>
  <c r="D180" i="87"/>
  <c r="D277" i="87" s="1"/>
  <c r="E188" i="91"/>
  <c r="D188" i="91" s="1"/>
  <c r="D280" i="91" s="1"/>
  <c r="E105" i="91"/>
  <c r="H147" i="87"/>
  <c r="E147" i="87" s="1"/>
  <c r="D147" i="87" s="1"/>
  <c r="D266" i="87" s="1"/>
  <c r="H35" i="89"/>
  <c r="H192" i="89"/>
  <c r="E192" i="89" s="1"/>
  <c r="E198" i="91"/>
  <c r="D198" i="91" s="1"/>
  <c r="D286" i="91" s="1"/>
  <c r="E183" i="84"/>
  <c r="D183" i="84" s="1"/>
  <c r="D278" i="84" s="1"/>
  <c r="E214" i="85"/>
  <c r="D214" i="85" s="1"/>
  <c r="D290" i="85" s="1"/>
  <c r="E117" i="91"/>
  <c r="H153" i="87"/>
  <c r="E153" i="87" s="1"/>
  <c r="H47" i="89"/>
  <c r="H171" i="89"/>
  <c r="E171" i="89" s="1"/>
  <c r="E66" i="91"/>
  <c r="D66" i="91" s="1"/>
  <c r="D239" i="91" s="1"/>
  <c r="E144" i="91"/>
  <c r="D144" i="91" s="1"/>
  <c r="D265" i="91" s="1"/>
  <c r="D300" i="91"/>
  <c r="AB6" i="91" s="1"/>
  <c r="E87" i="91"/>
  <c r="H132" i="87"/>
  <c r="E132" i="87" s="1"/>
  <c r="H25" i="89"/>
  <c r="E51" i="91"/>
  <c r="D51" i="91" s="1"/>
  <c r="D236" i="91" s="1"/>
  <c r="D297" i="91"/>
  <c r="Y6" i="91" s="1"/>
  <c r="E168" i="91"/>
  <c r="D168" i="91" s="1"/>
  <c r="D273" i="91" s="1"/>
  <c r="E129" i="91"/>
  <c r="H187" i="87"/>
  <c r="H37" i="89"/>
  <c r="E301" i="91"/>
  <c r="D297" i="87"/>
  <c r="Y6" i="87" s="1"/>
  <c r="E45" i="91"/>
  <c r="H174" i="87"/>
  <c r="H49" i="89"/>
  <c r="E78" i="91"/>
  <c r="E192" i="91"/>
  <c r="D192" i="91" s="1"/>
  <c r="D284" i="91" s="1"/>
  <c r="D99" i="81"/>
  <c r="D250" i="81" s="1"/>
  <c r="E21" i="91"/>
  <c r="D21" i="91" s="1"/>
  <c r="D231" i="91" s="1"/>
  <c r="E194" i="91"/>
  <c r="D105" i="74"/>
  <c r="D252" i="74" s="1"/>
  <c r="H25" i="87"/>
  <c r="H153" i="94"/>
  <c r="E153" i="94" s="1"/>
  <c r="AJ20" i="91"/>
  <c r="H45" i="87"/>
  <c r="E45" i="87" s="1"/>
  <c r="D135" i="93"/>
  <c r="D262" i="93" s="1"/>
  <c r="H81" i="87"/>
  <c r="E81" i="87" s="1"/>
  <c r="D81" i="87" s="1"/>
  <c r="D244" i="87" s="1"/>
  <c r="H156" i="92"/>
  <c r="E156" i="92" s="1"/>
  <c r="H102" i="87"/>
  <c r="E102" i="87" s="1"/>
  <c r="D102" i="87" s="1"/>
  <c r="D251" i="87" s="1"/>
  <c r="H188" i="92"/>
  <c r="H190" i="92" s="1"/>
  <c r="D188" i="74"/>
  <c r="D280" i="74" s="1"/>
  <c r="H117" i="87"/>
  <c r="E117" i="87" s="1"/>
  <c r="D117" i="87" s="1"/>
  <c r="D256" i="87" s="1"/>
  <c r="AJ20" i="81"/>
  <c r="H123" i="87"/>
  <c r="E123" i="87" s="1"/>
  <c r="H75" i="87"/>
  <c r="AJ20" i="83"/>
  <c r="H21" i="87"/>
  <c r="E21" i="87" s="1"/>
  <c r="H49" i="87"/>
  <c r="H69" i="87"/>
  <c r="E69" i="87" s="1"/>
  <c r="AJ20" i="85"/>
  <c r="H90" i="87"/>
  <c r="E90" i="87" s="1"/>
  <c r="D299" i="92"/>
  <c r="AA6" i="92" s="1"/>
  <c r="E183" i="82"/>
  <c r="D183" i="82" s="1"/>
  <c r="D278" i="82" s="1"/>
  <c r="D81" i="85"/>
  <c r="D244" i="85" s="1"/>
  <c r="D141" i="88"/>
  <c r="D264" i="88" s="1"/>
  <c r="H66" i="87"/>
  <c r="E66" i="87" s="1"/>
  <c r="D66" i="87" s="1"/>
  <c r="D239" i="87" s="1"/>
  <c r="H25" i="94"/>
  <c r="D296" i="92"/>
  <c r="X6" i="92" s="1"/>
  <c r="AJ20" i="88"/>
  <c r="H96" i="87"/>
  <c r="H49" i="94"/>
  <c r="D300" i="92"/>
  <c r="AB6" i="92" s="1"/>
  <c r="D114" i="74"/>
  <c r="D255" i="74" s="1"/>
  <c r="E153" i="74"/>
  <c r="D153" i="74" s="1"/>
  <c r="D268" i="74" s="1"/>
  <c r="E147" i="74"/>
  <c r="D147" i="74" s="1"/>
  <c r="D266" i="74" s="1"/>
  <c r="H188" i="87"/>
  <c r="D135" i="88"/>
  <c r="D262" i="88" s="1"/>
  <c r="H72" i="89"/>
  <c r="H57" i="94"/>
  <c r="E57" i="94" s="1"/>
  <c r="D57" i="94" s="1"/>
  <c r="D237" i="94" s="1"/>
  <c r="D297" i="92"/>
  <c r="Y6" i="92" s="1"/>
  <c r="H150" i="87"/>
  <c r="E150" i="87" s="1"/>
  <c r="D150" i="87" s="1"/>
  <c r="D267" i="87" s="1"/>
  <c r="H87" i="89"/>
  <c r="E87" i="89" s="1"/>
  <c r="H138" i="87"/>
  <c r="E138" i="87" s="1"/>
  <c r="D138" i="87" s="1"/>
  <c r="D263" i="87" s="1"/>
  <c r="H63" i="89"/>
  <c r="E63" i="89" s="1"/>
  <c r="D63" i="89" s="1"/>
  <c r="D238" i="89" s="1"/>
  <c r="D192" i="74"/>
  <c r="D284" i="74" s="1"/>
  <c r="D192" i="81"/>
  <c r="D284" i="81" s="1"/>
  <c r="D138" i="84"/>
  <c r="D263" i="84" s="1"/>
  <c r="D174" i="81"/>
  <c r="D275" i="81" s="1"/>
  <c r="H129" i="87"/>
  <c r="E129" i="87" s="1"/>
  <c r="D129" i="87" s="1"/>
  <c r="D260" i="87" s="1"/>
  <c r="H120" i="89"/>
  <c r="E120" i="89" s="1"/>
  <c r="H171" i="94"/>
  <c r="D21" i="74"/>
  <c r="D231" i="74" s="1"/>
  <c r="H57" i="87"/>
  <c r="E57" i="87" s="1"/>
  <c r="H108" i="87"/>
  <c r="H114" i="89"/>
  <c r="E114" i="89" s="1"/>
  <c r="D114" i="89" s="1"/>
  <c r="D255" i="89" s="1"/>
  <c r="E183" i="74"/>
  <c r="D150" i="74"/>
  <c r="D267" i="74" s="1"/>
  <c r="D33" i="81"/>
  <c r="D233" i="81" s="1"/>
  <c r="H23" i="87"/>
  <c r="H144" i="87"/>
  <c r="E144" i="87" s="1"/>
  <c r="D144" i="87" s="1"/>
  <c r="D265" i="87" s="1"/>
  <c r="H135" i="89"/>
  <c r="E135" i="89" s="1"/>
  <c r="D135" i="89" s="1"/>
  <c r="D262" i="89" s="1"/>
  <c r="H61" i="94"/>
  <c r="H35" i="87"/>
  <c r="H156" i="87"/>
  <c r="E156" i="87" s="1"/>
  <c r="D156" i="87" s="1"/>
  <c r="D269" i="87" s="1"/>
  <c r="H168" i="89"/>
  <c r="E168" i="89" s="1"/>
  <c r="D168" i="89" s="1"/>
  <c r="D273" i="89" s="1"/>
  <c r="AJ20" i="82"/>
  <c r="D57" i="74"/>
  <c r="D237" i="74" s="1"/>
  <c r="D138" i="74"/>
  <c r="D263" i="74" s="1"/>
  <c r="H13" i="87"/>
  <c r="H165" i="87"/>
  <c r="E165" i="87" s="1"/>
  <c r="D165" i="87" s="1"/>
  <c r="D272" i="87" s="1"/>
  <c r="H144" i="94"/>
  <c r="E299" i="92"/>
  <c r="H47" i="87"/>
  <c r="H177" i="87"/>
  <c r="H165" i="94"/>
  <c r="E165" i="94" s="1"/>
  <c r="AJ20" i="84"/>
  <c r="H59" i="87"/>
  <c r="H192" i="87"/>
  <c r="E192" i="87" s="1"/>
  <c r="D192" i="87" s="1"/>
  <c r="D284" i="87" s="1"/>
  <c r="H37" i="87"/>
  <c r="H171" i="87"/>
  <c r="E171" i="87" s="1"/>
  <c r="D171" i="87" s="1"/>
  <c r="D274" i="87" s="1"/>
  <c r="H51" i="94"/>
  <c r="D165" i="81"/>
  <c r="D272" i="81" s="1"/>
  <c r="D147" i="82"/>
  <c r="D266" i="82" s="1"/>
  <c r="H61" i="87"/>
  <c r="H19" i="94"/>
  <c r="AJ20" i="87"/>
  <c r="H9" i="87"/>
  <c r="E9" i="87" s="1"/>
  <c r="D135" i="81"/>
  <c r="D262" i="81" s="1"/>
  <c r="D84" i="88"/>
  <c r="D245" i="88" s="1"/>
  <c r="E214" i="91"/>
  <c r="H111" i="94"/>
  <c r="E111" i="94" s="1"/>
  <c r="AJ20" i="89"/>
  <c r="H99" i="93"/>
  <c r="E99" i="93" s="1"/>
  <c r="D99" i="93" s="1"/>
  <c r="D250" i="93" s="1"/>
  <c r="H53" i="93"/>
  <c r="H29" i="93"/>
  <c r="H84" i="93"/>
  <c r="E84" i="93" s="1"/>
  <c r="D84" i="93" s="1"/>
  <c r="D245" i="93" s="1"/>
  <c r="H162" i="93"/>
  <c r="E162" i="93" s="1"/>
  <c r="D162" i="93" s="1"/>
  <c r="D271" i="93" s="1"/>
  <c r="D168" i="93"/>
  <c r="D273" i="93" s="1"/>
  <c r="H63" i="93"/>
  <c r="E63" i="93" s="1"/>
  <c r="H87" i="93"/>
  <c r="E87" i="93" s="1"/>
  <c r="D87" i="93" s="1"/>
  <c r="D246" i="93" s="1"/>
  <c r="H120" i="93"/>
  <c r="E120" i="93" s="1"/>
  <c r="H102" i="94"/>
  <c r="H150" i="94"/>
  <c r="E150" i="94" s="1"/>
  <c r="H84" i="94"/>
  <c r="E84" i="94" s="1"/>
  <c r="H17" i="94"/>
  <c r="H191" i="94"/>
  <c r="H96" i="94"/>
  <c r="E96" i="94" s="1"/>
  <c r="D96" i="94" s="1"/>
  <c r="D249" i="94" s="1"/>
  <c r="H55" i="94"/>
  <c r="H23" i="94"/>
  <c r="H99" i="94"/>
  <c r="H81" i="94"/>
  <c r="H43" i="94"/>
  <c r="H11" i="94"/>
  <c r="H53" i="94"/>
  <c r="H9" i="94"/>
  <c r="H105" i="94"/>
  <c r="H47" i="94"/>
  <c r="H174" i="94"/>
  <c r="E174" i="94" s="1"/>
  <c r="D174" i="94" s="1"/>
  <c r="D275" i="94" s="1"/>
  <c r="H69" i="94"/>
  <c r="E69" i="94" s="1"/>
  <c r="D69" i="94" s="1"/>
  <c r="D240" i="94" s="1"/>
  <c r="H187" i="94"/>
  <c r="H129" i="94"/>
  <c r="E129" i="94" s="1"/>
  <c r="D129" i="94" s="1"/>
  <c r="D260" i="94" s="1"/>
  <c r="H180" i="94"/>
  <c r="H159" i="94"/>
  <c r="E159" i="94" s="1"/>
  <c r="D159" i="94" s="1"/>
  <c r="D270" i="94" s="1"/>
  <c r="E214" i="84"/>
  <c r="D214" i="84" s="1"/>
  <c r="D290" i="84" s="1"/>
  <c r="E198" i="87"/>
  <c r="D198" i="87" s="1"/>
  <c r="D286" i="87" s="1"/>
  <c r="E194" i="89"/>
  <c r="D194" i="89" s="1"/>
  <c r="D285" i="89" s="1"/>
  <c r="E156" i="91"/>
  <c r="D156" i="91" s="1"/>
  <c r="D269" i="91" s="1"/>
  <c r="D301" i="81"/>
  <c r="I160" i="81"/>
  <c r="I149" i="81"/>
  <c r="I163" i="81"/>
  <c r="I74" i="81"/>
  <c r="G52" i="81"/>
  <c r="G50" i="81"/>
  <c r="I177" i="81"/>
  <c r="I147" i="81"/>
  <c r="I151" i="81"/>
  <c r="I72" i="81"/>
  <c r="I107" i="81"/>
  <c r="I167" i="81"/>
  <c r="I150" i="81"/>
  <c r="I126" i="81"/>
  <c r="G44" i="81"/>
  <c r="G46" i="81"/>
  <c r="I165" i="81"/>
  <c r="I182" i="81"/>
  <c r="I124" i="81"/>
  <c r="G36" i="81"/>
  <c r="G26" i="81"/>
  <c r="I155" i="81"/>
  <c r="I174" i="81"/>
  <c r="I112" i="81"/>
  <c r="G28" i="81"/>
  <c r="G10" i="81"/>
  <c r="I153" i="81"/>
  <c r="I164" i="81"/>
  <c r="I100" i="81"/>
  <c r="I86" i="81"/>
  <c r="I67" i="81"/>
  <c r="I143" i="81"/>
  <c r="I135" i="81"/>
  <c r="I175" i="81"/>
  <c r="I70" i="81"/>
  <c r="G30" i="81"/>
  <c r="I141" i="81"/>
  <c r="I133" i="81"/>
  <c r="I115" i="81"/>
  <c r="G58" i="81"/>
  <c r="G22" i="81"/>
  <c r="I131" i="81"/>
  <c r="I125" i="81"/>
  <c r="I103" i="81"/>
  <c r="I96" i="81"/>
  <c r="G60" i="81"/>
  <c r="I129" i="81"/>
  <c r="I123" i="81"/>
  <c r="I91" i="81"/>
  <c r="I85" i="81"/>
  <c r="G16" i="81"/>
  <c r="G34" i="81"/>
  <c r="I170" i="81"/>
  <c r="I148" i="81"/>
  <c r="I79" i="81"/>
  <c r="I77" i="81"/>
  <c r="G54" i="81"/>
  <c r="I158" i="81"/>
  <c r="I118" i="81"/>
  <c r="I65" i="81"/>
  <c r="I168" i="81"/>
  <c r="I139" i="81"/>
  <c r="I122" i="81"/>
  <c r="I75" i="81"/>
  <c r="G42" i="81"/>
  <c r="I138" i="81"/>
  <c r="I156" i="81"/>
  <c r="I137" i="81"/>
  <c r="I113" i="81"/>
  <c r="I63" i="81"/>
  <c r="G14" i="81"/>
  <c r="I146" i="81"/>
  <c r="I136" i="81"/>
  <c r="I89" i="81"/>
  <c r="G56" i="81"/>
  <c r="G12" i="81"/>
  <c r="I144" i="81"/>
  <c r="I128" i="81"/>
  <c r="I88" i="81"/>
  <c r="G48" i="81"/>
  <c r="G24" i="81"/>
  <c r="I134" i="81"/>
  <c r="I127" i="81"/>
  <c r="I76" i="81"/>
  <c r="G40" i="81"/>
  <c r="G20" i="81"/>
  <c r="I132" i="81"/>
  <c r="I121" i="81"/>
  <c r="I93" i="81"/>
  <c r="I162" i="81"/>
  <c r="I111" i="81"/>
  <c r="I145" i="81"/>
  <c r="I178" i="81"/>
  <c r="I176" i="81"/>
  <c r="I83" i="81"/>
  <c r="I108" i="81"/>
  <c r="I95" i="81"/>
  <c r="I166" i="81"/>
  <c r="I140" i="81"/>
  <c r="I82" i="81"/>
  <c r="I106" i="81"/>
  <c r="I68" i="81"/>
  <c r="I81" i="81"/>
  <c r="I154" i="81"/>
  <c r="I116" i="81"/>
  <c r="I71" i="81"/>
  <c r="I105" i="81"/>
  <c r="I110" i="81"/>
  <c r="I179" i="81"/>
  <c r="I142" i="81"/>
  <c r="I114" i="81"/>
  <c r="I69" i="81"/>
  <c r="I99" i="81"/>
  <c r="I94" i="81"/>
  <c r="I152" i="81"/>
  <c r="G62" i="81"/>
  <c r="I130" i="81"/>
  <c r="I104" i="81"/>
  <c r="G32" i="81"/>
  <c r="I98" i="81"/>
  <c r="I66" i="81"/>
  <c r="I171" i="81"/>
  <c r="I73" i="81"/>
  <c r="I169" i="81"/>
  <c r="I180" i="81"/>
  <c r="I102" i="81"/>
  <c r="I119" i="81"/>
  <c r="I97" i="81"/>
  <c r="G18" i="81"/>
  <c r="I157" i="81"/>
  <c r="I173" i="81"/>
  <c r="I92" i="81"/>
  <c r="I87" i="81"/>
  <c r="I84" i="81"/>
  <c r="I117" i="81"/>
  <c r="I90" i="81"/>
  <c r="I109" i="81"/>
  <c r="I181" i="81"/>
  <c r="I161" i="81"/>
  <c r="I80" i="81"/>
  <c r="I120" i="81"/>
  <c r="G38" i="81"/>
  <c r="I101" i="81"/>
  <c r="I172" i="81"/>
  <c r="I159" i="81"/>
  <c r="I78" i="81"/>
  <c r="I64" i="81"/>
  <c r="E63" i="83"/>
  <c r="D63" i="83" s="1"/>
  <c r="D238" i="83" s="1"/>
  <c r="D194" i="74"/>
  <c r="D285" i="74" s="1"/>
  <c r="E99" i="83"/>
  <c r="D99" i="83" s="1"/>
  <c r="D250" i="83" s="1"/>
  <c r="G14" i="82"/>
  <c r="I76" i="82"/>
  <c r="I97" i="82"/>
  <c r="I138" i="82"/>
  <c r="I181" i="82"/>
  <c r="E300" i="83"/>
  <c r="H15" i="89"/>
  <c r="E214" i="88"/>
  <c r="D214" i="88" s="1"/>
  <c r="D290" i="88" s="1"/>
  <c r="E183" i="83"/>
  <c r="E132" i="83"/>
  <c r="D132" i="83" s="1"/>
  <c r="D261" i="83" s="1"/>
  <c r="E114" i="83"/>
  <c r="D114" i="83" s="1"/>
  <c r="D255" i="83" s="1"/>
  <c r="E144" i="83"/>
  <c r="D144" i="83" s="1"/>
  <c r="D265" i="83" s="1"/>
  <c r="G56" i="82"/>
  <c r="I101" i="82"/>
  <c r="I121" i="82"/>
  <c r="I149" i="82"/>
  <c r="I152" i="82"/>
  <c r="D297" i="83"/>
  <c r="Y6" i="83" s="1"/>
  <c r="H17" i="89"/>
  <c r="D198" i="74"/>
  <c r="D286" i="74" s="1"/>
  <c r="E120" i="83"/>
  <c r="E177" i="83"/>
  <c r="D177" i="83" s="1"/>
  <c r="D276" i="83" s="1"/>
  <c r="I82" i="82"/>
  <c r="I65" i="82"/>
  <c r="I111" i="82"/>
  <c r="I140" i="82"/>
  <c r="I103" i="82"/>
  <c r="I162" i="82"/>
  <c r="E174" i="83"/>
  <c r="D174" i="83" s="1"/>
  <c r="D275" i="83" s="1"/>
  <c r="E301" i="83"/>
  <c r="D27" i="85"/>
  <c r="D232" i="85" s="1"/>
  <c r="H29" i="89"/>
  <c r="E138" i="83"/>
  <c r="D138" i="83" s="1"/>
  <c r="D263" i="83" s="1"/>
  <c r="E102" i="83"/>
  <c r="E150" i="83"/>
  <c r="E129" i="83"/>
  <c r="D129" i="83" s="1"/>
  <c r="D260" i="83" s="1"/>
  <c r="I107" i="82"/>
  <c r="G22" i="82"/>
  <c r="I66" i="82"/>
  <c r="I142" i="82"/>
  <c r="I115" i="82"/>
  <c r="I164" i="82"/>
  <c r="E162" i="83"/>
  <c r="D162" i="83" s="1"/>
  <c r="D271" i="83" s="1"/>
  <c r="D135" i="91"/>
  <c r="D262" i="91" s="1"/>
  <c r="H41" i="89"/>
  <c r="D105" i="91"/>
  <c r="D252" i="91" s="1"/>
  <c r="D45" i="74"/>
  <c r="D235" i="74" s="1"/>
  <c r="D75" i="84"/>
  <c r="D242" i="84" s="1"/>
  <c r="G28" i="82"/>
  <c r="G10" i="82"/>
  <c r="I68" i="82"/>
  <c r="I161" i="82"/>
  <c r="I133" i="82"/>
  <c r="I174" i="82"/>
  <c r="H31" i="89"/>
  <c r="D183" i="88"/>
  <c r="D278" i="88" s="1"/>
  <c r="E96" i="83"/>
  <c r="D96" i="83" s="1"/>
  <c r="D249" i="83" s="1"/>
  <c r="G40" i="82"/>
  <c r="I63" i="82"/>
  <c r="I78" i="82"/>
  <c r="I171" i="82"/>
  <c r="I151" i="82"/>
  <c r="I176" i="82"/>
  <c r="D123" i="88"/>
  <c r="D258" i="88" s="1"/>
  <c r="D75" i="89"/>
  <c r="D242" i="89" s="1"/>
  <c r="H55" i="89"/>
  <c r="D78" i="74"/>
  <c r="D243" i="74" s="1"/>
  <c r="D84" i="82"/>
  <c r="D245" i="82" s="1"/>
  <c r="E81" i="83"/>
  <c r="D81" i="83" s="1"/>
  <c r="D244" i="83" s="1"/>
  <c r="E108" i="83"/>
  <c r="D108" i="83" s="1"/>
  <c r="D253" i="83" s="1"/>
  <c r="E33" i="83"/>
  <c r="D33" i="83" s="1"/>
  <c r="D233" i="83" s="1"/>
  <c r="D144" i="85"/>
  <c r="D265" i="85" s="1"/>
  <c r="G52" i="82"/>
  <c r="I70" i="82"/>
  <c r="I80" i="82"/>
  <c r="I123" i="82"/>
  <c r="I117" i="82"/>
  <c r="I157" i="82"/>
  <c r="H214" i="82"/>
  <c r="H43" i="89"/>
  <c r="H183" i="89"/>
  <c r="E183" i="89" s="1"/>
  <c r="D183" i="89" s="1"/>
  <c r="D278" i="89" s="1"/>
  <c r="E187" i="83"/>
  <c r="I113" i="82"/>
  <c r="I74" i="82"/>
  <c r="I91" i="82"/>
  <c r="I125" i="82"/>
  <c r="I119" i="82"/>
  <c r="I169" i="82"/>
  <c r="D87" i="87"/>
  <c r="D246" i="87" s="1"/>
  <c r="H53" i="89"/>
  <c r="D15" i="74"/>
  <c r="D230" i="74" s="1"/>
  <c r="E21" i="83"/>
  <c r="D21" i="83" s="1"/>
  <c r="D231" i="83" s="1"/>
  <c r="I72" i="82"/>
  <c r="I84" i="82"/>
  <c r="I105" i="82"/>
  <c r="I132" i="82"/>
  <c r="I136" i="82"/>
  <c r="I179" i="82"/>
  <c r="D159" i="87"/>
  <c r="D270" i="87" s="1"/>
  <c r="H99" i="89"/>
  <c r="H39" i="93"/>
  <c r="D75" i="82"/>
  <c r="D242" i="82" s="1"/>
  <c r="E111" i="83"/>
  <c r="D111" i="83" s="1"/>
  <c r="D254" i="83" s="1"/>
  <c r="D66" i="84"/>
  <c r="D239" i="84" s="1"/>
  <c r="I93" i="82"/>
  <c r="G46" i="82"/>
  <c r="I126" i="82"/>
  <c r="I145" i="82"/>
  <c r="I170" i="82"/>
  <c r="H84" i="89"/>
  <c r="E84" i="89" s="1"/>
  <c r="D84" i="89" s="1"/>
  <c r="D245" i="89" s="1"/>
  <c r="D33" i="74"/>
  <c r="D233" i="74" s="1"/>
  <c r="H39" i="89"/>
  <c r="E39" i="89" s="1"/>
  <c r="D39" i="89" s="1"/>
  <c r="D234" i="89" s="1"/>
  <c r="E159" i="83"/>
  <c r="D159" i="83" s="1"/>
  <c r="D270" i="83" s="1"/>
  <c r="E27" i="83"/>
  <c r="D27" i="83" s="1"/>
  <c r="D232" i="83" s="1"/>
  <c r="E57" i="83"/>
  <c r="D57" i="83" s="1"/>
  <c r="D237" i="83" s="1"/>
  <c r="D72" i="74"/>
  <c r="D241" i="74" s="1"/>
  <c r="D99" i="82"/>
  <c r="D250" i="82" s="1"/>
  <c r="E39" i="83"/>
  <c r="D39" i="83" s="1"/>
  <c r="D234" i="83" s="1"/>
  <c r="E147" i="83"/>
  <c r="D147" i="83" s="1"/>
  <c r="D266" i="83" s="1"/>
  <c r="E168" i="84"/>
  <c r="D168" i="84" s="1"/>
  <c r="D273" i="84" s="1"/>
  <c r="D162" i="81"/>
  <c r="D271" i="81" s="1"/>
  <c r="G30" i="82"/>
  <c r="G62" i="82"/>
  <c r="I85" i="82"/>
  <c r="I94" i="82"/>
  <c r="I166" i="82"/>
  <c r="D33" i="82"/>
  <c r="D233" i="82" s="1"/>
  <c r="H93" i="89"/>
  <c r="H17" i="93"/>
  <c r="E168" i="83"/>
  <c r="D168" i="83" s="1"/>
  <c r="D273" i="83" s="1"/>
  <c r="D132" i="82"/>
  <c r="D261" i="82" s="1"/>
  <c r="G42" i="82"/>
  <c r="I67" i="82"/>
  <c r="I89" i="82"/>
  <c r="I106" i="82"/>
  <c r="I178" i="82"/>
  <c r="E75" i="83"/>
  <c r="D75" i="83" s="1"/>
  <c r="D242" i="83" s="1"/>
  <c r="H111" i="89"/>
  <c r="E111" i="89" s="1"/>
  <c r="D111" i="89" s="1"/>
  <c r="D254" i="89" s="1"/>
  <c r="H19" i="93"/>
  <c r="H43" i="93"/>
  <c r="H132" i="89"/>
  <c r="E192" i="83"/>
  <c r="D192" i="83" s="1"/>
  <c r="D284" i="83" s="1"/>
  <c r="G60" i="82"/>
  <c r="I90" i="82"/>
  <c r="I116" i="82"/>
  <c r="I127" i="82"/>
  <c r="I175" i="82"/>
  <c r="E214" i="83"/>
  <c r="D214" i="83" s="1"/>
  <c r="D290" i="83" s="1"/>
  <c r="H78" i="89"/>
  <c r="E78" i="89" s="1"/>
  <c r="D78" i="89" s="1"/>
  <c r="D243" i="89" s="1"/>
  <c r="D162" i="87"/>
  <c r="D271" i="87" s="1"/>
  <c r="E117" i="83"/>
  <c r="D117" i="83" s="1"/>
  <c r="D256" i="83" s="1"/>
  <c r="G18" i="82"/>
  <c r="I112" i="82"/>
  <c r="I75" i="82"/>
  <c r="I135" i="82"/>
  <c r="I182" i="82"/>
  <c r="D102" i="88"/>
  <c r="D251" i="88" s="1"/>
  <c r="D126" i="88"/>
  <c r="D259" i="88" s="1"/>
  <c r="H105" i="89"/>
  <c r="D78" i="93"/>
  <c r="D243" i="93" s="1"/>
  <c r="D45" i="81"/>
  <c r="D235" i="81" s="1"/>
  <c r="E90" i="83"/>
  <c r="D90" i="83" s="1"/>
  <c r="D247" i="83" s="1"/>
  <c r="E191" i="83"/>
  <c r="D191" i="83" s="1"/>
  <c r="D283" i="83" s="1"/>
  <c r="G36" i="82"/>
  <c r="I134" i="82"/>
  <c r="I77" i="82"/>
  <c r="I148" i="82"/>
  <c r="I129" i="82"/>
  <c r="E51" i="83"/>
  <c r="D138" i="88"/>
  <c r="D263" i="88" s="1"/>
  <c r="D147" i="88"/>
  <c r="D266" i="88" s="1"/>
  <c r="H126" i="89"/>
  <c r="H51" i="93"/>
  <c r="E78" i="83"/>
  <c r="D78" i="83" s="1"/>
  <c r="D243" i="83" s="1"/>
  <c r="D120" i="74"/>
  <c r="D257" i="74" s="1"/>
  <c r="E141" i="83"/>
  <c r="D141" i="83" s="1"/>
  <c r="D264" i="83" s="1"/>
  <c r="G48" i="82"/>
  <c r="I173" i="82"/>
  <c r="I87" i="82"/>
  <c r="I159" i="82"/>
  <c r="I131" i="82"/>
  <c r="D192" i="85"/>
  <c r="D284" i="85" s="1"/>
  <c r="E194" i="83"/>
  <c r="D194" i="83" s="1"/>
  <c r="D285" i="83" s="1"/>
  <c r="H147" i="89"/>
  <c r="E147" i="89" s="1"/>
  <c r="D147" i="89" s="1"/>
  <c r="D266" i="89" s="1"/>
  <c r="H41" i="93"/>
  <c r="E296" i="83"/>
  <c r="D156" i="74"/>
  <c r="D269" i="74" s="1"/>
  <c r="E66" i="83"/>
  <c r="I99" i="82"/>
  <c r="G24" i="82"/>
  <c r="I92" i="82"/>
  <c r="I180" i="82"/>
  <c r="I141" i="82"/>
  <c r="E123" i="83"/>
  <c r="D150" i="85"/>
  <c r="D267" i="85" s="1"/>
  <c r="E297" i="83"/>
  <c r="D93" i="88"/>
  <c r="D248" i="88" s="1"/>
  <c r="H153" i="89"/>
  <c r="E153" i="89" s="1"/>
  <c r="D153" i="89" s="1"/>
  <c r="D268" i="89" s="1"/>
  <c r="E153" i="83"/>
  <c r="D153" i="83" s="1"/>
  <c r="D268" i="83" s="1"/>
  <c r="E69" i="83"/>
  <c r="D69" i="83" s="1"/>
  <c r="D240" i="83" s="1"/>
  <c r="D162" i="85"/>
  <c r="D271" i="85" s="1"/>
  <c r="I144" i="82"/>
  <c r="G32" i="82"/>
  <c r="I104" i="82"/>
  <c r="I96" i="82"/>
  <c r="I143" i="82"/>
  <c r="E84" i="83"/>
  <c r="D69" i="87"/>
  <c r="D240" i="87" s="1"/>
  <c r="D129" i="88"/>
  <c r="D260" i="88" s="1"/>
  <c r="H159" i="89"/>
  <c r="E159" i="89" s="1"/>
  <c r="D159" i="89" s="1"/>
  <c r="D270" i="89" s="1"/>
  <c r="E135" i="83"/>
  <c r="D135" i="83" s="1"/>
  <c r="D262" i="83" s="1"/>
  <c r="E93" i="83"/>
  <c r="D93" i="83" s="1"/>
  <c r="D248" i="83" s="1"/>
  <c r="E9" i="83"/>
  <c r="E72" i="83"/>
  <c r="D72" i="83" s="1"/>
  <c r="D241" i="83" s="1"/>
  <c r="G20" i="82"/>
  <c r="I69" i="82"/>
  <c r="I114" i="82"/>
  <c r="I98" i="82"/>
  <c r="I153" i="82"/>
  <c r="D298" i="83"/>
  <c r="Z6" i="83" s="1"/>
  <c r="D27" i="88"/>
  <c r="D232" i="88" s="1"/>
  <c r="H141" i="89"/>
  <c r="E141" i="89" s="1"/>
  <c r="D141" i="89" s="1"/>
  <c r="D264" i="89" s="1"/>
  <c r="H13" i="91"/>
  <c r="H141" i="93"/>
  <c r="E141" i="93" s="1"/>
  <c r="D126" i="74"/>
  <c r="D259" i="74" s="1"/>
  <c r="D93" i="81"/>
  <c r="D248" i="81" s="1"/>
  <c r="D81" i="82"/>
  <c r="D244" i="82" s="1"/>
  <c r="D198" i="81"/>
  <c r="D286" i="81" s="1"/>
  <c r="G26" i="82"/>
  <c r="I71" i="82"/>
  <c r="I124" i="82"/>
  <c r="I108" i="82"/>
  <c r="I155" i="82"/>
  <c r="E298" i="83"/>
  <c r="H187" i="89"/>
  <c r="H189" i="89" s="1"/>
  <c r="E189" i="89" s="1"/>
  <c r="D189" i="89" s="1"/>
  <c r="D281" i="89" s="1"/>
  <c r="H93" i="93"/>
  <c r="H194" i="93"/>
  <c r="D194" i="88"/>
  <c r="D285" i="88" s="1"/>
  <c r="E15" i="83"/>
  <c r="D15" i="83" s="1"/>
  <c r="D230" i="83" s="1"/>
  <c r="E156" i="83"/>
  <c r="D156" i="83" s="1"/>
  <c r="D269" i="83" s="1"/>
  <c r="D177" i="74"/>
  <c r="D276" i="74" s="1"/>
  <c r="G38" i="82"/>
  <c r="I81" i="82"/>
  <c r="I137" i="82"/>
  <c r="I110" i="82"/>
  <c r="I165" i="82"/>
  <c r="E188" i="83"/>
  <c r="E126" i="83"/>
  <c r="D126" i="83" s="1"/>
  <c r="D259" i="83" s="1"/>
  <c r="D299" i="83"/>
  <c r="AA6" i="83" s="1"/>
  <c r="H174" i="89"/>
  <c r="E93" i="94"/>
  <c r="D93" i="94" s="1"/>
  <c r="D248" i="94" s="1"/>
  <c r="H105" i="93"/>
  <c r="E87" i="83"/>
  <c r="D87" i="83" s="1"/>
  <c r="D246" i="83" s="1"/>
  <c r="E45" i="83"/>
  <c r="D45" i="83" s="1"/>
  <c r="D235" i="83" s="1"/>
  <c r="G50" i="82"/>
  <c r="I83" i="82"/>
  <c r="I139" i="82"/>
  <c r="I120" i="82"/>
  <c r="I167" i="82"/>
  <c r="E299" i="83"/>
  <c r="H191" i="89"/>
  <c r="E191" i="89" s="1"/>
  <c r="D191" i="89" s="1"/>
  <c r="D283" i="89" s="1"/>
  <c r="H174" i="93"/>
  <c r="E174" i="93" s="1"/>
  <c r="D174" i="93" s="1"/>
  <c r="D275" i="93" s="1"/>
  <c r="E180" i="83"/>
  <c r="D180" i="83" s="1"/>
  <c r="D277" i="83" s="1"/>
  <c r="D87" i="82"/>
  <c r="D246" i="82" s="1"/>
  <c r="I86" i="82"/>
  <c r="I95" i="82"/>
  <c r="I147" i="82"/>
  <c r="I122" i="82"/>
  <c r="I177" i="82"/>
  <c r="D296" i="83"/>
  <c r="X6" i="83" s="1"/>
  <c r="H180" i="89"/>
  <c r="E180" i="89" s="1"/>
  <c r="H147" i="93"/>
  <c r="E147" i="93" s="1"/>
  <c r="D147" i="93" s="1"/>
  <c r="D266" i="93" s="1"/>
  <c r="G34" i="82"/>
  <c r="I102" i="82"/>
  <c r="I158" i="82"/>
  <c r="I128" i="82"/>
  <c r="I160" i="82"/>
  <c r="E198" i="83"/>
  <c r="D198" i="83" s="1"/>
  <c r="D286" i="83" s="1"/>
  <c r="D300" i="83"/>
  <c r="AB6" i="83" s="1"/>
  <c r="D15" i="88"/>
  <c r="D230" i="88" s="1"/>
  <c r="H159" i="93"/>
  <c r="E159" i="93" s="1"/>
  <c r="T9" i="88"/>
  <c r="AA39" i="94"/>
  <c r="X80" i="93"/>
  <c r="O83" i="92"/>
  <c r="M57" i="94"/>
  <c r="Y130" i="92"/>
  <c r="D45" i="89" l="1"/>
  <c r="D235" i="89" s="1"/>
  <c r="E187" i="87"/>
  <c r="H189" i="87"/>
  <c r="E189" i="87" s="1"/>
  <c r="E188" i="85"/>
  <c r="H190" i="85"/>
  <c r="E190" i="85" s="1"/>
  <c r="D190" i="85" s="1"/>
  <c r="D282" i="85" s="1"/>
  <c r="E189" i="91"/>
  <c r="D189" i="91" s="1"/>
  <c r="D281" i="91" s="1"/>
  <c r="E187" i="94"/>
  <c r="D187" i="94" s="1"/>
  <c r="D279" i="94" s="1"/>
  <c r="H189" i="94"/>
  <c r="E189" i="94" s="1"/>
  <c r="D189" i="94" s="1"/>
  <c r="D281" i="94" s="1"/>
  <c r="E188" i="87"/>
  <c r="D188" i="87" s="1"/>
  <c r="D280" i="87" s="1"/>
  <c r="H190" i="87"/>
  <c r="E190" i="87" s="1"/>
  <c r="D190" i="87" s="1"/>
  <c r="D282" i="87" s="1"/>
  <c r="E188" i="88"/>
  <c r="D188" i="88" s="1"/>
  <c r="D280" i="88" s="1"/>
  <c r="H190" i="88"/>
  <c r="E190" i="88" s="1"/>
  <c r="E187" i="85"/>
  <c r="D187" i="85" s="1"/>
  <c r="D279" i="85" s="1"/>
  <c r="H189" i="85"/>
  <c r="E189" i="85" s="1"/>
  <c r="E188" i="89"/>
  <c r="D188" i="89" s="1"/>
  <c r="D280" i="89" s="1"/>
  <c r="H190" i="89"/>
  <c r="E190" i="89" s="1"/>
  <c r="H194" i="92"/>
  <c r="D99" i="87"/>
  <c r="D250" i="87" s="1"/>
  <c r="D218" i="89"/>
  <c r="D291" i="89" s="1"/>
  <c r="E218" i="81"/>
  <c r="E291" i="81" s="1"/>
  <c r="D190" i="89"/>
  <c r="D282" i="89" s="1"/>
  <c r="D218" i="74"/>
  <c r="D291" i="74" s="1"/>
  <c r="D189" i="82"/>
  <c r="D281" i="82" s="1"/>
  <c r="E291" i="87"/>
  <c r="D218" i="87"/>
  <c r="D291" i="87" s="1"/>
  <c r="D218" i="88"/>
  <c r="D291" i="88" s="1"/>
  <c r="E291" i="85"/>
  <c r="D218" i="85"/>
  <c r="D291" i="85" s="1"/>
  <c r="D189" i="74"/>
  <c r="D281" i="74" s="1"/>
  <c r="E189" i="84"/>
  <c r="D189" i="84" s="1"/>
  <c r="D281" i="84" s="1"/>
  <c r="D218" i="84"/>
  <c r="D291" i="84" s="1"/>
  <c r="D189" i="85"/>
  <c r="D281" i="85" s="1"/>
  <c r="E190" i="91"/>
  <c r="D190" i="91" s="1"/>
  <c r="D282" i="91" s="1"/>
  <c r="D190" i="82"/>
  <c r="D282" i="82" s="1"/>
  <c r="E190" i="84"/>
  <c r="D190" i="84" s="1"/>
  <c r="D282" i="84" s="1"/>
  <c r="E291" i="91"/>
  <c r="D218" i="91"/>
  <c r="D291" i="91" s="1"/>
  <c r="D190" i="81"/>
  <c r="D282" i="81" s="1"/>
  <c r="E218" i="83"/>
  <c r="E291" i="83" s="1"/>
  <c r="D218" i="82"/>
  <c r="D291" i="82" s="1"/>
  <c r="E206" i="83"/>
  <c r="D206" i="83" s="1"/>
  <c r="D288" i="83" s="1"/>
  <c r="D174" i="85"/>
  <c r="D275" i="85" s="1"/>
  <c r="E206" i="89"/>
  <c r="D206" i="89" s="1"/>
  <c r="D288" i="89" s="1"/>
  <c r="E210" i="81"/>
  <c r="D210" i="81" s="1"/>
  <c r="D289" i="81" s="1"/>
  <c r="D202" i="81"/>
  <c r="E214" i="81"/>
  <c r="D214" i="81" s="1"/>
  <c r="D290" i="81" s="1"/>
  <c r="E210" i="89"/>
  <c r="D210" i="89" s="1"/>
  <c r="D289" i="89" s="1"/>
  <c r="D202" i="89"/>
  <c r="D287" i="89" s="1"/>
  <c r="E214" i="89"/>
  <c r="D214" i="89" s="1"/>
  <c r="D290" i="89" s="1"/>
  <c r="E206" i="91"/>
  <c r="D206" i="91" s="1"/>
  <c r="D288" i="91" s="1"/>
  <c r="D202" i="85"/>
  <c r="D287" i="85" s="1"/>
  <c r="D210" i="85"/>
  <c r="D289" i="85" s="1"/>
  <c r="D210" i="82"/>
  <c r="D289" i="82" s="1"/>
  <c r="E206" i="74"/>
  <c r="D206" i="74" s="1"/>
  <c r="D288" i="74" s="1"/>
  <c r="E206" i="82"/>
  <c r="D206" i="82" s="1"/>
  <c r="D288" i="82" s="1"/>
  <c r="D202" i="82"/>
  <c r="D287" i="82" s="1"/>
  <c r="E210" i="91"/>
  <c r="D210" i="91" s="1"/>
  <c r="D289" i="91" s="1"/>
  <c r="D202" i="83"/>
  <c r="D287" i="83" s="1"/>
  <c r="E202" i="91"/>
  <c r="D202" i="91" s="1"/>
  <c r="D287" i="91" s="1"/>
  <c r="D202" i="87"/>
  <c r="D287" i="87" s="1"/>
  <c r="E214" i="87"/>
  <c r="D214" i="87" s="1"/>
  <c r="D290" i="87" s="1"/>
  <c r="D210" i="87"/>
  <c r="D289" i="87" s="1"/>
  <c r="E202" i="74"/>
  <c r="D202" i="74" s="1"/>
  <c r="D210" i="83"/>
  <c r="D289" i="83" s="1"/>
  <c r="E206" i="87"/>
  <c r="D206" i="87" s="1"/>
  <c r="D288" i="87" s="1"/>
  <c r="E202" i="88"/>
  <c r="D202" i="88"/>
  <c r="D287" i="88" s="1"/>
  <c r="D210" i="74"/>
  <c r="D289" i="74" s="1"/>
  <c r="D210" i="88"/>
  <c r="D289" i="88" s="1"/>
  <c r="E206" i="81"/>
  <c r="D206" i="81" s="1"/>
  <c r="D288" i="81" s="1"/>
  <c r="D206" i="88"/>
  <c r="D288" i="88" s="1"/>
  <c r="D66" i="94"/>
  <c r="D239" i="94" s="1"/>
  <c r="E202" i="84"/>
  <c r="D202" i="84" s="1"/>
  <c r="D287" i="84" s="1"/>
  <c r="E210" i="84"/>
  <c r="D210" i="84" s="1"/>
  <c r="D289" i="84" s="1"/>
  <c r="E206" i="84"/>
  <c r="D206" i="84" s="1"/>
  <c r="D288" i="84" s="1"/>
  <c r="D153" i="84"/>
  <c r="D268" i="84" s="1"/>
  <c r="D183" i="93"/>
  <c r="D278" i="93" s="1"/>
  <c r="D108" i="89"/>
  <c r="D253" i="89" s="1"/>
  <c r="E232" i="91"/>
  <c r="D21" i="87"/>
  <c r="D231" i="87" s="1"/>
  <c r="D105" i="84"/>
  <c r="D252" i="84" s="1"/>
  <c r="D147" i="84"/>
  <c r="D266" i="84" s="1"/>
  <c r="D192" i="89"/>
  <c r="D284" i="89" s="1"/>
  <c r="D229" i="89"/>
  <c r="E229" i="89" s="1"/>
  <c r="E84" i="84"/>
  <c r="D84" i="84" s="1"/>
  <c r="D245" i="84" s="1"/>
  <c r="H123" i="92"/>
  <c r="E123" i="92" s="1"/>
  <c r="D123" i="92" s="1"/>
  <c r="D258" i="92" s="1"/>
  <c r="E233" i="91"/>
  <c r="D229" i="85"/>
  <c r="E229" i="85" s="1"/>
  <c r="H66" i="92"/>
  <c r="E66" i="92" s="1"/>
  <c r="D66" i="92" s="1"/>
  <c r="D239" i="92" s="1"/>
  <c r="D15" i="84"/>
  <c r="D230" i="84" s="1"/>
  <c r="E187" i="84"/>
  <c r="D187" i="84" s="1"/>
  <c r="D279" i="84" s="1"/>
  <c r="E144" i="92"/>
  <c r="D144" i="92" s="1"/>
  <c r="D265" i="92" s="1"/>
  <c r="H45" i="92"/>
  <c r="E45" i="92" s="1"/>
  <c r="H96" i="92"/>
  <c r="E96" i="92" s="1"/>
  <c r="D96" i="92" s="1"/>
  <c r="D249" i="92" s="1"/>
  <c r="H177" i="92"/>
  <c r="H165" i="92"/>
  <c r="E165" i="92" s="1"/>
  <c r="D165" i="92" s="1"/>
  <c r="D272" i="92" s="1"/>
  <c r="H150" i="92"/>
  <c r="H102" i="92"/>
  <c r="E102" i="92" s="1"/>
  <c r="H37" i="92"/>
  <c r="H59" i="92"/>
  <c r="H81" i="92"/>
  <c r="E81" i="92" s="1"/>
  <c r="D81" i="92" s="1"/>
  <c r="D244" i="92" s="1"/>
  <c r="H75" i="92"/>
  <c r="E75" i="92" s="1"/>
  <c r="D75" i="92" s="1"/>
  <c r="D242" i="92" s="1"/>
  <c r="H23" i="92"/>
  <c r="H33" i="92"/>
  <c r="E33" i="92" s="1"/>
  <c r="D33" i="92" s="1"/>
  <c r="D233" i="92" s="1"/>
  <c r="H13" i="92"/>
  <c r="E156" i="89"/>
  <c r="D156" i="89" s="1"/>
  <c r="D269" i="89" s="1"/>
  <c r="H192" i="92"/>
  <c r="D171" i="89"/>
  <c r="D274" i="89" s="1"/>
  <c r="E69" i="89"/>
  <c r="D69" i="89" s="1"/>
  <c r="D240" i="89" s="1"/>
  <c r="D150" i="94"/>
  <c r="D267" i="94" s="1"/>
  <c r="H69" i="92"/>
  <c r="H108" i="92"/>
  <c r="E108" i="92" s="1"/>
  <c r="D129" i="89"/>
  <c r="D260" i="89" s="1"/>
  <c r="D15" i="87"/>
  <c r="D230" i="87" s="1"/>
  <c r="D187" i="87"/>
  <c r="D279" i="87" s="1"/>
  <c r="E177" i="89"/>
  <c r="D177" i="89" s="1"/>
  <c r="D276" i="89" s="1"/>
  <c r="E174" i="87"/>
  <c r="D174" i="87" s="1"/>
  <c r="D275" i="87" s="1"/>
  <c r="D51" i="87"/>
  <c r="D236" i="87" s="1"/>
  <c r="H129" i="92"/>
  <c r="E129" i="92" s="1"/>
  <c r="H35" i="92"/>
  <c r="H49" i="92"/>
  <c r="D45" i="87"/>
  <c r="D235" i="87" s="1"/>
  <c r="D57" i="89"/>
  <c r="D237" i="89" s="1"/>
  <c r="H61" i="92"/>
  <c r="E75" i="87"/>
  <c r="D75" i="87" s="1"/>
  <c r="D242" i="87" s="1"/>
  <c r="E108" i="87"/>
  <c r="D108" i="87" s="1"/>
  <c r="D253" i="87" s="1"/>
  <c r="E96" i="87"/>
  <c r="D96" i="87" s="1"/>
  <c r="D249" i="87" s="1"/>
  <c r="E177" i="87"/>
  <c r="D177" i="87" s="1"/>
  <c r="D276" i="87" s="1"/>
  <c r="D120" i="89"/>
  <c r="D257" i="89" s="1"/>
  <c r="E144" i="94"/>
  <c r="D144" i="94" s="1"/>
  <c r="D265" i="94" s="1"/>
  <c r="D57" i="87"/>
  <c r="D237" i="87" s="1"/>
  <c r="E72" i="89"/>
  <c r="D72" i="89" s="1"/>
  <c r="D241" i="89" s="1"/>
  <c r="E105" i="94"/>
  <c r="D105" i="94" s="1"/>
  <c r="D252" i="94" s="1"/>
  <c r="E81" i="94"/>
  <c r="D81" i="94" s="1"/>
  <c r="D244" i="94" s="1"/>
  <c r="E99" i="94"/>
  <c r="D99" i="94" s="1"/>
  <c r="D250" i="94" s="1"/>
  <c r="E105" i="89"/>
  <c r="D105" i="89" s="1"/>
  <c r="D252" i="89" s="1"/>
  <c r="E105" i="93"/>
  <c r="D105" i="93" s="1"/>
  <c r="D252" i="93" s="1"/>
  <c r="E132" i="89"/>
  <c r="D132" i="89" s="1"/>
  <c r="D261" i="89" s="1"/>
  <c r="E93" i="89"/>
  <c r="D93" i="89" s="1"/>
  <c r="D248" i="89" s="1"/>
  <c r="E234" i="91"/>
  <c r="E93" i="93"/>
  <c r="D93" i="93" s="1"/>
  <c r="D248" i="93" s="1"/>
  <c r="E174" i="89"/>
  <c r="D174" i="89" s="1"/>
  <c r="D275" i="89" s="1"/>
  <c r="E99" i="89"/>
  <c r="D99" i="89" s="1"/>
  <c r="D250" i="89" s="1"/>
  <c r="E15" i="89"/>
  <c r="D15" i="89" s="1"/>
  <c r="E51" i="93"/>
  <c r="D51" i="93" s="1"/>
  <c r="D236" i="93" s="1"/>
  <c r="E126" i="89"/>
  <c r="D126" i="89" s="1"/>
  <c r="D259" i="89" s="1"/>
  <c r="E187" i="89"/>
  <c r="D187" i="89" s="1"/>
  <c r="D279" i="89" s="1"/>
  <c r="P99" i="94"/>
  <c r="P100" i="93"/>
  <c r="L162" i="92"/>
  <c r="AB77" i="91"/>
  <c r="X136" i="92"/>
  <c r="AA159" i="87"/>
  <c r="D190" i="88" l="1"/>
  <c r="D282" i="88" s="1"/>
  <c r="D189" i="87"/>
  <c r="D281" i="87" s="1"/>
  <c r="D218" i="81"/>
  <c r="D291" i="81" s="1"/>
  <c r="E190" i="92"/>
  <c r="D190" i="92" s="1"/>
  <c r="D282" i="92" s="1"/>
  <c r="D218" i="83"/>
  <c r="D291" i="83" s="1"/>
  <c r="D108" i="92"/>
  <c r="D253" i="92" s="1"/>
  <c r="E192" i="92"/>
  <c r="D192" i="92" s="1"/>
  <c r="D284" i="92" s="1"/>
  <c r="E150" i="92"/>
  <c r="D150" i="92" s="1"/>
  <c r="D267" i="92" s="1"/>
  <c r="D230" i="89"/>
  <c r="E230" i="89" s="1"/>
  <c r="E239" i="89"/>
  <c r="E236" i="89"/>
  <c r="D66" i="83" l="1"/>
  <c r="D239" i="83" s="1"/>
  <c r="D117" i="74"/>
  <c r="D256" i="74" s="1"/>
  <c r="D231" i="89"/>
  <c r="E231" i="89" s="1"/>
  <c r="D287" i="74"/>
  <c r="D90" i="81"/>
  <c r="D247" i="81" s="1"/>
  <c r="E51" i="82"/>
  <c r="D51" i="82" s="1"/>
  <c r="D51" i="74"/>
  <c r="D236" i="74" s="1"/>
  <c r="D90" i="74"/>
  <c r="D247" i="74" s="1"/>
  <c r="E87" i="74"/>
  <c r="D87" i="74" s="1"/>
  <c r="D246" i="74" s="1"/>
  <c r="D57" i="81"/>
  <c r="D237" i="81" s="1"/>
  <c r="E234" i="89"/>
  <c r="D123" i="74"/>
  <c r="D258" i="74" s="1"/>
  <c r="D81" i="81"/>
  <c r="D244" i="81" s="1"/>
  <c r="D27" i="82"/>
  <c r="D232" i="82" s="1"/>
  <c r="D120" i="81"/>
  <c r="D257" i="81" s="1"/>
  <c r="E242" i="89"/>
  <c r="D168" i="74"/>
  <c r="D273" i="74" s="1"/>
  <c r="E232" i="89"/>
  <c r="E129" i="74"/>
  <c r="D129" i="74" s="1"/>
  <c r="D260" i="74" s="1"/>
  <c r="D90" i="84"/>
  <c r="D247" i="84" s="1"/>
  <c r="D93" i="85"/>
  <c r="D248" i="85" s="1"/>
  <c r="E144" i="74"/>
  <c r="D144" i="74" s="1"/>
  <c r="D265" i="74" s="1"/>
  <c r="D123" i="81"/>
  <c r="D258" i="81" s="1"/>
  <c r="D159" i="74"/>
  <c r="D270" i="74" s="1"/>
  <c r="E230" i="85"/>
  <c r="E233" i="89"/>
  <c r="D162" i="74"/>
  <c r="D271" i="74" s="1"/>
  <c r="D105" i="82"/>
  <c r="D252" i="82" s="1"/>
  <c r="D105" i="81"/>
  <c r="D252" i="81" s="1"/>
  <c r="D9" i="81"/>
  <c r="E177" i="81"/>
  <c r="D177" i="81" s="1"/>
  <c r="D276" i="81" s="1"/>
  <c r="D126" i="81"/>
  <c r="D259" i="81" s="1"/>
  <c r="D150" i="83"/>
  <c r="D267" i="83" s="1"/>
  <c r="E39" i="81"/>
  <c r="D39" i="81" s="1"/>
  <c r="D234" i="81" s="1"/>
  <c r="D69" i="74"/>
  <c r="D240" i="74" s="1"/>
  <c r="E174" i="74"/>
  <c r="D174" i="74" s="1"/>
  <c r="D275" i="74" s="1"/>
  <c r="E165" i="74"/>
  <c r="D165" i="74" s="1"/>
  <c r="D272" i="74" s="1"/>
  <c r="E33" i="84"/>
  <c r="D33" i="84" s="1"/>
  <c r="D233" i="84" s="1"/>
  <c r="E238" i="89"/>
  <c r="D108" i="74"/>
  <c r="D253" i="74" s="1"/>
  <c r="E241" i="89"/>
  <c r="D191" i="81"/>
  <c r="D283" i="81" s="1"/>
  <c r="D69" i="81"/>
  <c r="D240" i="81" s="1"/>
  <c r="D191" i="74"/>
  <c r="D283" i="74" s="1"/>
  <c r="D66" i="74"/>
  <c r="D239" i="74" s="1"/>
  <c r="D15" i="82"/>
  <c r="E63" i="82"/>
  <c r="D63" i="82" s="1"/>
  <c r="D238" i="82" s="1"/>
  <c r="E165" i="83"/>
  <c r="D165" i="83" s="1"/>
  <c r="D272" i="83" s="1"/>
  <c r="D63" i="74"/>
  <c r="D238" i="74" s="1"/>
  <c r="E72" i="82"/>
  <c r="D72" i="82" s="1"/>
  <c r="D241" i="82" s="1"/>
  <c r="E187" i="74"/>
  <c r="D187" i="74" s="1"/>
  <c r="D279" i="74" s="1"/>
  <c r="D75" i="74"/>
  <c r="D242" i="74" s="1"/>
  <c r="D96" i="85"/>
  <c r="D249" i="85" s="1"/>
  <c r="E243" i="89"/>
  <c r="E231" i="91"/>
  <c r="D111" i="74"/>
  <c r="D254" i="74" s="1"/>
  <c r="D9" i="74"/>
  <c r="D96" i="74"/>
  <c r="D249" i="74" s="1"/>
  <c r="E114" i="82"/>
  <c r="D114" i="82" s="1"/>
  <c r="D255" i="82" s="1"/>
  <c r="E171" i="83"/>
  <c r="D171" i="83" s="1"/>
  <c r="D274" i="83" s="1"/>
  <c r="D120" i="84"/>
  <c r="D257" i="84" s="1"/>
  <c r="E237" i="89"/>
  <c r="E27" i="81"/>
  <c r="D27" i="81" s="1"/>
  <c r="D232" i="81" s="1"/>
  <c r="D75" i="81"/>
  <c r="D242" i="81" s="1"/>
  <c r="D229" i="91"/>
  <c r="E229" i="91" s="1"/>
  <c r="D63" i="91"/>
  <c r="D238" i="91" s="1"/>
  <c r="D188" i="85"/>
  <c r="D280" i="85" s="1"/>
  <c r="D187" i="83"/>
  <c r="D279" i="83" s="1"/>
  <c r="D192" i="84"/>
  <c r="D284" i="84" s="1"/>
  <c r="D51" i="85"/>
  <c r="D236" i="85" s="1"/>
  <c r="D99" i="85"/>
  <c r="D250" i="85" s="1"/>
  <c r="D111" i="87"/>
  <c r="D254" i="87" s="1"/>
  <c r="D87" i="91"/>
  <c r="D246" i="91" s="1"/>
  <c r="D99" i="88"/>
  <c r="D250" i="88" s="1"/>
  <c r="D287" i="81"/>
  <c r="D84" i="85"/>
  <c r="D245" i="85" s="1"/>
  <c r="E240" i="89"/>
  <c r="E114" i="91"/>
  <c r="D114" i="91" s="1"/>
  <c r="D255" i="91" s="1"/>
  <c r="D90" i="87"/>
  <c r="D247" i="87" s="1"/>
  <c r="D39" i="88"/>
  <c r="D234" i="88" s="1"/>
  <c r="D192" i="82"/>
  <c r="D284" i="82" s="1"/>
  <c r="D187" i="82"/>
  <c r="D279" i="82" s="1"/>
  <c r="D188" i="83"/>
  <c r="D280" i="83" s="1"/>
  <c r="D27" i="74"/>
  <c r="D232" i="74" s="1"/>
  <c r="E232" i="74" s="1"/>
  <c r="E129" i="82"/>
  <c r="D129" i="82" s="1"/>
  <c r="D260" i="82" s="1"/>
  <c r="D120" i="83"/>
  <c r="D257" i="83" s="1"/>
  <c r="D9" i="84"/>
  <c r="D132" i="84"/>
  <c r="D261" i="84" s="1"/>
  <c r="D171" i="85"/>
  <c r="D274" i="85" s="1"/>
  <c r="E132" i="85"/>
  <c r="D132" i="85" s="1"/>
  <c r="D261" i="85" s="1"/>
  <c r="D81" i="88"/>
  <c r="D244" i="88" s="1"/>
  <c r="E235" i="89"/>
  <c r="D168" i="85"/>
  <c r="D273" i="85" s="1"/>
  <c r="E214" i="82"/>
  <c r="D214" i="82" s="1"/>
  <c r="D290" i="82" s="1"/>
  <c r="D123" i="87"/>
  <c r="D258" i="87" s="1"/>
  <c r="D126" i="91"/>
  <c r="D259" i="91" s="1"/>
  <c r="D45" i="82"/>
  <c r="D235" i="82" s="1"/>
  <c r="D153" i="87"/>
  <c r="D268" i="87" s="1"/>
  <c r="D135" i="84"/>
  <c r="D262" i="84" s="1"/>
  <c r="D132" i="87"/>
  <c r="D261" i="87" s="1"/>
  <c r="D117" i="91"/>
  <c r="D256" i="91" s="1"/>
  <c r="D156" i="85"/>
  <c r="D269" i="85" s="1"/>
  <c r="D81" i="74"/>
  <c r="D244" i="74" s="1"/>
  <c r="D93" i="84"/>
  <c r="D248" i="84" s="1"/>
  <c r="D111" i="84"/>
  <c r="D254" i="84" s="1"/>
  <c r="D191" i="85"/>
  <c r="D283" i="85" s="1"/>
  <c r="D9" i="88"/>
  <c r="E281" i="88" s="1"/>
  <c r="D102" i="83"/>
  <c r="D251" i="83" s="1"/>
  <c r="D129" i="91"/>
  <c r="D260" i="91" s="1"/>
  <c r="D194" i="85"/>
  <c r="D285" i="85" s="1"/>
  <c r="D191" i="88"/>
  <c r="D283" i="88" s="1"/>
  <c r="E165" i="84"/>
  <c r="D272" i="84" s="1"/>
  <c r="D51" i="83"/>
  <c r="D236" i="83" s="1"/>
  <c r="D99" i="84"/>
  <c r="D250" i="84" s="1"/>
  <c r="D180" i="81"/>
  <c r="D277" i="81" s="1"/>
  <c r="D159" i="82"/>
  <c r="D270" i="82" s="1"/>
  <c r="D9" i="83"/>
  <c r="D102" i="85"/>
  <c r="D251" i="85" s="1"/>
  <c r="E180" i="85"/>
  <c r="D180" i="85" s="1"/>
  <c r="D277" i="85" s="1"/>
  <c r="E96" i="89"/>
  <c r="D96" i="89" s="1"/>
  <c r="D249" i="89" s="1"/>
  <c r="D63" i="88"/>
  <c r="D238" i="88" s="1"/>
  <c r="E69" i="92"/>
  <c r="D69" i="92" s="1"/>
  <c r="D240" i="92" s="1"/>
  <c r="D15" i="81"/>
  <c r="D230" i="81" s="1"/>
  <c r="E230" i="81" s="1"/>
  <c r="D39" i="87"/>
  <c r="D234" i="87" s="1"/>
  <c r="D9" i="87"/>
  <c r="E282" i="87" s="1"/>
  <c r="D150" i="91"/>
  <c r="D267" i="91" s="1"/>
  <c r="D180" i="89"/>
  <c r="D81" i="89"/>
  <c r="E230" i="91"/>
  <c r="E171" i="81"/>
  <c r="D171" i="81" s="1"/>
  <c r="D274" i="81" s="1"/>
  <c r="D187" i="81"/>
  <c r="D279" i="81" s="1"/>
  <c r="D84" i="83"/>
  <c r="D245" i="83" s="1"/>
  <c r="D135" i="82"/>
  <c r="D262" i="82" s="1"/>
  <c r="D87" i="89"/>
  <c r="D246" i="89" s="1"/>
  <c r="D123" i="89"/>
  <c r="D258" i="89" s="1"/>
  <c r="D165" i="91"/>
  <c r="D272" i="91" s="1"/>
  <c r="D123" i="83"/>
  <c r="D258" i="83" s="1"/>
  <c r="D171" i="84"/>
  <c r="D274" i="84" s="1"/>
  <c r="D117" i="84"/>
  <c r="D256" i="84" s="1"/>
  <c r="D21" i="85"/>
  <c r="D135" i="85"/>
  <c r="D262" i="85" s="1"/>
  <c r="D194" i="82"/>
  <c r="D285" i="82" s="1"/>
  <c r="E120" i="88"/>
  <c r="D120" i="88" s="1"/>
  <c r="D257" i="88" s="1"/>
  <c r="D111" i="94"/>
  <c r="D254" i="94" s="1"/>
  <c r="G50" i="91"/>
  <c r="I133" i="91"/>
  <c r="I152" i="91"/>
  <c r="D126" i="93"/>
  <c r="D259" i="93" s="1"/>
  <c r="D183" i="91"/>
  <c r="D278" i="91" s="1"/>
  <c r="D153" i="94"/>
  <c r="D268" i="94" s="1"/>
  <c r="I165" i="87"/>
  <c r="I125" i="87"/>
  <c r="I151" i="87"/>
  <c r="I74" i="87"/>
  <c r="G50" i="87"/>
  <c r="D301" i="87"/>
  <c r="I131" i="87"/>
  <c r="I147" i="87"/>
  <c r="I98" i="87"/>
  <c r="I111" i="87"/>
  <c r="G42" i="87"/>
  <c r="I64" i="91"/>
  <c r="I113" i="91"/>
  <c r="D102" i="92"/>
  <c r="D251" i="92" s="1"/>
  <c r="I172" i="89"/>
  <c r="I147" i="89"/>
  <c r="I118" i="89"/>
  <c r="I88" i="89"/>
  <c r="G58" i="89"/>
  <c r="I163" i="89"/>
  <c r="I92" i="89"/>
  <c r="I110" i="89"/>
  <c r="I98" i="89"/>
  <c r="G42" i="89"/>
  <c r="I158" i="89"/>
  <c r="I112" i="89"/>
  <c r="I80" i="89"/>
  <c r="I74" i="89"/>
  <c r="G14" i="89"/>
  <c r="I156" i="89"/>
  <c r="I100" i="89"/>
  <c r="I78" i="89"/>
  <c r="I72" i="89"/>
  <c r="G12" i="89"/>
  <c r="D301" i="89"/>
  <c r="I179" i="89"/>
  <c r="I144" i="89"/>
  <c r="I169" i="89"/>
  <c r="I134" i="89"/>
  <c r="I119" i="89"/>
  <c r="I76" i="89"/>
  <c r="I99" i="89"/>
  <c r="G60" i="89"/>
  <c r="I164" i="89"/>
  <c r="I125" i="89"/>
  <c r="I105" i="89"/>
  <c r="I97" i="89"/>
  <c r="I152" i="89"/>
  <c r="I178" i="89"/>
  <c r="I93" i="89"/>
  <c r="I83" i="89"/>
  <c r="I75" i="89"/>
  <c r="G16" i="89"/>
  <c r="I150" i="89"/>
  <c r="I173" i="89"/>
  <c r="I180" i="89"/>
  <c r="I81" i="89"/>
  <c r="D138" i="94"/>
  <c r="D263" i="94" s="1"/>
  <c r="E183" i="85"/>
  <c r="D183" i="85" s="1"/>
  <c r="D278" i="85" s="1"/>
  <c r="I182" i="91"/>
  <c r="I118" i="91"/>
  <c r="I145" i="91"/>
  <c r="I115" i="91"/>
  <c r="G42" i="91"/>
  <c r="I146" i="91"/>
  <c r="I164" i="91"/>
  <c r="I83" i="91"/>
  <c r="I63" i="91"/>
  <c r="I132" i="91"/>
  <c r="I112" i="91"/>
  <c r="I117" i="91"/>
  <c r="G62" i="91"/>
  <c r="I68" i="91"/>
  <c r="I154" i="91"/>
  <c r="I110" i="91"/>
  <c r="I111" i="91"/>
  <c r="I71" i="91"/>
  <c r="I67" i="91"/>
  <c r="D301" i="91"/>
  <c r="I142" i="91"/>
  <c r="I109" i="91"/>
  <c r="I101" i="91"/>
  <c r="I70" i="91"/>
  <c r="G44" i="91"/>
  <c r="I179" i="91"/>
  <c r="I180" i="91"/>
  <c r="I130" i="91"/>
  <c r="I86" i="91"/>
  <c r="G38" i="91"/>
  <c r="G28" i="91"/>
  <c r="I169" i="91"/>
  <c r="I159" i="91"/>
  <c r="I125" i="91"/>
  <c r="I84" i="91"/>
  <c r="G30" i="91"/>
  <c r="G16" i="91"/>
  <c r="I167" i="91"/>
  <c r="I150" i="91"/>
  <c r="I103" i="91"/>
  <c r="I135" i="91"/>
  <c r="G54" i="91"/>
  <c r="I82" i="91"/>
  <c r="I155" i="91"/>
  <c r="I162" i="91"/>
  <c r="I140" i="91"/>
  <c r="I121" i="91"/>
  <c r="G20" i="91"/>
  <c r="G26" i="91"/>
  <c r="I153" i="91"/>
  <c r="I161" i="91"/>
  <c r="I119" i="91"/>
  <c r="I105" i="91"/>
  <c r="I93" i="91"/>
  <c r="D165" i="94"/>
  <c r="D272" i="94" s="1"/>
  <c r="D287" i="93"/>
  <c r="E214" i="93"/>
  <c r="D214" i="93" s="1"/>
  <c r="D290" i="93" s="1"/>
  <c r="D156" i="92"/>
  <c r="D269" i="92" s="1"/>
  <c r="D159" i="93"/>
  <c r="D270" i="93" s="1"/>
  <c r="D177" i="94"/>
  <c r="D276" i="94" s="1"/>
  <c r="D214" i="91"/>
  <c r="D290" i="91" s="1"/>
  <c r="E188" i="92"/>
  <c r="D188" i="92" s="1"/>
  <c r="D280" i="92" s="1"/>
  <c r="D129" i="92"/>
  <c r="D260" i="92" s="1"/>
  <c r="D63" i="93"/>
  <c r="D238" i="93" s="1"/>
  <c r="E194" i="94"/>
  <c r="D194" i="94" s="1"/>
  <c r="D285" i="94" s="1"/>
  <c r="D45" i="91"/>
  <c r="D183" i="74"/>
  <c r="D278" i="74" s="1"/>
  <c r="D120" i="93"/>
  <c r="D257" i="93" s="1"/>
  <c r="E198" i="92"/>
  <c r="D198" i="92" s="1"/>
  <c r="D286" i="92" s="1"/>
  <c r="I179" i="88"/>
  <c r="D301" i="88"/>
  <c r="I172" i="88"/>
  <c r="I113" i="88"/>
  <c r="I80" i="88"/>
  <c r="I106" i="88"/>
  <c r="I85" i="88"/>
  <c r="I153" i="88"/>
  <c r="I87" i="88"/>
  <c r="I148" i="88"/>
  <c r="G54" i="88"/>
  <c r="G30" i="88"/>
  <c r="D45" i="92"/>
  <c r="D235" i="92" s="1"/>
  <c r="D194" i="91"/>
  <c r="D285" i="91" s="1"/>
  <c r="E126" i="94"/>
  <c r="D126" i="94" s="1"/>
  <c r="D259" i="94" s="1"/>
  <c r="D27" i="93"/>
  <c r="D232" i="93" s="1"/>
  <c r="D78" i="91"/>
  <c r="D243" i="91" s="1"/>
  <c r="H11" i="92"/>
  <c r="H132" i="93"/>
  <c r="H72" i="93"/>
  <c r="H45" i="94"/>
  <c r="H147" i="94"/>
  <c r="E296" i="92"/>
  <c r="D300" i="93"/>
  <c r="AB6" i="93" s="1"/>
  <c r="E180" i="94"/>
  <c r="D180" i="94" s="1"/>
  <c r="D277" i="94" s="1"/>
  <c r="H21" i="92"/>
  <c r="E194" i="92"/>
  <c r="D194" i="92" s="1"/>
  <c r="D285" i="92" s="1"/>
  <c r="H153" i="93"/>
  <c r="H114" i="93"/>
  <c r="H117" i="94"/>
  <c r="H141" i="94"/>
  <c r="AI19" i="92"/>
  <c r="H214" i="92" s="1"/>
  <c r="E300" i="92"/>
  <c r="D296" i="94"/>
  <c r="X6" i="94" s="1"/>
  <c r="H9" i="92"/>
  <c r="H187" i="93"/>
  <c r="H75" i="94"/>
  <c r="H31" i="94"/>
  <c r="H183" i="94"/>
  <c r="E194" i="93"/>
  <c r="D194" i="93" s="1"/>
  <c r="D285" i="93" s="1"/>
  <c r="D300" i="94"/>
  <c r="AB6" i="94" s="1"/>
  <c r="D183" i="83"/>
  <c r="D278" i="83" s="1"/>
  <c r="AI20" i="92"/>
  <c r="AJ14" i="92"/>
  <c r="AJ15" i="92"/>
  <c r="AJ16" i="92"/>
  <c r="E177" i="92"/>
  <c r="D177" i="92" s="1"/>
  <c r="D276" i="92" s="1"/>
  <c r="D141" i="93"/>
  <c r="D264" i="93" s="1"/>
  <c r="E39" i="93"/>
  <c r="D39" i="93" s="1"/>
  <c r="D234" i="93" s="1"/>
  <c r="E191" i="94"/>
  <c r="D191" i="94" s="1"/>
  <c r="D283" i="94" s="1"/>
  <c r="D84" i="94"/>
  <c r="D245" i="94" s="1"/>
  <c r="E102" i="94"/>
  <c r="D102" i="94" s="1"/>
  <c r="D251" i="94" s="1"/>
  <c r="H57" i="92"/>
  <c r="H180" i="93"/>
  <c r="H123" i="94"/>
  <c r="E123" i="94" s="1"/>
  <c r="H15" i="94"/>
  <c r="AJ17" i="92"/>
  <c r="H47" i="92"/>
  <c r="H191" i="93"/>
  <c r="H192" i="94"/>
  <c r="H29" i="94"/>
  <c r="D297" i="93"/>
  <c r="Y6" i="93" s="1"/>
  <c r="D297" i="94"/>
  <c r="Y6" i="94" s="1"/>
  <c r="AJ18" i="92"/>
  <c r="AI18" i="92"/>
  <c r="AJ19" i="92"/>
  <c r="H117" i="92"/>
  <c r="H55" i="93"/>
  <c r="H13" i="94"/>
  <c r="H156" i="94"/>
  <c r="H27" i="94"/>
  <c r="AJ20" i="92"/>
  <c r="H90" i="92"/>
  <c r="H15" i="93"/>
  <c r="H33" i="94"/>
  <c r="H108" i="94"/>
  <c r="H39" i="94"/>
  <c r="AJ13" i="93"/>
  <c r="AJ20" i="74"/>
  <c r="AJ14" i="93"/>
  <c r="AJ15" i="93"/>
  <c r="E9" i="94"/>
  <c r="D9" i="94" s="1"/>
  <c r="H138" i="92"/>
  <c r="H31" i="93"/>
  <c r="H59" i="94"/>
  <c r="H188" i="94"/>
  <c r="H41" i="94"/>
  <c r="E297" i="92"/>
  <c r="H198" i="94"/>
  <c r="AJ16" i="93"/>
  <c r="AJ17" i="93"/>
  <c r="AJ18" i="93"/>
  <c r="H25" i="92"/>
  <c r="H171" i="92"/>
  <c r="H111" i="93"/>
  <c r="H21" i="94"/>
  <c r="H78" i="94"/>
  <c r="D298" i="92"/>
  <c r="Z6" i="92" s="1"/>
  <c r="D183" i="81"/>
  <c r="D278" i="81" s="1"/>
  <c r="AJ19" i="93"/>
  <c r="AJ20" i="93"/>
  <c r="E297" i="93"/>
  <c r="H198" i="93"/>
  <c r="AJ13" i="94"/>
  <c r="AJ14" i="94"/>
  <c r="AJ15" i="94"/>
  <c r="AJ16" i="94"/>
  <c r="AJ17" i="94"/>
  <c r="E171" i="94"/>
  <c r="D171" i="94" s="1"/>
  <c r="D274" i="94" s="1"/>
  <c r="E51" i="94"/>
  <c r="D51" i="94" s="1"/>
  <c r="D236" i="94" s="1"/>
  <c r="D299" i="93"/>
  <c r="AA6" i="93" s="1"/>
  <c r="AJ18" i="94"/>
  <c r="AJ19" i="94"/>
  <c r="U57" i="94"/>
  <c r="U58" i="94" s="1"/>
  <c r="E281" i="82" l="1"/>
  <c r="E282" i="82"/>
  <c r="D244" i="89"/>
  <c r="E244" i="89" s="1"/>
  <c r="E282" i="89"/>
  <c r="E281" i="89"/>
  <c r="E187" i="93"/>
  <c r="H189" i="93"/>
  <c r="E282" i="83"/>
  <c r="E281" i="83"/>
  <c r="E281" i="91"/>
  <c r="E282" i="91"/>
  <c r="E281" i="84"/>
  <c r="E282" i="84"/>
  <c r="E281" i="81"/>
  <c r="E282" i="81"/>
  <c r="E282" i="74"/>
  <c r="E281" i="74"/>
  <c r="E188" i="94"/>
  <c r="H190" i="94"/>
  <c r="E190" i="94" s="1"/>
  <c r="D190" i="94" s="1"/>
  <c r="D282" i="94" s="1"/>
  <c r="E282" i="85"/>
  <c r="E281" i="85"/>
  <c r="E282" i="88"/>
  <c r="E281" i="87"/>
  <c r="H210" i="92"/>
  <c r="H206" i="92"/>
  <c r="D291" i="92" s="1"/>
  <c r="H202" i="92"/>
  <c r="E289" i="89"/>
  <c r="E234" i="87"/>
  <c r="E288" i="88"/>
  <c r="E289" i="88"/>
  <c r="E289" i="87"/>
  <c r="E289" i="82"/>
  <c r="E288" i="83"/>
  <c r="E289" i="83"/>
  <c r="E289" i="85"/>
  <c r="E289" i="84"/>
  <c r="E289" i="91"/>
  <c r="E289" i="74"/>
  <c r="E289" i="81"/>
  <c r="D277" i="89"/>
  <c r="E288" i="89"/>
  <c r="E288" i="87"/>
  <c r="D230" i="82"/>
  <c r="E230" i="82" s="1"/>
  <c r="E288" i="82"/>
  <c r="D231" i="85"/>
  <c r="E231" i="85" s="1"/>
  <c r="E288" i="85"/>
  <c r="E288" i="84"/>
  <c r="D235" i="91"/>
  <c r="E235" i="91" s="1"/>
  <c r="E288" i="91"/>
  <c r="D229" i="94"/>
  <c r="E229" i="94" s="1"/>
  <c r="D229" i="74"/>
  <c r="E229" i="74" s="1"/>
  <c r="E288" i="74"/>
  <c r="E288" i="81"/>
  <c r="E269" i="87"/>
  <c r="E265" i="74"/>
  <c r="E232" i="81"/>
  <c r="E249" i="87"/>
  <c r="E245" i="88"/>
  <c r="E257" i="88"/>
  <c r="E241" i="82"/>
  <c r="E235" i="82"/>
  <c r="E277" i="85"/>
  <c r="E249" i="88"/>
  <c r="E236" i="85"/>
  <c r="E277" i="81"/>
  <c r="E271" i="83"/>
  <c r="E250" i="84"/>
  <c r="E272" i="84"/>
  <c r="E260" i="74"/>
  <c r="E261" i="85"/>
  <c r="E278" i="81"/>
  <c r="E248" i="88"/>
  <c r="E252" i="84"/>
  <c r="E278" i="85"/>
  <c r="E274" i="83"/>
  <c r="E246" i="74"/>
  <c r="E244" i="74"/>
  <c r="E244" i="83"/>
  <c r="E255" i="91"/>
  <c r="E287" i="81"/>
  <c r="E260" i="82"/>
  <c r="E272" i="74"/>
  <c r="E267" i="88"/>
  <c r="E275" i="74"/>
  <c r="E255" i="82"/>
  <c r="D236" i="82"/>
  <c r="E236" i="82" s="1"/>
  <c r="E278" i="82"/>
  <c r="E290" i="81"/>
  <c r="E279" i="74"/>
  <c r="D287" i="94"/>
  <c r="H177" i="93"/>
  <c r="H25" i="93"/>
  <c r="H165" i="93"/>
  <c r="H59" i="93"/>
  <c r="H188" i="93"/>
  <c r="H190" i="93" s="1"/>
  <c r="E190" i="93" s="1"/>
  <c r="D190" i="93" s="1"/>
  <c r="D282" i="93" s="1"/>
  <c r="H47" i="93"/>
  <c r="H156" i="93"/>
  <c r="H69" i="93"/>
  <c r="H192" i="93"/>
  <c r="H9" i="93"/>
  <c r="H138" i="93"/>
  <c r="H108" i="93"/>
  <c r="H123" i="93"/>
  <c r="H57" i="93"/>
  <c r="H81" i="93"/>
  <c r="H49" i="93"/>
  <c r="H144" i="93"/>
  <c r="H61" i="93"/>
  <c r="H33" i="93"/>
  <c r="H129" i="93"/>
  <c r="H90" i="93"/>
  <c r="H75" i="93"/>
  <c r="H35" i="93"/>
  <c r="H102" i="93"/>
  <c r="H45" i="93"/>
  <c r="H171" i="93"/>
  <c r="H150" i="93"/>
  <c r="H117" i="93"/>
  <c r="H96" i="93"/>
  <c r="H37" i="93"/>
  <c r="H23" i="93"/>
  <c r="H13" i="93"/>
  <c r="H66" i="93"/>
  <c r="H21" i="93"/>
  <c r="H11" i="93"/>
  <c r="E15" i="93"/>
  <c r="D15" i="93" s="1"/>
  <c r="D230" i="93" s="1"/>
  <c r="E21" i="92"/>
  <c r="D21" i="92" s="1"/>
  <c r="D231" i="92" s="1"/>
  <c r="E279" i="81"/>
  <c r="E238" i="88"/>
  <c r="E255" i="85"/>
  <c r="E254" i="91"/>
  <c r="E258" i="85"/>
  <c r="E271" i="89"/>
  <c r="E251" i="81"/>
  <c r="E237" i="85"/>
  <c r="E248" i="74"/>
  <c r="E247" i="84"/>
  <c r="E235" i="88"/>
  <c r="E267" i="89"/>
  <c r="E261" i="83"/>
  <c r="E279" i="89"/>
  <c r="E239" i="83"/>
  <c r="E264" i="74"/>
  <c r="E90" i="92"/>
  <c r="D90" i="92" s="1"/>
  <c r="D247" i="92" s="1"/>
  <c r="E272" i="81"/>
  <c r="E259" i="91"/>
  <c r="E280" i="83"/>
  <c r="E274" i="91"/>
  <c r="E232" i="84"/>
  <c r="E255" i="89"/>
  <c r="E254" i="89"/>
  <c r="E271" i="85"/>
  <c r="E234" i="81"/>
  <c r="E259" i="84"/>
  <c r="E237" i="87"/>
  <c r="E260" i="85"/>
  <c r="E265" i="87"/>
  <c r="E274" i="88"/>
  <c r="E239" i="82"/>
  <c r="E272" i="82"/>
  <c r="E273" i="83"/>
  <c r="E78" i="94"/>
  <c r="D78" i="94" s="1"/>
  <c r="D243" i="94" s="1"/>
  <c r="E260" i="91"/>
  <c r="E258" i="87"/>
  <c r="E279" i="82"/>
  <c r="E250" i="88"/>
  <c r="E244" i="91"/>
  <c r="E240" i="83"/>
  <c r="E268" i="84"/>
  <c r="E232" i="88"/>
  <c r="E267" i="85"/>
  <c r="E270" i="83"/>
  <c r="E238" i="84"/>
  <c r="E251" i="84"/>
  <c r="E263" i="89"/>
  <c r="E242" i="82"/>
  <c r="E231" i="84"/>
  <c r="E252" i="87"/>
  <c r="E263" i="81"/>
  <c r="E274" i="87"/>
  <c r="E235" i="84"/>
  <c r="E250" i="82"/>
  <c r="E21" i="94"/>
  <c r="D21" i="94" s="1"/>
  <c r="D231" i="94" s="1"/>
  <c r="H63" i="94"/>
  <c r="H135" i="94"/>
  <c r="H72" i="94"/>
  <c r="H168" i="94"/>
  <c r="H120" i="94"/>
  <c r="H162" i="94"/>
  <c r="H114" i="94"/>
  <c r="E284" i="82"/>
  <c r="E287" i="88"/>
  <c r="E266" i="87"/>
  <c r="E230" i="83"/>
  <c r="E232" i="83"/>
  <c r="E234" i="84"/>
  <c r="E270" i="84"/>
  <c r="E234" i="83"/>
  <c r="E254" i="82"/>
  <c r="E271" i="87"/>
  <c r="E253" i="83"/>
  <c r="E271" i="91"/>
  <c r="E276" i="84"/>
  <c r="E233" i="87"/>
  <c r="E254" i="85"/>
  <c r="E279" i="84"/>
  <c r="E247" i="82"/>
  <c r="E111" i="93"/>
  <c r="D111" i="93" s="1"/>
  <c r="D254" i="93" s="1"/>
  <c r="I135" i="93"/>
  <c r="I93" i="93"/>
  <c r="I139" i="93"/>
  <c r="I111" i="93"/>
  <c r="G12" i="93"/>
  <c r="I179" i="93"/>
  <c r="I83" i="93"/>
  <c r="I124" i="93"/>
  <c r="I109" i="93"/>
  <c r="I114" i="93"/>
  <c r="I169" i="93"/>
  <c r="I81" i="93"/>
  <c r="I146" i="93"/>
  <c r="I108" i="93"/>
  <c r="G46" i="93"/>
  <c r="I157" i="93"/>
  <c r="I131" i="93"/>
  <c r="I74" i="93"/>
  <c r="I102" i="93"/>
  <c r="G24" i="93"/>
  <c r="I181" i="93"/>
  <c r="I115" i="93"/>
  <c r="G44" i="93"/>
  <c r="I100" i="93"/>
  <c r="G16" i="93"/>
  <c r="I160" i="93"/>
  <c r="I91" i="93"/>
  <c r="I87" i="93"/>
  <c r="I92" i="93"/>
  <c r="I121" i="93"/>
  <c r="I136" i="93"/>
  <c r="I164" i="93"/>
  <c r="I70" i="93"/>
  <c r="I73" i="93"/>
  <c r="I67" i="93"/>
  <c r="I175" i="93"/>
  <c r="I167" i="93"/>
  <c r="I130" i="93"/>
  <c r="I163" i="93"/>
  <c r="I165" i="93"/>
  <c r="I152" i="93"/>
  <c r="I99" i="93"/>
  <c r="G28" i="93"/>
  <c r="G18" i="93"/>
  <c r="D301" i="93"/>
  <c r="I168" i="93"/>
  <c r="I153" i="93"/>
  <c r="I143" i="93"/>
  <c r="I96" i="93"/>
  <c r="I110" i="93"/>
  <c r="I112" i="93"/>
  <c r="I158" i="93"/>
  <c r="I162" i="93"/>
  <c r="I142" i="93"/>
  <c r="I90" i="93"/>
  <c r="I68" i="93"/>
  <c r="I104" i="93"/>
  <c r="I156" i="93"/>
  <c r="I134" i="93"/>
  <c r="I129" i="93"/>
  <c r="I89" i="93"/>
  <c r="G10" i="93"/>
  <c r="G60" i="93"/>
  <c r="I178" i="93"/>
  <c r="I133" i="93"/>
  <c r="I118" i="93"/>
  <c r="I88" i="93"/>
  <c r="I66" i="93"/>
  <c r="I166" i="93"/>
  <c r="I138" i="93"/>
  <c r="I106" i="93"/>
  <c r="I86" i="93"/>
  <c r="G42" i="93"/>
  <c r="I154" i="93"/>
  <c r="I128" i="93"/>
  <c r="I94" i="93"/>
  <c r="I80" i="93"/>
  <c r="G22" i="93"/>
  <c r="I180" i="93"/>
  <c r="I176" i="93"/>
  <c r="I82" i="93"/>
  <c r="I79" i="93"/>
  <c r="I76" i="93"/>
  <c r="I173" i="93"/>
  <c r="I151" i="93"/>
  <c r="I126" i="93"/>
  <c r="I77" i="93"/>
  <c r="G62" i="93"/>
  <c r="I171" i="93"/>
  <c r="I132" i="93"/>
  <c r="I122" i="93"/>
  <c r="I75" i="93"/>
  <c r="G50" i="93"/>
  <c r="I159" i="93"/>
  <c r="I117" i="93"/>
  <c r="I140" i="93"/>
  <c r="I63" i="93"/>
  <c r="I78" i="93"/>
  <c r="I149" i="93"/>
  <c r="I107" i="93"/>
  <c r="I71" i="93"/>
  <c r="G56" i="93"/>
  <c r="I64" i="93"/>
  <c r="I147" i="93"/>
  <c r="I98" i="93"/>
  <c r="I137" i="93"/>
  <c r="I84" i="93"/>
  <c r="I145" i="93"/>
  <c r="G38" i="93"/>
  <c r="I172" i="93"/>
  <c r="G54" i="93"/>
  <c r="I148" i="93"/>
  <c r="G26" i="93"/>
  <c r="I177" i="93"/>
  <c r="I123" i="93"/>
  <c r="I155" i="93"/>
  <c r="G52" i="93"/>
  <c r="I119" i="93"/>
  <c r="G14" i="93"/>
  <c r="I105" i="93"/>
  <c r="G20" i="93"/>
  <c r="I95" i="93"/>
  <c r="I150" i="93"/>
  <c r="I127" i="93"/>
  <c r="I113" i="93"/>
  <c r="I103" i="93"/>
  <c r="G34" i="93"/>
  <c r="I174" i="93"/>
  <c r="G30" i="93"/>
  <c r="I141" i="93"/>
  <c r="I120" i="93"/>
  <c r="I144" i="93"/>
  <c r="I116" i="93"/>
  <c r="I69" i="93"/>
  <c r="G32" i="93"/>
  <c r="I72" i="93"/>
  <c r="G36" i="93"/>
  <c r="I85" i="93"/>
  <c r="G58" i="93"/>
  <c r="I125" i="93"/>
  <c r="I97" i="93"/>
  <c r="I65" i="93"/>
  <c r="I182" i="93"/>
  <c r="G48" i="93"/>
  <c r="I170" i="93"/>
  <c r="G40" i="93"/>
  <c r="I161" i="93"/>
  <c r="I101" i="93"/>
  <c r="E278" i="91"/>
  <c r="E251" i="83"/>
  <c r="E234" i="88"/>
  <c r="E287" i="91"/>
  <c r="E249" i="74"/>
  <c r="E236" i="81"/>
  <c r="E248" i="83"/>
  <c r="E267" i="84"/>
  <c r="E252" i="74"/>
  <c r="E269" i="91"/>
  <c r="E264" i="82"/>
  <c r="E280" i="91"/>
  <c r="E275" i="83"/>
  <c r="E264" i="85"/>
  <c r="E268" i="83"/>
  <c r="E276" i="82"/>
  <c r="E241" i="74"/>
  <c r="E171" i="92"/>
  <c r="D171" i="92" s="1"/>
  <c r="D274" i="92" s="1"/>
  <c r="E27" i="94"/>
  <c r="D27" i="94" s="1"/>
  <c r="D232" i="94" s="1"/>
  <c r="E237" i="91"/>
  <c r="E251" i="85"/>
  <c r="E251" i="91"/>
  <c r="E251" i="74"/>
  <c r="E238" i="74"/>
  <c r="E240" i="81"/>
  <c r="E266" i="83"/>
  <c r="E269" i="82"/>
  <c r="E246" i="87"/>
  <c r="E279" i="85"/>
  <c r="E247" i="74"/>
  <c r="E274" i="74"/>
  <c r="E280" i="81"/>
  <c r="E244" i="84"/>
  <c r="E156" i="94"/>
  <c r="D156" i="94" s="1"/>
  <c r="D269" i="94" s="1"/>
  <c r="E236" i="91"/>
  <c r="E290" i="83"/>
  <c r="D229" i="83"/>
  <c r="E229" i="83" s="1"/>
  <c r="E284" i="83"/>
  <c r="E285" i="83"/>
  <c r="E285" i="89"/>
  <c r="E238" i="85"/>
  <c r="E283" i="81"/>
  <c r="E262" i="83"/>
  <c r="E269" i="84"/>
  <c r="E273" i="89"/>
  <c r="E262" i="81"/>
  <c r="E244" i="87"/>
  <c r="E241" i="91"/>
  <c r="E249" i="82"/>
  <c r="E232" i="82"/>
  <c r="E236" i="74"/>
  <c r="E258" i="84"/>
  <c r="E263" i="74"/>
  <c r="E239" i="81"/>
  <c r="E270" i="82"/>
  <c r="E285" i="88"/>
  <c r="E278" i="88"/>
  <c r="D229" i="88"/>
  <c r="E229" i="88" s="1"/>
  <c r="E286" i="89"/>
  <c r="E247" i="87"/>
  <c r="E276" i="88"/>
  <c r="E254" i="74"/>
  <c r="E279" i="88"/>
  <c r="E242" i="84"/>
  <c r="E237" i="83"/>
  <c r="E254" i="88"/>
  <c r="E277" i="91"/>
  <c r="E259" i="87"/>
  <c r="E257" i="74"/>
  <c r="E244" i="81"/>
  <c r="E271" i="88"/>
  <c r="E241" i="83"/>
  <c r="E275" i="82"/>
  <c r="E256" i="81"/>
  <c r="E283" i="85"/>
  <c r="E290" i="82"/>
  <c r="E240" i="91"/>
  <c r="E246" i="91"/>
  <c r="E276" i="87"/>
  <c r="E283" i="91"/>
  <c r="E252" i="83"/>
  <c r="E265" i="82"/>
  <c r="E252" i="88"/>
  <c r="E256" i="85"/>
  <c r="E251" i="89"/>
  <c r="E255" i="88"/>
  <c r="E239" i="84"/>
  <c r="E245" i="91"/>
  <c r="E263" i="82"/>
  <c r="E264" i="81"/>
  <c r="E240" i="84"/>
  <c r="E117" i="92"/>
  <c r="D117" i="92" s="1"/>
  <c r="D256" i="92" s="1"/>
  <c r="E147" i="94"/>
  <c r="D147" i="94" s="1"/>
  <c r="D266" i="94" s="1"/>
  <c r="E254" i="84"/>
  <c r="E273" i="85"/>
  <c r="E248" i="91"/>
  <c r="E254" i="87"/>
  <c r="E277" i="87"/>
  <c r="E287" i="89"/>
  <c r="E252" i="89"/>
  <c r="E243" i="83"/>
  <c r="E253" i="82"/>
  <c r="E276" i="85"/>
  <c r="E259" i="88"/>
  <c r="E242" i="87"/>
  <c r="E272" i="89"/>
  <c r="E258" i="81"/>
  <c r="E290" i="89"/>
  <c r="E255" i="84"/>
  <c r="E253" i="91"/>
  <c r="E256" i="74"/>
  <c r="E260" i="84"/>
  <c r="E256" i="82"/>
  <c r="E198" i="94"/>
  <c r="D198" i="94" s="1"/>
  <c r="D286" i="94" s="1"/>
  <c r="I144" i="92"/>
  <c r="I155" i="92"/>
  <c r="I117" i="92"/>
  <c r="G34" i="92"/>
  <c r="I77" i="92"/>
  <c r="I134" i="92"/>
  <c r="I153" i="92"/>
  <c r="I107" i="92"/>
  <c r="G14" i="92"/>
  <c r="G58" i="92"/>
  <c r="I132" i="92"/>
  <c r="I143" i="92"/>
  <c r="I105" i="92"/>
  <c r="G12" i="92"/>
  <c r="G26" i="92"/>
  <c r="I178" i="92"/>
  <c r="I141" i="92"/>
  <c r="I95" i="92"/>
  <c r="I106" i="92"/>
  <c r="I99" i="92"/>
  <c r="I166" i="92"/>
  <c r="I162" i="92"/>
  <c r="I93" i="92"/>
  <c r="G32" i="92"/>
  <c r="I97" i="92"/>
  <c r="I154" i="92"/>
  <c r="I152" i="92"/>
  <c r="I83" i="92"/>
  <c r="G24" i="92"/>
  <c r="I90" i="92"/>
  <c r="I142" i="92"/>
  <c r="I129" i="92"/>
  <c r="I81" i="92"/>
  <c r="G20" i="92"/>
  <c r="I89" i="92"/>
  <c r="I180" i="92"/>
  <c r="I125" i="92"/>
  <c r="I71" i="92"/>
  <c r="I104" i="92"/>
  <c r="I80" i="92"/>
  <c r="I173" i="92"/>
  <c r="I123" i="92"/>
  <c r="I174" i="92"/>
  <c r="I70" i="92"/>
  <c r="I65" i="92"/>
  <c r="I171" i="92"/>
  <c r="I113" i="92"/>
  <c r="I164" i="92"/>
  <c r="I67" i="92"/>
  <c r="I63" i="92"/>
  <c r="I161" i="92"/>
  <c r="I111" i="92"/>
  <c r="I127" i="92"/>
  <c r="G62" i="92"/>
  <c r="G56" i="92"/>
  <c r="I159" i="92"/>
  <c r="I130" i="92"/>
  <c r="I115" i="92"/>
  <c r="G54" i="92"/>
  <c r="G48" i="92"/>
  <c r="I149" i="92"/>
  <c r="I121" i="92"/>
  <c r="I103" i="92"/>
  <c r="G46" i="92"/>
  <c r="G40" i="92"/>
  <c r="I147" i="92"/>
  <c r="I109" i="92"/>
  <c r="I138" i="92"/>
  <c r="G18" i="92"/>
  <c r="G10" i="92"/>
  <c r="G60" i="92"/>
  <c r="I137" i="92"/>
  <c r="I176" i="92"/>
  <c r="I133" i="92"/>
  <c r="I82" i="92"/>
  <c r="I118" i="92"/>
  <c r="G52" i="92"/>
  <c r="I135" i="92"/>
  <c r="I128" i="92"/>
  <c r="I122" i="92"/>
  <c r="I79" i="92"/>
  <c r="I102" i="92"/>
  <c r="D301" i="92"/>
  <c r="I66" i="92"/>
  <c r="I179" i="92"/>
  <c r="I126" i="92"/>
  <c r="I120" i="92"/>
  <c r="I75" i="92"/>
  <c r="I101" i="92"/>
  <c r="I68" i="92"/>
  <c r="I169" i="92"/>
  <c r="I116" i="92"/>
  <c r="I110" i="92"/>
  <c r="I73" i="92"/>
  <c r="I92" i="92"/>
  <c r="I182" i="92"/>
  <c r="I157" i="92"/>
  <c r="I114" i="92"/>
  <c r="I108" i="92"/>
  <c r="I69" i="92"/>
  <c r="G38" i="92"/>
  <c r="I175" i="92"/>
  <c r="I145" i="92"/>
  <c r="I150" i="92"/>
  <c r="I98" i="92"/>
  <c r="G44" i="92"/>
  <c r="G30" i="92"/>
  <c r="I163" i="92"/>
  <c r="I181" i="92"/>
  <c r="I140" i="92"/>
  <c r="I96" i="92"/>
  <c r="G36" i="92"/>
  <c r="G22" i="92"/>
  <c r="I151" i="92"/>
  <c r="I172" i="92"/>
  <c r="I124" i="92"/>
  <c r="I86" i="92"/>
  <c r="G28" i="92"/>
  <c r="I139" i="92"/>
  <c r="I160" i="92"/>
  <c r="I112" i="92"/>
  <c r="I84" i="92"/>
  <c r="G16" i="92"/>
  <c r="I170" i="92"/>
  <c r="I148" i="92"/>
  <c r="I100" i="92"/>
  <c r="I74" i="92"/>
  <c r="I94" i="92"/>
  <c r="I168" i="92"/>
  <c r="I136" i="92"/>
  <c r="I88" i="92"/>
  <c r="I72" i="92"/>
  <c r="I91" i="92"/>
  <c r="I158" i="92"/>
  <c r="I177" i="92"/>
  <c r="I76" i="92"/>
  <c r="I64" i="92"/>
  <c r="I87" i="92"/>
  <c r="I156" i="92"/>
  <c r="I167" i="92"/>
  <c r="I131" i="92"/>
  <c r="G50" i="92"/>
  <c r="I85" i="92"/>
  <c r="I119" i="92"/>
  <c r="G42" i="92"/>
  <c r="I78" i="92"/>
  <c r="I146" i="92"/>
  <c r="I165" i="92"/>
  <c r="E45" i="94"/>
  <c r="D45" i="94" s="1"/>
  <c r="D235" i="94" s="1"/>
  <c r="E278" i="74"/>
  <c r="E236" i="83"/>
  <c r="E248" i="84"/>
  <c r="E278" i="89"/>
  <c r="E286" i="83"/>
  <c r="E245" i="89"/>
  <c r="E231" i="82"/>
  <c r="E267" i="82"/>
  <c r="E243" i="84"/>
  <c r="E251" i="88"/>
  <c r="E287" i="85"/>
  <c r="E251" i="87"/>
  <c r="E239" i="85"/>
  <c r="E284" i="88"/>
  <c r="E290" i="87"/>
  <c r="E250" i="83"/>
  <c r="E248" i="81"/>
  <c r="E250" i="81"/>
  <c r="D301" i="94"/>
  <c r="I132" i="94"/>
  <c r="I123" i="94"/>
  <c r="I105" i="94"/>
  <c r="G60" i="94"/>
  <c r="I136" i="94"/>
  <c r="I178" i="94"/>
  <c r="I113" i="94"/>
  <c r="I115" i="94"/>
  <c r="G52" i="94"/>
  <c r="I82" i="94"/>
  <c r="I166" i="94"/>
  <c r="I111" i="94"/>
  <c r="I89" i="94"/>
  <c r="I145" i="94"/>
  <c r="G32" i="94"/>
  <c r="I180" i="94"/>
  <c r="I101" i="94"/>
  <c r="I87" i="94"/>
  <c r="I122" i="94"/>
  <c r="G24" i="94"/>
  <c r="I173" i="94"/>
  <c r="I99" i="94"/>
  <c r="I77" i="94"/>
  <c r="I88" i="94"/>
  <c r="G20" i="94"/>
  <c r="I171" i="94"/>
  <c r="I177" i="94"/>
  <c r="I75" i="94"/>
  <c r="I76" i="94"/>
  <c r="I79" i="94"/>
  <c r="I161" i="94"/>
  <c r="I167" i="94"/>
  <c r="I65" i="94"/>
  <c r="I64" i="94"/>
  <c r="G18" i="94"/>
  <c r="I159" i="94"/>
  <c r="I155" i="94"/>
  <c r="I63" i="94"/>
  <c r="G50" i="94"/>
  <c r="I179" i="94"/>
  <c r="I149" i="94"/>
  <c r="I121" i="94"/>
  <c r="G56" i="94"/>
  <c r="I165" i="94"/>
  <c r="I108" i="94"/>
  <c r="I147" i="94"/>
  <c r="I109" i="94"/>
  <c r="G48" i="94"/>
  <c r="I129" i="94"/>
  <c r="I94" i="94"/>
  <c r="I137" i="94"/>
  <c r="I169" i="94"/>
  <c r="G40" i="94"/>
  <c r="I95" i="94"/>
  <c r="G46" i="94"/>
  <c r="I135" i="94"/>
  <c r="I131" i="94"/>
  <c r="I142" i="94"/>
  <c r="I93" i="94"/>
  <c r="G34" i="94"/>
  <c r="I176" i="94"/>
  <c r="I130" i="94"/>
  <c r="I138" i="94"/>
  <c r="I83" i="94"/>
  <c r="G28" i="94"/>
  <c r="I157" i="94"/>
  <c r="I128" i="94"/>
  <c r="I120" i="94"/>
  <c r="I81" i="94"/>
  <c r="G16" i="94"/>
  <c r="I154" i="94"/>
  <c r="I126" i="94"/>
  <c r="I110" i="94"/>
  <c r="I71" i="94"/>
  <c r="I91" i="94"/>
  <c r="I150" i="94"/>
  <c r="I116" i="94"/>
  <c r="I98" i="94"/>
  <c r="I69" i="94"/>
  <c r="G54" i="94"/>
  <c r="I182" i="94"/>
  <c r="I148" i="94"/>
  <c r="I114" i="94"/>
  <c r="I97" i="94"/>
  <c r="I96" i="94"/>
  <c r="G26" i="94"/>
  <c r="I175" i="94"/>
  <c r="I141" i="94"/>
  <c r="I104" i="94"/>
  <c r="I85" i="94"/>
  <c r="I86" i="94"/>
  <c r="G58" i="94"/>
  <c r="I163" i="94"/>
  <c r="I140" i="94"/>
  <c r="I102" i="94"/>
  <c r="I73" i="94"/>
  <c r="I84" i="94"/>
  <c r="G10" i="94"/>
  <c r="I151" i="94"/>
  <c r="I118" i="94"/>
  <c r="I174" i="94"/>
  <c r="G38" i="94"/>
  <c r="I74" i="94"/>
  <c r="G62" i="94"/>
  <c r="I139" i="94"/>
  <c r="I106" i="94"/>
  <c r="I164" i="94"/>
  <c r="I133" i="94"/>
  <c r="I72" i="94"/>
  <c r="G42" i="94"/>
  <c r="I170" i="94"/>
  <c r="I172" i="94"/>
  <c r="I124" i="94"/>
  <c r="I127" i="94"/>
  <c r="G44" i="94"/>
  <c r="G30" i="94"/>
  <c r="I168" i="94"/>
  <c r="I162" i="94"/>
  <c r="I112" i="94"/>
  <c r="I92" i="94"/>
  <c r="G36" i="94"/>
  <c r="G22" i="94"/>
  <c r="I158" i="94"/>
  <c r="I160" i="94"/>
  <c r="I100" i="94"/>
  <c r="I90" i="94"/>
  <c r="I103" i="94"/>
  <c r="I156" i="94"/>
  <c r="I153" i="94"/>
  <c r="I181" i="94"/>
  <c r="I80" i="94"/>
  <c r="I70" i="94"/>
  <c r="I146" i="94"/>
  <c r="I152" i="94"/>
  <c r="I119" i="94"/>
  <c r="I78" i="94"/>
  <c r="I67" i="94"/>
  <c r="I144" i="94"/>
  <c r="I143" i="94"/>
  <c r="I117" i="94"/>
  <c r="I68" i="94"/>
  <c r="G14" i="94"/>
  <c r="I134" i="94"/>
  <c r="I125" i="94"/>
  <c r="I107" i="94"/>
  <c r="I66" i="94"/>
  <c r="G12" i="94"/>
  <c r="E214" i="92"/>
  <c r="D214" i="92" s="1"/>
  <c r="D290" i="92" s="1"/>
  <c r="E278" i="83"/>
  <c r="E72" i="93"/>
  <c r="D72" i="93" s="1"/>
  <c r="D241" i="93" s="1"/>
  <c r="E243" i="85"/>
  <c r="E250" i="85"/>
  <c r="E242" i="81"/>
  <c r="E256" i="88"/>
  <c r="E273" i="81"/>
  <c r="E238" i="81"/>
  <c r="E277" i="82"/>
  <c r="E230" i="87"/>
  <c r="E277" i="84"/>
  <c r="E247" i="85"/>
  <c r="E249" i="84"/>
  <c r="E277" i="88"/>
  <c r="E271" i="82"/>
  <c r="E248" i="87"/>
  <c r="E284" i="81"/>
  <c r="E243" i="74"/>
  <c r="E132" i="93"/>
  <c r="D132" i="93" s="1"/>
  <c r="D261" i="93" s="1"/>
  <c r="E269" i="85"/>
  <c r="E249" i="85"/>
  <c r="E272" i="83"/>
  <c r="E246" i="81"/>
  <c r="E253" i="74"/>
  <c r="E266" i="82"/>
  <c r="E275" i="91"/>
  <c r="E276" i="81"/>
  <c r="E234" i="85"/>
  <c r="E276" i="83"/>
  <c r="E255" i="87"/>
  <c r="E275" i="81"/>
  <c r="E270" i="89"/>
  <c r="E273" i="84"/>
  <c r="E283" i="82"/>
  <c r="E234" i="74"/>
  <c r="E214" i="94"/>
  <c r="D214" i="94" s="1"/>
  <c r="D290" i="94" s="1"/>
  <c r="E285" i="82"/>
  <c r="E277" i="89"/>
  <c r="E246" i="88"/>
  <c r="E284" i="84"/>
  <c r="E264" i="83"/>
  <c r="E260" i="88"/>
  <c r="E286" i="91"/>
  <c r="E240" i="74"/>
  <c r="E233" i="82"/>
  <c r="E244" i="82"/>
  <c r="E239" i="87"/>
  <c r="E258" i="88"/>
  <c r="E258" i="74"/>
  <c r="E257" i="89"/>
  <c r="E246" i="83"/>
  <c r="E245" i="84"/>
  <c r="E183" i="94"/>
  <c r="D183" i="94" s="1"/>
  <c r="D278" i="94" s="1"/>
  <c r="E262" i="85"/>
  <c r="E283" i="88"/>
  <c r="E242" i="91"/>
  <c r="E279" i="83"/>
  <c r="E233" i="83"/>
  <c r="E238" i="82"/>
  <c r="E237" i="88"/>
  <c r="E273" i="88"/>
  <c r="E259" i="74"/>
  <c r="E259" i="89"/>
  <c r="D229" i="81"/>
  <c r="E229" i="81" s="1"/>
  <c r="E286" i="81"/>
  <c r="E286" i="88"/>
  <c r="E261" i="81"/>
  <c r="E273" i="74"/>
  <c r="E247" i="88"/>
  <c r="E235" i="74"/>
  <c r="E233" i="88"/>
  <c r="E245" i="82"/>
  <c r="E236" i="84"/>
  <c r="E280" i="82"/>
  <c r="D188" i="94"/>
  <c r="D280" i="94" s="1"/>
  <c r="E243" i="91"/>
  <c r="E270" i="91"/>
  <c r="E273" i="91"/>
  <c r="E263" i="87"/>
  <c r="E267" i="87"/>
  <c r="E246" i="82"/>
  <c r="E240" i="87"/>
  <c r="E266" i="91"/>
  <c r="E245" i="74"/>
  <c r="E284" i="89"/>
  <c r="E252" i="81"/>
  <c r="E284" i="91"/>
  <c r="E266" i="81"/>
  <c r="E263" i="84"/>
  <c r="E284" i="87"/>
  <c r="E252" i="91"/>
  <c r="E261" i="88"/>
  <c r="E262" i="88"/>
  <c r="E262" i="74"/>
  <c r="E257" i="82"/>
  <c r="E192" i="94"/>
  <c r="D192" i="94" s="1"/>
  <c r="D284" i="94" s="1"/>
  <c r="E75" i="94"/>
  <c r="D75" i="94" s="1"/>
  <c r="D242" i="94" s="1"/>
  <c r="E256" i="84"/>
  <c r="E250" i="91"/>
  <c r="E285" i="85"/>
  <c r="E256" i="91"/>
  <c r="E246" i="85"/>
  <c r="E258" i="91"/>
  <c r="E256" i="83"/>
  <c r="E270" i="81"/>
  <c r="E265" i="88"/>
  <c r="E260" i="83"/>
  <c r="E286" i="85"/>
  <c r="E255" i="83"/>
  <c r="E268" i="85"/>
  <c r="E262" i="91"/>
  <c r="E259" i="85"/>
  <c r="E260" i="87"/>
  <c r="E275" i="84"/>
  <c r="E250" i="74"/>
  <c r="E191" i="93"/>
  <c r="D191" i="93" s="1"/>
  <c r="D283" i="93" s="1"/>
  <c r="D187" i="93"/>
  <c r="D279" i="93" s="1"/>
  <c r="E274" i="84"/>
  <c r="E249" i="91"/>
  <c r="E256" i="87"/>
  <c r="E280" i="85"/>
  <c r="E268" i="82"/>
  <c r="E276" i="74"/>
  <c r="E264" i="89"/>
  <c r="E243" i="81"/>
  <c r="E249" i="83"/>
  <c r="E254" i="83"/>
  <c r="E233" i="81"/>
  <c r="E290" i="84"/>
  <c r="E290" i="85"/>
  <c r="E231" i="81"/>
  <c r="E285" i="81"/>
  <c r="E138" i="92"/>
  <c r="D138" i="92" s="1"/>
  <c r="D263" i="92" s="1"/>
  <c r="E9" i="92"/>
  <c r="D9" i="92" s="1"/>
  <c r="E258" i="83"/>
  <c r="E264" i="88"/>
  <c r="E280" i="89"/>
  <c r="E286" i="82"/>
  <c r="E247" i="89"/>
  <c r="E267" i="81"/>
  <c r="E244" i="85"/>
  <c r="E270" i="88"/>
  <c r="E243" i="87"/>
  <c r="E277" i="74"/>
  <c r="E290" i="88"/>
  <c r="E267" i="74"/>
  <c r="E266" i="89"/>
  <c r="E254" i="81"/>
  <c r="E277" i="83"/>
  <c r="E257" i="85"/>
  <c r="E264" i="87"/>
  <c r="E284" i="85"/>
  <c r="E273" i="82"/>
  <c r="E272" i="87"/>
  <c r="E269" i="89"/>
  <c r="E275" i="88"/>
  <c r="E253" i="89"/>
  <c r="E242" i="74"/>
  <c r="E246" i="84"/>
  <c r="E242" i="88"/>
  <c r="E241" i="85"/>
  <c r="E235" i="83"/>
  <c r="E283" i="89"/>
  <c r="E274" i="89"/>
  <c r="E241" i="84"/>
  <c r="E241" i="81"/>
  <c r="E257" i="81"/>
  <c r="E238" i="83"/>
  <c r="E283" i="83"/>
  <c r="E249" i="81"/>
  <c r="H168" i="92"/>
  <c r="H135" i="92"/>
  <c r="H162" i="92"/>
  <c r="V162" i="92" s="1"/>
  <c r="H114" i="92"/>
  <c r="H63" i="92"/>
  <c r="H120" i="92"/>
  <c r="H87" i="92"/>
  <c r="H72" i="92"/>
  <c r="E290" i="91"/>
  <c r="E272" i="91"/>
  <c r="E267" i="91"/>
  <c r="E239" i="88"/>
  <c r="E244" i="88"/>
  <c r="E256" i="89"/>
  <c r="E276" i="89"/>
  <c r="E237" i="82"/>
  <c r="E253" i="87"/>
  <c r="E253" i="85"/>
  <c r="E280" i="87"/>
  <c r="E269" i="88"/>
  <c r="E273" i="87"/>
  <c r="E250" i="89"/>
  <c r="E255" i="74"/>
  <c r="E235" i="85"/>
  <c r="E280" i="88"/>
  <c r="E266" i="85"/>
  <c r="E265" i="81"/>
  <c r="E286" i="74"/>
  <c r="H55" i="92"/>
  <c r="H51" i="92"/>
  <c r="H53" i="92"/>
  <c r="H19" i="92"/>
  <c r="H183" i="92"/>
  <c r="H17" i="92"/>
  <c r="H141" i="92"/>
  <c r="H191" i="92"/>
  <c r="H147" i="92"/>
  <c r="H174" i="92"/>
  <c r="H111" i="92"/>
  <c r="H43" i="92"/>
  <c r="H153" i="92"/>
  <c r="H180" i="92"/>
  <c r="H159" i="92"/>
  <c r="H187" i="92"/>
  <c r="H189" i="92" s="1"/>
  <c r="H126" i="92"/>
  <c r="H78" i="92"/>
  <c r="H132" i="92"/>
  <c r="H105" i="92"/>
  <c r="H27" i="92"/>
  <c r="H29" i="92"/>
  <c r="H39" i="92"/>
  <c r="H15" i="92"/>
  <c r="H41" i="92"/>
  <c r="H84" i="92"/>
  <c r="H31" i="92"/>
  <c r="H93" i="92"/>
  <c r="H99" i="92"/>
  <c r="E258" i="89"/>
  <c r="D229" i="87"/>
  <c r="E229" i="87" s="1"/>
  <c r="E285" i="87"/>
  <c r="E283" i="87"/>
  <c r="E279" i="87"/>
  <c r="E286" i="87"/>
  <c r="E287" i="87"/>
  <c r="E278" i="87"/>
  <c r="E272" i="88"/>
  <c r="E261" i="87"/>
  <c r="E230" i="88"/>
  <c r="E262" i="87"/>
  <c r="E239" i="74"/>
  <c r="E272" i="85"/>
  <c r="E271" i="84"/>
  <c r="E252" i="85"/>
  <c r="E287" i="83"/>
  <c r="E252" i="82"/>
  <c r="E241" i="87"/>
  <c r="E238" i="87"/>
  <c r="E242" i="83"/>
  <c r="E265" i="84"/>
  <c r="E243" i="82"/>
  <c r="E261" i="74"/>
  <c r="E280" i="74"/>
  <c r="E198" i="93"/>
  <c r="D198" i="93" s="1"/>
  <c r="D286" i="93" s="1"/>
  <c r="E15" i="94"/>
  <c r="D15" i="94" s="1"/>
  <c r="E285" i="91"/>
  <c r="E246" i="89"/>
  <c r="E262" i="84"/>
  <c r="E274" i="85"/>
  <c r="E236" i="88"/>
  <c r="E257" i="84"/>
  <c r="E265" i="91"/>
  <c r="E283" i="74"/>
  <c r="E251" i="82"/>
  <c r="E274" i="82"/>
  <c r="E240" i="85"/>
  <c r="E267" i="83"/>
  <c r="E230" i="84"/>
  <c r="E271" i="81"/>
  <c r="E236" i="87"/>
  <c r="E247" i="91"/>
  <c r="E268" i="74"/>
  <c r="E275" i="85"/>
  <c r="E237" i="84"/>
  <c r="E237" i="74"/>
  <c r="E247" i="83"/>
  <c r="D123" i="94"/>
  <c r="D258" i="94" s="1"/>
  <c r="E141" i="94"/>
  <c r="D141" i="94" s="1"/>
  <c r="D264" i="94" s="1"/>
  <c r="E268" i="89"/>
  <c r="E235" i="87"/>
  <c r="E274" i="81"/>
  <c r="E261" i="84"/>
  <c r="E231" i="88"/>
  <c r="E261" i="91"/>
  <c r="E230" i="74"/>
  <c r="E260" i="81"/>
  <c r="E266" i="88"/>
  <c r="E235" i="81"/>
  <c r="E259" i="81"/>
  <c r="E268" i="81"/>
  <c r="E265" i="83"/>
  <c r="E268" i="91"/>
  <c r="E264" i="91"/>
  <c r="E241" i="88"/>
  <c r="E237" i="81"/>
  <c r="E263" i="83"/>
  <c r="E258" i="82"/>
  <c r="E285" i="74"/>
  <c r="E180" i="93"/>
  <c r="D180" i="93" s="1"/>
  <c r="D277" i="93" s="1"/>
  <c r="E117" i="94"/>
  <c r="D117" i="94" s="1"/>
  <c r="D256" i="94" s="1"/>
  <c r="E275" i="89"/>
  <c r="E242" i="85"/>
  <c r="E278" i="84"/>
  <c r="E280" i="84"/>
  <c r="E283" i="84"/>
  <c r="D229" i="84"/>
  <c r="E229" i="84" s="1"/>
  <c r="E285" i="84"/>
  <c r="E287" i="84"/>
  <c r="E286" i="84"/>
  <c r="E231" i="87"/>
  <c r="E238" i="91"/>
  <c r="E253" i="88"/>
  <c r="E263" i="88"/>
  <c r="E284" i="74"/>
  <c r="E263" i="85"/>
  <c r="E271" i="74"/>
  <c r="E259" i="82"/>
  <c r="E260" i="89"/>
  <c r="E253" i="84"/>
  <c r="E247" i="81"/>
  <c r="E248" i="89"/>
  <c r="E253" i="81"/>
  <c r="E287" i="82"/>
  <c r="E39" i="94"/>
  <c r="D39" i="94" s="1"/>
  <c r="D234" i="94" s="1"/>
  <c r="E57" i="92"/>
  <c r="D57" i="92" s="1"/>
  <c r="D237" i="92" s="1"/>
  <c r="E114" i="93"/>
  <c r="D114" i="93" s="1"/>
  <c r="D255" i="93" s="1"/>
  <c r="E275" i="87"/>
  <c r="E257" i="83"/>
  <c r="E257" i="87"/>
  <c r="E232" i="87"/>
  <c r="E250" i="87"/>
  <c r="E239" i="91"/>
  <c r="E233" i="85"/>
  <c r="E266" i="74"/>
  <c r="E269" i="74"/>
  <c r="E279" i="91"/>
  <c r="E264" i="84"/>
  <c r="E269" i="81"/>
  <c r="E240" i="88"/>
  <c r="E234" i="82"/>
  <c r="E259" i="83"/>
  <c r="E108" i="94"/>
  <c r="D108" i="94" s="1"/>
  <c r="D253" i="94" s="1"/>
  <c r="E153" i="93"/>
  <c r="D153" i="93" s="1"/>
  <c r="D268" i="93" s="1"/>
  <c r="E262" i="82"/>
  <c r="E268" i="87"/>
  <c r="E245" i="85"/>
  <c r="E265" i="89"/>
  <c r="E276" i="91"/>
  <c r="E257" i="91"/>
  <c r="E231" i="83"/>
  <c r="E266" i="84"/>
  <c r="E233" i="74"/>
  <c r="E270" i="87"/>
  <c r="E261" i="89"/>
  <c r="E269" i="83"/>
  <c r="E231" i="74"/>
  <c r="E243" i="88"/>
  <c r="E248" i="82"/>
  <c r="E255" i="81"/>
  <c r="E33" i="94"/>
  <c r="D33" i="94" s="1"/>
  <c r="D233" i="94" s="1"/>
  <c r="E245" i="83"/>
  <c r="E249" i="89"/>
  <c r="E270" i="85"/>
  <c r="E245" i="87"/>
  <c r="E262" i="89"/>
  <c r="E263" i="91"/>
  <c r="E233" i="84"/>
  <c r="E240" i="82"/>
  <c r="E261" i="82"/>
  <c r="E270" i="74"/>
  <c r="E248" i="85"/>
  <c r="E268" i="88"/>
  <c r="E265" i="85"/>
  <c r="E287" i="74"/>
  <c r="E232" i="85"/>
  <c r="E245" i="81"/>
  <c r="E290" i="74"/>
  <c r="E189" i="92" l="1"/>
  <c r="D189" i="92"/>
  <c r="D281" i="92" s="1"/>
  <c r="E189" i="93"/>
  <c r="D189" i="93"/>
  <c r="D281" i="93" s="1"/>
  <c r="E202" i="92"/>
  <c r="D202" i="92" s="1"/>
  <c r="D287" i="92" s="1"/>
  <c r="E206" i="92"/>
  <c r="D206" i="92" s="1"/>
  <c r="D288" i="92" s="1"/>
  <c r="E210" i="92"/>
  <c r="D210" i="92" s="1"/>
  <c r="D289" i="92" s="1"/>
  <c r="E232" i="94"/>
  <c r="D229" i="92"/>
  <c r="E229" i="92" s="1"/>
  <c r="D230" i="94"/>
  <c r="E230" i="94" s="1"/>
  <c r="E236" i="94"/>
  <c r="E237" i="94"/>
  <c r="E141" i="92"/>
  <c r="D141" i="92" s="1"/>
  <c r="D264" i="92" s="1"/>
  <c r="E235" i="94"/>
  <c r="E192" i="93"/>
  <c r="D192" i="93" s="1"/>
  <c r="D284" i="93" s="1"/>
  <c r="E174" i="92"/>
  <c r="D174" i="92" s="1"/>
  <c r="D275" i="92" s="1"/>
  <c r="E191" i="92"/>
  <c r="D191" i="92" s="1"/>
  <c r="D283" i="92" s="1"/>
  <c r="E9" i="93"/>
  <c r="D9" i="93" s="1"/>
  <c r="E282" i="93" s="1"/>
  <c r="E72" i="92"/>
  <c r="D72" i="92" s="1"/>
  <c r="D241" i="92" s="1"/>
  <c r="E87" i="92"/>
  <c r="D87" i="92" s="1"/>
  <c r="D246" i="92" s="1"/>
  <c r="E69" i="93"/>
  <c r="D69" i="93" s="1"/>
  <c r="D240" i="93" s="1"/>
  <c r="E153" i="92"/>
  <c r="D153" i="92" s="1"/>
  <c r="D268" i="92" s="1"/>
  <c r="E183" i="92"/>
  <c r="D183" i="92" s="1"/>
  <c r="D278" i="92" s="1"/>
  <c r="E120" i="92"/>
  <c r="D120" i="92" s="1"/>
  <c r="D257" i="92" s="1"/>
  <c r="E156" i="93"/>
  <c r="D156" i="93" s="1"/>
  <c r="D269" i="93" s="1"/>
  <c r="E63" i="92"/>
  <c r="D63" i="92" s="1"/>
  <c r="D238" i="92" s="1"/>
  <c r="E21" i="93"/>
  <c r="D21" i="93" s="1"/>
  <c r="D231" i="93" s="1"/>
  <c r="E114" i="92"/>
  <c r="D114" i="92" s="1"/>
  <c r="D255" i="92" s="1"/>
  <c r="E66" i="93"/>
  <c r="D66" i="93" s="1"/>
  <c r="D239" i="93" s="1"/>
  <c r="E188" i="93"/>
  <c r="D188" i="93" s="1"/>
  <c r="D280" i="93" s="1"/>
  <c r="E51" i="92"/>
  <c r="D51" i="92" s="1"/>
  <c r="D236" i="92" s="1"/>
  <c r="E162" i="92"/>
  <c r="D162" i="92" s="1"/>
  <c r="D271" i="92" s="1"/>
  <c r="E234" i="94"/>
  <c r="E99" i="92"/>
  <c r="D99" i="92" s="1"/>
  <c r="D250" i="92" s="1"/>
  <c r="E135" i="92"/>
  <c r="D135" i="92" s="1"/>
  <c r="D262" i="92" s="1"/>
  <c r="E87" i="94"/>
  <c r="D87" i="94" s="1"/>
  <c r="D246" i="94" s="1"/>
  <c r="E165" i="93"/>
  <c r="D165" i="93" s="1"/>
  <c r="D272" i="93" s="1"/>
  <c r="E93" i="92"/>
  <c r="D93" i="92" s="1"/>
  <c r="D248" i="92" s="1"/>
  <c r="E168" i="92"/>
  <c r="D168" i="92" s="1"/>
  <c r="D273" i="92" s="1"/>
  <c r="E114" i="94"/>
  <c r="D114" i="94" s="1"/>
  <c r="D255" i="94" s="1"/>
  <c r="E162" i="94"/>
  <c r="D162" i="94" s="1"/>
  <c r="D271" i="94" s="1"/>
  <c r="E96" i="93"/>
  <c r="D96" i="93" s="1"/>
  <c r="D249" i="93" s="1"/>
  <c r="E177" i="93"/>
  <c r="D177" i="93" s="1"/>
  <c r="D276" i="93" s="1"/>
  <c r="E84" i="92"/>
  <c r="D84" i="92" s="1"/>
  <c r="D245" i="92" s="1"/>
  <c r="E120" i="94"/>
  <c r="D120" i="94" s="1"/>
  <c r="D257" i="94" s="1"/>
  <c r="E117" i="93"/>
  <c r="D117" i="93" s="1"/>
  <c r="D256" i="93" s="1"/>
  <c r="E233" i="94"/>
  <c r="E168" i="94"/>
  <c r="D168" i="94" s="1"/>
  <c r="D273" i="94" s="1"/>
  <c r="E150" i="93"/>
  <c r="D150" i="93" s="1"/>
  <c r="D267" i="93" s="1"/>
  <c r="E15" i="92"/>
  <c r="D15" i="92" s="1"/>
  <c r="E282" i="92" s="1"/>
  <c r="E72" i="94"/>
  <c r="D72" i="94" s="1"/>
  <c r="D241" i="94" s="1"/>
  <c r="E171" i="93"/>
  <c r="D171" i="93" s="1"/>
  <c r="D274" i="93" s="1"/>
  <c r="E39" i="92"/>
  <c r="D39" i="92" s="1"/>
  <c r="D234" i="92" s="1"/>
  <c r="E135" i="94"/>
  <c r="D135" i="94" s="1"/>
  <c r="D262" i="94" s="1"/>
  <c r="E45" i="93"/>
  <c r="D45" i="93" s="1"/>
  <c r="D235" i="93" s="1"/>
  <c r="E63" i="94"/>
  <c r="D63" i="94" s="1"/>
  <c r="E282" i="94" s="1"/>
  <c r="E102" i="93"/>
  <c r="D102" i="93" s="1"/>
  <c r="D251" i="93" s="1"/>
  <c r="E105" i="92"/>
  <c r="D105" i="92" s="1"/>
  <c r="D252" i="92" s="1"/>
  <c r="E231" i="94"/>
  <c r="E75" i="93"/>
  <c r="D75" i="93" s="1"/>
  <c r="D242" i="93" s="1"/>
  <c r="E132" i="92"/>
  <c r="D132" i="92" s="1"/>
  <c r="D261" i="92" s="1"/>
  <c r="E90" i="93"/>
  <c r="D90" i="93" s="1"/>
  <c r="D247" i="93" s="1"/>
  <c r="E78" i="92"/>
  <c r="D78" i="92" s="1"/>
  <c r="D243" i="92" s="1"/>
  <c r="E129" i="93"/>
  <c r="D129" i="93" s="1"/>
  <c r="D260" i="93" s="1"/>
  <c r="E126" i="92"/>
  <c r="D126" i="92" s="1"/>
  <c r="D259" i="92" s="1"/>
  <c r="E33" i="93"/>
  <c r="D33" i="93" s="1"/>
  <c r="D233" i="93" s="1"/>
  <c r="E27" i="92"/>
  <c r="D27" i="92" s="1"/>
  <c r="D232" i="92" s="1"/>
  <c r="E187" i="92"/>
  <c r="D187" i="92" s="1"/>
  <c r="D279" i="92" s="1"/>
  <c r="E144" i="93"/>
  <c r="D144" i="93" s="1"/>
  <c r="D265" i="93" s="1"/>
  <c r="E180" i="92"/>
  <c r="D180" i="92" s="1"/>
  <c r="D277" i="92" s="1"/>
  <c r="E81" i="93"/>
  <c r="D81" i="93" s="1"/>
  <c r="D244" i="93" s="1"/>
  <c r="E57" i="93"/>
  <c r="D57" i="93" s="1"/>
  <c r="D237" i="93" s="1"/>
  <c r="E111" i="92"/>
  <c r="D111" i="92" s="1"/>
  <c r="D254" i="92" s="1"/>
  <c r="E123" i="93"/>
  <c r="D123" i="93" s="1"/>
  <c r="D258" i="93" s="1"/>
  <c r="E108" i="93"/>
  <c r="D108" i="93" s="1"/>
  <c r="D253" i="93" s="1"/>
  <c r="E159" i="92"/>
  <c r="D159" i="92" s="1"/>
  <c r="D270" i="92" s="1"/>
  <c r="E147" i="92"/>
  <c r="D147" i="92" s="1"/>
  <c r="D266" i="92" s="1"/>
  <c r="E138" i="93"/>
  <c r="D138" i="93" s="1"/>
  <c r="D263" i="93" s="1"/>
  <c r="E281" i="93" l="1"/>
  <c r="E281" i="92"/>
  <c r="E231" i="93"/>
  <c r="E281" i="94"/>
  <c r="E289" i="92"/>
  <c r="E289" i="93"/>
  <c r="E288" i="92"/>
  <c r="E289" i="94"/>
  <c r="E288" i="93"/>
  <c r="E288" i="94"/>
  <c r="E246" i="94"/>
  <c r="E246" i="92"/>
  <c r="E259" i="92"/>
  <c r="E255" i="94"/>
  <c r="E252" i="92"/>
  <c r="E258" i="93"/>
  <c r="E232" i="92"/>
  <c r="E239" i="93"/>
  <c r="E240" i="93"/>
  <c r="E243" i="92"/>
  <c r="E272" i="93"/>
  <c r="E254" i="92"/>
  <c r="E273" i="94"/>
  <c r="E235" i="93"/>
  <c r="E269" i="93"/>
  <c r="E250" i="92"/>
  <c r="E275" i="92"/>
  <c r="D230" i="92"/>
  <c r="E230" i="92" s="1"/>
  <c r="E269" i="92"/>
  <c r="E240" i="92"/>
  <c r="E256" i="92"/>
  <c r="E247" i="92"/>
  <c r="E231" i="92"/>
  <c r="E233" i="92"/>
  <c r="E265" i="92"/>
  <c r="E258" i="92"/>
  <c r="E274" i="92"/>
  <c r="E267" i="92"/>
  <c r="E237" i="92"/>
  <c r="E287" i="92"/>
  <c r="E242" i="92"/>
  <c r="E253" i="92"/>
  <c r="E244" i="92"/>
  <c r="E272" i="92"/>
  <c r="E249" i="92"/>
  <c r="E239" i="92"/>
  <c r="E284" i="92"/>
  <c r="E286" i="92"/>
  <c r="E290" i="92"/>
  <c r="E285" i="92"/>
  <c r="E280" i="92"/>
  <c r="E276" i="92"/>
  <c r="E260" i="92"/>
  <c r="E251" i="92"/>
  <c r="E263" i="92"/>
  <c r="E235" i="92"/>
  <c r="E256" i="93"/>
  <c r="E257" i="92"/>
  <c r="E278" i="92"/>
  <c r="E244" i="93"/>
  <c r="E271" i="92"/>
  <c r="D238" i="94"/>
  <c r="E238" i="94" s="1"/>
  <c r="E283" i="94"/>
  <c r="E256" i="94"/>
  <c r="E269" i="94"/>
  <c r="E240" i="94"/>
  <c r="E284" i="94"/>
  <c r="E287" i="94"/>
  <c r="E276" i="94"/>
  <c r="E279" i="94"/>
  <c r="E266" i="94"/>
  <c r="E247" i="94"/>
  <c r="E264" i="94"/>
  <c r="E286" i="94"/>
  <c r="E278" i="94"/>
  <c r="E249" i="94"/>
  <c r="E270" i="94"/>
  <c r="E252" i="94"/>
  <c r="E245" i="94"/>
  <c r="E250" i="94"/>
  <c r="E285" i="94"/>
  <c r="E275" i="94"/>
  <c r="E274" i="94"/>
  <c r="E244" i="94"/>
  <c r="E277" i="94"/>
  <c r="E280" i="94"/>
  <c r="E242" i="94"/>
  <c r="E260" i="94"/>
  <c r="E290" i="94"/>
  <c r="E267" i="94"/>
  <c r="E239" i="94"/>
  <c r="E265" i="94"/>
  <c r="E259" i="94"/>
  <c r="E248" i="94"/>
  <c r="E268" i="94"/>
  <c r="E251" i="94"/>
  <c r="E263" i="94"/>
  <c r="E261" i="94"/>
  <c r="E258" i="94"/>
  <c r="E254" i="94"/>
  <c r="E272" i="94"/>
  <c r="E253" i="94"/>
  <c r="E243" i="94"/>
  <c r="E273" i="92"/>
  <c r="D229" i="93"/>
  <c r="E229" i="93" s="1"/>
  <c r="E273" i="93"/>
  <c r="E266" i="93"/>
  <c r="E246" i="93"/>
  <c r="E271" i="93"/>
  <c r="E250" i="93"/>
  <c r="E262" i="93"/>
  <c r="E275" i="93"/>
  <c r="E278" i="93"/>
  <c r="E252" i="93"/>
  <c r="E245" i="93"/>
  <c r="E236" i="93"/>
  <c r="E243" i="93"/>
  <c r="E248" i="93"/>
  <c r="E285" i="93"/>
  <c r="E232" i="93"/>
  <c r="E290" i="93"/>
  <c r="E238" i="93"/>
  <c r="E259" i="93"/>
  <c r="E234" i="93"/>
  <c r="E264" i="93"/>
  <c r="E257" i="93"/>
  <c r="E270" i="93"/>
  <c r="E287" i="93"/>
  <c r="E286" i="93"/>
  <c r="E279" i="93"/>
  <c r="E255" i="93"/>
  <c r="E254" i="93"/>
  <c r="E277" i="93"/>
  <c r="E230" i="93"/>
  <c r="E241" i="93"/>
  <c r="E283" i="93"/>
  <c r="E268" i="93"/>
  <c r="E261" i="93"/>
  <c r="E264" i="92"/>
  <c r="E247" i="93"/>
  <c r="E261" i="92"/>
  <c r="E268" i="92"/>
  <c r="E277" i="92"/>
  <c r="E280" i="93"/>
  <c r="E257" i="94"/>
  <c r="E266" i="92"/>
  <c r="E279" i="92"/>
  <c r="E245" i="92"/>
  <c r="E267" i="93"/>
  <c r="E260" i="93"/>
  <c r="E251" i="93"/>
  <c r="E253" i="93"/>
  <c r="E236" i="92"/>
  <c r="E248" i="92"/>
  <c r="E283" i="92"/>
  <c r="E249" i="93"/>
  <c r="E265" i="93"/>
  <c r="E284" i="93"/>
  <c r="E271" i="94"/>
  <c r="E262" i="94"/>
  <c r="E233" i="93"/>
  <c r="E234" i="92"/>
  <c r="E263" i="93"/>
  <c r="E237" i="93"/>
  <c r="E242" i="93"/>
  <c r="E255" i="92"/>
  <c r="E262" i="92"/>
  <c r="E274" i="93"/>
  <c r="E238" i="92"/>
  <c r="E270" i="92"/>
  <c r="E241" i="92"/>
  <c r="E241" i="94"/>
  <c r="E276" i="93"/>
  <c r="V108" i="84" l="1"/>
  <c r="V90" i="84"/>
  <c r="V138" i="84"/>
  <c r="V135" i="84"/>
  <c r="V172" i="84"/>
  <c r="V130" i="84"/>
  <c r="V151" i="84"/>
  <c r="V140" i="84"/>
  <c r="V164" i="84"/>
  <c r="V145" i="84"/>
  <c r="V144" i="84"/>
  <c r="V129" i="84"/>
  <c r="V122" i="84"/>
  <c r="V83" i="83"/>
  <c r="V110" i="84"/>
  <c r="V115" i="84"/>
  <c r="V157" i="84"/>
  <c r="V116" i="84"/>
  <c r="V91" i="84"/>
  <c r="V114" i="84"/>
  <c r="V82" i="83"/>
  <c r="V146" i="84"/>
  <c r="V120" i="84"/>
  <c r="V96" i="84"/>
  <c r="V179" i="84"/>
  <c r="V150" i="84"/>
  <c r="V131" i="84"/>
  <c r="V105" i="84"/>
  <c r="V152" i="84"/>
  <c r="V173" i="84"/>
  <c r="V106" i="84"/>
  <c r="V107" i="84"/>
  <c r="V170" i="84"/>
  <c r="V84" i="83"/>
  <c r="V121" i="84"/>
  <c r="V109" i="84"/>
  <c r="V92" i="84"/>
  <c r="V163" i="84"/>
  <c r="V171" i="84"/>
  <c r="V103" i="84"/>
  <c r="V177" i="84"/>
  <c r="V158" i="84"/>
  <c r="V178" i="84"/>
  <c r="V102" i="84"/>
  <c r="V168" i="84"/>
  <c r="V137" i="84"/>
  <c r="V169" i="84"/>
  <c r="V85" i="83"/>
  <c r="V87" i="84"/>
  <c r="V88" i="84"/>
  <c r="V156" i="84"/>
  <c r="V81" i="83"/>
  <c r="V162" i="84"/>
  <c r="V136" i="84"/>
  <c r="V89" i="84"/>
  <c r="V139" i="84"/>
  <c r="V98" i="84"/>
  <c r="V104" i="84"/>
  <c r="V97" i="84"/>
  <c r="V124" i="84" l="1"/>
  <c r="V123" i="84"/>
  <c r="V125" i="84"/>
  <c r="Q140" i="93" l="1"/>
  <c r="Y146" i="93"/>
  <c r="AA144" i="91"/>
  <c r="AB119" i="91"/>
  <c r="AA177" i="89"/>
  <c r="Z130" i="94"/>
  <c r="AA66" i="85"/>
  <c r="AA67" i="92"/>
  <c r="O183" i="82"/>
  <c r="AA113" i="93"/>
  <c r="O57" i="81"/>
  <c r="AB116" i="91"/>
  <c r="Z104" i="74"/>
  <c r="Y80" i="91"/>
  <c r="AB67" i="92"/>
  <c r="Q125" i="88"/>
  <c r="Y168" i="89"/>
  <c r="Q84" i="94"/>
  <c r="AB65" i="88"/>
  <c r="O121" i="81"/>
  <c r="L158" i="94"/>
  <c r="Y158" i="81"/>
  <c r="Z117" i="92"/>
  <c r="AB90" i="92"/>
  <c r="Q130" i="85"/>
  <c r="O171" i="94"/>
  <c r="Y81" i="89"/>
  <c r="X111" i="93"/>
  <c r="O23" i="91"/>
  <c r="L165" i="88"/>
  <c r="P96" i="91"/>
  <c r="P70" i="93"/>
  <c r="X103" i="85"/>
  <c r="N39" i="94"/>
  <c r="AA49" i="92"/>
  <c r="AA145" i="93"/>
  <c r="P84" i="87"/>
  <c r="Y19" i="89"/>
  <c r="AB106" i="82"/>
  <c r="Z139" i="94"/>
  <c r="X138" i="93"/>
  <c r="P59" i="93"/>
  <c r="AB149" i="84"/>
  <c r="O144" i="94"/>
  <c r="L70" i="94"/>
  <c r="X130" i="88"/>
  <c r="O72" i="82"/>
  <c r="Y157" i="94"/>
  <c r="Z158" i="93"/>
  <c r="X102" i="94"/>
  <c r="Y95" i="87"/>
  <c r="Q75" i="93"/>
  <c r="Z153" i="94"/>
  <c r="AB78" i="88"/>
  <c r="Z86" i="83"/>
  <c r="Z88" i="92"/>
  <c r="X162" i="84"/>
  <c r="Z80" i="93"/>
  <c r="L143" i="81"/>
  <c r="O116" i="93"/>
  <c r="AA132" i="93"/>
  <c r="O151" i="85"/>
  <c r="M43" i="89"/>
  <c r="X88" i="92"/>
  <c r="M33" i="74"/>
  <c r="AA78" i="87"/>
  <c r="P19" i="81"/>
  <c r="N171" i="89"/>
  <c r="X63" i="93"/>
  <c r="O89" i="92"/>
  <c r="Y101" i="91"/>
  <c r="P86" i="94"/>
  <c r="Z159" i="91"/>
  <c r="AA124" i="93"/>
  <c r="L97" i="89"/>
  <c r="Y144" i="93"/>
  <c r="Q31" i="83"/>
  <c r="Y121" i="94"/>
  <c r="Y91" i="94"/>
  <c r="AB66" i="92"/>
  <c r="AB66" i="94"/>
  <c r="AB15" i="94"/>
  <c r="AB153" i="84"/>
  <c r="Y120" i="88"/>
  <c r="X152" i="83"/>
  <c r="O53" i="89"/>
  <c r="Y137" i="93"/>
  <c r="AA151" i="92"/>
  <c r="AA138" i="83"/>
  <c r="P35" i="91"/>
  <c r="Z23" i="84"/>
  <c r="Q94" i="92"/>
  <c r="Z99" i="87"/>
  <c r="AB115" i="92"/>
  <c r="AB124" i="92"/>
  <c r="O178" i="94"/>
  <c r="AB127" i="92"/>
  <c r="Q165" i="92"/>
  <c r="X117" i="83"/>
  <c r="X149" i="92"/>
  <c r="AB86" i="87"/>
  <c r="Z156" i="74"/>
  <c r="N156" i="93"/>
  <c r="Q115" i="83"/>
  <c r="X31" i="82"/>
  <c r="X93" i="84"/>
  <c r="Y75" i="81"/>
  <c r="Q183" i="87"/>
  <c r="N84" i="87"/>
  <c r="Y73" i="93"/>
  <c r="M13" i="93"/>
  <c r="O96" i="85"/>
  <c r="X137" i="93"/>
  <c r="L105" i="91"/>
  <c r="Q88" i="92"/>
  <c r="Q165" i="88"/>
  <c r="N15" i="83"/>
  <c r="T99" i="81"/>
  <c r="Y39" i="82"/>
  <c r="AB121" i="82"/>
  <c r="Q99" i="93"/>
  <c r="O84" i="88"/>
  <c r="AA80" i="74"/>
  <c r="Q75" i="91"/>
  <c r="P147" i="93"/>
  <c r="N177" i="91"/>
  <c r="Y73" i="91"/>
  <c r="L170" i="93"/>
  <c r="AA31" i="88"/>
  <c r="Z100" i="93"/>
  <c r="AB142" i="84"/>
  <c r="N45" i="84"/>
  <c r="M43" i="93"/>
  <c r="AB95" i="94"/>
  <c r="AB153" i="89"/>
  <c r="L128" i="89"/>
  <c r="X105" i="89"/>
  <c r="P19" i="93"/>
  <c r="AB129" i="87"/>
  <c r="O174" i="74"/>
  <c r="Q137" i="93"/>
  <c r="T111" i="87"/>
  <c r="Q93" i="81"/>
  <c r="Q68" i="93"/>
  <c r="Z123" i="81"/>
  <c r="O143" i="89"/>
  <c r="Q25" i="92"/>
  <c r="X41" i="92"/>
  <c r="AA80" i="87"/>
  <c r="AA167" i="92"/>
  <c r="Z171" i="89"/>
  <c r="P182" i="91"/>
  <c r="Q161" i="85"/>
  <c r="X151" i="93"/>
  <c r="Y166" i="94"/>
  <c r="AA120" i="83"/>
  <c r="AA112" i="93"/>
  <c r="X159" i="87"/>
  <c r="AA113" i="91"/>
  <c r="X76" i="74"/>
  <c r="Y162" i="91"/>
  <c r="P133" i="85"/>
  <c r="O102" i="83"/>
  <c r="L141" i="92"/>
  <c r="O17" i="91"/>
  <c r="AB164" i="92"/>
  <c r="Q161" i="93"/>
  <c r="L134" i="88"/>
  <c r="L77" i="93"/>
  <c r="P139" i="93"/>
  <c r="Y74" i="83"/>
  <c r="Y92" i="93"/>
  <c r="AB51" i="88"/>
  <c r="L133" i="92"/>
  <c r="M45" i="94"/>
  <c r="T141" i="81"/>
  <c r="P112" i="91"/>
  <c r="P153" i="89"/>
  <c r="L83" i="89"/>
  <c r="L156" i="89"/>
  <c r="X77" i="91"/>
  <c r="Q166" i="93"/>
  <c r="Z163" i="92"/>
  <c r="Y37" i="92"/>
  <c r="AB104" i="88"/>
  <c r="Q135" i="91"/>
  <c r="X109" i="93"/>
  <c r="Q154" i="94"/>
  <c r="L94" i="93"/>
  <c r="Y174" i="83"/>
  <c r="Z129" i="84"/>
  <c r="O76" i="94"/>
  <c r="AB25" i="89"/>
  <c r="Z160" i="89"/>
  <c r="Q87" i="91"/>
  <c r="Q95" i="92"/>
  <c r="Z108" i="94"/>
  <c r="T120" i="85"/>
  <c r="AA71" i="94"/>
  <c r="AA135" i="92"/>
  <c r="Q65" i="91"/>
  <c r="N96" i="84"/>
  <c r="X143" i="88"/>
  <c r="P143" i="87"/>
  <c r="Q21" i="94"/>
  <c r="AB96" i="89"/>
  <c r="O122" i="74"/>
  <c r="L73" i="93"/>
  <c r="Y146" i="83"/>
  <c r="Y127" i="89"/>
  <c r="AA39" i="88"/>
  <c r="L83" i="84"/>
  <c r="X160" i="93"/>
  <c r="AB37" i="89"/>
  <c r="Q91" i="92"/>
  <c r="P51" i="92"/>
  <c r="Q23" i="94"/>
  <c r="AB120" i="92"/>
  <c r="O143" i="93"/>
  <c r="AA53" i="93"/>
  <c r="Z160" i="87"/>
  <c r="P94" i="93"/>
  <c r="P181" i="93"/>
  <c r="Y115" i="94"/>
  <c r="Q98" i="94"/>
  <c r="N153" i="88"/>
  <c r="O49" i="93"/>
  <c r="Q126" i="88"/>
  <c r="O95" i="88"/>
  <c r="Q91" i="81"/>
  <c r="AB170" i="94"/>
  <c r="Q66" i="91"/>
  <c r="O89" i="89"/>
  <c r="Z39" i="93"/>
  <c r="O53" i="88"/>
  <c r="M15" i="93"/>
  <c r="Q82" i="89"/>
  <c r="L157" i="88"/>
  <c r="O182" i="94"/>
  <c r="AA131" i="87"/>
  <c r="Y133" i="91"/>
  <c r="O93" i="85"/>
  <c r="L94" i="91"/>
  <c r="Y106" i="94"/>
  <c r="Q171" i="94"/>
  <c r="AB167" i="91"/>
  <c r="X59" i="89"/>
  <c r="Z45" i="93"/>
  <c r="O136" i="88"/>
  <c r="M23" i="93"/>
  <c r="Y80" i="87"/>
  <c r="X84" i="89"/>
  <c r="Z57" i="94"/>
  <c r="Z89" i="92"/>
  <c r="AA111" i="94"/>
  <c r="Z169" i="91"/>
  <c r="Y155" i="84"/>
  <c r="Y144" i="91"/>
  <c r="O107" i="89"/>
  <c r="O132" i="94"/>
  <c r="Z171" i="92"/>
  <c r="Y111" i="85"/>
  <c r="N72" i="92"/>
  <c r="X67" i="93"/>
  <c r="AB134" i="87"/>
  <c r="L109" i="87"/>
  <c r="X118" i="94"/>
  <c r="AA168" i="84"/>
  <c r="Q125" i="82"/>
  <c r="P139" i="92"/>
  <c r="Y93" i="91"/>
  <c r="X75" i="84"/>
  <c r="AB132" i="91"/>
  <c r="X116" i="93"/>
  <c r="X41" i="87"/>
  <c r="Z133" i="81"/>
  <c r="P33" i="91"/>
  <c r="P147" i="92"/>
  <c r="Y102" i="94"/>
  <c r="P153" i="88"/>
  <c r="L128" i="87"/>
  <c r="L183" i="87"/>
  <c r="T75" i="91"/>
  <c r="Y72" i="89"/>
  <c r="Z77" i="94"/>
  <c r="Z82" i="94"/>
  <c r="AB145" i="94"/>
  <c r="T162" i="88"/>
  <c r="Q153" i="91"/>
  <c r="AA27" i="74"/>
  <c r="Z11" i="93"/>
  <c r="Z55" i="85"/>
  <c r="Y149" i="94"/>
  <c r="Z61" i="93"/>
  <c r="AB175" i="93"/>
  <c r="Y104" i="94"/>
  <c r="Y61" i="88"/>
  <c r="L125" i="93"/>
  <c r="Z117" i="93"/>
  <c r="L94" i="82"/>
  <c r="X122" i="94"/>
  <c r="Q153" i="93"/>
  <c r="X153" i="84"/>
  <c r="Z122" i="88"/>
  <c r="Q67" i="92"/>
  <c r="Q86" i="93"/>
  <c r="L80" i="89"/>
  <c r="O135" i="94"/>
  <c r="X171" i="92"/>
  <c r="Q96" i="87"/>
  <c r="X21" i="93"/>
  <c r="Z53" i="85"/>
  <c r="X169" i="93"/>
  <c r="L168" i="94"/>
  <c r="AA67" i="93"/>
  <c r="P63" i="93"/>
  <c r="AA71" i="83"/>
  <c r="O163" i="94"/>
  <c r="O107" i="88"/>
  <c r="P148" i="93"/>
  <c r="O37" i="89"/>
  <c r="L123" i="88"/>
  <c r="X166" i="93"/>
  <c r="O55" i="94"/>
  <c r="M45" i="88"/>
  <c r="Q172" i="88"/>
  <c r="Q19" i="89"/>
  <c r="X97" i="83"/>
  <c r="Z49" i="88"/>
  <c r="Z65" i="83"/>
  <c r="L138" i="89"/>
  <c r="L99" i="94"/>
  <c r="Z72" i="94"/>
  <c r="O130" i="88"/>
  <c r="Q53" i="94"/>
  <c r="AA171" i="88"/>
  <c r="Y106" i="93"/>
  <c r="Q77" i="93"/>
  <c r="O177" i="93"/>
  <c r="AA80" i="92"/>
  <c r="P21" i="74"/>
  <c r="Y114" i="91"/>
  <c r="Y136" i="93"/>
  <c r="Z133" i="93"/>
  <c r="AB92" i="91"/>
  <c r="AB156" i="93"/>
  <c r="AA131" i="84"/>
  <c r="O64" i="93"/>
  <c r="O66" i="94"/>
  <c r="X82" i="88"/>
  <c r="P183" i="74"/>
  <c r="O183" i="84"/>
  <c r="X39" i="89"/>
  <c r="Q180" i="88"/>
  <c r="Q45" i="74"/>
  <c r="AA76" i="87"/>
  <c r="N39" i="91"/>
  <c r="L169" i="83"/>
  <c r="Z146" i="94"/>
  <c r="X123" i="92"/>
  <c r="O37" i="93"/>
  <c r="P175" i="88"/>
  <c r="AA102" i="92"/>
  <c r="O133" i="92"/>
  <c r="P134" i="91"/>
  <c r="Q179" i="89"/>
  <c r="AB164" i="89"/>
  <c r="Y19" i="94"/>
  <c r="T174" i="87"/>
  <c r="Q61" i="92"/>
  <c r="AB149" i="88"/>
  <c r="L110" i="94"/>
  <c r="Q11" i="92"/>
  <c r="M11" i="88"/>
  <c r="O105" i="94"/>
  <c r="L113" i="84"/>
  <c r="L79" i="93"/>
  <c r="Q35" i="88"/>
  <c r="O126" i="74"/>
  <c r="AA29" i="94"/>
  <c r="P185" i="74"/>
  <c r="P162" i="94"/>
  <c r="Q23" i="91"/>
  <c r="P106" i="88"/>
  <c r="Z41" i="93"/>
  <c r="O172" i="93"/>
  <c r="Z59" i="93"/>
  <c r="AA67" i="89"/>
  <c r="L75" i="92"/>
  <c r="X149" i="94"/>
  <c r="AB167" i="93"/>
  <c r="AB114" i="94"/>
  <c r="P70" i="94"/>
  <c r="AA65" i="93"/>
  <c r="P78" i="92"/>
  <c r="AA148" i="87"/>
  <c r="X121" i="94"/>
  <c r="Z41" i="92"/>
  <c r="P94" i="88"/>
  <c r="P183" i="81"/>
  <c r="Q126" i="91"/>
  <c r="Y79" i="84"/>
  <c r="X162" i="82"/>
  <c r="P63" i="92"/>
  <c r="Q174" i="89"/>
  <c r="AB164" i="93"/>
  <c r="X106" i="91"/>
  <c r="O103" i="92"/>
  <c r="AA72" i="93"/>
  <c r="X175" i="93"/>
  <c r="Q141" i="89"/>
  <c r="L107" i="88"/>
  <c r="Z110" i="93"/>
  <c r="O96" i="92"/>
  <c r="Y59" i="94"/>
  <c r="L184" i="82"/>
  <c r="P31" i="88"/>
  <c r="Q143" i="91"/>
  <c r="O96" i="89"/>
  <c r="T141" i="88"/>
  <c r="P122" i="93"/>
  <c r="AB164" i="94"/>
  <c r="L140" i="87"/>
  <c r="P119" i="94"/>
  <c r="Z155" i="85"/>
  <c r="Y97" i="84"/>
  <c r="Q21" i="93"/>
  <c r="X161" i="74"/>
  <c r="Z147" i="92"/>
  <c r="AB11" i="89"/>
  <c r="AA70" i="93"/>
  <c r="Y82" i="94"/>
  <c r="AA140" i="89"/>
  <c r="Y124" i="85"/>
  <c r="Q125" i="92"/>
  <c r="AA123" i="92"/>
  <c r="O165" i="74"/>
  <c r="P23" i="94"/>
  <c r="P122" i="89"/>
  <c r="Y134" i="83"/>
  <c r="AA119" i="94"/>
  <c r="L167" i="88"/>
  <c r="Z88" i="91"/>
  <c r="P159" i="83"/>
  <c r="AA99" i="91"/>
  <c r="AA140" i="83"/>
  <c r="X57" i="94"/>
  <c r="Y83" i="93"/>
  <c r="Z130" i="92"/>
  <c r="P184" i="88"/>
  <c r="L120" i="93"/>
  <c r="X80" i="91"/>
  <c r="L185" i="91"/>
  <c r="AA102" i="94"/>
  <c r="O175" i="89"/>
  <c r="Y139" i="92"/>
  <c r="L147" i="92"/>
  <c r="Z146" i="91"/>
  <c r="P173" i="91"/>
  <c r="Q132" i="93"/>
  <c r="Z78" i="91"/>
  <c r="AB145" i="81"/>
  <c r="X19" i="94"/>
  <c r="Q116" i="93"/>
  <c r="X125" i="89"/>
  <c r="X89" i="81"/>
  <c r="Q130" i="74"/>
  <c r="AA108" i="93"/>
  <c r="AA157" i="94"/>
  <c r="M13" i="92"/>
  <c r="X104" i="94"/>
  <c r="X23" i="92"/>
  <c r="Z107" i="94"/>
  <c r="M59" i="93"/>
  <c r="L120" i="83"/>
  <c r="X128" i="87"/>
  <c r="AB147" i="89"/>
  <c r="Y17" i="92"/>
  <c r="AB139" i="93"/>
  <c r="X122" i="93"/>
  <c r="X164" i="74"/>
  <c r="AA11" i="94"/>
  <c r="AB123" i="85"/>
  <c r="L63" i="94"/>
  <c r="O185" i="81"/>
  <c r="Y130" i="91"/>
  <c r="AB68" i="89"/>
  <c r="L75" i="93"/>
  <c r="Z157" i="84"/>
  <c r="P119" i="87"/>
  <c r="P184" i="81"/>
  <c r="P98" i="87"/>
  <c r="P130" i="88"/>
  <c r="Y136" i="94"/>
  <c r="P76" i="91"/>
  <c r="L103" i="93"/>
  <c r="Q123" i="94"/>
  <c r="Y141" i="84"/>
  <c r="Q66" i="82"/>
  <c r="Y148" i="91"/>
  <c r="Y75" i="89"/>
  <c r="Z27" i="93"/>
  <c r="Q119" i="88"/>
  <c r="Y142" i="88"/>
  <c r="P66" i="85"/>
  <c r="Q99" i="92"/>
  <c r="Z83" i="91"/>
  <c r="Y175" i="91"/>
  <c r="O89" i="82"/>
  <c r="Z90" i="91"/>
  <c r="P180" i="88"/>
  <c r="X101" i="94"/>
  <c r="AA148" i="89"/>
  <c r="Z129" i="93"/>
  <c r="Q90" i="82"/>
  <c r="L115" i="93"/>
  <c r="Z83" i="87"/>
  <c r="Z74" i="88"/>
  <c r="AA145" i="91"/>
  <c r="AB83" i="93"/>
  <c r="P138" i="89"/>
  <c r="N78" i="88"/>
  <c r="AB17" i="81"/>
  <c r="P95" i="87"/>
  <c r="M53" i="87"/>
  <c r="AB78" i="81"/>
  <c r="Y27" i="93"/>
  <c r="L68" i="84"/>
  <c r="Z101" i="92"/>
  <c r="AA72" i="88"/>
  <c r="L140" i="88"/>
  <c r="P115" i="88"/>
  <c r="AA123" i="94"/>
  <c r="O79" i="93"/>
  <c r="O125" i="81"/>
  <c r="L160" i="85"/>
  <c r="AB166" i="83"/>
  <c r="AA47" i="84"/>
  <c r="Z67" i="84"/>
  <c r="L92" i="93"/>
  <c r="AB108" i="88"/>
  <c r="X72" i="94"/>
  <c r="O169" i="92"/>
  <c r="Z68" i="82"/>
  <c r="Q37" i="85"/>
  <c r="L131" i="94"/>
  <c r="M27" i="92"/>
  <c r="AB122" i="93"/>
  <c r="Z136" i="92"/>
  <c r="P184" i="84"/>
  <c r="Q97" i="92"/>
  <c r="Y131" i="93"/>
  <c r="P93" i="93"/>
  <c r="AA130" i="91"/>
  <c r="N177" i="82"/>
  <c r="P65" i="93"/>
  <c r="L168" i="92"/>
  <c r="Z45" i="94"/>
  <c r="Z19" i="91"/>
  <c r="L88" i="88"/>
  <c r="AA162" i="92"/>
  <c r="X180" i="84"/>
  <c r="X128" i="89"/>
  <c r="AA131" i="82"/>
  <c r="Y173" i="81"/>
  <c r="L102" i="91"/>
  <c r="X108" i="93"/>
  <c r="Q103" i="81"/>
  <c r="N75" i="83"/>
  <c r="X153" i="92"/>
  <c r="P149" i="81"/>
  <c r="X86" i="91"/>
  <c r="Z108" i="93"/>
  <c r="Q103" i="91"/>
  <c r="P43" i="93"/>
  <c r="X64" i="89"/>
  <c r="AB127" i="91"/>
  <c r="O70" i="93"/>
  <c r="Y168" i="92"/>
  <c r="Y65" i="83"/>
  <c r="AB166" i="88"/>
  <c r="P106" i="92"/>
  <c r="AA122" i="94"/>
  <c r="AA157" i="93"/>
  <c r="X103" i="89"/>
  <c r="AA69" i="88"/>
  <c r="Z81" i="92"/>
  <c r="X133" i="85"/>
  <c r="M25" i="94"/>
  <c r="Y9" i="84"/>
  <c r="Q117" i="91"/>
  <c r="AB156" i="81"/>
  <c r="L165" i="82"/>
  <c r="AB114" i="81"/>
  <c r="Z41" i="89"/>
  <c r="Z41" i="83"/>
  <c r="AB81" i="92"/>
  <c r="Z177" i="88"/>
  <c r="Z151" i="88"/>
  <c r="L107" i="94"/>
  <c r="O109" i="91"/>
  <c r="N129" i="87"/>
  <c r="P75" i="85"/>
  <c r="Y95" i="94"/>
  <c r="O105" i="83"/>
  <c r="X173" i="92"/>
  <c r="Q106" i="94"/>
  <c r="L71" i="94"/>
  <c r="N168" i="91"/>
  <c r="N174" i="91"/>
  <c r="AA107" i="89"/>
  <c r="O92" i="92"/>
  <c r="P35" i="94"/>
  <c r="AB68" i="92"/>
  <c r="L71" i="91"/>
  <c r="Q80" i="94"/>
  <c r="P33" i="84"/>
  <c r="Q164" i="94"/>
  <c r="Z171" i="84"/>
  <c r="AB176" i="88"/>
  <c r="Q89" i="88"/>
  <c r="AB82" i="94"/>
  <c r="Q167" i="92"/>
  <c r="AA103" i="94"/>
  <c r="L169" i="82"/>
  <c r="Z27" i="91"/>
  <c r="L166" i="82"/>
  <c r="L113" i="88"/>
  <c r="P66" i="82"/>
  <c r="Z159" i="74"/>
  <c r="O130" i="91"/>
  <c r="L86" i="84"/>
  <c r="M39" i="84"/>
  <c r="N144" i="89"/>
  <c r="Z39" i="92"/>
  <c r="AB45" i="94"/>
  <c r="Z74" i="82"/>
  <c r="Z155" i="91"/>
  <c r="Z134" i="87"/>
  <c r="O108" i="92"/>
  <c r="X65" i="93"/>
  <c r="P172" i="82"/>
  <c r="Y111" i="88"/>
  <c r="P180" i="92"/>
  <c r="AA31" i="81"/>
  <c r="AA120" i="93"/>
  <c r="Y95" i="92"/>
  <c r="O104" i="94"/>
  <c r="Q183" i="92"/>
  <c r="AA177" i="92"/>
  <c r="X148" i="89"/>
  <c r="AA137" i="74"/>
  <c r="AA85" i="89"/>
  <c r="T51" i="87"/>
  <c r="X131" i="91"/>
  <c r="Y25" i="82"/>
  <c r="Y98" i="93"/>
  <c r="AB80" i="91"/>
  <c r="Q107" i="85"/>
  <c r="O97" i="89"/>
  <c r="AA77" i="94"/>
  <c r="Z72" i="93"/>
  <c r="X69" i="91"/>
  <c r="L111" i="94"/>
  <c r="X98" i="93"/>
  <c r="Y29" i="93"/>
  <c r="Y98" i="87"/>
  <c r="O177" i="94"/>
  <c r="Z49" i="93"/>
  <c r="Q181" i="89"/>
  <c r="X128" i="94"/>
  <c r="T174" i="88"/>
  <c r="N184" i="84"/>
  <c r="Y53" i="82"/>
  <c r="Z165" i="88"/>
  <c r="Z59" i="92"/>
  <c r="AA107" i="92"/>
  <c r="AB35" i="87"/>
  <c r="X133" i="91"/>
  <c r="N174" i="89"/>
  <c r="Y176" i="91"/>
  <c r="L102" i="87"/>
  <c r="O73" i="89"/>
  <c r="L149" i="85"/>
  <c r="N105" i="94"/>
  <c r="X11" i="91"/>
  <c r="AA89" i="83"/>
  <c r="Y86" i="94"/>
  <c r="N108" i="93"/>
  <c r="P25" i="93"/>
  <c r="AA155" i="85"/>
  <c r="Z108" i="84"/>
  <c r="O84" i="91"/>
  <c r="N126" i="93"/>
  <c r="P72" i="88"/>
  <c r="P141" i="89"/>
  <c r="N141" i="92"/>
  <c r="Q109" i="94"/>
  <c r="Q99" i="91"/>
  <c r="O184" i="84"/>
  <c r="Q29" i="92"/>
  <c r="X132" i="94"/>
  <c r="T81" i="88"/>
  <c r="X57" i="81"/>
  <c r="Y141" i="87"/>
  <c r="AA152" i="92"/>
  <c r="Y141" i="74"/>
  <c r="Q163" i="94"/>
  <c r="O25" i="94"/>
  <c r="AB135" i="88"/>
  <c r="O139" i="92"/>
  <c r="P103" i="87"/>
  <c r="X73" i="89"/>
  <c r="Y103" i="93"/>
  <c r="P172" i="87"/>
  <c r="L66" i="83"/>
  <c r="O82" i="81"/>
  <c r="AB130" i="92"/>
  <c r="O182" i="81"/>
  <c r="N21" i="88"/>
  <c r="AA31" i="91"/>
  <c r="N174" i="93"/>
  <c r="O68" i="85"/>
  <c r="Y114" i="94"/>
  <c r="AA9" i="94"/>
  <c r="Q184" i="82"/>
  <c r="AB117" i="85"/>
  <c r="O139" i="83"/>
  <c r="AA47" i="91"/>
  <c r="O103" i="89"/>
  <c r="N93" i="91"/>
  <c r="Z161" i="92"/>
  <c r="X136" i="93"/>
  <c r="P138" i="91"/>
  <c r="N177" i="83"/>
  <c r="Y149" i="92"/>
  <c r="P71" i="92"/>
  <c r="X143" i="87"/>
  <c r="O98" i="94"/>
  <c r="AB176" i="87"/>
  <c r="O127" i="89"/>
  <c r="L108" i="88"/>
  <c r="T21" i="88"/>
  <c r="X66" i="94"/>
  <c r="L139" i="81"/>
  <c r="AB53" i="91"/>
  <c r="AB135" i="94"/>
  <c r="Q84" i="89"/>
  <c r="Z176" i="92"/>
  <c r="X81" i="93"/>
  <c r="P170" i="92"/>
  <c r="AB159" i="93"/>
  <c r="L82" i="88"/>
  <c r="X152" i="94"/>
  <c r="X107" i="88"/>
  <c r="L182" i="92"/>
  <c r="P45" i="89"/>
  <c r="Y13" i="91"/>
  <c r="X102" i="91"/>
  <c r="Y43" i="74"/>
  <c r="L185" i="88"/>
  <c r="Z124" i="92"/>
  <c r="Z121" i="91"/>
  <c r="X72" i="93"/>
  <c r="O61" i="83"/>
  <c r="P133" i="93"/>
  <c r="Z128" i="83"/>
  <c r="M17" i="92"/>
  <c r="Y33" i="87"/>
  <c r="Y33" i="81"/>
  <c r="Z68" i="87"/>
  <c r="Z146" i="81"/>
  <c r="P159" i="94"/>
  <c r="L76" i="87"/>
  <c r="X140" i="91"/>
  <c r="Z47" i="91"/>
  <c r="Y135" i="85"/>
  <c r="Q161" i="91"/>
  <c r="Z177" i="92"/>
  <c r="T114" i="87"/>
  <c r="X147" i="92"/>
  <c r="Z114" i="92"/>
  <c r="Z23" i="93"/>
  <c r="Y73" i="92"/>
  <c r="Z152" i="91"/>
  <c r="AA153" i="84"/>
  <c r="P37" i="92"/>
  <c r="Y84" i="94"/>
  <c r="Y51" i="93"/>
  <c r="O35" i="93"/>
  <c r="L176" i="89"/>
  <c r="P123" i="91"/>
  <c r="AA91" i="93"/>
  <c r="X61" i="93"/>
  <c r="X11" i="89"/>
  <c r="AA27" i="89"/>
  <c r="AA131" i="93"/>
  <c r="AB169" i="88"/>
  <c r="Q129" i="89"/>
  <c r="P107" i="89"/>
  <c r="X136" i="91"/>
  <c r="O176" i="92"/>
  <c r="AB137" i="94"/>
  <c r="Q140" i="92"/>
  <c r="AA151" i="93"/>
  <c r="X77" i="92"/>
  <c r="Y90" i="92"/>
  <c r="Z79" i="74"/>
  <c r="P75" i="87"/>
  <c r="N117" i="92"/>
  <c r="Q47" i="89"/>
  <c r="AA133" i="87"/>
  <c r="P122" i="87"/>
  <c r="AA25" i="87"/>
  <c r="Q164" i="92"/>
  <c r="X135" i="94"/>
  <c r="Z127" i="85"/>
  <c r="AA168" i="91"/>
  <c r="AB21" i="91"/>
  <c r="AB127" i="93"/>
  <c r="AB153" i="94"/>
  <c r="L127" i="84"/>
  <c r="AB31" i="91"/>
  <c r="Y47" i="94"/>
  <c r="O180" i="88"/>
  <c r="P19" i="94"/>
  <c r="Y25" i="84"/>
  <c r="Q107" i="92"/>
  <c r="O177" i="91"/>
  <c r="AA103" i="92"/>
  <c r="L65" i="94"/>
  <c r="P105" i="82"/>
  <c r="L64" i="94"/>
  <c r="Z49" i="85"/>
  <c r="N9" i="93"/>
  <c r="O100" i="92"/>
  <c r="O71" i="88"/>
  <c r="P41" i="87"/>
  <c r="AB35" i="91"/>
  <c r="AA74" i="87"/>
  <c r="AA107" i="87"/>
  <c r="P183" i="84"/>
  <c r="Y92" i="81"/>
  <c r="O139" i="87"/>
  <c r="Y156" i="91"/>
  <c r="AA59" i="88"/>
  <c r="Q75" i="92"/>
  <c r="Q183" i="93"/>
  <c r="Z170" i="92"/>
  <c r="Y146" i="82"/>
  <c r="AA112" i="82"/>
  <c r="Q72" i="84"/>
  <c r="Z45" i="87"/>
  <c r="L136" i="92"/>
  <c r="L103" i="87"/>
  <c r="P43" i="94"/>
  <c r="L175" i="91"/>
  <c r="Q115" i="94"/>
  <c r="P91" i="88"/>
  <c r="AA61" i="87"/>
  <c r="AA86" i="84"/>
  <c r="P109" i="92"/>
  <c r="Y110" i="83"/>
  <c r="Z92" i="83"/>
  <c r="L155" i="84"/>
  <c r="O123" i="93"/>
  <c r="Q115" i="92"/>
  <c r="P57" i="91"/>
  <c r="Z19" i="87"/>
  <c r="X141" i="84"/>
  <c r="O124" i="81"/>
  <c r="Q134" i="83"/>
  <c r="T117" i="91"/>
  <c r="AB159" i="89"/>
  <c r="Q87" i="87"/>
  <c r="N102" i="93"/>
  <c r="Q31" i="93"/>
  <c r="AB70" i="89"/>
  <c r="L112" i="91"/>
  <c r="Y83" i="87"/>
  <c r="P121" i="91"/>
  <c r="Y136" i="88"/>
  <c r="AA92" i="88"/>
  <c r="Z98" i="88"/>
  <c r="X141" i="93"/>
  <c r="Z105" i="94"/>
  <c r="Z111" i="91"/>
  <c r="P174" i="92"/>
  <c r="AB124" i="88"/>
  <c r="Q83" i="91"/>
  <c r="P97" i="82"/>
  <c r="X98" i="92"/>
  <c r="AB59" i="89"/>
  <c r="L110" i="87"/>
  <c r="L80" i="93"/>
  <c r="O142" i="91"/>
  <c r="X155" i="74"/>
  <c r="N90" i="94"/>
  <c r="Y33" i="92"/>
  <c r="AA128" i="74"/>
  <c r="AB163" i="88"/>
  <c r="P37" i="85"/>
  <c r="Q138" i="82"/>
  <c r="P87" i="88"/>
  <c r="O87" i="94"/>
  <c r="AB109" i="87"/>
  <c r="P45" i="91"/>
  <c r="O171" i="88"/>
  <c r="M27" i="93"/>
  <c r="N99" i="89"/>
  <c r="Q131" i="87"/>
  <c r="X53" i="88"/>
  <c r="Z156" i="89"/>
  <c r="Q37" i="94"/>
  <c r="O80" i="84"/>
  <c r="AA143" i="91"/>
  <c r="N99" i="93"/>
  <c r="AB51" i="89"/>
  <c r="Q167" i="89"/>
  <c r="Q167" i="93"/>
  <c r="O43" i="89"/>
  <c r="Z55" i="89"/>
  <c r="M19" i="82"/>
  <c r="Q159" i="85"/>
  <c r="Z172" i="88"/>
  <c r="AB67" i="91"/>
  <c r="AA172" i="87"/>
  <c r="Z174" i="88"/>
  <c r="L107" i="87"/>
  <c r="AB31" i="94"/>
  <c r="Z107" i="88"/>
  <c r="Z35" i="81"/>
  <c r="X127" i="94"/>
  <c r="O64" i="89"/>
  <c r="Q35" i="81"/>
  <c r="Q96" i="94"/>
  <c r="P168" i="91"/>
  <c r="P127" i="93"/>
  <c r="X47" i="94"/>
  <c r="P164" i="81"/>
  <c r="Z111" i="89"/>
  <c r="P31" i="87"/>
  <c r="N185" i="87"/>
  <c r="Y157" i="93"/>
  <c r="P79" i="91"/>
  <c r="Q97" i="83"/>
  <c r="O116" i="92"/>
  <c r="L146" i="91"/>
  <c r="O139" i="81"/>
  <c r="Z114" i="91"/>
  <c r="X139" i="85"/>
  <c r="L72" i="92"/>
  <c r="P95" i="74"/>
  <c r="Q94" i="87"/>
  <c r="Y100" i="87"/>
  <c r="AA91" i="94"/>
  <c r="X15" i="94"/>
  <c r="X100" i="93"/>
  <c r="N57" i="88"/>
  <c r="X84" i="92"/>
  <c r="X113" i="83"/>
  <c r="AA156" i="93"/>
  <c r="M41" i="89"/>
  <c r="Q61" i="84"/>
  <c r="P63" i="91"/>
  <c r="P93" i="94"/>
  <c r="L175" i="94"/>
  <c r="Z43" i="94"/>
  <c r="Q93" i="91"/>
  <c r="L137" i="92"/>
  <c r="N183" i="93"/>
  <c r="AA91" i="88"/>
  <c r="Z102" i="74"/>
  <c r="P82" i="83"/>
  <c r="Y37" i="91"/>
  <c r="P90" i="87"/>
  <c r="AB118" i="92"/>
  <c r="AA88" i="87"/>
  <c r="P63" i="85"/>
  <c r="AB175" i="87"/>
  <c r="Q169" i="92"/>
  <c r="Y85" i="87"/>
  <c r="X180" i="93"/>
  <c r="Y122" i="92"/>
  <c r="AA172" i="92"/>
  <c r="AB161" i="89"/>
  <c r="L79" i="94"/>
  <c r="AA101" i="89"/>
  <c r="P63" i="89"/>
  <c r="O136" i="84"/>
  <c r="Z138" i="92"/>
  <c r="N78" i="82"/>
  <c r="O110" i="93"/>
  <c r="X155" i="89"/>
  <c r="Y23" i="93"/>
  <c r="Z146" i="93"/>
  <c r="L127" i="81"/>
  <c r="Q49" i="94"/>
  <c r="P96" i="94"/>
  <c r="L95" i="88"/>
  <c r="N120" i="84"/>
  <c r="O135" i="85"/>
  <c r="AB165" i="93"/>
  <c r="L93" i="93"/>
  <c r="O182" i="91"/>
  <c r="N184" i="82"/>
  <c r="Y112" i="85"/>
  <c r="O171" i="93"/>
  <c r="Y63" i="83"/>
  <c r="P90" i="94"/>
  <c r="AA70" i="94"/>
  <c r="AB126" i="87"/>
  <c r="Z162" i="92"/>
  <c r="Y35" i="94"/>
  <c r="AB156" i="92"/>
  <c r="Y147" i="93"/>
  <c r="P166" i="82"/>
  <c r="Z120" i="81"/>
  <c r="P100" i="94"/>
  <c r="X96" i="94"/>
  <c r="Q159" i="84"/>
  <c r="Z161" i="84"/>
  <c r="AA168" i="87"/>
  <c r="P178" i="94"/>
  <c r="X51" i="92"/>
  <c r="Q122" i="92"/>
  <c r="Y152" i="87"/>
  <c r="AB107" i="94"/>
  <c r="Q160" i="74"/>
  <c r="Q165" i="89"/>
  <c r="O151" i="87"/>
  <c r="N129" i="93"/>
  <c r="Q68" i="92"/>
  <c r="AA170" i="87"/>
  <c r="P109" i="94"/>
  <c r="Q138" i="91"/>
  <c r="O73" i="87"/>
  <c r="O98" i="93"/>
  <c r="N75" i="92"/>
  <c r="X61" i="84"/>
  <c r="P131" i="89"/>
  <c r="O45" i="94"/>
  <c r="AB148" i="92"/>
  <c r="P102" i="74"/>
  <c r="AA150" i="81"/>
  <c r="T126" i="91"/>
  <c r="Q98" i="89"/>
  <c r="AB133" i="92"/>
  <c r="Z173" i="92"/>
  <c r="O45" i="84"/>
  <c r="Q166" i="81"/>
  <c r="Q21" i="85"/>
  <c r="X13" i="92"/>
  <c r="O59" i="89"/>
  <c r="Q121" i="91"/>
  <c r="X29" i="94"/>
  <c r="AA133" i="88"/>
  <c r="X31" i="84"/>
  <c r="X124" i="82"/>
  <c r="P33" i="94"/>
  <c r="L124" i="93"/>
  <c r="Z87" i="91"/>
  <c r="Q132" i="92"/>
  <c r="AB142" i="92"/>
  <c r="O106" i="92"/>
  <c r="Q74" i="92"/>
  <c r="AB148" i="87"/>
  <c r="P184" i="82"/>
  <c r="T168" i="82"/>
  <c r="Q95" i="93"/>
  <c r="X123" i="84"/>
  <c r="T87" i="74"/>
  <c r="Y125" i="94"/>
  <c r="Q88" i="83"/>
  <c r="Z29" i="87"/>
  <c r="AB150" i="88"/>
  <c r="Q55" i="92"/>
  <c r="Z138" i="87"/>
  <c r="AB57" i="81"/>
  <c r="Y163" i="82"/>
  <c r="Z66" i="93"/>
  <c r="P136" i="84"/>
  <c r="Y146" i="88"/>
  <c r="L147" i="89"/>
  <c r="AB120" i="93"/>
  <c r="P149" i="94"/>
  <c r="Z128" i="94"/>
  <c r="X51" i="83"/>
  <c r="X170" i="92"/>
  <c r="AB71" i="91"/>
  <c r="X121" i="93"/>
  <c r="X13" i="94"/>
  <c r="P79" i="92"/>
  <c r="O27" i="89"/>
  <c r="AA157" i="91"/>
  <c r="N159" i="92"/>
  <c r="L163" i="93"/>
  <c r="Y102" i="84"/>
  <c r="O100" i="93"/>
  <c r="X13" i="89"/>
  <c r="Q137" i="89"/>
  <c r="Q75" i="89"/>
  <c r="Q68" i="87"/>
  <c r="P83" i="93"/>
  <c r="AB105" i="89"/>
  <c r="N78" i="89"/>
  <c r="O145" i="93"/>
  <c r="P102" i="88"/>
  <c r="AA110" i="94"/>
  <c r="L146" i="93"/>
  <c r="P39" i="92"/>
  <c r="Z118" i="93"/>
  <c r="AA79" i="93"/>
  <c r="X167" i="82"/>
  <c r="AA76" i="93"/>
  <c r="AA103" i="89"/>
  <c r="AA136" i="87"/>
  <c r="AB91" i="88"/>
  <c r="Y104" i="88"/>
  <c r="P31" i="92"/>
  <c r="M15" i="94"/>
  <c r="O176" i="93"/>
  <c r="AB25" i="84"/>
  <c r="N184" i="92"/>
  <c r="AB163" i="87"/>
  <c r="T138" i="83"/>
  <c r="Q151" i="89"/>
  <c r="Z100" i="88"/>
  <c r="AB132" i="87"/>
  <c r="T141" i="83"/>
  <c r="N153" i="94"/>
  <c r="P76" i="93"/>
  <c r="Z75" i="84"/>
  <c r="L106" i="82"/>
  <c r="O15" i="84"/>
  <c r="O177" i="87"/>
  <c r="M17" i="91"/>
  <c r="Y144" i="88"/>
  <c r="X70" i="94"/>
  <c r="O41" i="94"/>
  <c r="Q49" i="88"/>
  <c r="AB64" i="94"/>
  <c r="AB83" i="92"/>
  <c r="Y137" i="94"/>
  <c r="P65" i="84"/>
  <c r="O33" i="82"/>
  <c r="P9" i="89"/>
  <c r="O29" i="94"/>
  <c r="Z151" i="85"/>
  <c r="AB68" i="93"/>
  <c r="P184" i="83"/>
  <c r="Z115" i="94"/>
  <c r="AB154" i="88"/>
  <c r="N120" i="94"/>
  <c r="AA84" i="89"/>
  <c r="Y132" i="94"/>
  <c r="O91" i="91"/>
  <c r="P142" i="93"/>
  <c r="L155" i="85"/>
  <c r="N57" i="91"/>
  <c r="T177" i="81"/>
  <c r="AB91" i="94"/>
  <c r="X71" i="82"/>
  <c r="Q176" i="93"/>
  <c r="Q70" i="92"/>
  <c r="Z168" i="89"/>
  <c r="Z47" i="92"/>
  <c r="O167" i="81"/>
  <c r="X129" i="93"/>
  <c r="O59" i="74"/>
  <c r="AA168" i="94"/>
  <c r="AA137" i="83"/>
  <c r="AA173" i="92"/>
  <c r="P145" i="87"/>
  <c r="Q145" i="85"/>
  <c r="Z41" i="87"/>
  <c r="O86" i="93"/>
  <c r="P21" i="92"/>
  <c r="X61" i="88"/>
  <c r="X119" i="93"/>
  <c r="L96" i="85"/>
  <c r="AA131" i="91"/>
  <c r="O74" i="87"/>
  <c r="L183" i="93"/>
  <c r="L154" i="81"/>
  <c r="Z76" i="92"/>
  <c r="AB105" i="87"/>
  <c r="AA61" i="92"/>
  <c r="Y15" i="94"/>
  <c r="N126" i="85"/>
  <c r="O155" i="82"/>
  <c r="N185" i="84"/>
  <c r="AB98" i="93"/>
  <c r="Z92" i="87"/>
  <c r="AA87" i="92"/>
  <c r="O161" i="93"/>
  <c r="L80" i="85"/>
  <c r="Q139" i="89"/>
  <c r="L141" i="87"/>
  <c r="X124" i="93"/>
  <c r="AB132" i="94"/>
  <c r="L135" i="92"/>
  <c r="O71" i="84"/>
  <c r="Q72" i="94"/>
  <c r="O55" i="87"/>
  <c r="P82" i="94"/>
  <c r="Z115" i="88"/>
  <c r="X116" i="92"/>
  <c r="Q129" i="93"/>
  <c r="Q71" i="92"/>
  <c r="N9" i="81"/>
  <c r="AA153" i="93"/>
  <c r="AB33" i="89"/>
  <c r="P15" i="91"/>
  <c r="L150" i="92"/>
  <c r="AB113" i="94"/>
  <c r="P126" i="88"/>
  <c r="Z123" i="82"/>
  <c r="AB51" i="94"/>
  <c r="Q103" i="87"/>
  <c r="P109" i="74"/>
  <c r="Y139" i="89"/>
  <c r="L117" i="94"/>
  <c r="AB41" i="94"/>
  <c r="Q80" i="93"/>
  <c r="AB13" i="88"/>
  <c r="Z135" i="93"/>
  <c r="AA127" i="92"/>
  <c r="O119" i="89"/>
  <c r="X177" i="87"/>
  <c r="Q105" i="89"/>
  <c r="Q51" i="83"/>
  <c r="L182" i="93"/>
  <c r="L154" i="94"/>
  <c r="Y78" i="88"/>
  <c r="AB132" i="92"/>
  <c r="N63" i="94"/>
  <c r="AB100" i="93"/>
  <c r="Z15" i="83"/>
  <c r="Z107" i="91"/>
  <c r="O86" i="83"/>
  <c r="P72" i="93"/>
  <c r="Z35" i="91"/>
  <c r="L158" i="88"/>
  <c r="X69" i="92"/>
  <c r="P98" i="92"/>
  <c r="L125" i="94"/>
  <c r="Q131" i="92"/>
  <c r="P89" i="89"/>
  <c r="Z104" i="92"/>
  <c r="Q141" i="88"/>
  <c r="Q47" i="92"/>
  <c r="X77" i="85"/>
  <c r="O163" i="84"/>
  <c r="Q31" i="94"/>
  <c r="AA17" i="91"/>
  <c r="AB127" i="85"/>
  <c r="T135" i="88"/>
  <c r="L84" i="88"/>
  <c r="N185" i="88"/>
  <c r="O103" i="88"/>
  <c r="Z149" i="88"/>
  <c r="O15" i="93"/>
  <c r="X151" i="88"/>
  <c r="Y164" i="92"/>
  <c r="Q154" i="89"/>
  <c r="Y29" i="89"/>
  <c r="AA125" i="91"/>
  <c r="L141" i="81"/>
  <c r="Q162" i="94"/>
  <c r="X49" i="91"/>
  <c r="Q165" i="94"/>
  <c r="AB173" i="92"/>
  <c r="Q89" i="89"/>
  <c r="P150" i="93"/>
  <c r="Z134" i="88"/>
  <c r="P124" i="89"/>
  <c r="O152" i="88"/>
  <c r="Q78" i="89"/>
  <c r="L115" i="87"/>
  <c r="L183" i="91"/>
  <c r="Y66" i="89"/>
  <c r="X139" i="93"/>
  <c r="Z123" i="87"/>
  <c r="AA117" i="94"/>
  <c r="P87" i="92"/>
  <c r="AA97" i="84"/>
  <c r="L124" i="91"/>
  <c r="X100" i="94"/>
  <c r="T171" i="88"/>
  <c r="X85" i="93"/>
  <c r="Y99" i="87"/>
  <c r="L139" i="93"/>
  <c r="L104" i="92"/>
  <c r="Q176" i="94"/>
  <c r="N93" i="82"/>
  <c r="AA55" i="82"/>
  <c r="Q127" i="85"/>
  <c r="X17" i="74"/>
  <c r="Y168" i="94"/>
  <c r="L154" i="92"/>
  <c r="X112" i="89"/>
  <c r="L145" i="94"/>
  <c r="O67" i="87"/>
  <c r="N141" i="94"/>
  <c r="T156" i="85"/>
  <c r="O102" i="82"/>
  <c r="AB124" i="87"/>
  <c r="AB143" i="93"/>
  <c r="X124" i="92"/>
  <c r="M19" i="89"/>
  <c r="Q114" i="94"/>
  <c r="Y154" i="92"/>
  <c r="Q144" i="92"/>
  <c r="O106" i="85"/>
  <c r="AA149" i="93"/>
  <c r="Q153" i="87"/>
  <c r="AA175" i="88"/>
  <c r="AB126" i="92"/>
  <c r="O152" i="91"/>
  <c r="L101" i="94"/>
  <c r="P57" i="94"/>
  <c r="Y145" i="89"/>
  <c r="O89" i="94"/>
  <c r="AA165" i="91"/>
  <c r="Y69" i="88"/>
  <c r="P114" i="92"/>
  <c r="P41" i="94"/>
  <c r="AA65" i="85"/>
  <c r="X170" i="89"/>
  <c r="Q39" i="83"/>
  <c r="L103" i="94"/>
  <c r="Y158" i="89"/>
  <c r="L175" i="81"/>
  <c r="Y108" i="88"/>
  <c r="M19" i="91"/>
  <c r="AA64" i="89"/>
  <c r="X145" i="91"/>
  <c r="Q51" i="94"/>
  <c r="Y31" i="94"/>
  <c r="Z109" i="94"/>
  <c r="Z88" i="85"/>
  <c r="Y128" i="93"/>
  <c r="Z31" i="93"/>
  <c r="P113" i="92"/>
  <c r="P45" i="92"/>
  <c r="Q27" i="93"/>
  <c r="AA138" i="93"/>
  <c r="P99" i="91"/>
  <c r="AA31" i="92"/>
  <c r="O178" i="92"/>
  <c r="Q73" i="94"/>
  <c r="N105" i="82"/>
  <c r="Z69" i="89"/>
  <c r="Y81" i="83"/>
  <c r="Q134" i="89"/>
  <c r="O75" i="83"/>
  <c r="AA106" i="94"/>
  <c r="X119" i="89"/>
  <c r="O171" i="87"/>
  <c r="O59" i="91"/>
  <c r="P112" i="94"/>
  <c r="AA166" i="88"/>
  <c r="O132" i="88"/>
  <c r="Z78" i="93"/>
  <c r="Z140" i="85"/>
  <c r="P133" i="92"/>
  <c r="Z174" i="93"/>
  <c r="M17" i="85"/>
  <c r="Z64" i="93"/>
  <c r="AA107" i="88"/>
  <c r="L143" i="85"/>
  <c r="Y176" i="93"/>
  <c r="AA72" i="84"/>
  <c r="X163" i="88"/>
  <c r="X156" i="93"/>
  <c r="X171" i="87"/>
  <c r="L84" i="89"/>
  <c r="T129" i="83"/>
  <c r="Z57" i="93"/>
  <c r="AA91" i="82"/>
  <c r="O107" i="87"/>
  <c r="AB172" i="88"/>
  <c r="AB110" i="88"/>
  <c r="L114" i="85"/>
  <c r="L121" i="88"/>
  <c r="Q157" i="92"/>
  <c r="Q142" i="87"/>
  <c r="O99" i="94"/>
  <c r="P123" i="94"/>
  <c r="Q90" i="88"/>
  <c r="AB172" i="93"/>
  <c r="L173" i="87"/>
  <c r="O175" i="91"/>
  <c r="P134" i="93"/>
  <c r="Q171" i="92"/>
  <c r="O119" i="94"/>
  <c r="N99" i="74"/>
  <c r="O174" i="93"/>
  <c r="AA83" i="74"/>
  <c r="N33" i="93"/>
  <c r="P89" i="92"/>
  <c r="AA108" i="92"/>
  <c r="N21" i="93"/>
  <c r="Z118" i="88"/>
  <c r="Z61" i="87"/>
  <c r="AA152" i="94"/>
  <c r="L180" i="84"/>
  <c r="O25" i="74"/>
  <c r="O185" i="88"/>
  <c r="O123" i="91"/>
  <c r="AA71" i="89"/>
  <c r="X31" i="93"/>
  <c r="AB93" i="87"/>
  <c r="X144" i="94"/>
  <c r="AB107" i="87"/>
  <c r="Z164" i="94"/>
  <c r="O95" i="94"/>
  <c r="N183" i="91"/>
  <c r="X92" i="92"/>
  <c r="AB39" i="84"/>
  <c r="T168" i="89"/>
  <c r="Z120" i="92"/>
  <c r="M29" i="94"/>
  <c r="O137" i="94"/>
  <c r="AB115" i="88"/>
  <c r="Q76" i="88"/>
  <c r="Z136" i="93"/>
  <c r="AB76" i="94"/>
  <c r="O100" i="91"/>
  <c r="X25" i="91"/>
  <c r="N123" i="94"/>
  <c r="AB126" i="84"/>
  <c r="AA15" i="93"/>
  <c r="T162" i="93"/>
  <c r="P110" i="91"/>
  <c r="AA163" i="83"/>
  <c r="P132" i="92"/>
  <c r="X158" i="94"/>
  <c r="O11" i="94"/>
  <c r="P81" i="91"/>
  <c r="N69" i="91"/>
  <c r="N141" i="93"/>
  <c r="X29" i="87"/>
  <c r="X39" i="88"/>
  <c r="L74" i="92"/>
  <c r="P175" i="94"/>
  <c r="Z102" i="92"/>
  <c r="Y133" i="92"/>
  <c r="Q131" i="83"/>
  <c r="AA137" i="85"/>
  <c r="N33" i="85"/>
  <c r="O84" i="94"/>
  <c r="AB133" i="94"/>
  <c r="P181" i="88"/>
  <c r="Q39" i="91"/>
  <c r="Z61" i="74"/>
  <c r="Y89" i="83"/>
  <c r="O159" i="88"/>
  <c r="P107" i="92"/>
  <c r="O11" i="93"/>
  <c r="Z55" i="94"/>
  <c r="AB112" i="92"/>
  <c r="AB31" i="93"/>
  <c r="P185" i="82"/>
  <c r="Z86" i="93"/>
  <c r="Y177" i="89"/>
  <c r="N183" i="84"/>
  <c r="L153" i="82"/>
  <c r="O33" i="93"/>
  <c r="Z129" i="74"/>
  <c r="Z63" i="82"/>
  <c r="N171" i="85"/>
  <c r="N90" i="81"/>
  <c r="AB107" i="92"/>
  <c r="X85" i="81"/>
  <c r="AA142" i="92"/>
  <c r="P110" i="93"/>
  <c r="Y79" i="87"/>
  <c r="P178" i="89"/>
  <c r="X123" i="88"/>
  <c r="L69" i="74"/>
  <c r="Y113" i="94"/>
  <c r="Q83" i="82"/>
  <c r="P180" i="94"/>
  <c r="P127" i="91"/>
  <c r="O148" i="88"/>
  <c r="Y167" i="85"/>
  <c r="P155" i="91"/>
  <c r="X130" i="89"/>
  <c r="Y75" i="85"/>
  <c r="O118" i="94"/>
  <c r="Z169" i="74"/>
  <c r="Y146" i="91"/>
  <c r="AA176" i="93"/>
  <c r="AA127" i="94"/>
  <c r="P148" i="91"/>
  <c r="Z86" i="92"/>
  <c r="Z13" i="93"/>
  <c r="Q19" i="74"/>
  <c r="X37" i="91"/>
  <c r="P82" i="89"/>
  <c r="AB139" i="92"/>
  <c r="L70" i="92"/>
  <c r="N33" i="87"/>
  <c r="Y120" i="93"/>
  <c r="P100" i="92"/>
  <c r="Y64" i="82"/>
  <c r="AA101" i="88"/>
  <c r="AA151" i="94"/>
  <c r="Z112" i="88"/>
  <c r="M41" i="92"/>
  <c r="AB76" i="81"/>
  <c r="T156" i="91"/>
  <c r="O74" i="93"/>
  <c r="Z97" i="92"/>
  <c r="P171" i="88"/>
  <c r="Q128" i="94"/>
  <c r="AA84" i="92"/>
  <c r="Z120" i="93"/>
  <c r="AB171" i="88"/>
  <c r="T144" i="89"/>
  <c r="O19" i="92"/>
  <c r="Z89" i="83"/>
  <c r="AB152" i="94"/>
  <c r="Z171" i="93"/>
  <c r="Z74" i="92"/>
  <c r="AA141" i="93"/>
  <c r="Q119" i="89"/>
  <c r="AB161" i="93"/>
  <c r="Z172" i="85"/>
  <c r="AB124" i="94"/>
  <c r="AA83" i="94"/>
  <c r="AB94" i="91"/>
  <c r="O184" i="93"/>
  <c r="N123" i="93"/>
  <c r="L76" i="89"/>
  <c r="AB86" i="92"/>
  <c r="X161" i="88"/>
  <c r="Y35" i="92"/>
  <c r="Q112" i="92"/>
  <c r="L123" i="92"/>
  <c r="P110" i="92"/>
  <c r="X96" i="88"/>
  <c r="AA169" i="82"/>
  <c r="O15" i="94"/>
  <c r="P142" i="92"/>
  <c r="P31" i="94"/>
  <c r="L177" i="92"/>
  <c r="Y65" i="89"/>
  <c r="X37" i="93"/>
  <c r="L146" i="94"/>
  <c r="Z100" i="85"/>
  <c r="Z153" i="92"/>
  <c r="AB88" i="94"/>
  <c r="O128" i="93"/>
  <c r="AA160" i="88"/>
  <c r="L69" i="89"/>
  <c r="L112" i="83"/>
  <c r="O140" i="93"/>
  <c r="X66" i="93"/>
  <c r="Q122" i="91"/>
  <c r="L99" i="84"/>
  <c r="X77" i="94"/>
  <c r="AA159" i="93"/>
  <c r="Z87" i="87"/>
  <c r="P127" i="89"/>
  <c r="Q133" i="93"/>
  <c r="Z47" i="81"/>
  <c r="P122" i="94"/>
  <c r="Y121" i="91"/>
  <c r="N84" i="93"/>
  <c r="Z101" i="83"/>
  <c r="Q57" i="84"/>
  <c r="X126" i="94"/>
  <c r="Q165" i="93"/>
  <c r="Y72" i="93"/>
  <c r="P75" i="94"/>
  <c r="Z167" i="89"/>
  <c r="L85" i="94"/>
  <c r="AB90" i="89"/>
  <c r="P51" i="74"/>
  <c r="AB111" i="93"/>
  <c r="N9" i="88"/>
  <c r="Y23" i="94"/>
  <c r="AA69" i="85"/>
  <c r="AB49" i="91"/>
  <c r="O76" i="93"/>
  <c r="Y122" i="81"/>
  <c r="AB141" i="94"/>
  <c r="L75" i="88"/>
  <c r="Z73" i="87"/>
  <c r="T57" i="82"/>
  <c r="AB33" i="93"/>
  <c r="P80" i="87"/>
  <c r="AB98" i="88"/>
  <c r="P126" i="85"/>
  <c r="P120" i="85"/>
  <c r="AB140" i="94"/>
  <c r="L103" i="89"/>
  <c r="O119" i="82"/>
  <c r="P127" i="82"/>
  <c r="Q105" i="81"/>
  <c r="X15" i="89"/>
  <c r="Y126" i="92"/>
  <c r="Q15" i="85"/>
  <c r="Z25" i="93"/>
  <c r="Q76" i="84"/>
  <c r="X107" i="84"/>
  <c r="L134" i="82"/>
  <c r="AB29" i="87"/>
  <c r="L177" i="89"/>
  <c r="AB94" i="92"/>
  <c r="AA147" i="82"/>
  <c r="M43" i="92"/>
  <c r="P128" i="92"/>
  <c r="P89" i="91"/>
  <c r="M31" i="92"/>
  <c r="O149" i="87"/>
  <c r="X147" i="84"/>
  <c r="AA173" i="89"/>
  <c r="X127" i="93"/>
  <c r="Q67" i="74"/>
  <c r="Y170" i="89"/>
  <c r="X174" i="93"/>
  <c r="O13" i="88"/>
  <c r="O94" i="92"/>
  <c r="N45" i="82"/>
  <c r="X27" i="93"/>
  <c r="P130" i="83"/>
  <c r="Z99" i="94"/>
  <c r="Q111" i="92"/>
  <c r="Q184" i="91"/>
  <c r="P179" i="84"/>
  <c r="X120" i="93"/>
  <c r="Y172" i="93"/>
  <c r="AA121" i="92"/>
  <c r="Q136" i="92"/>
  <c r="L169" i="89"/>
  <c r="Y83" i="85"/>
  <c r="O43" i="92"/>
  <c r="P181" i="85"/>
  <c r="AB67" i="89"/>
  <c r="AA150" i="91"/>
  <c r="AA73" i="92"/>
  <c r="O153" i="81"/>
  <c r="AB132" i="89"/>
  <c r="O92" i="83"/>
  <c r="L116" i="92"/>
  <c r="P23" i="93"/>
  <c r="AA103" i="87"/>
  <c r="O27" i="94"/>
  <c r="AA19" i="92"/>
  <c r="AB119" i="94"/>
  <c r="L156" i="93"/>
  <c r="P47" i="82"/>
  <c r="P145" i="93"/>
  <c r="Q15" i="81"/>
  <c r="Q123" i="84"/>
  <c r="P11" i="93"/>
  <c r="X125" i="91"/>
  <c r="AA51" i="84"/>
  <c r="Y151" i="91"/>
  <c r="Y103" i="94"/>
  <c r="AB15" i="92"/>
  <c r="X164" i="83"/>
  <c r="Z98" i="91"/>
  <c r="Y121" i="93"/>
  <c r="AA169" i="87"/>
  <c r="Q121" i="94"/>
  <c r="AA31" i="93"/>
  <c r="Y118" i="83"/>
  <c r="AA90" i="93"/>
  <c r="L146" i="89"/>
  <c r="L104" i="93"/>
  <c r="Q37" i="91"/>
  <c r="X155" i="82"/>
  <c r="Y9" i="93"/>
  <c r="P138" i="74"/>
  <c r="AB70" i="84"/>
  <c r="AB77" i="93"/>
  <c r="Z147" i="91"/>
  <c r="AB156" i="87"/>
  <c r="Y87" i="94"/>
  <c r="AA142" i="84"/>
  <c r="Z126" i="92"/>
  <c r="L179" i="91"/>
  <c r="L87" i="87"/>
  <c r="AB97" i="94"/>
  <c r="Y68" i="93"/>
  <c r="P85" i="93"/>
  <c r="AB144" i="92"/>
  <c r="Z119" i="92"/>
  <c r="O145" i="92"/>
  <c r="L133" i="93"/>
  <c r="AA155" i="87"/>
  <c r="Y9" i="82"/>
  <c r="O31" i="93"/>
  <c r="T132" i="88"/>
  <c r="Y84" i="92"/>
  <c r="L89" i="94"/>
  <c r="Y134" i="88"/>
  <c r="X83" i="94"/>
  <c r="Q79" i="92"/>
  <c r="Y27" i="94"/>
  <c r="Z125" i="89"/>
  <c r="P179" i="91"/>
  <c r="AA89" i="85"/>
  <c r="N108" i="82"/>
  <c r="Z177" i="93"/>
  <c r="AB109" i="88"/>
  <c r="O183" i="81"/>
  <c r="AA169" i="94"/>
  <c r="Y79" i="92"/>
  <c r="O113" i="94"/>
  <c r="P113" i="88"/>
  <c r="L96" i="93"/>
  <c r="N171" i="84"/>
  <c r="X155" i="92"/>
  <c r="X67" i="94"/>
  <c r="Y17" i="74"/>
  <c r="O87" i="92"/>
  <c r="P153" i="83"/>
  <c r="O142" i="88"/>
  <c r="AB173" i="91"/>
  <c r="P104" i="92"/>
  <c r="X164" i="89"/>
  <c r="Q84" i="93"/>
  <c r="AB55" i="85"/>
  <c r="O133" i="93"/>
  <c r="Y157" i="74"/>
  <c r="AB43" i="93"/>
  <c r="AB93" i="84"/>
  <c r="AB149" i="89"/>
  <c r="O119" i="92"/>
  <c r="O107" i="94"/>
  <c r="Y166" i="88"/>
  <c r="N183" i="81"/>
  <c r="Q144" i="81"/>
  <c r="O79" i="87"/>
  <c r="L183" i="74"/>
  <c r="O17" i="94"/>
  <c r="M55" i="94"/>
  <c r="X119" i="92"/>
  <c r="X55" i="91"/>
  <c r="Y170" i="91"/>
  <c r="P100" i="88"/>
  <c r="Y174" i="92"/>
  <c r="L76" i="91"/>
  <c r="X81" i="94"/>
  <c r="O109" i="92"/>
  <c r="Q177" i="94"/>
  <c r="P97" i="83"/>
  <c r="Y80" i="84"/>
  <c r="AB72" i="92"/>
  <c r="L134" i="74"/>
  <c r="Q147" i="88"/>
  <c r="X165" i="92"/>
  <c r="P13" i="91"/>
  <c r="AA180" i="89"/>
  <c r="Q94" i="94"/>
  <c r="Z89" i="93"/>
  <c r="AA162" i="93"/>
  <c r="Z33" i="93"/>
  <c r="X33" i="87"/>
  <c r="Q183" i="74"/>
  <c r="Q29" i="91"/>
  <c r="AA81" i="74"/>
  <c r="Q89" i="93"/>
  <c r="AB65" i="92"/>
  <c r="P151" i="89"/>
  <c r="O29" i="74"/>
  <c r="X124" i="84"/>
  <c r="P153" i="85"/>
  <c r="Y162" i="94"/>
  <c r="AA21" i="89"/>
  <c r="L78" i="92"/>
  <c r="AB123" i="91"/>
  <c r="P183" i="87"/>
  <c r="O88" i="94"/>
  <c r="Y132" i="93"/>
  <c r="L106" i="92"/>
  <c r="Q130" i="87"/>
  <c r="AB171" i="94"/>
  <c r="AB106" i="92"/>
  <c r="Z97" i="84"/>
  <c r="AB122" i="88"/>
  <c r="Q81" i="94"/>
  <c r="Y47" i="87"/>
  <c r="Z115" i="85"/>
  <c r="N108" i="94"/>
  <c r="O128" i="94"/>
  <c r="P134" i="83"/>
  <c r="L172" i="88"/>
  <c r="AB137" i="92"/>
  <c r="AA154" i="87"/>
  <c r="X167" i="91"/>
  <c r="P117" i="92"/>
  <c r="X165" i="84"/>
  <c r="O9" i="92"/>
  <c r="AB114" i="87"/>
  <c r="O129" i="92"/>
  <c r="O29" i="92"/>
  <c r="AB166" i="89"/>
  <c r="AA152" i="91"/>
  <c r="AB116" i="89"/>
  <c r="AA33" i="92"/>
  <c r="P15" i="81"/>
  <c r="Q69" i="89"/>
  <c r="Y88" i="92"/>
  <c r="T51" i="88"/>
  <c r="AB146" i="83"/>
  <c r="Z33" i="83"/>
  <c r="Y77" i="87"/>
  <c r="Y51" i="92"/>
  <c r="X41" i="91"/>
  <c r="O105" i="93"/>
  <c r="Y98" i="94"/>
  <c r="N150" i="94"/>
  <c r="X106" i="83"/>
  <c r="O11" i="91"/>
  <c r="L152" i="85"/>
  <c r="Z104" i="94"/>
  <c r="Y64" i="88"/>
  <c r="O21" i="87"/>
  <c r="AA114" i="93"/>
  <c r="L175" i="85"/>
  <c r="AB114" i="93"/>
  <c r="AB47" i="92"/>
  <c r="AA110" i="91"/>
  <c r="AB93" i="91"/>
  <c r="AA139" i="88"/>
  <c r="P103" i="93"/>
  <c r="AA123" i="85"/>
  <c r="Z35" i="93"/>
  <c r="L122" i="87"/>
  <c r="Q109" i="87"/>
  <c r="O140" i="81"/>
  <c r="Y84" i="89"/>
  <c r="AB160" i="85"/>
  <c r="Z140" i="91"/>
  <c r="Q126" i="87"/>
  <c r="AA59" i="87"/>
  <c r="P157" i="94"/>
  <c r="AB77" i="85"/>
  <c r="L89" i="89"/>
  <c r="M47" i="89"/>
  <c r="O179" i="94"/>
  <c r="Z83" i="84"/>
  <c r="L153" i="91"/>
  <c r="N120" i="87"/>
  <c r="O63" i="94"/>
  <c r="L110" i="92"/>
  <c r="Q113" i="93"/>
  <c r="Q178" i="94"/>
  <c r="L83" i="94"/>
  <c r="Z126" i="91"/>
  <c r="Y31" i="82"/>
  <c r="Q120" i="94"/>
  <c r="X155" i="84"/>
  <c r="AA149" i="89"/>
  <c r="Q39" i="93"/>
  <c r="X158" i="83"/>
  <c r="AA84" i="84"/>
  <c r="O31" i="94"/>
  <c r="AB17" i="85"/>
  <c r="Z45" i="92"/>
  <c r="L130" i="94"/>
  <c r="P169" i="91"/>
  <c r="Q77" i="87"/>
  <c r="O126" i="88"/>
  <c r="X37" i="89"/>
  <c r="AA119" i="89"/>
  <c r="Q124" i="88"/>
  <c r="P168" i="87"/>
  <c r="O19" i="81"/>
  <c r="X175" i="92"/>
  <c r="Y61" i="94"/>
  <c r="O173" i="87"/>
  <c r="O127" i="94"/>
  <c r="Y164" i="91"/>
  <c r="AA145" i="89"/>
  <c r="Z21" i="92"/>
  <c r="AA145" i="94"/>
  <c r="L119" i="94"/>
  <c r="AA174" i="92"/>
  <c r="X102" i="93"/>
  <c r="L169" i="85"/>
  <c r="O166" i="94"/>
  <c r="AB131" i="93"/>
  <c r="Z95" i="81"/>
  <c r="T75" i="81"/>
  <c r="P55" i="88"/>
  <c r="X105" i="81"/>
  <c r="X117" i="93"/>
  <c r="AB175" i="94"/>
  <c r="AA138" i="84"/>
  <c r="O113" i="92"/>
  <c r="Z43" i="85"/>
  <c r="X139" i="94"/>
  <c r="P75" i="82"/>
  <c r="AB69" i="94"/>
  <c r="X147" i="82"/>
  <c r="AA155" i="89"/>
  <c r="Q174" i="93"/>
  <c r="Q122" i="87"/>
  <c r="X119" i="91"/>
  <c r="N75" i="84"/>
  <c r="M39" i="82"/>
  <c r="X163" i="94"/>
  <c r="O77" i="88"/>
  <c r="AB57" i="87"/>
  <c r="Q175" i="94"/>
  <c r="O88" i="88"/>
  <c r="X78" i="93"/>
  <c r="O155" i="92"/>
  <c r="Q84" i="88"/>
  <c r="AB142" i="89"/>
  <c r="AA100" i="83"/>
  <c r="AA155" i="92"/>
  <c r="P144" i="88"/>
  <c r="AA112" i="83"/>
  <c r="P120" i="88"/>
  <c r="X115" i="94"/>
  <c r="L136" i="88"/>
  <c r="Z117" i="89"/>
  <c r="N185" i="94"/>
  <c r="L144" i="88"/>
  <c r="N147" i="89"/>
  <c r="X29" i="88"/>
  <c r="L176" i="87"/>
  <c r="AA149" i="85"/>
  <c r="P101" i="88"/>
  <c r="L96" i="88"/>
  <c r="Y165" i="81"/>
  <c r="AA111" i="92"/>
  <c r="AB101" i="91"/>
  <c r="AA61" i="93"/>
  <c r="L108" i="94"/>
  <c r="P37" i="87"/>
  <c r="Q100" i="89"/>
  <c r="T63" i="91"/>
  <c r="O89" i="91"/>
  <c r="L66" i="85"/>
  <c r="O93" i="93"/>
  <c r="X53" i="94"/>
  <c r="AA39" i="92"/>
  <c r="T171" i="89"/>
  <c r="P13" i="82"/>
  <c r="X27" i="92"/>
  <c r="P106" i="85"/>
  <c r="P81" i="84"/>
  <c r="Q88" i="81"/>
  <c r="Z129" i="92"/>
  <c r="AB103" i="91"/>
  <c r="T69" i="89"/>
  <c r="P135" i="94"/>
  <c r="AA43" i="87"/>
  <c r="O13" i="87"/>
  <c r="L98" i="92"/>
  <c r="P169" i="84"/>
  <c r="Q87" i="93"/>
  <c r="AB49" i="88"/>
  <c r="Q147" i="85"/>
  <c r="O124" i="94"/>
  <c r="N15" i="91"/>
  <c r="Q142" i="91"/>
  <c r="O31" i="87"/>
  <c r="Z90" i="81"/>
  <c r="Q59" i="92"/>
  <c r="X137" i="84"/>
  <c r="N90" i="91"/>
  <c r="Z96" i="89"/>
  <c r="AA23" i="92"/>
  <c r="Y155" i="82"/>
  <c r="Q11" i="93"/>
  <c r="P125" i="94"/>
  <c r="X142" i="92"/>
  <c r="L95" i="94"/>
  <c r="T171" i="91"/>
  <c r="X90" i="88"/>
  <c r="P37" i="93"/>
  <c r="Z153" i="91"/>
  <c r="P109" i="82"/>
  <c r="O74" i="89"/>
  <c r="X157" i="92"/>
  <c r="AA150" i="94"/>
  <c r="X11" i="88"/>
  <c r="AB115" i="93"/>
  <c r="O107" i="91"/>
  <c r="Y81" i="91"/>
  <c r="O43" i="88"/>
  <c r="AA78" i="94"/>
  <c r="AA171" i="87"/>
  <c r="P83" i="91"/>
  <c r="AA157" i="89"/>
  <c r="P125" i="88"/>
  <c r="Q184" i="92"/>
  <c r="P133" i="88"/>
  <c r="Y176" i="89"/>
  <c r="Z71" i="94"/>
  <c r="AA163" i="92"/>
  <c r="L148" i="88"/>
  <c r="O51" i="88"/>
  <c r="AB98" i="91"/>
  <c r="T81" i="87"/>
  <c r="N183" i="83"/>
  <c r="Y176" i="87"/>
  <c r="P121" i="84"/>
  <c r="Y155" i="92"/>
  <c r="P73" i="93"/>
  <c r="AA175" i="94"/>
  <c r="AA162" i="84"/>
  <c r="X49" i="89"/>
  <c r="X95" i="94"/>
  <c r="Q124" i="94"/>
  <c r="P171" i="93"/>
  <c r="P161" i="94"/>
  <c r="Q178" i="87"/>
  <c r="Q82" i="85"/>
  <c r="Q55" i="84"/>
  <c r="O27" i="92"/>
  <c r="Y69" i="85"/>
  <c r="AB106" i="94"/>
  <c r="N114" i="89"/>
  <c r="AA116" i="92"/>
  <c r="Q89" i="92"/>
  <c r="N78" i="87"/>
  <c r="Z151" i="93"/>
  <c r="Y147" i="94"/>
  <c r="P89" i="87"/>
  <c r="P51" i="93"/>
  <c r="L121" i="74"/>
  <c r="AB108" i="92"/>
  <c r="Z97" i="88"/>
  <c r="P82" i="92"/>
  <c r="X87" i="93"/>
  <c r="AB95" i="92"/>
  <c r="X96" i="93"/>
  <c r="AA96" i="88"/>
  <c r="O109" i="87"/>
  <c r="Q43" i="89"/>
  <c r="P71" i="94"/>
  <c r="AA122" i="84"/>
  <c r="Z61" i="92"/>
  <c r="X132" i="88"/>
  <c r="N63" i="93"/>
  <c r="L148" i="92"/>
  <c r="Q159" i="91"/>
  <c r="O67" i="88"/>
  <c r="O145" i="94"/>
  <c r="X166" i="88"/>
  <c r="O153" i="88"/>
  <c r="X88" i="87"/>
  <c r="N168" i="93"/>
  <c r="Q165" i="83"/>
  <c r="Q85" i="93"/>
  <c r="O109" i="82"/>
  <c r="Z68" i="93"/>
  <c r="P152" i="81"/>
  <c r="Y152" i="92"/>
  <c r="Z153" i="93"/>
  <c r="AA101" i="93"/>
  <c r="X143" i="74"/>
  <c r="P93" i="89"/>
  <c r="Q162" i="92"/>
  <c r="P95" i="83"/>
  <c r="O59" i="92"/>
  <c r="X143" i="94"/>
  <c r="Z104" i="88"/>
  <c r="L166" i="81"/>
  <c r="X110" i="85"/>
  <c r="N147" i="94"/>
  <c r="Q127" i="91"/>
  <c r="AB103" i="93"/>
  <c r="N165" i="85"/>
  <c r="X57" i="84"/>
  <c r="AA148" i="92"/>
  <c r="AB76" i="91"/>
  <c r="N117" i="83"/>
  <c r="Q155" i="83"/>
  <c r="O110" i="94"/>
  <c r="Z160" i="94"/>
  <c r="P126" i="94"/>
  <c r="O156" i="92"/>
  <c r="AA108" i="83"/>
  <c r="L101" i="92"/>
  <c r="Y110" i="84"/>
  <c r="AA104" i="81"/>
  <c r="P76" i="89"/>
  <c r="O87" i="81"/>
  <c r="Y29" i="87"/>
  <c r="Y13" i="88"/>
  <c r="M51" i="87"/>
  <c r="L84" i="91"/>
  <c r="Z123" i="94"/>
  <c r="AA116" i="89"/>
  <c r="Z17" i="89"/>
  <c r="L83" i="93"/>
  <c r="Z25" i="94"/>
  <c r="O149" i="92"/>
  <c r="L148" i="87"/>
  <c r="AA141" i="94"/>
  <c r="L68" i="94"/>
  <c r="L140" i="94"/>
  <c r="AA158" i="93"/>
  <c r="L158" i="83"/>
  <c r="AB136" i="87"/>
  <c r="AB43" i="83"/>
  <c r="O142" i="92"/>
  <c r="AB141" i="84"/>
  <c r="AB73" i="83"/>
  <c r="N135" i="89"/>
  <c r="Q123" i="88"/>
  <c r="AA172" i="93"/>
  <c r="M59" i="88"/>
  <c r="P75" i="88"/>
  <c r="Q55" i="94"/>
  <c r="X17" i="91"/>
  <c r="P160" i="94"/>
  <c r="O91" i="89"/>
  <c r="L77" i="94"/>
  <c r="Y128" i="89"/>
  <c r="AB83" i="84"/>
  <c r="Y180" i="93"/>
  <c r="AB66" i="93"/>
  <c r="O47" i="88"/>
  <c r="AA109" i="92"/>
  <c r="Q107" i="74"/>
  <c r="AB177" i="92"/>
  <c r="O95" i="92"/>
  <c r="O134" i="88"/>
  <c r="AB86" i="83"/>
  <c r="P87" i="89"/>
  <c r="O184" i="82"/>
  <c r="AA61" i="94"/>
  <c r="O112" i="93"/>
  <c r="X49" i="94"/>
  <c r="Q128" i="92"/>
  <c r="N180" i="74"/>
  <c r="X98" i="74"/>
  <c r="AA142" i="88"/>
  <c r="Q184" i="83"/>
  <c r="Z162" i="85"/>
  <c r="L165" i="84"/>
  <c r="X161" i="91"/>
  <c r="P167" i="87"/>
  <c r="Z29" i="92"/>
  <c r="AA154" i="94"/>
  <c r="O11" i="74"/>
  <c r="AB67" i="87"/>
  <c r="O172" i="87"/>
  <c r="L153" i="88"/>
  <c r="O71" i="94"/>
  <c r="Z90" i="92"/>
  <c r="P139" i="91"/>
  <c r="X78" i="91"/>
  <c r="Y74" i="93"/>
  <c r="P177" i="85"/>
  <c r="O136" i="89"/>
  <c r="P11" i="92"/>
  <c r="Y114" i="84"/>
  <c r="O77" i="94"/>
  <c r="Y162" i="92"/>
  <c r="N165" i="92"/>
  <c r="Y160" i="91"/>
  <c r="T129" i="89"/>
  <c r="Z175" i="93"/>
  <c r="X140" i="94"/>
  <c r="Z86" i="94"/>
  <c r="AB49" i="83"/>
  <c r="Q106" i="92"/>
  <c r="O180" i="92"/>
  <c r="P164" i="89"/>
  <c r="O65" i="93"/>
  <c r="Q72" i="89"/>
  <c r="Q76" i="91"/>
  <c r="AB166" i="92"/>
  <c r="Z65" i="91"/>
  <c r="Q166" i="89"/>
  <c r="AB70" i="87"/>
  <c r="AA21" i="88"/>
  <c r="P143" i="92"/>
  <c r="P33" i="83"/>
  <c r="AA63" i="89"/>
  <c r="Q164" i="93"/>
  <c r="M59" i="87"/>
  <c r="AB13" i="91"/>
  <c r="Y173" i="93"/>
  <c r="Q173" i="93"/>
  <c r="P118" i="89"/>
  <c r="Z69" i="84"/>
  <c r="Y64" i="93"/>
  <c r="T162" i="85"/>
  <c r="Y110" i="92"/>
  <c r="Y55" i="92"/>
  <c r="Z123" i="89"/>
  <c r="O176" i="85"/>
  <c r="P140" i="93"/>
  <c r="X120" i="84"/>
  <c r="AA29" i="93"/>
  <c r="P51" i="88"/>
  <c r="AB29" i="94"/>
  <c r="X173" i="94"/>
  <c r="L72" i="93"/>
  <c r="AA106" i="93"/>
  <c r="AB160" i="94"/>
  <c r="AA45" i="91"/>
  <c r="Z147" i="94"/>
  <c r="AA84" i="82"/>
  <c r="Z161" i="91"/>
  <c r="AA146" i="85"/>
  <c r="X102" i="88"/>
  <c r="L145" i="93"/>
  <c r="X116" i="94"/>
  <c r="T132" i="87"/>
  <c r="AB90" i="87"/>
  <c r="Q79" i="84"/>
  <c r="O15" i="92"/>
  <c r="Z131" i="89"/>
  <c r="O41" i="88"/>
  <c r="AB66" i="81"/>
  <c r="N183" i="88"/>
  <c r="O78" i="91"/>
  <c r="AB55" i="84"/>
  <c r="N183" i="94"/>
  <c r="P116" i="88"/>
  <c r="AA11" i="74"/>
  <c r="Q37" i="92"/>
  <c r="Q159" i="87"/>
  <c r="X112" i="94"/>
  <c r="Y171" i="94"/>
  <c r="AB11" i="94"/>
  <c r="AA131" i="74"/>
  <c r="P107" i="94"/>
  <c r="O102" i="94"/>
  <c r="X70" i="88"/>
  <c r="Z135" i="94"/>
  <c r="P118" i="81"/>
  <c r="P183" i="93"/>
  <c r="Z112" i="94"/>
  <c r="N66" i="91"/>
  <c r="AB147" i="93"/>
  <c r="P53" i="92"/>
  <c r="AB134" i="85"/>
  <c r="Z162" i="88"/>
  <c r="N72" i="88"/>
  <c r="Y147" i="85"/>
  <c r="AA93" i="92"/>
  <c r="Q85" i="82"/>
  <c r="O75" i="93"/>
  <c r="AB155" i="91"/>
  <c r="AA138" i="88"/>
  <c r="N117" i="88"/>
  <c r="AB43" i="89"/>
  <c r="P141" i="88"/>
  <c r="L146" i="82"/>
  <c r="O183" i="83"/>
  <c r="Q93" i="94"/>
  <c r="O85" i="88"/>
  <c r="Q55" i="93"/>
  <c r="Z134" i="82"/>
  <c r="X137" i="89"/>
  <c r="Y151" i="94"/>
  <c r="Z131" i="94"/>
  <c r="Y25" i="93"/>
  <c r="O154" i="93"/>
  <c r="Q111" i="91"/>
  <c r="AB143" i="83"/>
  <c r="N120" i="93"/>
  <c r="AA23" i="93"/>
  <c r="N171" i="92"/>
  <c r="L91" i="87"/>
  <c r="Z85" i="94"/>
  <c r="P108" i="94"/>
  <c r="O165" i="88"/>
  <c r="Q169" i="74"/>
  <c r="AB73" i="85"/>
  <c r="AB118" i="94"/>
  <c r="M9" i="92"/>
  <c r="AA68" i="85"/>
  <c r="X59" i="93"/>
  <c r="Q41" i="84"/>
  <c r="X57" i="88"/>
  <c r="X57" i="92"/>
  <c r="Q110" i="92"/>
  <c r="AB69" i="89"/>
  <c r="P184" i="94"/>
  <c r="O161" i="88"/>
  <c r="L91" i="82"/>
  <c r="Y103" i="92"/>
  <c r="N57" i="92"/>
  <c r="X45" i="88"/>
  <c r="P98" i="74"/>
  <c r="O43" i="83"/>
  <c r="AB19" i="91"/>
  <c r="Q133" i="94"/>
  <c r="X73" i="94"/>
  <c r="X136" i="94"/>
  <c r="X148" i="92"/>
  <c r="X103" i="92"/>
  <c r="Z134" i="93"/>
  <c r="AB105" i="83"/>
  <c r="AB111" i="92"/>
  <c r="AB125" i="92"/>
  <c r="Q94" i="85"/>
  <c r="Q88" i="88"/>
  <c r="Q51" i="88"/>
  <c r="N156" i="85"/>
  <c r="AB27" i="93"/>
  <c r="O59" i="85"/>
  <c r="L106" i="94"/>
  <c r="Z108" i="87"/>
  <c r="L173" i="83"/>
  <c r="AA154" i="83"/>
  <c r="Y152" i="89"/>
  <c r="AA43" i="92"/>
  <c r="P123" i="89"/>
  <c r="X120" i="74"/>
  <c r="Q92" i="92"/>
  <c r="P100" i="91"/>
  <c r="X154" i="93"/>
  <c r="Z77" i="93"/>
  <c r="X132" i="92"/>
  <c r="L148" i="91"/>
  <c r="L117" i="89"/>
  <c r="Y177" i="88"/>
  <c r="P148" i="94"/>
  <c r="M35" i="85"/>
  <c r="AB138" i="93"/>
  <c r="Z41" i="88"/>
  <c r="X149" i="88"/>
  <c r="P27" i="81"/>
  <c r="Y101" i="81"/>
  <c r="X140" i="88"/>
  <c r="L174" i="88"/>
  <c r="Q174" i="88"/>
  <c r="Z163" i="82"/>
  <c r="Q75" i="94"/>
  <c r="Q156" i="93"/>
  <c r="O138" i="91"/>
  <c r="L123" i="87"/>
  <c r="T108" i="91"/>
  <c r="Z157" i="89"/>
  <c r="AB141" i="92"/>
  <c r="X80" i="88"/>
  <c r="AA83" i="84"/>
  <c r="O176" i="91"/>
  <c r="X9" i="93"/>
  <c r="T63" i="88"/>
  <c r="P163" i="83"/>
  <c r="N153" i="89"/>
  <c r="O163" i="83"/>
  <c r="Q84" i="92"/>
  <c r="Z43" i="83"/>
  <c r="AA156" i="84"/>
  <c r="AB39" i="92"/>
  <c r="P66" i="87"/>
  <c r="AB83" i="81"/>
  <c r="Y149" i="93"/>
  <c r="AA75" i="94"/>
  <c r="AB161" i="94"/>
  <c r="AB105" i="82"/>
  <c r="Y168" i="88"/>
  <c r="Y129" i="81"/>
  <c r="Y69" i="94"/>
  <c r="M37" i="94"/>
  <c r="X86" i="92"/>
  <c r="Q153" i="81"/>
  <c r="AB133" i="88"/>
  <c r="Q184" i="89"/>
  <c r="L112" i="92"/>
  <c r="AA92" i="87"/>
  <c r="AA53" i="94"/>
  <c r="X76" i="89"/>
  <c r="AA86" i="88"/>
  <c r="X161" i="89"/>
  <c r="L111" i="93"/>
  <c r="Q184" i="81"/>
  <c r="AB114" i="89"/>
  <c r="P89" i="74"/>
  <c r="N96" i="89"/>
  <c r="L176" i="85"/>
  <c r="L114" i="94"/>
  <c r="Z143" i="74"/>
  <c r="L128" i="74"/>
  <c r="Z82" i="91"/>
  <c r="N159" i="83"/>
  <c r="AB164" i="88"/>
  <c r="L142" i="92"/>
  <c r="AB136" i="94"/>
  <c r="P21" i="89"/>
  <c r="L132" i="89"/>
  <c r="P173" i="81"/>
  <c r="Z119" i="87"/>
  <c r="Z149" i="92"/>
  <c r="AB97" i="92"/>
  <c r="AB174" i="83"/>
  <c r="O174" i="87"/>
  <c r="L163" i="92"/>
  <c r="Y93" i="94"/>
  <c r="N66" i="88"/>
  <c r="AB126" i="88"/>
  <c r="L131" i="92"/>
  <c r="AA113" i="92"/>
  <c r="X171" i="89"/>
  <c r="Q150" i="83"/>
  <c r="L155" i="94"/>
  <c r="Y66" i="92"/>
  <c r="Z65" i="92"/>
  <c r="Z115" i="89"/>
  <c r="Y161" i="91"/>
  <c r="P65" i="81"/>
  <c r="L134" i="93"/>
  <c r="Y131" i="91"/>
  <c r="AA180" i="88"/>
  <c r="P152" i="91"/>
  <c r="P150" i="94"/>
  <c r="Y39" i="81"/>
  <c r="AB110" i="84"/>
  <c r="Y118" i="94"/>
  <c r="O97" i="87"/>
  <c r="Q41" i="87"/>
  <c r="AB93" i="94"/>
  <c r="Y100" i="94"/>
  <c r="O124" i="89"/>
  <c r="X47" i="91"/>
  <c r="AB99" i="81"/>
  <c r="Q74" i="84"/>
  <c r="O49" i="92"/>
  <c r="Q9" i="93"/>
  <c r="Z82" i="92"/>
  <c r="Y158" i="83"/>
  <c r="P183" i="91"/>
  <c r="AA84" i="85"/>
  <c r="L184" i="88"/>
  <c r="Y33" i="88"/>
  <c r="AB33" i="91"/>
  <c r="O91" i="82"/>
  <c r="X142" i="93"/>
  <c r="O145" i="89"/>
  <c r="AA141" i="89"/>
  <c r="Z116" i="91"/>
  <c r="X177" i="82"/>
  <c r="AB123" i="87"/>
  <c r="AB77" i="88"/>
  <c r="AB122" i="82"/>
  <c r="L167" i="81"/>
  <c r="Y177" i="92"/>
  <c r="O65" i="94"/>
  <c r="P141" i="93"/>
  <c r="O83" i="89"/>
  <c r="Z138" i="89"/>
  <c r="AB85" i="93"/>
  <c r="M45" i="93"/>
  <c r="AA160" i="92"/>
  <c r="O41" i="93"/>
  <c r="Q105" i="92"/>
  <c r="X145" i="93"/>
  <c r="O68" i="92"/>
  <c r="Q182" i="94"/>
  <c r="Y65" i="92"/>
  <c r="M13" i="94"/>
  <c r="Q101" i="89"/>
  <c r="Q161" i="89"/>
  <c r="T81" i="81"/>
  <c r="Z65" i="94"/>
  <c r="X164" i="93"/>
  <c r="Q125" i="85"/>
  <c r="AA92" i="93"/>
  <c r="AA100" i="87"/>
  <c r="AA33" i="93"/>
  <c r="P142" i="94"/>
  <c r="P43" i="92"/>
  <c r="AB110" i="93"/>
  <c r="Y87" i="89"/>
  <c r="Y71" i="83"/>
  <c r="Q25" i="88"/>
  <c r="L100" i="93"/>
  <c r="AB94" i="89"/>
  <c r="AA137" i="91"/>
  <c r="AB66" i="89"/>
  <c r="P109" i="88"/>
  <c r="N87" i="89"/>
  <c r="AB152" i="93"/>
  <c r="Y126" i="84"/>
  <c r="Z85" i="81"/>
  <c r="Z47" i="87"/>
  <c r="N135" i="93"/>
  <c r="AA65" i="92"/>
  <c r="Q29" i="88"/>
  <c r="Q49" i="87"/>
  <c r="O153" i="92"/>
  <c r="Y110" i="87"/>
  <c r="X17" i="92"/>
  <c r="L71" i="93"/>
  <c r="O19" i="87"/>
  <c r="Y49" i="93"/>
  <c r="L146" i="92"/>
  <c r="AA151" i="89"/>
  <c r="P101" i="93"/>
  <c r="AB11" i="82"/>
  <c r="Y175" i="93"/>
  <c r="T99" i="84"/>
  <c r="X91" i="94"/>
  <c r="Z164" i="93"/>
  <c r="O66" i="91"/>
  <c r="AB124" i="93"/>
  <c r="P134" i="89"/>
  <c r="O72" i="91"/>
  <c r="P35" i="93"/>
  <c r="Y66" i="91"/>
  <c r="AA156" i="94"/>
  <c r="O151" i="94"/>
  <c r="Q167" i="88"/>
  <c r="AB93" i="88"/>
  <c r="AB159" i="94"/>
  <c r="Z134" i="94"/>
  <c r="X71" i="89"/>
  <c r="Z53" i="89"/>
  <c r="Q141" i="91"/>
  <c r="N180" i="81"/>
  <c r="L72" i="89"/>
  <c r="AA92" i="83"/>
  <c r="L111" i="89"/>
  <c r="Q51" i="91"/>
  <c r="X145" i="94"/>
  <c r="L130" i="91"/>
  <c r="AA133" i="81"/>
  <c r="Z159" i="92"/>
  <c r="X86" i="93"/>
  <c r="X141" i="92"/>
  <c r="O142" i="89"/>
  <c r="O132" i="91"/>
  <c r="AA167" i="94"/>
  <c r="AA120" i="88"/>
  <c r="T69" i="91"/>
  <c r="Y106" i="82"/>
  <c r="AB165" i="91"/>
  <c r="P76" i="88"/>
  <c r="Y129" i="92"/>
  <c r="O147" i="92"/>
  <c r="AA147" i="94"/>
  <c r="Z131" i="85"/>
  <c r="Z149" i="89"/>
  <c r="P51" i="89"/>
  <c r="AB163" i="84"/>
  <c r="P9" i="94"/>
  <c r="Z78" i="84"/>
  <c r="M29" i="82"/>
  <c r="Z125" i="82"/>
  <c r="M25" i="87"/>
  <c r="P163" i="91"/>
  <c r="P143" i="94"/>
  <c r="Y123" i="91"/>
  <c r="AA164" i="92"/>
  <c r="X103" i="91"/>
  <c r="Y33" i="84"/>
  <c r="Y165" i="88"/>
  <c r="L123" i="94"/>
  <c r="X94" i="93"/>
  <c r="AA151" i="88"/>
  <c r="Z140" i="89"/>
  <c r="N171" i="94"/>
  <c r="AA170" i="82"/>
  <c r="T84" i="74"/>
  <c r="X123" i="89"/>
  <c r="L127" i="85"/>
  <c r="O158" i="94"/>
  <c r="O49" i="94"/>
  <c r="AB57" i="84"/>
  <c r="Z98" i="92"/>
  <c r="Q170" i="93"/>
  <c r="AB152" i="92"/>
  <c r="O164" i="83"/>
  <c r="Z142" i="91"/>
  <c r="P81" i="88"/>
  <c r="P97" i="92"/>
  <c r="L165" i="74"/>
  <c r="Q154" i="92"/>
  <c r="Y78" i="93"/>
  <c r="Z103" i="93"/>
  <c r="O93" i="88"/>
  <c r="O183" i="87"/>
  <c r="Q178" i="91"/>
  <c r="Q109" i="93"/>
  <c r="AB99" i="91"/>
  <c r="AB19" i="88"/>
  <c r="P65" i="94"/>
  <c r="O146" i="94"/>
  <c r="X99" i="87"/>
  <c r="M31" i="87"/>
  <c r="Z81" i="94"/>
  <c r="AA119" i="91"/>
  <c r="X105" i="87"/>
  <c r="Q15" i="94"/>
  <c r="Q112" i="93"/>
  <c r="AA57" i="87"/>
  <c r="Z71" i="92"/>
  <c r="X150" i="91"/>
  <c r="AA164" i="74"/>
  <c r="AA41" i="94"/>
  <c r="O164" i="93"/>
  <c r="L69" i="92"/>
  <c r="Q73" i="92"/>
  <c r="N27" i="74"/>
  <c r="X92" i="94"/>
  <c r="O184" i="92"/>
  <c r="N63" i="87"/>
  <c r="AB135" i="84"/>
  <c r="P168" i="89"/>
  <c r="Y160" i="88"/>
  <c r="X55" i="92"/>
  <c r="AB35" i="92"/>
  <c r="Y106" i="92"/>
  <c r="X37" i="82"/>
  <c r="P75" i="92"/>
  <c r="Y157" i="82"/>
  <c r="Q17" i="92"/>
  <c r="Y87" i="92"/>
  <c r="X162" i="92"/>
  <c r="AA70" i="82"/>
  <c r="O53" i="81"/>
  <c r="AB165" i="81"/>
  <c r="AA176" i="89"/>
  <c r="Y123" i="92"/>
  <c r="Y57" i="89"/>
  <c r="Y148" i="87"/>
  <c r="X147" i="94"/>
  <c r="Z13" i="83"/>
  <c r="O184" i="87"/>
  <c r="Z57" i="82"/>
  <c r="M35" i="92"/>
  <c r="P155" i="89"/>
  <c r="AA154" i="92"/>
  <c r="P88" i="93"/>
  <c r="AB74" i="92"/>
  <c r="X159" i="81"/>
  <c r="M57" i="93"/>
  <c r="P180" i="91"/>
  <c r="O147" i="85"/>
  <c r="L84" i="94"/>
  <c r="T153" i="81"/>
  <c r="Q135" i="89"/>
  <c r="O166" i="89"/>
  <c r="Y106" i="91"/>
  <c r="X77" i="84"/>
  <c r="Q92" i="94"/>
  <c r="O132" i="87"/>
  <c r="Y97" i="91"/>
  <c r="AB169" i="92"/>
  <c r="Q93" i="89"/>
  <c r="Y134" i="91"/>
  <c r="L90" i="82"/>
  <c r="Z156" i="88"/>
  <c r="X118" i="84"/>
  <c r="AA146" i="89"/>
  <c r="Q142" i="93"/>
  <c r="Z68" i="92"/>
  <c r="Q127" i="92"/>
  <c r="Q70" i="93"/>
  <c r="AA114" i="83"/>
  <c r="X96" i="91"/>
  <c r="AB57" i="94"/>
  <c r="Q172" i="93"/>
  <c r="O102" i="93"/>
  <c r="AB79" i="83"/>
  <c r="M45" i="92"/>
  <c r="X137" i="94"/>
  <c r="P145" i="89"/>
  <c r="O154" i="92"/>
  <c r="Y100" i="92"/>
  <c r="O49" i="88"/>
  <c r="AB91" i="91"/>
  <c r="Y176" i="92"/>
  <c r="Z159" i="83"/>
  <c r="Y147" i="92"/>
  <c r="AA25" i="93"/>
  <c r="N132" i="91"/>
  <c r="X84" i="88"/>
  <c r="Z85" i="87"/>
  <c r="AA57" i="93"/>
  <c r="X51" i="91"/>
  <c r="L121" i="92"/>
  <c r="Z57" i="89"/>
  <c r="Q147" i="94"/>
  <c r="Y145" i="92"/>
  <c r="AB85" i="88"/>
  <c r="M39" i="89"/>
  <c r="Z95" i="89"/>
  <c r="X152" i="87"/>
  <c r="O144" i="87"/>
  <c r="T69" i="88"/>
  <c r="Z161" i="88"/>
  <c r="P132" i="74"/>
  <c r="X136" i="87"/>
  <c r="Q101" i="93"/>
  <c r="Q125" i="94"/>
  <c r="AB76" i="85"/>
  <c r="Z147" i="83"/>
  <c r="Q97" i="88"/>
  <c r="O74" i="94"/>
  <c r="AA120" i="91"/>
  <c r="X152" i="93"/>
  <c r="P23" i="92"/>
  <c r="AA113" i="94"/>
  <c r="AA117" i="92"/>
  <c r="N81" i="88"/>
  <c r="L147" i="93"/>
  <c r="X140" i="89"/>
  <c r="Z157" i="92"/>
  <c r="AB164" i="91"/>
  <c r="X120" i="85"/>
  <c r="X83" i="85"/>
  <c r="N132" i="81"/>
  <c r="L185" i="85"/>
  <c r="AB84" i="93"/>
  <c r="M53" i="89"/>
  <c r="AA93" i="89"/>
  <c r="P83" i="88"/>
  <c r="O21" i="74"/>
  <c r="AB112" i="94"/>
  <c r="O184" i="81"/>
  <c r="X49" i="82"/>
  <c r="X39" i="92"/>
  <c r="AB170" i="93"/>
  <c r="Z55" i="93"/>
  <c r="P68" i="88"/>
  <c r="P185" i="85"/>
  <c r="AB103" i="94"/>
  <c r="AB101" i="94"/>
  <c r="AB162" i="92"/>
  <c r="AA74" i="89"/>
  <c r="P130" i="82"/>
  <c r="Y115" i="91"/>
  <c r="AB140" i="88"/>
  <c r="P41" i="74"/>
  <c r="L148" i="84"/>
  <c r="Q126" i="93"/>
  <c r="O156" i="87"/>
  <c r="Q159" i="83"/>
  <c r="Y78" i="91"/>
  <c r="X169" i="87"/>
  <c r="X70" i="87"/>
  <c r="X92" i="93"/>
  <c r="Y128" i="82"/>
  <c r="AA81" i="89"/>
  <c r="X114" i="89"/>
  <c r="N75" i="82"/>
  <c r="AA128" i="93"/>
  <c r="Q64" i="93"/>
  <c r="Q144" i="94"/>
  <c r="AA97" i="94"/>
  <c r="P167" i="94"/>
  <c r="AB128" i="88"/>
  <c r="AA88" i="74"/>
  <c r="L86" i="89"/>
  <c r="N78" i="92"/>
  <c r="AB45" i="92"/>
  <c r="N185" i="89"/>
  <c r="Z138" i="83"/>
  <c r="AA90" i="89"/>
  <c r="Z149" i="82"/>
  <c r="M43" i="94"/>
  <c r="Z165" i="91"/>
  <c r="Q45" i="89"/>
  <c r="Y134" i="74"/>
  <c r="P72" i="82"/>
  <c r="X74" i="81"/>
  <c r="X68" i="94"/>
  <c r="Y134" i="93"/>
  <c r="Y97" i="94"/>
  <c r="Q143" i="88"/>
  <c r="AB82" i="91"/>
  <c r="AA134" i="83"/>
  <c r="Q13" i="87"/>
  <c r="N114" i="92"/>
  <c r="Z39" i="87"/>
  <c r="Q53" i="84"/>
  <c r="O43" i="84"/>
  <c r="Q66" i="94"/>
  <c r="Y76" i="94"/>
  <c r="Y81" i="94"/>
  <c r="AA130" i="87"/>
  <c r="Y55" i="87"/>
  <c r="P165" i="82"/>
  <c r="Z100" i="91"/>
  <c r="X80" i="94"/>
  <c r="Y171" i="92"/>
  <c r="X41" i="93"/>
  <c r="X133" i="87"/>
  <c r="Z144" i="84"/>
  <c r="X139" i="88"/>
  <c r="Q15" i="91"/>
  <c r="AB165" i="88"/>
  <c r="Z110" i="87"/>
  <c r="Y95" i="74"/>
  <c r="L120" i="92"/>
  <c r="X138" i="89"/>
  <c r="L148" i="81"/>
  <c r="AB157" i="81"/>
  <c r="Z148" i="87"/>
  <c r="AB71" i="92"/>
  <c r="X102" i="92"/>
  <c r="L150" i="93"/>
  <c r="AA37" i="83"/>
  <c r="Q183" i="85"/>
  <c r="O65" i="89"/>
  <c r="L87" i="81"/>
  <c r="X154" i="74"/>
  <c r="L152" i="87"/>
  <c r="P150" i="92"/>
  <c r="AA71" i="93"/>
  <c r="Y144" i="94"/>
  <c r="L178" i="92"/>
  <c r="Q177" i="89"/>
  <c r="P104" i="93"/>
  <c r="P23" i="88"/>
  <c r="X81" i="88"/>
  <c r="X126" i="93"/>
  <c r="Q137" i="87"/>
  <c r="O178" i="93"/>
  <c r="Q100" i="94"/>
  <c r="X135" i="92"/>
  <c r="Y155" i="88"/>
  <c r="X144" i="92"/>
  <c r="Q104" i="92"/>
  <c r="AA177" i="94"/>
  <c r="P132" i="85"/>
  <c r="Z108" i="92"/>
  <c r="Q185" i="82"/>
  <c r="Y119" i="82"/>
  <c r="Q49" i="82"/>
  <c r="AB139" i="87"/>
  <c r="P151" i="85"/>
  <c r="P53" i="94"/>
  <c r="AA161" i="87"/>
  <c r="Z21" i="89"/>
  <c r="T123" i="82"/>
  <c r="Y117" i="92"/>
  <c r="Z39" i="89"/>
  <c r="Y137" i="92"/>
  <c r="Z125" i="94"/>
  <c r="Z119" i="82"/>
  <c r="Y13" i="85"/>
  <c r="O127" i="81"/>
  <c r="Z155" i="93"/>
  <c r="N180" i="93"/>
  <c r="P91" i="92"/>
  <c r="Q182" i="93"/>
  <c r="AB86" i="91"/>
  <c r="O167" i="93"/>
  <c r="O95" i="91"/>
  <c r="P141" i="92"/>
  <c r="X45" i="94"/>
  <c r="P125" i="92"/>
  <c r="T144" i="84"/>
  <c r="AB158" i="89"/>
  <c r="O55" i="85"/>
  <c r="AA152" i="93"/>
  <c r="AB81" i="83"/>
  <c r="X130" i="92"/>
  <c r="O19" i="94"/>
  <c r="Y172" i="81"/>
  <c r="O163" i="92"/>
  <c r="AA105" i="87"/>
  <c r="P179" i="94"/>
  <c r="X97" i="94"/>
  <c r="AB43" i="92"/>
  <c r="X180" i="88"/>
  <c r="P80" i="93"/>
  <c r="L185" i="84"/>
  <c r="Z103" i="94"/>
  <c r="O159" i="89"/>
  <c r="Z124" i="89"/>
  <c r="X119" i="94"/>
  <c r="P146" i="92"/>
  <c r="Z122" i="93"/>
  <c r="P94" i="91"/>
  <c r="Q115" i="81"/>
  <c r="L162" i="89"/>
  <c r="P84" i="93"/>
  <c r="Z143" i="87"/>
  <c r="Y103" i="91"/>
  <c r="O169" i="88"/>
  <c r="Z162" i="84"/>
  <c r="X167" i="93"/>
  <c r="AB83" i="94"/>
  <c r="T180" i="94"/>
  <c r="Z156" i="94"/>
  <c r="Z114" i="81"/>
  <c r="Q85" i="91"/>
  <c r="AB162" i="83"/>
  <c r="O75" i="87"/>
  <c r="X116" i="74"/>
  <c r="L150" i="87"/>
  <c r="P184" i="74"/>
  <c r="X98" i="91"/>
  <c r="O53" i="94"/>
  <c r="AA144" i="93"/>
  <c r="O82" i="91"/>
  <c r="Z37" i="93"/>
  <c r="M39" i="94"/>
  <c r="Y153" i="91"/>
  <c r="X21" i="91"/>
  <c r="N184" i="87"/>
  <c r="L65" i="85"/>
  <c r="Y153" i="89"/>
  <c r="AA112" i="92"/>
  <c r="L66" i="88"/>
  <c r="N84" i="94"/>
  <c r="AB176" i="92"/>
  <c r="AA90" i="88"/>
  <c r="P147" i="88"/>
  <c r="L158" i="92"/>
  <c r="M53" i="94"/>
  <c r="Z174" i="94"/>
  <c r="AA94" i="92"/>
  <c r="AA137" i="82"/>
  <c r="AB78" i="93"/>
  <c r="L183" i="92"/>
  <c r="X176" i="83"/>
  <c r="P114" i="87"/>
  <c r="AB133" i="87"/>
  <c r="Q21" i="88"/>
  <c r="N51" i="92"/>
  <c r="N15" i="88"/>
  <c r="Z104" i="91"/>
  <c r="Z109" i="88"/>
  <c r="M43" i="91"/>
  <c r="L91" i="94"/>
  <c r="N156" i="82"/>
  <c r="L175" i="93"/>
  <c r="O53" i="92"/>
  <c r="X124" i="89"/>
  <c r="M15" i="87"/>
  <c r="P15" i="92"/>
  <c r="Y35" i="93"/>
  <c r="P185" i="92"/>
  <c r="L177" i="94"/>
  <c r="O45" i="93"/>
  <c r="AB78" i="91"/>
  <c r="Q122" i="94"/>
  <c r="P82" i="91"/>
  <c r="L179" i="94"/>
  <c r="L73" i="94"/>
  <c r="Z175" i="74"/>
  <c r="Q116" i="74"/>
  <c r="P149" i="92"/>
  <c r="Y67" i="91"/>
  <c r="P158" i="93"/>
  <c r="Q118" i="94"/>
  <c r="N66" i="84"/>
  <c r="AB135" i="92"/>
  <c r="L142" i="91"/>
  <c r="Q88" i="89"/>
  <c r="X75" i="82"/>
  <c r="O130" i="94"/>
  <c r="Y69" i="83"/>
  <c r="AB43" i="88"/>
  <c r="AA144" i="87"/>
  <c r="L109" i="94"/>
  <c r="Y49" i="92"/>
  <c r="AB100" i="88"/>
  <c r="AA81" i="82"/>
  <c r="Y21" i="93"/>
  <c r="X11" i="93"/>
  <c r="Q136" i="74"/>
  <c r="L96" i="87"/>
  <c r="X92" i="83"/>
  <c r="O91" i="93"/>
  <c r="X119" i="74"/>
  <c r="Z88" i="87"/>
  <c r="L87" i="93"/>
  <c r="P9" i="91"/>
  <c r="AB89" i="94"/>
  <c r="X59" i="87"/>
  <c r="L103" i="91"/>
  <c r="M51" i="94"/>
  <c r="O118" i="92"/>
  <c r="Z170" i="82"/>
  <c r="AA138" i="92"/>
  <c r="Q127" i="93"/>
  <c r="Y91" i="93"/>
  <c r="P144" i="93"/>
  <c r="AB121" i="94"/>
  <c r="Q169" i="87"/>
  <c r="N111" i="94"/>
  <c r="X106" i="85"/>
  <c r="AB160" i="81"/>
  <c r="Y142" i="93"/>
  <c r="AA85" i="93"/>
  <c r="X156" i="87"/>
  <c r="AB81" i="94"/>
  <c r="N150" i="93"/>
  <c r="P171" i="91"/>
  <c r="Y116" i="91"/>
  <c r="P47" i="87"/>
  <c r="L98" i="88"/>
  <c r="AA146" i="88"/>
  <c r="P184" i="87"/>
  <c r="Y144" i="89"/>
  <c r="X113" i="93"/>
  <c r="P29" i="91"/>
  <c r="AA139" i="87"/>
  <c r="N93" i="74"/>
  <c r="AA90" i="84"/>
  <c r="L165" i="85"/>
  <c r="O31" i="89"/>
  <c r="Y162" i="83"/>
  <c r="L130" i="85"/>
  <c r="Y146" i="92"/>
  <c r="X151" i="91"/>
  <c r="Q179" i="87"/>
  <c r="O132" i="84"/>
  <c r="L168" i="93"/>
  <c r="AB66" i="84"/>
  <c r="AA149" i="88"/>
  <c r="AB129" i="89"/>
  <c r="AB99" i="93"/>
  <c r="Y98" i="92"/>
  <c r="P118" i="83"/>
  <c r="O182" i="92"/>
  <c r="X139" i="91"/>
  <c r="O156" i="85"/>
  <c r="Q80" i="91"/>
  <c r="AB9" i="88"/>
  <c r="Z148" i="94"/>
  <c r="AA27" i="92"/>
  <c r="AB125" i="87"/>
  <c r="AB134" i="91"/>
  <c r="Q118" i="89"/>
  <c r="AA65" i="91"/>
  <c r="O161" i="89"/>
  <c r="X47" i="93"/>
  <c r="Z108" i="91"/>
  <c r="P106" i="84"/>
  <c r="AB9" i="93"/>
  <c r="Y111" i="87"/>
  <c r="M21" i="87"/>
  <c r="X82" i="92"/>
  <c r="Q85" i="87"/>
  <c r="P162" i="87"/>
  <c r="Z78" i="92"/>
  <c r="AA158" i="92"/>
  <c r="X169" i="91"/>
  <c r="AA33" i="94"/>
  <c r="O21" i="89"/>
  <c r="P43" i="83"/>
  <c r="Z132" i="91"/>
  <c r="X140" i="92"/>
  <c r="L163" i="91"/>
  <c r="P130" i="87"/>
  <c r="X70" i="93"/>
  <c r="P132" i="89"/>
  <c r="P121" i="87"/>
  <c r="O86" i="89"/>
  <c r="X57" i="82"/>
  <c r="P172" i="89"/>
  <c r="Y117" i="91"/>
  <c r="Z144" i="88"/>
  <c r="M33" i="94"/>
  <c r="L108" i="92"/>
  <c r="Z31" i="82"/>
  <c r="Y133" i="93"/>
  <c r="Q70" i="85"/>
  <c r="L119" i="92"/>
  <c r="Y70" i="93"/>
  <c r="O135" i="91"/>
  <c r="AA64" i="87"/>
  <c r="Z147" i="93"/>
  <c r="Y83" i="92"/>
  <c r="P47" i="94"/>
  <c r="Q115" i="89"/>
  <c r="P165" i="93"/>
  <c r="P97" i="91"/>
  <c r="P147" i="94"/>
  <c r="P179" i="93"/>
  <c r="O23" i="87"/>
  <c r="M37" i="92"/>
  <c r="Y174" i="93"/>
  <c r="N51" i="94"/>
  <c r="AB87" i="87"/>
  <c r="P69" i="83"/>
  <c r="AB124" i="91"/>
  <c r="X122" i="92"/>
  <c r="L65" i="87"/>
  <c r="X146" i="74"/>
  <c r="X146" i="92"/>
  <c r="Z160" i="92"/>
  <c r="AA95" i="94"/>
  <c r="O150" i="87"/>
  <c r="X59" i="91"/>
  <c r="X135" i="81"/>
  <c r="Y51" i="82"/>
  <c r="Z114" i="93"/>
  <c r="X93" i="93"/>
  <c r="P162" i="89"/>
  <c r="AA17" i="93"/>
  <c r="P154" i="93"/>
  <c r="P130" i="93"/>
  <c r="AB100" i="94"/>
  <c r="Q119" i="94"/>
  <c r="P140" i="94"/>
  <c r="P147" i="87"/>
  <c r="X13" i="88"/>
  <c r="Z150" i="82"/>
  <c r="Y75" i="91"/>
  <c r="Y17" i="88"/>
  <c r="P123" i="83"/>
  <c r="N174" i="92"/>
  <c r="Y115" i="89"/>
  <c r="X55" i="81"/>
  <c r="AB119" i="84"/>
  <c r="L88" i="85"/>
  <c r="X95" i="83"/>
  <c r="AB146" i="91"/>
  <c r="Q84" i="82"/>
  <c r="X168" i="89"/>
  <c r="P122" i="92"/>
  <c r="N159" i="87"/>
  <c r="O80" i="92"/>
  <c r="AA133" i="89"/>
  <c r="AA73" i="89"/>
  <c r="M33" i="84"/>
  <c r="O177" i="84"/>
  <c r="O174" i="92"/>
  <c r="AA29" i="92"/>
  <c r="O127" i="88"/>
  <c r="AB157" i="89"/>
  <c r="Z84" i="84"/>
  <c r="Q41" i="89"/>
  <c r="AB159" i="88"/>
  <c r="Y98" i="88"/>
  <c r="O157" i="88"/>
  <c r="X71" i="92"/>
  <c r="AA175" i="74"/>
  <c r="Z118" i="81"/>
  <c r="Y130" i="93"/>
  <c r="Z89" i="89"/>
  <c r="P107" i="87"/>
  <c r="N72" i="89"/>
  <c r="AB104" i="82"/>
  <c r="Q148" i="94"/>
  <c r="Z133" i="94"/>
  <c r="Y89" i="82"/>
  <c r="L84" i="93"/>
  <c r="Y33" i="93"/>
  <c r="AB61" i="89"/>
  <c r="Z143" i="94"/>
  <c r="Z152" i="93"/>
  <c r="Y151" i="81"/>
  <c r="L66" i="92"/>
  <c r="T57" i="74"/>
  <c r="X103" i="88"/>
  <c r="Q124" i="82"/>
  <c r="X71" i="93"/>
  <c r="Q141" i="87"/>
  <c r="N135" i="81"/>
  <c r="AA82" i="81"/>
  <c r="AB15" i="91"/>
  <c r="Z158" i="81"/>
  <c r="P84" i="89"/>
  <c r="X152" i="89"/>
  <c r="L87" i="92"/>
  <c r="P110" i="88"/>
  <c r="AA106" i="88"/>
  <c r="P161" i="91"/>
  <c r="AB135" i="89"/>
  <c r="L185" i="93"/>
  <c r="Z79" i="91"/>
  <c r="Y112" i="94"/>
  <c r="L63" i="74"/>
  <c r="Y120" i="74"/>
  <c r="AA59" i="93"/>
  <c r="T123" i="87"/>
  <c r="N150" i="92"/>
  <c r="AB93" i="92"/>
  <c r="O178" i="91"/>
  <c r="Q95" i="94"/>
  <c r="AA15" i="89"/>
  <c r="Q95" i="89"/>
  <c r="X129" i="87"/>
  <c r="O169" i="87"/>
  <c r="AA114" i="85"/>
  <c r="Z90" i="94"/>
  <c r="L85" i="91"/>
  <c r="X151" i="92"/>
  <c r="X101" i="91"/>
  <c r="O86" i="94"/>
  <c r="L140" i="89"/>
  <c r="Y159" i="82"/>
  <c r="Y74" i="94"/>
  <c r="Q72" i="93"/>
  <c r="Y151" i="93"/>
  <c r="X76" i="93"/>
  <c r="AB151" i="89"/>
  <c r="Z74" i="89"/>
  <c r="Y120" i="94"/>
  <c r="Q114" i="84"/>
  <c r="O25" i="91"/>
  <c r="Q27" i="92"/>
  <c r="P95" i="92"/>
  <c r="O115" i="81"/>
  <c r="X23" i="94"/>
  <c r="Y107" i="94"/>
  <c r="Y115" i="81"/>
  <c r="O71" i="93"/>
  <c r="AB73" i="93"/>
  <c r="O137" i="92"/>
  <c r="X140" i="84"/>
  <c r="N156" i="92"/>
  <c r="AB180" i="94"/>
  <c r="L171" i="82"/>
  <c r="X77" i="89"/>
  <c r="P95" i="91"/>
  <c r="X145" i="87"/>
  <c r="O61" i="93"/>
  <c r="O133" i="91"/>
  <c r="AB167" i="84"/>
  <c r="O103" i="94"/>
  <c r="AA146" i="94"/>
  <c r="Q110" i="94"/>
  <c r="Z164" i="84"/>
  <c r="Y114" i="93"/>
  <c r="N129" i="89"/>
  <c r="P169" i="94"/>
  <c r="AB144" i="82"/>
  <c r="O116" i="74"/>
  <c r="O59" i="83"/>
  <c r="Y85" i="91"/>
  <c r="Y143" i="74"/>
  <c r="Z167" i="82"/>
  <c r="AB33" i="83"/>
  <c r="O95" i="83"/>
  <c r="Z23" i="89"/>
  <c r="M41" i="91"/>
  <c r="Z128" i="89"/>
  <c r="AA27" i="94"/>
  <c r="Z166" i="91"/>
  <c r="L116" i="87"/>
  <c r="M61" i="93"/>
  <c r="O147" i="91"/>
  <c r="Q99" i="82"/>
  <c r="Y146" i="87"/>
  <c r="Y134" i="92"/>
  <c r="AB127" i="82"/>
  <c r="AA154" i="88"/>
  <c r="M39" i="83"/>
  <c r="Y113" i="85"/>
  <c r="L184" i="81"/>
  <c r="Q99" i="85"/>
  <c r="X116" i="88"/>
  <c r="Q155" i="93"/>
  <c r="P70" i="83"/>
  <c r="Y132" i="89"/>
  <c r="Z74" i="91"/>
  <c r="Y126" i="89"/>
  <c r="Z133" i="91"/>
  <c r="Y47" i="89"/>
  <c r="Q111" i="88"/>
  <c r="N72" i="87"/>
  <c r="N9" i="84"/>
  <c r="X163" i="91"/>
  <c r="Z139" i="87"/>
  <c r="X33" i="94"/>
  <c r="T51" i="89"/>
  <c r="AB146" i="94"/>
  <c r="T81" i="83"/>
  <c r="Q150" i="88"/>
  <c r="L78" i="74"/>
  <c r="AA137" i="93"/>
  <c r="L163" i="83"/>
  <c r="Y82" i="92"/>
  <c r="X43" i="94"/>
  <c r="L182" i="89"/>
  <c r="O143" i="81"/>
  <c r="Q183" i="82"/>
  <c r="O96" i="83"/>
  <c r="P74" i="84"/>
  <c r="Q113" i="92"/>
  <c r="O170" i="92"/>
  <c r="M41" i="87"/>
  <c r="AB86" i="93"/>
  <c r="AB142" i="94"/>
  <c r="X87" i="92"/>
  <c r="Z150" i="84"/>
  <c r="X137" i="74"/>
  <c r="Z53" i="92"/>
  <c r="X82" i="94"/>
  <c r="Q118" i="85"/>
  <c r="N135" i="74"/>
  <c r="Z125" i="93"/>
  <c r="L135" i="93"/>
  <c r="AB80" i="88"/>
  <c r="AA130" i="83"/>
  <c r="Z91" i="84"/>
  <c r="P173" i="82"/>
  <c r="AB136" i="93"/>
  <c r="Y49" i="87"/>
  <c r="Y154" i="93"/>
  <c r="Z80" i="89"/>
  <c r="Q130" i="82"/>
  <c r="P9" i="74"/>
  <c r="Q175" i="81"/>
  <c r="AA155" i="88"/>
  <c r="Y152" i="93"/>
  <c r="AA159" i="85"/>
  <c r="AB130" i="81"/>
  <c r="Q155" i="91"/>
  <c r="L69" i="88"/>
  <c r="AA147" i="88"/>
  <c r="AA82" i="91"/>
  <c r="Q69" i="91"/>
  <c r="Y143" i="87"/>
  <c r="O139" i="91"/>
  <c r="Y117" i="94"/>
  <c r="O51" i="87"/>
  <c r="X109" i="82"/>
  <c r="O120" i="94"/>
  <c r="O150" i="92"/>
  <c r="P169" i="92"/>
  <c r="O90" i="94"/>
  <c r="AB91" i="87"/>
  <c r="O102" i="91"/>
  <c r="X72" i="92"/>
  <c r="AA21" i="93"/>
  <c r="AA123" i="89"/>
  <c r="AA141" i="91"/>
  <c r="X63" i="94"/>
  <c r="AA75" i="91"/>
  <c r="L157" i="93"/>
  <c r="AA17" i="94"/>
  <c r="Q39" i="92"/>
  <c r="AB155" i="94"/>
  <c r="Q17" i="91"/>
  <c r="Z168" i="87"/>
  <c r="P131" i="88"/>
  <c r="P19" i="92"/>
  <c r="AA127" i="81"/>
  <c r="L170" i="74"/>
  <c r="Z81" i="88"/>
  <c r="P59" i="92"/>
  <c r="P53" i="93"/>
  <c r="O128" i="85"/>
  <c r="X37" i="94"/>
  <c r="N165" i="94"/>
  <c r="M57" i="81"/>
  <c r="P136" i="91"/>
  <c r="X152" i="92"/>
  <c r="P112" i="92"/>
  <c r="O144" i="92"/>
  <c r="AA150" i="84"/>
  <c r="AA87" i="94"/>
  <c r="AA75" i="89"/>
  <c r="P95" i="93"/>
  <c r="X31" i="85"/>
  <c r="X144" i="88"/>
  <c r="Q107" i="87"/>
  <c r="X125" i="81"/>
  <c r="Q71" i="93"/>
  <c r="X110" i="92"/>
  <c r="N153" i="92"/>
  <c r="P91" i="89"/>
  <c r="AA145" i="82"/>
  <c r="P68" i="93"/>
  <c r="Y88" i="84"/>
  <c r="AB63" i="83"/>
  <c r="Z123" i="92"/>
  <c r="T174" i="93"/>
  <c r="X120" i="89"/>
  <c r="P153" i="93"/>
  <c r="AA175" i="91"/>
  <c r="AA137" i="88"/>
  <c r="Y123" i="93"/>
  <c r="AB117" i="93"/>
  <c r="O86" i="92"/>
  <c r="Q121" i="89"/>
  <c r="Y137" i="88"/>
  <c r="Q85" i="94"/>
  <c r="AA82" i="87"/>
  <c r="Y86" i="88"/>
  <c r="O143" i="92"/>
  <c r="P85" i="94"/>
  <c r="Z96" i="87"/>
  <c r="AA168" i="92"/>
  <c r="Y173" i="83"/>
  <c r="P89" i="94"/>
  <c r="AA126" i="82"/>
  <c r="L66" i="87"/>
  <c r="X147" i="87"/>
  <c r="Q23" i="82"/>
  <c r="N162" i="93"/>
  <c r="Q146" i="92"/>
  <c r="O43" i="94"/>
  <c r="AB175" i="85"/>
  <c r="X102" i="85"/>
  <c r="AB136" i="92"/>
  <c r="Q185" i="74"/>
  <c r="AA96" i="91"/>
  <c r="Q156" i="89"/>
  <c r="Y118" i="84"/>
  <c r="T63" i="81"/>
  <c r="N183" i="85"/>
  <c r="Q21" i="92"/>
  <c r="Y70" i="85"/>
  <c r="AB59" i="94"/>
  <c r="AB80" i="82"/>
  <c r="P25" i="92"/>
  <c r="AA104" i="93"/>
  <c r="Y138" i="94"/>
  <c r="O101" i="91"/>
  <c r="P61" i="93"/>
  <c r="O19" i="83"/>
  <c r="N156" i="91"/>
  <c r="Q171" i="88"/>
  <c r="Z93" i="91"/>
  <c r="AA163" i="85"/>
  <c r="Y23" i="91"/>
  <c r="Q174" i="94"/>
  <c r="N165" i="93"/>
  <c r="P132" i="93"/>
  <c r="Z137" i="88"/>
  <c r="P178" i="93"/>
  <c r="AA153" i="92"/>
  <c r="AA13" i="92"/>
  <c r="Z113" i="83"/>
  <c r="Z117" i="83"/>
  <c r="P37" i="94"/>
  <c r="Q101" i="81"/>
  <c r="O13" i="81"/>
  <c r="L115" i="92"/>
  <c r="P166" i="94"/>
  <c r="L127" i="83"/>
  <c r="AB176" i="83"/>
  <c r="O35" i="92"/>
  <c r="N93" i="92"/>
  <c r="Z150" i="91"/>
  <c r="P152" i="92"/>
  <c r="X99" i="83"/>
  <c r="L170" i="92"/>
  <c r="AA140" i="88"/>
  <c r="M35" i="94"/>
  <c r="Q162" i="85"/>
  <c r="O115" i="91"/>
  <c r="Y63" i="74"/>
  <c r="L180" i="91"/>
  <c r="Q177" i="83"/>
  <c r="Y105" i="91"/>
  <c r="L83" i="85"/>
  <c r="Y164" i="89"/>
  <c r="P118" i="88"/>
  <c r="N21" i="94"/>
  <c r="Z91" i="89"/>
  <c r="X170" i="94"/>
  <c r="L97" i="92"/>
  <c r="X166" i="87"/>
  <c r="X21" i="89"/>
  <c r="O111" i="84"/>
  <c r="L116" i="85"/>
  <c r="Y143" i="85"/>
  <c r="Z95" i="87"/>
  <c r="X133" i="74"/>
  <c r="X61" i="89"/>
  <c r="AA63" i="85"/>
  <c r="O94" i="94"/>
  <c r="Q185" i="87"/>
  <c r="Z27" i="92"/>
  <c r="AA173" i="88"/>
  <c r="L131" i="87"/>
  <c r="Y140" i="83"/>
  <c r="AA153" i="94"/>
  <c r="X129" i="88"/>
  <c r="O37" i="87"/>
  <c r="L168" i="74"/>
  <c r="AA82" i="94"/>
  <c r="AA25" i="82"/>
  <c r="T81" i="93"/>
  <c r="T69" i="81"/>
  <c r="Q23" i="88"/>
  <c r="Q87" i="92"/>
  <c r="Y61" i="85"/>
  <c r="L121" i="94"/>
  <c r="AA170" i="88"/>
  <c r="P140" i="84"/>
  <c r="X45" i="89"/>
  <c r="Y115" i="88"/>
  <c r="Y118" i="91"/>
  <c r="Q162" i="89"/>
  <c r="AB174" i="94"/>
  <c r="Q150" i="92"/>
  <c r="Y21" i="92"/>
  <c r="AA63" i="94"/>
  <c r="Q86" i="83"/>
  <c r="P98" i="85"/>
  <c r="AB134" i="82"/>
  <c r="X128" i="92"/>
  <c r="Y148" i="93"/>
  <c r="Z157" i="93"/>
  <c r="Q158" i="88"/>
  <c r="X161" i="93"/>
  <c r="O93" i="92"/>
  <c r="X123" i="91"/>
  <c r="X83" i="82"/>
  <c r="Z37" i="85"/>
  <c r="X70" i="91"/>
  <c r="Y155" i="89"/>
  <c r="AA141" i="81"/>
  <c r="Y158" i="93"/>
  <c r="Z158" i="91"/>
  <c r="O90" i="92"/>
  <c r="L128" i="91"/>
  <c r="Z156" i="93"/>
  <c r="O90" i="88"/>
  <c r="Y138" i="74"/>
  <c r="P69" i="92"/>
  <c r="AB43" i="87"/>
  <c r="M17" i="94"/>
  <c r="L165" i="94"/>
  <c r="Z119" i="88"/>
  <c r="Z111" i="94"/>
  <c r="Z11" i="92"/>
  <c r="AB73" i="84"/>
  <c r="AA114" i="94"/>
  <c r="O153" i="93"/>
  <c r="P141" i="87"/>
  <c r="AA170" i="81"/>
  <c r="O156" i="93"/>
  <c r="Y145" i="91"/>
  <c r="Q70" i="94"/>
  <c r="X115" i="91"/>
  <c r="O180" i="94"/>
  <c r="AB145" i="92"/>
  <c r="O165" i="94"/>
  <c r="Y129" i="91"/>
  <c r="O97" i="83"/>
  <c r="L100" i="92"/>
  <c r="Y127" i="92"/>
  <c r="AB163" i="93"/>
  <c r="Q147" i="92"/>
  <c r="AB111" i="94"/>
  <c r="P21" i="93"/>
  <c r="AB170" i="84"/>
  <c r="AA72" i="89"/>
  <c r="X91" i="87"/>
  <c r="P74" i="91"/>
  <c r="AB158" i="94"/>
  <c r="X164" i="94"/>
  <c r="N144" i="74"/>
  <c r="L90" i="92"/>
  <c r="L184" i="87"/>
  <c r="L129" i="89"/>
  <c r="AB83" i="88"/>
  <c r="AB94" i="94"/>
  <c r="L183" i="82"/>
  <c r="Y142" i="92"/>
  <c r="Y115" i="92"/>
  <c r="N159" i="94"/>
  <c r="P99" i="74"/>
  <c r="Y119" i="91"/>
  <c r="O178" i="84"/>
  <c r="M39" i="93"/>
  <c r="P149" i="74"/>
  <c r="P164" i="93"/>
  <c r="Z161" i="82"/>
  <c r="AB145" i="88"/>
  <c r="L73" i="83"/>
  <c r="AA174" i="87"/>
  <c r="X41" i="94"/>
  <c r="Z65" i="87"/>
  <c r="Y135" i="88"/>
  <c r="T39" i="89"/>
  <c r="X104" i="93"/>
  <c r="X87" i="94"/>
  <c r="X158" i="82"/>
  <c r="Y13" i="81"/>
  <c r="Y161" i="87"/>
  <c r="AA134" i="89"/>
  <c r="M17" i="88"/>
  <c r="O175" i="87"/>
  <c r="Q89" i="94"/>
  <c r="Z13" i="92"/>
  <c r="Y146" i="89"/>
  <c r="Y135" i="94"/>
  <c r="AA47" i="94"/>
  <c r="Z19" i="94"/>
  <c r="O119" i="81"/>
  <c r="X109" i="81"/>
  <c r="X89" i="87"/>
  <c r="P84" i="92"/>
  <c r="Q59" i="89"/>
  <c r="X124" i="81"/>
  <c r="Q145" i="91"/>
  <c r="L64" i="88"/>
  <c r="T132" i="89"/>
  <c r="Z84" i="87"/>
  <c r="Z102" i="94"/>
  <c r="Q115" i="93"/>
  <c r="O183" i="74"/>
  <c r="Z154" i="74"/>
  <c r="T147" i="87"/>
  <c r="AA107" i="93"/>
  <c r="Z154" i="92"/>
  <c r="AB166" i="91"/>
  <c r="AB55" i="93"/>
  <c r="Q142" i="92"/>
  <c r="P174" i="94"/>
  <c r="Y99" i="93"/>
  <c r="AB125" i="94"/>
  <c r="L97" i="91"/>
  <c r="Z127" i="88"/>
  <c r="P92" i="92"/>
  <c r="L130" i="92"/>
  <c r="Z137" i="91"/>
  <c r="X91" i="74"/>
  <c r="P164" i="84"/>
  <c r="Q173" i="88"/>
  <c r="X125" i="83"/>
  <c r="P100" i="81"/>
  <c r="T87" i="93"/>
  <c r="Y162" i="93"/>
  <c r="O9" i="93"/>
  <c r="X125" i="87"/>
  <c r="Q33" i="92"/>
  <c r="O185" i="82"/>
  <c r="AA134" i="93"/>
  <c r="O31" i="74"/>
  <c r="T120" i="93"/>
  <c r="O47" i="81"/>
  <c r="AB143" i="91"/>
  <c r="Q23" i="85"/>
  <c r="X33" i="88"/>
  <c r="Z161" i="89"/>
  <c r="P117" i="83"/>
  <c r="O138" i="89"/>
  <c r="AA81" i="93"/>
  <c r="Z173" i="94"/>
  <c r="O21" i="91"/>
  <c r="N27" i="88"/>
  <c r="P138" i="92"/>
  <c r="Q95" i="91"/>
  <c r="AA143" i="93"/>
  <c r="Q168" i="92"/>
  <c r="Q9" i="91"/>
  <c r="AB68" i="91"/>
  <c r="L155" i="93"/>
  <c r="O23" i="85"/>
  <c r="Z138" i="93"/>
  <c r="AA149" i="94"/>
  <c r="AA153" i="89"/>
  <c r="AB21" i="92"/>
  <c r="AB76" i="83"/>
  <c r="AB23" i="88"/>
  <c r="Q19" i="94"/>
  <c r="AA93" i="94"/>
  <c r="X15" i="91"/>
  <c r="AB141" i="93"/>
  <c r="O17" i="85"/>
  <c r="O173" i="89"/>
  <c r="Q21" i="83"/>
  <c r="Q122" i="93"/>
  <c r="X64" i="94"/>
  <c r="O96" i="84"/>
  <c r="AB137" i="89"/>
  <c r="Y107" i="93"/>
  <c r="Y173" i="87"/>
  <c r="O172" i="94"/>
  <c r="AA25" i="84"/>
  <c r="AB53" i="87"/>
  <c r="Q145" i="92"/>
  <c r="M9" i="93"/>
  <c r="AB127" i="94"/>
  <c r="X160" i="92"/>
  <c r="Z37" i="83"/>
  <c r="L74" i="94"/>
  <c r="X47" i="89"/>
  <c r="O158" i="83"/>
  <c r="M13" i="89"/>
  <c r="AA136" i="85"/>
  <c r="P142" i="88"/>
  <c r="O45" i="88"/>
  <c r="Q121" i="92"/>
  <c r="O136" i="83"/>
  <c r="T93" i="91"/>
  <c r="Z151" i="87"/>
  <c r="AA110" i="92"/>
  <c r="AA123" i="93"/>
  <c r="Z116" i="88"/>
  <c r="X150" i="81"/>
  <c r="Y39" i="91"/>
  <c r="Y53" i="87"/>
  <c r="AB143" i="94"/>
  <c r="T174" i="89"/>
  <c r="P92" i="88"/>
  <c r="P17" i="93"/>
  <c r="Q144" i="89"/>
  <c r="O115" i="82"/>
  <c r="P143" i="84"/>
  <c r="AB77" i="82"/>
  <c r="Z33" i="92"/>
  <c r="P75" i="91"/>
  <c r="Q9" i="83"/>
  <c r="Y64" i="87"/>
  <c r="Z169" i="93"/>
  <c r="P149" i="93"/>
  <c r="L91" i="91"/>
  <c r="N114" i="94"/>
  <c r="AA121" i="89"/>
  <c r="Q183" i="83"/>
  <c r="Y144" i="83"/>
  <c r="Z66" i="94"/>
  <c r="AB168" i="94"/>
  <c r="AA116" i="94"/>
  <c r="X120" i="87"/>
  <c r="P107" i="83"/>
  <c r="P108" i="83"/>
  <c r="Q130" i="93"/>
  <c r="X27" i="94"/>
  <c r="Q93" i="93"/>
  <c r="Q95" i="74"/>
  <c r="Z148" i="88"/>
  <c r="L85" i="92"/>
  <c r="O39" i="88"/>
  <c r="T120" i="91"/>
  <c r="AB85" i="83"/>
  <c r="P158" i="81"/>
  <c r="Y87" i="91"/>
  <c r="X97" i="93"/>
  <c r="Q163" i="93"/>
  <c r="Q41" i="92"/>
  <c r="Z71" i="93"/>
  <c r="Y109" i="85"/>
  <c r="Z100" i="92"/>
  <c r="AB148" i="82"/>
  <c r="Q178" i="93"/>
  <c r="AB169" i="82"/>
  <c r="L164" i="92"/>
  <c r="Y173" i="92"/>
  <c r="T165" i="91"/>
  <c r="N159" i="89"/>
  <c r="AB9" i="91"/>
  <c r="O96" i="93"/>
  <c r="L97" i="93"/>
  <c r="Y104" i="74"/>
  <c r="AA99" i="92"/>
  <c r="P179" i="83"/>
  <c r="AA161" i="92"/>
  <c r="Q104" i="87"/>
  <c r="O9" i="89"/>
  <c r="AA80" i="82"/>
  <c r="Y84" i="88"/>
  <c r="L65" i="88"/>
  <c r="AA105" i="94"/>
  <c r="L95" i="89"/>
  <c r="Q175" i="91"/>
  <c r="AB82" i="89"/>
  <c r="L164" i="87"/>
  <c r="Y91" i="92"/>
  <c r="Y157" i="92"/>
  <c r="AA86" i="93"/>
  <c r="L127" i="91"/>
  <c r="X124" i="94"/>
  <c r="AA85" i="87"/>
  <c r="Q78" i="94"/>
  <c r="Y70" i="87"/>
  <c r="P66" i="94"/>
  <c r="AA128" i="92"/>
  <c r="L143" i="94"/>
  <c r="L172" i="94"/>
  <c r="AA135" i="94"/>
  <c r="O140" i="89"/>
  <c r="X165" i="88"/>
  <c r="Z113" i="88"/>
  <c r="O122" i="91"/>
  <c r="Y135" i="91"/>
  <c r="T117" i="89"/>
  <c r="AA140" i="93"/>
  <c r="X123" i="94"/>
  <c r="P128" i="83"/>
  <c r="O101" i="92"/>
  <c r="AA84" i="93"/>
  <c r="AA95" i="91"/>
  <c r="AA118" i="93"/>
  <c r="X139" i="92"/>
  <c r="X90" i="93"/>
  <c r="L127" i="89"/>
  <c r="Z65" i="82"/>
  <c r="AB138" i="91"/>
  <c r="Y180" i="89"/>
  <c r="L169" i="87"/>
  <c r="P96" i="81"/>
  <c r="AA135" i="87"/>
  <c r="L161" i="84"/>
  <c r="M33" i="89"/>
  <c r="X35" i="85"/>
  <c r="X122" i="89"/>
  <c r="Z119" i="91"/>
  <c r="P51" i="82"/>
  <c r="X135" i="89"/>
  <c r="AB112" i="91"/>
  <c r="T165" i="81"/>
  <c r="AB138" i="87"/>
  <c r="Y113" i="91"/>
  <c r="Z148" i="92"/>
  <c r="AA89" i="93"/>
  <c r="Z67" i="81"/>
  <c r="Z175" i="92"/>
  <c r="Z59" i="85"/>
  <c r="AA177" i="87"/>
  <c r="L142" i="94"/>
  <c r="Z75" i="94"/>
  <c r="Y151" i="87"/>
  <c r="Q177" i="81"/>
  <c r="L111" i="81"/>
  <c r="AB29" i="93"/>
  <c r="L130" i="93"/>
  <c r="L120" i="74"/>
  <c r="Z162" i="89"/>
  <c r="M21" i="94"/>
  <c r="AB102" i="93"/>
  <c r="AB68" i="94"/>
  <c r="Q160" i="91"/>
  <c r="AB119" i="93"/>
  <c r="O88" i="82"/>
  <c r="M21" i="93"/>
  <c r="P73" i="87"/>
  <c r="O170" i="88"/>
  <c r="AA119" i="93"/>
  <c r="AA152" i="87"/>
  <c r="L179" i="83"/>
  <c r="AA143" i="94"/>
  <c r="O128" i="89"/>
  <c r="Z136" i="74"/>
  <c r="X93" i="89"/>
  <c r="AA79" i="85"/>
  <c r="AA19" i="91"/>
  <c r="Y142" i="81"/>
  <c r="X157" i="82"/>
  <c r="X160" i="89"/>
  <c r="N132" i="93"/>
  <c r="L173" i="94"/>
  <c r="Q83" i="87"/>
  <c r="O149" i="82"/>
  <c r="P112" i="85"/>
  <c r="O96" i="88"/>
  <c r="O84" i="87"/>
  <c r="Q74" i="82"/>
  <c r="Z85" i="89"/>
  <c r="N132" i="92"/>
  <c r="L121" i="82"/>
  <c r="P164" i="74"/>
  <c r="AB152" i="87"/>
  <c r="AA175" i="89"/>
  <c r="P138" i="83"/>
  <c r="AB117" i="88"/>
  <c r="Q181" i="93"/>
  <c r="Y132" i="84"/>
  <c r="AA25" i="92"/>
  <c r="Y13" i="94"/>
  <c r="Q89" i="84"/>
  <c r="Y125" i="89"/>
  <c r="O158" i="92"/>
  <c r="X127" i="89"/>
  <c r="Y9" i="87"/>
  <c r="P169" i="89"/>
  <c r="Q70" i="88"/>
  <c r="Z131" i="93"/>
  <c r="AB65" i="94"/>
  <c r="O167" i="94"/>
  <c r="AA132" i="92"/>
  <c r="L170" i="91"/>
  <c r="Z157" i="94"/>
  <c r="M41" i="88"/>
  <c r="X53" i="93"/>
  <c r="T162" i="81"/>
  <c r="AA132" i="94"/>
  <c r="Y15" i="91"/>
  <c r="O33" i="92"/>
  <c r="Q107" i="81"/>
  <c r="Z176" i="89"/>
  <c r="N156" i="94"/>
  <c r="N150" i="82"/>
  <c r="Z35" i="88"/>
  <c r="L63" i="82"/>
  <c r="L78" i="94"/>
  <c r="Y68" i="84"/>
  <c r="O105" i="91"/>
  <c r="P29" i="89"/>
  <c r="Y140" i="92"/>
  <c r="Y174" i="88"/>
  <c r="X141" i="91"/>
  <c r="Q77" i="88"/>
  <c r="AB113" i="91"/>
  <c r="P156" i="88"/>
  <c r="X131" i="93"/>
  <c r="O45" i="89"/>
  <c r="AA15" i="88"/>
  <c r="N117" i="94"/>
  <c r="P162" i="91"/>
  <c r="P170" i="89"/>
  <c r="AA21" i="94"/>
  <c r="N90" i="74"/>
  <c r="Q154" i="85"/>
  <c r="AA139" i="91"/>
  <c r="AA159" i="88"/>
  <c r="O71" i="92"/>
  <c r="Q138" i="89"/>
  <c r="O45" i="85"/>
  <c r="Z135" i="87"/>
  <c r="Q115" i="87"/>
  <c r="P80" i="88"/>
  <c r="Z164" i="82"/>
  <c r="M39" i="74"/>
  <c r="Z73" i="94"/>
  <c r="X80" i="92"/>
  <c r="N185" i="92"/>
  <c r="Y11" i="83"/>
  <c r="Y33" i="91"/>
  <c r="Y11" i="88"/>
  <c r="AB157" i="91"/>
  <c r="X153" i="93"/>
  <c r="O148" i="84"/>
  <c r="Q137" i="94"/>
  <c r="AB139" i="91"/>
  <c r="Z27" i="83"/>
  <c r="AB130" i="85"/>
  <c r="AA115" i="87"/>
  <c r="Y174" i="89"/>
  <c r="Z69" i="91"/>
  <c r="Z115" i="91"/>
  <c r="Q61" i="94"/>
  <c r="L111" i="85"/>
  <c r="AB13" i="87"/>
  <c r="Y144" i="87"/>
  <c r="AB39" i="94"/>
  <c r="Q146" i="82"/>
  <c r="X108" i="89"/>
  <c r="T150" i="83"/>
  <c r="L118" i="92"/>
  <c r="AA153" i="83"/>
  <c r="AA99" i="94"/>
  <c r="X108" i="91"/>
  <c r="Q181" i="92"/>
  <c r="L151" i="92"/>
  <c r="Q19" i="83"/>
  <c r="AB17" i="93"/>
  <c r="P106" i="94"/>
  <c r="P111" i="94"/>
  <c r="M51" i="74"/>
  <c r="Q35" i="91"/>
  <c r="Y109" i="74"/>
  <c r="AA158" i="94"/>
  <c r="Y125" i="91"/>
  <c r="O183" i="93"/>
  <c r="Y161" i="92"/>
  <c r="AA129" i="88"/>
  <c r="T138" i="92"/>
  <c r="AA35" i="89"/>
  <c r="Z112" i="87"/>
  <c r="O168" i="92"/>
  <c r="Z160" i="88"/>
  <c r="P162" i="93"/>
  <c r="P135" i="85"/>
  <c r="O141" i="94"/>
  <c r="AB110" i="91"/>
  <c r="Y103" i="85"/>
  <c r="X73" i="91"/>
  <c r="Z63" i="92"/>
  <c r="Z82" i="85"/>
  <c r="Y163" i="87"/>
  <c r="M17" i="93"/>
  <c r="Q174" i="87"/>
  <c r="X166" i="92"/>
  <c r="Z165" i="92"/>
  <c r="Z140" i="87"/>
  <c r="Q183" i="91"/>
  <c r="Y79" i="91"/>
  <c r="Q151" i="87"/>
  <c r="Z112" i="81"/>
  <c r="T141" i="91"/>
  <c r="L161" i="92"/>
  <c r="Q114" i="93"/>
  <c r="Q53" i="88"/>
  <c r="O61" i="92"/>
  <c r="Y89" i="91"/>
  <c r="Y51" i="74"/>
  <c r="Q133" i="91"/>
  <c r="AB171" i="83"/>
  <c r="O159" i="93"/>
  <c r="O63" i="83"/>
  <c r="L106" i="87"/>
  <c r="X140" i="85"/>
  <c r="M41" i="74"/>
  <c r="X114" i="87"/>
  <c r="X112" i="91"/>
  <c r="AB180" i="92"/>
  <c r="X177" i="92"/>
  <c r="Q77" i="92"/>
  <c r="P129" i="89"/>
  <c r="Q164" i="88"/>
  <c r="AB47" i="84"/>
  <c r="Y79" i="82"/>
  <c r="X93" i="94"/>
  <c r="Q166" i="94"/>
  <c r="L170" i="88"/>
  <c r="L159" i="94"/>
  <c r="N39" i="88"/>
  <c r="M53" i="88"/>
  <c r="O19" i="89"/>
  <c r="AB74" i="87"/>
  <c r="Q139" i="87"/>
  <c r="L114" i="89"/>
  <c r="L184" i="84"/>
  <c r="Z136" i="88"/>
  <c r="O31" i="84"/>
  <c r="X85" i="84"/>
  <c r="L63" i="91"/>
  <c r="N63" i="91"/>
  <c r="O127" i="85"/>
  <c r="X93" i="92"/>
  <c r="AA90" i="74"/>
  <c r="P99" i="84"/>
  <c r="AB70" i="91"/>
  <c r="Y151" i="82"/>
  <c r="O157" i="92"/>
  <c r="X134" i="84"/>
  <c r="X177" i="93"/>
  <c r="P162" i="84"/>
  <c r="AA111" i="84"/>
  <c r="Z98" i="85"/>
  <c r="L94" i="92"/>
  <c r="X45" i="83"/>
  <c r="AB98" i="92"/>
  <c r="T15" i="91"/>
  <c r="O149" i="84"/>
  <c r="AB87" i="92"/>
  <c r="L166" i="93"/>
  <c r="AB115" i="84"/>
  <c r="Q185" i="81"/>
  <c r="X77" i="88"/>
  <c r="AB180" i="87"/>
  <c r="Q80" i="92"/>
  <c r="N51" i="83"/>
  <c r="Y177" i="87"/>
  <c r="L69" i="87"/>
  <c r="M37" i="84"/>
  <c r="M49" i="94"/>
  <c r="P90" i="93"/>
  <c r="Q121" i="93"/>
  <c r="X72" i="84"/>
  <c r="M51" i="85"/>
  <c r="X180" i="83"/>
  <c r="X151" i="94"/>
  <c r="Z77" i="89"/>
  <c r="L117" i="84"/>
  <c r="Y157" i="89"/>
  <c r="N63" i="88"/>
  <c r="AA159" i="92"/>
  <c r="L110" i="82"/>
  <c r="X152" i="88"/>
  <c r="Z147" i="85"/>
  <c r="Q128" i="93"/>
  <c r="Y180" i="88"/>
  <c r="Q128" i="91"/>
  <c r="P181" i="84"/>
  <c r="Z66" i="87"/>
  <c r="AA118" i="74"/>
  <c r="AA85" i="91"/>
  <c r="O165" i="81"/>
  <c r="AB109" i="85"/>
  <c r="L126" i="84"/>
  <c r="Q168" i="82"/>
  <c r="X49" i="87"/>
  <c r="AB160" i="92"/>
  <c r="P73" i="94"/>
  <c r="P168" i="94"/>
  <c r="P164" i="94"/>
  <c r="X47" i="87"/>
  <c r="Q184" i="87"/>
  <c r="L75" i="87"/>
  <c r="X77" i="82"/>
  <c r="P163" i="93"/>
  <c r="AA55" i="87"/>
  <c r="X88" i="89"/>
  <c r="X104" i="89"/>
  <c r="O159" i="92"/>
  <c r="P23" i="91"/>
  <c r="N93" i="88"/>
  <c r="AB156" i="91"/>
  <c r="Z169" i="92"/>
  <c r="AB169" i="93"/>
  <c r="O185" i="83"/>
  <c r="P84" i="94"/>
  <c r="AA158" i="85"/>
  <c r="Y115" i="84"/>
  <c r="X25" i="88"/>
  <c r="T21" i="91"/>
  <c r="AB9" i="82"/>
  <c r="L155" i="92"/>
  <c r="AA53" i="85"/>
  <c r="L102" i="89"/>
  <c r="Q119" i="93"/>
  <c r="P85" i="92"/>
  <c r="Y27" i="92"/>
  <c r="Q136" i="85"/>
  <c r="O125" i="89"/>
  <c r="O101" i="94"/>
  <c r="AB65" i="89"/>
  <c r="L137" i="91"/>
  <c r="Y114" i="81"/>
  <c r="Q65" i="93"/>
  <c r="N183" i="82"/>
  <c r="O59" i="87"/>
  <c r="AA176" i="88"/>
  <c r="Z82" i="88"/>
  <c r="P176" i="92"/>
  <c r="Z102" i="91"/>
  <c r="AA11" i="84"/>
  <c r="T135" i="89"/>
  <c r="Q144" i="93"/>
  <c r="N27" i="91"/>
  <c r="T15" i="82"/>
  <c r="Q133" i="84"/>
  <c r="Z139" i="88"/>
  <c r="Q51" i="87"/>
  <c r="AB96" i="94"/>
  <c r="T147" i="82"/>
  <c r="O55" i="88"/>
  <c r="L116" i="83"/>
  <c r="P49" i="74"/>
  <c r="AB59" i="84"/>
  <c r="X128" i="82"/>
  <c r="P130" i="91"/>
  <c r="X75" i="88"/>
  <c r="X170" i="93"/>
  <c r="Q146" i="91"/>
  <c r="Z89" i="88"/>
  <c r="Y90" i="91"/>
  <c r="L121" i="87"/>
  <c r="AB104" i="92"/>
  <c r="M11" i="84"/>
  <c r="Y63" i="94"/>
  <c r="N114" i="93"/>
  <c r="X19" i="93"/>
  <c r="O103" i="91"/>
  <c r="P183" i="85"/>
  <c r="O80" i="93"/>
  <c r="Z11" i="88"/>
  <c r="Q155" i="89"/>
  <c r="AA53" i="74"/>
  <c r="Z128" i="88"/>
  <c r="AB169" i="87"/>
  <c r="L139" i="88"/>
  <c r="N69" i="94"/>
  <c r="AA119" i="87"/>
  <c r="O98" i="74"/>
  <c r="AB45" i="91"/>
  <c r="AB100" i="81"/>
  <c r="X154" i="82"/>
  <c r="Y119" i="85"/>
  <c r="AB49" i="93"/>
  <c r="AA104" i="74"/>
  <c r="Z143" i="92"/>
  <c r="X39" i="94"/>
  <c r="L184" i="91"/>
  <c r="P96" i="93"/>
  <c r="AA102" i="74"/>
  <c r="O135" i="92"/>
  <c r="M47" i="81"/>
  <c r="T15" i="89"/>
  <c r="AB43" i="82"/>
  <c r="Y59" i="93"/>
  <c r="Y141" i="93"/>
  <c r="AA166" i="94"/>
  <c r="Q71" i="87"/>
  <c r="Q139" i="94"/>
  <c r="O118" i="74"/>
  <c r="P97" i="88"/>
  <c r="P29" i="87"/>
  <c r="Y61" i="93"/>
  <c r="X76" i="92"/>
  <c r="P85" i="87"/>
  <c r="O113" i="91"/>
  <c r="AA118" i="92"/>
  <c r="Z150" i="94"/>
  <c r="AA156" i="91"/>
  <c r="P70" i="91"/>
  <c r="X114" i="93"/>
  <c r="Y104" i="93"/>
  <c r="X91" i="82"/>
  <c r="AA172" i="85"/>
  <c r="N120" i="81"/>
  <c r="X23" i="89"/>
  <c r="L65" i="81"/>
  <c r="Q98" i="85"/>
  <c r="Y25" i="94"/>
  <c r="P76" i="92"/>
  <c r="O143" i="91"/>
  <c r="Z94" i="92"/>
  <c r="Q65" i="87"/>
  <c r="AB75" i="88"/>
  <c r="O49" i="84"/>
  <c r="X51" i="93"/>
  <c r="Y31" i="89"/>
  <c r="X17" i="83"/>
  <c r="T63" i="83"/>
  <c r="N111" i="92"/>
  <c r="L136" i="74"/>
  <c r="Y13" i="84"/>
  <c r="Q77" i="85"/>
  <c r="Q157" i="88"/>
  <c r="P33" i="92"/>
  <c r="O171" i="84"/>
  <c r="Y106" i="89"/>
  <c r="AB27" i="91"/>
  <c r="AA98" i="93"/>
  <c r="Z53" i="88"/>
  <c r="Z176" i="82"/>
  <c r="L119" i="93"/>
  <c r="Q123" i="92"/>
  <c r="Y11" i="74"/>
  <c r="AA9" i="93"/>
  <c r="Z53" i="93"/>
  <c r="AB154" i="83"/>
  <c r="AA105" i="83"/>
  <c r="AB151" i="91"/>
  <c r="AA121" i="94"/>
  <c r="P176" i="94"/>
  <c r="T69" i="84"/>
  <c r="N171" i="93"/>
  <c r="AA51" i="93"/>
  <c r="T57" i="88"/>
  <c r="Y93" i="84"/>
  <c r="O141" i="92"/>
  <c r="M49" i="93"/>
  <c r="L185" i="94"/>
  <c r="Q184" i="94"/>
  <c r="Z120" i="94"/>
  <c r="T84" i="87"/>
  <c r="Z133" i="92"/>
  <c r="M55" i="92"/>
  <c r="T120" i="94"/>
  <c r="O73" i="91"/>
  <c r="T75" i="88"/>
  <c r="Q130" i="94"/>
  <c r="O111" i="87"/>
  <c r="P125" i="89"/>
  <c r="Y27" i="84"/>
  <c r="O87" i="85"/>
  <c r="O37" i="91"/>
  <c r="Y74" i="81"/>
  <c r="AA88" i="89"/>
  <c r="AA174" i="94"/>
  <c r="P80" i="83"/>
  <c r="N84" i="85"/>
  <c r="AB55" i="88"/>
  <c r="Z174" i="83"/>
  <c r="L109" i="85"/>
  <c r="Q75" i="88"/>
  <c r="P41" i="91"/>
  <c r="Q117" i="93"/>
  <c r="Y156" i="94"/>
  <c r="Q152" i="89"/>
  <c r="P79" i="82"/>
  <c r="Q67" i="83"/>
  <c r="O142" i="83"/>
  <c r="Y75" i="84"/>
  <c r="L160" i="91"/>
  <c r="AB147" i="91"/>
  <c r="O113" i="87"/>
  <c r="Y146" i="94"/>
  <c r="AB102" i="91"/>
  <c r="Z167" i="88"/>
  <c r="AA109" i="91"/>
  <c r="X97" i="88"/>
  <c r="Q128" i="88"/>
  <c r="Q135" i="81"/>
  <c r="M59" i="81"/>
  <c r="AB63" i="87"/>
  <c r="AB157" i="93"/>
  <c r="AB84" i="91"/>
  <c r="O113" i="93"/>
  <c r="L155" i="88"/>
  <c r="Q86" i="92"/>
  <c r="N150" i="87"/>
  <c r="Z102" i="87"/>
  <c r="AB41" i="87"/>
  <c r="Q174" i="91"/>
  <c r="O177" i="88"/>
  <c r="Z31" i="81"/>
  <c r="X92" i="87"/>
  <c r="Q100" i="92"/>
  <c r="Z143" i="89"/>
  <c r="L149" i="88"/>
  <c r="P41" i="93"/>
  <c r="AA108" i="88"/>
  <c r="X171" i="93"/>
  <c r="Y177" i="85"/>
  <c r="Y96" i="91"/>
  <c r="P124" i="92"/>
  <c r="AB146" i="84"/>
  <c r="Q180" i="91"/>
  <c r="Z41" i="91"/>
  <c r="O109" i="81"/>
  <c r="P49" i="88"/>
  <c r="L77" i="89"/>
  <c r="AA108" i="84"/>
  <c r="P92" i="83"/>
  <c r="L97" i="85"/>
  <c r="Z139" i="83"/>
  <c r="Z51" i="87"/>
  <c r="AB175" i="89"/>
  <c r="Y158" i="92"/>
  <c r="X98" i="89"/>
  <c r="Q130" i="92"/>
  <c r="AB31" i="83"/>
  <c r="Q151" i="83"/>
  <c r="AA122" i="93"/>
  <c r="X94" i="81"/>
  <c r="AB19" i="92"/>
  <c r="AB64" i="92"/>
  <c r="Z132" i="85"/>
  <c r="L90" i="83"/>
  <c r="P181" i="81"/>
  <c r="Q173" i="87"/>
  <c r="Q11" i="89"/>
  <c r="Y120" i="91"/>
  <c r="X94" i="91"/>
  <c r="O98" i="88"/>
  <c r="O93" i="87"/>
  <c r="Q100" i="81"/>
  <c r="X63" i="88"/>
  <c r="Y81" i="87"/>
  <c r="AA75" i="87"/>
  <c r="P57" i="93"/>
  <c r="Y43" i="94"/>
  <c r="AB148" i="81"/>
  <c r="Y94" i="93"/>
  <c r="O110" i="89"/>
  <c r="P150" i="85"/>
  <c r="O80" i="87"/>
  <c r="N147" i="93"/>
  <c r="L167" i="93"/>
  <c r="AB71" i="94"/>
  <c r="Z79" i="88"/>
  <c r="Q170" i="88"/>
  <c r="P159" i="92"/>
  <c r="Y126" i="87"/>
  <c r="P150" i="81"/>
  <c r="P130" i="89"/>
  <c r="P64" i="87"/>
  <c r="M59" i="89"/>
  <c r="O104" i="93"/>
  <c r="Z174" i="91"/>
  <c r="Z175" i="81"/>
  <c r="N63" i="92"/>
  <c r="AA116" i="93"/>
  <c r="AA148" i="94"/>
  <c r="AA161" i="82"/>
  <c r="L94" i="94"/>
  <c r="P74" i="94"/>
  <c r="N185" i="81"/>
  <c r="Q119" i="91"/>
  <c r="P105" i="84"/>
  <c r="Q77" i="84"/>
  <c r="O47" i="84"/>
  <c r="M57" i="91"/>
  <c r="AA35" i="74"/>
  <c r="P166" i="87"/>
  <c r="P73" i="92"/>
  <c r="O114" i="87"/>
  <c r="O97" i="84"/>
  <c r="Z90" i="85"/>
  <c r="P33" i="85"/>
  <c r="N165" i="91"/>
  <c r="N177" i="88"/>
  <c r="N144" i="82"/>
  <c r="AA88" i="88"/>
  <c r="Y136" i="92"/>
  <c r="L170" i="83"/>
  <c r="Q82" i="82"/>
  <c r="AB163" i="85"/>
  <c r="P61" i="92"/>
  <c r="AB164" i="85"/>
  <c r="P133" i="84"/>
  <c r="L180" i="87"/>
  <c r="AA133" i="93"/>
  <c r="X167" i="88"/>
  <c r="L68" i="91"/>
  <c r="Q61" i="88"/>
  <c r="AB167" i="92"/>
  <c r="L106" i="83"/>
  <c r="AB59" i="93"/>
  <c r="Q102" i="87"/>
  <c r="Q21" i="84"/>
  <c r="Q19" i="82"/>
  <c r="L185" i="87"/>
  <c r="P137" i="93"/>
  <c r="AA43" i="85"/>
  <c r="O110" i="87"/>
  <c r="N185" i="83"/>
  <c r="Z148" i="93"/>
  <c r="N99" i="94"/>
  <c r="L168" i="91"/>
  <c r="P122" i="83"/>
  <c r="Q132" i="94"/>
  <c r="X134" i="88"/>
  <c r="X112" i="82"/>
  <c r="AA163" i="93"/>
  <c r="M35" i="91"/>
  <c r="Y95" i="93"/>
  <c r="X134" i="92"/>
  <c r="Q43" i="74"/>
  <c r="Z97" i="91"/>
  <c r="Z71" i="82"/>
  <c r="AB71" i="93"/>
  <c r="AB61" i="94"/>
  <c r="AB113" i="83"/>
  <c r="Z97" i="82"/>
  <c r="O99" i="92"/>
  <c r="N9" i="92"/>
  <c r="X172" i="84"/>
  <c r="P146" i="93"/>
  <c r="AB33" i="88"/>
  <c r="Z129" i="81"/>
  <c r="Q142" i="94"/>
  <c r="O85" i="89"/>
  <c r="Q177" i="91"/>
  <c r="T75" i="85"/>
  <c r="O81" i="87"/>
  <c r="Z94" i="82"/>
  <c r="Y35" i="91"/>
  <c r="L93" i="94"/>
  <c r="AA126" i="91"/>
  <c r="Y11" i="87"/>
  <c r="AA45" i="87"/>
  <c r="L142" i="93"/>
  <c r="AB171" i="91"/>
  <c r="AB76" i="92"/>
  <c r="O45" i="87"/>
  <c r="X141" i="94"/>
  <c r="AB74" i="94"/>
  <c r="Y167" i="92"/>
  <c r="P74" i="93"/>
  <c r="AA78" i="92"/>
  <c r="Z140" i="93"/>
  <c r="AA147" i="93"/>
  <c r="AB177" i="91"/>
  <c r="Y107" i="81"/>
  <c r="AB153" i="93"/>
  <c r="Y65" i="94"/>
  <c r="Z21" i="88"/>
  <c r="M55" i="91"/>
  <c r="AB70" i="93"/>
  <c r="P107" i="88"/>
  <c r="AA118" i="88"/>
  <c r="P177" i="94"/>
  <c r="Z64" i="83"/>
  <c r="AA63" i="84"/>
  <c r="M31" i="89"/>
  <c r="O98" i="91"/>
  <c r="Y79" i="89"/>
  <c r="Y148" i="88"/>
  <c r="Q57" i="94"/>
  <c r="AA73" i="84"/>
  <c r="Y133" i="89"/>
  <c r="P89" i="88"/>
  <c r="X111" i="89"/>
  <c r="Y119" i="92"/>
  <c r="O164" i="92"/>
  <c r="Q150" i="94"/>
  <c r="Z109" i="91"/>
  <c r="Z70" i="93"/>
  <c r="AB124" i="81"/>
  <c r="Q92" i="93"/>
  <c r="O91" i="87"/>
  <c r="Q173" i="74"/>
  <c r="Y167" i="89"/>
  <c r="O143" i="94"/>
  <c r="AB13" i="83"/>
  <c r="O72" i="94"/>
  <c r="AA119" i="85"/>
  <c r="Q45" i="85"/>
  <c r="Y76" i="92"/>
  <c r="Q27" i="88"/>
  <c r="P163" i="81"/>
  <c r="N117" i="85"/>
  <c r="Y13" i="87"/>
  <c r="Y92" i="92"/>
  <c r="Q130" i="91"/>
  <c r="Z127" i="82"/>
  <c r="L73" i="84"/>
  <c r="O125" i="83"/>
  <c r="AA96" i="92"/>
  <c r="P119" i="93"/>
  <c r="P118" i="85"/>
  <c r="O65" i="87"/>
  <c r="X55" i="93"/>
  <c r="AA113" i="81"/>
  <c r="P145" i="91"/>
  <c r="P113" i="94"/>
  <c r="Y68" i="88"/>
  <c r="AB11" i="87"/>
  <c r="AA121" i="83"/>
  <c r="Y110" i="93"/>
  <c r="P51" i="87"/>
  <c r="P78" i="93"/>
  <c r="AB166" i="81"/>
  <c r="AA156" i="85"/>
  <c r="AA96" i="87"/>
  <c r="P133" i="91"/>
  <c r="Z37" i="94"/>
  <c r="Z63" i="93"/>
  <c r="AB158" i="88"/>
  <c r="P47" i="92"/>
  <c r="N114" i="81"/>
  <c r="L106" i="89"/>
  <c r="Y72" i="94"/>
  <c r="Z70" i="91"/>
  <c r="Z63" i="84"/>
  <c r="Q108" i="94"/>
  <c r="Z45" i="91"/>
  <c r="Z175" i="91"/>
  <c r="P162" i="74"/>
  <c r="X79" i="85"/>
  <c r="L161" i="93"/>
  <c r="X72" i="89"/>
  <c r="Z180" i="93"/>
  <c r="Y135" i="89"/>
  <c r="O162" i="87"/>
  <c r="Q124" i="83"/>
  <c r="P57" i="89"/>
  <c r="O88" i="84"/>
  <c r="AA115" i="92"/>
  <c r="AB33" i="94"/>
  <c r="AA15" i="92"/>
  <c r="AA77" i="88"/>
  <c r="AB159" i="81"/>
  <c r="Z144" i="94"/>
  <c r="Z175" i="88"/>
  <c r="O147" i="83"/>
  <c r="P96" i="88"/>
  <c r="AA67" i="88"/>
  <c r="Q76" i="74"/>
  <c r="P160" i="87"/>
  <c r="Z103" i="81"/>
  <c r="X168" i="91"/>
  <c r="Z137" i="85"/>
  <c r="P80" i="92"/>
  <c r="L116" i="93"/>
  <c r="O161" i="91"/>
  <c r="Y41" i="94"/>
  <c r="AB176" i="85"/>
  <c r="P107" i="91"/>
  <c r="X72" i="91"/>
  <c r="AA115" i="88"/>
  <c r="Z29" i="84"/>
  <c r="AB9" i="85"/>
  <c r="AA85" i="83"/>
  <c r="Q85" i="84"/>
  <c r="AB165" i="89"/>
  <c r="AA73" i="81"/>
  <c r="P163" i="82"/>
  <c r="Y144" i="92"/>
  <c r="P13" i="93"/>
  <c r="O148" i="93"/>
  <c r="Q115" i="88"/>
  <c r="Z144" i="82"/>
  <c r="AB173" i="93"/>
  <c r="N129" i="92"/>
  <c r="Z91" i="87"/>
  <c r="X110" i="94"/>
  <c r="N87" i="91"/>
  <c r="N162" i="92"/>
  <c r="Z106" i="89"/>
  <c r="L72" i="82"/>
  <c r="AA98" i="84"/>
  <c r="P25" i="89"/>
  <c r="Z95" i="94"/>
  <c r="O72" i="81"/>
  <c r="Z13" i="91"/>
  <c r="AA94" i="94"/>
  <c r="X94" i="88"/>
  <c r="X39" i="93"/>
  <c r="AB87" i="93"/>
  <c r="L156" i="85"/>
  <c r="Z57" i="88"/>
  <c r="L134" i="84"/>
  <c r="Z94" i="87"/>
  <c r="O91" i="94"/>
  <c r="P105" i="91"/>
  <c r="Y120" i="92"/>
  <c r="Z150" i="88"/>
  <c r="X79" i="84"/>
  <c r="Y155" i="94"/>
  <c r="Y90" i="84"/>
  <c r="X68" i="85"/>
  <c r="O41" i="89"/>
  <c r="X108" i="94"/>
  <c r="P75" i="81"/>
  <c r="Z166" i="87"/>
  <c r="M33" i="81"/>
  <c r="P61" i="89"/>
  <c r="Q101" i="92"/>
  <c r="Y25" i="92"/>
  <c r="N39" i="89"/>
  <c r="AB158" i="91"/>
  <c r="X27" i="83"/>
  <c r="P91" i="82"/>
  <c r="Q133" i="83"/>
  <c r="L140" i="83"/>
  <c r="AA39" i="89"/>
  <c r="O11" i="84"/>
  <c r="Q97" i="87"/>
  <c r="L122" i="81"/>
  <c r="AB139" i="94"/>
  <c r="AB170" i="83"/>
  <c r="Y71" i="91"/>
  <c r="AB162" i="85"/>
  <c r="AA150" i="93"/>
  <c r="Y93" i="89"/>
  <c r="P55" i="87"/>
  <c r="P182" i="88"/>
  <c r="AB172" i="92"/>
  <c r="Y139" i="94"/>
  <c r="X64" i="81"/>
  <c r="O78" i="92"/>
  <c r="P63" i="74"/>
  <c r="Q91" i="87"/>
  <c r="AB130" i="91"/>
  <c r="AA164" i="91"/>
  <c r="AA17" i="87"/>
  <c r="Y47" i="93"/>
  <c r="O159" i="91"/>
  <c r="O135" i="88"/>
  <c r="AB49" i="85"/>
  <c r="L105" i="94"/>
  <c r="Z132" i="93"/>
  <c r="X176" i="91"/>
  <c r="O132" i="93"/>
  <c r="Y153" i="88"/>
  <c r="L101" i="85"/>
  <c r="X125" i="93"/>
  <c r="M43" i="85"/>
  <c r="L106" i="93"/>
  <c r="Q144" i="82"/>
  <c r="L184" i="93"/>
  <c r="Y131" i="89"/>
  <c r="O120" i="92"/>
  <c r="X96" i="92"/>
  <c r="AA125" i="89"/>
  <c r="AB25" i="85"/>
  <c r="L183" i="84"/>
  <c r="O33" i="74"/>
  <c r="Y81" i="88"/>
  <c r="Y88" i="94"/>
  <c r="Q81" i="87"/>
  <c r="P148" i="92"/>
  <c r="AB88" i="83"/>
  <c r="O105" i="92"/>
  <c r="L100" i="87"/>
  <c r="Q95" i="82"/>
  <c r="L111" i="87"/>
  <c r="P162" i="83"/>
  <c r="P9" i="92"/>
  <c r="O138" i="88"/>
  <c r="AB101" i="81"/>
  <c r="N15" i="84"/>
  <c r="T78" i="82"/>
  <c r="Q68" i="94"/>
  <c r="AA76" i="94"/>
  <c r="AA177" i="93"/>
  <c r="M33" i="87"/>
  <c r="Q99" i="87"/>
  <c r="O110" i="74"/>
  <c r="Y117" i="84"/>
  <c r="N132" i="84"/>
  <c r="AB180" i="88"/>
  <c r="P76" i="81"/>
  <c r="O111" i="91"/>
  <c r="Y111" i="92"/>
  <c r="X166" i="89"/>
  <c r="T129" i="81"/>
  <c r="Y153" i="94"/>
  <c r="L141" i="94"/>
  <c r="Q87" i="88"/>
  <c r="P154" i="92"/>
  <c r="AA171" i="92"/>
  <c r="Q83" i="94"/>
  <c r="AA148" i="91"/>
  <c r="Q112" i="74"/>
  <c r="O78" i="94"/>
  <c r="Y94" i="81"/>
  <c r="L93" i="85"/>
  <c r="Z79" i="89"/>
  <c r="AB63" i="93"/>
  <c r="Y27" i="91"/>
  <c r="X151" i="87"/>
  <c r="Z79" i="81"/>
  <c r="Q49" i="93"/>
  <c r="Q116" i="83"/>
  <c r="O176" i="94"/>
  <c r="AB91" i="82"/>
  <c r="P101" i="94"/>
  <c r="P164" i="91"/>
  <c r="Z100" i="89"/>
  <c r="Q131" i="82"/>
  <c r="L71" i="87"/>
  <c r="Y81" i="93"/>
  <c r="O146" i="88"/>
  <c r="AB117" i="92"/>
  <c r="Y117" i="87"/>
  <c r="L159" i="89"/>
  <c r="Y100" i="93"/>
  <c r="L174" i="84"/>
  <c r="Z13" i="89"/>
  <c r="X141" i="89"/>
  <c r="L120" i="94"/>
  <c r="L64" i="83"/>
  <c r="AB174" i="85"/>
  <c r="X155" i="93"/>
  <c r="AB55" i="94"/>
  <c r="O166" i="92"/>
  <c r="AB145" i="91"/>
  <c r="AB160" i="93"/>
  <c r="Y79" i="93"/>
  <c r="X107" i="89"/>
  <c r="P9" i="85"/>
  <c r="Z142" i="88"/>
  <c r="O72" i="85"/>
  <c r="O129" i="94"/>
  <c r="AB155" i="92"/>
  <c r="L153" i="74"/>
  <c r="Y149" i="82"/>
  <c r="Q82" i="92"/>
  <c r="AB126" i="85"/>
  <c r="Y169" i="94"/>
  <c r="X110" i="89"/>
  <c r="Y108" i="94"/>
  <c r="O64" i="88"/>
  <c r="AB126" i="91"/>
  <c r="N66" i="74"/>
  <c r="L145" i="88"/>
  <c r="AA132" i="91"/>
  <c r="Y37" i="88"/>
  <c r="AA33" i="83"/>
  <c r="Q51" i="92"/>
  <c r="N168" i="94"/>
  <c r="P177" i="84"/>
  <c r="L132" i="94"/>
  <c r="Q111" i="93"/>
  <c r="Q89" i="81"/>
  <c r="Z113" i="87"/>
  <c r="AA80" i="91"/>
  <c r="L93" i="91"/>
  <c r="O126" i="91"/>
  <c r="X70" i="92"/>
  <c r="O85" i="94"/>
  <c r="X19" i="83"/>
  <c r="X121" i="91"/>
  <c r="Q74" i="89"/>
  <c r="Z43" i="92"/>
  <c r="Q11" i="91"/>
  <c r="AB123" i="89"/>
  <c r="P11" i="94"/>
  <c r="AB137" i="82"/>
  <c r="Z137" i="94"/>
  <c r="AA77" i="93"/>
  <c r="M57" i="89"/>
  <c r="Y138" i="82"/>
  <c r="O138" i="92"/>
  <c r="Q93" i="92"/>
  <c r="AA122" i="92"/>
  <c r="AB75" i="93"/>
  <c r="N87" i="93"/>
  <c r="Q157" i="91"/>
  <c r="L171" i="93"/>
  <c r="Z91" i="85"/>
  <c r="P21" i="88"/>
  <c r="AB170" i="88"/>
  <c r="AB131" i="88"/>
  <c r="O51" i="91"/>
  <c r="Y96" i="89"/>
  <c r="Q64" i="91"/>
  <c r="AA69" i="89"/>
  <c r="P161" i="88"/>
  <c r="AB94" i="83"/>
  <c r="N138" i="94"/>
  <c r="N51" i="93"/>
  <c r="L90" i="93"/>
  <c r="P49" i="93"/>
  <c r="L118" i="94"/>
  <c r="X104" i="88"/>
  <c r="AA15" i="82"/>
  <c r="Q74" i="94"/>
  <c r="Q55" i="82"/>
  <c r="T117" i="92"/>
  <c r="T63" i="93"/>
  <c r="Q97" i="93"/>
  <c r="X11" i="74"/>
  <c r="Y130" i="88"/>
  <c r="X110" i="93"/>
  <c r="O133" i="88"/>
  <c r="Y180" i="81"/>
  <c r="AB150" i="84"/>
  <c r="X143" i="92"/>
  <c r="Z138" i="85"/>
  <c r="L76" i="94"/>
  <c r="Y160" i="89"/>
  <c r="X101" i="85"/>
  <c r="P55" i="92"/>
  <c r="Z118" i="94"/>
  <c r="Y128" i="94"/>
  <c r="AB89" i="88"/>
  <c r="Y172" i="91"/>
  <c r="O129" i="93"/>
  <c r="AB108" i="91"/>
  <c r="Z102" i="84"/>
  <c r="O29" i="82"/>
  <c r="L183" i="81"/>
  <c r="AB168" i="91"/>
  <c r="Z118" i="89"/>
  <c r="Q170" i="92"/>
  <c r="Z127" i="87"/>
  <c r="AB157" i="82"/>
  <c r="M31" i="94"/>
  <c r="Y57" i="83"/>
  <c r="Y19" i="81"/>
  <c r="O99" i="91"/>
  <c r="P165" i="89"/>
  <c r="AB83" i="91"/>
  <c r="X90" i="94"/>
  <c r="AA142" i="94"/>
  <c r="AA115" i="93"/>
  <c r="Z78" i="74"/>
  <c r="Q106" i="81"/>
  <c r="L144" i="85"/>
  <c r="AB154" i="89"/>
  <c r="AA129" i="93"/>
  <c r="AA136" i="82"/>
  <c r="P138" i="93"/>
  <c r="Q129" i="81"/>
  <c r="P129" i="84"/>
  <c r="P148" i="84"/>
  <c r="Z43" i="81"/>
  <c r="Q29" i="93"/>
  <c r="P35" i="81"/>
  <c r="X150" i="87"/>
  <c r="O23" i="89"/>
  <c r="P181" i="94"/>
  <c r="T135" i="93"/>
  <c r="O110" i="91"/>
  <c r="X98" i="94"/>
  <c r="P179" i="82"/>
  <c r="AB151" i="94"/>
  <c r="Q181" i="91"/>
  <c r="P175" i="74"/>
  <c r="Q135" i="94"/>
  <c r="AA68" i="89"/>
  <c r="AA180" i="93"/>
  <c r="P55" i="93"/>
  <c r="P86" i="93"/>
  <c r="Z70" i="89"/>
  <c r="AB171" i="89"/>
  <c r="Q136" i="83"/>
  <c r="L85" i="87"/>
  <c r="L185" i="92"/>
  <c r="O89" i="81"/>
  <c r="O68" i="89"/>
  <c r="Q37" i="82"/>
  <c r="Y159" i="89"/>
  <c r="X103" i="84"/>
  <c r="AB37" i="94"/>
  <c r="AB160" i="91"/>
  <c r="AB93" i="89"/>
  <c r="X159" i="91"/>
  <c r="AA104" i="92"/>
  <c r="Q57" i="93"/>
  <c r="X149" i="87"/>
  <c r="T99" i="91"/>
  <c r="AA169" i="91"/>
  <c r="X81" i="84"/>
  <c r="Y69" i="93"/>
  <c r="Z17" i="93"/>
  <c r="X154" i="92"/>
  <c r="Y94" i="94"/>
  <c r="L180" i="74"/>
  <c r="AA122" i="89"/>
  <c r="N153" i="93"/>
  <c r="O155" i="94"/>
  <c r="AA96" i="84"/>
  <c r="T150" i="92"/>
  <c r="AB122" i="89"/>
  <c r="P82" i="85"/>
  <c r="Z76" i="81"/>
  <c r="P80" i="89"/>
  <c r="Q64" i="89"/>
  <c r="L143" i="91"/>
  <c r="Z95" i="93"/>
  <c r="AB137" i="85"/>
  <c r="O87" i="88"/>
  <c r="AA173" i="87"/>
  <c r="AB103" i="89"/>
  <c r="O169" i="94"/>
  <c r="Z31" i="92"/>
  <c r="AA81" i="94"/>
  <c r="N183" i="89"/>
  <c r="P31" i="89"/>
  <c r="Z84" i="92"/>
  <c r="Q99" i="94"/>
  <c r="Q82" i="87"/>
  <c r="Z160" i="93"/>
  <c r="Y88" i="88"/>
  <c r="O68" i="91"/>
  <c r="O150" i="82"/>
  <c r="Y157" i="87"/>
  <c r="P134" i="92"/>
  <c r="Q21" i="91"/>
  <c r="Z74" i="94"/>
  <c r="AB123" i="94"/>
  <c r="AA9" i="81"/>
  <c r="P161" i="87"/>
  <c r="L73" i="89"/>
  <c r="Z37" i="89"/>
  <c r="X66" i="89"/>
  <c r="M41" i="81"/>
  <c r="AB116" i="88"/>
  <c r="Y72" i="92"/>
  <c r="Q29" i="84"/>
  <c r="Z156" i="91"/>
  <c r="N150" i="91"/>
  <c r="L173" i="89"/>
  <c r="AB73" i="88"/>
  <c r="Y170" i="93"/>
  <c r="T123" i="74"/>
  <c r="P63" i="84"/>
  <c r="Z57" i="85"/>
  <c r="Q172" i="94"/>
  <c r="Q43" i="82"/>
  <c r="AB81" i="91"/>
  <c r="X101" i="84"/>
  <c r="Z13" i="94"/>
  <c r="AA90" i="94"/>
  <c r="AA143" i="74"/>
  <c r="X101" i="87"/>
  <c r="Z172" i="93"/>
  <c r="AA67" i="82"/>
  <c r="AA64" i="94"/>
  <c r="L141" i="93"/>
  <c r="L164" i="94"/>
  <c r="Y49" i="83"/>
  <c r="Z138" i="91"/>
  <c r="P102" i="81"/>
  <c r="Y165" i="83"/>
  <c r="O172" i="91"/>
  <c r="AA116" i="82"/>
  <c r="Z93" i="92"/>
  <c r="Q134" i="93"/>
  <c r="Q142" i="82"/>
  <c r="Z101" i="88"/>
  <c r="AA45" i="85"/>
  <c r="X120" i="92"/>
  <c r="P167" i="84"/>
  <c r="X97" i="91"/>
  <c r="P140" i="89"/>
  <c r="O142" i="85"/>
  <c r="AA159" i="94"/>
  <c r="Y57" i="82"/>
  <c r="L104" i="91"/>
  <c r="P159" i="93"/>
  <c r="O33" i="91"/>
  <c r="P49" i="85"/>
  <c r="O78" i="93"/>
  <c r="AA19" i="83"/>
  <c r="Z29" i="83"/>
  <c r="L149" i="82"/>
  <c r="Z67" i="91"/>
  <c r="O15" i="88"/>
  <c r="O124" i="92"/>
  <c r="P120" i="83"/>
  <c r="Q68" i="91"/>
  <c r="Q171" i="87"/>
  <c r="P183" i="94"/>
  <c r="L151" i="89"/>
  <c r="O83" i="93"/>
  <c r="N33" i="92"/>
  <c r="AB173" i="87"/>
  <c r="Q74" i="93"/>
  <c r="AA45" i="94"/>
  <c r="AB27" i="94"/>
  <c r="O184" i="91"/>
  <c r="P64" i="94"/>
  <c r="Z110" i="92"/>
  <c r="Q108" i="84"/>
  <c r="AA85" i="85"/>
  <c r="P90" i="92"/>
  <c r="P127" i="88"/>
  <c r="N39" i="93"/>
  <c r="AA127" i="87"/>
  <c r="P172" i="93"/>
  <c r="O9" i="91"/>
  <c r="AA132" i="85"/>
  <c r="Z86" i="88"/>
  <c r="AA110" i="85"/>
  <c r="X17" i="93"/>
  <c r="AA72" i="94"/>
  <c r="P95" i="89"/>
  <c r="AA169" i="92"/>
  <c r="O85" i="92"/>
  <c r="P149" i="83"/>
  <c r="T81" i="89"/>
  <c r="Q13" i="91"/>
  <c r="N39" i="92"/>
  <c r="AB96" i="84"/>
  <c r="L154" i="74"/>
  <c r="X68" i="92"/>
  <c r="P184" i="92"/>
  <c r="Z29" i="93"/>
  <c r="AA122" i="88"/>
  <c r="X88" i="93"/>
  <c r="Q15" i="83"/>
  <c r="P70" i="82"/>
  <c r="Q47" i="91"/>
  <c r="X157" i="81"/>
  <c r="P89" i="93"/>
  <c r="O135" i="89"/>
  <c r="M33" i="91"/>
  <c r="Y109" i="93"/>
  <c r="L137" i="94"/>
  <c r="L137" i="87"/>
  <c r="X158" i="89"/>
  <c r="X71" i="88"/>
  <c r="Y69" i="92"/>
  <c r="Q82" i="91"/>
  <c r="P73" i="91"/>
  <c r="AA123" i="91"/>
  <c r="N105" i="84"/>
  <c r="Q57" i="91"/>
  <c r="Q131" i="88"/>
  <c r="X55" i="88"/>
  <c r="Z136" i="85"/>
  <c r="L90" i="85"/>
  <c r="X129" i="82"/>
  <c r="O107" i="85"/>
  <c r="O119" i="91"/>
  <c r="Z81" i="85"/>
  <c r="T177" i="91"/>
  <c r="AB43" i="81"/>
  <c r="N105" i="93"/>
  <c r="O148" i="91"/>
  <c r="Z146" i="87"/>
  <c r="P15" i="93"/>
  <c r="Z11" i="91"/>
  <c r="O84" i="92"/>
  <c r="AA113" i="88"/>
  <c r="O70" i="92"/>
  <c r="P72" i="87"/>
  <c r="O133" i="83"/>
  <c r="Q172" i="83"/>
  <c r="X146" i="89"/>
  <c r="Z37" i="82"/>
  <c r="Z159" i="93"/>
  <c r="Z137" i="74"/>
  <c r="Z144" i="92"/>
  <c r="AA91" i="89"/>
  <c r="X85" i="92"/>
  <c r="Q182" i="88"/>
  <c r="Y41" i="93"/>
  <c r="AA152" i="83"/>
  <c r="O183" i="88"/>
  <c r="P135" i="81"/>
  <c r="Q78" i="92"/>
  <c r="AA119" i="92"/>
  <c r="AB123" i="93"/>
  <c r="AA128" i="91"/>
  <c r="AB89" i="92"/>
  <c r="AB97" i="82"/>
  <c r="N138" i="92"/>
  <c r="L155" i="89"/>
  <c r="O49" i="89"/>
  <c r="AB94" i="87"/>
  <c r="Q29" i="94"/>
  <c r="AB127" i="81"/>
  <c r="Z107" i="92"/>
  <c r="Q102" i="91"/>
  <c r="Q137" i="88"/>
  <c r="Q86" i="91"/>
  <c r="O68" i="93"/>
  <c r="AA100" i="93"/>
  <c r="P130" i="74"/>
  <c r="L143" i="74"/>
  <c r="X113" i="85"/>
  <c r="AB174" i="92"/>
  <c r="Y81" i="85"/>
  <c r="Y33" i="94"/>
  <c r="AB117" i="94"/>
  <c r="T111" i="83"/>
  <c r="Y138" i="92"/>
  <c r="Z180" i="94"/>
  <c r="Y161" i="94"/>
  <c r="X130" i="87"/>
  <c r="X124" i="91"/>
  <c r="X81" i="82"/>
  <c r="O25" i="82"/>
  <c r="Q118" i="93"/>
  <c r="M61" i="92"/>
  <c r="L162" i="94"/>
  <c r="AB148" i="93"/>
  <c r="X158" i="92"/>
  <c r="X35" i="94"/>
  <c r="P98" i="88"/>
  <c r="Q17" i="93"/>
  <c r="AB120" i="94"/>
  <c r="O97" i="85"/>
  <c r="X119" i="87"/>
  <c r="L127" i="74"/>
  <c r="Z75" i="81"/>
  <c r="O184" i="89"/>
  <c r="P175" i="93"/>
  <c r="N120" i="92"/>
  <c r="P158" i="85"/>
  <c r="Z154" i="94"/>
  <c r="Q37" i="87"/>
  <c r="O145" i="82"/>
  <c r="L119" i="82"/>
  <c r="O185" i="85"/>
  <c r="P153" i="91"/>
  <c r="Z159" i="94"/>
  <c r="N123" i="92"/>
  <c r="O138" i="93"/>
  <c r="L88" i="89"/>
  <c r="Q100" i="93"/>
  <c r="AA130" i="88"/>
  <c r="L114" i="81"/>
  <c r="AB141" i="89"/>
  <c r="P78" i="88"/>
  <c r="X115" i="89"/>
  <c r="O113" i="83"/>
  <c r="Z146" i="83"/>
  <c r="Q102" i="85"/>
  <c r="N45" i="88"/>
  <c r="P134" i="82"/>
  <c r="Q128" i="84"/>
  <c r="Q64" i="92"/>
  <c r="X51" i="84"/>
  <c r="Z133" i="88"/>
  <c r="Q108" i="92"/>
  <c r="X159" i="84"/>
  <c r="AB59" i="85"/>
  <c r="AB127" i="84"/>
  <c r="Y157" i="83"/>
  <c r="Q111" i="74"/>
  <c r="Z122" i="87"/>
  <c r="L149" i="92"/>
  <c r="AB108" i="85"/>
  <c r="AA73" i="94"/>
  <c r="Q142" i="84"/>
  <c r="O47" i="94"/>
  <c r="L65" i="89"/>
  <c r="Z88" i="82"/>
  <c r="Z67" i="89"/>
  <c r="X120" i="94"/>
  <c r="Y23" i="89"/>
  <c r="L161" i="83"/>
  <c r="Q126" i="84"/>
  <c r="Y140" i="82"/>
  <c r="Y55" i="82"/>
  <c r="Q96" i="85"/>
  <c r="O15" i="91"/>
  <c r="AA37" i="93"/>
  <c r="Y150" i="94"/>
  <c r="P71" i="88"/>
  <c r="Z51" i="94"/>
  <c r="Q125" i="93"/>
  <c r="Z161" i="87"/>
  <c r="Z79" i="87"/>
  <c r="Z105" i="93"/>
  <c r="M35" i="93"/>
  <c r="O83" i="88"/>
  <c r="X87" i="89"/>
  <c r="Z83" i="93"/>
  <c r="T27" i="82"/>
  <c r="O91" i="88"/>
  <c r="M39" i="85"/>
  <c r="Y131" i="74"/>
  <c r="T72" i="81"/>
  <c r="Z157" i="88"/>
  <c r="Y115" i="93"/>
  <c r="AA155" i="94"/>
  <c r="AB9" i="89"/>
  <c r="L127" i="94"/>
  <c r="AA134" i="94"/>
  <c r="L78" i="93"/>
  <c r="AA51" i="89"/>
  <c r="O120" i="89"/>
  <c r="O67" i="94"/>
  <c r="N180" i="91"/>
  <c r="Q111" i="85"/>
  <c r="Q109" i="88"/>
  <c r="AA13" i="94"/>
  <c r="P81" i="93"/>
  <c r="AA99" i="84"/>
  <c r="L143" i="93"/>
  <c r="X128" i="84"/>
  <c r="P13" i="87"/>
  <c r="X157" i="94"/>
  <c r="Q115" i="91"/>
  <c r="Y165" i="91"/>
  <c r="O155" i="91"/>
  <c r="Y154" i="91"/>
  <c r="AB68" i="83"/>
  <c r="O133" i="94"/>
  <c r="X170" i="81"/>
  <c r="Y15" i="85"/>
  <c r="X118" i="87"/>
  <c r="Q27" i="74"/>
  <c r="L134" i="94"/>
  <c r="O179" i="89"/>
  <c r="O35" i="84"/>
  <c r="Z130" i="91"/>
  <c r="AA13" i="74"/>
  <c r="L130" i="74"/>
  <c r="N78" i="94"/>
  <c r="L115" i="91"/>
  <c r="Z90" i="88"/>
  <c r="Q143" i="92"/>
  <c r="P80" i="91"/>
  <c r="X140" i="83"/>
  <c r="AB125" i="91"/>
  <c r="O147" i="82"/>
  <c r="O102" i="87"/>
  <c r="AB43" i="85"/>
  <c r="X45" i="82"/>
  <c r="AB67" i="88"/>
  <c r="P130" i="92"/>
  <c r="L149" i="93"/>
  <c r="Q17" i="88"/>
  <c r="L148" i="93"/>
  <c r="P158" i="92"/>
  <c r="Z169" i="94"/>
  <c r="AA112" i="88"/>
  <c r="Y101" i="93"/>
  <c r="Z148" i="85"/>
  <c r="Z141" i="93"/>
  <c r="AB120" i="85"/>
  <c r="AA82" i="92"/>
  <c r="AA117" i="93"/>
  <c r="O72" i="92"/>
  <c r="AA146" i="82"/>
  <c r="X74" i="87"/>
  <c r="X65" i="87"/>
  <c r="AB79" i="82"/>
  <c r="AA71" i="87"/>
  <c r="L113" i="87"/>
  <c r="T93" i="89"/>
  <c r="L159" i="93"/>
  <c r="X53" i="92"/>
  <c r="L111" i="84"/>
  <c r="O76" i="81"/>
  <c r="L66" i="93"/>
  <c r="Y142" i="89"/>
  <c r="P145" i="83"/>
  <c r="AB57" i="88"/>
  <c r="Y159" i="91"/>
  <c r="X66" i="91"/>
  <c r="AB91" i="92"/>
  <c r="Q67" i="94"/>
  <c r="Y81" i="92"/>
  <c r="O67" i="93"/>
  <c r="AA139" i="93"/>
  <c r="Q92" i="74"/>
  <c r="Z106" i="87"/>
  <c r="N96" i="74"/>
  <c r="X169" i="89"/>
  <c r="AA113" i="82"/>
  <c r="P182" i="89"/>
  <c r="Q53" i="87"/>
  <c r="Y74" i="92"/>
  <c r="X49" i="93"/>
  <c r="Z33" i="91"/>
  <c r="P138" i="82"/>
  <c r="AB122" i="85"/>
  <c r="O93" i="91"/>
  <c r="Y77" i="83"/>
  <c r="L75" i="81"/>
  <c r="O113" i="84"/>
  <c r="Z31" i="94"/>
  <c r="AB96" i="92"/>
  <c r="AB13" i="94"/>
  <c r="Z141" i="91"/>
  <c r="P15" i="87"/>
  <c r="Y177" i="91"/>
  <c r="AB152" i="88"/>
  <c r="AA169" i="84"/>
  <c r="Z120" i="82"/>
  <c r="X65" i="94"/>
  <c r="AB109" i="91"/>
  <c r="X69" i="84"/>
  <c r="O27" i="93"/>
  <c r="X91" i="83"/>
  <c r="Z180" i="85"/>
  <c r="P68" i="94"/>
  <c r="P13" i="84"/>
  <c r="O96" i="91"/>
  <c r="X128" i="88"/>
  <c r="Y94" i="88"/>
  <c r="AB21" i="93"/>
  <c r="Y53" i="94"/>
  <c r="AB116" i="92"/>
  <c r="P9" i="93"/>
  <c r="Q95" i="87"/>
  <c r="AB105" i="85"/>
  <c r="T63" i="87"/>
  <c r="AB132" i="84"/>
  <c r="AB104" i="91"/>
  <c r="Y45" i="92"/>
  <c r="AA64" i="92"/>
  <c r="Q73" i="91"/>
  <c r="P163" i="94"/>
  <c r="X11" i="87"/>
  <c r="AB100" i="85"/>
  <c r="P155" i="87"/>
  <c r="AB39" i="81"/>
  <c r="N138" i="93"/>
  <c r="Z109" i="84"/>
  <c r="Q92" i="89"/>
  <c r="Q171" i="82"/>
  <c r="AA114" i="88"/>
  <c r="Z111" i="93"/>
  <c r="Z122" i="89"/>
  <c r="Z151" i="89"/>
  <c r="M37" i="93"/>
  <c r="Y97" i="93"/>
  <c r="O19" i="93"/>
  <c r="O63" i="87"/>
  <c r="Q176" i="91"/>
  <c r="Z98" i="94"/>
  <c r="AB174" i="82"/>
  <c r="P124" i="88"/>
  <c r="AB158" i="92"/>
  <c r="X67" i="88"/>
  <c r="P73" i="84"/>
  <c r="O160" i="83"/>
  <c r="T111" i="88"/>
  <c r="L181" i="94"/>
  <c r="O105" i="81"/>
  <c r="O139" i="82"/>
  <c r="T177" i="94"/>
  <c r="N117" i="89"/>
  <c r="AA124" i="85"/>
  <c r="Q120" i="89"/>
  <c r="Q149" i="91"/>
  <c r="L125" i="89"/>
  <c r="X120" i="88"/>
  <c r="T159" i="91"/>
  <c r="O45" i="91"/>
  <c r="O150" i="93"/>
  <c r="X21" i="85"/>
  <c r="T105" i="81"/>
  <c r="AA143" i="81"/>
  <c r="Y128" i="92"/>
  <c r="L69" i="93"/>
  <c r="X106" i="94"/>
  <c r="X88" i="81"/>
  <c r="L125" i="82"/>
  <c r="O77" i="93"/>
  <c r="AB87" i="83"/>
  <c r="AA163" i="94"/>
  <c r="L117" i="92"/>
  <c r="O140" i="88"/>
  <c r="AB104" i="84"/>
  <c r="AB89" i="93"/>
  <c r="Q25" i="87"/>
  <c r="O134" i="94"/>
  <c r="Y108" i="92"/>
  <c r="AB174" i="88"/>
  <c r="L176" i="94"/>
  <c r="Y70" i="92"/>
  <c r="N184" i="81"/>
  <c r="M51" i="91"/>
  <c r="Q93" i="85"/>
  <c r="O157" i="82"/>
  <c r="Y170" i="92"/>
  <c r="AB154" i="87"/>
  <c r="N159" i="91"/>
  <c r="X99" i="93"/>
  <c r="Y127" i="82"/>
  <c r="Y167" i="91"/>
  <c r="AB158" i="82"/>
  <c r="Y139" i="82"/>
  <c r="M59" i="92"/>
  <c r="P148" i="83"/>
  <c r="O41" i="74"/>
  <c r="AB29" i="89"/>
  <c r="T114" i="89"/>
  <c r="Z29" i="91"/>
  <c r="T63" i="82"/>
  <c r="AB113" i="92"/>
  <c r="AA80" i="84"/>
  <c r="Z129" i="94"/>
  <c r="Q175" i="93"/>
  <c r="Z154" i="93"/>
  <c r="AA98" i="91"/>
  <c r="P104" i="87"/>
  <c r="P79" i="93"/>
  <c r="AA101" i="94"/>
  <c r="AA70" i="88"/>
  <c r="Z169" i="87"/>
  <c r="O78" i="84"/>
  <c r="O137" i="83"/>
  <c r="AA174" i="88"/>
  <c r="AA87" i="93"/>
  <c r="AA114" i="91"/>
  <c r="AA173" i="94"/>
  <c r="X111" i="91"/>
  <c r="AB161" i="85"/>
  <c r="X129" i="94"/>
  <c r="AB102" i="81"/>
  <c r="P43" i="89"/>
  <c r="X78" i="88"/>
  <c r="Y145" i="84"/>
  <c r="X89" i="91"/>
  <c r="Q73" i="88"/>
  <c r="P175" i="87"/>
  <c r="M43" i="88"/>
  <c r="P64" i="81"/>
  <c r="Y165" i="89"/>
  <c r="Q123" i="93"/>
  <c r="X166" i="85"/>
  <c r="AB79" i="91"/>
  <c r="Z114" i="87"/>
  <c r="N84" i="92"/>
  <c r="X67" i="91"/>
  <c r="Z69" i="88"/>
  <c r="P55" i="94"/>
  <c r="X128" i="74"/>
  <c r="AB75" i="91"/>
  <c r="P109" i="83"/>
  <c r="O94" i="83"/>
  <c r="Y13" i="82"/>
  <c r="X150" i="94"/>
  <c r="L83" i="91"/>
  <c r="Q185" i="89"/>
  <c r="AB89" i="84"/>
  <c r="AB77" i="81"/>
  <c r="O37" i="84"/>
  <c r="O66" i="93"/>
  <c r="Y53" i="92"/>
  <c r="O129" i="91"/>
  <c r="X29" i="84"/>
  <c r="L159" i="85"/>
  <c r="X172" i="81"/>
  <c r="AB137" i="93"/>
  <c r="P138" i="85"/>
  <c r="AB21" i="81"/>
  <c r="L115" i="85"/>
  <c r="Z133" i="87"/>
  <c r="L171" i="74"/>
  <c r="M21" i="82"/>
  <c r="O166" i="87"/>
  <c r="L120" i="87"/>
  <c r="AB116" i="93"/>
  <c r="L77" i="85"/>
  <c r="X127" i="91"/>
  <c r="AA154" i="82"/>
  <c r="AB126" i="93"/>
  <c r="O104" i="85"/>
  <c r="AA165" i="89"/>
  <c r="Z118" i="87"/>
  <c r="Y78" i="92"/>
  <c r="P96" i="87"/>
  <c r="Q179" i="94"/>
  <c r="AB78" i="94"/>
  <c r="Q177" i="93"/>
  <c r="AB148" i="89"/>
  <c r="Q82" i="81"/>
  <c r="Z130" i="81"/>
  <c r="Q13" i="88"/>
  <c r="Z9" i="83"/>
  <c r="AA70" i="89"/>
  <c r="P113" i="93"/>
  <c r="Z123" i="93"/>
  <c r="L167" i="94"/>
  <c r="AB176" i="91"/>
  <c r="Y106" i="83"/>
  <c r="Q132" i="91"/>
  <c r="O164" i="87"/>
  <c r="X142" i="89"/>
  <c r="Z143" i="93"/>
  <c r="Y59" i="87"/>
  <c r="AB85" i="91"/>
  <c r="Z39" i="83"/>
  <c r="Y175" i="88"/>
  <c r="X91" i="93"/>
  <c r="O180" i="83"/>
  <c r="X172" i="89"/>
  <c r="X33" i="85"/>
  <c r="O137" i="81"/>
  <c r="Q158" i="83"/>
  <c r="X174" i="92"/>
  <c r="O73" i="84"/>
  <c r="L74" i="88"/>
  <c r="X102" i="89"/>
  <c r="P170" i="94"/>
  <c r="AB150" i="92"/>
  <c r="P106" i="89"/>
  <c r="M53" i="83"/>
  <c r="L182" i="88"/>
  <c r="Z127" i="83"/>
  <c r="O160" i="87"/>
  <c r="X145" i="83"/>
  <c r="AA93" i="91"/>
  <c r="O35" i="94"/>
  <c r="Y79" i="94"/>
  <c r="O94" i="74"/>
  <c r="O131" i="83"/>
  <c r="P57" i="88"/>
  <c r="O67" i="89"/>
  <c r="O126" i="93"/>
  <c r="O135" i="87"/>
  <c r="X75" i="92"/>
  <c r="P119" i="92"/>
  <c r="L101" i="81"/>
  <c r="AA9" i="84"/>
  <c r="L153" i="92"/>
  <c r="O57" i="93"/>
  <c r="L162" i="93"/>
  <c r="L100" i="74"/>
  <c r="O166" i="82"/>
  <c r="O109" i="89"/>
  <c r="O143" i="88"/>
  <c r="Q141" i="81"/>
  <c r="X72" i="82"/>
  <c r="P128" i="91"/>
  <c r="Z92" i="94"/>
  <c r="O133" i="87"/>
  <c r="P106" i="93"/>
  <c r="P13" i="94"/>
  <c r="O146" i="91"/>
  <c r="P29" i="94"/>
  <c r="Y45" i="81"/>
  <c r="Q33" i="87"/>
  <c r="AA134" i="88"/>
  <c r="Y171" i="93"/>
  <c r="N111" i="93"/>
  <c r="P78" i="84"/>
  <c r="N45" i="83"/>
  <c r="P142" i="91"/>
  <c r="L137" i="93"/>
  <c r="AB103" i="88"/>
  <c r="P148" i="82"/>
  <c r="Y160" i="87"/>
  <c r="N174" i="88"/>
  <c r="P59" i="83"/>
  <c r="O124" i="87"/>
  <c r="AA177" i="83"/>
  <c r="M45" i="83"/>
  <c r="X95" i="81"/>
  <c r="Z128" i="85"/>
  <c r="AB65" i="93"/>
  <c r="Y163" i="94"/>
  <c r="O103" i="93"/>
  <c r="Y104" i="87"/>
  <c r="T81" i="94"/>
  <c r="Q105" i="74"/>
  <c r="N135" i="94"/>
  <c r="AA45" i="92"/>
  <c r="P138" i="87"/>
  <c r="Q68" i="81"/>
  <c r="AA116" i="91"/>
  <c r="Q124" i="87"/>
  <c r="O175" i="88"/>
  <c r="O168" i="74"/>
  <c r="N147" i="88"/>
  <c r="P113" i="83"/>
  <c r="Z9" i="93"/>
  <c r="Z122" i="81"/>
  <c r="Q49" i="89"/>
  <c r="P70" i="87"/>
  <c r="L96" i="92"/>
  <c r="Q133" i="82"/>
  <c r="Z173" i="85"/>
  <c r="L75" i="91"/>
  <c r="Q45" i="94"/>
  <c r="N27" i="81"/>
  <c r="AB71" i="87"/>
  <c r="P80" i="85"/>
  <c r="M55" i="89"/>
  <c r="N108" i="74"/>
  <c r="X17" i="81"/>
  <c r="Z151" i="82"/>
  <c r="P184" i="91"/>
  <c r="Y139" i="88"/>
  <c r="Q37" i="93"/>
  <c r="Q144" i="88"/>
  <c r="AB135" i="83"/>
  <c r="X116" i="91"/>
  <c r="P166" i="92"/>
  <c r="AB180" i="81"/>
  <c r="AA68" i="93"/>
  <c r="Y162" i="81"/>
  <c r="Z110" i="94"/>
  <c r="L121" i="93"/>
  <c r="Y105" i="94"/>
  <c r="AA125" i="81"/>
  <c r="P59" i="91"/>
  <c r="AA115" i="84"/>
  <c r="Q103" i="83"/>
  <c r="Z132" i="84"/>
  <c r="O55" i="83"/>
  <c r="Q68" i="85"/>
  <c r="AA19" i="88"/>
  <c r="Z25" i="89"/>
  <c r="Z86" i="74"/>
  <c r="X129" i="83"/>
  <c r="AA137" i="89"/>
  <c r="P168" i="93"/>
  <c r="Y80" i="92"/>
  <c r="Q101" i="74"/>
  <c r="L100" i="91"/>
  <c r="Q151" i="74"/>
  <c r="L118" i="87"/>
  <c r="Y124" i="94"/>
  <c r="AA25" i="74"/>
  <c r="AB74" i="83"/>
  <c r="Q148" i="89"/>
  <c r="P152" i="87"/>
  <c r="Y123" i="88"/>
  <c r="AA177" i="82"/>
  <c r="O121" i="94"/>
  <c r="AA55" i="93"/>
  <c r="L72" i="84"/>
  <c r="L134" i="91"/>
  <c r="T69" i="74"/>
  <c r="Q154" i="93"/>
  <c r="Y170" i="84"/>
  <c r="Z127" i="94"/>
  <c r="P88" i="83"/>
  <c r="Y102" i="93"/>
  <c r="X33" i="92"/>
  <c r="Q72" i="82"/>
  <c r="X17" i="94"/>
  <c r="Z146" i="74"/>
  <c r="L175" i="92"/>
  <c r="Q183" i="81"/>
  <c r="P153" i="82"/>
  <c r="L131" i="89"/>
  <c r="X73" i="84"/>
  <c r="O181" i="87"/>
  <c r="Q84" i="91"/>
  <c r="Q168" i="84"/>
  <c r="X65" i="85"/>
  <c r="X155" i="88"/>
  <c r="Z122" i="82"/>
  <c r="Y160" i="83"/>
  <c r="Z164" i="92"/>
  <c r="P168" i="88"/>
  <c r="P135" i="87"/>
  <c r="Y37" i="89"/>
  <c r="P149" i="84"/>
  <c r="Z131" i="74"/>
  <c r="Z97" i="87"/>
  <c r="Q125" i="83"/>
  <c r="O81" i="91"/>
  <c r="P158" i="89"/>
  <c r="Q159" i="94"/>
  <c r="Q118" i="92"/>
  <c r="O134" i="91"/>
  <c r="X86" i="87"/>
  <c r="AA161" i="81"/>
  <c r="X134" i="91"/>
  <c r="Q125" i="87"/>
  <c r="P146" i="88"/>
  <c r="L126" i="93"/>
  <c r="L67" i="91"/>
  <c r="T174" i="84"/>
  <c r="O29" i="93"/>
  <c r="P176" i="93"/>
  <c r="Z171" i="87"/>
  <c r="O19" i="91"/>
  <c r="Z19" i="83"/>
  <c r="N120" i="85"/>
  <c r="Z57" i="83"/>
  <c r="X164" i="84"/>
  <c r="X110" i="88"/>
  <c r="AA138" i="89"/>
  <c r="O101" i="93"/>
  <c r="Z113" i="84"/>
  <c r="P140" i="81"/>
  <c r="Z126" i="94"/>
  <c r="Y53" i="74"/>
  <c r="X154" i="87"/>
  <c r="AB123" i="92"/>
  <c r="X147" i="89"/>
  <c r="L132" i="83"/>
  <c r="L73" i="92"/>
  <c r="Z99" i="74"/>
  <c r="X75" i="89"/>
  <c r="AA113" i="87"/>
  <c r="Q136" i="91"/>
  <c r="N93" i="84"/>
  <c r="L181" i="83"/>
  <c r="O135" i="84"/>
  <c r="AB147" i="94"/>
  <c r="X111" i="82"/>
  <c r="O163" i="93"/>
  <c r="X120" i="82"/>
  <c r="T111" i="91"/>
  <c r="X146" i="81"/>
  <c r="L106" i="85"/>
  <c r="O160" i="94"/>
  <c r="O66" i="89"/>
  <c r="Y25" i="89"/>
  <c r="X158" i="88"/>
  <c r="O121" i="82"/>
  <c r="P114" i="84"/>
  <c r="X99" i="92"/>
  <c r="Q112" i="84"/>
  <c r="Y166" i="93"/>
  <c r="X118" i="74"/>
  <c r="P66" i="88"/>
  <c r="Q177" i="84"/>
  <c r="P153" i="92"/>
  <c r="Y11" i="91"/>
  <c r="Z174" i="89"/>
  <c r="O131" i="82"/>
  <c r="Y66" i="94"/>
  <c r="P92" i="74"/>
  <c r="M29" i="81"/>
  <c r="L112" i="84"/>
  <c r="N72" i="91"/>
  <c r="Z117" i="94"/>
  <c r="X135" i="93"/>
  <c r="P39" i="94"/>
  <c r="AB175" i="91"/>
  <c r="Z84" i="93"/>
  <c r="AB74" i="88"/>
  <c r="O108" i="81"/>
  <c r="Y64" i="94"/>
  <c r="Q94" i="74"/>
  <c r="AA93" i="93"/>
  <c r="Q120" i="84"/>
  <c r="O125" i="92"/>
  <c r="L152" i="93"/>
  <c r="AB43" i="91"/>
  <c r="O173" i="81"/>
  <c r="N135" i="91"/>
  <c r="AB92" i="94"/>
  <c r="O76" i="87"/>
  <c r="AA37" i="92"/>
  <c r="P33" i="93"/>
  <c r="O23" i="88"/>
  <c r="AB69" i="81"/>
  <c r="M47" i="87"/>
  <c r="AA72" i="85"/>
  <c r="O120" i="93"/>
  <c r="M35" i="74"/>
  <c r="AA170" i="85"/>
  <c r="Y125" i="87"/>
  <c r="Q79" i="89"/>
  <c r="Z117" i="85"/>
  <c r="AB23" i="83"/>
  <c r="O82" i="93"/>
  <c r="X113" i="92"/>
  <c r="P9" i="88"/>
  <c r="AB121" i="88"/>
  <c r="AB173" i="89"/>
  <c r="X142" i="88"/>
  <c r="Z106" i="88"/>
  <c r="Z141" i="94"/>
  <c r="Q17" i="84"/>
  <c r="O83" i="87"/>
  <c r="AA86" i="92"/>
  <c r="P94" i="87"/>
  <c r="X99" i="85"/>
  <c r="Z103" i="82"/>
  <c r="Q82" i="88"/>
  <c r="AA76" i="88"/>
  <c r="P151" i="91"/>
  <c r="Q147" i="89"/>
  <c r="AB123" i="81"/>
  <c r="L126" i="88"/>
  <c r="AB111" i="89"/>
  <c r="AB45" i="89"/>
  <c r="O109" i="83"/>
  <c r="AA169" i="93"/>
  <c r="Q183" i="89"/>
  <c r="P107" i="82"/>
  <c r="AA89" i="94"/>
  <c r="T57" i="81"/>
  <c r="AA149" i="83"/>
  <c r="P169" i="82"/>
  <c r="Y146" i="84"/>
  <c r="Q121" i="74"/>
  <c r="AB146" i="92"/>
  <c r="M47" i="74"/>
  <c r="AB21" i="89"/>
  <c r="Y73" i="88"/>
  <c r="Y166" i="87"/>
  <c r="P130" i="94"/>
  <c r="Z49" i="92"/>
  <c r="AA79" i="94"/>
  <c r="N180" i="92"/>
  <c r="Y99" i="89"/>
  <c r="AA167" i="85"/>
  <c r="AA76" i="91"/>
  <c r="Q47" i="87"/>
  <c r="Z94" i="94"/>
  <c r="L106" i="88"/>
  <c r="Y43" i="93"/>
  <c r="X120" i="83"/>
  <c r="O178" i="74"/>
  <c r="AA11" i="91"/>
  <c r="N66" i="93"/>
  <c r="AB93" i="93"/>
  <c r="Q134" i="88"/>
  <c r="L107" i="85"/>
  <c r="O163" i="85"/>
  <c r="X13" i="93"/>
  <c r="P67" i="91"/>
  <c r="Q160" i="83"/>
  <c r="Z114" i="94"/>
  <c r="N184" i="88"/>
  <c r="Q108" i="74"/>
  <c r="X69" i="87"/>
  <c r="M33" i="92"/>
  <c r="AB122" i="91"/>
  <c r="Z23" i="83"/>
  <c r="Y148" i="94"/>
  <c r="Z96" i="94"/>
  <c r="Z155" i="89"/>
  <c r="Y114" i="82"/>
  <c r="X97" i="89"/>
  <c r="AB129" i="92"/>
  <c r="L113" i="81"/>
  <c r="AA68" i="74"/>
  <c r="L147" i="83"/>
  <c r="O104" i="84"/>
  <c r="AB163" i="92"/>
  <c r="P105" i="89"/>
  <c r="Y107" i="92"/>
  <c r="P83" i="92"/>
  <c r="P149" i="89"/>
  <c r="X143" i="91"/>
  <c r="X106" i="87"/>
  <c r="X131" i="94"/>
  <c r="P175" i="91"/>
  <c r="Y130" i="89"/>
  <c r="P73" i="83"/>
  <c r="Y112" i="91"/>
  <c r="Q81" i="85"/>
  <c r="X109" i="88"/>
  <c r="X162" i="88"/>
  <c r="Z31" i="88"/>
  <c r="AA118" i="89"/>
  <c r="P27" i="93"/>
  <c r="Q79" i="87"/>
  <c r="AB144" i="89"/>
  <c r="Y151" i="89"/>
  <c r="X173" i="87"/>
  <c r="Z53" i="91"/>
  <c r="X154" i="94"/>
  <c r="N126" i="92"/>
  <c r="Q120" i="93"/>
  <c r="P177" i="91"/>
  <c r="P157" i="84"/>
  <c r="L180" i="81"/>
  <c r="Q87" i="89"/>
  <c r="O141" i="93"/>
  <c r="Y152" i="82"/>
  <c r="O126" i="84"/>
  <c r="AB71" i="88"/>
  <c r="Q108" i="85"/>
  <c r="O126" i="89"/>
  <c r="Q137" i="85"/>
  <c r="M45" i="87"/>
  <c r="AB90" i="83"/>
  <c r="AB112" i="93"/>
  <c r="X27" i="88"/>
  <c r="Q152" i="82"/>
  <c r="L82" i="92"/>
  <c r="O161" i="81"/>
  <c r="Z144" i="93"/>
  <c r="L180" i="83"/>
  <c r="AA86" i="94"/>
  <c r="O55" i="91"/>
  <c r="Y131" i="85"/>
  <c r="X116" i="87"/>
  <c r="Z149" i="93"/>
  <c r="Z152" i="89"/>
  <c r="P91" i="94"/>
  <c r="AB159" i="92"/>
  <c r="AA108" i="82"/>
  <c r="Y126" i="93"/>
  <c r="AB64" i="88"/>
  <c r="Q100" i="74"/>
  <c r="AB173" i="81"/>
  <c r="AA157" i="88"/>
  <c r="Z147" i="87"/>
  <c r="Q168" i="93"/>
  <c r="AB158" i="93"/>
  <c r="AA144" i="88"/>
  <c r="T66" i="83"/>
  <c r="AA111" i="93"/>
  <c r="L110" i="81"/>
  <c r="Q79" i="94"/>
  <c r="X162" i="81"/>
  <c r="Q64" i="88"/>
  <c r="Y90" i="89"/>
  <c r="AB25" i="93"/>
  <c r="Q45" i="84"/>
  <c r="X11" i="94"/>
  <c r="N150" i="88"/>
  <c r="Z169" i="81"/>
  <c r="L177" i="91"/>
  <c r="P83" i="82"/>
  <c r="Q63" i="89"/>
  <c r="Z137" i="92"/>
  <c r="Y15" i="92"/>
  <c r="N93" i="94"/>
  <c r="Q146" i="85"/>
  <c r="Y170" i="85"/>
  <c r="Y142" i="84"/>
  <c r="X63" i="89"/>
  <c r="O83" i="94"/>
  <c r="Q21" i="74"/>
  <c r="L81" i="92"/>
  <c r="O180" i="82"/>
  <c r="AB177" i="93"/>
  <c r="X168" i="93"/>
  <c r="X35" i="89"/>
  <c r="Z106" i="93"/>
  <c r="Y108" i="89"/>
  <c r="X143" i="82"/>
  <c r="AA29" i="87"/>
  <c r="Y23" i="83"/>
  <c r="O117" i="91"/>
  <c r="P159" i="82"/>
  <c r="X90" i="85"/>
  <c r="N99" i="82"/>
  <c r="Y139" i="84"/>
  <c r="X74" i="94"/>
  <c r="Y39" i="92"/>
  <c r="L123" i="83"/>
  <c r="T27" i="89"/>
  <c r="AB81" i="93"/>
  <c r="X121" i="85"/>
  <c r="N177" i="93"/>
  <c r="Y85" i="83"/>
  <c r="X23" i="87"/>
  <c r="Z141" i="92"/>
  <c r="AB102" i="84"/>
  <c r="Y128" i="91"/>
  <c r="Z89" i="81"/>
  <c r="X95" i="87"/>
  <c r="AB11" i="92"/>
  <c r="P21" i="87"/>
  <c r="AA136" i="92"/>
  <c r="P157" i="93"/>
  <c r="L84" i="82"/>
  <c r="Y49" i="94"/>
  <c r="L72" i="87"/>
  <c r="P129" i="88"/>
  <c r="O100" i="94"/>
  <c r="AB99" i="84"/>
  <c r="AB157" i="92"/>
  <c r="Q98" i="92"/>
  <c r="AB176" i="93"/>
  <c r="P111" i="91"/>
  <c r="AA118" i="94"/>
  <c r="Z39" i="81"/>
  <c r="L183" i="89"/>
  <c r="O92" i="88"/>
  <c r="Y163" i="88"/>
  <c r="Q139" i="92"/>
  <c r="AA84" i="74"/>
  <c r="Q41" i="93"/>
  <c r="P96" i="89"/>
  <c r="P11" i="87"/>
  <c r="Q153" i="89"/>
  <c r="L132" i="92"/>
  <c r="Y71" i="88"/>
  <c r="Q9" i="88"/>
  <c r="P84" i="88"/>
  <c r="Q132" i="83"/>
  <c r="N144" i="91"/>
  <c r="AA174" i="74"/>
  <c r="Q97" i="84"/>
  <c r="Q182" i="87"/>
  <c r="Z92" i="88"/>
  <c r="T105" i="74"/>
  <c r="O27" i="91"/>
  <c r="M13" i="91"/>
  <c r="M49" i="74"/>
  <c r="P114" i="83"/>
  <c r="Y141" i="82"/>
  <c r="X19" i="81"/>
  <c r="X113" i="88"/>
  <c r="O74" i="82"/>
  <c r="AA25" i="81"/>
  <c r="AB121" i="83"/>
  <c r="AA97" i="89"/>
  <c r="Y121" i="85"/>
  <c r="Y105" i="74"/>
  <c r="AB27" i="85"/>
  <c r="Y159" i="92"/>
  <c r="M43" i="74"/>
  <c r="Z66" i="85"/>
  <c r="Z124" i="91"/>
  <c r="L127" i="93"/>
  <c r="Q49" i="91"/>
  <c r="L160" i="88"/>
  <c r="X177" i="84"/>
  <c r="P57" i="85"/>
  <c r="N87" i="92"/>
  <c r="AB172" i="94"/>
  <c r="Q92" i="91"/>
  <c r="Q124" i="92"/>
  <c r="Z108" i="89"/>
  <c r="O27" i="85"/>
  <c r="X88" i="88"/>
  <c r="O101" i="88"/>
  <c r="AB84" i="89"/>
  <c r="Q79" i="83"/>
  <c r="P128" i="93"/>
  <c r="X81" i="92"/>
  <c r="X156" i="92"/>
  <c r="X163" i="74"/>
  <c r="Z146" i="92"/>
  <c r="X74" i="93"/>
  <c r="Q99" i="83"/>
  <c r="O82" i="92"/>
  <c r="AA53" i="89"/>
  <c r="AB171" i="92"/>
  <c r="P185" i="91"/>
  <c r="Y176" i="85"/>
  <c r="P105" i="93"/>
  <c r="Y76" i="89"/>
  <c r="L93" i="92"/>
  <c r="O159" i="82"/>
  <c r="P115" i="91"/>
  <c r="O94" i="82"/>
  <c r="Z101" i="89"/>
  <c r="Z76" i="87"/>
  <c r="X76" i="87"/>
  <c r="P121" i="81"/>
  <c r="Y153" i="92"/>
  <c r="L82" i="94"/>
  <c r="X126" i="82"/>
  <c r="AA37" i="81"/>
  <c r="AB149" i="93"/>
  <c r="O118" i="93"/>
  <c r="AA165" i="87"/>
  <c r="Y103" i="84"/>
  <c r="AB98" i="84"/>
  <c r="Y64" i="92"/>
  <c r="P64" i="82"/>
  <c r="Y45" i="93"/>
  <c r="P102" i="94"/>
  <c r="AA143" i="92"/>
  <c r="Y143" i="94"/>
  <c r="Y75" i="88"/>
  <c r="AB97" i="88"/>
  <c r="Q103" i="93"/>
  <c r="O130" i="85"/>
  <c r="Z119" i="89"/>
  <c r="L74" i="84"/>
  <c r="X33" i="81"/>
  <c r="Z68" i="91"/>
  <c r="Q158" i="87"/>
  <c r="AA134" i="81"/>
  <c r="X27" i="82"/>
  <c r="X79" i="87"/>
  <c r="Y108" i="84"/>
  <c r="AA133" i="92"/>
  <c r="Q13" i="93"/>
  <c r="Y96" i="92"/>
  <c r="AA166" i="81"/>
  <c r="P93" i="84"/>
  <c r="P11" i="81"/>
  <c r="M37" i="89"/>
  <c r="P108" i="74"/>
  <c r="O162" i="83"/>
  <c r="O71" i="89"/>
  <c r="Z105" i="83"/>
  <c r="N171" i="91"/>
  <c r="Z49" i="87"/>
  <c r="X149" i="74"/>
  <c r="Q31" i="74"/>
  <c r="O174" i="94"/>
  <c r="AB130" i="94"/>
  <c r="O53" i="87"/>
  <c r="Z145" i="92"/>
  <c r="X172" i="94"/>
  <c r="L142" i="81"/>
  <c r="AB19" i="94"/>
  <c r="P110" i="94"/>
  <c r="L68" i="74"/>
  <c r="Q11" i="81"/>
  <c r="M51" i="88"/>
  <c r="Z130" i="87"/>
  <c r="T138" i="81"/>
  <c r="Q72" i="92"/>
  <c r="O117" i="87"/>
  <c r="AA21" i="91"/>
  <c r="X17" i="85"/>
  <c r="O162" i="94"/>
  <c r="AB160" i="87"/>
  <c r="P163" i="88"/>
  <c r="Z64" i="88"/>
  <c r="L136" i="94"/>
  <c r="O142" i="87"/>
  <c r="AA109" i="87"/>
  <c r="P95" i="94"/>
  <c r="Y160" i="92"/>
  <c r="AB126" i="83"/>
  <c r="P17" i="89"/>
  <c r="L156" i="92"/>
  <c r="Y124" i="88"/>
  <c r="AA165" i="93"/>
  <c r="Q173" i="85"/>
  <c r="P122" i="82"/>
  <c r="Z172" i="82"/>
  <c r="Q97" i="91"/>
  <c r="P166" i="74"/>
  <c r="O127" i="91"/>
  <c r="O61" i="91"/>
  <c r="Y63" i="93"/>
  <c r="P135" i="84"/>
  <c r="AA21" i="87"/>
  <c r="AA103" i="74"/>
  <c r="N174" i="74"/>
  <c r="P97" i="94"/>
  <c r="X69" i="94"/>
  <c r="P147" i="83"/>
  <c r="Z106" i="92"/>
  <c r="AB115" i="89"/>
  <c r="T114" i="91"/>
  <c r="X45" i="91"/>
  <c r="Y29" i="81"/>
  <c r="Z84" i="94"/>
  <c r="P70" i="85"/>
  <c r="Y67" i="92"/>
  <c r="Y161" i="89"/>
  <c r="Z153" i="88"/>
  <c r="X169" i="92"/>
  <c r="AA25" i="91"/>
  <c r="O118" i="84"/>
  <c r="Z124" i="87"/>
  <c r="Z158" i="92"/>
  <c r="AB109" i="93"/>
  <c r="AA53" i="92"/>
  <c r="Y88" i="91"/>
  <c r="Y93" i="93"/>
  <c r="N168" i="88"/>
  <c r="L177" i="93"/>
  <c r="AB102" i="94"/>
  <c r="X153" i="94"/>
  <c r="AB47" i="81"/>
  <c r="AA114" i="74"/>
  <c r="Z15" i="94"/>
  <c r="Z29" i="74"/>
  <c r="X123" i="93"/>
  <c r="AA142" i="93"/>
  <c r="AB175" i="92"/>
  <c r="Z71" i="81"/>
  <c r="Y157" i="85"/>
  <c r="P145" i="85"/>
  <c r="L104" i="85"/>
  <c r="X89" i="94"/>
  <c r="O132" i="92"/>
  <c r="O121" i="88"/>
  <c r="L152" i="82"/>
  <c r="N72" i="93"/>
  <c r="X25" i="94"/>
  <c r="Q116" i="89"/>
  <c r="P78" i="94"/>
  <c r="AA87" i="88"/>
  <c r="O96" i="94"/>
  <c r="AB41" i="91"/>
  <c r="AB143" i="89"/>
  <c r="L135" i="85"/>
  <c r="Z75" i="82"/>
  <c r="AA154" i="85"/>
  <c r="P178" i="91"/>
  <c r="Y45" i="83"/>
  <c r="AA90" i="85"/>
  <c r="L170" i="94"/>
  <c r="X89" i="89"/>
  <c r="Z55" i="81"/>
  <c r="Z114" i="89"/>
  <c r="Y138" i="83"/>
  <c r="Y11" i="82"/>
  <c r="Z61" i="84"/>
  <c r="Y180" i="87"/>
  <c r="O78" i="74"/>
  <c r="Q128" i="82"/>
  <c r="P120" i="89"/>
  <c r="AA136" i="84"/>
  <c r="O151" i="89"/>
  <c r="P121" i="83"/>
  <c r="P84" i="81"/>
  <c r="L159" i="91"/>
  <c r="Z72" i="88"/>
  <c r="M49" i="84"/>
  <c r="L158" i="81"/>
  <c r="AA59" i="94"/>
  <c r="AB153" i="92"/>
  <c r="Q176" i="92"/>
  <c r="L134" i="87"/>
  <c r="AA137" i="94"/>
  <c r="N111" i="83"/>
  <c r="N168" i="92"/>
  <c r="AB102" i="92"/>
  <c r="X164" i="81"/>
  <c r="Q149" i="94"/>
  <c r="P154" i="85"/>
  <c r="Y70" i="84"/>
  <c r="P169" i="87"/>
  <c r="AB127" i="87"/>
  <c r="X75" i="91"/>
  <c r="L129" i="88"/>
  <c r="Q9" i="81"/>
  <c r="Q41" i="94"/>
  <c r="N185" i="74"/>
  <c r="AB106" i="87"/>
  <c r="O162" i="92"/>
  <c r="Z139" i="85"/>
  <c r="L127" i="92"/>
  <c r="T87" i="87"/>
  <c r="AA92" i="94"/>
  <c r="Z131" i="84"/>
  <c r="Q31" i="92"/>
  <c r="Y177" i="81"/>
  <c r="Z71" i="88"/>
  <c r="X29" i="93"/>
  <c r="X159" i="93"/>
  <c r="AB156" i="94"/>
  <c r="AA33" i="88"/>
  <c r="AA173" i="74"/>
  <c r="P122" i="85"/>
  <c r="Q182" i="92"/>
  <c r="Q66" i="92"/>
  <c r="Q81" i="84"/>
  <c r="M35" i="87"/>
  <c r="M35" i="89"/>
  <c r="Y141" i="92"/>
  <c r="Z155" i="92"/>
  <c r="P161" i="92"/>
  <c r="Z47" i="94"/>
  <c r="Y157" i="91"/>
  <c r="P185" i="87"/>
  <c r="X78" i="85"/>
  <c r="N33" i="84"/>
  <c r="Z151" i="92"/>
  <c r="L76" i="93"/>
  <c r="Y163" i="91"/>
  <c r="Q53" i="92"/>
  <c r="Z27" i="81"/>
  <c r="O77" i="91"/>
  <c r="L104" i="89"/>
  <c r="AB135" i="85"/>
  <c r="T120" i="92"/>
  <c r="Q152" i="91"/>
  <c r="Z87" i="88"/>
  <c r="Y29" i="94"/>
  <c r="Z142" i="93"/>
  <c r="AB91" i="83"/>
  <c r="O91" i="81"/>
  <c r="Q86" i="81"/>
  <c r="T168" i="74"/>
  <c r="P81" i="74"/>
  <c r="AA77" i="91"/>
  <c r="Y135" i="93"/>
  <c r="AA128" i="84"/>
  <c r="AA180" i="83"/>
  <c r="M27" i="94"/>
  <c r="Q33" i="89"/>
  <c r="L139" i="85"/>
  <c r="L63" i="88"/>
  <c r="T168" i="88"/>
  <c r="AB121" i="85"/>
  <c r="AA69" i="94"/>
  <c r="Y172" i="88"/>
  <c r="P86" i="92"/>
  <c r="X23" i="81"/>
  <c r="AA72" i="91"/>
  <c r="Y53" i="83"/>
  <c r="Z152" i="87"/>
  <c r="AA106" i="85"/>
  <c r="AA92" i="85"/>
  <c r="Z145" i="85"/>
  <c r="P123" i="74"/>
  <c r="AA162" i="83"/>
  <c r="Y169" i="82"/>
  <c r="O126" i="92"/>
  <c r="P178" i="81"/>
  <c r="Y112" i="92"/>
  <c r="Y142" i="82"/>
  <c r="O106" i="89"/>
  <c r="AB23" i="85"/>
  <c r="M19" i="81"/>
  <c r="X148" i="94"/>
  <c r="AB11" i="85"/>
  <c r="Q104" i="88"/>
  <c r="X159" i="74"/>
  <c r="P182" i="82"/>
  <c r="AA158" i="82"/>
  <c r="AB132" i="85"/>
  <c r="X126" i="88"/>
  <c r="L141" i="91"/>
  <c r="Q73" i="87"/>
  <c r="M61" i="85"/>
  <c r="O117" i="92"/>
  <c r="AA128" i="88"/>
  <c r="AA27" i="83"/>
  <c r="O57" i="94"/>
  <c r="AA180" i="92"/>
  <c r="AB108" i="84"/>
  <c r="O57" i="83"/>
  <c r="AA33" i="74"/>
  <c r="Z68" i="74"/>
  <c r="Z84" i="91"/>
  <c r="N183" i="92"/>
  <c r="P151" i="94"/>
  <c r="N184" i="83"/>
  <c r="L151" i="91"/>
  <c r="Y104" i="83"/>
  <c r="Y25" i="85"/>
  <c r="AA175" i="85"/>
  <c r="X111" i="92"/>
  <c r="AA104" i="82"/>
  <c r="AA76" i="92"/>
  <c r="M15" i="89"/>
  <c r="N93" i="89"/>
  <c r="Q108" i="82"/>
  <c r="Z80" i="91"/>
  <c r="P165" i="91"/>
  <c r="L172" i="74"/>
  <c r="N184" i="94"/>
  <c r="T117" i="88"/>
  <c r="X149" i="85"/>
  <c r="AB118" i="93"/>
  <c r="Y145" i="85"/>
  <c r="L76" i="83"/>
  <c r="Y96" i="94"/>
  <c r="AA55" i="83"/>
  <c r="N81" i="92"/>
  <c r="Z82" i="89"/>
  <c r="Z47" i="89"/>
  <c r="Z81" i="93"/>
  <c r="Y33" i="85"/>
  <c r="AA141" i="82"/>
  <c r="L70" i="91"/>
  <c r="X156" i="88"/>
  <c r="Q152" i="85"/>
  <c r="N141" i="88"/>
  <c r="O105" i="88"/>
  <c r="T117" i="94"/>
  <c r="Y111" i="93"/>
  <c r="Y61" i="83"/>
  <c r="N153" i="91"/>
  <c r="AA90" i="92"/>
  <c r="L91" i="93"/>
  <c r="N156" i="81"/>
  <c r="X162" i="89"/>
  <c r="Y140" i="94"/>
  <c r="AB129" i="85"/>
  <c r="Z43" i="93"/>
  <c r="P21" i="83"/>
  <c r="O162" i="85"/>
  <c r="O108" i="88"/>
  <c r="X116" i="89"/>
  <c r="Q104" i="89"/>
  <c r="L158" i="82"/>
  <c r="L111" i="88"/>
  <c r="N162" i="82"/>
  <c r="P114" i="93"/>
  <c r="P136" i="92"/>
  <c r="AA97" i="91"/>
  <c r="P129" i="74"/>
  <c r="X83" i="89"/>
  <c r="Q91" i="89"/>
  <c r="Z51" i="92"/>
  <c r="N57" i="87"/>
  <c r="AA168" i="81"/>
  <c r="X74" i="74"/>
  <c r="AA146" i="91"/>
  <c r="Z94" i="89"/>
  <c r="O162" i="74"/>
  <c r="L109" i="91"/>
  <c r="Q95" i="81"/>
  <c r="N45" i="87"/>
  <c r="AB123" i="88"/>
  <c r="Z55" i="87"/>
  <c r="AB125" i="93"/>
  <c r="Q45" i="82"/>
  <c r="O144" i="88"/>
  <c r="T111" i="93"/>
  <c r="AB63" i="92"/>
  <c r="Z176" i="93"/>
  <c r="Z140" i="92"/>
  <c r="AB84" i="82"/>
  <c r="Q175" i="74"/>
  <c r="X33" i="84"/>
  <c r="Y57" i="92"/>
  <c r="P155" i="74"/>
  <c r="Z64" i="85"/>
  <c r="L168" i="89"/>
  <c r="Y11" i="84"/>
  <c r="X15" i="93"/>
  <c r="AA79" i="87"/>
  <c r="O75" i="91"/>
  <c r="Y29" i="91"/>
  <c r="X91" i="89"/>
  <c r="AA67" i="94"/>
  <c r="X93" i="74"/>
  <c r="X101" i="81"/>
  <c r="L67" i="82"/>
  <c r="X29" i="91"/>
  <c r="Y140" i="93"/>
  <c r="O115" i="84"/>
  <c r="L139" i="74"/>
  <c r="Z129" i="87"/>
  <c r="O176" i="84"/>
  <c r="P116" i="89"/>
  <c r="O137" i="88"/>
  <c r="X144" i="91"/>
  <c r="AA59" i="85"/>
  <c r="Y25" i="91"/>
  <c r="Z104" i="93"/>
  <c r="P27" i="91"/>
  <c r="M37" i="87"/>
  <c r="Y129" i="89"/>
  <c r="P166" i="93"/>
  <c r="O167" i="83"/>
  <c r="Z139" i="81"/>
  <c r="Y27" i="88"/>
  <c r="P139" i="84"/>
  <c r="AA148" i="93"/>
  <c r="P182" i="93"/>
  <c r="L109" i="88"/>
  <c r="P170" i="87"/>
  <c r="O64" i="81"/>
  <c r="Q135" i="93"/>
  <c r="O117" i="82"/>
  <c r="X66" i="88"/>
  <c r="AA141" i="88"/>
  <c r="Q167" i="83"/>
  <c r="AB23" i="84"/>
  <c r="O112" i="94"/>
  <c r="N66" i="89"/>
  <c r="O170" i="82"/>
  <c r="N153" i="83"/>
  <c r="P152" i="89"/>
  <c r="Q97" i="94"/>
  <c r="AA154" i="89"/>
  <c r="T9" i="85"/>
  <c r="Q174" i="74"/>
  <c r="Z134" i="89"/>
  <c r="Z174" i="74"/>
  <c r="Z161" i="83"/>
  <c r="O115" i="85"/>
  <c r="AA111" i="74"/>
  <c r="P82" i="87"/>
  <c r="Y150" i="74"/>
  <c r="Z165" i="89"/>
  <c r="Y175" i="92"/>
  <c r="Q124" i="74"/>
  <c r="Z21" i="94"/>
  <c r="O158" i="85"/>
  <c r="Q136" i="93"/>
  <c r="Q116" i="94"/>
  <c r="AB51" i="93"/>
  <c r="AB57" i="92"/>
  <c r="AB97" i="87"/>
  <c r="X106" i="84"/>
  <c r="M53" i="74"/>
  <c r="Y49" i="84"/>
  <c r="Y135" i="74"/>
  <c r="Q81" i="81"/>
  <c r="O17" i="81"/>
  <c r="AB64" i="84"/>
  <c r="X161" i="94"/>
  <c r="Q135" i="92"/>
  <c r="Y166" i="81"/>
  <c r="Z172" i="87"/>
  <c r="X145" i="82"/>
  <c r="Q23" i="93"/>
  <c r="Q101" i="84"/>
  <c r="L174" i="82"/>
  <c r="Z76" i="94"/>
  <c r="AA69" i="92"/>
  <c r="AA39" i="91"/>
  <c r="N21" i="87"/>
  <c r="AA165" i="83"/>
  <c r="P170" i="93"/>
  <c r="O74" i="85"/>
  <c r="Y63" i="82"/>
  <c r="P99" i="88"/>
  <c r="AA85" i="81"/>
  <c r="AB115" i="94"/>
  <c r="N120" i="83"/>
  <c r="AA170" i="93"/>
  <c r="M25" i="84"/>
  <c r="Y78" i="83"/>
  <c r="Y168" i="93"/>
  <c r="AA61" i="74"/>
  <c r="Z110" i="91"/>
  <c r="P111" i="93"/>
  <c r="O63" i="74"/>
  <c r="N180" i="89"/>
  <c r="X133" i="93"/>
  <c r="Q91" i="94"/>
  <c r="P109" i="87"/>
  <c r="AA13" i="87"/>
  <c r="P93" i="81"/>
  <c r="O80" i="91"/>
  <c r="T84" i="84"/>
  <c r="X167" i="83"/>
  <c r="O25" i="89"/>
  <c r="Y137" i="87"/>
  <c r="X64" i="91"/>
  <c r="P101" i="91"/>
  <c r="L107" i="93"/>
  <c r="Q112" i="88"/>
  <c r="L74" i="87"/>
  <c r="Q152" i="92"/>
  <c r="O82" i="87"/>
  <c r="AA19" i="93"/>
  <c r="N84" i="82"/>
  <c r="AA177" i="84"/>
  <c r="Y116" i="89"/>
  <c r="AA166" i="84"/>
  <c r="AA55" i="74"/>
  <c r="P156" i="94"/>
  <c r="AB95" i="81"/>
  <c r="Z161" i="94"/>
  <c r="AB149" i="85"/>
  <c r="P95" i="88"/>
  <c r="AA82" i="93"/>
  <c r="Q137" i="83"/>
  <c r="M41" i="93"/>
  <c r="X43" i="85"/>
  <c r="O142" i="93"/>
  <c r="AA156" i="92"/>
  <c r="Q102" i="93"/>
  <c r="P97" i="87"/>
  <c r="Z166" i="94"/>
  <c r="O118" i="85"/>
  <c r="AB135" i="93"/>
  <c r="AB107" i="88"/>
  <c r="Q140" i="91"/>
  <c r="AB104" i="85"/>
  <c r="Y75" i="93"/>
  <c r="O143" i="74"/>
  <c r="AB159" i="91"/>
  <c r="L181" i="92"/>
  <c r="Z93" i="89"/>
  <c r="Z59" i="87"/>
  <c r="AB25" i="91"/>
  <c r="Q110" i="84"/>
  <c r="X128" i="93"/>
  <c r="X117" i="87"/>
  <c r="Q139" i="84"/>
  <c r="L78" i="84"/>
  <c r="O122" i="94"/>
  <c r="L89" i="92"/>
  <c r="O98" i="89"/>
  <c r="AA84" i="83"/>
  <c r="Q61" i="93"/>
  <c r="N81" i="85"/>
  <c r="Z61" i="94"/>
  <c r="Z49" i="84"/>
  <c r="O63" i="85"/>
  <c r="Y166" i="89"/>
  <c r="P53" i="84"/>
  <c r="O182" i="93"/>
  <c r="L99" i="93"/>
  <c r="Y37" i="85"/>
  <c r="P77" i="94"/>
  <c r="L150" i="91"/>
  <c r="Y111" i="94"/>
  <c r="O64" i="87"/>
  <c r="N81" i="94"/>
  <c r="AB149" i="94"/>
  <c r="AB69" i="88"/>
  <c r="P129" i="93"/>
  <c r="Y71" i="84"/>
  <c r="L130" i="87"/>
  <c r="P76" i="83"/>
  <c r="Q117" i="89"/>
  <c r="N184" i="89"/>
  <c r="AA165" i="82"/>
  <c r="Z100" i="83"/>
  <c r="P17" i="88"/>
  <c r="Z124" i="94"/>
  <c r="Q156" i="84"/>
  <c r="AB101" i="89"/>
  <c r="O128" i="88"/>
  <c r="P91" i="87"/>
  <c r="X107" i="83"/>
  <c r="X116" i="81"/>
  <c r="Q49" i="74"/>
  <c r="Y131" i="81"/>
  <c r="Y164" i="88"/>
  <c r="Z101" i="84"/>
  <c r="O23" i="81"/>
  <c r="Q148" i="91"/>
  <c r="AB83" i="89"/>
  <c r="P173" i="92"/>
  <c r="Q167" i="81"/>
  <c r="X137" i="92"/>
  <c r="AA175" i="93"/>
  <c r="O76" i="74"/>
  <c r="Y86" i="89"/>
  <c r="AB15" i="87"/>
  <c r="O75" i="84"/>
  <c r="Z137" i="89"/>
  <c r="O33" i="85"/>
  <c r="Q147" i="74"/>
  <c r="Z172" i="94"/>
  <c r="M61" i="94"/>
  <c r="Q57" i="92"/>
  <c r="Q89" i="87"/>
  <c r="AA66" i="94"/>
  <c r="P159" i="81"/>
  <c r="Z51" i="89"/>
  <c r="N150" i="85"/>
  <c r="L160" i="81"/>
  <c r="M29" i="93"/>
  <c r="AA75" i="84"/>
  <c r="O72" i="88"/>
  <c r="Y85" i="82"/>
  <c r="O111" i="85"/>
  <c r="O74" i="92"/>
  <c r="AA141" i="87"/>
  <c r="X57" i="93"/>
  <c r="P110" i="85"/>
  <c r="Z112" i="92"/>
  <c r="Y116" i="83"/>
  <c r="AA125" i="94"/>
  <c r="Q116" i="91"/>
  <c r="AA109" i="82"/>
  <c r="O99" i="87"/>
  <c r="X70" i="74"/>
  <c r="Q121" i="85"/>
  <c r="X31" i="87"/>
  <c r="P185" i="89"/>
  <c r="Z150" i="92"/>
  <c r="M29" i="85"/>
  <c r="AA106" i="92"/>
  <c r="N102" i="94"/>
  <c r="Z163" i="89"/>
  <c r="X109" i="94"/>
  <c r="Q19" i="85"/>
  <c r="N171" i="88"/>
  <c r="Q59" i="94"/>
  <c r="AB138" i="89"/>
  <c r="L117" i="88"/>
  <c r="Z78" i="87"/>
  <c r="Q25" i="83"/>
  <c r="O137" i="93"/>
  <c r="L180" i="93"/>
  <c r="M21" i="89"/>
  <c r="AB152" i="85"/>
  <c r="M11" i="89"/>
  <c r="X69" i="93"/>
  <c r="AB99" i="82"/>
  <c r="O76" i="82"/>
  <c r="X141" i="81"/>
  <c r="P23" i="85"/>
  <c r="O164" i="88"/>
  <c r="X15" i="92"/>
  <c r="O29" i="91"/>
  <c r="Z122" i="94"/>
  <c r="O116" i="89"/>
  <c r="Q185" i="85"/>
  <c r="P88" i="94"/>
  <c r="AA41" i="92"/>
  <c r="O21" i="85"/>
  <c r="Y89" i="81"/>
  <c r="Q33" i="91"/>
  <c r="X71" i="94"/>
  <c r="AB151" i="84"/>
  <c r="Z122" i="92"/>
  <c r="Z103" i="91"/>
  <c r="Q118" i="81"/>
  <c r="P154" i="89"/>
  <c r="L167" i="89"/>
  <c r="Y86" i="81"/>
  <c r="P11" i="74"/>
  <c r="X75" i="93"/>
  <c r="P117" i="74"/>
  <c r="Q81" i="74"/>
  <c r="AA125" i="92"/>
  <c r="O152" i="92"/>
  <c r="Z64" i="94"/>
  <c r="AA165" i="92"/>
  <c r="L152" i="74"/>
  <c r="Q118" i="74"/>
  <c r="Z125" i="83"/>
  <c r="O157" i="87"/>
  <c r="M37" i="88"/>
  <c r="Q112" i="89"/>
  <c r="Q71" i="88"/>
  <c r="AB155" i="87"/>
  <c r="Q51" i="93"/>
  <c r="M55" i="74"/>
  <c r="P31" i="84"/>
  <c r="P96" i="84"/>
  <c r="P122" i="88"/>
  <c r="Y116" i="88"/>
  <c r="AB101" i="87"/>
  <c r="AA89" i="82"/>
  <c r="Q164" i="91"/>
  <c r="Q59" i="84"/>
  <c r="Y90" i="93"/>
  <c r="X47" i="82"/>
  <c r="AA136" i="91"/>
  <c r="L82" i="74"/>
  <c r="AA101" i="84"/>
  <c r="X171" i="91"/>
  <c r="P83" i="85"/>
  <c r="Q78" i="82"/>
  <c r="N147" i="92"/>
  <c r="Y77" i="82"/>
  <c r="L77" i="82"/>
  <c r="X11" i="84"/>
  <c r="Q92" i="88"/>
  <c r="O64" i="94"/>
  <c r="L113" i="93"/>
  <c r="Z128" i="93"/>
  <c r="Z107" i="93"/>
  <c r="AA11" i="85"/>
  <c r="AB51" i="91"/>
  <c r="Z11" i="94"/>
  <c r="Y37" i="94"/>
  <c r="P140" i="91"/>
  <c r="M33" i="88"/>
  <c r="O75" i="88"/>
  <c r="O88" i="89"/>
  <c r="P183" i="82"/>
  <c r="X41" i="88"/>
  <c r="Z167" i="92"/>
  <c r="AB100" i="91"/>
  <c r="N99" i="87"/>
  <c r="Z73" i="91"/>
  <c r="AA164" i="84"/>
  <c r="AA151" i="83"/>
  <c r="Q104" i="93"/>
  <c r="Z127" i="93"/>
  <c r="Y114" i="88"/>
  <c r="Q146" i="88"/>
  <c r="AB131" i="94"/>
  <c r="P185" i="81"/>
  <c r="L87" i="89"/>
  <c r="L122" i="93"/>
  <c r="Q83" i="92"/>
  <c r="T72" i="91"/>
  <c r="Y127" i="74"/>
  <c r="X92" i="74"/>
  <c r="O79" i="94"/>
  <c r="AA152" i="84"/>
  <c r="L140" i="91"/>
  <c r="X180" i="91"/>
  <c r="Y91" i="83"/>
  <c r="AA51" i="92"/>
  <c r="AA97" i="87"/>
  <c r="L170" i="82"/>
  <c r="L141" i="89"/>
  <c r="P73" i="81"/>
  <c r="P171" i="92"/>
  <c r="Y80" i="93"/>
  <c r="AB130" i="89"/>
  <c r="X140" i="93"/>
  <c r="T177" i="82"/>
  <c r="Q101" i="94"/>
  <c r="Z150" i="89"/>
  <c r="Z95" i="84"/>
  <c r="N99" i="92"/>
  <c r="Y31" i="74"/>
  <c r="L108" i="87"/>
  <c r="Z35" i="85"/>
  <c r="Q119" i="84"/>
  <c r="AA33" i="87"/>
  <c r="Y123" i="83"/>
  <c r="O168" i="83"/>
  <c r="Z99" i="88"/>
  <c r="P64" i="74"/>
  <c r="N105" i="87"/>
  <c r="P157" i="74"/>
  <c r="L103" i="82"/>
  <c r="M47" i="94"/>
  <c r="N69" i="93"/>
  <c r="AA9" i="92"/>
  <c r="P113" i="81"/>
  <c r="AB37" i="93"/>
  <c r="L164" i="91"/>
  <c r="Q123" i="89"/>
  <c r="O181" i="82"/>
  <c r="Z174" i="85"/>
  <c r="L81" i="87"/>
  <c r="Y102" i="81"/>
  <c r="L150" i="85"/>
  <c r="X142" i="91"/>
  <c r="Q43" i="84"/>
  <c r="T69" i="92"/>
  <c r="X145" i="92"/>
  <c r="L139" i="83"/>
  <c r="Q165" i="84"/>
  <c r="Y35" i="83"/>
  <c r="Y158" i="91"/>
  <c r="L93" i="84"/>
  <c r="X69" i="74"/>
  <c r="N144" i="84"/>
  <c r="N165" i="87"/>
  <c r="T156" i="82"/>
  <c r="Z121" i="92"/>
  <c r="Q63" i="91"/>
  <c r="P81" i="94"/>
  <c r="AB89" i="87"/>
  <c r="L139" i="87"/>
  <c r="Y83" i="84"/>
  <c r="Q94" i="82"/>
  <c r="AA159" i="89"/>
  <c r="Z64" i="92"/>
  <c r="AA53" i="91"/>
  <c r="N45" i="94"/>
  <c r="N138" i="91"/>
  <c r="P31" i="83"/>
  <c r="Q113" i="81"/>
  <c r="T39" i="93"/>
  <c r="AA172" i="88"/>
  <c r="L97" i="88"/>
  <c r="Q174" i="81"/>
  <c r="L119" i="89"/>
  <c r="P160" i="81"/>
  <c r="L72" i="94"/>
  <c r="X166" i="82"/>
  <c r="Q106" i="74"/>
  <c r="P95" i="84"/>
  <c r="N114" i="84"/>
  <c r="X13" i="91"/>
  <c r="P53" i="91"/>
  <c r="P180" i="93"/>
  <c r="L183" i="83"/>
  <c r="Q149" i="92"/>
  <c r="P126" i="87"/>
  <c r="P71" i="93"/>
  <c r="Z43" i="87"/>
  <c r="P125" i="84"/>
  <c r="L166" i="87"/>
  <c r="X67" i="87"/>
  <c r="AB180" i="84"/>
  <c r="X114" i="82"/>
  <c r="L174" i="81"/>
  <c r="Z19" i="93"/>
  <c r="M57" i="92"/>
  <c r="X87" i="88"/>
  <c r="L121" i="81"/>
  <c r="T135" i="82"/>
  <c r="AA162" i="94"/>
  <c r="O124" i="93"/>
  <c r="T51" i="94"/>
  <c r="O140" i="87"/>
  <c r="N96" i="91"/>
  <c r="Y174" i="94"/>
  <c r="Y49" i="89"/>
  <c r="AB11" i="88"/>
  <c r="Z90" i="84"/>
  <c r="Y105" i="89"/>
  <c r="AB55" i="83"/>
  <c r="X153" i="89"/>
  <c r="O79" i="85"/>
  <c r="Z105" i="92"/>
  <c r="Y82" i="93"/>
  <c r="O43" i="74"/>
  <c r="X171" i="94"/>
  <c r="P74" i="81"/>
  <c r="Q185" i="94"/>
  <c r="O168" i="91"/>
  <c r="Z99" i="81"/>
  <c r="O138" i="83"/>
  <c r="P25" i="84"/>
  <c r="O178" i="89"/>
  <c r="AB69" i="91"/>
  <c r="O73" i="92"/>
  <c r="Y13" i="74"/>
  <c r="Q29" i="87"/>
  <c r="Y137" i="85"/>
  <c r="AA149" i="81"/>
  <c r="O138" i="94"/>
  <c r="L114" i="92"/>
  <c r="Z80" i="83"/>
  <c r="L161" i="81"/>
  <c r="L87" i="91"/>
  <c r="L143" i="88"/>
  <c r="AA66" i="89"/>
  <c r="N144" i="87"/>
  <c r="AA108" i="85"/>
  <c r="T156" i="84"/>
  <c r="AB140" i="93"/>
  <c r="Y129" i="84"/>
  <c r="Y108" i="82"/>
  <c r="X84" i="93"/>
  <c r="P179" i="92"/>
  <c r="T15" i="88"/>
  <c r="X175" i="91"/>
  <c r="N84" i="89"/>
  <c r="AB88" i="89"/>
  <c r="L111" i="92"/>
  <c r="Z121" i="94"/>
  <c r="N93" i="87"/>
  <c r="O49" i="85"/>
  <c r="Z114" i="82"/>
  <c r="Y69" i="89"/>
  <c r="Q143" i="84"/>
  <c r="Q39" i="84"/>
  <c r="Z152" i="94"/>
  <c r="AB55" i="89"/>
  <c r="AB148" i="91"/>
  <c r="X169" i="84"/>
  <c r="X105" i="88"/>
  <c r="L126" i="91"/>
  <c r="Z72" i="87"/>
  <c r="P25" i="87"/>
  <c r="AA108" i="87"/>
  <c r="L156" i="83"/>
  <c r="N150" i="74"/>
  <c r="M17" i="74"/>
  <c r="P92" i="82"/>
  <c r="Y149" i="81"/>
  <c r="AA134" i="85"/>
  <c r="T108" i="82"/>
  <c r="X61" i="94"/>
  <c r="N15" i="81"/>
  <c r="Y84" i="85"/>
  <c r="Q160" i="84"/>
  <c r="X154" i="85"/>
  <c r="Z163" i="91"/>
  <c r="Y83" i="91"/>
  <c r="Z167" i="94"/>
  <c r="AB144" i="81"/>
  <c r="P157" i="81"/>
  <c r="O109" i="74"/>
  <c r="O118" i="89"/>
  <c r="AA112" i="87"/>
  <c r="Y140" i="89"/>
  <c r="AA11" i="92"/>
  <c r="Y89" i="94"/>
  <c r="L122" i="88"/>
  <c r="M9" i="91"/>
  <c r="Y101" i="88"/>
  <c r="AB106" i="91"/>
  <c r="L161" i="85"/>
  <c r="Q68" i="88"/>
  <c r="L109" i="82"/>
  <c r="AA145" i="85"/>
  <c r="Q31" i="89"/>
  <c r="AA104" i="91"/>
  <c r="Q162" i="74"/>
  <c r="O179" i="92"/>
  <c r="AA157" i="81"/>
  <c r="Y99" i="88"/>
  <c r="P172" i="81"/>
  <c r="Q151" i="88"/>
  <c r="P124" i="93"/>
  <c r="AB130" i="88"/>
  <c r="P157" i="82"/>
  <c r="N138" i="83"/>
  <c r="O70" i="74"/>
  <c r="X161" i="83"/>
  <c r="Z166" i="93"/>
  <c r="X144" i="84"/>
  <c r="Z166" i="74"/>
  <c r="N9" i="83"/>
  <c r="N105" i="85"/>
  <c r="AA126" i="94"/>
  <c r="O87" i="82"/>
  <c r="O27" i="83"/>
  <c r="P146" i="84"/>
  <c r="X121" i="87"/>
  <c r="Q125" i="91"/>
  <c r="AA131" i="85"/>
  <c r="P146" i="89"/>
  <c r="O179" i="85"/>
  <c r="T90" i="82"/>
  <c r="L183" i="88"/>
  <c r="O70" i="85"/>
  <c r="L159" i="92"/>
  <c r="Z96" i="93"/>
  <c r="Q96" i="81"/>
  <c r="AA120" i="94"/>
  <c r="L174" i="94"/>
  <c r="N69" i="88"/>
  <c r="AB41" i="89"/>
  <c r="P183" i="89"/>
  <c r="AB29" i="92"/>
  <c r="X135" i="88"/>
  <c r="P175" i="85"/>
  <c r="AB90" i="93"/>
  <c r="Q183" i="84"/>
  <c r="AB177" i="94"/>
  <c r="Y59" i="88"/>
  <c r="AA140" i="92"/>
  <c r="Q91" i="93"/>
  <c r="O114" i="92"/>
  <c r="P65" i="91"/>
  <c r="AA132" i="81"/>
  <c r="Q43" i="81"/>
  <c r="N63" i="83"/>
  <c r="X134" i="74"/>
  <c r="Y108" i="91"/>
  <c r="N180" i="94"/>
  <c r="Y128" i="88"/>
  <c r="Y82" i="88"/>
  <c r="P139" i="81"/>
  <c r="O97" i="94"/>
  <c r="O111" i="83"/>
  <c r="AA78" i="93"/>
  <c r="P23" i="87"/>
  <c r="Z74" i="93"/>
  <c r="AB173" i="94"/>
  <c r="N111" i="87"/>
  <c r="P177" i="89"/>
  <c r="P88" i="88"/>
  <c r="M47" i="83"/>
  <c r="P175" i="89"/>
  <c r="Q55" i="88"/>
  <c r="T105" i="87"/>
  <c r="P177" i="83"/>
  <c r="O83" i="85"/>
  <c r="X85" i="82"/>
  <c r="P177" i="74"/>
  <c r="AA84" i="94"/>
  <c r="X112" i="88"/>
  <c r="M31" i="91"/>
  <c r="Q124" i="93"/>
  <c r="AA151" i="84"/>
  <c r="AB41" i="81"/>
  <c r="Q59" i="88"/>
  <c r="AB17" i="91"/>
  <c r="O145" i="88"/>
  <c r="L174" i="93"/>
  <c r="X29" i="81"/>
  <c r="Z160" i="85"/>
  <c r="X165" i="94"/>
  <c r="Y90" i="85"/>
  <c r="P105" i="81"/>
  <c r="X174" i="91"/>
  <c r="O90" i="93"/>
  <c r="L86" i="83"/>
  <c r="Y55" i="94"/>
  <c r="O76" i="92"/>
  <c r="Y72" i="87"/>
  <c r="Z144" i="81"/>
  <c r="Q146" i="94"/>
  <c r="O162" i="82"/>
  <c r="Z67" i="92"/>
  <c r="X160" i="91"/>
  <c r="P65" i="88"/>
  <c r="T129" i="87"/>
  <c r="Q114" i="91"/>
  <c r="P106" i="87"/>
  <c r="Q132" i="84"/>
  <c r="Q152" i="93"/>
  <c r="Q71" i="94"/>
  <c r="X127" i="74"/>
  <c r="T57" i="91"/>
  <c r="Y92" i="94"/>
  <c r="Q132" i="89"/>
  <c r="Y151" i="92"/>
  <c r="AA35" i="81"/>
  <c r="N21" i="82"/>
  <c r="AB146" i="87"/>
  <c r="X81" i="91"/>
  <c r="AA77" i="84"/>
  <c r="AB166" i="94"/>
  <c r="Q135" i="87"/>
  <c r="P77" i="93"/>
  <c r="Q133" i="85"/>
  <c r="Q39" i="89"/>
  <c r="L171" i="91"/>
  <c r="O81" i="94"/>
  <c r="Y174" i="87"/>
  <c r="Z163" i="88"/>
  <c r="O71" i="74"/>
  <c r="AA87" i="83"/>
  <c r="P88" i="85"/>
  <c r="X13" i="84"/>
  <c r="Y25" i="83"/>
  <c r="Y31" i="93"/>
  <c r="AA141" i="74"/>
  <c r="Q99" i="89"/>
  <c r="Z47" i="93"/>
  <c r="AA110" i="89"/>
  <c r="Z111" i="92"/>
  <c r="AA157" i="87"/>
  <c r="X176" i="93"/>
  <c r="L154" i="93"/>
  <c r="X78" i="94"/>
  <c r="Z57" i="81"/>
  <c r="Q139" i="82"/>
  <c r="X57" i="83"/>
  <c r="Q91" i="84"/>
  <c r="AB180" i="85"/>
  <c r="L67" i="83"/>
  <c r="L152" i="92"/>
  <c r="Q113" i="88"/>
  <c r="Z180" i="91"/>
  <c r="P105" i="92"/>
  <c r="P105" i="85"/>
  <c r="X137" i="87"/>
  <c r="P107" i="93"/>
  <c r="Q83" i="93"/>
  <c r="AB152" i="84"/>
  <c r="P137" i="94"/>
  <c r="L168" i="82"/>
  <c r="T69" i="85"/>
  <c r="Y156" i="74"/>
  <c r="P176" i="89"/>
  <c r="L153" i="94"/>
  <c r="Q185" i="93"/>
  <c r="AB143" i="87"/>
  <c r="Q140" i="81"/>
  <c r="Z63" i="74"/>
  <c r="AA136" i="94"/>
  <c r="L126" i="92"/>
  <c r="O151" i="88"/>
  <c r="AA173" i="82"/>
  <c r="O37" i="83"/>
  <c r="AB113" i="93"/>
  <c r="T159" i="81"/>
  <c r="P93" i="85"/>
  <c r="L166" i="88"/>
  <c r="O131" i="91"/>
  <c r="Y109" i="92"/>
  <c r="AA115" i="94"/>
  <c r="X130" i="82"/>
  <c r="AB112" i="88"/>
  <c r="AA95" i="83"/>
  <c r="P172" i="92"/>
  <c r="X164" i="87"/>
  <c r="Y41" i="84"/>
  <c r="M25" i="85"/>
  <c r="P177" i="92"/>
  <c r="Z33" i="87"/>
  <c r="P124" i="81"/>
  <c r="Z171" i="85"/>
  <c r="L175" i="82"/>
  <c r="AB63" i="84"/>
  <c r="P153" i="81"/>
  <c r="Q80" i="88"/>
  <c r="O81" i="84"/>
  <c r="P161" i="83"/>
  <c r="AA143" i="87"/>
  <c r="M47" i="88"/>
  <c r="P152" i="83"/>
  <c r="AA89" i="91"/>
  <c r="Z106" i="85"/>
  <c r="Y151" i="88"/>
  <c r="AB161" i="88"/>
  <c r="AB55" i="87"/>
  <c r="O89" i="85"/>
  <c r="P53" i="85"/>
  <c r="Z101" i="81"/>
  <c r="AB92" i="82"/>
  <c r="T171" i="85"/>
  <c r="AA168" i="74"/>
  <c r="X168" i="92"/>
  <c r="Z137" i="93"/>
  <c r="L151" i="93"/>
  <c r="P177" i="93"/>
  <c r="AA74" i="93"/>
  <c r="AA135" i="83"/>
  <c r="X15" i="83"/>
  <c r="L131" i="93"/>
  <c r="Y155" i="93"/>
  <c r="T105" i="82"/>
  <c r="O59" i="88"/>
  <c r="L154" i="91"/>
  <c r="Y65" i="91"/>
  <c r="Q156" i="92"/>
  <c r="P110" i="84"/>
  <c r="O150" i="88"/>
  <c r="AB106" i="81"/>
  <c r="O153" i="91"/>
  <c r="Y78" i="81"/>
  <c r="O150" i="83"/>
  <c r="Y149" i="87"/>
  <c r="N57" i="94"/>
  <c r="Z21" i="91"/>
  <c r="AA35" i="88"/>
  <c r="Q155" i="85"/>
  <c r="Z134" i="91"/>
  <c r="AA157" i="82"/>
  <c r="P118" i="82"/>
  <c r="AA139" i="92"/>
  <c r="Q31" i="88"/>
  <c r="Z93" i="94"/>
  <c r="Q125" i="89"/>
  <c r="O112" i="91"/>
  <c r="Y41" i="92"/>
  <c r="AA55" i="91"/>
  <c r="L93" i="87"/>
  <c r="X126" i="92"/>
  <c r="Z131" i="92"/>
  <c r="AB64" i="85"/>
  <c r="Y149" i="88"/>
  <c r="Y76" i="91"/>
  <c r="X127" i="83"/>
  <c r="P64" i="91"/>
  <c r="AA101" i="87"/>
  <c r="N135" i="88"/>
  <c r="AA167" i="83"/>
  <c r="AA164" i="87"/>
  <c r="N162" i="88"/>
  <c r="AA145" i="88"/>
  <c r="N33" i="82"/>
  <c r="O31" i="92"/>
  <c r="AB95" i="83"/>
  <c r="P88" i="92"/>
  <c r="AB21" i="88"/>
  <c r="Z169" i="89"/>
  <c r="P103" i="83"/>
  <c r="Z96" i="81"/>
  <c r="AB172" i="89"/>
  <c r="O37" i="94"/>
  <c r="L108" i="74"/>
  <c r="Q110" i="93"/>
  <c r="AB174" i="89"/>
  <c r="O163" i="74"/>
  <c r="O169" i="85"/>
  <c r="Z83" i="89"/>
  <c r="L160" i="93"/>
  <c r="Q170" i="94"/>
  <c r="AA107" i="84"/>
  <c r="Z138" i="81"/>
  <c r="Z176" i="74"/>
  <c r="Q135" i="88"/>
  <c r="X177" i="88"/>
  <c r="O88" i="92"/>
  <c r="Q173" i="94"/>
  <c r="Q76" i="82"/>
  <c r="L153" i="93"/>
  <c r="X74" i="91"/>
  <c r="P133" i="83"/>
  <c r="AB110" i="94"/>
  <c r="X97" i="87"/>
  <c r="Z79" i="94"/>
  <c r="Y157" i="88"/>
  <c r="AA23" i="81"/>
  <c r="Y87" i="83"/>
  <c r="X114" i="92"/>
  <c r="T126" i="87"/>
  <c r="AA99" i="89"/>
  <c r="Q116" i="87"/>
  <c r="AB89" i="91"/>
  <c r="X176" i="89"/>
  <c r="P139" i="94"/>
  <c r="Y133" i="94"/>
  <c r="Z126" i="85"/>
  <c r="M51" i="89"/>
  <c r="Q99" i="84"/>
  <c r="Z94" i="93"/>
  <c r="AB98" i="94"/>
  <c r="Y129" i="93"/>
  <c r="O135" i="81"/>
  <c r="P25" i="94"/>
  <c r="Z157" i="74"/>
  <c r="Q59" i="87"/>
  <c r="AB118" i="87"/>
  <c r="O146" i="85"/>
  <c r="X69" i="83"/>
  <c r="Z13" i="87"/>
  <c r="Q161" i="92"/>
  <c r="AB84" i="92"/>
  <c r="Y90" i="94"/>
  <c r="AA45" i="89"/>
  <c r="P167" i="85"/>
  <c r="AA43" i="89"/>
  <c r="N102" i="83"/>
  <c r="P144" i="94"/>
  <c r="X113" i="84"/>
  <c r="Y171" i="83"/>
  <c r="P118" i="87"/>
  <c r="N87" i="88"/>
  <c r="P64" i="89"/>
  <c r="Y53" i="91"/>
  <c r="AA94" i="89"/>
  <c r="AA118" i="91"/>
  <c r="Q121" i="83"/>
  <c r="O181" i="88"/>
  <c r="N117" i="93"/>
  <c r="AB152" i="81"/>
  <c r="Y164" i="84"/>
  <c r="AB138" i="81"/>
  <c r="X69" i="88"/>
  <c r="Z73" i="89"/>
  <c r="L131" i="88"/>
  <c r="AA17" i="88"/>
  <c r="O17" i="82"/>
  <c r="AA95" i="85"/>
  <c r="T93" i="84"/>
  <c r="Y143" i="84"/>
  <c r="Y122" i="94"/>
  <c r="Z41" i="94"/>
  <c r="AB168" i="84"/>
  <c r="O89" i="88"/>
  <c r="AB68" i="82"/>
  <c r="Q149" i="84"/>
  <c r="Y180" i="84"/>
  <c r="AA94" i="87"/>
  <c r="AA132" i="89"/>
  <c r="Q76" i="94"/>
  <c r="N66" i="85"/>
  <c r="O131" i="85"/>
  <c r="M47" i="82"/>
  <c r="O148" i="74"/>
  <c r="AA147" i="83"/>
  <c r="Z106" i="83"/>
  <c r="AB125" i="82"/>
  <c r="Y116" i="93"/>
  <c r="AB53" i="88"/>
  <c r="P86" i="88"/>
  <c r="O78" i="82"/>
  <c r="P98" i="82"/>
  <c r="Q181" i="82"/>
  <c r="O51" i="92"/>
  <c r="Q161" i="88"/>
  <c r="L185" i="81"/>
  <c r="X115" i="93"/>
  <c r="P75" i="93"/>
  <c r="O23" i="94"/>
  <c r="P181" i="92"/>
  <c r="L86" i="94"/>
  <c r="AA96" i="85"/>
  <c r="AB23" i="94"/>
  <c r="P66" i="81"/>
  <c r="Y114" i="87"/>
  <c r="O107" i="93"/>
  <c r="L101" i="91"/>
  <c r="O78" i="87"/>
  <c r="Z23" i="74"/>
  <c r="AA64" i="93"/>
  <c r="L118" i="85"/>
  <c r="Z116" i="94"/>
  <c r="Q172" i="91"/>
  <c r="Z114" i="88"/>
  <c r="O88" i="74"/>
  <c r="Q176" i="84"/>
  <c r="P15" i="94"/>
  <c r="Y154" i="81"/>
  <c r="P35" i="84"/>
  <c r="Z83" i="83"/>
  <c r="X117" i="81"/>
  <c r="L169" i="93"/>
  <c r="Z53" i="84"/>
  <c r="P142" i="85"/>
  <c r="Z150" i="85"/>
  <c r="Y125" i="81"/>
  <c r="Y169" i="85"/>
  <c r="P55" i="89"/>
  <c r="O72" i="89"/>
  <c r="Q167" i="87"/>
  <c r="AB170" i="91"/>
  <c r="Z104" i="83"/>
  <c r="O63" i="91"/>
  <c r="T147" i="85"/>
  <c r="O49" i="91"/>
  <c r="P165" i="92"/>
  <c r="Y17" i="81"/>
  <c r="M41" i="82"/>
  <c r="Y9" i="83"/>
  <c r="L110" i="93"/>
  <c r="Z100" i="87"/>
  <c r="X43" i="87"/>
  <c r="P129" i="82"/>
  <c r="Z15" i="84"/>
  <c r="P39" i="83"/>
  <c r="Z115" i="92"/>
  <c r="P69" i="94"/>
  <c r="X116" i="85"/>
  <c r="X170" i="91"/>
  <c r="L132" i="87"/>
  <c r="X132" i="84"/>
  <c r="X151" i="74"/>
  <c r="L97" i="74"/>
  <c r="Z103" i="88"/>
  <c r="N21" i="84"/>
  <c r="Y124" i="87"/>
  <c r="Q123" i="83"/>
  <c r="AB120" i="81"/>
  <c r="Y140" i="88"/>
  <c r="Z141" i="85"/>
  <c r="X59" i="74"/>
  <c r="M9" i="83"/>
  <c r="Q57" i="83"/>
  <c r="Z163" i="94"/>
  <c r="X79" i="93"/>
  <c r="AB39" i="91"/>
  <c r="X131" i="82"/>
  <c r="L176" i="93"/>
  <c r="X66" i="85"/>
  <c r="AB166" i="93"/>
  <c r="L70" i="93"/>
  <c r="T177" i="85"/>
  <c r="Z81" i="87"/>
  <c r="AB130" i="87"/>
  <c r="Y47" i="92"/>
  <c r="O139" i="88"/>
  <c r="P161" i="93"/>
  <c r="N162" i="87"/>
  <c r="P93" i="87"/>
  <c r="Y41" i="82"/>
  <c r="Z61" i="81"/>
  <c r="P68" i="74"/>
  <c r="M49" i="89"/>
  <c r="Z112" i="74"/>
  <c r="P27" i="92"/>
  <c r="AB116" i="82"/>
  <c r="AB69" i="93"/>
  <c r="Q173" i="91"/>
  <c r="Q126" i="89"/>
  <c r="O169" i="93"/>
  <c r="N177" i="74"/>
  <c r="AB37" i="81"/>
  <c r="P116" i="92"/>
  <c r="X29" i="89"/>
  <c r="Z73" i="74"/>
  <c r="P104" i="89"/>
  <c r="Z180" i="88"/>
  <c r="AB110" i="89"/>
  <c r="M49" i="92"/>
  <c r="AA110" i="74"/>
  <c r="AA140" i="82"/>
  <c r="N159" i="82"/>
  <c r="P61" i="88"/>
  <c r="AA136" i="88"/>
  <c r="N141" i="87"/>
  <c r="O151" i="74"/>
  <c r="P180" i="81"/>
  <c r="O177" i="85"/>
  <c r="L104" i="88"/>
  <c r="AA33" i="82"/>
  <c r="AA151" i="82"/>
  <c r="Z123" i="74"/>
  <c r="Y150" i="84"/>
  <c r="O25" i="92"/>
  <c r="AB51" i="82"/>
  <c r="P173" i="74"/>
  <c r="AB148" i="88"/>
  <c r="Y49" i="82"/>
  <c r="Q171" i="74"/>
  <c r="O148" i="83"/>
  <c r="AB167" i="82"/>
  <c r="Y47" i="74"/>
  <c r="Y99" i="85"/>
  <c r="AB88" i="91"/>
  <c r="X114" i="81"/>
  <c r="P132" i="94"/>
  <c r="Q87" i="81"/>
  <c r="Q66" i="81"/>
  <c r="Y72" i="81"/>
  <c r="Q77" i="81"/>
  <c r="AB51" i="81"/>
  <c r="AB27" i="87"/>
  <c r="Z173" i="89"/>
  <c r="O132" i="89"/>
  <c r="AA87" i="82"/>
  <c r="Z143" i="82"/>
  <c r="P100" i="85"/>
  <c r="Z151" i="94"/>
  <c r="AB104" i="87"/>
  <c r="O181" i="92"/>
  <c r="P67" i="88"/>
  <c r="L171" i="83"/>
  <c r="L70" i="87"/>
  <c r="O43" i="85"/>
  <c r="O175" i="94"/>
  <c r="Q146" i="93"/>
  <c r="AB77" i="92"/>
  <c r="Z88" i="93"/>
  <c r="Z89" i="87"/>
  <c r="O130" i="82"/>
  <c r="O66" i="92"/>
  <c r="AA17" i="81"/>
  <c r="P123" i="93"/>
  <c r="L83" i="81"/>
  <c r="AA145" i="84"/>
  <c r="AB167" i="88"/>
  <c r="AB84" i="88"/>
  <c r="L132" i="82"/>
  <c r="L178" i="89"/>
  <c r="N141" i="84"/>
  <c r="M23" i="88"/>
  <c r="Y122" i="84"/>
  <c r="AB61" i="92"/>
  <c r="O104" i="92"/>
  <c r="T114" i="93"/>
  <c r="P163" i="92"/>
  <c r="T63" i="89"/>
  <c r="P101" i="84"/>
  <c r="X15" i="88"/>
  <c r="Y130" i="83"/>
  <c r="AB65" i="82"/>
  <c r="L167" i="87"/>
  <c r="O93" i="82"/>
  <c r="Y174" i="85"/>
  <c r="AA140" i="94"/>
  <c r="X153" i="74"/>
  <c r="AB174" i="91"/>
  <c r="X83" i="88"/>
  <c r="L66" i="81"/>
  <c r="L71" i="74"/>
  <c r="L122" i="85"/>
  <c r="Y23" i="92"/>
  <c r="Z51" i="93"/>
  <c r="X78" i="82"/>
  <c r="Z13" i="88"/>
  <c r="AB78" i="87"/>
  <c r="AA171" i="93"/>
  <c r="AA124" i="82"/>
  <c r="AB134" i="93"/>
  <c r="P17" i="85"/>
  <c r="X102" i="83"/>
  <c r="AA119" i="74"/>
  <c r="P126" i="82"/>
  <c r="Z13" i="82"/>
  <c r="P147" i="81"/>
  <c r="AA116" i="87"/>
  <c r="O29" i="81"/>
  <c r="T126" i="89"/>
  <c r="X168" i="85"/>
  <c r="P105" i="87"/>
  <c r="O170" i="94"/>
  <c r="Y135" i="92"/>
  <c r="Y113" i="93"/>
  <c r="O95" i="93"/>
  <c r="Z23" i="81"/>
  <c r="Z61" i="89"/>
  <c r="Z53" i="94"/>
  <c r="Z25" i="81"/>
  <c r="T147" i="89"/>
  <c r="Z51" i="81"/>
  <c r="AA127" i="82"/>
  <c r="AB128" i="91"/>
  <c r="AB109" i="84"/>
  <c r="Y175" i="74"/>
  <c r="Y116" i="87"/>
  <c r="L147" i="82"/>
  <c r="Q132" i="85"/>
  <c r="AB63" i="94"/>
  <c r="L123" i="91"/>
  <c r="N177" i="84"/>
  <c r="L150" i="81"/>
  <c r="T96" i="87"/>
  <c r="Z154" i="85"/>
  <c r="Q45" i="91"/>
  <c r="M15" i="92"/>
  <c r="Z69" i="85"/>
  <c r="Y96" i="93"/>
  <c r="X37" i="92"/>
  <c r="AA175" i="84"/>
  <c r="O175" i="84"/>
  <c r="AA129" i="94"/>
  <c r="T21" i="87"/>
  <c r="AA105" i="81"/>
  <c r="O146" i="93"/>
  <c r="Y166" i="91"/>
  <c r="Y166" i="92"/>
  <c r="X75" i="94"/>
  <c r="N93" i="85"/>
  <c r="AA86" i="91"/>
  <c r="M11" i="92"/>
  <c r="P160" i="89"/>
  <c r="M55" i="88"/>
  <c r="Y136" i="81"/>
  <c r="P120" i="87"/>
  <c r="Z163" i="84"/>
  <c r="P85" i="89"/>
  <c r="X65" i="91"/>
  <c r="X136" i="81"/>
  <c r="L86" i="82"/>
  <c r="P68" i="89"/>
  <c r="AA103" i="83"/>
  <c r="T150" i="88"/>
  <c r="Z148" i="74"/>
  <c r="AA153" i="88"/>
  <c r="M23" i="81"/>
  <c r="Q163" i="92"/>
  <c r="Z115" i="87"/>
  <c r="O154" i="94"/>
  <c r="AB137" i="87"/>
  <c r="AB99" i="92"/>
  <c r="AA161" i="94"/>
  <c r="O102" i="89"/>
  <c r="Y76" i="74"/>
  <c r="X105" i="91"/>
  <c r="T63" i="94"/>
  <c r="Y11" i="92"/>
  <c r="L132" i="91"/>
  <c r="Y82" i="87"/>
  <c r="P112" i="93"/>
  <c r="L113" i="94"/>
  <c r="Y107" i="84"/>
  <c r="Z143" i="91"/>
  <c r="L160" i="94"/>
  <c r="P29" i="92"/>
  <c r="P21" i="94"/>
  <c r="P135" i="89"/>
  <c r="O68" i="74"/>
  <c r="Z74" i="81"/>
  <c r="AA167" i="93"/>
  <c r="P85" i="84"/>
  <c r="X134" i="93"/>
  <c r="Y100" i="91"/>
  <c r="Z97" i="93"/>
  <c r="AB87" i="89"/>
  <c r="Y160" i="93"/>
  <c r="AA66" i="92"/>
  <c r="Z112" i="91"/>
  <c r="X157" i="85"/>
  <c r="AB163" i="94"/>
  <c r="Q169" i="93"/>
  <c r="O31" i="91"/>
  <c r="T84" i="88"/>
  <c r="AA21" i="74"/>
  <c r="Q179" i="82"/>
  <c r="Z64" i="87"/>
  <c r="P72" i="89"/>
  <c r="O122" i="89"/>
  <c r="AB84" i="94"/>
  <c r="Q180" i="83"/>
  <c r="P121" i="85"/>
  <c r="X77" i="93"/>
  <c r="AA67" i="74"/>
  <c r="Y68" i="81"/>
  <c r="T141" i="84"/>
  <c r="L82" i="85"/>
  <c r="AB154" i="93"/>
  <c r="AA121" i="87"/>
  <c r="Q97" i="81"/>
  <c r="T99" i="88"/>
  <c r="P21" i="82"/>
  <c r="Z106" i="82"/>
  <c r="P96" i="83"/>
  <c r="L149" i="87"/>
  <c r="Z165" i="81"/>
  <c r="Q160" i="94"/>
  <c r="AB106" i="89"/>
  <c r="X180" i="81"/>
  <c r="AA165" i="81"/>
  <c r="T165" i="85"/>
  <c r="AB138" i="82"/>
  <c r="Y139" i="81"/>
  <c r="Q120" i="88"/>
  <c r="N96" i="82"/>
  <c r="X83" i="93"/>
  <c r="T117" i="87"/>
  <c r="L136" i="91"/>
  <c r="Q149" i="87"/>
  <c r="Q121" i="88"/>
  <c r="L128" i="92"/>
  <c r="Z66" i="91"/>
  <c r="L90" i="88"/>
  <c r="P63" i="94"/>
  <c r="Z130" i="84"/>
  <c r="X119" i="85"/>
  <c r="X69" i="89"/>
  <c r="Q169" i="89"/>
  <c r="P143" i="91"/>
  <c r="Z147" i="81"/>
  <c r="L98" i="74"/>
  <c r="O131" i="74"/>
  <c r="P108" i="84"/>
  <c r="P97" i="93"/>
  <c r="X113" i="81"/>
  <c r="AB39" i="87"/>
  <c r="AB140" i="91"/>
  <c r="Z93" i="87"/>
  <c r="AA111" i="88"/>
  <c r="Q133" i="81"/>
  <c r="AB176" i="84"/>
  <c r="Q81" i="89"/>
  <c r="O150" i="94"/>
  <c r="Q109" i="85"/>
  <c r="P170" i="74"/>
  <c r="Y124" i="93"/>
  <c r="P39" i="81"/>
  <c r="Z139" i="92"/>
  <c r="P84" i="84"/>
  <c r="X124" i="87"/>
  <c r="P148" i="81"/>
  <c r="Q43" i="94"/>
  <c r="O174" i="82"/>
  <c r="N111" i="85"/>
  <c r="P27" i="74"/>
  <c r="L172" i="87"/>
  <c r="AB107" i="93"/>
  <c r="O135" i="83"/>
  <c r="X93" i="91"/>
  <c r="Z92" i="89"/>
  <c r="Z75" i="89"/>
  <c r="Z49" i="89"/>
  <c r="Q21" i="89"/>
  <c r="X114" i="88"/>
  <c r="X151" i="85"/>
  <c r="Z143" i="85"/>
  <c r="X131" i="89"/>
  <c r="Y96" i="74"/>
  <c r="AB149" i="91"/>
  <c r="L107" i="92"/>
  <c r="AA82" i="89"/>
  <c r="Y169" i="92"/>
  <c r="AB140" i="92"/>
  <c r="Y110" i="74"/>
  <c r="X144" i="87"/>
  <c r="O183" i="89"/>
  <c r="O145" i="83"/>
  <c r="O140" i="84"/>
  <c r="L65" i="92"/>
  <c r="O179" i="91"/>
  <c r="X21" i="92"/>
  <c r="X148" i="84"/>
  <c r="O121" i="85"/>
  <c r="Q115" i="85"/>
  <c r="AA100" i="84"/>
  <c r="Z59" i="89"/>
  <c r="AB80" i="93"/>
  <c r="Q19" i="93"/>
  <c r="P117" i="84"/>
  <c r="AB122" i="94"/>
  <c r="Z70" i="92"/>
  <c r="P45" i="94"/>
  <c r="AA94" i="93"/>
  <c r="Z76" i="93"/>
  <c r="AB63" i="89"/>
  <c r="AB88" i="92"/>
  <c r="X81" i="83"/>
  <c r="M39" i="87"/>
  <c r="Z80" i="92"/>
  <c r="Y107" i="89"/>
  <c r="T99" i="83"/>
  <c r="O89" i="87"/>
  <c r="N84" i="74"/>
  <c r="AA80" i="93"/>
  <c r="Y147" i="89"/>
  <c r="AA144" i="94"/>
  <c r="Y116" i="92"/>
  <c r="Z80" i="87"/>
  <c r="AA35" i="93"/>
  <c r="O160" i="81"/>
  <c r="AB15" i="84"/>
  <c r="X126" i="89"/>
  <c r="Q93" i="87"/>
  <c r="N120" i="74"/>
  <c r="X67" i="89"/>
  <c r="L159" i="87"/>
  <c r="P127" i="84"/>
  <c r="P37" i="81"/>
  <c r="P139" i="89"/>
  <c r="AA100" i="74"/>
  <c r="AB138" i="83"/>
  <c r="AB61" i="85"/>
  <c r="L115" i="94"/>
  <c r="Y165" i="93"/>
  <c r="O112" i="87"/>
  <c r="P101" i="89"/>
  <c r="Q155" i="87"/>
  <c r="AB148" i="94"/>
  <c r="X165" i="93"/>
  <c r="P112" i="82"/>
  <c r="O21" i="92"/>
  <c r="AA72" i="81"/>
  <c r="Q66" i="84"/>
  <c r="AB144" i="94"/>
  <c r="AB31" i="82"/>
  <c r="Y163" i="74"/>
  <c r="Q94" i="84"/>
  <c r="Q149" i="93"/>
  <c r="X113" i="91"/>
  <c r="L184" i="94"/>
  <c r="L162" i="91"/>
  <c r="Q98" i="93"/>
  <c r="P79" i="74"/>
  <c r="P136" i="89"/>
  <c r="AA98" i="85"/>
  <c r="Y41" i="83"/>
  <c r="AB55" i="81"/>
  <c r="AA139" i="84"/>
  <c r="X82" i="74"/>
  <c r="Q93" i="88"/>
  <c r="Q61" i="82"/>
  <c r="AA41" i="91"/>
  <c r="AB172" i="84"/>
  <c r="AB149" i="92"/>
  <c r="Q101" i="88"/>
  <c r="Z139" i="74"/>
  <c r="X174" i="87"/>
  <c r="M21" i="83"/>
  <c r="Z86" i="87"/>
  <c r="Y53" i="93"/>
  <c r="T84" i="94"/>
  <c r="Y70" i="82"/>
  <c r="O185" i="89"/>
  <c r="Z165" i="82"/>
  <c r="P51" i="85"/>
  <c r="AA126" i="87"/>
  <c r="X138" i="83"/>
  <c r="X23" i="85"/>
  <c r="AB174" i="81"/>
  <c r="L126" i="85"/>
  <c r="Y165" i="87"/>
  <c r="Q66" i="93"/>
  <c r="P178" i="82"/>
  <c r="L157" i="87"/>
  <c r="P167" i="82"/>
  <c r="N162" i="94"/>
  <c r="AA143" i="84"/>
  <c r="Y92" i="84"/>
  <c r="L98" i="81"/>
  <c r="Z116" i="82"/>
  <c r="T66" i="74"/>
  <c r="Y9" i="94"/>
  <c r="Z168" i="85"/>
  <c r="Y41" i="88"/>
  <c r="P134" i="88"/>
  <c r="O184" i="83"/>
  <c r="AB150" i="87"/>
  <c r="Y78" i="82"/>
  <c r="Q118" i="84"/>
  <c r="AB41" i="93"/>
  <c r="Y88" i="87"/>
  <c r="AB57" i="93"/>
  <c r="P21" i="84"/>
  <c r="AA136" i="93"/>
  <c r="L94" i="88"/>
  <c r="L79" i="81"/>
  <c r="Y113" i="74"/>
  <c r="P70" i="92"/>
  <c r="AA55" i="92"/>
  <c r="N177" i="94"/>
  <c r="P94" i="92"/>
  <c r="Y173" i="88"/>
  <c r="L109" i="74"/>
  <c r="AB90" i="88"/>
  <c r="X106" i="88"/>
  <c r="AA133" i="91"/>
  <c r="O51" i="93"/>
  <c r="T21" i="83"/>
  <c r="Q124" i="81"/>
  <c r="AB140" i="89"/>
  <c r="Z21" i="93"/>
  <c r="AB141" i="82"/>
  <c r="AB31" i="92"/>
  <c r="Y81" i="81"/>
  <c r="O114" i="84"/>
  <c r="Q71" i="83"/>
  <c r="M19" i="74"/>
  <c r="Y86" i="91"/>
  <c r="AB74" i="81"/>
  <c r="L98" i="89"/>
  <c r="P112" i="84"/>
  <c r="Z35" i="94"/>
  <c r="P74" i="85"/>
  <c r="Z110" i="85"/>
  <c r="O102" i="74"/>
  <c r="T171" i="87"/>
  <c r="T78" i="94"/>
  <c r="P111" i="74"/>
  <c r="Y129" i="88"/>
  <c r="X158" i="85"/>
  <c r="Y118" i="92"/>
  <c r="AB97" i="83"/>
  <c r="Y167" i="94"/>
  <c r="Q47" i="85"/>
  <c r="Y81" i="74"/>
  <c r="P115" i="84"/>
  <c r="M51" i="81"/>
  <c r="O17" i="89"/>
  <c r="X160" i="84"/>
  <c r="Y88" i="89"/>
  <c r="Z25" i="92"/>
  <c r="Y136" i="84"/>
  <c r="O67" i="92"/>
  <c r="AA107" i="85"/>
  <c r="L160" i="92"/>
  <c r="Q121" i="82"/>
  <c r="AB19" i="85"/>
  <c r="AA17" i="83"/>
  <c r="L136" i="89"/>
  <c r="M25" i="82"/>
  <c r="P99" i="93"/>
  <c r="L129" i="81"/>
  <c r="AA165" i="88"/>
  <c r="Q102" i="88"/>
  <c r="P132" i="88"/>
  <c r="P145" i="88"/>
  <c r="L171" i="94"/>
  <c r="O139" i="93"/>
  <c r="O65" i="92"/>
  <c r="AA125" i="93"/>
  <c r="O65" i="85"/>
  <c r="O151" i="91"/>
  <c r="Z166" i="84"/>
  <c r="AB158" i="87"/>
  <c r="L71" i="83"/>
  <c r="L81" i="94"/>
  <c r="Y63" i="88"/>
  <c r="Z104" i="84"/>
  <c r="AB151" i="93"/>
  <c r="L117" i="82"/>
  <c r="T147" i="74"/>
  <c r="T132" i="85"/>
  <c r="AA153" i="82"/>
  <c r="Q11" i="84"/>
  <c r="P67" i="94"/>
  <c r="AA41" i="81"/>
  <c r="O111" i="81"/>
  <c r="T84" i="89"/>
  <c r="AA17" i="82"/>
  <c r="Y94" i="92"/>
  <c r="AB147" i="83"/>
  <c r="Z173" i="83"/>
  <c r="Q156" i="88"/>
  <c r="L89" i="91"/>
  <c r="L122" i="92"/>
  <c r="O68" i="82"/>
  <c r="Z153" i="81"/>
  <c r="P81" i="82"/>
  <c r="Q161" i="94"/>
  <c r="AB156" i="82"/>
  <c r="P11" i="83"/>
  <c r="N162" i="74"/>
  <c r="X133" i="94"/>
  <c r="AA63" i="91"/>
  <c r="O152" i="94"/>
  <c r="O155" i="93"/>
  <c r="Q63" i="94"/>
  <c r="L70" i="84"/>
  <c r="Y68" i="94"/>
  <c r="AB111" i="81"/>
  <c r="X89" i="84"/>
  <c r="Y169" i="74"/>
  <c r="Y119" i="87"/>
  <c r="Z59" i="84"/>
  <c r="T144" i="91"/>
  <c r="Y161" i="93"/>
  <c r="AB147" i="82"/>
  <c r="X104" i="91"/>
  <c r="AB107" i="91"/>
  <c r="L165" i="89"/>
  <c r="P110" i="89"/>
  <c r="T78" i="74"/>
  <c r="O115" i="88"/>
  <c r="L146" i="85"/>
  <c r="X90" i="91"/>
  <c r="Q182" i="89"/>
  <c r="Z162" i="91"/>
  <c r="T168" i="85"/>
  <c r="Q64" i="83"/>
  <c r="AA133" i="84"/>
  <c r="AA13" i="91"/>
  <c r="Z174" i="84"/>
  <c r="X165" i="81"/>
  <c r="T90" i="87"/>
  <c r="AB53" i="93"/>
  <c r="Y130" i="94"/>
  <c r="AB157" i="94"/>
  <c r="Y162" i="74"/>
  <c r="Q185" i="92"/>
  <c r="AB21" i="87"/>
  <c r="L81" i="74"/>
  <c r="Z128" i="92"/>
  <c r="X161" i="84"/>
  <c r="X53" i="87"/>
  <c r="Y173" i="85"/>
  <c r="AB79" i="84"/>
  <c r="O83" i="91"/>
  <c r="Y108" i="87"/>
  <c r="X73" i="87"/>
  <c r="AA112" i="81"/>
  <c r="L101" i="93"/>
  <c r="AA147" i="91"/>
  <c r="Q163" i="88"/>
  <c r="P166" i="83"/>
  <c r="O81" i="92"/>
  <c r="Z49" i="83"/>
  <c r="P169" i="93"/>
  <c r="AA68" i="88"/>
  <c r="X159" i="82"/>
  <c r="P19" i="87"/>
  <c r="Y21" i="89"/>
  <c r="X151" i="89"/>
  <c r="O150" i="89"/>
  <c r="Q72" i="87"/>
  <c r="P59" i="89"/>
  <c r="X11" i="83"/>
  <c r="Q157" i="82"/>
  <c r="Y79" i="81"/>
  <c r="AB118" i="88"/>
  <c r="AA51" i="85"/>
  <c r="O143" i="84"/>
  <c r="Z67" i="74"/>
  <c r="L63" i="87"/>
  <c r="Y86" i="74"/>
  <c r="AB79" i="89"/>
  <c r="AB120" i="89"/>
  <c r="X136" i="88"/>
  <c r="Z96" i="91"/>
  <c r="P94" i="81"/>
  <c r="AA76" i="85"/>
  <c r="Q181" i="83"/>
  <c r="AA39" i="93"/>
  <c r="AB139" i="88"/>
  <c r="Z176" i="91"/>
  <c r="Q90" i="74"/>
  <c r="Q158" i="84"/>
  <c r="L68" i="92"/>
  <c r="Z109" i="93"/>
  <c r="T90" i="88"/>
  <c r="L138" i="94"/>
  <c r="Q127" i="83"/>
  <c r="Q27" i="84"/>
  <c r="N123" i="81"/>
  <c r="O174" i="81"/>
  <c r="Q177" i="92"/>
  <c r="AA141" i="92"/>
  <c r="L153" i="89"/>
  <c r="L74" i="91"/>
  <c r="X98" i="81"/>
  <c r="L84" i="87"/>
  <c r="Z65" i="81"/>
  <c r="L118" i="82"/>
  <c r="AA134" i="92"/>
  <c r="L120" i="89"/>
  <c r="P172" i="88"/>
  <c r="X98" i="84"/>
  <c r="Q17" i="94"/>
  <c r="Z95" i="83"/>
  <c r="Q178" i="92"/>
  <c r="O161" i="94"/>
  <c r="L64" i="93"/>
  <c r="Y75" i="82"/>
  <c r="M11" i="91"/>
  <c r="T165" i="94"/>
  <c r="N78" i="74"/>
  <c r="Y150" i="92"/>
  <c r="N75" i="81"/>
  <c r="P59" i="88"/>
  <c r="Z78" i="82"/>
  <c r="X109" i="74"/>
  <c r="Y127" i="87"/>
  <c r="AA129" i="89"/>
  <c r="L134" i="81"/>
  <c r="P170" i="84"/>
  <c r="Y138" i="88"/>
  <c r="Q149" i="82"/>
  <c r="O117" i="84"/>
  <c r="AA75" i="83"/>
  <c r="P29" i="83"/>
  <c r="X148" i="93"/>
  <c r="O121" i="89"/>
  <c r="X131" i="92"/>
  <c r="O64" i="83"/>
  <c r="P70" i="88"/>
  <c r="P57" i="74"/>
  <c r="P65" i="92"/>
  <c r="O158" i="93"/>
  <c r="Y161" i="83"/>
  <c r="O128" i="92"/>
  <c r="O136" i="93"/>
  <c r="AB132" i="93"/>
  <c r="Y21" i="84"/>
  <c r="Y87" i="84"/>
  <c r="P111" i="83"/>
  <c r="L94" i="84"/>
  <c r="N81" i="93"/>
  <c r="L110" i="83"/>
  <c r="X41" i="85"/>
  <c r="X135" i="74"/>
  <c r="Q107" i="83"/>
  <c r="P116" i="85"/>
  <c r="N185" i="85"/>
  <c r="Z96" i="88"/>
  <c r="T126" i="88"/>
  <c r="Z137" i="87"/>
  <c r="L144" i="91"/>
  <c r="Q142" i="88"/>
  <c r="Y119" i="83"/>
  <c r="Z51" i="84"/>
  <c r="Y35" i="74"/>
  <c r="X148" i="88"/>
  <c r="AA174" i="83"/>
  <c r="Z72" i="92"/>
  <c r="X112" i="84"/>
  <c r="P82" i="93"/>
  <c r="Z101" i="94"/>
  <c r="Y166" i="84"/>
  <c r="L97" i="94"/>
  <c r="Z70" i="81"/>
  <c r="Y157" i="84"/>
  <c r="O72" i="93"/>
  <c r="AA15" i="94"/>
  <c r="P126" i="81"/>
  <c r="AB161" i="92"/>
  <c r="X76" i="88"/>
  <c r="P117" i="91"/>
  <c r="Z65" i="88"/>
  <c r="L75" i="94"/>
  <c r="O127" i="92"/>
  <c r="AB116" i="87"/>
  <c r="X9" i="81"/>
  <c r="P169" i="81"/>
  <c r="L97" i="81"/>
  <c r="AB128" i="94"/>
  <c r="P137" i="88"/>
  <c r="T162" i="84"/>
  <c r="Y118" i="82"/>
  <c r="O158" i="87"/>
  <c r="AB112" i="85"/>
  <c r="L145" i="89"/>
  <c r="X93" i="88"/>
  <c r="N102" i="84"/>
  <c r="Q124" i="84"/>
  <c r="P128" i="94"/>
  <c r="L131" i="82"/>
  <c r="Q170" i="89"/>
  <c r="AB144" i="85"/>
  <c r="X39" i="91"/>
  <c r="Y88" i="85"/>
  <c r="Q139" i="93"/>
  <c r="O101" i="74"/>
  <c r="O95" i="89"/>
  <c r="Q33" i="83"/>
  <c r="O118" i="88"/>
  <c r="O155" i="85"/>
  <c r="Y126" i="91"/>
  <c r="P104" i="88"/>
  <c r="Y23" i="88"/>
  <c r="X69" i="85"/>
  <c r="Z166" i="82"/>
  <c r="AB75" i="92"/>
  <c r="AA160" i="83"/>
  <c r="Y37" i="74"/>
  <c r="Z47" i="85"/>
  <c r="P74" i="83"/>
  <c r="N153" i="87"/>
  <c r="T114" i="88"/>
  <c r="Q112" i="83"/>
  <c r="P147" i="85"/>
  <c r="L156" i="74"/>
  <c r="Y118" i="88"/>
  <c r="L77" i="87"/>
  <c r="X19" i="85"/>
  <c r="N81" i="74"/>
  <c r="Q104" i="83"/>
  <c r="X126" i="83"/>
  <c r="Q174" i="92"/>
  <c r="Z155" i="94"/>
  <c r="X180" i="82"/>
  <c r="AA15" i="91"/>
  <c r="Y122" i="83"/>
  <c r="O126" i="94"/>
  <c r="AB17" i="94"/>
  <c r="Z106" i="84"/>
  <c r="O152" i="74"/>
  <c r="N66" i="83"/>
  <c r="X66" i="81"/>
  <c r="Z9" i="84"/>
  <c r="Z108" i="82"/>
  <c r="X137" i="91"/>
  <c r="AA45" i="88"/>
  <c r="O131" i="92"/>
  <c r="X49" i="83"/>
  <c r="P31" i="91"/>
  <c r="O180" i="74"/>
  <c r="L116" i="89"/>
  <c r="L137" i="82"/>
  <c r="AB70" i="94"/>
  <c r="Z154" i="84"/>
  <c r="Z33" i="81"/>
  <c r="X127" i="88"/>
  <c r="Y35" i="84"/>
  <c r="Z134" i="92"/>
  <c r="X23" i="84"/>
  <c r="Q127" i="81"/>
  <c r="Q64" i="94"/>
  <c r="P176" i="87"/>
  <c r="AB66" i="91"/>
  <c r="Q148" i="93"/>
  <c r="Y80" i="85"/>
  <c r="AA114" i="81"/>
  <c r="Y104" i="92"/>
  <c r="X108" i="74"/>
  <c r="P182" i="84"/>
  <c r="Q77" i="82"/>
  <c r="X55" i="82"/>
  <c r="P82" i="82"/>
  <c r="AB115" i="82"/>
  <c r="O11" i="92"/>
  <c r="Z71" i="84"/>
  <c r="Y21" i="83"/>
  <c r="Z68" i="88"/>
  <c r="L110" i="85"/>
  <c r="AA126" i="84"/>
  <c r="Z135" i="74"/>
  <c r="L90" i="87"/>
  <c r="O157" i="85"/>
  <c r="Y53" i="88"/>
  <c r="P156" i="92"/>
  <c r="P99" i="82"/>
  <c r="Z119" i="81"/>
  <c r="O181" i="93"/>
  <c r="P185" i="88"/>
  <c r="Y79" i="88"/>
  <c r="O68" i="94"/>
  <c r="Q157" i="83"/>
  <c r="O96" i="87"/>
  <c r="Y171" i="88"/>
  <c r="O152" i="89"/>
  <c r="Y67" i="74"/>
  <c r="AB105" i="94"/>
  <c r="O106" i="93"/>
  <c r="Z119" i="74"/>
  <c r="Q91" i="83"/>
  <c r="Z116" i="85"/>
  <c r="X107" i="93"/>
  <c r="T96" i="89"/>
  <c r="Q133" i="87"/>
  <c r="Y155" i="74"/>
  <c r="AB72" i="87"/>
  <c r="O124" i="88"/>
  <c r="AA91" i="84"/>
  <c r="AB177" i="88"/>
  <c r="P65" i="89"/>
  <c r="O108" i="85"/>
  <c r="P102" i="89"/>
  <c r="L136" i="81"/>
  <c r="T69" i="87"/>
  <c r="Q137" i="82"/>
  <c r="P88" i="91"/>
  <c r="L182" i="94"/>
  <c r="Q111" i="82"/>
  <c r="Z163" i="85"/>
  <c r="P104" i="85"/>
  <c r="AA166" i="93"/>
  <c r="AB72" i="83"/>
  <c r="AA21" i="92"/>
  <c r="Q116" i="88"/>
  <c r="P118" i="91"/>
  <c r="AB77" i="94"/>
  <c r="O146" i="87"/>
  <c r="P68" i="92"/>
  <c r="P157" i="87"/>
  <c r="AB112" i="89"/>
  <c r="AA124" i="89"/>
  <c r="L132" i="93"/>
  <c r="X63" i="91"/>
  <c r="X173" i="88"/>
  <c r="Z126" i="83"/>
  <c r="AA116" i="84"/>
  <c r="O114" i="88"/>
  <c r="X136" i="82"/>
  <c r="AB11" i="93"/>
  <c r="L148" i="89"/>
  <c r="Y150" i="93"/>
  <c r="O123" i="84"/>
  <c r="P55" i="81"/>
  <c r="O90" i="74"/>
  <c r="X70" i="89"/>
  <c r="Z170" i="83"/>
  <c r="AB76" i="84"/>
  <c r="T27" i="92"/>
  <c r="AA70" i="91"/>
  <c r="Z83" i="94"/>
  <c r="T117" i="74"/>
  <c r="Z85" i="84"/>
  <c r="AB29" i="85"/>
  <c r="L114" i="83"/>
  <c r="P103" i="74"/>
  <c r="Q63" i="83"/>
  <c r="AB92" i="92"/>
  <c r="O167" i="91"/>
  <c r="P164" i="83"/>
  <c r="Q169" i="83"/>
  <c r="AB149" i="83"/>
  <c r="AA13" i="93"/>
  <c r="Z165" i="83"/>
  <c r="Y41" i="81"/>
  <c r="T78" i="87"/>
  <c r="L178" i="85"/>
  <c r="AA176" i="83"/>
  <c r="Y94" i="74"/>
  <c r="AB78" i="92"/>
  <c r="P65" i="87"/>
  <c r="P180" i="87"/>
  <c r="Q143" i="74"/>
  <c r="Y95" i="91"/>
  <c r="X177" i="89"/>
  <c r="Z105" i="74"/>
  <c r="Q138" i="94"/>
  <c r="AB164" i="84"/>
  <c r="Z66" i="92"/>
  <c r="AA177" i="81"/>
  <c r="Q85" i="92"/>
  <c r="T180" i="91"/>
  <c r="P133" i="87"/>
  <c r="AA83" i="87"/>
  <c r="AA109" i="88"/>
  <c r="Y105" i="81"/>
  <c r="P169" i="85"/>
  <c r="P122" i="84"/>
  <c r="AA63" i="87"/>
  <c r="Q182" i="74"/>
  <c r="Q140" i="94"/>
  <c r="AA73" i="83"/>
  <c r="Z172" i="83"/>
  <c r="T135" i="87"/>
  <c r="L120" i="85"/>
  <c r="Q172" i="92"/>
  <c r="AA51" i="87"/>
  <c r="Q102" i="94"/>
  <c r="T150" i="82"/>
  <c r="X121" i="88"/>
  <c r="X132" i="85"/>
  <c r="Y141" i="94"/>
  <c r="AB139" i="83"/>
  <c r="Q124" i="85"/>
  <c r="Y73" i="89"/>
  <c r="Q160" i="87"/>
  <c r="T123" i="93"/>
  <c r="Y70" i="81"/>
  <c r="Y134" i="87"/>
  <c r="AB117" i="83"/>
  <c r="O80" i="83"/>
  <c r="Z168" i="94"/>
  <c r="O59" i="93"/>
  <c r="AA57" i="89"/>
  <c r="O105" i="84"/>
  <c r="N111" i="74"/>
  <c r="AB29" i="83"/>
  <c r="Z127" i="74"/>
  <c r="L159" i="83"/>
  <c r="AA160" i="74"/>
  <c r="Q64" i="74"/>
  <c r="O130" i="89"/>
  <c r="O21" i="94"/>
  <c r="AB105" i="93"/>
  <c r="P137" i="84"/>
  <c r="Y180" i="91"/>
  <c r="Q89" i="91"/>
  <c r="N180" i="82"/>
  <c r="N21" i="89"/>
  <c r="O180" i="85"/>
  <c r="Z155" i="74"/>
  <c r="Y142" i="91"/>
  <c r="L108" i="81"/>
  <c r="Y65" i="93"/>
  <c r="Y142" i="83"/>
  <c r="O182" i="74"/>
  <c r="X152" i="82"/>
  <c r="O161" i="92"/>
  <c r="T126" i="81"/>
  <c r="L74" i="83"/>
  <c r="L108" i="89"/>
  <c r="T87" i="91"/>
  <c r="Q125" i="81"/>
  <c r="Z63" i="81"/>
  <c r="P126" i="89"/>
  <c r="X76" i="81"/>
  <c r="X172" i="88"/>
  <c r="L103" i="83"/>
  <c r="AB15" i="83"/>
  <c r="P67" i="92"/>
  <c r="Y160" i="82"/>
  <c r="O15" i="82"/>
  <c r="L118" i="93"/>
  <c r="AB64" i="87"/>
  <c r="Y23" i="81"/>
  <c r="O92" i="74"/>
  <c r="AB126" i="82"/>
  <c r="X95" i="82"/>
  <c r="Q151" i="85"/>
  <c r="Y107" i="82"/>
  <c r="Z67" i="94"/>
  <c r="O108" i="84"/>
  <c r="AA168" i="85"/>
  <c r="N27" i="85"/>
  <c r="L68" i="89"/>
  <c r="Q9" i="92"/>
  <c r="Y128" i="87"/>
  <c r="P116" i="83"/>
  <c r="P65" i="85"/>
  <c r="P17" i="91"/>
  <c r="AA70" i="92"/>
  <c r="T9" i="87"/>
  <c r="X159" i="92"/>
  <c r="P93" i="82"/>
  <c r="P59" i="94"/>
  <c r="AB128" i="82"/>
  <c r="O47" i="89"/>
  <c r="L104" i="82"/>
  <c r="AA51" i="91"/>
  <c r="Q101" i="82"/>
  <c r="Q160" i="85"/>
  <c r="Y23" i="74"/>
  <c r="AA149" i="92"/>
  <c r="P88" i="89"/>
  <c r="N81" i="89"/>
  <c r="Q178" i="85"/>
  <c r="P86" i="82"/>
  <c r="O90" i="89"/>
  <c r="O155" i="88"/>
  <c r="AA166" i="74"/>
  <c r="O143" i="87"/>
  <c r="X180" i="94"/>
  <c r="L138" i="92"/>
  <c r="O180" i="89"/>
  <c r="Z129" i="91"/>
  <c r="AB149" i="87"/>
  <c r="Y93" i="92"/>
  <c r="X169" i="88"/>
  <c r="Z49" i="94"/>
  <c r="X73" i="83"/>
  <c r="P101" i="92"/>
  <c r="Q156" i="91"/>
  <c r="L180" i="94"/>
  <c r="AB142" i="91"/>
  <c r="Q108" i="91"/>
  <c r="Z160" i="91"/>
  <c r="Y87" i="85"/>
  <c r="Y163" i="85"/>
  <c r="M19" i="94"/>
  <c r="Z135" i="89"/>
  <c r="Q144" i="91"/>
  <c r="M31" i="74"/>
  <c r="P41" i="84"/>
  <c r="Z77" i="91"/>
  <c r="AB120" i="83"/>
  <c r="Z64" i="89"/>
  <c r="X64" i="93"/>
  <c r="AA106" i="74"/>
  <c r="Z120" i="89"/>
  <c r="AB41" i="85"/>
  <c r="N90" i="84"/>
  <c r="AB29" i="81"/>
  <c r="P25" i="82"/>
  <c r="N69" i="92"/>
  <c r="X91" i="84"/>
  <c r="X145" i="89"/>
  <c r="X90" i="87"/>
  <c r="AB145" i="89"/>
  <c r="AB25" i="87"/>
  <c r="P118" i="93"/>
  <c r="Y118" i="74"/>
  <c r="AA103" i="88"/>
  <c r="Q136" i="94"/>
  <c r="N39" i="81"/>
  <c r="X85" i="88"/>
  <c r="X101" i="93"/>
  <c r="X156" i="89"/>
  <c r="O179" i="81"/>
  <c r="O130" i="87"/>
  <c r="O41" i="85"/>
  <c r="X96" i="83"/>
  <c r="AA175" i="82"/>
  <c r="P125" i="93"/>
  <c r="L95" i="93"/>
  <c r="Y84" i="82"/>
  <c r="AA21" i="84"/>
  <c r="O94" i="88"/>
  <c r="P69" i="82"/>
  <c r="T123" i="91"/>
  <c r="AB53" i="83"/>
  <c r="Z135" i="92"/>
  <c r="O140" i="92"/>
  <c r="O156" i="91"/>
  <c r="AB82" i="85"/>
  <c r="Y68" i="92"/>
  <c r="Q83" i="84"/>
  <c r="AA144" i="83"/>
  <c r="Y112" i="93"/>
  <c r="AB41" i="92"/>
  <c r="AA171" i="74"/>
  <c r="O141" i="74"/>
  <c r="Z96" i="85"/>
  <c r="O55" i="82"/>
  <c r="Y43" i="88"/>
  <c r="O134" i="92"/>
  <c r="Z169" i="88"/>
  <c r="L63" i="83"/>
  <c r="Q96" i="93"/>
  <c r="Y9" i="88"/>
  <c r="O169" i="89"/>
  <c r="P110" i="87"/>
  <c r="L88" i="93"/>
  <c r="X132" i="87"/>
  <c r="N66" i="92"/>
  <c r="O110" i="84"/>
  <c r="T138" i="89"/>
  <c r="X176" i="94"/>
  <c r="O161" i="82"/>
  <c r="AA135" i="84"/>
  <c r="O185" i="94"/>
  <c r="X166" i="94"/>
  <c r="Z85" i="91"/>
  <c r="T138" i="84"/>
  <c r="P121" i="93"/>
  <c r="AA74" i="88"/>
  <c r="AA29" i="89"/>
  <c r="L169" i="92"/>
  <c r="L152" i="81"/>
  <c r="Z63" i="88"/>
  <c r="Z116" i="92"/>
  <c r="O154" i="89"/>
  <c r="T102" i="87"/>
  <c r="O25" i="93"/>
  <c r="O86" i="87"/>
  <c r="X78" i="74"/>
  <c r="X165" i="91"/>
  <c r="Q139" i="91"/>
  <c r="O81" i="83"/>
  <c r="X164" i="88"/>
  <c r="AA81" i="85"/>
  <c r="N126" i="82"/>
  <c r="Y64" i="85"/>
  <c r="O79" i="84"/>
  <c r="Z136" i="87"/>
  <c r="P49" i="81"/>
  <c r="AB86" i="85"/>
  <c r="P165" i="84"/>
  <c r="P15" i="83"/>
  <c r="T72" i="82"/>
  <c r="Q71" i="81"/>
  <c r="AB90" i="82"/>
  <c r="Y147" i="84"/>
  <c r="Q109" i="91"/>
  <c r="L111" i="74"/>
  <c r="Z17" i="84"/>
  <c r="X25" i="87"/>
  <c r="X92" i="82"/>
  <c r="N117" i="82"/>
  <c r="P109" i="93"/>
  <c r="Z75" i="93"/>
  <c r="Q105" i="91"/>
  <c r="L79" i="91"/>
  <c r="P82" i="74"/>
  <c r="O92" i="94"/>
  <c r="M9" i="94"/>
  <c r="AB127" i="89"/>
  <c r="Q102" i="84"/>
  <c r="Z149" i="91"/>
  <c r="Y123" i="89"/>
  <c r="AB156" i="89"/>
  <c r="Z65" i="84"/>
  <c r="AA150" i="83"/>
  <c r="O122" i="93"/>
  <c r="O125" i="94"/>
  <c r="AA170" i="91"/>
  <c r="T180" i="87"/>
  <c r="P118" i="94"/>
  <c r="X148" i="83"/>
  <c r="AB119" i="92"/>
  <c r="X159" i="88"/>
  <c r="AA156" i="81"/>
  <c r="AA73" i="87"/>
  <c r="Q178" i="81"/>
  <c r="X167" i="85"/>
  <c r="M15" i="84"/>
  <c r="X72" i="74"/>
  <c r="Z89" i="74"/>
  <c r="AA75" i="93"/>
  <c r="AA74" i="85"/>
  <c r="P84" i="82"/>
  <c r="O143" i="85"/>
  <c r="Q90" i="94"/>
  <c r="Q63" i="85"/>
  <c r="AA176" i="81"/>
  <c r="O183" i="94"/>
  <c r="AB113" i="85"/>
  <c r="N159" i="85"/>
  <c r="AB93" i="81"/>
  <c r="L81" i="89"/>
  <c r="Z90" i="87"/>
  <c r="O124" i="91"/>
  <c r="O177" i="89"/>
  <c r="Y136" i="83"/>
  <c r="Z17" i="94"/>
  <c r="P84" i="83"/>
  <c r="O13" i="82"/>
  <c r="L86" i="93"/>
  <c r="O125" i="82"/>
  <c r="O85" i="93"/>
  <c r="L91" i="88"/>
  <c r="T174" i="92"/>
  <c r="T39" i="91"/>
  <c r="Q153" i="94"/>
  <c r="AA68" i="84"/>
  <c r="Z121" i="82"/>
  <c r="P167" i="92"/>
  <c r="L171" i="87"/>
  <c r="P100" i="89"/>
  <c r="Z57" i="91"/>
  <c r="Z69" i="82"/>
  <c r="Z134" i="83"/>
  <c r="X92" i="89"/>
  <c r="Z76" i="88"/>
  <c r="O61" i="87"/>
  <c r="Q108" i="93"/>
  <c r="Z156" i="87"/>
  <c r="O177" i="81"/>
  <c r="O164" i="85"/>
  <c r="P143" i="82"/>
  <c r="O66" i="88"/>
  <c r="O164" i="82"/>
  <c r="X91" i="92"/>
  <c r="P57" i="84"/>
  <c r="AA165" i="85"/>
  <c r="L167" i="92"/>
  <c r="Y55" i="74"/>
  <c r="AA164" i="89"/>
  <c r="Q92" i="83"/>
  <c r="P158" i="91"/>
  <c r="AA117" i="88"/>
  <c r="P98" i="89"/>
  <c r="L100" i="81"/>
  <c r="Q160" i="92"/>
  <c r="O102" i="88"/>
  <c r="N168" i="82"/>
  <c r="Y90" i="88"/>
  <c r="O185" i="74"/>
  <c r="AB165" i="94"/>
  <c r="Q110" i="91"/>
  <c r="Z176" i="85"/>
  <c r="Q79" i="81"/>
  <c r="Z95" i="85"/>
  <c r="Y47" i="91"/>
  <c r="O15" i="74"/>
  <c r="O43" i="81"/>
  <c r="Q105" i="84"/>
  <c r="Z19" i="92"/>
  <c r="X115" i="83"/>
  <c r="P144" i="84"/>
  <c r="Q179" i="74"/>
  <c r="O128" i="87"/>
  <c r="Y170" i="94"/>
  <c r="Z165" i="74"/>
  <c r="L85" i="82"/>
  <c r="Z31" i="91"/>
  <c r="Y125" i="74"/>
  <c r="Y160" i="94"/>
  <c r="Y119" i="74"/>
  <c r="AA162" i="91"/>
  <c r="X125" i="94"/>
  <c r="Y150" i="82"/>
  <c r="AB67" i="93"/>
  <c r="Q137" i="92"/>
  <c r="Y15" i="84"/>
  <c r="N150" i="81"/>
  <c r="L178" i="83"/>
  <c r="O25" i="85"/>
  <c r="AB106" i="88"/>
  <c r="Z64" i="84"/>
  <c r="Y68" i="85"/>
  <c r="Z173" i="82"/>
  <c r="N111" i="82"/>
  <c r="AA174" i="82"/>
  <c r="Z86" i="85"/>
  <c r="N180" i="88"/>
  <c r="AA155" i="91"/>
  <c r="AB115" i="85"/>
  <c r="Y129" i="94"/>
  <c r="Y170" i="81"/>
  <c r="O145" i="91"/>
  <c r="P137" i="87"/>
  <c r="Z140" i="83"/>
  <c r="Z130" i="82"/>
  <c r="AB78" i="89"/>
  <c r="X169" i="85"/>
  <c r="O134" i="93"/>
  <c r="X94" i="94"/>
  <c r="AB9" i="84"/>
  <c r="Y131" i="83"/>
  <c r="AA100" i="92"/>
  <c r="P67" i="89"/>
  <c r="N138" i="88"/>
  <c r="AA29" i="84"/>
  <c r="P142" i="83"/>
  <c r="X148" i="87"/>
  <c r="Y21" i="91"/>
  <c r="Q106" i="88"/>
  <c r="N126" i="94"/>
  <c r="Q15" i="89"/>
  <c r="Y154" i="84"/>
  <c r="Z96" i="92"/>
  <c r="Z65" i="74"/>
  <c r="AA97" i="81"/>
  <c r="O154" i="81"/>
  <c r="M53" i="85"/>
  <c r="O127" i="87"/>
  <c r="N87" i="83"/>
  <c r="L143" i="87"/>
  <c r="AA161" i="89"/>
  <c r="O106" i="83"/>
  <c r="X88" i="94"/>
  <c r="N174" i="81"/>
  <c r="Z147" i="88"/>
  <c r="AB106" i="84"/>
  <c r="Q106" i="85"/>
  <c r="P15" i="84"/>
  <c r="Q178" i="89"/>
  <c r="L68" i="85"/>
  <c r="M59" i="82"/>
  <c r="O74" i="74"/>
  <c r="O106" i="81"/>
  <c r="N72" i="83"/>
  <c r="Z17" i="74"/>
  <c r="Z115" i="74"/>
  <c r="P67" i="87"/>
  <c r="Z70" i="94"/>
  <c r="X59" i="83"/>
  <c r="Y98" i="89"/>
  <c r="Z125" i="84"/>
  <c r="O172" i="85"/>
  <c r="N114" i="82"/>
  <c r="Q157" i="93"/>
  <c r="X121" i="83"/>
  <c r="X122" i="88"/>
  <c r="AB92" i="89"/>
  <c r="AA130" i="85"/>
  <c r="M29" i="88"/>
  <c r="X87" i="83"/>
  <c r="L98" i="82"/>
  <c r="L105" i="93"/>
  <c r="AB67" i="94"/>
  <c r="T9" i="89"/>
  <c r="AA136" i="89"/>
  <c r="M23" i="89"/>
  <c r="Z125" i="74"/>
  <c r="Y15" i="81"/>
  <c r="AA70" i="85"/>
  <c r="M31" i="85"/>
  <c r="X95" i="84"/>
  <c r="Q114" i="88"/>
  <c r="AB78" i="82"/>
  <c r="O73" i="81"/>
  <c r="O55" i="84"/>
  <c r="AA137" i="92"/>
  <c r="N78" i="83"/>
  <c r="X67" i="83"/>
  <c r="X130" i="91"/>
  <c r="Y132" i="81"/>
  <c r="AB128" i="81"/>
  <c r="Q104" i="84"/>
  <c r="Z9" i="87"/>
  <c r="P39" i="93"/>
  <c r="Y100" i="82"/>
  <c r="X15" i="84"/>
  <c r="Z99" i="85"/>
  <c r="Q126" i="94"/>
  <c r="Q94" i="93"/>
  <c r="L95" i="82"/>
  <c r="N102" i="85"/>
  <c r="X11" i="92"/>
  <c r="AB83" i="83"/>
  <c r="X64" i="82"/>
  <c r="AB169" i="81"/>
  <c r="Y173" i="84"/>
  <c r="Z163" i="81"/>
  <c r="L178" i="94"/>
  <c r="T90" i="84"/>
  <c r="Q41" i="85"/>
  <c r="L87" i="82"/>
  <c r="Q74" i="88"/>
  <c r="AB114" i="85"/>
  <c r="P134" i="84"/>
  <c r="L176" i="82"/>
  <c r="O51" i="84"/>
  <c r="T117" i="85"/>
  <c r="Z27" i="87"/>
  <c r="L103" i="81"/>
  <c r="L90" i="94"/>
  <c r="Y154" i="88"/>
  <c r="Z103" i="92"/>
  <c r="AA57" i="84"/>
  <c r="X43" i="88"/>
  <c r="O129" i="85"/>
  <c r="Y100" i="83"/>
  <c r="Z100" i="84"/>
  <c r="AA156" i="87"/>
  <c r="M35" i="83"/>
  <c r="Z75" i="91"/>
  <c r="Y103" i="74"/>
  <c r="Z91" i="94"/>
  <c r="X67" i="74"/>
  <c r="L92" i="92"/>
  <c r="Q141" i="93"/>
  <c r="AB67" i="85"/>
  <c r="Q59" i="82"/>
  <c r="O163" i="81"/>
  <c r="T144" i="81"/>
  <c r="AA106" i="87"/>
  <c r="Z128" i="84"/>
  <c r="Z135" i="83"/>
  <c r="X82" i="87"/>
  <c r="Y109" i="94"/>
  <c r="P74" i="88"/>
  <c r="P145" i="92"/>
  <c r="AB140" i="87"/>
  <c r="Q177" i="87"/>
  <c r="Q13" i="89"/>
  <c r="P178" i="92"/>
  <c r="P153" i="87"/>
  <c r="P143" i="83"/>
  <c r="Q39" i="85"/>
  <c r="Z164" i="91"/>
  <c r="X37" i="83"/>
  <c r="L168" i="88"/>
  <c r="P92" i="94"/>
  <c r="Y111" i="83"/>
  <c r="Z105" i="89"/>
  <c r="Q110" i="74"/>
  <c r="AA117" i="91"/>
  <c r="AB135" i="82"/>
  <c r="T72" i="92"/>
  <c r="Z165" i="84"/>
  <c r="O39" i="89"/>
  <c r="L146" i="88"/>
  <c r="Q159" i="89"/>
  <c r="P57" i="92"/>
  <c r="Q150" i="85"/>
  <c r="P177" i="88"/>
  <c r="X51" i="85"/>
  <c r="T180" i="85"/>
  <c r="AA109" i="89"/>
  <c r="O134" i="83"/>
  <c r="O159" i="87"/>
  <c r="Q35" i="94"/>
  <c r="M55" i="93"/>
  <c r="L156" i="81"/>
  <c r="Y124" i="74"/>
  <c r="Q19" i="91"/>
  <c r="Y110" i="91"/>
  <c r="AB65" i="91"/>
  <c r="AA94" i="85"/>
  <c r="L167" i="84"/>
  <c r="AB128" i="83"/>
  <c r="O57" i="87"/>
  <c r="Z120" i="74"/>
  <c r="N135" i="87"/>
  <c r="Z159" i="81"/>
  <c r="X85" i="85"/>
  <c r="T99" i="74"/>
  <c r="X82" i="82"/>
  <c r="Q101" i="87"/>
  <c r="AA39" i="81"/>
  <c r="AB162" i="91"/>
  <c r="Y65" i="84"/>
  <c r="P106" i="81"/>
  <c r="P87" i="85"/>
  <c r="O138" i="84"/>
  <c r="O185" i="87"/>
  <c r="AA139" i="81"/>
  <c r="AB112" i="87"/>
  <c r="P182" i="92"/>
  <c r="Z141" i="87"/>
  <c r="Z75" i="92"/>
  <c r="AB169" i="84"/>
  <c r="O170" i="89"/>
  <c r="Y99" i="83"/>
  <c r="AB79" i="88"/>
  <c r="X174" i="83"/>
  <c r="Q117" i="94"/>
  <c r="O184" i="94"/>
  <c r="N114" i="83"/>
  <c r="AB115" i="87"/>
  <c r="AA39" i="85"/>
  <c r="X167" i="92"/>
  <c r="Z63" i="87"/>
  <c r="O125" i="93"/>
  <c r="Z153" i="83"/>
  <c r="P53" i="87"/>
  <c r="AA160" i="91"/>
  <c r="O148" i="89"/>
  <c r="M47" i="91"/>
  <c r="L102" i="94"/>
  <c r="L67" i="89"/>
  <c r="Y149" i="74"/>
  <c r="AA88" i="91"/>
  <c r="Q137" i="81"/>
  <c r="L137" i="89"/>
  <c r="AA102" i="91"/>
  <c r="O21" i="93"/>
  <c r="AB70" i="82"/>
  <c r="Y110" i="85"/>
  <c r="X132" i="91"/>
  <c r="Y129" i="82"/>
  <c r="Q145" i="93"/>
  <c r="AB99" i="83"/>
  <c r="Q151" i="94"/>
  <c r="Y104" i="89"/>
  <c r="O106" i="91"/>
  <c r="O17" i="74"/>
  <c r="Z25" i="84"/>
  <c r="P174" i="83"/>
  <c r="AB175" i="82"/>
  <c r="O92" i="81"/>
  <c r="Z172" i="91"/>
  <c r="P85" i="85"/>
  <c r="Q37" i="81"/>
  <c r="L80" i="88"/>
  <c r="Z144" i="91"/>
  <c r="O51" i="83"/>
  <c r="X74" i="92"/>
  <c r="O136" i="94"/>
  <c r="AB99" i="94"/>
  <c r="P15" i="82"/>
  <c r="P164" i="88"/>
  <c r="O113" i="82"/>
  <c r="AA101" i="74"/>
  <c r="Y122" i="93"/>
  <c r="X138" i="87"/>
  <c r="AB66" i="88"/>
  <c r="X130" i="94"/>
  <c r="O153" i="94"/>
  <c r="X156" i="84"/>
  <c r="O126" i="81"/>
  <c r="L89" i="87"/>
  <c r="Q98" i="74"/>
  <c r="Y21" i="94"/>
  <c r="X117" i="91"/>
  <c r="O85" i="91"/>
  <c r="Z128" i="87"/>
  <c r="P117" i="88"/>
  <c r="M59" i="85"/>
  <c r="AA129" i="84"/>
  <c r="P166" i="89"/>
  <c r="Y86" i="93"/>
  <c r="AB152" i="89"/>
  <c r="AA128" i="94"/>
  <c r="Z79" i="93"/>
  <c r="P157" i="91"/>
  <c r="Q35" i="74"/>
  <c r="O33" i="84"/>
  <c r="P141" i="84"/>
  <c r="O164" i="91"/>
  <c r="O88" i="87"/>
  <c r="N21" i="85"/>
  <c r="Q163" i="87"/>
  <c r="AB37" i="92"/>
  <c r="AB35" i="94"/>
  <c r="AB33" i="92"/>
  <c r="Z157" i="83"/>
  <c r="P13" i="88"/>
  <c r="Q185" i="91"/>
  <c r="Z75" i="85"/>
  <c r="Q105" i="83"/>
  <c r="AA49" i="82"/>
  <c r="P109" i="89"/>
  <c r="Q157" i="89"/>
  <c r="AA166" i="92"/>
  <c r="Y171" i="81"/>
  <c r="O79" i="74"/>
  <c r="AA155" i="74"/>
  <c r="Q71" i="85"/>
  <c r="O167" i="88"/>
  <c r="Y156" i="83"/>
  <c r="P51" i="94"/>
  <c r="Q157" i="84"/>
  <c r="T156" i="83"/>
  <c r="AA90" i="87"/>
  <c r="Z84" i="82"/>
  <c r="Z31" i="85"/>
  <c r="T174" i="85"/>
  <c r="Y164" i="94"/>
  <c r="AA139" i="83"/>
  <c r="P167" i="93"/>
  <c r="Z69" i="94"/>
  <c r="AA23" i="88"/>
  <c r="Q184" i="93"/>
  <c r="O89" i="93"/>
  <c r="AB80" i="84"/>
  <c r="T180" i="88"/>
  <c r="AA67" i="85"/>
  <c r="O102" i="81"/>
  <c r="Z72" i="91"/>
  <c r="P156" i="74"/>
  <c r="Y85" i="89"/>
  <c r="O61" i="89"/>
  <c r="T114" i="83"/>
  <c r="P64" i="93"/>
  <c r="AA68" i="82"/>
  <c r="AA83" i="91"/>
  <c r="AB80" i="92"/>
  <c r="AB126" i="94"/>
  <c r="Y19" i="84"/>
  <c r="O97" i="88"/>
  <c r="N177" i="89"/>
  <c r="AA23" i="87"/>
  <c r="O147" i="87"/>
  <c r="L64" i="82"/>
  <c r="Y66" i="93"/>
  <c r="Z147" i="74"/>
  <c r="Y99" i="94"/>
  <c r="Q123" i="91"/>
  <c r="Y170" i="82"/>
  <c r="Y21" i="81"/>
  <c r="AB91" i="84"/>
  <c r="O79" i="91"/>
  <c r="AB95" i="93"/>
  <c r="Y35" i="88"/>
  <c r="AB158" i="84"/>
  <c r="L144" i="93"/>
  <c r="T180" i="81"/>
  <c r="Z87" i="93"/>
  <c r="T135" i="84"/>
  <c r="X21" i="88"/>
  <c r="P117" i="85"/>
  <c r="L145" i="87"/>
  <c r="Z101" i="93"/>
  <c r="Q131" i="93"/>
  <c r="Z91" i="91"/>
  <c r="AA82" i="74"/>
  <c r="P144" i="87"/>
  <c r="AA177" i="88"/>
  <c r="L99" i="87"/>
  <c r="AA77" i="85"/>
  <c r="T66" i="84"/>
  <c r="O118" i="83"/>
  <c r="Y102" i="91"/>
  <c r="O81" i="74"/>
  <c r="Z86" i="81"/>
  <c r="Y51" i="87"/>
  <c r="AB101" i="83"/>
  <c r="Y19" i="88"/>
  <c r="N51" i="87"/>
  <c r="AA176" i="92"/>
  <c r="P165" i="85"/>
  <c r="Q17" i="89"/>
  <c r="AA47" i="81"/>
  <c r="Y76" i="88"/>
  <c r="P141" i="94"/>
  <c r="X160" i="83"/>
  <c r="AB13" i="93"/>
  <c r="L169" i="94"/>
  <c r="N96" i="92"/>
  <c r="AA134" i="82"/>
  <c r="Q134" i="85"/>
  <c r="AB136" i="89"/>
  <c r="AB142" i="93"/>
  <c r="P49" i="87"/>
  <c r="X149" i="81"/>
  <c r="T66" i="91"/>
  <c r="AA69" i="91"/>
  <c r="X148" i="85"/>
  <c r="O78" i="85"/>
  <c r="AB177" i="87"/>
  <c r="N45" i="92"/>
  <c r="Q106" i="84"/>
  <c r="T108" i="89"/>
  <c r="T162" i="87"/>
  <c r="N108" i="91"/>
  <c r="Y45" i="94"/>
  <c r="Q80" i="84"/>
  <c r="X132" i="93"/>
  <c r="Y135" i="81"/>
  <c r="P121" i="82"/>
  <c r="O19" i="88"/>
  <c r="Q114" i="81"/>
  <c r="Q27" i="89"/>
  <c r="AA154" i="91"/>
  <c r="AB75" i="82"/>
  <c r="AA156" i="89"/>
  <c r="AB75" i="84"/>
  <c r="AB125" i="89"/>
  <c r="Y175" i="82"/>
  <c r="L147" i="91"/>
  <c r="Z127" i="92"/>
  <c r="O64" i="91"/>
  <c r="AA47" i="88"/>
  <c r="X144" i="83"/>
  <c r="P39" i="84"/>
  <c r="X125" i="82"/>
  <c r="Y72" i="88"/>
  <c r="L136" i="93"/>
  <c r="Y138" i="87"/>
  <c r="Y166" i="85"/>
  <c r="AB133" i="81"/>
  <c r="Q37" i="88"/>
  <c r="X19" i="84"/>
  <c r="AA132" i="82"/>
  <c r="Y126" i="94"/>
  <c r="O37" i="82"/>
  <c r="AB137" i="91"/>
  <c r="Q79" i="88"/>
  <c r="M13" i="88"/>
  <c r="X78" i="92"/>
  <c r="X124" i="83"/>
  <c r="O114" i="74"/>
  <c r="P77" i="91"/>
  <c r="P29" i="88"/>
  <c r="L149" i="83"/>
  <c r="O77" i="89"/>
  <c r="AB94" i="81"/>
  <c r="Q119" i="85"/>
  <c r="Q141" i="94"/>
  <c r="P162" i="92"/>
  <c r="N90" i="92"/>
  <c r="Q182" i="85"/>
  <c r="Q122" i="83"/>
  <c r="P176" i="74"/>
  <c r="Z73" i="93"/>
  <c r="P89" i="83"/>
  <c r="P96" i="92"/>
  <c r="AB74" i="93"/>
  <c r="O39" i="82"/>
  <c r="AA132" i="88"/>
  <c r="P159" i="91"/>
  <c r="O151" i="92"/>
  <c r="O86" i="88"/>
  <c r="N168" i="87"/>
  <c r="X146" i="87"/>
  <c r="P116" i="93"/>
  <c r="Y127" i="81"/>
  <c r="Z21" i="87"/>
  <c r="AA147" i="92"/>
  <c r="X159" i="89"/>
  <c r="O19" i="74"/>
  <c r="Y102" i="92"/>
  <c r="Z93" i="83"/>
  <c r="L164" i="88"/>
  <c r="P90" i="89"/>
  <c r="AA59" i="82"/>
  <c r="Y96" i="82"/>
  <c r="O59" i="94"/>
  <c r="Y132" i="88"/>
  <c r="L149" i="91"/>
  <c r="Q174" i="82"/>
  <c r="X86" i="94"/>
  <c r="AB104" i="89"/>
  <c r="Z17" i="87"/>
  <c r="Y169" i="84"/>
  <c r="Z131" i="82"/>
  <c r="P173" i="89"/>
  <c r="X150" i="93"/>
  <c r="P144" i="91"/>
  <c r="AA100" i="81"/>
  <c r="Q154" i="87"/>
  <c r="T171" i="74"/>
  <c r="X43" i="89"/>
  <c r="Z97" i="83"/>
  <c r="Q151" i="84"/>
  <c r="P143" i="85"/>
  <c r="Z99" i="89"/>
  <c r="Y144" i="74"/>
  <c r="Z76" i="85"/>
  <c r="N123" i="85"/>
  <c r="AB85" i="89"/>
  <c r="T99" i="85"/>
  <c r="AA164" i="94"/>
  <c r="Q109" i="74"/>
  <c r="L118" i="84"/>
  <c r="Z132" i="88"/>
  <c r="X15" i="82"/>
  <c r="L65" i="91"/>
  <c r="AA33" i="91"/>
  <c r="L104" i="87"/>
  <c r="T27" i="91"/>
  <c r="Q181" i="81"/>
  <c r="L144" i="92"/>
  <c r="Y164" i="87"/>
  <c r="X112" i="92"/>
  <c r="X105" i="84"/>
  <c r="Z76" i="84"/>
  <c r="O129" i="74"/>
  <c r="X122" i="91"/>
  <c r="X101" i="83"/>
  <c r="Y81" i="84"/>
  <c r="P176" i="85"/>
  <c r="L86" i="92"/>
  <c r="O153" i="74"/>
  <c r="O162" i="88"/>
  <c r="P182" i="81"/>
  <c r="O9" i="83"/>
  <c r="O65" i="82"/>
  <c r="Y165" i="92"/>
  <c r="M57" i="87"/>
  <c r="X70" i="84"/>
  <c r="Y15" i="89"/>
  <c r="Z25" i="82"/>
  <c r="O82" i="88"/>
  <c r="P142" i="87"/>
  <c r="N45" i="81"/>
  <c r="X111" i="81"/>
  <c r="P111" i="92"/>
  <c r="AB143" i="88"/>
  <c r="O154" i="88"/>
  <c r="Q105" i="82"/>
  <c r="O168" i="81"/>
  <c r="Z148" i="91"/>
  <c r="M53" i="92"/>
  <c r="O169" i="81"/>
  <c r="O152" i="84"/>
  <c r="Y95" i="81"/>
  <c r="P90" i="84"/>
  <c r="AA133" i="82"/>
  <c r="Z99" i="93"/>
  <c r="L91" i="92"/>
  <c r="AA115" i="74"/>
  <c r="Z17" i="82"/>
  <c r="T135" i="83"/>
  <c r="L64" i="92"/>
  <c r="Z117" i="84"/>
  <c r="Q162" i="81"/>
  <c r="AA43" i="84"/>
  <c r="L81" i="82"/>
  <c r="L172" i="93"/>
  <c r="T90" i="85"/>
  <c r="Z9" i="94"/>
  <c r="Q86" i="85"/>
  <c r="L156" i="82"/>
  <c r="P170" i="85"/>
  <c r="X173" i="85"/>
  <c r="T78" i="84"/>
  <c r="Y162" i="82"/>
  <c r="P152" i="85"/>
  <c r="L70" i="82"/>
  <c r="Y180" i="83"/>
  <c r="AB177" i="82"/>
  <c r="Z116" i="84"/>
  <c r="P81" i="92"/>
  <c r="AB19" i="87"/>
  <c r="P17" i="84"/>
  <c r="T57" i="84"/>
  <c r="X31" i="91"/>
  <c r="L136" i="83"/>
  <c r="P57" i="82"/>
  <c r="X138" i="82"/>
  <c r="Q179" i="85"/>
  <c r="X103" i="74"/>
  <c r="L124" i="94"/>
  <c r="L94" i="74"/>
  <c r="T159" i="85"/>
  <c r="Z31" i="84"/>
  <c r="Y162" i="84"/>
  <c r="AA122" i="82"/>
  <c r="L181" i="88"/>
  <c r="Y89" i="88"/>
  <c r="P61" i="87"/>
  <c r="O152" i="93"/>
  <c r="P102" i="91"/>
  <c r="O145" i="85"/>
  <c r="Q33" i="94"/>
  <c r="X103" i="94"/>
  <c r="Q153" i="88"/>
  <c r="Q39" i="87"/>
  <c r="Z144" i="87"/>
  <c r="Y99" i="84"/>
  <c r="Q61" i="85"/>
  <c r="AB87" i="88"/>
  <c r="Q70" i="82"/>
  <c r="AB100" i="92"/>
  <c r="O84" i="89"/>
  <c r="Z131" i="88"/>
  <c r="X174" i="82"/>
  <c r="Y94" i="84"/>
  <c r="X93" i="85"/>
  <c r="T153" i="92"/>
  <c r="AA101" i="92"/>
  <c r="AB49" i="89"/>
  <c r="O82" i="89"/>
  <c r="P111" i="89"/>
  <c r="Y91" i="88"/>
  <c r="AB49" i="92"/>
  <c r="L139" i="94"/>
  <c r="AB96" i="91"/>
  <c r="Q55" i="85"/>
  <c r="Z79" i="92"/>
  <c r="AA168" i="88"/>
  <c r="P171" i="85"/>
  <c r="Y105" i="85"/>
  <c r="X117" i="85"/>
  <c r="AB117" i="84"/>
  <c r="N45" i="74"/>
  <c r="O120" i="82"/>
  <c r="AA47" i="89"/>
  <c r="Y45" i="84"/>
  <c r="Y17" i="93"/>
  <c r="Q89" i="82"/>
  <c r="Q23" i="92"/>
  <c r="P120" i="82"/>
  <c r="Z145" i="91"/>
  <c r="Y172" i="74"/>
  <c r="Z180" i="81"/>
  <c r="L82" i="91"/>
  <c r="T93" i="74"/>
  <c r="Q74" i="81"/>
  <c r="AA174" i="81"/>
  <c r="Y75" i="94"/>
  <c r="T162" i="89"/>
  <c r="Y57" i="94"/>
  <c r="Z19" i="88"/>
  <c r="Z149" i="87"/>
  <c r="P151" i="81"/>
  <c r="M35" i="84"/>
  <c r="N51" i="81"/>
  <c r="Z119" i="93"/>
  <c r="P94" i="94"/>
  <c r="O92" i="85"/>
  <c r="AB97" i="89"/>
  <c r="P41" i="88"/>
  <c r="L143" i="92"/>
  <c r="AB129" i="94"/>
  <c r="AA118" i="84"/>
  <c r="O100" i="83"/>
  <c r="L158" i="93"/>
  <c r="Z124" i="88"/>
  <c r="L125" i="88"/>
  <c r="O139" i="74"/>
  <c r="L89" i="93"/>
  <c r="AA156" i="82"/>
  <c r="AA25" i="85"/>
  <c r="P184" i="93"/>
  <c r="Y177" i="82"/>
  <c r="AA124" i="91"/>
  <c r="O13" i="74"/>
  <c r="Q69" i="92"/>
  <c r="Q23" i="83"/>
  <c r="Q136" i="88"/>
  <c r="O67" i="91"/>
  <c r="Y171" i="91"/>
  <c r="Y63" i="91"/>
  <c r="Q131" i="89"/>
  <c r="N185" i="93"/>
  <c r="Z59" i="88"/>
  <c r="AA76" i="82"/>
  <c r="Z145" i="81"/>
  <c r="Q123" i="81"/>
  <c r="X103" i="83"/>
  <c r="P77" i="74"/>
  <c r="P160" i="92"/>
  <c r="AB39" i="93"/>
  <c r="Q145" i="81"/>
  <c r="O53" i="82"/>
  <c r="AA41" i="84"/>
  <c r="Y11" i="81"/>
  <c r="AB147" i="84"/>
  <c r="AA164" i="93"/>
  <c r="Z134" i="74"/>
  <c r="Q126" i="92"/>
  <c r="O147" i="94"/>
  <c r="X100" i="84"/>
  <c r="O167" i="92"/>
  <c r="T105" i="85"/>
  <c r="O19" i="82"/>
  <c r="AB47" i="88"/>
  <c r="O47" i="74"/>
  <c r="Y65" i="82"/>
  <c r="Z70" i="88"/>
  <c r="Y23" i="87"/>
  <c r="X136" i="83"/>
  <c r="AB157" i="88"/>
  <c r="M23" i="87"/>
  <c r="AB85" i="82"/>
  <c r="X76" i="94"/>
  <c r="Q122" i="88"/>
  <c r="Z99" i="82"/>
  <c r="M33" i="85"/>
  <c r="N159" i="74"/>
  <c r="AA78" i="85"/>
  <c r="O178" i="88"/>
  <c r="Y135" i="82"/>
  <c r="Q152" i="94"/>
  <c r="Y51" i="94"/>
  <c r="Q21" i="87"/>
  <c r="L75" i="82"/>
  <c r="O183" i="91"/>
  <c r="X149" i="83"/>
  <c r="X100" i="88"/>
  <c r="AA126" i="85"/>
  <c r="Y108" i="93"/>
  <c r="O43" i="82"/>
  <c r="T27" i="85"/>
  <c r="T66" i="93"/>
  <c r="O105" i="82"/>
  <c r="Q118" i="91"/>
  <c r="X61" i="92"/>
  <c r="O137" i="89"/>
  <c r="Q168" i="89"/>
  <c r="L82" i="84"/>
  <c r="O132" i="82"/>
  <c r="Q165" i="87"/>
  <c r="P157" i="85"/>
  <c r="Y31" i="92"/>
  <c r="Y99" i="82"/>
  <c r="M61" i="87"/>
  <c r="X90" i="83"/>
  <c r="AB19" i="81"/>
  <c r="P117" i="82"/>
  <c r="AA131" i="89"/>
  <c r="X25" i="93"/>
  <c r="L124" i="87"/>
  <c r="N129" i="84"/>
  <c r="Q119" i="74"/>
  <c r="AB74" i="91"/>
  <c r="O124" i="82"/>
  <c r="L84" i="92"/>
  <c r="N51" i="89"/>
  <c r="O75" i="85"/>
  <c r="T93" i="93"/>
  <c r="O90" i="83"/>
  <c r="Y61" i="82"/>
  <c r="O156" i="94"/>
  <c r="O166" i="88"/>
  <c r="P86" i="87"/>
  <c r="X114" i="85"/>
  <c r="N123" i="84"/>
  <c r="Y134" i="81"/>
  <c r="Q166" i="88"/>
  <c r="T177" i="89"/>
  <c r="Q47" i="74"/>
  <c r="Q180" i="93"/>
  <c r="X156" i="74"/>
  <c r="N144" i="93"/>
  <c r="AA66" i="82"/>
  <c r="AA27" i="87"/>
  <c r="L185" i="89"/>
  <c r="Q88" i="87"/>
  <c r="T171" i="83"/>
  <c r="M61" i="91"/>
  <c r="Z23" i="92"/>
  <c r="X150" i="89"/>
  <c r="P115" i="83"/>
  <c r="Y122" i="87"/>
  <c r="X161" i="92"/>
  <c r="L66" i="89"/>
  <c r="Y151" i="74"/>
  <c r="O131" i="88"/>
  <c r="Q27" i="94"/>
  <c r="O110" i="92"/>
  <c r="Q163" i="91"/>
  <c r="P174" i="85"/>
  <c r="Y11" i="94"/>
  <c r="AB86" i="88"/>
  <c r="P118" i="92"/>
  <c r="AA91" i="92"/>
  <c r="P116" i="74"/>
  <c r="Q113" i="91"/>
  <c r="Q78" i="91"/>
  <c r="L172" i="85"/>
  <c r="P103" i="88"/>
  <c r="Y117" i="89"/>
  <c r="O23" i="74"/>
  <c r="L68" i="82"/>
  <c r="Q78" i="81"/>
  <c r="N120" i="89"/>
  <c r="N123" i="88"/>
  <c r="P19" i="89"/>
  <c r="L114" i="91"/>
  <c r="Q157" i="94"/>
  <c r="AB150" i="91"/>
  <c r="Q104" i="82"/>
  <c r="Q132" i="82"/>
  <c r="P128" i="89"/>
  <c r="N87" i="82"/>
  <c r="AB162" i="89"/>
  <c r="AB99" i="89"/>
  <c r="P49" i="89"/>
  <c r="O69" i="83"/>
  <c r="X35" i="74"/>
  <c r="Z152" i="92"/>
  <c r="Y152" i="94"/>
  <c r="AB72" i="88"/>
  <c r="O160" i="91"/>
  <c r="Y70" i="94"/>
  <c r="AB177" i="89"/>
  <c r="M37" i="83"/>
  <c r="L68" i="93"/>
  <c r="Z104" i="87"/>
  <c r="P103" i="91"/>
  <c r="AA25" i="89"/>
  <c r="AA173" i="93"/>
  <c r="AB157" i="83"/>
  <c r="N111" i="91"/>
  <c r="Y43" i="87"/>
  <c r="O128" i="82"/>
  <c r="AA25" i="83"/>
  <c r="M45" i="85"/>
  <c r="N132" i="87"/>
  <c r="AA73" i="93"/>
  <c r="Z124" i="93"/>
  <c r="AB117" i="89"/>
  <c r="Q74" i="87"/>
  <c r="Y139" i="91"/>
  <c r="AB82" i="88"/>
  <c r="AB85" i="85"/>
  <c r="AA167" i="82"/>
  <c r="O123" i="87"/>
  <c r="P49" i="92"/>
  <c r="L93" i="81"/>
  <c r="X25" i="84"/>
  <c r="Y86" i="84"/>
  <c r="O141" i="82"/>
  <c r="P11" i="89"/>
  <c r="L178" i="82"/>
  <c r="X144" i="89"/>
  <c r="AA94" i="91"/>
  <c r="AA155" i="84"/>
  <c r="O93" i="94"/>
  <c r="X126" i="91"/>
  <c r="Q85" i="88"/>
  <c r="Q149" i="81"/>
  <c r="AB143" i="82"/>
  <c r="AB49" i="94"/>
  <c r="Q23" i="87"/>
  <c r="L104" i="74"/>
  <c r="Q104" i="85"/>
  <c r="Y103" i="89"/>
  <c r="O108" i="93"/>
  <c r="P124" i="94"/>
  <c r="Q120" i="85"/>
  <c r="P113" i="82"/>
  <c r="AA145" i="87"/>
  <c r="O68" i="83"/>
  <c r="Q55" i="89"/>
  <c r="X133" i="84"/>
  <c r="Q76" i="92"/>
  <c r="Y128" i="74"/>
  <c r="T174" i="81"/>
  <c r="T150" i="84"/>
  <c r="O151" i="83"/>
  <c r="AB63" i="88"/>
  <c r="O139" i="94"/>
  <c r="Z68" i="89"/>
  <c r="P151" i="93"/>
  <c r="N135" i="85"/>
  <c r="P167" i="88"/>
  <c r="L165" i="92"/>
  <c r="AA171" i="94"/>
  <c r="Z158" i="83"/>
  <c r="P53" i="88"/>
  <c r="L111" i="91"/>
  <c r="L142" i="82"/>
  <c r="O140" i="82"/>
  <c r="AA129" i="91"/>
  <c r="Z80" i="82"/>
  <c r="M57" i="83"/>
  <c r="Q70" i="87"/>
  <c r="T99" i="82"/>
  <c r="Q53" i="81"/>
  <c r="L92" i="89"/>
  <c r="Y29" i="85"/>
  <c r="P33" i="74"/>
  <c r="X163" i="82"/>
  <c r="X99" i="91"/>
  <c r="P126" i="93"/>
  <c r="Y83" i="82"/>
  <c r="AB92" i="93"/>
  <c r="P72" i="91"/>
  <c r="O167" i="84"/>
  <c r="X53" i="85"/>
  <c r="Z100" i="82"/>
  <c r="O136" i="87"/>
  <c r="T21" i="89"/>
  <c r="P87" i="81"/>
  <c r="AB91" i="93"/>
  <c r="M25" i="92"/>
  <c r="X53" i="74"/>
  <c r="P142" i="82"/>
  <c r="T120" i="87"/>
  <c r="AA25" i="94"/>
  <c r="O176" i="88"/>
  <c r="Z115" i="81"/>
  <c r="Y31" i="83"/>
  <c r="AB138" i="92"/>
  <c r="Z135" i="88"/>
  <c r="AB162" i="93"/>
  <c r="O93" i="84"/>
  <c r="L92" i="91"/>
  <c r="Y88" i="93"/>
  <c r="L112" i="89"/>
  <c r="O185" i="84"/>
  <c r="L174" i="85"/>
  <c r="N33" i="89"/>
  <c r="P163" i="87"/>
  <c r="P152" i="93"/>
  <c r="AB97" i="91"/>
  <c r="L173" i="93"/>
  <c r="T150" i="87"/>
  <c r="M35" i="82"/>
  <c r="P139" i="85"/>
  <c r="Q166" i="87"/>
  <c r="AA67" i="83"/>
  <c r="P13" i="74"/>
  <c r="AA159" i="91"/>
  <c r="O33" i="94"/>
  <c r="AA157" i="92"/>
  <c r="Y39" i="85"/>
  <c r="Y175" i="87"/>
  <c r="Q80" i="81"/>
  <c r="N156" i="89"/>
  <c r="L95" i="92"/>
  <c r="AA150" i="87"/>
  <c r="Z102" i="88"/>
  <c r="P135" i="92"/>
  <c r="AA173" i="84"/>
  <c r="O69" i="88"/>
  <c r="Q107" i="94"/>
  <c r="P148" i="89"/>
  <c r="X84" i="82"/>
  <c r="Y163" i="93"/>
  <c r="L163" i="82"/>
  <c r="L166" i="91"/>
  <c r="X19" i="91"/>
  <c r="O87" i="83"/>
  <c r="AA106" i="89"/>
  <c r="P146" i="85"/>
  <c r="P13" i="85"/>
  <c r="L71" i="81"/>
  <c r="Z177" i="89"/>
  <c r="Q97" i="82"/>
  <c r="Y13" i="93"/>
  <c r="AA65" i="94"/>
  <c r="Q138" i="92"/>
  <c r="Z164" i="81"/>
  <c r="O112" i="92"/>
  <c r="Y61" i="81"/>
  <c r="Q68" i="83"/>
  <c r="T57" i="89"/>
  <c r="Y31" i="84"/>
  <c r="X168" i="84"/>
  <c r="Q159" i="88"/>
  <c r="L63" i="84"/>
  <c r="AB66" i="87"/>
  <c r="Z129" i="85"/>
  <c r="Q178" i="88"/>
  <c r="AB85" i="92"/>
  <c r="N144" i="88"/>
  <c r="Y134" i="82"/>
  <c r="Y172" i="94"/>
  <c r="AA41" i="89"/>
  <c r="AA49" i="94"/>
  <c r="AA73" i="91"/>
  <c r="AA110" i="82"/>
  <c r="AA67" i="91"/>
  <c r="P143" i="74"/>
  <c r="P104" i="84"/>
  <c r="AA120" i="84"/>
  <c r="AB39" i="89"/>
  <c r="P63" i="88"/>
  <c r="AB21" i="82"/>
  <c r="Z174" i="92"/>
  <c r="Y137" i="83"/>
  <c r="AA43" i="94"/>
  <c r="X160" i="87"/>
  <c r="AB53" i="92"/>
  <c r="AA79" i="92"/>
  <c r="O15" i="89"/>
  <c r="Q79" i="85"/>
  <c r="Y152" i="83"/>
  <c r="Z142" i="81"/>
  <c r="Z111" i="81"/>
  <c r="X59" i="84"/>
  <c r="O111" i="92"/>
  <c r="L80" i="92"/>
  <c r="AA79" i="81"/>
  <c r="P127" i="74"/>
  <c r="O121" i="92"/>
  <c r="AA87" i="91"/>
  <c r="Q41" i="83"/>
  <c r="Q161" i="74"/>
  <c r="Z59" i="82"/>
  <c r="X49" i="84"/>
  <c r="AA160" i="89"/>
  <c r="AB19" i="93"/>
  <c r="AB103" i="92"/>
  <c r="O127" i="93"/>
  <c r="X143" i="83"/>
  <c r="Q151" i="93"/>
  <c r="Z70" i="83"/>
  <c r="Q148" i="87"/>
  <c r="Z128" i="74"/>
  <c r="N45" i="91"/>
  <c r="Z77" i="81"/>
  <c r="Y37" i="84"/>
  <c r="Y140" i="85"/>
  <c r="P9" i="82"/>
  <c r="O112" i="88"/>
  <c r="Z73" i="92"/>
  <c r="Q183" i="88"/>
  <c r="AA78" i="89"/>
  <c r="T66" i="89"/>
  <c r="AA121" i="88"/>
  <c r="Y84" i="84"/>
  <c r="AA80" i="83"/>
  <c r="Y159" i="93"/>
  <c r="Q185" i="84"/>
  <c r="X68" i="91"/>
  <c r="X57" i="89"/>
  <c r="Y180" i="74"/>
  <c r="Y147" i="91"/>
  <c r="Y107" i="88"/>
  <c r="Q43" i="91"/>
  <c r="P129" i="92"/>
  <c r="AA96" i="89"/>
  <c r="Z141" i="74"/>
  <c r="AB68" i="85"/>
  <c r="Z134" i="85"/>
  <c r="X78" i="87"/>
  <c r="O87" i="89"/>
  <c r="M53" i="84"/>
  <c r="O184" i="74"/>
  <c r="P76" i="94"/>
  <c r="O81" i="81"/>
  <c r="Q152" i="84"/>
  <c r="O133" i="84"/>
  <c r="AA141" i="84"/>
  <c r="Q165" i="91"/>
  <c r="L133" i="89"/>
  <c r="Z152" i="81"/>
  <c r="AA15" i="85"/>
  <c r="AA35" i="92"/>
  <c r="L112" i="93"/>
  <c r="Y111" i="91"/>
  <c r="X86" i="89"/>
  <c r="Q138" i="87"/>
  <c r="Q168" i="81"/>
  <c r="AB108" i="93"/>
  <c r="Y109" i="88"/>
  <c r="X137" i="88"/>
  <c r="O163" i="89"/>
  <c r="X136" i="89"/>
  <c r="P170" i="81"/>
  <c r="Q64" i="87"/>
  <c r="X119" i="88"/>
  <c r="Z168" i="81"/>
  <c r="AB156" i="84"/>
  <c r="AA88" i="92"/>
  <c r="Y168" i="82"/>
  <c r="Y45" i="88"/>
  <c r="Y91" i="74"/>
  <c r="L67" i="87"/>
  <c r="AB69" i="85"/>
  <c r="O98" i="84"/>
  <c r="X112" i="87"/>
  <c r="P118" i="84"/>
  <c r="AA169" i="83"/>
  <c r="P147" i="91"/>
  <c r="T102" i="74"/>
  <c r="O107" i="84"/>
  <c r="Z41" i="74"/>
  <c r="O117" i="88"/>
  <c r="Y71" i="94"/>
  <c r="AA84" i="91"/>
  <c r="O155" i="89"/>
  <c r="Y128" i="85"/>
  <c r="P88" i="84"/>
  <c r="O140" i="85"/>
  <c r="AB123" i="82"/>
  <c r="L184" i="89"/>
  <c r="Y71" i="82"/>
  <c r="Y153" i="87"/>
  <c r="N165" i="82"/>
  <c r="Y133" i="87"/>
  <c r="X138" i="94"/>
  <c r="Y85" i="85"/>
  <c r="AB114" i="92"/>
  <c r="Z70" i="84"/>
  <c r="Q111" i="87"/>
  <c r="Y96" i="87"/>
  <c r="L98" i="83"/>
  <c r="Y101" i="92"/>
  <c r="AA142" i="81"/>
  <c r="Z121" i="84"/>
  <c r="L73" i="82"/>
  <c r="Q17" i="87"/>
  <c r="X108" i="81"/>
  <c r="T162" i="82"/>
  <c r="Z9" i="82"/>
  <c r="L140" i="93"/>
  <c r="Y55" i="91"/>
  <c r="Q148" i="92"/>
  <c r="Z15" i="92"/>
  <c r="M13" i="83"/>
  <c r="N135" i="84"/>
  <c r="P104" i="82"/>
  <c r="P144" i="85"/>
  <c r="AA132" i="87"/>
  <c r="O122" i="82"/>
  <c r="Y96" i="83"/>
  <c r="L95" i="91"/>
  <c r="X161" i="85"/>
  <c r="L141" i="83"/>
  <c r="AA93" i="83"/>
  <c r="Y113" i="88"/>
  <c r="Z113" i="94"/>
  <c r="O156" i="89"/>
  <c r="Q93" i="74"/>
  <c r="N138" i="81"/>
  <c r="L163" i="87"/>
  <c r="Z170" i="94"/>
  <c r="AB175" i="81"/>
  <c r="Q93" i="83"/>
  <c r="Q144" i="74"/>
  <c r="AA31" i="87"/>
  <c r="O33" i="89"/>
  <c r="AB168" i="93"/>
  <c r="O145" i="84"/>
  <c r="AA127" i="85"/>
  <c r="O71" i="87"/>
  <c r="O160" i="82"/>
  <c r="L129" i="87"/>
  <c r="AB70" i="85"/>
  <c r="AB148" i="84"/>
  <c r="Y100" i="81"/>
  <c r="P173" i="93"/>
  <c r="X110" i="84"/>
  <c r="X138" i="88"/>
  <c r="P105" i="74"/>
  <c r="O137" i="91"/>
  <c r="Y167" i="84"/>
  <c r="Z25" i="83"/>
  <c r="AB136" i="85"/>
  <c r="O114" i="85"/>
  <c r="X146" i="94"/>
  <c r="Q158" i="94"/>
  <c r="AB99" i="87"/>
  <c r="L185" i="74"/>
  <c r="O110" i="88"/>
  <c r="Q175" i="82"/>
  <c r="AA43" i="82"/>
  <c r="Q90" i="87"/>
  <c r="AA138" i="94"/>
  <c r="AB163" i="91"/>
  <c r="Y133" i="83"/>
  <c r="T51" i="91"/>
  <c r="Q23" i="74"/>
  <c r="Y93" i="88"/>
  <c r="AA89" i="92"/>
  <c r="P147" i="82"/>
  <c r="X138" i="84"/>
  <c r="AA111" i="81"/>
  <c r="L176" i="92"/>
  <c r="P102" i="83"/>
  <c r="X138" i="91"/>
  <c r="P35" i="88"/>
  <c r="O175" i="93"/>
  <c r="Q149" i="89"/>
  <c r="M31" i="81"/>
  <c r="M11" i="85"/>
  <c r="Y133" i="82"/>
  <c r="M25" i="91"/>
  <c r="AA31" i="84"/>
  <c r="O151" i="82"/>
  <c r="Y55" i="89"/>
  <c r="Z9" i="92"/>
  <c r="X27" i="91"/>
  <c r="AA124" i="84"/>
  <c r="M47" i="84"/>
  <c r="AB45" i="93"/>
  <c r="Q170" i="91"/>
  <c r="O9" i="82"/>
  <c r="P174" i="81"/>
  <c r="L130" i="88"/>
  <c r="L143" i="82"/>
  <c r="AA122" i="91"/>
  <c r="X105" i="92"/>
  <c r="Y131" i="88"/>
  <c r="Q90" i="81"/>
  <c r="AB9" i="92"/>
  <c r="O111" i="74"/>
  <c r="Y29" i="88"/>
  <c r="X13" i="82"/>
  <c r="L180" i="82"/>
  <c r="T153" i="93"/>
  <c r="Z104" i="82"/>
  <c r="T159" i="83"/>
  <c r="L129" i="93"/>
  <c r="AB29" i="88"/>
  <c r="AA47" i="93"/>
  <c r="AA23" i="91"/>
  <c r="AB157" i="85"/>
  <c r="AA97" i="85"/>
  <c r="Z94" i="91"/>
  <c r="O142" i="81"/>
  <c r="O39" i="91"/>
  <c r="AA79" i="83"/>
  <c r="N168" i="89"/>
  <c r="X21" i="87"/>
  <c r="O177" i="92"/>
  <c r="P63" i="87"/>
  <c r="O129" i="82"/>
  <c r="Q100" i="83"/>
  <c r="AB59" i="88"/>
  <c r="Q53" i="93"/>
  <c r="AB81" i="82"/>
  <c r="Q103" i="74"/>
  <c r="L133" i="94"/>
  <c r="Y109" i="91"/>
  <c r="M55" i="84"/>
  <c r="M57" i="85"/>
  <c r="AA29" i="81"/>
  <c r="Q65" i="74"/>
  <c r="AB136" i="88"/>
  <c r="Y127" i="93"/>
  <c r="N78" i="91"/>
  <c r="O87" i="87"/>
  <c r="L149" i="74"/>
  <c r="Y21" i="85"/>
  <c r="O127" i="82"/>
  <c r="Q138" i="74"/>
  <c r="Z112" i="93"/>
  <c r="P95" i="81"/>
  <c r="X137" i="82"/>
  <c r="AB96" i="81"/>
  <c r="O127" i="83"/>
  <c r="O39" i="84"/>
  <c r="O123" i="81"/>
  <c r="X99" i="88"/>
  <c r="M11" i="81"/>
  <c r="X149" i="89"/>
  <c r="AA47" i="82"/>
  <c r="X168" i="81"/>
  <c r="O100" i="87"/>
  <c r="N174" i="85"/>
  <c r="T174" i="83"/>
  <c r="T129" i="92"/>
  <c r="Q129" i="82"/>
  <c r="N78" i="81"/>
  <c r="Y19" i="93"/>
  <c r="X43" i="84"/>
  <c r="AA134" i="87"/>
  <c r="AB116" i="83"/>
  <c r="Y92" i="89"/>
  <c r="O152" i="83"/>
  <c r="X72" i="85"/>
  <c r="P88" i="74"/>
  <c r="Y123" i="85"/>
  <c r="Z155" i="88"/>
  <c r="AB55" i="92"/>
  <c r="X128" i="91"/>
  <c r="O156" i="82"/>
  <c r="O162" i="93"/>
  <c r="O17" i="92"/>
  <c r="AB95" i="82"/>
  <c r="AA162" i="81"/>
  <c r="AA64" i="82"/>
  <c r="M15" i="74"/>
  <c r="O84" i="85"/>
  <c r="Z114" i="84"/>
  <c r="L158" i="74"/>
  <c r="AB110" i="92"/>
  <c r="Q177" i="82"/>
  <c r="Z70" i="87"/>
  <c r="O13" i="94"/>
  <c r="AB168" i="83"/>
  <c r="P181" i="89"/>
  <c r="Z99" i="91"/>
  <c r="O49" i="81"/>
  <c r="L67" i="93"/>
  <c r="Q53" i="85"/>
  <c r="Z74" i="85"/>
  <c r="L128" i="93"/>
  <c r="O41" i="83"/>
  <c r="O94" i="85"/>
  <c r="L152" i="91"/>
  <c r="P86" i="74"/>
  <c r="AA149" i="84"/>
  <c r="Q148" i="81"/>
  <c r="Q88" i="91"/>
  <c r="Q66" i="74"/>
  <c r="X27" i="89"/>
  <c r="O112" i="85"/>
  <c r="Z172" i="92"/>
  <c r="T162" i="83"/>
  <c r="O69" i="92"/>
  <c r="P110" i="74"/>
  <c r="T78" i="89"/>
  <c r="O125" i="74"/>
  <c r="L143" i="84"/>
  <c r="O100" i="82"/>
  <c r="AA131" i="92"/>
  <c r="AB73" i="87"/>
  <c r="Y131" i="92"/>
  <c r="Q75" i="84"/>
  <c r="P35" i="89"/>
  <c r="O95" i="87"/>
  <c r="Y35" i="82"/>
  <c r="L93" i="82"/>
  <c r="Q9" i="74"/>
  <c r="Y85" i="93"/>
  <c r="Q98" i="82"/>
  <c r="AB118" i="83"/>
  <c r="Q113" i="84"/>
  <c r="Y39" i="89"/>
  <c r="AB102" i="87"/>
  <c r="AB144" i="93"/>
  <c r="P128" i="87"/>
  <c r="P155" i="92"/>
  <c r="Y119" i="89"/>
  <c r="N78" i="93"/>
  <c r="Z107" i="81"/>
  <c r="Y103" i="83"/>
  <c r="L79" i="89"/>
  <c r="AA120" i="87"/>
  <c r="L142" i="88"/>
  <c r="Q162" i="84"/>
  <c r="L175" i="88"/>
  <c r="AA161" i="93"/>
  <c r="X45" i="85"/>
  <c r="L71" i="82"/>
  <c r="AB111" i="84"/>
  <c r="Z112" i="83"/>
  <c r="X37" i="81"/>
  <c r="L96" i="81"/>
  <c r="N132" i="88"/>
  <c r="Z109" i="92"/>
  <c r="Q47" i="94"/>
  <c r="AB63" i="82"/>
  <c r="Y137" i="89"/>
  <c r="P138" i="81"/>
  <c r="T57" i="87"/>
  <c r="Y124" i="92"/>
  <c r="O174" i="88"/>
  <c r="Q104" i="94"/>
  <c r="M51" i="93"/>
  <c r="Y91" i="87"/>
  <c r="P117" i="89"/>
  <c r="Y49" i="91"/>
  <c r="Q118" i="88"/>
  <c r="P13" i="92"/>
  <c r="Y180" i="92"/>
  <c r="X100" i="89"/>
  <c r="Q117" i="85"/>
  <c r="P174" i="91"/>
  <c r="P160" i="88"/>
  <c r="AA134" i="84"/>
  <c r="P15" i="89"/>
  <c r="P159" i="88"/>
  <c r="Q144" i="84"/>
  <c r="AA78" i="88"/>
  <c r="O157" i="74"/>
  <c r="O51" i="94"/>
  <c r="Z123" i="84"/>
  <c r="O55" i="81"/>
  <c r="X95" i="85"/>
  <c r="N159" i="84"/>
  <c r="AA127" i="88"/>
  <c r="L179" i="88"/>
  <c r="N168" i="83"/>
  <c r="X25" i="82"/>
  <c r="O93" i="83"/>
  <c r="X55" i="74"/>
  <c r="AB143" i="81"/>
  <c r="Q167" i="91"/>
  <c r="L117" i="91"/>
  <c r="P117" i="94"/>
  <c r="P121" i="89"/>
  <c r="AA101" i="91"/>
  <c r="AB59" i="87"/>
  <c r="L154" i="82"/>
  <c r="Z158" i="94"/>
  <c r="Z172" i="89"/>
  <c r="Z80" i="81"/>
  <c r="X117" i="82"/>
  <c r="O144" i="85"/>
  <c r="L69" i="82"/>
  <c r="T162" i="74"/>
  <c r="AB135" i="91"/>
  <c r="X139" i="84"/>
  <c r="Z125" i="91"/>
  <c r="O9" i="87"/>
  <c r="AA78" i="74"/>
  <c r="P68" i="82"/>
  <c r="L64" i="81"/>
  <c r="N105" i="81"/>
  <c r="M61" i="89"/>
  <c r="O65" i="83"/>
  <c r="AB119" i="87"/>
  <c r="X121" i="82"/>
  <c r="O100" i="85"/>
  <c r="X162" i="91"/>
  <c r="O185" i="93"/>
  <c r="P96" i="82"/>
  <c r="AB166" i="85"/>
  <c r="P134" i="94"/>
  <c r="O86" i="82"/>
  <c r="L108" i="93"/>
  <c r="O134" i="87"/>
  <c r="L100" i="94"/>
  <c r="AB134" i="89"/>
  <c r="P112" i="81"/>
  <c r="Z63" i="94"/>
  <c r="AA124" i="94"/>
  <c r="Z116" i="87"/>
  <c r="Y164" i="93"/>
  <c r="X155" i="87"/>
  <c r="P172" i="94"/>
  <c r="Q158" i="92"/>
  <c r="X71" i="87"/>
  <c r="O81" i="93"/>
  <c r="AA152" i="88"/>
  <c r="Y177" i="84"/>
  <c r="O131" i="89"/>
  <c r="AA151" i="85"/>
  <c r="Z27" i="89"/>
  <c r="P64" i="85"/>
  <c r="L140" i="85"/>
  <c r="M57" i="84"/>
  <c r="Z144" i="85"/>
  <c r="X131" i="83"/>
  <c r="Z68" i="83"/>
  <c r="AB120" i="91"/>
  <c r="L105" i="92"/>
  <c r="X168" i="74"/>
  <c r="X25" i="85"/>
  <c r="L174" i="74"/>
  <c r="Q93" i="82"/>
  <c r="X82" i="93"/>
  <c r="Y39" i="88"/>
  <c r="Z146" i="89"/>
  <c r="T156" i="87"/>
  <c r="Y69" i="81"/>
  <c r="X114" i="84"/>
  <c r="X167" i="87"/>
  <c r="O68" i="88"/>
  <c r="Q161" i="87"/>
  <c r="Y84" i="83"/>
  <c r="Y82" i="85"/>
  <c r="O178" i="87"/>
  <c r="L99" i="74"/>
  <c r="Z133" i="85"/>
  <c r="O106" i="87"/>
  <c r="X49" i="74"/>
  <c r="Z72" i="85"/>
  <c r="T72" i="94"/>
  <c r="T93" i="87"/>
  <c r="Z122" i="83"/>
  <c r="Y77" i="89"/>
  <c r="P103" i="94"/>
  <c r="AB13" i="82"/>
  <c r="O81" i="85"/>
  <c r="X91" i="81"/>
  <c r="Z101" i="91"/>
  <c r="P119" i="83"/>
  <c r="Q113" i="94"/>
  <c r="X117" i="88"/>
  <c r="L83" i="88"/>
  <c r="X147" i="93"/>
  <c r="AB146" i="93"/>
  <c r="L112" i="88"/>
  <c r="T168" i="81"/>
  <c r="Q107" i="84"/>
  <c r="AB79" i="94"/>
  <c r="T90" i="91"/>
  <c r="Q131" i="94"/>
  <c r="Q100" i="87"/>
  <c r="AA127" i="83"/>
  <c r="X51" i="74"/>
  <c r="N184" i="93"/>
  <c r="Q35" i="93"/>
  <c r="Z33" i="89"/>
  <c r="P145" i="84"/>
  <c r="P161" i="82"/>
  <c r="Y102" i="85"/>
  <c r="Q95" i="84"/>
  <c r="Y78" i="87"/>
  <c r="AA41" i="74"/>
  <c r="L118" i="74"/>
  <c r="X80" i="89"/>
  <c r="Z146" i="88"/>
  <c r="Y143" i="92"/>
  <c r="O139" i="85"/>
  <c r="X122" i="82"/>
  <c r="O75" i="92"/>
  <c r="Y133" i="85"/>
  <c r="T66" i="85"/>
  <c r="L97" i="87"/>
  <c r="Q86" i="94"/>
  <c r="X146" i="85"/>
  <c r="P156" i="89"/>
  <c r="AB126" i="89"/>
  <c r="P182" i="94"/>
  <c r="O77" i="92"/>
  <c r="Y69" i="82"/>
  <c r="O142" i="82"/>
  <c r="P68" i="91"/>
  <c r="L68" i="87"/>
  <c r="O146" i="92"/>
  <c r="AA83" i="85"/>
  <c r="Z88" i="89"/>
  <c r="Q158" i="93"/>
  <c r="Z158" i="74"/>
  <c r="X172" i="85"/>
  <c r="O112" i="84"/>
  <c r="AA134" i="91"/>
  <c r="L177" i="83"/>
  <c r="AA105" i="85"/>
  <c r="X127" i="82"/>
  <c r="O156" i="81"/>
  <c r="M39" i="91"/>
  <c r="X105" i="82"/>
  <c r="AB175" i="88"/>
  <c r="Y115" i="85"/>
  <c r="P61" i="84"/>
  <c r="X57" i="91"/>
  <c r="Z180" i="92"/>
  <c r="N96" i="93"/>
  <c r="X177" i="94"/>
  <c r="Z125" i="87"/>
  <c r="Z63" i="91"/>
  <c r="L179" i="92"/>
  <c r="Q69" i="83"/>
  <c r="Q96" i="74"/>
  <c r="Q127" i="88"/>
  <c r="Z97" i="81"/>
  <c r="Q162" i="93"/>
  <c r="AA161" i="88"/>
  <c r="X158" i="81"/>
  <c r="X17" i="87"/>
  <c r="Z164" i="85"/>
  <c r="Q128" i="89"/>
  <c r="L128" i="85"/>
  <c r="N57" i="82"/>
  <c r="Y45" i="82"/>
  <c r="O106" i="88"/>
  <c r="AA163" i="88"/>
  <c r="Q115" i="82"/>
  <c r="O86" i="85"/>
  <c r="T135" i="74"/>
  <c r="Q177" i="88"/>
  <c r="X85" i="91"/>
  <c r="X111" i="87"/>
  <c r="AB82" i="92"/>
  <c r="AA71" i="81"/>
  <c r="N180" i="84"/>
  <c r="X170" i="87"/>
  <c r="X104" i="82"/>
  <c r="AA87" i="84"/>
  <c r="Q152" i="87"/>
  <c r="Z59" i="74"/>
  <c r="Q149" i="88"/>
  <c r="X157" i="89"/>
  <c r="L80" i="74"/>
  <c r="Q147" i="87"/>
  <c r="AA160" i="94"/>
  <c r="AB31" i="89"/>
  <c r="AB133" i="89"/>
  <c r="X175" i="94"/>
  <c r="T174" i="91"/>
  <c r="P77" i="82"/>
  <c r="Y64" i="74"/>
  <c r="Y163" i="89"/>
  <c r="T129" i="93"/>
  <c r="L180" i="89"/>
  <c r="Z89" i="91"/>
  <c r="Y160" i="81"/>
  <c r="Y153" i="93"/>
  <c r="Z136" i="82"/>
  <c r="P178" i="87"/>
  <c r="AA80" i="88"/>
  <c r="AA105" i="92"/>
  <c r="P139" i="74"/>
  <c r="O128" i="91"/>
  <c r="AA109" i="93"/>
  <c r="P163" i="89"/>
  <c r="O156" i="88"/>
  <c r="Y115" i="87"/>
  <c r="AA11" i="87"/>
  <c r="Y103" i="82"/>
  <c r="O153" i="89"/>
  <c r="P17" i="94"/>
  <c r="T165" i="84"/>
  <c r="Q155" i="88"/>
  <c r="N27" i="87"/>
  <c r="O69" i="87"/>
  <c r="P136" i="94"/>
  <c r="AB110" i="87"/>
  <c r="AB136" i="82"/>
  <c r="Q27" i="91"/>
  <c r="T81" i="82"/>
  <c r="P110" i="82"/>
  <c r="T144" i="83"/>
  <c r="Q92" i="87"/>
  <c r="Z174" i="81"/>
  <c r="Y137" i="84"/>
  <c r="L66" i="94"/>
  <c r="AB69" i="92"/>
  <c r="L162" i="88"/>
  <c r="L154" i="89"/>
  <c r="AB35" i="85"/>
  <c r="X103" i="87"/>
  <c r="L95" i="83"/>
  <c r="L128" i="88"/>
  <c r="P115" i="94"/>
  <c r="T144" i="85"/>
  <c r="X131" i="74"/>
  <c r="T144" i="92"/>
  <c r="AA94" i="81"/>
  <c r="T159" i="74"/>
  <c r="Z21" i="83"/>
  <c r="Z153" i="89"/>
  <c r="Y124" i="84"/>
  <c r="AA159" i="84"/>
  <c r="L83" i="74"/>
  <c r="P102" i="93"/>
  <c r="O73" i="94"/>
  <c r="AA111" i="91"/>
  <c r="AA15" i="74"/>
  <c r="Q129" i="91"/>
  <c r="AB165" i="85"/>
  <c r="L89" i="83"/>
  <c r="Q43" i="93"/>
  <c r="Q111" i="94"/>
  <c r="Q23" i="84"/>
  <c r="O76" i="85"/>
  <c r="P88" i="81"/>
  <c r="AA174" i="93"/>
  <c r="AA93" i="81"/>
  <c r="AA138" i="74"/>
  <c r="X9" i="85"/>
  <c r="L88" i="94"/>
  <c r="N168" i="84"/>
  <c r="Y83" i="74"/>
  <c r="T84" i="81"/>
  <c r="Y154" i="82"/>
  <c r="O140" i="91"/>
  <c r="AA106" i="81"/>
  <c r="AA132" i="84"/>
  <c r="AB47" i="93"/>
  <c r="L166" i="89"/>
  <c r="P181" i="83"/>
  <c r="T93" i="83"/>
  <c r="T15" i="84"/>
  <c r="AB129" i="81"/>
  <c r="X132" i="89"/>
  <c r="L122" i="83"/>
  <c r="X107" i="94"/>
  <c r="Q13" i="84"/>
  <c r="N87" i="94"/>
  <c r="AB98" i="89"/>
  <c r="AB59" i="92"/>
  <c r="AA123" i="88"/>
  <c r="L163" i="89"/>
  <c r="Y148" i="92"/>
  <c r="Q155" i="84"/>
  <c r="L105" i="85"/>
  <c r="Z65" i="85"/>
  <c r="L147" i="88"/>
  <c r="Y110" i="88"/>
  <c r="AA23" i="82"/>
  <c r="Q106" i="87"/>
  <c r="N147" i="85"/>
  <c r="AA136" i="74"/>
  <c r="L79" i="88"/>
  <c r="N153" i="85"/>
  <c r="Q19" i="88"/>
  <c r="AA128" i="82"/>
  <c r="Y90" i="87"/>
  <c r="Y117" i="82"/>
  <c r="AB80" i="81"/>
  <c r="P61" i="91"/>
  <c r="AA120" i="92"/>
  <c r="X82" i="91"/>
  <c r="Z88" i="94"/>
  <c r="P135" i="88"/>
  <c r="X107" i="82"/>
  <c r="Q87" i="83"/>
  <c r="M29" i="89"/>
  <c r="Q89" i="74"/>
  <c r="Q73" i="93"/>
  <c r="N141" i="89"/>
  <c r="AA135" i="85"/>
  <c r="P83" i="89"/>
  <c r="L114" i="87"/>
  <c r="T144" i="88"/>
  <c r="N39" i="84"/>
  <c r="P114" i="91"/>
  <c r="L153" i="83"/>
  <c r="AA59" i="81"/>
  <c r="P167" i="89"/>
  <c r="P79" i="83"/>
  <c r="Q133" i="92"/>
  <c r="Q74" i="83"/>
  <c r="X113" i="87"/>
  <c r="O154" i="82"/>
  <c r="O132" i="85"/>
  <c r="X45" i="93"/>
  <c r="L184" i="92"/>
  <c r="O90" i="84"/>
  <c r="Z94" i="84"/>
  <c r="Y86" i="92"/>
  <c r="Z129" i="89"/>
  <c r="X170" i="83"/>
  <c r="X143" i="89"/>
  <c r="Z19" i="85"/>
  <c r="AB87" i="84"/>
  <c r="Z133" i="74"/>
  <c r="L83" i="92"/>
  <c r="AB45" i="83"/>
  <c r="AA35" i="84"/>
  <c r="Y94" i="87"/>
  <c r="O112" i="74"/>
  <c r="T72" i="85"/>
  <c r="N84" i="81"/>
  <c r="X79" i="94"/>
  <c r="AA131" i="81"/>
  <c r="X163" i="92"/>
  <c r="AB27" i="84"/>
  <c r="X111" i="74"/>
  <c r="Y155" i="91"/>
  <c r="AB67" i="83"/>
  <c r="L127" i="87"/>
  <c r="AA153" i="74"/>
  <c r="P112" i="88"/>
  <c r="AB85" i="87"/>
  <c r="O131" i="84"/>
  <c r="AB107" i="83"/>
  <c r="Q27" i="85"/>
  <c r="Y92" i="74"/>
  <c r="T123" i="81"/>
  <c r="N84" i="84"/>
  <c r="X169" i="82"/>
  <c r="AB154" i="91"/>
  <c r="X96" i="74"/>
  <c r="AA51" i="83"/>
  <c r="P29" i="81"/>
  <c r="X122" i="74"/>
  <c r="P139" i="88"/>
  <c r="AB101" i="93"/>
  <c r="AB121" i="87"/>
  <c r="T177" i="92"/>
  <c r="X155" i="83"/>
  <c r="Z143" i="88"/>
  <c r="Z33" i="88"/>
  <c r="AA57" i="91"/>
  <c r="Z166" i="88"/>
  <c r="X174" i="85"/>
  <c r="AB168" i="85"/>
  <c r="L145" i="74"/>
  <c r="Z45" i="85"/>
  <c r="X47" i="84"/>
  <c r="N66" i="94"/>
  <c r="M27" i="83"/>
  <c r="AA127" i="91"/>
  <c r="AA180" i="91"/>
  <c r="L138" i="88"/>
  <c r="P87" i="84"/>
  <c r="N177" i="87"/>
  <c r="O95" i="85"/>
  <c r="AB82" i="83"/>
  <c r="Z152" i="74"/>
  <c r="P86" i="81"/>
  <c r="X160" i="94"/>
  <c r="AB39" i="85"/>
  <c r="X99" i="74"/>
  <c r="T87" i="83"/>
  <c r="Q172" i="85"/>
  <c r="AA162" i="82"/>
  <c r="Y145" i="88"/>
  <c r="P71" i="81"/>
  <c r="Q114" i="92"/>
  <c r="X77" i="83"/>
  <c r="O171" i="89"/>
  <c r="O119" i="87"/>
  <c r="X139" i="87"/>
  <c r="Q119" i="83"/>
  <c r="O35" i="89"/>
  <c r="M53" i="93"/>
  <c r="Z149" i="85"/>
  <c r="Q162" i="88"/>
  <c r="L66" i="82"/>
  <c r="AA171" i="91"/>
  <c r="AB59" i="82"/>
  <c r="O128" i="83"/>
  <c r="AB146" i="89"/>
  <c r="Z117" i="81"/>
  <c r="Q145" i="94"/>
  <c r="X169" i="83"/>
  <c r="P145" i="82"/>
  <c r="Z160" i="83"/>
  <c r="Q176" i="81"/>
  <c r="T132" i="94"/>
  <c r="Z103" i="87"/>
  <c r="X118" i="92"/>
  <c r="O70" i="84"/>
  <c r="O173" i="94"/>
  <c r="X126" i="74"/>
  <c r="P109" i="85"/>
  <c r="P172" i="83"/>
  <c r="AB125" i="88"/>
  <c r="AB151" i="82"/>
  <c r="P111" i="85"/>
  <c r="P175" i="83"/>
  <c r="L88" i="83"/>
  <c r="Y127" i="88"/>
  <c r="Q140" i="89"/>
  <c r="P76" i="84"/>
  <c r="O81" i="82"/>
  <c r="Q25" i="91"/>
  <c r="AB169" i="91"/>
  <c r="P115" i="93"/>
  <c r="P90" i="91"/>
  <c r="X128" i="83"/>
  <c r="L138" i="87"/>
  <c r="Y31" i="91"/>
  <c r="Q122" i="89"/>
  <c r="P175" i="81"/>
  <c r="O59" i="84"/>
  <c r="Z83" i="88"/>
  <c r="AA89" i="89"/>
  <c r="P156" i="91"/>
  <c r="X171" i="84"/>
  <c r="X25" i="81"/>
  <c r="O110" i="81"/>
  <c r="O82" i="83"/>
  <c r="O99" i="89"/>
  <c r="Q103" i="92"/>
  <c r="X86" i="84"/>
  <c r="Z93" i="93"/>
  <c r="P120" i="84"/>
  <c r="L147" i="87"/>
  <c r="Z180" i="89"/>
  <c r="M13" i="87"/>
  <c r="X97" i="92"/>
  <c r="Y97" i="89"/>
  <c r="O73" i="82"/>
  <c r="O122" i="85"/>
  <c r="X13" i="83"/>
  <c r="L96" i="74"/>
  <c r="O130" i="92"/>
  <c r="AA110" i="93"/>
  <c r="AB23" i="89"/>
  <c r="L112" i="85"/>
  <c r="P114" i="82"/>
  <c r="L168" i="83"/>
  <c r="Y172" i="85"/>
  <c r="Z92" i="84"/>
  <c r="AB47" i="89"/>
  <c r="P176" i="91"/>
  <c r="X63" i="83"/>
  <c r="X66" i="83"/>
  <c r="Y116" i="94"/>
  <c r="AA93" i="85"/>
  <c r="L174" i="92"/>
  <c r="Y144" i="84"/>
  <c r="Y49" i="85"/>
  <c r="X175" i="82"/>
  <c r="X81" i="74"/>
  <c r="AB142" i="81"/>
  <c r="AA88" i="94"/>
  <c r="AA37" i="85"/>
  <c r="AB21" i="94"/>
  <c r="Z129" i="82"/>
  <c r="L114" i="93"/>
  <c r="Z84" i="81"/>
  <c r="AB39" i="88"/>
  <c r="O158" i="82"/>
  <c r="AB99" i="85"/>
  <c r="Q96" i="83"/>
  <c r="P105" i="94"/>
  <c r="Y135" i="87"/>
  <c r="O168" i="82"/>
  <c r="P76" i="74"/>
  <c r="AA171" i="84"/>
  <c r="Q87" i="82"/>
  <c r="P163" i="74"/>
  <c r="X109" i="92"/>
  <c r="M13" i="81"/>
  <c r="AA23" i="89"/>
  <c r="M37" i="85"/>
  <c r="Z139" i="84"/>
  <c r="Z170" i="74"/>
  <c r="Y27" i="85"/>
  <c r="P100" i="84"/>
  <c r="X55" i="84"/>
  <c r="P43" i="85"/>
  <c r="AA150" i="85"/>
  <c r="Y27" i="89"/>
  <c r="O71" i="81"/>
  <c r="Q108" i="89"/>
  <c r="N21" i="81"/>
  <c r="AB158" i="83"/>
  <c r="P100" i="83"/>
  <c r="Q57" i="87"/>
  <c r="Q121" i="81"/>
  <c r="L73" i="87"/>
  <c r="X174" i="81"/>
  <c r="L80" i="94"/>
  <c r="Q168" i="91"/>
  <c r="P173" i="87"/>
  <c r="Q43" i="92"/>
  <c r="O74" i="91"/>
  <c r="AB37" i="85"/>
  <c r="Y101" i="85"/>
  <c r="Z66" i="89"/>
  <c r="Q158" i="81"/>
  <c r="Z69" i="93"/>
  <c r="T39" i="88"/>
  <c r="Y144" i="81"/>
  <c r="N184" i="74"/>
  <c r="O9" i="94"/>
  <c r="Z126" i="88"/>
  <c r="L74" i="74"/>
  <c r="AA130" i="82"/>
  <c r="Y97" i="74"/>
  <c r="L114" i="88"/>
  <c r="Q79" i="93"/>
  <c r="L128" i="82"/>
  <c r="Y77" i="74"/>
  <c r="Q179" i="92"/>
  <c r="X91" i="88"/>
  <c r="AA71" i="92"/>
  <c r="O49" i="74"/>
  <c r="X169" i="94"/>
  <c r="X156" i="81"/>
  <c r="X145" i="84"/>
  <c r="Y172" i="92"/>
  <c r="Y105" i="87"/>
  <c r="Q37" i="84"/>
  <c r="Q67" i="84"/>
  <c r="O76" i="89"/>
  <c r="AA25" i="88"/>
  <c r="T147" i="94"/>
  <c r="Q159" i="92"/>
  <c r="O73" i="88"/>
  <c r="N141" i="85"/>
  <c r="X94" i="83"/>
  <c r="T108" i="74"/>
  <c r="O141" i="88"/>
  <c r="N9" i="87"/>
  <c r="AA59" i="89"/>
  <c r="AA65" i="82"/>
  <c r="AB128" i="84"/>
  <c r="O150" i="85"/>
  <c r="T123" i="83"/>
  <c r="AA59" i="91"/>
  <c r="AB152" i="91"/>
  <c r="AB114" i="84"/>
  <c r="AA97" i="93"/>
  <c r="T123" i="89"/>
  <c r="N108" i="92"/>
  <c r="Y91" i="89"/>
  <c r="N153" i="82"/>
  <c r="AA96" i="83"/>
  <c r="P17" i="92"/>
  <c r="Z176" i="87"/>
  <c r="P135" i="82"/>
  <c r="Q71" i="82"/>
  <c r="Y55" i="85"/>
  <c r="T135" i="81"/>
  <c r="P70" i="81"/>
  <c r="Z141" i="83"/>
  <c r="O63" i="93"/>
  <c r="O164" i="81"/>
  <c r="Y111" i="84"/>
  <c r="Z90" i="82"/>
  <c r="AA80" i="94"/>
  <c r="P155" i="84"/>
  <c r="Y47" i="84"/>
  <c r="AA43" i="81"/>
  <c r="Q130" i="88"/>
  <c r="L73" i="81"/>
  <c r="AB144" i="87"/>
  <c r="AA172" i="91"/>
  <c r="AA81" i="91"/>
  <c r="AB100" i="84"/>
  <c r="Z90" i="89"/>
  <c r="O144" i="93"/>
  <c r="Q67" i="87"/>
  <c r="AA98" i="92"/>
  <c r="P146" i="82"/>
  <c r="X117" i="94"/>
  <c r="X102" i="81"/>
  <c r="M21" i="92"/>
  <c r="Q67" i="89"/>
  <c r="AA139" i="74"/>
  <c r="Y77" i="94"/>
  <c r="AB113" i="89"/>
  <c r="Y175" i="84"/>
  <c r="Z156" i="81"/>
  <c r="Q117" i="84"/>
  <c r="Q59" i="93"/>
  <c r="AA57" i="92"/>
  <c r="O55" i="92"/>
  <c r="Y123" i="94"/>
  <c r="O148" i="92"/>
  <c r="L75" i="83"/>
  <c r="M23" i="91"/>
  <c r="Z81" i="91"/>
  <c r="L136" i="82"/>
  <c r="L79" i="87"/>
  <c r="O69" i="74"/>
  <c r="AA138" i="91"/>
  <c r="T156" i="92"/>
  <c r="L162" i="82"/>
  <c r="L93" i="88"/>
  <c r="X79" i="74"/>
  <c r="O83" i="83"/>
  <c r="O91" i="83"/>
  <c r="Y161" i="82"/>
  <c r="T120" i="74"/>
  <c r="AA161" i="85"/>
  <c r="O173" i="82"/>
  <c r="Q110" i="85"/>
  <c r="Z19" i="89"/>
  <c r="X66" i="84"/>
  <c r="X129" i="84"/>
  <c r="Q49" i="92"/>
  <c r="L70" i="74"/>
  <c r="N87" i="84"/>
  <c r="Y43" i="92"/>
  <c r="Z135" i="84"/>
  <c r="Y93" i="82"/>
  <c r="Z27" i="82"/>
  <c r="Y167" i="88"/>
  <c r="AB35" i="89"/>
  <c r="X108" i="83"/>
  <c r="Y92" i="88"/>
  <c r="Z39" i="94"/>
  <c r="X23" i="88"/>
  <c r="Z92" i="85"/>
  <c r="X169" i="81"/>
  <c r="Q35" i="92"/>
  <c r="P181" i="87"/>
  <c r="P37" i="91"/>
  <c r="X67" i="85"/>
  <c r="T138" i="93"/>
  <c r="O53" i="83"/>
  <c r="O115" i="92"/>
  <c r="Y41" i="91"/>
  <c r="Z55" i="83"/>
  <c r="O117" i="81"/>
  <c r="Q144" i="83"/>
  <c r="T171" i="84"/>
  <c r="L71" i="89"/>
  <c r="AB170" i="92"/>
  <c r="Z175" i="82"/>
  <c r="Y76" i="81"/>
  <c r="Z9" i="88"/>
  <c r="O134" i="84"/>
  <c r="P185" i="83"/>
  <c r="AA113" i="84"/>
  <c r="P125" i="83"/>
  <c r="N57" i="84"/>
  <c r="AA139" i="94"/>
  <c r="T96" i="93"/>
  <c r="Y51" i="81"/>
  <c r="X100" i="82"/>
  <c r="Z121" i="93"/>
  <c r="Q68" i="84"/>
  <c r="Y122" i="85"/>
  <c r="P43" i="81"/>
  <c r="O176" i="74"/>
  <c r="M45" i="84"/>
  <c r="P120" i="92"/>
  <c r="Q102" i="81"/>
  <c r="Y138" i="84"/>
  <c r="O39" i="94"/>
  <c r="P170" i="88"/>
  <c r="X105" i="94"/>
  <c r="L142" i="85"/>
  <c r="L155" i="81"/>
  <c r="AA105" i="82"/>
  <c r="P150" i="74"/>
  <c r="N57" i="83"/>
  <c r="Q61" i="87"/>
  <c r="T15" i="83"/>
  <c r="AA103" i="93"/>
  <c r="Z131" i="83"/>
  <c r="Z97" i="94"/>
  <c r="Z171" i="94"/>
  <c r="X106" i="92"/>
  <c r="AA117" i="85"/>
  <c r="O175" i="85"/>
  <c r="Q47" i="81"/>
  <c r="N63" i="74"/>
  <c r="AA51" i="94"/>
  <c r="Y131" i="84"/>
  <c r="AB11" i="91"/>
  <c r="Y141" i="89"/>
  <c r="X15" i="85"/>
  <c r="P101" i="83"/>
  <c r="P115" i="92"/>
  <c r="AB82" i="93"/>
  <c r="P64" i="83"/>
  <c r="X130" i="74"/>
  <c r="AB87" i="94"/>
  <c r="Q126" i="83"/>
  <c r="T159" i="89"/>
  <c r="AA13" i="83"/>
  <c r="Q97" i="74"/>
  <c r="O80" i="74"/>
  <c r="P184" i="85"/>
  <c r="O146" i="74"/>
  <c r="AA121" i="93"/>
  <c r="P102" i="85"/>
  <c r="Q134" i="91"/>
  <c r="Q75" i="81"/>
  <c r="Y37" i="83"/>
  <c r="AB9" i="87"/>
  <c r="Q25" i="94"/>
  <c r="L117" i="74"/>
  <c r="Y128" i="81"/>
  <c r="Z101" i="87"/>
  <c r="L166" i="94"/>
  <c r="Y167" i="87"/>
  <c r="Q72" i="91"/>
  <c r="P179" i="87"/>
  <c r="L97" i="82"/>
  <c r="AA121" i="91"/>
  <c r="L93" i="89"/>
  <c r="L141" i="88"/>
  <c r="X176" i="92"/>
  <c r="AA102" i="93"/>
  <c r="Z29" i="94"/>
  <c r="Y125" i="93"/>
  <c r="P159" i="84"/>
  <c r="AB124" i="84"/>
  <c r="AA88" i="93"/>
  <c r="AA49" i="83"/>
  <c r="O126" i="83"/>
  <c r="AB105" i="92"/>
  <c r="Y134" i="85"/>
  <c r="N9" i="82"/>
  <c r="N72" i="81"/>
  <c r="AA77" i="82"/>
  <c r="O66" i="83"/>
  <c r="X177" i="85"/>
  <c r="P47" i="93"/>
  <c r="AA123" i="84"/>
  <c r="AA9" i="83"/>
  <c r="AB151" i="92"/>
  <c r="M45" i="91"/>
  <c r="L90" i="91"/>
  <c r="O77" i="74"/>
  <c r="Z92" i="82"/>
  <c r="Z105" i="84"/>
  <c r="X110" i="82"/>
  <c r="Q17" i="74"/>
  <c r="Q154" i="84"/>
  <c r="AB129" i="82"/>
  <c r="AB167" i="87"/>
  <c r="O65" i="88"/>
  <c r="O174" i="85"/>
  <c r="AA83" i="92"/>
  <c r="Z91" i="88"/>
  <c r="N185" i="82"/>
  <c r="T165" i="87"/>
  <c r="N51" i="88"/>
  <c r="P125" i="81"/>
  <c r="AB143" i="85"/>
  <c r="X89" i="74"/>
  <c r="T21" i="74"/>
  <c r="X72" i="87"/>
  <c r="AB150" i="85"/>
  <c r="L152" i="88"/>
  <c r="O172" i="84"/>
  <c r="Y106" i="81"/>
  <c r="Q131" i="81"/>
  <c r="P136" i="85"/>
  <c r="O111" i="93"/>
  <c r="O129" i="87"/>
  <c r="P73" i="85"/>
  <c r="X72" i="83"/>
  <c r="Q116" i="92"/>
  <c r="L115" i="74"/>
  <c r="Q110" i="87"/>
  <c r="AB120" i="87"/>
  <c r="O128" i="81"/>
  <c r="Q25" i="89"/>
  <c r="O70" i="83"/>
  <c r="O175" i="81"/>
  <c r="AA33" i="89"/>
  <c r="P141" i="91"/>
  <c r="AB76" i="88"/>
  <c r="Z81" i="83"/>
  <c r="T108" i="87"/>
  <c r="P150" i="91"/>
  <c r="Z118" i="83"/>
  <c r="Z121" i="87"/>
  <c r="N111" i="84"/>
  <c r="AB110" i="85"/>
  <c r="O17" i="93"/>
  <c r="P79" i="81"/>
  <c r="O175" i="74"/>
  <c r="AA105" i="84"/>
  <c r="AA146" i="84"/>
  <c r="N129" i="91"/>
  <c r="T66" i="92"/>
  <c r="X41" i="89"/>
  <c r="Q84" i="81"/>
  <c r="L130" i="81"/>
  <c r="N180" i="85"/>
  <c r="P67" i="93"/>
  <c r="Z91" i="83"/>
  <c r="L116" i="82"/>
  <c r="AA9" i="89"/>
  <c r="T177" i="83"/>
  <c r="T78" i="81"/>
  <c r="P9" i="83"/>
  <c r="Z139" i="82"/>
  <c r="AB86" i="82"/>
  <c r="AA172" i="84"/>
  <c r="O116" i="81"/>
  <c r="O114" i="81"/>
  <c r="AA132" i="83"/>
  <c r="N132" i="82"/>
  <c r="Y123" i="82"/>
  <c r="AA163" i="81"/>
  <c r="O15" i="83"/>
  <c r="Z43" i="91"/>
  <c r="AA166" i="87"/>
  <c r="Z27" i="94"/>
  <c r="Z86" i="89"/>
  <c r="L69" i="83"/>
  <c r="Q174" i="85"/>
  <c r="Q65" i="82"/>
  <c r="L160" i="82"/>
  <c r="M47" i="85"/>
  <c r="AA95" i="93"/>
  <c r="Q110" i="88"/>
  <c r="X78" i="89"/>
  <c r="X90" i="81"/>
  <c r="AB108" i="81"/>
  <c r="Y19" i="87"/>
  <c r="P146" i="91"/>
  <c r="O157" i="94"/>
  <c r="AA105" i="89"/>
  <c r="O167" i="85"/>
  <c r="O134" i="89"/>
  <c r="Y41" i="85"/>
  <c r="AB97" i="93"/>
  <c r="AB59" i="83"/>
  <c r="Q78" i="88"/>
  <c r="Q83" i="74"/>
  <c r="X104" i="87"/>
  <c r="Y159" i="94"/>
  <c r="T120" i="81"/>
  <c r="L123" i="93"/>
  <c r="T39" i="85"/>
  <c r="O64" i="85"/>
  <c r="Z85" i="74"/>
  <c r="P111" i="81"/>
  <c r="M25" i="83"/>
  <c r="P128" i="85"/>
  <c r="AB65" i="87"/>
  <c r="X150" i="92"/>
  <c r="AB116" i="84"/>
  <c r="AA55" i="88"/>
  <c r="T150" i="81"/>
  <c r="X104" i="92"/>
  <c r="L79" i="83"/>
  <c r="Q152" i="74"/>
  <c r="AA121" i="84"/>
  <c r="Q75" i="82"/>
  <c r="X112" i="81"/>
  <c r="X175" i="83"/>
  <c r="P174" i="88"/>
  <c r="Q151" i="81"/>
  <c r="Z180" i="82"/>
  <c r="L75" i="85"/>
  <c r="AB74" i="89"/>
  <c r="X132" i="81"/>
  <c r="AA174" i="85"/>
  <c r="X111" i="85"/>
  <c r="O137" i="87"/>
  <c r="P23" i="84"/>
  <c r="P55" i="85"/>
  <c r="Z126" i="87"/>
  <c r="P180" i="85"/>
  <c r="AA85" i="82"/>
  <c r="O179" i="88"/>
  <c r="Z155" i="81"/>
  <c r="Z135" i="82"/>
  <c r="X172" i="91"/>
  <c r="Q127" i="82"/>
  <c r="Z98" i="84"/>
  <c r="N126" i="81"/>
  <c r="X27" i="87"/>
  <c r="O127" i="74"/>
  <c r="Y43" i="89"/>
  <c r="AA41" i="83"/>
  <c r="X115" i="81"/>
  <c r="AB134" i="88"/>
  <c r="P168" i="84"/>
  <c r="O184" i="85"/>
  <c r="Y117" i="81"/>
  <c r="X135" i="83"/>
  <c r="AB165" i="82"/>
  <c r="Y15" i="88"/>
  <c r="AA85" i="92"/>
  <c r="Z167" i="91"/>
  <c r="AA69" i="87"/>
  <c r="Q174" i="83"/>
  <c r="AB98" i="83"/>
  <c r="L164" i="81"/>
  <c r="AA121" i="74"/>
  <c r="Y106" i="74"/>
  <c r="AA145" i="83"/>
  <c r="X173" i="91"/>
  <c r="Z154" i="87"/>
  <c r="L150" i="94"/>
  <c r="T141" i="89"/>
  <c r="AA120" i="89"/>
  <c r="L147" i="94"/>
  <c r="P168" i="74"/>
  <c r="X104" i="84"/>
  <c r="Q91" i="88"/>
  <c r="T39" i="84"/>
  <c r="AA106" i="83"/>
  <c r="Z157" i="81"/>
  <c r="P155" i="93"/>
  <c r="AB170" i="87"/>
  <c r="X95" i="89"/>
  <c r="Z118" i="91"/>
  <c r="Q172" i="74"/>
  <c r="Q15" i="92"/>
  <c r="Y120" i="82"/>
  <c r="Z132" i="89"/>
  <c r="Z139" i="91"/>
  <c r="AA142" i="89"/>
  <c r="Z173" i="81"/>
  <c r="AA91" i="91"/>
  <c r="AB124" i="82"/>
  <c r="Q25" i="82"/>
  <c r="L102" i="83"/>
  <c r="O114" i="91"/>
  <c r="Q106" i="91"/>
  <c r="Y130" i="87"/>
  <c r="Z128" i="81"/>
  <c r="T156" i="81"/>
  <c r="AA132" i="74"/>
  <c r="Q112" i="82"/>
  <c r="AA164" i="83"/>
  <c r="O74" i="84"/>
  <c r="P131" i="81"/>
  <c r="M29" i="83"/>
  <c r="AB131" i="89"/>
  <c r="L133" i="74"/>
  <c r="L174" i="87"/>
  <c r="AA170" i="74"/>
  <c r="X64" i="92"/>
  <c r="AB169" i="94"/>
  <c r="L158" i="89"/>
  <c r="L182" i="83"/>
  <c r="O114" i="89"/>
  <c r="Y89" i="89"/>
  <c r="N102" i="92"/>
  <c r="Z165" i="94"/>
  <c r="N123" i="82"/>
  <c r="P43" i="74"/>
  <c r="P117" i="93"/>
  <c r="AA85" i="84"/>
  <c r="Y31" i="85"/>
  <c r="O131" i="93"/>
  <c r="N183" i="74"/>
  <c r="X168" i="88"/>
  <c r="P176" i="81"/>
  <c r="Y51" i="89"/>
  <c r="L138" i="83"/>
  <c r="Q181" i="94"/>
  <c r="L125" i="92"/>
  <c r="X39" i="83"/>
  <c r="O83" i="74"/>
  <c r="Q150" i="74"/>
  <c r="L123" i="82"/>
  <c r="Z79" i="82"/>
  <c r="AB102" i="83"/>
  <c r="Z121" i="85"/>
  <c r="Q92" i="82"/>
  <c r="Q175" i="87"/>
  <c r="P142" i="81"/>
  <c r="Z53" i="74"/>
  <c r="AA88" i="85"/>
  <c r="M35" i="88"/>
  <c r="AA41" i="93"/>
  <c r="L123" i="89"/>
  <c r="Q102" i="83"/>
  <c r="P150" i="89"/>
  <c r="AA162" i="74"/>
  <c r="X158" i="93"/>
  <c r="Z173" i="93"/>
  <c r="X174" i="84"/>
  <c r="Q98" i="84"/>
  <c r="P115" i="85"/>
  <c r="Z120" i="85"/>
  <c r="Y31" i="88"/>
  <c r="Q112" i="94"/>
  <c r="Q180" i="92"/>
  <c r="AA45" i="82"/>
  <c r="O170" i="91"/>
  <c r="AA74" i="91"/>
  <c r="X146" i="82"/>
  <c r="T168" i="92"/>
  <c r="Q184" i="74"/>
  <c r="Q39" i="74"/>
  <c r="P63" i="82"/>
  <c r="Y104" i="82"/>
  <c r="Z143" i="83"/>
  <c r="P163" i="85"/>
  <c r="Q107" i="89"/>
  <c r="AA116" i="88"/>
  <c r="X83" i="92"/>
  <c r="P133" i="94"/>
  <c r="Q94" i="89"/>
  <c r="N162" i="85"/>
  <c r="X108" i="88"/>
  <c r="AA98" i="88"/>
  <c r="L107" i="89"/>
  <c r="AA150" i="88"/>
  <c r="Q73" i="89"/>
  <c r="AB94" i="85"/>
  <c r="Z125" i="92"/>
  <c r="Y132" i="91"/>
  <c r="T180" i="83"/>
  <c r="P33" i="87"/>
  <c r="O92" i="84"/>
  <c r="X174" i="89"/>
  <c r="P136" i="81"/>
  <c r="X95" i="74"/>
  <c r="Y84" i="81"/>
  <c r="L148" i="94"/>
  <c r="Y152" i="74"/>
  <c r="AB176" i="94"/>
  <c r="P15" i="88"/>
  <c r="O69" i="94"/>
  <c r="X165" i="89"/>
  <c r="Z111" i="83"/>
  <c r="O138" i="74"/>
  <c r="AA104" i="89"/>
  <c r="AB92" i="84"/>
  <c r="X68" i="88"/>
  <c r="L99" i="92"/>
  <c r="O51" i="81"/>
  <c r="Z27" i="74"/>
  <c r="X55" i="87"/>
  <c r="P77" i="92"/>
  <c r="AA57" i="94"/>
  <c r="X61" i="81"/>
  <c r="Z113" i="89"/>
  <c r="O61" i="94"/>
  <c r="P157" i="83"/>
  <c r="O122" i="88"/>
  <c r="Y45" i="85"/>
  <c r="P151" i="74"/>
  <c r="AA35" i="82"/>
  <c r="AB73" i="91"/>
  <c r="O45" i="92"/>
  <c r="Q133" i="88"/>
  <c r="Y175" i="83"/>
  <c r="O21" i="88"/>
  <c r="Y29" i="92"/>
  <c r="AA91" i="81"/>
  <c r="Y175" i="89"/>
  <c r="AA111" i="82"/>
  <c r="Y119" i="93"/>
  <c r="X39" i="81"/>
  <c r="AB31" i="88"/>
  <c r="AB101" i="92"/>
  <c r="Z117" i="91"/>
  <c r="M29" i="74"/>
  <c r="Q142" i="81"/>
  <c r="P74" i="87"/>
  <c r="Y174" i="91"/>
  <c r="AA95" i="88"/>
  <c r="AA66" i="84"/>
  <c r="X93" i="81"/>
  <c r="L124" i="89"/>
  <c r="Y94" i="82"/>
  <c r="Q185" i="83"/>
  <c r="P179" i="85"/>
  <c r="AA155" i="81"/>
  <c r="AB35" i="81"/>
  <c r="T63" i="84"/>
  <c r="L116" i="88"/>
  <c r="Y57" i="88"/>
  <c r="X177" i="83"/>
  <c r="AA47" i="85"/>
  <c r="L118" i="91"/>
  <c r="Q177" i="74"/>
  <c r="L87" i="94"/>
  <c r="L174" i="91"/>
  <c r="AB105" i="81"/>
  <c r="O113" i="89"/>
  <c r="P131" i="84"/>
  <c r="AB104" i="81"/>
  <c r="AA152" i="85"/>
  <c r="P112" i="89"/>
  <c r="Z107" i="83"/>
  <c r="P146" i="87"/>
  <c r="N33" i="74"/>
  <c r="Z80" i="85"/>
  <c r="Q86" i="74"/>
  <c r="Z156" i="92"/>
  <c r="O23" i="82"/>
  <c r="O160" i="92"/>
  <c r="X65" i="74"/>
  <c r="AA41" i="88"/>
  <c r="P75" i="89"/>
  <c r="AB67" i="81"/>
  <c r="Y130" i="82"/>
  <c r="X84" i="81"/>
  <c r="P100" i="87"/>
  <c r="AA27" i="93"/>
  <c r="M13" i="85"/>
  <c r="AA37" i="88"/>
  <c r="Q138" i="81"/>
  <c r="Q147" i="81"/>
  <c r="N114" i="88"/>
  <c r="AB121" i="93"/>
  <c r="O29" i="88"/>
  <c r="Z134" i="81"/>
  <c r="AB31" i="81"/>
  <c r="T66" i="82"/>
  <c r="Q9" i="84"/>
  <c r="Q115" i="74"/>
  <c r="AB53" i="94"/>
  <c r="L125" i="81"/>
  <c r="AA86" i="74"/>
  <c r="Z25" i="91"/>
  <c r="AB51" i="92"/>
  <c r="N96" i="88"/>
  <c r="P81" i="83"/>
  <c r="Z98" i="93"/>
  <c r="P164" i="92"/>
  <c r="L154" i="88"/>
  <c r="L179" i="87"/>
  <c r="X122" i="85"/>
  <c r="AB161" i="83"/>
  <c r="M15" i="85"/>
  <c r="L88" i="92"/>
  <c r="P11" i="85"/>
  <c r="AA93" i="74"/>
  <c r="Z156" i="83"/>
  <c r="P157" i="88"/>
  <c r="Y112" i="83"/>
  <c r="O11" i="87"/>
  <c r="P179" i="74"/>
  <c r="Z108" i="81"/>
  <c r="O179" i="93"/>
  <c r="T171" i="92"/>
  <c r="Q78" i="74"/>
  <c r="P69" i="88"/>
  <c r="X139" i="82"/>
  <c r="P86" i="83"/>
  <c r="P66" i="89"/>
  <c r="T156" i="93"/>
  <c r="N75" i="93"/>
  <c r="AB150" i="94"/>
  <c r="AA41" i="82"/>
  <c r="AA83" i="93"/>
  <c r="O145" i="81"/>
  <c r="L109" i="83"/>
  <c r="P94" i="82"/>
  <c r="O35" i="88"/>
  <c r="AA57" i="88"/>
  <c r="Y67" i="88"/>
  <c r="O61" i="84"/>
  <c r="AB162" i="81"/>
  <c r="P133" i="81"/>
  <c r="P160" i="91"/>
  <c r="AA68" i="91"/>
  <c r="AA108" i="94"/>
  <c r="Z159" i="85"/>
  <c r="L84" i="84"/>
  <c r="AA23" i="85"/>
  <c r="AB66" i="82"/>
  <c r="Z167" i="83"/>
  <c r="L150" i="74"/>
  <c r="N96" i="87"/>
  <c r="AB138" i="88"/>
  <c r="M31" i="84"/>
  <c r="AA97" i="92"/>
  <c r="X168" i="82"/>
  <c r="Z11" i="89"/>
  <c r="L99" i="83"/>
  <c r="AB172" i="83"/>
  <c r="Y65" i="74"/>
  <c r="Y122" i="88"/>
  <c r="X129" i="74"/>
  <c r="AA176" i="74"/>
  <c r="AA126" i="92"/>
  <c r="Q120" i="92"/>
  <c r="AB155" i="85"/>
  <c r="Y162" i="88"/>
  <c r="Q170" i="81"/>
  <c r="Q173" i="92"/>
  <c r="AB27" i="81"/>
  <c r="O140" i="94"/>
  <c r="P183" i="83"/>
  <c r="P97" i="84"/>
  <c r="P80" i="84"/>
  <c r="P17" i="87"/>
  <c r="X132" i="83"/>
  <c r="AA37" i="91"/>
  <c r="Y169" i="93"/>
  <c r="X118" i="89"/>
  <c r="AA144" i="85"/>
  <c r="P19" i="91"/>
  <c r="L99" i="81"/>
  <c r="Z73" i="81"/>
  <c r="Q172" i="89"/>
  <c r="T129" i="82"/>
  <c r="X63" i="82"/>
  <c r="Y92" i="87"/>
  <c r="Q66" i="88"/>
  <c r="Q97" i="89"/>
  <c r="X173" i="93"/>
  <c r="L91" i="89"/>
  <c r="T141" i="92"/>
  <c r="AB81" i="84"/>
  <c r="AB167" i="89"/>
  <c r="L144" i="74"/>
  <c r="Q182" i="83"/>
  <c r="O96" i="74"/>
  <c r="O86" i="81"/>
  <c r="L76" i="84"/>
  <c r="L117" i="87"/>
  <c r="Q138" i="93"/>
  <c r="Q31" i="82"/>
  <c r="O76" i="88"/>
  <c r="O9" i="88"/>
  <c r="L168" i="81"/>
  <c r="N9" i="74"/>
  <c r="P119" i="91"/>
  <c r="X19" i="89"/>
  <c r="Y120" i="83"/>
  <c r="O139" i="84"/>
  <c r="X141" i="74"/>
  <c r="X96" i="82"/>
  <c r="X157" i="91"/>
  <c r="L82" i="93"/>
  <c r="O15" i="81"/>
  <c r="AB150" i="82"/>
  <c r="Z29" i="81"/>
  <c r="Q80" i="87"/>
  <c r="X39" i="84"/>
  <c r="Q84" i="85"/>
  <c r="L122" i="94"/>
  <c r="Z21" i="81"/>
  <c r="Q63" i="92"/>
  <c r="Y91" i="85"/>
  <c r="AA157" i="84"/>
  <c r="X146" i="83"/>
  <c r="AB85" i="84"/>
  <c r="O55" i="89"/>
  <c r="Z69" i="87"/>
  <c r="O66" i="81"/>
  <c r="O107" i="92"/>
  <c r="Z161" i="85"/>
  <c r="T120" i="83"/>
  <c r="L125" i="74"/>
  <c r="L165" i="87"/>
  <c r="AB139" i="85"/>
  <c r="P140" i="87"/>
  <c r="Y172" i="82"/>
  <c r="O129" i="84"/>
  <c r="Q21" i="81"/>
  <c r="Z122" i="84"/>
  <c r="X98" i="82"/>
  <c r="O21" i="84"/>
  <c r="O78" i="83"/>
  <c r="O72" i="84"/>
  <c r="Y73" i="83"/>
  <c r="AA110" i="84"/>
  <c r="AA112" i="91"/>
  <c r="AB152" i="83"/>
  <c r="X74" i="88"/>
  <c r="AB86" i="81"/>
  <c r="P19" i="83"/>
  <c r="AA149" i="74"/>
  <c r="P185" i="93"/>
  <c r="O144" i="91"/>
  <c r="Q115" i="84"/>
  <c r="X109" i="83"/>
  <c r="N180" i="83"/>
  <c r="X126" i="85"/>
  <c r="Q171" i="84"/>
  <c r="Z82" i="84"/>
  <c r="Z41" i="84"/>
  <c r="AB72" i="89"/>
  <c r="Q85" i="83"/>
  <c r="X81" i="85"/>
  <c r="L152" i="89"/>
  <c r="X19" i="88"/>
  <c r="Q109" i="92"/>
  <c r="AB130" i="82"/>
  <c r="X148" i="91"/>
  <c r="Y114" i="89"/>
  <c r="AA97" i="82"/>
  <c r="Y163" i="83"/>
  <c r="Y143" i="81"/>
  <c r="P27" i="94"/>
  <c r="Z39" i="74"/>
  <c r="AB131" i="91"/>
  <c r="Q47" i="88"/>
  <c r="O76" i="91"/>
  <c r="Z88" i="84"/>
  <c r="Y148" i="89"/>
  <c r="L135" i="82"/>
  <c r="AA155" i="83"/>
  <c r="M17" i="87"/>
  <c r="X142" i="94"/>
  <c r="Y108" i="81"/>
  <c r="AB132" i="82"/>
  <c r="O182" i="82"/>
  <c r="AA153" i="91"/>
  <c r="AB23" i="93"/>
  <c r="L148" i="74"/>
  <c r="Y67" i="87"/>
  <c r="AA121" i="81"/>
  <c r="Y149" i="83"/>
  <c r="O182" i="83"/>
  <c r="M15" i="88"/>
  <c r="Z93" i="88"/>
  <c r="O177" i="82"/>
  <c r="Z170" i="85"/>
  <c r="Y89" i="85"/>
  <c r="P83" i="81"/>
  <c r="T27" i="83"/>
  <c r="Q13" i="82"/>
  <c r="Y121" i="81"/>
  <c r="Q45" i="88"/>
  <c r="AB168" i="82"/>
  <c r="Q163" i="74"/>
  <c r="L138" i="93"/>
  <c r="N111" i="88"/>
  <c r="O146" i="81"/>
  <c r="L91" i="83"/>
  <c r="P115" i="81"/>
  <c r="P101" i="81"/>
  <c r="Z113" i="92"/>
  <c r="Q122" i="85"/>
  <c r="AB137" i="84"/>
  <c r="Q137" i="74"/>
  <c r="X9" i="89"/>
  <c r="L99" i="91"/>
  <c r="Z163" i="83"/>
  <c r="O90" i="81"/>
  <c r="P85" i="88"/>
  <c r="X84" i="84"/>
  <c r="M11" i="74"/>
  <c r="P119" i="89"/>
  <c r="L63" i="92"/>
  <c r="X29" i="92"/>
  <c r="L143" i="89"/>
  <c r="P79" i="87"/>
  <c r="Z102" i="93"/>
  <c r="Q79" i="91"/>
  <c r="AB81" i="88"/>
  <c r="M55" i="83"/>
  <c r="L95" i="74"/>
  <c r="P41" i="81"/>
  <c r="AA64" i="74"/>
  <c r="AB122" i="84"/>
  <c r="Z117" i="82"/>
  <c r="AA122" i="74"/>
  <c r="P155" i="94"/>
  <c r="AB9" i="81"/>
  <c r="Y121" i="88"/>
  <c r="Y155" i="87"/>
  <c r="X144" i="93"/>
  <c r="O68" i="87"/>
  <c r="O31" i="81"/>
  <c r="X106" i="81"/>
  <c r="L167" i="83"/>
  <c r="Y89" i="84"/>
  <c r="T66" i="88"/>
  <c r="T105" i="92"/>
  <c r="Z150" i="74"/>
  <c r="Q122" i="82"/>
  <c r="T111" i="82"/>
  <c r="P129" i="87"/>
  <c r="AB112" i="83"/>
  <c r="L164" i="85"/>
  <c r="T102" i="92"/>
  <c r="AB167" i="83"/>
  <c r="X9" i="83"/>
  <c r="Q68" i="74"/>
  <c r="O17" i="88"/>
  <c r="Z49" i="82"/>
  <c r="AA108" i="81"/>
  <c r="T75" i="83"/>
  <c r="AA75" i="88"/>
  <c r="N129" i="88"/>
  <c r="P27" i="82"/>
  <c r="Q35" i="85"/>
  <c r="Z99" i="92"/>
  <c r="Q117" i="74"/>
  <c r="T72" i="88"/>
  <c r="Q169" i="82"/>
  <c r="O139" i="89"/>
  <c r="X138" i="92"/>
  <c r="AB15" i="93"/>
  <c r="AA122" i="87"/>
  <c r="Q73" i="84"/>
  <c r="P178" i="74"/>
  <c r="Y102" i="87"/>
  <c r="Y74" i="89"/>
  <c r="Y61" i="92"/>
  <c r="AA117" i="89"/>
  <c r="T108" i="88"/>
  <c r="M15" i="81"/>
  <c r="N81" i="82"/>
  <c r="X68" i="87"/>
  <c r="AA96" i="93"/>
  <c r="O59" i="82"/>
  <c r="X82" i="89"/>
  <c r="Y138" i="89"/>
  <c r="N39" i="87"/>
  <c r="X65" i="92"/>
  <c r="O165" i="93"/>
  <c r="P140" i="92"/>
  <c r="N96" i="83"/>
  <c r="X112" i="85"/>
  <c r="Q71" i="89"/>
  <c r="Z87" i="89"/>
  <c r="P108" i="91"/>
  <c r="Z55" i="91"/>
  <c r="L130" i="82"/>
  <c r="AB146" i="88"/>
  <c r="L157" i="92"/>
  <c r="O80" i="82"/>
  <c r="T117" i="82"/>
  <c r="Y105" i="84"/>
  <c r="Y9" i="85"/>
  <c r="L176" i="74"/>
  <c r="L94" i="87"/>
  <c r="L70" i="85"/>
  <c r="Q103" i="82"/>
  <c r="P41" i="82"/>
  <c r="O37" i="92"/>
  <c r="T21" i="84"/>
  <c r="AB132" i="88"/>
  <c r="Z145" i="94"/>
  <c r="T96" i="84"/>
  <c r="X43" i="93"/>
  <c r="Q166" i="84"/>
  <c r="Q67" i="88"/>
  <c r="O129" i="89"/>
  <c r="O129" i="88"/>
  <c r="X100" i="91"/>
  <c r="Y59" i="84"/>
  <c r="P131" i="92"/>
  <c r="Y156" i="87"/>
  <c r="Z109" i="87"/>
  <c r="Y107" i="85"/>
  <c r="P123" i="87"/>
  <c r="AA165" i="74"/>
  <c r="X107" i="85"/>
  <c r="Z155" i="82"/>
  <c r="L71" i="92"/>
  <c r="Z15" i="85"/>
  <c r="Q74" i="85"/>
  <c r="O21" i="81"/>
  <c r="O149" i="93"/>
  <c r="Z59" i="91"/>
  <c r="P81" i="81"/>
  <c r="Q55" i="87"/>
  <c r="Z159" i="89"/>
  <c r="AA98" i="94"/>
  <c r="X130" i="81"/>
  <c r="N162" i="91"/>
  <c r="O159" i="85"/>
  <c r="Q167" i="74"/>
  <c r="T21" i="94"/>
  <c r="X41" i="84"/>
  <c r="X35" i="87"/>
  <c r="Q156" i="94"/>
  <c r="Y72" i="84"/>
  <c r="AB119" i="89"/>
  <c r="Q76" i="83"/>
  <c r="M33" i="82"/>
  <c r="L105" i="83"/>
  <c r="X141" i="82"/>
  <c r="O164" i="84"/>
  <c r="O130" i="81"/>
  <c r="L77" i="88"/>
  <c r="T165" i="82"/>
  <c r="X118" i="91"/>
  <c r="P118" i="74"/>
  <c r="Y104" i="91"/>
  <c r="L98" i="94"/>
  <c r="Z19" i="84"/>
  <c r="P67" i="74"/>
  <c r="Z39" i="91"/>
  <c r="AA159" i="83"/>
  <c r="T81" i="91"/>
  <c r="X139" i="89"/>
  <c r="Y120" i="89"/>
  <c r="AA64" i="83"/>
  <c r="X172" i="92"/>
  <c r="X51" i="87"/>
  <c r="Q181" i="88"/>
  <c r="Z47" i="83"/>
  <c r="X137" i="85"/>
  <c r="T150" i="74"/>
  <c r="Q64" i="82"/>
  <c r="AA66" i="93"/>
  <c r="O147" i="88"/>
  <c r="L157" i="85"/>
  <c r="X63" i="92"/>
  <c r="O123" i="82"/>
  <c r="L131" i="83"/>
  <c r="X90" i="92"/>
  <c r="Y147" i="82"/>
  <c r="M23" i="83"/>
  <c r="X160" i="82"/>
  <c r="L176" i="84"/>
  <c r="Y87" i="87"/>
  <c r="O126" i="87"/>
  <c r="X107" i="92"/>
  <c r="X85" i="94"/>
  <c r="O151" i="84"/>
  <c r="L100" i="83"/>
  <c r="AA109" i="74"/>
  <c r="Y150" i="91"/>
  <c r="P115" i="82"/>
  <c r="Q150" i="91"/>
  <c r="AA138" i="85"/>
  <c r="AB130" i="84"/>
  <c r="AA9" i="74"/>
  <c r="O106" i="94"/>
  <c r="L162" i="87"/>
  <c r="O158" i="88"/>
  <c r="Z77" i="74"/>
  <c r="X95" i="88"/>
  <c r="Z91" i="93"/>
  <c r="Q160" i="89"/>
  <c r="P75" i="74"/>
  <c r="AB162" i="94"/>
  <c r="O135" i="82"/>
  <c r="AB151" i="87"/>
  <c r="P98" i="93"/>
  <c r="L81" i="84"/>
  <c r="X68" i="81"/>
  <c r="Q31" i="91"/>
  <c r="Q105" i="94"/>
  <c r="Q74" i="74"/>
  <c r="X143" i="93"/>
  <c r="O136" i="85"/>
  <c r="X100" i="85"/>
  <c r="P79" i="84"/>
  <c r="Q66" i="87"/>
  <c r="P159" i="89"/>
  <c r="X94" i="85"/>
  <c r="Z88" i="74"/>
  <c r="Y96" i="88"/>
  <c r="Z113" i="85"/>
  <c r="Y135" i="83"/>
  <c r="P83" i="83"/>
  <c r="AA163" i="91"/>
  <c r="T87" i="85"/>
  <c r="AA120" i="82"/>
  <c r="P65" i="83"/>
  <c r="X85" i="89"/>
  <c r="Z93" i="84"/>
  <c r="L155" i="91"/>
  <c r="O90" i="85"/>
  <c r="Z152" i="85"/>
  <c r="Q142" i="89"/>
  <c r="T138" i="85"/>
  <c r="L128" i="81"/>
  <c r="Y117" i="74"/>
  <c r="T168" i="93"/>
  <c r="Q94" i="88"/>
  <c r="AB35" i="93"/>
  <c r="M19" i="88"/>
  <c r="Q77" i="89"/>
  <c r="L179" i="81"/>
  <c r="Y168" i="91"/>
  <c r="N105" i="88"/>
  <c r="AB49" i="82"/>
  <c r="X73" i="93"/>
  <c r="X33" i="89"/>
  <c r="O35" i="74"/>
  <c r="Q53" i="91"/>
  <c r="Z163" i="93"/>
  <c r="AB173" i="84"/>
  <c r="P180" i="89"/>
  <c r="Q117" i="92"/>
  <c r="AA99" i="87"/>
  <c r="AB61" i="93"/>
  <c r="AA162" i="88"/>
  <c r="O109" i="88"/>
  <c r="O61" i="82"/>
  <c r="O69" i="81"/>
  <c r="O70" i="91"/>
  <c r="AA43" i="88"/>
  <c r="P59" i="84"/>
  <c r="L79" i="74"/>
  <c r="P45" i="93"/>
  <c r="AA43" i="93"/>
  <c r="O159" i="81"/>
  <c r="P9" i="84"/>
  <c r="Q139" i="74"/>
  <c r="Y27" i="81"/>
  <c r="Z79" i="85"/>
  <c r="AB49" i="84"/>
  <c r="Z124" i="81"/>
  <c r="P152" i="88"/>
  <c r="L99" i="82"/>
  <c r="P57" i="81"/>
  <c r="T165" i="74"/>
  <c r="Q168" i="94"/>
  <c r="Q51" i="84"/>
  <c r="P119" i="82"/>
  <c r="P35" i="85"/>
  <c r="P103" i="85"/>
  <c r="Q70" i="84"/>
  <c r="Z162" i="94"/>
  <c r="Z136" i="81"/>
  <c r="AB75" i="81"/>
  <c r="AB101" i="85"/>
  <c r="O104" i="91"/>
  <c r="AA94" i="88"/>
  <c r="Q23" i="81"/>
  <c r="X47" i="83"/>
  <c r="Q65" i="84"/>
  <c r="Z77" i="84"/>
  <c r="O124" i="74"/>
  <c r="Y45" i="91"/>
  <c r="Y130" i="85"/>
  <c r="X165" i="85"/>
  <c r="AA135" i="88"/>
  <c r="X164" i="91"/>
  <c r="L78" i="87"/>
  <c r="X142" i="82"/>
  <c r="Q96" i="92"/>
  <c r="AB134" i="83"/>
  <c r="M59" i="91"/>
  <c r="O94" i="91"/>
  <c r="AB87" i="91"/>
  <c r="L102" i="93"/>
  <c r="AB64" i="91"/>
  <c r="Y139" i="87"/>
  <c r="N138" i="89"/>
  <c r="AA70" i="83"/>
  <c r="X61" i="91"/>
  <c r="X123" i="85"/>
  <c r="O9" i="81"/>
  <c r="AA162" i="85"/>
  <c r="Y130" i="84"/>
  <c r="N132" i="85"/>
  <c r="L89" i="88"/>
  <c r="AA135" i="91"/>
  <c r="L178" i="88"/>
  <c r="AB59" i="81"/>
  <c r="AB73" i="89"/>
  <c r="Q179" i="91"/>
  <c r="O87" i="74"/>
  <c r="Q179" i="88"/>
  <c r="Y72" i="83"/>
  <c r="AA116" i="83"/>
  <c r="Y35" i="85"/>
  <c r="O123" i="85"/>
  <c r="Q141" i="83"/>
  <c r="Z139" i="89"/>
  <c r="AB118" i="82"/>
  <c r="AA115" i="82"/>
  <c r="T96" i="92"/>
  <c r="O144" i="82"/>
  <c r="X118" i="93"/>
  <c r="Q27" i="83"/>
  <c r="O156" i="83"/>
  <c r="Y37" i="93"/>
  <c r="O120" i="85"/>
  <c r="P49" i="94"/>
  <c r="AA61" i="84"/>
  <c r="Y136" i="87"/>
  <c r="L162" i="83"/>
  <c r="Q180" i="82"/>
  <c r="AB25" i="81"/>
  <c r="Q134" i="74"/>
  <c r="L139" i="91"/>
  <c r="X86" i="83"/>
  <c r="O35" i="82"/>
  <c r="X37" i="85"/>
  <c r="L69" i="84"/>
  <c r="P135" i="91"/>
  <c r="AA69" i="84"/>
  <c r="L85" i="89"/>
  <c r="P108" i="81"/>
  <c r="Z116" i="93"/>
  <c r="L128" i="83"/>
  <c r="Y67" i="85"/>
  <c r="O70" i="94"/>
  <c r="Q112" i="85"/>
  <c r="X132" i="82"/>
  <c r="AA59" i="84"/>
  <c r="Z97" i="89"/>
  <c r="P130" i="85"/>
  <c r="AB70" i="81"/>
  <c r="P126" i="91"/>
  <c r="O169" i="82"/>
  <c r="AA160" i="93"/>
  <c r="Y177" i="83"/>
  <c r="Y172" i="89"/>
  <c r="X164" i="85"/>
  <c r="Z101" i="85"/>
  <c r="AA115" i="85"/>
  <c r="Y80" i="81"/>
  <c r="N150" i="89"/>
  <c r="Y89" i="93"/>
  <c r="Y177" i="93"/>
  <c r="Q158" i="91"/>
  <c r="AA150" i="92"/>
  <c r="X98" i="83"/>
  <c r="L158" i="85"/>
  <c r="P156" i="85"/>
  <c r="Z106" i="94"/>
  <c r="L76" i="88"/>
  <c r="T21" i="92"/>
  <c r="T123" i="94"/>
  <c r="O13" i="83"/>
  <c r="P142" i="84"/>
  <c r="AB155" i="88"/>
  <c r="AA70" i="81"/>
  <c r="P136" i="93"/>
  <c r="AB124" i="85"/>
  <c r="L163" i="74"/>
  <c r="Y37" i="87"/>
  <c r="AA143" i="88"/>
  <c r="X108" i="87"/>
  <c r="O88" i="93"/>
  <c r="AA95" i="84"/>
  <c r="O166" i="74"/>
  <c r="Y112" i="89"/>
  <c r="Y173" i="94"/>
  <c r="T27" i="88"/>
  <c r="P183" i="92"/>
  <c r="N78" i="85"/>
  <c r="P157" i="92"/>
  <c r="X94" i="89"/>
  <c r="N165" i="88"/>
  <c r="L96" i="82"/>
  <c r="AA146" i="93"/>
  <c r="L171" i="92"/>
  <c r="AB138" i="85"/>
  <c r="L184" i="85"/>
  <c r="P47" i="88"/>
  <c r="AA95" i="89"/>
  <c r="N57" i="93"/>
  <c r="P156" i="84"/>
  <c r="AA166" i="85"/>
  <c r="O131" i="94"/>
  <c r="Q134" i="81"/>
  <c r="AB147" i="87"/>
  <c r="Y101" i="83"/>
  <c r="M9" i="82"/>
  <c r="L100" i="85"/>
  <c r="N75" i="94"/>
  <c r="AA149" i="82"/>
  <c r="N75" i="88"/>
  <c r="Y59" i="85"/>
  <c r="Q65" i="85"/>
  <c r="Y61" i="74"/>
  <c r="Y74" i="84"/>
  <c r="O84" i="84"/>
  <c r="L116" i="94"/>
  <c r="Q179" i="93"/>
  <c r="Y55" i="83"/>
  <c r="P149" i="87"/>
  <c r="O70" i="81"/>
  <c r="L177" i="87"/>
  <c r="L102" i="92"/>
  <c r="AB71" i="85"/>
  <c r="AA180" i="85"/>
  <c r="P19" i="85"/>
  <c r="L147" i="81"/>
  <c r="P72" i="94"/>
  <c r="O121" i="74"/>
  <c r="O57" i="84"/>
  <c r="Q73" i="82"/>
  <c r="AB106" i="83"/>
  <c r="Y168" i="84"/>
  <c r="AB177" i="85"/>
  <c r="Q163" i="83"/>
  <c r="X125" i="85"/>
  <c r="Q128" i="74"/>
  <c r="T165" i="83"/>
  <c r="Q145" i="89"/>
  <c r="AA39" i="83"/>
  <c r="AA33" i="81"/>
  <c r="Y21" i="74"/>
  <c r="Q171" i="93"/>
  <c r="M51" i="92"/>
  <c r="O21" i="83"/>
  <c r="Z167" i="84"/>
  <c r="AA145" i="92"/>
  <c r="Q171" i="83"/>
  <c r="L131" i="85"/>
  <c r="L181" i="93"/>
  <c r="O45" i="74"/>
  <c r="Y151" i="84"/>
  <c r="AA180" i="94"/>
  <c r="AB161" i="87"/>
  <c r="T99" i="87"/>
  <c r="N27" i="94"/>
  <c r="X59" i="94"/>
  <c r="O133" i="85"/>
  <c r="Y75" i="92"/>
  <c r="L117" i="81"/>
  <c r="Q178" i="82"/>
  <c r="T111" i="89"/>
  <c r="AB90" i="91"/>
  <c r="X108" i="82"/>
  <c r="AB107" i="85"/>
  <c r="Z155" i="87"/>
  <c r="P99" i="92"/>
  <c r="P158" i="94"/>
  <c r="AA165" i="94"/>
  <c r="Q96" i="82"/>
  <c r="L85" i="84"/>
  <c r="AB160" i="88"/>
  <c r="O114" i="93"/>
  <c r="N138" i="82"/>
  <c r="Y95" i="84"/>
  <c r="Y163" i="92"/>
  <c r="Q17" i="82"/>
  <c r="L73" i="91"/>
  <c r="Z84" i="74"/>
  <c r="AB57" i="83"/>
  <c r="Q106" i="82"/>
  <c r="X101" i="74"/>
  <c r="Z88" i="88"/>
  <c r="X146" i="88"/>
  <c r="O173" i="92"/>
  <c r="AA144" i="92"/>
  <c r="O164" i="89"/>
  <c r="P113" i="84"/>
  <c r="AB17" i="83"/>
  <c r="X13" i="74"/>
  <c r="O69" i="85"/>
  <c r="P125" i="85"/>
  <c r="O171" i="82"/>
  <c r="M23" i="82"/>
  <c r="AA143" i="85"/>
  <c r="X157" i="93"/>
  <c r="T99" i="89"/>
  <c r="Y9" i="92"/>
  <c r="L164" i="82"/>
  <c r="AB100" i="89"/>
  <c r="Q63" i="93"/>
  <c r="P87" i="74"/>
  <c r="Y88" i="82"/>
  <c r="AA169" i="74"/>
  <c r="AA35" i="83"/>
  <c r="Y74" i="88"/>
  <c r="AB131" i="92"/>
  <c r="AA163" i="82"/>
  <c r="AB88" i="82"/>
  <c r="AB171" i="81"/>
  <c r="O86" i="91"/>
  <c r="M21" i="74"/>
  <c r="P165" i="74"/>
  <c r="Y73" i="85"/>
  <c r="N90" i="89"/>
  <c r="X74" i="85"/>
  <c r="Y152" i="91"/>
  <c r="N75" i="91"/>
  <c r="Y123" i="81"/>
  <c r="Y33" i="82"/>
  <c r="P84" i="85"/>
  <c r="O157" i="83"/>
  <c r="X9" i="92"/>
  <c r="O31" i="88"/>
  <c r="AB93" i="82"/>
  <c r="Q110" i="81"/>
  <c r="P111" i="82"/>
  <c r="P98" i="81"/>
  <c r="Z149" i="81"/>
  <c r="Y53" i="84"/>
  <c r="AA45" i="83"/>
  <c r="O82" i="84"/>
  <c r="Q180" i="84"/>
  <c r="AB108" i="87"/>
  <c r="X67" i="92"/>
  <c r="Z29" i="88"/>
  <c r="L111" i="83"/>
  <c r="Q154" i="82"/>
  <c r="Y103" i="88"/>
  <c r="Z49" i="91"/>
  <c r="X47" i="85"/>
  <c r="Q87" i="94"/>
  <c r="AB15" i="88"/>
  <c r="Q67" i="91"/>
  <c r="T84" i="83"/>
  <c r="X21" i="94"/>
  <c r="Y107" i="83"/>
  <c r="Y27" i="83"/>
  <c r="Q182" i="91"/>
  <c r="T132" i="92"/>
  <c r="Q176" i="85"/>
  <c r="X130" i="85"/>
  <c r="O74" i="83"/>
  <c r="Q105" i="88"/>
  <c r="AA107" i="94"/>
  <c r="AA95" i="82"/>
  <c r="X170" i="74"/>
  <c r="Z167" i="87"/>
  <c r="Q161" i="83"/>
  <c r="Y140" i="84"/>
  <c r="O182" i="89"/>
  <c r="P154" i="74"/>
  <c r="AA81" i="92"/>
  <c r="Q49" i="83"/>
  <c r="Z82" i="87"/>
  <c r="X47" i="92"/>
  <c r="AB103" i="83"/>
  <c r="Z131" i="87"/>
  <c r="Q134" i="82"/>
  <c r="AA133" i="83"/>
  <c r="X9" i="91"/>
  <c r="T108" i="93"/>
  <c r="O39" i="87"/>
  <c r="AB92" i="81"/>
  <c r="Z142" i="87"/>
  <c r="N69" i="82"/>
  <c r="Y112" i="88"/>
  <c r="P144" i="92"/>
  <c r="L106" i="74"/>
  <c r="AA81" i="84"/>
  <c r="X68" i="84"/>
  <c r="Q55" i="81"/>
  <c r="P45" i="85"/>
  <c r="L135" i="81"/>
  <c r="X165" i="83"/>
  <c r="Q173" i="83"/>
  <c r="O49" i="82"/>
  <c r="T87" i="88"/>
  <c r="M41" i="83"/>
  <c r="O123" i="89"/>
  <c r="Q138" i="85"/>
  <c r="X171" i="74"/>
  <c r="L185" i="83"/>
  <c r="Y77" i="92"/>
  <c r="Q127" i="74"/>
  <c r="O124" i="83"/>
  <c r="AB68" i="87"/>
  <c r="AB168" i="92"/>
  <c r="O99" i="82"/>
  <c r="L184" i="74"/>
  <c r="Z120" i="87"/>
  <c r="Y143" i="82"/>
  <c r="Z72" i="84"/>
  <c r="T81" i="74"/>
  <c r="O71" i="85"/>
  <c r="Q112" i="91"/>
  <c r="N129" i="85"/>
  <c r="P136" i="87"/>
  <c r="AB151" i="88"/>
  <c r="O21" i="82"/>
  <c r="AA53" i="84"/>
  <c r="L152" i="83"/>
  <c r="Z66" i="88"/>
  <c r="AA80" i="81"/>
  <c r="AB33" i="87"/>
  <c r="Z153" i="85"/>
  <c r="X65" i="81"/>
  <c r="P90" i="74"/>
  <c r="AA87" i="87"/>
  <c r="Z107" i="85"/>
  <c r="O71" i="83"/>
  <c r="X133" i="81"/>
  <c r="Z67" i="88"/>
  <c r="Z164" i="87"/>
  <c r="AA107" i="74"/>
  <c r="T105" i="91"/>
  <c r="O173" i="91"/>
  <c r="AB108" i="89"/>
  <c r="L99" i="89"/>
  <c r="Y169" i="87"/>
  <c r="P104" i="83"/>
  <c r="P29" i="82"/>
  <c r="O178" i="82"/>
  <c r="O184" i="88"/>
  <c r="AA152" i="89"/>
  <c r="Z122" i="91"/>
  <c r="Z69" i="81"/>
  <c r="Q65" i="81"/>
  <c r="L99" i="88"/>
  <c r="AB180" i="89"/>
  <c r="AA118" i="83"/>
  <c r="Z81" i="82"/>
  <c r="P166" i="84"/>
  <c r="L113" i="82"/>
  <c r="Q33" i="82"/>
  <c r="Y15" i="93"/>
  <c r="AB96" i="93"/>
  <c r="Q102" i="92"/>
  <c r="L164" i="93"/>
  <c r="X121" i="74"/>
  <c r="AA172" i="82"/>
  <c r="P161" i="81"/>
  <c r="Q90" i="89"/>
  <c r="Q139" i="88"/>
  <c r="Z59" i="94"/>
  <c r="X114" i="91"/>
  <c r="AB133" i="85"/>
  <c r="P69" i="93"/>
  <c r="P37" i="82"/>
  <c r="Z53" i="82"/>
  <c r="Z124" i="83"/>
  <c r="L64" i="89"/>
  <c r="O145" i="74"/>
  <c r="Q136" i="87"/>
  <c r="AB17" i="88"/>
  <c r="X145" i="74"/>
  <c r="Q113" i="85"/>
  <c r="Z162" i="93"/>
  <c r="P154" i="88"/>
  <c r="P154" i="87"/>
  <c r="O94" i="84"/>
  <c r="AB23" i="81"/>
  <c r="P137" i="85"/>
  <c r="O98" i="81"/>
  <c r="Z37" i="88"/>
  <c r="N177" i="85"/>
  <c r="Y176" i="94"/>
  <c r="Z132" i="74"/>
  <c r="L132" i="88"/>
  <c r="AA148" i="82"/>
  <c r="P150" i="87"/>
  <c r="Y45" i="87"/>
  <c r="P87" i="87"/>
  <c r="P106" i="83"/>
  <c r="Z76" i="82"/>
  <c r="AA116" i="81"/>
  <c r="X11" i="85"/>
  <c r="X142" i="74"/>
  <c r="Q172" i="81"/>
  <c r="L182" i="74"/>
  <c r="AA104" i="88"/>
  <c r="Q53" i="82"/>
  <c r="AA74" i="82"/>
  <c r="AA103" i="82"/>
  <c r="Z113" i="91"/>
  <c r="AB17" i="84"/>
  <c r="O134" i="82"/>
  <c r="P142" i="89"/>
  <c r="X138" i="74"/>
  <c r="AA95" i="74"/>
  <c r="T174" i="74"/>
  <c r="Y168" i="87"/>
  <c r="M31" i="83"/>
  <c r="X104" i="74"/>
  <c r="O145" i="87"/>
  <c r="Y153" i="74"/>
  <c r="O156" i="84"/>
  <c r="X80" i="83"/>
  <c r="Z105" i="88"/>
  <c r="X94" i="82"/>
  <c r="T69" i="93"/>
  <c r="Z151" i="74"/>
  <c r="Q112" i="87"/>
  <c r="L77" i="92"/>
  <c r="Q47" i="84"/>
  <c r="O29" i="84"/>
  <c r="X53" i="82"/>
  <c r="Q139" i="81"/>
  <c r="Q98" i="87"/>
  <c r="AB72" i="85"/>
  <c r="O98" i="92"/>
  <c r="X39" i="82"/>
  <c r="AA180" i="84"/>
  <c r="X61" i="82"/>
  <c r="Y144" i="85"/>
  <c r="N108" i="87"/>
  <c r="M31" i="93"/>
  <c r="Q148" i="85"/>
  <c r="O39" i="83"/>
  <c r="O31" i="83"/>
  <c r="N144" i="81"/>
  <c r="AA144" i="82"/>
  <c r="L119" i="84"/>
  <c r="L146" i="87"/>
  <c r="Z43" i="88"/>
  <c r="O90" i="82"/>
  <c r="Q61" i="81"/>
  <c r="T57" i="83"/>
  <c r="Q31" i="84"/>
  <c r="Z78" i="88"/>
  <c r="Y116" i="84"/>
  <c r="T84" i="82"/>
  <c r="L74" i="93"/>
  <c r="Q88" i="74"/>
  <c r="O104" i="83"/>
  <c r="AA174" i="91"/>
  <c r="AB172" i="87"/>
  <c r="M55" i="82"/>
  <c r="Y67" i="94"/>
  <c r="AB33" i="82"/>
  <c r="O100" i="84"/>
  <c r="T96" i="83"/>
  <c r="P127" i="81"/>
  <c r="O152" i="81"/>
  <c r="Z109" i="83"/>
  <c r="O163" i="87"/>
  <c r="P136" i="74"/>
  <c r="Q131" i="84"/>
  <c r="Y93" i="81"/>
  <c r="T144" i="94"/>
  <c r="Q55" i="91"/>
  <c r="L101" i="74"/>
  <c r="P127" i="87"/>
  <c r="Y63" i="89"/>
  <c r="O100" i="88"/>
  <c r="X77" i="87"/>
  <c r="O99" i="85"/>
  <c r="L152" i="94"/>
  <c r="O73" i="93"/>
  <c r="N96" i="85"/>
  <c r="P77" i="85"/>
  <c r="Q85" i="89"/>
  <c r="P55" i="82"/>
  <c r="P150" i="84"/>
  <c r="T120" i="84"/>
  <c r="Q45" i="83"/>
  <c r="AA74" i="83"/>
  <c r="L146" i="81"/>
  <c r="Z130" i="93"/>
  <c r="AA98" i="87"/>
  <c r="AB139" i="89"/>
  <c r="Y75" i="74"/>
  <c r="AB23" i="92"/>
  <c r="L157" i="83"/>
  <c r="Y127" i="83"/>
  <c r="T15" i="87"/>
  <c r="AA66" i="91"/>
  <c r="T15" i="85"/>
  <c r="Y27" i="87"/>
  <c r="T132" i="74"/>
  <c r="Q91" i="74"/>
  <c r="Y171" i="82"/>
  <c r="N162" i="84"/>
  <c r="P53" i="89"/>
  <c r="AB108" i="82"/>
  <c r="T129" i="88"/>
  <c r="AA104" i="85"/>
  <c r="Q143" i="87"/>
  <c r="O160" i="89"/>
  <c r="AB118" i="89"/>
  <c r="L82" i="89"/>
  <c r="P41" i="92"/>
  <c r="O154" i="83"/>
  <c r="Y113" i="84"/>
  <c r="P152" i="84"/>
  <c r="Y136" i="89"/>
  <c r="X89" i="83"/>
  <c r="Z119" i="83"/>
  <c r="Q13" i="81"/>
  <c r="X166" i="81"/>
  <c r="P108" i="87"/>
  <c r="Q138" i="88"/>
  <c r="Y169" i="89"/>
  <c r="O11" i="81"/>
  <c r="L124" i="74"/>
  <c r="AA88" i="82"/>
  <c r="Z85" i="88"/>
  <c r="O116" i="88"/>
  <c r="AB121" i="91"/>
  <c r="P109" i="91"/>
  <c r="AA91" i="74"/>
  <c r="L169" i="88"/>
  <c r="P82" i="84"/>
  <c r="Y119" i="88"/>
  <c r="L115" i="83"/>
  <c r="O148" i="94"/>
  <c r="P120" i="81"/>
  <c r="P78" i="87"/>
  <c r="O158" i="91"/>
  <c r="X95" i="92"/>
  <c r="AB112" i="81"/>
  <c r="AA70" i="84"/>
  <c r="X98" i="85"/>
  <c r="Z129" i="88"/>
  <c r="Y122" i="89"/>
  <c r="P92" i="91"/>
  <c r="O63" i="88"/>
  <c r="Y159" i="81"/>
  <c r="O133" i="89"/>
  <c r="Z138" i="88"/>
  <c r="Z125" i="81"/>
  <c r="P41" i="85"/>
  <c r="X105" i="83"/>
  <c r="X90" i="84"/>
  <c r="T96" i="94"/>
  <c r="T147" i="88"/>
  <c r="AB33" i="85"/>
  <c r="L119" i="91"/>
  <c r="X134" i="89"/>
  <c r="N147" i="82"/>
  <c r="X129" i="85"/>
  <c r="M9" i="88"/>
  <c r="O89" i="74"/>
  <c r="AB154" i="81"/>
  <c r="X92" i="81"/>
  <c r="Z87" i="74"/>
  <c r="X103" i="82"/>
  <c r="AA11" i="89"/>
  <c r="Q80" i="85"/>
  <c r="L82" i="87"/>
  <c r="M43" i="81"/>
  <c r="X173" i="84"/>
  <c r="Q108" i="87"/>
  <c r="N168" i="85"/>
  <c r="AB102" i="85"/>
  <c r="O74" i="81"/>
  <c r="L112" i="87"/>
  <c r="Q175" i="85"/>
  <c r="Q57" i="81"/>
  <c r="X112" i="74"/>
  <c r="N105" i="91"/>
  <c r="Z39" i="82"/>
  <c r="O125" i="91"/>
  <c r="Y128" i="83"/>
  <c r="Q180" i="89"/>
  <c r="Q59" i="74"/>
  <c r="L124" i="92"/>
  <c r="P158" i="87"/>
  <c r="X122" i="81"/>
  <c r="O160" i="85"/>
  <c r="Y121" i="92"/>
  <c r="AB121" i="89"/>
  <c r="AB158" i="81"/>
  <c r="Q117" i="87"/>
  <c r="Z103" i="89"/>
  <c r="AA129" i="83"/>
  <c r="Y113" i="83"/>
  <c r="AB173" i="83"/>
  <c r="O153" i="84"/>
  <c r="Q154" i="88"/>
  <c r="L92" i="82"/>
  <c r="P35" i="92"/>
  <c r="AA144" i="81"/>
  <c r="Z118" i="82"/>
  <c r="AA175" i="83"/>
  <c r="AA91" i="85"/>
  <c r="L181" i="89"/>
  <c r="Q90" i="84"/>
  <c r="AB163" i="89"/>
  <c r="O113" i="85"/>
  <c r="Z166" i="83"/>
  <c r="Q88" i="94"/>
  <c r="AA145" i="74"/>
  <c r="Z89" i="85"/>
  <c r="O154" i="74"/>
  <c r="AA45" i="84"/>
  <c r="L166" i="83"/>
  <c r="O174" i="91"/>
  <c r="Y87" i="81"/>
  <c r="P68" i="87"/>
  <c r="O84" i="82"/>
  <c r="P173" i="85"/>
  <c r="L84" i="85"/>
  <c r="Z140" i="81"/>
  <c r="AB19" i="82"/>
  <c r="Z57" i="87"/>
  <c r="Z107" i="89"/>
  <c r="Z153" i="74"/>
  <c r="Y47" i="82"/>
  <c r="N156" i="84"/>
  <c r="L64" i="87"/>
  <c r="P173" i="94"/>
  <c r="Y76" i="83"/>
  <c r="Z154" i="91"/>
  <c r="X88" i="84"/>
  <c r="P132" i="91"/>
  <c r="X91" i="91"/>
  <c r="T102" i="84"/>
  <c r="Y104" i="81"/>
  <c r="Q81" i="83"/>
  <c r="AA122" i="85"/>
  <c r="Q159" i="74"/>
  <c r="Q103" i="89"/>
  <c r="AA64" i="88"/>
  <c r="AA117" i="87"/>
  <c r="N57" i="74"/>
  <c r="M55" i="85"/>
  <c r="Y15" i="87"/>
  <c r="P113" i="87"/>
  <c r="Y102" i="89"/>
  <c r="AA95" i="87"/>
  <c r="Z80" i="94"/>
  <c r="Y80" i="94"/>
  <c r="Q76" i="81"/>
  <c r="O25" i="84"/>
  <c r="P158" i="84"/>
  <c r="Z94" i="74"/>
  <c r="AA86" i="81"/>
  <c r="Q132" i="81"/>
  <c r="M43" i="82"/>
  <c r="X88" i="74"/>
  <c r="P80" i="94"/>
  <c r="O142" i="94"/>
  <c r="O64" i="84"/>
  <c r="AB121" i="92"/>
  <c r="L106" i="81"/>
  <c r="AA137" i="87"/>
  <c r="AB82" i="82"/>
  <c r="AB124" i="83"/>
  <c r="AA35" i="91"/>
  <c r="L72" i="91"/>
  <c r="P71" i="91"/>
  <c r="O85" i="84"/>
  <c r="L179" i="93"/>
  <c r="AB15" i="89"/>
  <c r="Q95" i="85"/>
  <c r="Y173" i="89"/>
  <c r="AA9" i="85"/>
  <c r="X70" i="81"/>
  <c r="Z120" i="91"/>
  <c r="Z77" i="87"/>
  <c r="P87" i="94"/>
  <c r="Q19" i="87"/>
  <c r="AB55" i="91"/>
  <c r="O15" i="87"/>
  <c r="P157" i="89"/>
  <c r="Y64" i="89"/>
  <c r="AA53" i="87"/>
  <c r="N15" i="87"/>
  <c r="AA128" i="87"/>
  <c r="P174" i="89"/>
  <c r="O66" i="74"/>
  <c r="L153" i="84"/>
  <c r="Q82" i="94"/>
  <c r="X170" i="88"/>
  <c r="AA126" i="89"/>
  <c r="X171" i="81"/>
  <c r="Z168" i="83"/>
  <c r="AA117" i="84"/>
  <c r="X170" i="82"/>
  <c r="O181" i="94"/>
  <c r="L83" i="87"/>
  <c r="Z113" i="82"/>
  <c r="AB140" i="85"/>
  <c r="P161" i="84"/>
  <c r="X131" i="87"/>
  <c r="L163" i="88"/>
  <c r="N57" i="85"/>
  <c r="AA144" i="84"/>
  <c r="P158" i="83"/>
  <c r="T126" i="93"/>
  <c r="O168" i="93"/>
  <c r="T90" i="94"/>
  <c r="AA29" i="83"/>
  <c r="Z61" i="88"/>
  <c r="Q49" i="85"/>
  <c r="Y165" i="82"/>
  <c r="X150" i="83"/>
  <c r="AB141" i="87"/>
  <c r="Y140" i="87"/>
  <c r="AA158" i="88"/>
  <c r="AA69" i="93"/>
  <c r="AA154" i="84"/>
  <c r="Z170" i="91"/>
  <c r="AA65" i="84"/>
  <c r="Y162" i="87"/>
  <c r="T15" i="93"/>
  <c r="Y76" i="82"/>
  <c r="N102" i="89"/>
  <c r="Z9" i="74"/>
  <c r="Z150" i="93"/>
  <c r="X97" i="82"/>
  <c r="P17" i="74"/>
  <c r="P41" i="89"/>
  <c r="Q130" i="81"/>
  <c r="N141" i="91"/>
  <c r="L65" i="82"/>
  <c r="Y113" i="87"/>
  <c r="Z141" i="82"/>
  <c r="Y91" i="91"/>
  <c r="L74" i="82"/>
  <c r="Y168" i="83"/>
  <c r="Q43" i="85"/>
  <c r="Y83" i="88"/>
  <c r="P111" i="84"/>
  <c r="P126" i="84"/>
  <c r="AB160" i="82"/>
  <c r="Y63" i="92"/>
  <c r="AB156" i="88"/>
  <c r="X108" i="85"/>
  <c r="Q168" i="87"/>
  <c r="O116" i="87"/>
  <c r="Y124" i="83"/>
  <c r="L85" i="93"/>
  <c r="Z153" i="87"/>
  <c r="Y13" i="92"/>
  <c r="Q111" i="83"/>
  <c r="AA174" i="89"/>
  <c r="AA51" i="74"/>
  <c r="AB37" i="84"/>
  <c r="X74" i="82"/>
  <c r="AA129" i="82"/>
  <c r="X133" i="83"/>
  <c r="AA149" i="91"/>
  <c r="AA19" i="85"/>
  <c r="P66" i="84"/>
  <c r="P87" i="91"/>
  <c r="T147" i="83"/>
  <c r="Z143" i="84"/>
  <c r="Q134" i="94"/>
  <c r="O185" i="91"/>
  <c r="P69" i="89"/>
  <c r="X134" i="82"/>
  <c r="P77" i="89"/>
  <c r="N27" i="82"/>
  <c r="L81" i="91"/>
  <c r="Y67" i="81"/>
  <c r="AA63" i="88"/>
  <c r="M15" i="83"/>
  <c r="O133" i="82"/>
  <c r="AA79" i="91"/>
  <c r="O159" i="84"/>
  <c r="P148" i="85"/>
  <c r="O82" i="94"/>
  <c r="T168" i="94"/>
  <c r="P141" i="74"/>
  <c r="L129" i="85"/>
  <c r="Y154" i="85"/>
  <c r="Z11" i="81"/>
  <c r="AA13" i="81"/>
  <c r="Q51" i="74"/>
  <c r="AB164" i="83"/>
  <c r="L79" i="82"/>
  <c r="Q140" i="85"/>
  <c r="Z91" i="74"/>
  <c r="P23" i="83"/>
  <c r="Y37" i="81"/>
  <c r="Y105" i="92"/>
  <c r="Z126" i="93"/>
  <c r="N147" i="74"/>
  <c r="Z106" i="74"/>
  <c r="P123" i="88"/>
  <c r="Q78" i="84"/>
  <c r="AA125" i="88"/>
  <c r="Z55" i="84"/>
  <c r="T102" i="89"/>
  <c r="Q114" i="89"/>
  <c r="P19" i="84"/>
  <c r="AB103" i="84"/>
  <c r="O70" i="82"/>
  <c r="P137" i="92"/>
  <c r="Y67" i="93"/>
  <c r="AA77" i="83"/>
  <c r="AA67" i="81"/>
  <c r="Z51" i="74"/>
  <c r="X88" i="83"/>
  <c r="P173" i="83"/>
  <c r="P103" i="82"/>
  <c r="Q168" i="88"/>
  <c r="X126" i="84"/>
  <c r="Z111" i="74"/>
  <c r="Y125" i="92"/>
  <c r="AB113" i="82"/>
  <c r="O71" i="91"/>
  <c r="P136" i="88"/>
  <c r="P76" i="82"/>
  <c r="O99" i="83"/>
  <c r="O149" i="88"/>
  <c r="L85" i="74"/>
  <c r="L142" i="89"/>
  <c r="X125" i="74"/>
  <c r="AA73" i="82"/>
  <c r="P167" i="91"/>
  <c r="P39" i="89"/>
  <c r="Q142" i="83"/>
  <c r="Z165" i="85"/>
  <c r="O79" i="82"/>
  <c r="Y69" i="91"/>
  <c r="X160" i="74"/>
  <c r="Z15" i="82"/>
  <c r="Z99" i="83"/>
  <c r="X154" i="91"/>
  <c r="Z177" i="81"/>
  <c r="O17" i="83"/>
  <c r="Y117" i="88"/>
  <c r="AB67" i="84"/>
  <c r="O117" i="74"/>
  <c r="N84" i="91"/>
  <c r="N96" i="81"/>
  <c r="T144" i="74"/>
  <c r="L155" i="74"/>
  <c r="L88" i="87"/>
  <c r="Q81" i="92"/>
  <c r="M29" i="92"/>
  <c r="L89" i="85"/>
  <c r="L115" i="81"/>
  <c r="Q143" i="89"/>
  <c r="P115" i="87"/>
  <c r="T114" i="85"/>
  <c r="N120" i="88"/>
  <c r="Y118" i="85"/>
  <c r="Z165" i="87"/>
  <c r="Z84" i="85"/>
  <c r="Q171" i="85"/>
  <c r="T66" i="87"/>
  <c r="Y131" i="94"/>
  <c r="Y17" i="87"/>
  <c r="P138" i="94"/>
  <c r="AA85" i="74"/>
  <c r="AB35" i="88"/>
  <c r="P163" i="84"/>
  <c r="AA89" i="74"/>
  <c r="Y119" i="84"/>
  <c r="AB88" i="84"/>
  <c r="P151" i="83"/>
  <c r="AB154" i="94"/>
  <c r="Z164" i="74"/>
  <c r="Z41" i="85"/>
  <c r="L145" i="83"/>
  <c r="X66" i="87"/>
  <c r="P169" i="74"/>
  <c r="P94" i="74"/>
  <c r="X159" i="94"/>
  <c r="P83" i="84"/>
  <c r="AA73" i="88"/>
  <c r="Z45" i="89"/>
  <c r="Y77" i="91"/>
  <c r="O92" i="87"/>
  <c r="AB163" i="81"/>
  <c r="AB66" i="85"/>
  <c r="AA118" i="82"/>
  <c r="Z149" i="83"/>
  <c r="M59" i="83"/>
  <c r="P149" i="88"/>
  <c r="AB31" i="87"/>
  <c r="O63" i="81"/>
  <c r="N105" i="83"/>
  <c r="P66" i="92"/>
  <c r="T57" i="85"/>
  <c r="Q78" i="85"/>
  <c r="X131" i="88"/>
  <c r="AB180" i="91"/>
  <c r="L112" i="81"/>
  <c r="Q108" i="83"/>
  <c r="Q156" i="82"/>
  <c r="AB80" i="87"/>
  <c r="Z37" i="91"/>
  <c r="AA110" i="81"/>
  <c r="Z104" i="81"/>
  <c r="AB180" i="93"/>
  <c r="Z138" i="94"/>
  <c r="AB128" i="85"/>
  <c r="L149" i="89"/>
  <c r="Y96" i="85"/>
  <c r="O152" i="85"/>
  <c r="P155" i="88"/>
  <c r="P171" i="84"/>
  <c r="Z72" i="83"/>
  <c r="X63" i="84"/>
  <c r="P149" i="85"/>
  <c r="Z168" i="93"/>
  <c r="Y69" i="84"/>
  <c r="AA104" i="84"/>
  <c r="Y31" i="81"/>
  <c r="T78" i="93"/>
  <c r="AA99" i="74"/>
  <c r="AA117" i="81"/>
  <c r="L121" i="91"/>
  <c r="Y137" i="74"/>
  <c r="Z175" i="85"/>
  <c r="Q175" i="83"/>
  <c r="Z162" i="74"/>
  <c r="Z160" i="82"/>
  <c r="Q152" i="88"/>
  <c r="P151" i="82"/>
  <c r="O105" i="85"/>
  <c r="Q108" i="88"/>
  <c r="AA86" i="82"/>
  <c r="O41" i="87"/>
  <c r="Z126" i="89"/>
  <c r="O123" i="74"/>
  <c r="Y113" i="92"/>
  <c r="X41" i="81"/>
  <c r="L144" i="89"/>
  <c r="AB57" i="91"/>
  <c r="Q9" i="85"/>
  <c r="L180" i="88"/>
  <c r="AB141" i="81"/>
  <c r="Z144" i="74"/>
  <c r="Q11" i="94"/>
  <c r="AA64" i="81"/>
  <c r="Y97" i="83"/>
  <c r="AB176" i="82"/>
  <c r="P106" i="74"/>
  <c r="P160" i="93"/>
  <c r="N147" i="81"/>
  <c r="L76" i="81"/>
  <c r="P151" i="84"/>
  <c r="Z69" i="83"/>
  <c r="P66" i="83"/>
  <c r="L133" i="87"/>
  <c r="AB161" i="91"/>
  <c r="Q181" i="84"/>
  <c r="P122" i="74"/>
  <c r="AB134" i="94"/>
  <c r="AA98" i="83"/>
  <c r="X9" i="82"/>
  <c r="M37" i="91"/>
  <c r="Z77" i="92"/>
  <c r="X121" i="89"/>
  <c r="P152" i="94"/>
  <c r="AA153" i="81"/>
  <c r="L151" i="94"/>
  <c r="AA9" i="87"/>
  <c r="P116" i="84"/>
  <c r="L149" i="84"/>
  <c r="Y118" i="87"/>
  <c r="N72" i="82"/>
  <c r="L80" i="84"/>
  <c r="Z47" i="88"/>
  <c r="X158" i="91"/>
  <c r="O113" i="81"/>
  <c r="O114" i="82"/>
  <c r="O78" i="88"/>
  <c r="O25" i="83"/>
  <c r="X125" i="88"/>
  <c r="AA13" i="89"/>
  <c r="Z69" i="92"/>
  <c r="L66" i="74"/>
  <c r="X84" i="87"/>
  <c r="Z81" i="84"/>
  <c r="O123" i="94"/>
  <c r="AA61" i="91"/>
  <c r="P79" i="88"/>
  <c r="O61" i="85"/>
  <c r="Y104" i="85"/>
  <c r="N66" i="82"/>
  <c r="T153" i="91"/>
  <c r="O94" i="89"/>
  <c r="Y64" i="81"/>
  <c r="AA166" i="91"/>
  <c r="Q150" i="84"/>
  <c r="L154" i="83"/>
  <c r="Q72" i="74"/>
  <c r="Q162" i="83"/>
  <c r="P86" i="84"/>
  <c r="O108" i="89"/>
  <c r="AA72" i="92"/>
  <c r="Q146" i="74"/>
  <c r="L89" i="74"/>
  <c r="AA157" i="74"/>
  <c r="Q113" i="89"/>
  <c r="L68" i="88"/>
  <c r="P78" i="81"/>
  <c r="Z125" i="85"/>
  <c r="AA90" i="81"/>
  <c r="Q169" i="85"/>
  <c r="AA109" i="94"/>
  <c r="X66" i="74"/>
  <c r="Y141" i="83"/>
  <c r="Y59" i="92"/>
  <c r="AB73" i="92"/>
  <c r="T177" i="87"/>
  <c r="P179" i="88"/>
  <c r="Y80" i="89"/>
  <c r="T162" i="94"/>
  <c r="AA100" i="89"/>
  <c r="L141" i="74"/>
  <c r="O97" i="93"/>
  <c r="Q63" i="87"/>
  <c r="Y61" i="84"/>
  <c r="L161" i="89"/>
  <c r="Z27" i="88"/>
  <c r="X53" i="84"/>
  <c r="Z66" i="74"/>
  <c r="L103" i="88"/>
  <c r="X94" i="84"/>
  <c r="AB150" i="93"/>
  <c r="AB90" i="94"/>
  <c r="L87" i="88"/>
  <c r="N138" i="87"/>
  <c r="O53" i="93"/>
  <c r="AA74" i="84"/>
  <c r="N129" i="74"/>
  <c r="L155" i="87"/>
  <c r="M39" i="88"/>
  <c r="AA169" i="89"/>
  <c r="AA19" i="84"/>
  <c r="AA47" i="87"/>
  <c r="P127" i="92"/>
  <c r="Z141" i="89"/>
  <c r="AA77" i="89"/>
  <c r="X162" i="74"/>
  <c r="O88" i="81"/>
  <c r="M15" i="91"/>
  <c r="P117" i="81"/>
  <c r="Q163" i="81"/>
  <c r="P17" i="82"/>
  <c r="O107" i="81"/>
  <c r="L181" i="81"/>
  <c r="O170" i="84"/>
  <c r="Y98" i="74"/>
  <c r="Q114" i="83"/>
  <c r="Q76" i="93"/>
  <c r="P104" i="81"/>
  <c r="Q179" i="84"/>
  <c r="AA174" i="84"/>
  <c r="T27" i="87"/>
  <c r="Q135" i="85"/>
  <c r="P53" i="82"/>
  <c r="L156" i="91"/>
  <c r="AA125" i="85"/>
  <c r="Z41" i="81"/>
  <c r="Y79" i="74"/>
  <c r="Z29" i="85"/>
  <c r="AA113" i="85"/>
  <c r="M9" i="87"/>
  <c r="AA97" i="88"/>
  <c r="L172" i="91"/>
  <c r="L170" i="87"/>
  <c r="AB81" i="87"/>
  <c r="Y80" i="74"/>
  <c r="AA167" i="91"/>
  <c r="L77" i="84"/>
  <c r="AB109" i="82"/>
  <c r="Y169" i="83"/>
  <c r="O82" i="74"/>
  <c r="P74" i="89"/>
  <c r="Z114" i="74"/>
  <c r="AA98" i="74"/>
  <c r="T123" i="85"/>
  <c r="AB151" i="83"/>
  <c r="O57" i="82"/>
  <c r="T153" i="88"/>
  <c r="N141" i="82"/>
  <c r="P164" i="82"/>
  <c r="L91" i="74"/>
  <c r="O151" i="93"/>
  <c r="Y74" i="85"/>
  <c r="P93" i="91"/>
  <c r="O63" i="92"/>
  <c r="O121" i="87"/>
  <c r="Y67" i="89"/>
  <c r="O19" i="84"/>
  <c r="AB123" i="84"/>
  <c r="AB150" i="81"/>
  <c r="Y77" i="88"/>
  <c r="X161" i="81"/>
  <c r="Y57" i="93"/>
  <c r="Q29" i="83"/>
  <c r="N183" i="87"/>
  <c r="Y173" i="91"/>
  <c r="O162" i="89"/>
  <c r="Y140" i="74"/>
  <c r="Q69" i="87"/>
  <c r="L157" i="82"/>
  <c r="N102" i="81"/>
  <c r="P29" i="85"/>
  <c r="AB76" i="93"/>
  <c r="X127" i="84"/>
  <c r="L119" i="87"/>
  <c r="AB147" i="85"/>
  <c r="AB85" i="94"/>
  <c r="N162" i="89"/>
  <c r="AA31" i="83"/>
  <c r="L161" i="74"/>
  <c r="Z84" i="89"/>
  <c r="O51" i="85"/>
  <c r="Q109" i="82"/>
  <c r="T93" i="85"/>
  <c r="L173" i="91"/>
  <c r="X123" i="83"/>
  <c r="O149" i="94"/>
  <c r="L178" i="93"/>
  <c r="AA136" i="81"/>
  <c r="Q164" i="85"/>
  <c r="X166" i="83"/>
  <c r="Z177" i="94"/>
  <c r="Y75" i="83"/>
  <c r="AB144" i="83"/>
  <c r="O66" i="84"/>
  <c r="O161" i="74"/>
  <c r="O15" i="85"/>
  <c r="Y95" i="89"/>
  <c r="Z119" i="94"/>
  <c r="Q160" i="93"/>
  <c r="O51" i="82"/>
  <c r="AA130" i="84"/>
  <c r="AB155" i="82"/>
  <c r="P67" i="81"/>
  <c r="M25" i="89"/>
  <c r="AB77" i="89"/>
  <c r="Z105" i="81"/>
  <c r="AA63" i="81"/>
  <c r="P138" i="88"/>
  <c r="AA74" i="81"/>
  <c r="Z45" i="88"/>
  <c r="T123" i="84"/>
  <c r="X72" i="88"/>
  <c r="L145" i="91"/>
  <c r="Q39" i="82"/>
  <c r="Y153" i="81"/>
  <c r="T177" i="88"/>
  <c r="Y124" i="81"/>
  <c r="L165" i="93"/>
  <c r="Q59" i="83"/>
  <c r="AB131" i="87"/>
  <c r="O13" i="91"/>
  <c r="AA15" i="81"/>
  <c r="M9" i="81"/>
  <c r="O152" i="82"/>
  <c r="M15" i="82"/>
  <c r="X77" i="81"/>
  <c r="AB139" i="84"/>
  <c r="AA173" i="83"/>
  <c r="AB131" i="85"/>
  <c r="AA31" i="89"/>
  <c r="Y67" i="84"/>
  <c r="AA61" i="81"/>
  <c r="O131" i="87"/>
  <c r="O170" i="87"/>
  <c r="AB92" i="85"/>
  <c r="P64" i="84"/>
  <c r="Z81" i="89"/>
  <c r="Z112" i="84"/>
  <c r="N126" i="83"/>
  <c r="Y168" i="85"/>
  <c r="O100" i="74"/>
  <c r="AA67" i="84"/>
  <c r="Z76" i="89"/>
  <c r="AB103" i="85"/>
  <c r="AA160" i="82"/>
  <c r="AA19" i="82"/>
  <c r="O67" i="74"/>
  <c r="O116" i="84"/>
  <c r="P165" i="81"/>
  <c r="Q79" i="82"/>
  <c r="Q126" i="85"/>
  <c r="P64" i="92"/>
  <c r="Z154" i="81"/>
  <c r="Y35" i="81"/>
  <c r="Y33" i="74"/>
  <c r="T15" i="94"/>
  <c r="Z77" i="82"/>
  <c r="L167" i="74"/>
  <c r="P29" i="93"/>
  <c r="AA112" i="89"/>
  <c r="X151" i="84"/>
  <c r="L126" i="94"/>
  <c r="Q164" i="89"/>
  <c r="AB107" i="82"/>
  <c r="P27" i="83"/>
  <c r="O120" i="91"/>
  <c r="X114" i="94"/>
  <c r="L87" i="83"/>
  <c r="P122" i="91"/>
  <c r="P101" i="82"/>
  <c r="T177" i="84"/>
  <c r="Y91" i="81"/>
  <c r="P152" i="74"/>
  <c r="Y83" i="81"/>
  <c r="M45" i="81"/>
  <c r="X68" i="74"/>
  <c r="AB79" i="93"/>
  <c r="O116" i="82"/>
  <c r="O153" i="85"/>
  <c r="Y143" i="91"/>
  <c r="N51" i="82"/>
  <c r="X79" i="88"/>
  <c r="P23" i="82"/>
  <c r="Z102" i="81"/>
  <c r="O57" i="91"/>
  <c r="AA100" i="94"/>
  <c r="AA151" i="74"/>
  <c r="AB105" i="88"/>
  <c r="P61" i="82"/>
  <c r="M27" i="82"/>
  <c r="T159" i="92"/>
  <c r="P70" i="84"/>
  <c r="Z87" i="81"/>
  <c r="O122" i="84"/>
  <c r="T9" i="74"/>
  <c r="P21" i="91"/>
  <c r="AA83" i="88"/>
  <c r="L129" i="91"/>
  <c r="Q151" i="91"/>
  <c r="L109" i="93"/>
  <c r="Y71" i="89"/>
  <c r="AA176" i="94"/>
  <c r="Y146" i="85"/>
  <c r="L92" i="85"/>
  <c r="AA19" i="94"/>
  <c r="Q144" i="87"/>
  <c r="AA107" i="82"/>
  <c r="N135" i="83"/>
  <c r="T120" i="88"/>
  <c r="P67" i="83"/>
  <c r="Z148" i="84"/>
  <c r="O103" i="82"/>
  <c r="T156" i="89"/>
  <c r="L172" i="83"/>
  <c r="L63" i="93"/>
  <c r="X122" i="83"/>
  <c r="X59" i="81"/>
  <c r="Q121" i="87"/>
  <c r="AB78" i="84"/>
  <c r="L150" i="82"/>
  <c r="Z85" i="85"/>
  <c r="AA77" i="92"/>
  <c r="P43" i="82"/>
  <c r="AB121" i="84"/>
  <c r="AB49" i="87"/>
  <c r="P179" i="89"/>
  <c r="X25" i="92"/>
  <c r="AB136" i="83"/>
  <c r="X96" i="87"/>
  <c r="AB137" i="83"/>
  <c r="AB121" i="81"/>
  <c r="O83" i="82"/>
  <c r="Q71" i="91"/>
  <c r="Y69" i="87"/>
  <c r="Q154" i="83"/>
  <c r="Y93" i="83"/>
  <c r="P72" i="92"/>
  <c r="O51" i="89"/>
  <c r="O111" i="89"/>
  <c r="T102" i="83"/>
  <c r="X162" i="94"/>
  <c r="O172" i="74"/>
  <c r="X89" i="92"/>
  <c r="T21" i="82"/>
  <c r="L140" i="74"/>
  <c r="O99" i="74"/>
  <c r="P115" i="89"/>
  <c r="X105" i="74"/>
  <c r="Z144" i="83"/>
  <c r="AA79" i="74"/>
  <c r="T141" i="94"/>
  <c r="O89" i="83"/>
  <c r="Z123" i="83"/>
  <c r="X156" i="94"/>
  <c r="X147" i="85"/>
  <c r="Z57" i="84"/>
  <c r="T78" i="83"/>
  <c r="L64" i="85"/>
  <c r="L76" i="92"/>
  <c r="P68" i="83"/>
  <c r="AB92" i="88"/>
  <c r="X157" i="88"/>
  <c r="AA27" i="82"/>
  <c r="X109" i="87"/>
  <c r="X31" i="88"/>
  <c r="Z126" i="84"/>
  <c r="N93" i="81"/>
  <c r="P153" i="94"/>
  <c r="Q90" i="91"/>
  <c r="Z72" i="81"/>
  <c r="L116" i="81"/>
  <c r="AB131" i="81"/>
  <c r="L108" i="85"/>
  <c r="X99" i="94"/>
  <c r="AA31" i="74"/>
  <c r="AA168" i="82"/>
  <c r="AB111" i="91"/>
  <c r="L96" i="94"/>
  <c r="L159" i="84"/>
  <c r="X65" i="83"/>
  <c r="M19" i="83"/>
  <c r="AB155" i="83"/>
  <c r="Z79" i="84"/>
  <c r="Y70" i="89"/>
  <c r="AA89" i="81"/>
  <c r="X65" i="88"/>
  <c r="Y25" i="88"/>
  <c r="L124" i="85"/>
  <c r="Q71" i="74"/>
  <c r="N45" i="93"/>
  <c r="Z79" i="83"/>
  <c r="X165" i="74"/>
  <c r="AB147" i="92"/>
  <c r="AA102" i="88"/>
  <c r="Z35" i="82"/>
  <c r="O155" i="84"/>
  <c r="L127" i="88"/>
  <c r="O176" i="82"/>
  <c r="X135" i="84"/>
  <c r="Y9" i="89"/>
  <c r="Q123" i="85"/>
  <c r="Y53" i="85"/>
  <c r="N126" i="87"/>
  <c r="T141" i="74"/>
  <c r="Y99" i="92"/>
  <c r="AB72" i="84"/>
  <c r="T9" i="94"/>
  <c r="AA94" i="84"/>
  <c r="Q35" i="82"/>
  <c r="AB29" i="91"/>
  <c r="Z33" i="82"/>
  <c r="N21" i="74"/>
  <c r="N81" i="84"/>
  <c r="P47" i="74"/>
  <c r="Q120" i="87"/>
  <c r="Z142" i="83"/>
  <c r="L161" i="91"/>
  <c r="N168" i="81"/>
  <c r="Z87" i="83"/>
  <c r="AB114" i="91"/>
  <c r="L109" i="81"/>
  <c r="Y84" i="87"/>
  <c r="AB160" i="89"/>
  <c r="X75" i="74"/>
  <c r="AA73" i="85"/>
  <c r="Z92" i="81"/>
  <c r="X134" i="87"/>
  <c r="Y119" i="81"/>
  <c r="AA76" i="81"/>
  <c r="X152" i="81"/>
  <c r="T69" i="94"/>
  <c r="L172" i="89"/>
  <c r="AA159" i="81"/>
  <c r="X111" i="94"/>
  <c r="P134" i="87"/>
  <c r="AB117" i="82"/>
  <c r="AB13" i="92"/>
  <c r="AB109" i="81"/>
  <c r="Q75" i="87"/>
  <c r="AB74" i="84"/>
  <c r="T120" i="82"/>
  <c r="O161" i="83"/>
  <c r="X133" i="89"/>
  <c r="L154" i="87"/>
  <c r="AB65" i="81"/>
  <c r="N123" i="91"/>
  <c r="Q78" i="83"/>
  <c r="Y171" i="74"/>
  <c r="Z147" i="82"/>
  <c r="Y138" i="91"/>
  <c r="M17" i="82"/>
  <c r="AA82" i="83"/>
  <c r="X47" i="81"/>
  <c r="Q101" i="85"/>
  <c r="O146" i="83"/>
  <c r="Y71" i="92"/>
  <c r="N156" i="83"/>
  <c r="X150" i="82"/>
  <c r="Y166" i="82"/>
  <c r="Y45" i="74"/>
  <c r="AA139" i="82"/>
  <c r="L80" i="81"/>
  <c r="AB35" i="84"/>
  <c r="Y139" i="85"/>
  <c r="Q17" i="85"/>
  <c r="X83" i="83"/>
  <c r="Y99" i="81"/>
  <c r="Z96" i="84"/>
  <c r="Z169" i="82"/>
  <c r="P165" i="88"/>
  <c r="X154" i="84"/>
  <c r="O173" i="93"/>
  <c r="M27" i="84"/>
  <c r="O128" i="84"/>
  <c r="Y118" i="89"/>
  <c r="T51" i="83"/>
  <c r="O161" i="87"/>
  <c r="X115" i="88"/>
  <c r="X74" i="83"/>
  <c r="Q82" i="74"/>
  <c r="P172" i="84"/>
  <c r="N63" i="89"/>
  <c r="O181" i="83"/>
  <c r="O153" i="83"/>
  <c r="P154" i="82"/>
  <c r="AB88" i="88"/>
  <c r="X129" i="89"/>
  <c r="Z168" i="82"/>
  <c r="Q100" i="88"/>
  <c r="P13" i="83"/>
  <c r="Y9" i="74"/>
  <c r="L109" i="92"/>
  <c r="AA90" i="83"/>
  <c r="Y169" i="88"/>
  <c r="Z128" i="91"/>
  <c r="AB29" i="82"/>
  <c r="T99" i="92"/>
  <c r="N171" i="74"/>
  <c r="T27" i="93"/>
  <c r="O82" i="82"/>
  <c r="Z102" i="85"/>
  <c r="P144" i="89"/>
  <c r="AA142" i="83"/>
  <c r="AB11" i="84"/>
  <c r="P59" i="87"/>
  <c r="AA170" i="92"/>
  <c r="Q61" i="89"/>
  <c r="AA63" i="93"/>
  <c r="X90" i="74"/>
  <c r="O125" i="85"/>
  <c r="N132" i="89"/>
  <c r="O11" i="82"/>
  <c r="T171" i="81"/>
  <c r="N156" i="87"/>
  <c r="AA88" i="83"/>
  <c r="M49" i="91"/>
  <c r="Q73" i="85"/>
  <c r="Z72" i="74"/>
  <c r="AA69" i="83"/>
  <c r="X35" i="92"/>
  <c r="L67" i="94"/>
  <c r="N120" i="91"/>
  <c r="T75" i="92"/>
  <c r="P51" i="81"/>
  <c r="O57" i="85"/>
  <c r="P146" i="94"/>
  <c r="AB97" i="84"/>
  <c r="AB116" i="81"/>
  <c r="AB89" i="81"/>
  <c r="X101" i="88"/>
  <c r="P97" i="74"/>
  <c r="M17" i="81"/>
  <c r="Z83" i="92"/>
  <c r="Z135" i="91"/>
  <c r="AB116" i="94"/>
  <c r="P43" i="88"/>
  <c r="P113" i="74"/>
  <c r="P25" i="85"/>
  <c r="Y83" i="94"/>
  <c r="T87" i="92"/>
  <c r="Y141" i="88"/>
  <c r="Z112" i="89"/>
  <c r="L68" i="81"/>
  <c r="AB31" i="85"/>
  <c r="M23" i="94"/>
  <c r="Q145" i="82"/>
  <c r="Z145" i="87"/>
  <c r="O108" i="83"/>
  <c r="Y180" i="94"/>
  <c r="O55" i="93"/>
  <c r="AB100" i="87"/>
  <c r="X87" i="87"/>
  <c r="Q90" i="83"/>
  <c r="AB63" i="85"/>
  <c r="L98" i="93"/>
  <c r="O108" i="82"/>
  <c r="Z69" i="74"/>
  <c r="Z168" i="74"/>
  <c r="N102" i="74"/>
  <c r="X92" i="84"/>
  <c r="Z170" i="84"/>
  <c r="AB94" i="88"/>
  <c r="X43" i="92"/>
  <c r="AA159" i="82"/>
  <c r="Q118" i="82"/>
  <c r="L159" i="88"/>
  <c r="Q153" i="92"/>
  <c r="Q169" i="94"/>
  <c r="P172" i="74"/>
  <c r="AA131" i="94"/>
  <c r="Z121" i="89"/>
  <c r="O57" i="88"/>
  <c r="AB161" i="84"/>
  <c r="AA130" i="92"/>
  <c r="AB90" i="84"/>
  <c r="AA61" i="88"/>
  <c r="P175" i="92"/>
  <c r="Q45" i="93"/>
  <c r="AB166" i="87"/>
  <c r="Q92" i="81"/>
  <c r="X95" i="93"/>
  <c r="Z157" i="91"/>
  <c r="AA89" i="88"/>
  <c r="Z115" i="93"/>
  <c r="Z35" i="87"/>
  <c r="Y137" i="91"/>
  <c r="Y129" i="74"/>
  <c r="X11" i="81"/>
  <c r="Y105" i="82"/>
  <c r="O123" i="92"/>
  <c r="L176" i="91"/>
  <c r="AA80" i="85"/>
  <c r="X136" i="85"/>
  <c r="P123" i="82"/>
  <c r="L78" i="89"/>
  <c r="Y125" i="82"/>
  <c r="N132" i="94"/>
  <c r="L102" i="85"/>
  <c r="T66" i="94"/>
  <c r="P127" i="83"/>
  <c r="T171" i="82"/>
  <c r="Y150" i="87"/>
  <c r="P125" i="74"/>
  <c r="Y71" i="85"/>
  <c r="N108" i="88"/>
  <c r="O85" i="82"/>
  <c r="L113" i="83"/>
  <c r="N174" i="84"/>
  <c r="Y97" i="88"/>
  <c r="AA75" i="82"/>
  <c r="X79" i="92"/>
  <c r="N144" i="83"/>
  <c r="Z68" i="94"/>
  <c r="AA51" i="88"/>
  <c r="AA120" i="74"/>
  <c r="L164" i="74"/>
  <c r="P99" i="89"/>
  <c r="O73" i="85"/>
  <c r="Q158" i="89"/>
  <c r="O146" i="89"/>
  <c r="N135" i="92"/>
  <c r="Y15" i="74"/>
  <c r="P150" i="88"/>
  <c r="N9" i="85"/>
  <c r="Z176" i="84"/>
  <c r="Z94" i="88"/>
  <c r="M11" i="94"/>
  <c r="X125" i="84"/>
  <c r="T108" i="85"/>
  <c r="P172" i="85"/>
  <c r="Y108" i="83"/>
  <c r="X175" i="89"/>
  <c r="AA142" i="82"/>
  <c r="O102" i="84"/>
  <c r="AB117" i="87"/>
  <c r="AB154" i="82"/>
  <c r="Q120" i="91"/>
  <c r="AA102" i="83"/>
  <c r="Q156" i="85"/>
  <c r="Z93" i="81"/>
  <c r="Z149" i="84"/>
  <c r="L104" i="94"/>
  <c r="P173" i="84"/>
  <c r="Y71" i="74"/>
  <c r="N39" i="74"/>
  <c r="L133" i="81"/>
  <c r="P75" i="84"/>
  <c r="X154" i="83"/>
  <c r="AB128" i="93"/>
  <c r="Q63" i="82"/>
  <c r="P66" i="93"/>
  <c r="P128" i="81"/>
  <c r="Q25" i="85"/>
  <c r="Y175" i="81"/>
  <c r="AB95" i="87"/>
  <c r="P119" i="85"/>
  <c r="AA93" i="87"/>
  <c r="O89" i="84"/>
  <c r="P138" i="84"/>
  <c r="AB115" i="83"/>
  <c r="X70" i="83"/>
  <c r="Z35" i="92"/>
  <c r="AB120" i="88"/>
  <c r="X97" i="85"/>
  <c r="X83" i="91"/>
  <c r="Z101" i="82"/>
  <c r="AB143" i="92"/>
  <c r="Y21" i="82"/>
  <c r="X110" i="87"/>
  <c r="O179" i="84"/>
  <c r="L143" i="83"/>
  <c r="O23" i="84"/>
  <c r="P107" i="81"/>
  <c r="T168" i="87"/>
  <c r="X86" i="74"/>
  <c r="P114" i="88"/>
  <c r="P31" i="93"/>
  <c r="X107" i="87"/>
  <c r="P156" i="82"/>
  <c r="O162" i="91"/>
  <c r="Y143" i="88"/>
  <c r="O161" i="85"/>
  <c r="AA119" i="81"/>
  <c r="L101" i="82"/>
  <c r="AB106" i="93"/>
  <c r="L113" i="85"/>
  <c r="M37" i="74"/>
  <c r="Y120" i="81"/>
  <c r="M13" i="82"/>
  <c r="Q140" i="82"/>
  <c r="N138" i="84"/>
  <c r="Z176" i="81"/>
  <c r="X80" i="74"/>
  <c r="Q81" i="82"/>
  <c r="AA155" i="82"/>
  <c r="Q107" i="91"/>
  <c r="X93" i="83"/>
  <c r="AA112" i="94"/>
  <c r="AA49" i="87"/>
  <c r="X160" i="81"/>
  <c r="P102" i="92"/>
  <c r="Q83" i="83"/>
  <c r="T78" i="92"/>
  <c r="Q109" i="89"/>
  <c r="O117" i="83"/>
  <c r="Z130" i="85"/>
  <c r="AB33" i="84"/>
  <c r="N93" i="93"/>
  <c r="P73" i="74"/>
  <c r="Z67" i="82"/>
  <c r="O129" i="83"/>
  <c r="O172" i="83"/>
  <c r="Y170" i="88"/>
  <c r="AB170" i="82"/>
  <c r="Z127" i="84"/>
  <c r="Y51" i="88"/>
  <c r="AA75" i="74"/>
  <c r="X80" i="81"/>
  <c r="Q150" i="93"/>
  <c r="X84" i="85"/>
  <c r="N33" i="94"/>
  <c r="Y94" i="85"/>
  <c r="P176" i="88"/>
  <c r="L156" i="88"/>
  <c r="L99" i="85"/>
  <c r="Z145" i="89"/>
  <c r="Q146" i="84"/>
  <c r="L89" i="81"/>
  <c r="L70" i="81"/>
  <c r="Q69" i="88"/>
  <c r="Y73" i="84"/>
  <c r="P37" i="89"/>
  <c r="T111" i="92"/>
  <c r="Q37" i="74"/>
  <c r="Z117" i="74"/>
  <c r="M53" i="91"/>
  <c r="L112" i="74"/>
  <c r="AB71" i="82"/>
  <c r="AB27" i="88"/>
  <c r="Y109" i="89"/>
  <c r="Y180" i="85"/>
  <c r="Z152" i="88"/>
  <c r="L67" i="92"/>
  <c r="L93" i="74"/>
  <c r="Q70" i="91"/>
  <c r="AB25" i="92"/>
  <c r="Q9" i="89"/>
  <c r="Q31" i="85"/>
  <c r="X21" i="74"/>
  <c r="AA168" i="93"/>
  <c r="L107" i="82"/>
  <c r="Q33" i="84"/>
  <c r="AB79" i="87"/>
  <c r="O101" i="83"/>
  <c r="AB130" i="93"/>
  <c r="AB101" i="82"/>
  <c r="X68" i="83"/>
  <c r="Q119" i="81"/>
  <c r="O183" i="92"/>
  <c r="AB41" i="88"/>
  <c r="Q161" i="84"/>
  <c r="AB64" i="81"/>
  <c r="AA61" i="89"/>
  <c r="N9" i="91"/>
  <c r="Y66" i="87"/>
  <c r="AB174" i="93"/>
  <c r="L137" i="81"/>
  <c r="AA27" i="85"/>
  <c r="Q49" i="84"/>
  <c r="X144" i="74"/>
  <c r="AA176" i="85"/>
  <c r="AA158" i="74"/>
  <c r="Q176" i="74"/>
  <c r="P101" i="74"/>
  <c r="O25" i="87"/>
  <c r="Y165" i="84"/>
  <c r="AA130" i="89"/>
  <c r="AA37" i="82"/>
  <c r="AA49" i="85"/>
  <c r="T63" i="74"/>
  <c r="P167" i="83"/>
  <c r="O123" i="83"/>
  <c r="Y171" i="84"/>
  <c r="Q106" i="89"/>
  <c r="L81" i="88"/>
  <c r="T9" i="81"/>
  <c r="Z121" i="83"/>
  <c r="O53" i="91"/>
  <c r="Q148" i="82"/>
  <c r="AB41" i="82"/>
  <c r="Y17" i="85"/>
  <c r="Q124" i="91"/>
  <c r="AB129" i="84"/>
  <c r="AA108" i="91"/>
  <c r="T156" i="94"/>
  <c r="X163" i="85"/>
  <c r="P83" i="74"/>
  <c r="AA68" i="81"/>
  <c r="O154" i="84"/>
  <c r="P178" i="84"/>
  <c r="Z87" i="84"/>
  <c r="AB145" i="83"/>
  <c r="P59" i="85"/>
  <c r="Z108" i="74"/>
  <c r="Y59" i="81"/>
  <c r="AA55" i="94"/>
  <c r="Q84" i="84"/>
  <c r="X137" i="83"/>
  <c r="AB174" i="87"/>
  <c r="Z86" i="91"/>
  <c r="Q85" i="85"/>
  <c r="Q107" i="82"/>
  <c r="X153" i="88"/>
  <c r="Z64" i="81"/>
  <c r="X164" i="82"/>
  <c r="Q47" i="82"/>
  <c r="Y139" i="93"/>
  <c r="AA172" i="81"/>
  <c r="L110" i="89"/>
  <c r="Q53" i="83"/>
  <c r="Z153" i="82"/>
  <c r="X124" i="88"/>
  <c r="X164" i="92"/>
  <c r="X37" i="87"/>
  <c r="AA17" i="89"/>
  <c r="AB90" i="81"/>
  <c r="X87" i="82"/>
  <c r="Y176" i="83"/>
  <c r="Z98" i="89"/>
  <c r="Q68" i="82"/>
  <c r="X53" i="89"/>
  <c r="T39" i="83"/>
  <c r="Q120" i="81"/>
  <c r="Z64" i="91"/>
  <c r="P57" i="87"/>
  <c r="Q84" i="83"/>
  <c r="P181" i="91"/>
  <c r="AA172" i="83"/>
  <c r="X117" i="74"/>
  <c r="P137" i="83"/>
  <c r="X115" i="92"/>
  <c r="X13" i="81"/>
  <c r="X158" i="74"/>
  <c r="X172" i="82"/>
  <c r="Y95" i="85"/>
  <c r="X71" i="83"/>
  <c r="P37" i="83"/>
  <c r="Q149" i="85"/>
  <c r="AB45" i="84"/>
  <c r="L151" i="85"/>
  <c r="T72" i="87"/>
  <c r="AA53" i="83"/>
  <c r="X23" i="93"/>
  <c r="X74" i="89"/>
  <c r="P127" i="94"/>
  <c r="P112" i="87"/>
  <c r="Z167" i="81"/>
  <c r="Z141" i="81"/>
  <c r="AB23" i="91"/>
  <c r="X155" i="81"/>
  <c r="T15" i="74"/>
  <c r="AB150" i="83"/>
  <c r="AB19" i="89"/>
  <c r="X67" i="82"/>
  <c r="Q173" i="89"/>
  <c r="O152" i="87"/>
  <c r="P165" i="87"/>
  <c r="P33" i="82"/>
  <c r="X76" i="83"/>
  <c r="X159" i="85"/>
  <c r="AA128" i="81"/>
  <c r="Q69" i="93"/>
  <c r="Y131" i="82"/>
  <c r="M31" i="88"/>
  <c r="X73" i="82"/>
  <c r="Z131" i="81"/>
  <c r="Q179" i="83"/>
  <c r="Z138" i="84"/>
  <c r="Z73" i="85"/>
  <c r="Q131" i="85"/>
  <c r="AB39" i="83"/>
  <c r="AA140" i="91"/>
  <c r="M49" i="81"/>
  <c r="N144" i="92"/>
  <c r="L92" i="94"/>
  <c r="O88" i="85"/>
  <c r="X110" i="83"/>
  <c r="AB53" i="82"/>
  <c r="L86" i="81"/>
  <c r="AB13" i="85"/>
  <c r="Q123" i="82"/>
  <c r="O77" i="81"/>
  <c r="X110" i="91"/>
  <c r="Q169" i="81"/>
  <c r="Y153" i="85"/>
  <c r="P49" i="82"/>
  <c r="P23" i="89"/>
  <c r="Q129" i="88"/>
  <c r="AA173" i="85"/>
  <c r="M61" i="84"/>
  <c r="Z73" i="88"/>
  <c r="Z152" i="82"/>
  <c r="Q15" i="74"/>
  <c r="Z67" i="93"/>
  <c r="L173" i="92"/>
  <c r="X76" i="85"/>
  <c r="AA159" i="74"/>
  <c r="Y95" i="83"/>
  <c r="X175" i="85"/>
  <c r="AB113" i="87"/>
  <c r="X73" i="88"/>
  <c r="Q126" i="74"/>
  <c r="AA15" i="87"/>
  <c r="N27" i="89"/>
  <c r="Z135" i="81"/>
  <c r="AB84" i="81"/>
  <c r="P151" i="88"/>
  <c r="X172" i="93"/>
  <c r="X113" i="82"/>
  <c r="AA41" i="85"/>
  <c r="AA99" i="83"/>
  <c r="O47" i="87"/>
  <c r="P71" i="84"/>
  <c r="AB96" i="88"/>
  <c r="Y121" i="87"/>
  <c r="P63" i="81"/>
  <c r="Z157" i="87"/>
  <c r="Q61" i="74"/>
  <c r="T153" i="85"/>
  <c r="Q59" i="91"/>
  <c r="T150" i="85"/>
  <c r="AA146" i="87"/>
  <c r="T69" i="82"/>
  <c r="Z145" i="82"/>
  <c r="Y128" i="84"/>
  <c r="Y57" i="84"/>
  <c r="Z138" i="82"/>
  <c r="AA74" i="74"/>
  <c r="Y43" i="82"/>
  <c r="L129" i="94"/>
  <c r="AB45" i="88"/>
  <c r="O182" i="84"/>
  <c r="N90" i="83"/>
  <c r="L181" i="91"/>
  <c r="L126" i="74"/>
  <c r="X129" i="92"/>
  <c r="L64" i="84"/>
  <c r="O148" i="81"/>
  <c r="M21" i="81"/>
  <c r="Z85" i="93"/>
  <c r="P174" i="82"/>
  <c r="Z177" i="85"/>
  <c r="X84" i="83"/>
  <c r="O149" i="74"/>
  <c r="Y155" i="85"/>
  <c r="O141" i="87"/>
  <c r="L74" i="85"/>
  <c r="P77" i="83"/>
  <c r="Q148" i="84"/>
  <c r="AB53" i="84"/>
  <c r="Z161" i="74"/>
  <c r="N81" i="83"/>
  <c r="O168" i="94"/>
  <c r="Q41" i="82"/>
  <c r="L126" i="81"/>
  <c r="AA138" i="81"/>
  <c r="P133" i="82"/>
  <c r="P116" i="91"/>
  <c r="P25" i="91"/>
  <c r="L182" i="85"/>
  <c r="AA111" i="85"/>
  <c r="Z140" i="84"/>
  <c r="Q64" i="85"/>
  <c r="L63" i="89"/>
  <c r="Q124" i="89"/>
  <c r="P129" i="94"/>
  <c r="X168" i="94"/>
  <c r="Y92" i="83"/>
  <c r="Y9" i="91"/>
  <c r="AB159" i="82"/>
  <c r="O134" i="81"/>
  <c r="Q112" i="81"/>
  <c r="O122" i="81"/>
  <c r="O159" i="94"/>
  <c r="Z75" i="87"/>
  <c r="AB107" i="89"/>
  <c r="AB61" i="87"/>
  <c r="AA126" i="81"/>
  <c r="P13" i="89"/>
  <c r="P135" i="93"/>
  <c r="Q19" i="92"/>
  <c r="P35" i="87"/>
  <c r="AB167" i="81"/>
  <c r="AA93" i="88"/>
  <c r="AA114" i="89"/>
  <c r="P182" i="85"/>
  <c r="Y64" i="84"/>
  <c r="Z140" i="82"/>
  <c r="AB102" i="88"/>
  <c r="Y148" i="81"/>
  <c r="L120" i="82"/>
  <c r="X57" i="87"/>
  <c r="X127" i="85"/>
  <c r="Y67" i="82"/>
  <c r="AB95" i="84"/>
  <c r="P174" i="74"/>
  <c r="L133" i="84"/>
  <c r="T138" i="94"/>
  <c r="Y142" i="87"/>
  <c r="AA170" i="84"/>
  <c r="N108" i="83"/>
  <c r="Y74" i="82"/>
  <c r="L130" i="83"/>
  <c r="Q94" i="83"/>
  <c r="Y134" i="94"/>
  <c r="N156" i="74"/>
  <c r="O149" i="91"/>
  <c r="Z67" i="87"/>
  <c r="L131" i="91"/>
  <c r="L71" i="88"/>
  <c r="AB71" i="89"/>
  <c r="Z31" i="87"/>
  <c r="AA104" i="83"/>
  <c r="Y158" i="82"/>
  <c r="T129" i="85"/>
  <c r="P165" i="83"/>
  <c r="X43" i="81"/>
  <c r="AA169" i="88"/>
  <c r="Z119" i="85"/>
  <c r="P155" i="82"/>
  <c r="AB159" i="85"/>
  <c r="N90" i="88"/>
  <c r="AB101" i="84"/>
  <c r="AB93" i="83"/>
  <c r="Q65" i="94"/>
  <c r="X109" i="91"/>
  <c r="Z129" i="83"/>
  <c r="X147" i="91"/>
  <c r="L140" i="82"/>
  <c r="Q155" i="92"/>
  <c r="O175" i="82"/>
  <c r="Z95" i="82"/>
  <c r="X111" i="88"/>
  <c r="O168" i="85"/>
  <c r="Z108" i="83"/>
  <c r="O171" i="92"/>
  <c r="O150" i="81"/>
  <c r="Y166" i="74"/>
  <c r="Y176" i="74"/>
  <c r="Y43" i="91"/>
  <c r="L147" i="74"/>
  <c r="T120" i="89"/>
  <c r="X115" i="85"/>
  <c r="Y71" i="93"/>
  <c r="P181" i="82"/>
  <c r="T96" i="82"/>
  <c r="AB68" i="84"/>
  <c r="L166" i="92"/>
  <c r="O107" i="83"/>
  <c r="P78" i="82"/>
  <c r="L159" i="74"/>
  <c r="X99" i="89"/>
  <c r="L171" i="89"/>
  <c r="M27" i="91"/>
  <c r="P140" i="82"/>
  <c r="P98" i="83"/>
  <c r="Z33" i="84"/>
  <c r="N111" i="81"/>
  <c r="L82" i="82"/>
  <c r="L156" i="94"/>
  <c r="L179" i="74"/>
  <c r="P81" i="87"/>
  <c r="X87" i="84"/>
  <c r="O166" i="83"/>
  <c r="Z92" i="91"/>
  <c r="Q146" i="83"/>
  <c r="AA86" i="83"/>
  <c r="X140" i="87"/>
  <c r="X150" i="84"/>
  <c r="P37" i="84"/>
  <c r="L70" i="88"/>
  <c r="Y155" i="81"/>
  <c r="L161" i="94"/>
  <c r="O69" i="93"/>
  <c r="L80" i="91"/>
  <c r="O158" i="81"/>
  <c r="Y129" i="87"/>
  <c r="O182" i="88"/>
  <c r="O39" i="81"/>
  <c r="P86" i="91"/>
  <c r="Q183" i="94"/>
  <c r="P124" i="83"/>
  <c r="Q51" i="89"/>
  <c r="AA139" i="89"/>
  <c r="L169" i="74"/>
  <c r="Q74" i="91"/>
  <c r="X156" i="91"/>
  <c r="N39" i="83"/>
  <c r="O117" i="94"/>
  <c r="T87" i="89"/>
  <c r="Q154" i="91"/>
  <c r="N99" i="83"/>
  <c r="Y102" i="74"/>
  <c r="P95" i="82"/>
  <c r="Z139" i="93"/>
  <c r="AA13" i="82"/>
  <c r="X61" i="87"/>
  <c r="Z172" i="84"/>
  <c r="O43" i="91"/>
  <c r="Z123" i="88"/>
  <c r="P98" i="84"/>
  <c r="O141" i="91"/>
  <c r="Y59" i="74"/>
  <c r="O85" i="74"/>
  <c r="Z166" i="81"/>
  <c r="AA86" i="85"/>
  <c r="P120" i="91"/>
  <c r="O185" i="92"/>
  <c r="AA126" i="83"/>
  <c r="Z167" i="93"/>
  <c r="Z80" i="88"/>
  <c r="L131" i="74"/>
  <c r="X130" i="93"/>
  <c r="Z35" i="83"/>
  <c r="N33" i="88"/>
  <c r="AA170" i="94"/>
  <c r="X176" i="81"/>
  <c r="O130" i="93"/>
  <c r="Q122" i="74"/>
  <c r="Y115" i="74"/>
  <c r="N117" i="84"/>
  <c r="Z39" i="84"/>
  <c r="X35" i="83"/>
  <c r="O167" i="87"/>
  <c r="Z61" i="82"/>
  <c r="Z124" i="82"/>
  <c r="AB108" i="94"/>
  <c r="AB27" i="89"/>
  <c r="AB29" i="84"/>
  <c r="N126" i="88"/>
  <c r="O13" i="93"/>
  <c r="P162" i="81"/>
  <c r="L133" i="85"/>
  <c r="Y111" i="89"/>
  <c r="Q165" i="85"/>
  <c r="N27" i="93"/>
  <c r="Z142" i="85"/>
  <c r="Z111" i="85"/>
  <c r="Q128" i="81"/>
  <c r="T132" i="82"/>
  <c r="AB47" i="87"/>
  <c r="P119" i="88"/>
  <c r="Y45" i="89"/>
  <c r="L105" i="87"/>
  <c r="Y17" i="82"/>
  <c r="Y61" i="91"/>
  <c r="Y108" i="74"/>
  <c r="Z96" i="82"/>
  <c r="Q154" i="74"/>
  <c r="L94" i="89"/>
  <c r="Z31" i="89"/>
  <c r="AB103" i="82"/>
  <c r="Z116" i="89"/>
  <c r="Y94" i="91"/>
  <c r="X119" i="81"/>
  <c r="Z81" i="81"/>
  <c r="O109" i="85"/>
  <c r="L131" i="81"/>
  <c r="AB172" i="85"/>
  <c r="Q146" i="87"/>
  <c r="P166" i="91"/>
  <c r="Z170" i="93"/>
  <c r="Y31" i="87"/>
  <c r="Z121" i="81"/>
  <c r="AA78" i="83"/>
  <c r="AB101" i="88"/>
  <c r="X146" i="93"/>
  <c r="AA57" i="74"/>
  <c r="AA102" i="87"/>
  <c r="X148" i="74"/>
  <c r="AB74" i="82"/>
  <c r="Z37" i="92"/>
  <c r="T111" i="85"/>
  <c r="Q163" i="82"/>
  <c r="AA37" i="94"/>
  <c r="T147" i="84"/>
  <c r="AB59" i="91"/>
  <c r="O37" i="85"/>
  <c r="X45" i="81"/>
  <c r="AB120" i="82"/>
  <c r="X176" i="74"/>
  <c r="X155" i="85"/>
  <c r="AB17" i="89"/>
  <c r="AB135" i="87"/>
  <c r="AA55" i="85"/>
  <c r="L181" i="82"/>
  <c r="Q145" i="74"/>
  <c r="Q129" i="74"/>
  <c r="T102" i="85"/>
  <c r="Q175" i="89"/>
  <c r="Z61" i="91"/>
  <c r="M49" i="87"/>
  <c r="X173" i="81"/>
  <c r="Y87" i="82"/>
  <c r="O161" i="84"/>
  <c r="L72" i="74"/>
  <c r="O98" i="82"/>
  <c r="X175" i="74"/>
  <c r="O123" i="88"/>
  <c r="AA49" i="74"/>
  <c r="X133" i="92"/>
  <c r="O68" i="84"/>
  <c r="AA165" i="84"/>
  <c r="O70" i="89"/>
  <c r="AB142" i="83"/>
  <c r="AA173" i="91"/>
  <c r="L146" i="74"/>
  <c r="P171" i="94"/>
  <c r="L128" i="94"/>
  <c r="P61" i="81"/>
  <c r="X149" i="91"/>
  <c r="AB91" i="89"/>
  <c r="Q13" i="85"/>
  <c r="AB95" i="89"/>
  <c r="P92" i="93"/>
  <c r="AA78" i="84"/>
  <c r="Q126" i="81"/>
  <c r="AA85" i="94"/>
  <c r="Y79" i="85"/>
  <c r="AB100" i="82"/>
  <c r="AB155" i="81"/>
  <c r="Z19" i="81"/>
  <c r="L110" i="74"/>
  <c r="N144" i="85"/>
  <c r="X151" i="81"/>
  <c r="Y78" i="89"/>
  <c r="X49" i="92"/>
  <c r="X35" i="91"/>
  <c r="AA169" i="81"/>
  <c r="O135" i="93"/>
  <c r="Z180" i="84"/>
  <c r="Z176" i="83"/>
  <c r="O165" i="85"/>
  <c r="T78" i="91"/>
  <c r="Y133" i="84"/>
  <c r="Y98" i="85"/>
  <c r="Y140" i="91"/>
  <c r="Z75" i="88"/>
  <c r="P171" i="89"/>
  <c r="AB141" i="91"/>
  <c r="X102" i="87"/>
  <c r="O81" i="89"/>
  <c r="AB114" i="82"/>
  <c r="AB134" i="92"/>
  <c r="N72" i="85"/>
  <c r="AA124" i="83"/>
  <c r="M51" i="84"/>
  <c r="O166" i="81"/>
  <c r="L167" i="82"/>
  <c r="Q176" i="83"/>
  <c r="L129" i="92"/>
  <c r="P89" i="85"/>
  <c r="L127" i="82"/>
  <c r="X100" i="87"/>
  <c r="P135" i="74"/>
  <c r="T141" i="82"/>
  <c r="AB47" i="82"/>
  <c r="Q31" i="81"/>
  <c r="X154" i="89"/>
  <c r="AA141" i="85"/>
  <c r="P175" i="82"/>
  <c r="Q151" i="82"/>
  <c r="T84" i="85"/>
  <c r="P15" i="85"/>
  <c r="P171" i="87"/>
  <c r="X154" i="88"/>
  <c r="X53" i="81"/>
  <c r="X86" i="85"/>
  <c r="P165" i="94"/>
  <c r="AA94" i="83"/>
  <c r="O101" i="87"/>
  <c r="Z148" i="89"/>
  <c r="Q140" i="88"/>
  <c r="AA71" i="88"/>
  <c r="AB142" i="82"/>
  <c r="O13" i="92"/>
  <c r="X176" i="88"/>
  <c r="Q61" i="83"/>
  <c r="P124" i="85"/>
  <c r="AB156" i="85"/>
  <c r="AA29" i="82"/>
  <c r="X9" i="87"/>
  <c r="N171" i="82"/>
  <c r="X142" i="85"/>
  <c r="P167" i="74"/>
  <c r="L102" i="74"/>
  <c r="P127" i="85"/>
  <c r="O98" i="83"/>
  <c r="AB163" i="83"/>
  <c r="P144" i="81"/>
  <c r="P141" i="81"/>
  <c r="T9" i="91"/>
  <c r="L98" i="87"/>
  <c r="Y59" i="91"/>
  <c r="Y86" i="87"/>
  <c r="M57" i="74"/>
  <c r="P119" i="84"/>
  <c r="N159" i="88"/>
  <c r="AA135" i="93"/>
  <c r="P85" i="74"/>
  <c r="AB39" i="82"/>
  <c r="P11" i="91"/>
  <c r="Y86" i="83"/>
  <c r="Y132" i="92"/>
  <c r="AB89" i="82"/>
  <c r="T108" i="92"/>
  <c r="AB129" i="83"/>
  <c r="AA23" i="84"/>
  <c r="AA171" i="85"/>
  <c r="L92" i="74"/>
  <c r="AA15" i="83"/>
  <c r="O155" i="74"/>
  <c r="Q140" i="74"/>
  <c r="L175" i="83"/>
  <c r="Z158" i="84"/>
  <c r="Y74" i="74"/>
  <c r="M43" i="87"/>
  <c r="AB82" i="81"/>
  <c r="AA113" i="74"/>
  <c r="AA95" i="92"/>
  <c r="L121" i="83"/>
  <c r="AA91" i="83"/>
  <c r="O53" i="84"/>
  <c r="P128" i="82"/>
  <c r="Q29" i="74"/>
  <c r="L126" i="89"/>
  <c r="AA111" i="89"/>
  <c r="T150" i="89"/>
  <c r="AB77" i="87"/>
  <c r="N33" i="91"/>
  <c r="O94" i="93"/>
  <c r="Y121" i="82"/>
  <c r="Y91" i="82"/>
  <c r="Y61" i="87"/>
  <c r="P27" i="84"/>
  <c r="P129" i="81"/>
  <c r="Z72" i="89"/>
  <c r="AB45" i="85"/>
  <c r="N141" i="83"/>
  <c r="Q173" i="84"/>
  <c r="T27" i="81"/>
  <c r="T90" i="83"/>
  <c r="P77" i="88"/>
  <c r="P93" i="83"/>
  <c r="Z89" i="94"/>
  <c r="Q41" i="91"/>
  <c r="O168" i="84"/>
  <c r="Z88" i="81"/>
  <c r="P131" i="87"/>
  <c r="L101" i="83"/>
  <c r="Z13" i="85"/>
  <c r="O122" i="87"/>
  <c r="Y105" i="88"/>
  <c r="O154" i="87"/>
  <c r="P154" i="81"/>
  <c r="P177" i="82"/>
  <c r="Q164" i="87"/>
  <c r="Q70" i="81"/>
  <c r="P108" i="92"/>
  <c r="O13" i="84"/>
  <c r="Z25" i="88"/>
  <c r="AB61" i="88"/>
  <c r="N159" i="93"/>
  <c r="AB45" i="87"/>
  <c r="O76" i="83"/>
  <c r="AB143" i="84"/>
  <c r="Z116" i="83"/>
  <c r="O144" i="83"/>
  <c r="Q81" i="93"/>
  <c r="P68" i="81"/>
  <c r="P91" i="93"/>
  <c r="Y163" i="84"/>
  <c r="X97" i="84"/>
  <c r="X123" i="74"/>
  <c r="Q153" i="82"/>
  <c r="L94" i="83"/>
  <c r="X158" i="84"/>
  <c r="O67" i="83"/>
  <c r="Q17" i="81"/>
  <c r="X162" i="85"/>
  <c r="Y19" i="74"/>
  <c r="Q39" i="94"/>
  <c r="Y72" i="74"/>
  <c r="T90" i="93"/>
  <c r="Q70" i="74"/>
  <c r="AB72" i="94"/>
  <c r="L81" i="85"/>
  <c r="L150" i="88"/>
  <c r="X166" i="84"/>
  <c r="Z164" i="88"/>
  <c r="Y114" i="85"/>
  <c r="L157" i="81"/>
  <c r="Q164" i="81"/>
  <c r="N171" i="83"/>
  <c r="P45" i="88"/>
  <c r="Y43" i="85"/>
  <c r="N39" i="85"/>
  <c r="O167" i="89"/>
  <c r="P89" i="82"/>
  <c r="Y153" i="84"/>
  <c r="O77" i="84"/>
  <c r="AA102" i="89"/>
  <c r="O97" i="74"/>
  <c r="AA142" i="87"/>
  <c r="Q109" i="81"/>
  <c r="N141" i="74"/>
  <c r="X115" i="84"/>
  <c r="X172" i="74"/>
  <c r="X21" i="83"/>
  <c r="T144" i="93"/>
  <c r="X83" i="74"/>
  <c r="T114" i="82"/>
  <c r="X168" i="83"/>
  <c r="AB64" i="89"/>
  <c r="P19" i="82"/>
  <c r="AA119" i="82"/>
  <c r="Z61" i="85"/>
  <c r="AB125" i="85"/>
  <c r="P178" i="85"/>
  <c r="X115" i="82"/>
  <c r="P49" i="83"/>
  <c r="Y93" i="74"/>
  <c r="P91" i="84"/>
  <c r="Y113" i="82"/>
  <c r="X135" i="91"/>
  <c r="T132" i="81"/>
  <c r="Z95" i="91"/>
  <c r="N184" i="91"/>
  <c r="L122" i="82"/>
  <c r="Q148" i="88"/>
  <c r="AA115" i="89"/>
  <c r="Z89" i="82"/>
  <c r="P131" i="94"/>
  <c r="O95" i="74"/>
  <c r="Y70" i="88"/>
  <c r="AA84" i="88"/>
  <c r="Y13" i="83"/>
  <c r="Z113" i="81"/>
  <c r="Y39" i="93"/>
  <c r="Y29" i="83"/>
  <c r="T90" i="74"/>
  <c r="X176" i="84"/>
  <c r="P91" i="83"/>
  <c r="AB142" i="88"/>
  <c r="P128" i="74"/>
  <c r="P29" i="74"/>
  <c r="AA175" i="81"/>
  <c r="O45" i="82"/>
  <c r="L88" i="91"/>
  <c r="O158" i="84"/>
  <c r="AB13" i="89"/>
  <c r="AA129" i="85"/>
  <c r="Y126" i="74"/>
  <c r="Z142" i="89"/>
  <c r="O111" i="94"/>
  <c r="P143" i="93"/>
  <c r="Y137" i="81"/>
  <c r="Z87" i="82"/>
  <c r="O173" i="83"/>
  <c r="Q180" i="94"/>
  <c r="X17" i="84"/>
  <c r="P100" i="82"/>
  <c r="Y84" i="74"/>
  <c r="O101" i="89"/>
  <c r="Y106" i="87"/>
  <c r="AB85" i="81"/>
  <c r="L167" i="91"/>
  <c r="Q148" i="83"/>
  <c r="AA170" i="89"/>
  <c r="Z164" i="89"/>
  <c r="O180" i="87"/>
  <c r="O112" i="82"/>
  <c r="M49" i="88"/>
  <c r="AA129" i="81"/>
  <c r="L181" i="74"/>
  <c r="X55" i="89"/>
  <c r="Z71" i="85"/>
  <c r="AA19" i="87"/>
  <c r="Y121" i="74"/>
  <c r="AB155" i="89"/>
  <c r="Q105" i="87"/>
  <c r="Y169" i="91"/>
  <c r="L122" i="91"/>
  <c r="Q127" i="87"/>
  <c r="X31" i="83"/>
  <c r="Z148" i="82"/>
  <c r="L78" i="88"/>
  <c r="N150" i="83"/>
  <c r="AA147" i="84"/>
  <c r="X112" i="93"/>
  <c r="Y68" i="87"/>
  <c r="L126" i="83"/>
  <c r="AA116" i="85"/>
  <c r="AA79" i="88"/>
  <c r="L142" i="74"/>
  <c r="Y177" i="74"/>
  <c r="Q117" i="81"/>
  <c r="AA77" i="74"/>
  <c r="P73" i="82"/>
  <c r="Y85" i="88"/>
  <c r="L173" i="85"/>
  <c r="Y145" i="81"/>
  <c r="Y141" i="91"/>
  <c r="L69" i="81"/>
  <c r="AA170" i="83"/>
  <c r="Y156" i="93"/>
  <c r="Z45" i="83"/>
  <c r="P137" i="81"/>
  <c r="AB118" i="81"/>
  <c r="X92" i="88"/>
  <c r="T165" i="88"/>
  <c r="N81" i="81"/>
  <c r="AB151" i="81"/>
  <c r="Q176" i="82"/>
  <c r="Y158" i="84"/>
  <c r="Z84" i="83"/>
  <c r="X55" i="85"/>
  <c r="AA71" i="91"/>
  <c r="T150" i="93"/>
  <c r="AA147" i="89"/>
  <c r="O134" i="85"/>
  <c r="Z113" i="74"/>
  <c r="P33" i="89"/>
  <c r="O180" i="81"/>
  <c r="P107" i="85"/>
  <c r="Z120" i="84"/>
  <c r="Z47" i="84"/>
  <c r="AA21" i="82"/>
  <c r="Z59" i="83"/>
  <c r="Z109" i="89"/>
  <c r="Q11" i="74"/>
  <c r="O47" i="91"/>
  <c r="P147" i="74"/>
  <c r="AA103" i="85"/>
  <c r="Z19" i="82"/>
  <c r="Y118" i="81"/>
  <c r="Q157" i="81"/>
  <c r="Z146" i="82"/>
  <c r="AB71" i="84"/>
  <c r="X94" i="74"/>
  <c r="O173" i="85"/>
  <c r="L100" i="82"/>
  <c r="Z74" i="84"/>
  <c r="L90" i="74"/>
  <c r="X172" i="83"/>
  <c r="P86" i="85"/>
  <c r="Q80" i="89"/>
  <c r="Z171" i="81"/>
  <c r="X81" i="87"/>
  <c r="O121" i="93"/>
  <c r="L149" i="94"/>
  <c r="X110" i="81"/>
  <c r="Y126" i="81"/>
  <c r="Y97" i="87"/>
  <c r="Q168" i="74"/>
  <c r="Q125" i="84"/>
  <c r="X175" i="81"/>
  <c r="N102" i="88"/>
  <c r="Y164" i="74"/>
  <c r="Y101" i="82"/>
  <c r="X23" i="82"/>
  <c r="P184" i="89"/>
  <c r="N165" i="84"/>
  <c r="L111" i="82"/>
  <c r="N102" i="82"/>
  <c r="L102" i="88"/>
  <c r="AA137" i="84"/>
  <c r="P51" i="91"/>
  <c r="X123" i="81"/>
  <c r="X84" i="94"/>
  <c r="Q158" i="82"/>
  <c r="AB153" i="87"/>
  <c r="N174" i="82"/>
  <c r="T126" i="82"/>
  <c r="X128" i="85"/>
  <c r="Z53" i="87"/>
  <c r="AB68" i="88"/>
  <c r="Y92" i="85"/>
  <c r="Y142" i="94"/>
  <c r="X27" i="74"/>
  <c r="O170" i="93"/>
  <c r="O66" i="87"/>
  <c r="X150" i="85"/>
  <c r="AB153" i="83"/>
  <c r="O69" i="84"/>
  <c r="AB72" i="82"/>
  <c r="Y172" i="83"/>
  <c r="X147" i="74"/>
  <c r="O126" i="85"/>
  <c r="Y161" i="81"/>
  <c r="Y86" i="85"/>
  <c r="O95" i="81"/>
  <c r="P177" i="87"/>
  <c r="Q182" i="84"/>
  <c r="Z65" i="93"/>
  <c r="AA131" i="83"/>
  <c r="M35" i="81"/>
  <c r="AA37" i="87"/>
  <c r="M59" i="94"/>
  <c r="Q45" i="87"/>
  <c r="AA49" i="81"/>
  <c r="AA76" i="74"/>
  <c r="Q15" i="87"/>
  <c r="X100" i="92"/>
  <c r="Y127" i="84"/>
  <c r="P72" i="83"/>
  <c r="AA111" i="87"/>
  <c r="P47" i="84"/>
  <c r="AB153" i="82"/>
  <c r="N185" i="91"/>
  <c r="Y19" i="85"/>
  <c r="X174" i="74"/>
  <c r="P47" i="83"/>
  <c r="AB87" i="81"/>
  <c r="Q80" i="82"/>
  <c r="L153" i="87"/>
  <c r="AA59" i="83"/>
  <c r="Z70" i="85"/>
  <c r="AA81" i="81"/>
  <c r="X101" i="92"/>
  <c r="O80" i="81"/>
  <c r="Z21" i="74"/>
  <c r="L159" i="81"/>
  <c r="O29" i="89"/>
  <c r="AB95" i="88"/>
  <c r="Q133" i="89"/>
  <c r="Y125" i="84"/>
  <c r="Y59" i="89"/>
  <c r="P114" i="94"/>
  <c r="N63" i="82"/>
  <c r="Z21" i="84"/>
  <c r="Y133" i="88"/>
  <c r="AB119" i="82"/>
  <c r="Z147" i="84"/>
  <c r="L164" i="89"/>
  <c r="O79" i="88"/>
  <c r="O74" i="88"/>
  <c r="O72" i="83"/>
  <c r="L69" i="91"/>
  <c r="Q99" i="81"/>
  <c r="O43" i="93"/>
  <c r="O133" i="81"/>
  <c r="Y39" i="74"/>
  <c r="Y66" i="74"/>
  <c r="AA92" i="89"/>
  <c r="Q96" i="84"/>
  <c r="X131" i="85"/>
  <c r="X33" i="74"/>
  <c r="X172" i="87"/>
  <c r="AB65" i="84"/>
  <c r="Y123" i="84"/>
  <c r="O157" i="84"/>
  <c r="Z152" i="84"/>
  <c r="Y165" i="85"/>
  <c r="O153" i="82"/>
  <c r="Z41" i="82"/>
  <c r="AB180" i="82"/>
  <c r="Q146" i="81"/>
  <c r="X156" i="82"/>
  <c r="Y65" i="87"/>
  <c r="AB35" i="82"/>
  <c r="Q157" i="87"/>
  <c r="Z171" i="83"/>
  <c r="Z142" i="92"/>
  <c r="Z70" i="74"/>
  <c r="AA119" i="83"/>
  <c r="L135" i="94"/>
  <c r="O86" i="84"/>
  <c r="O75" i="89"/>
  <c r="AA86" i="89"/>
  <c r="AB47" i="83"/>
  <c r="AB140" i="83"/>
  <c r="Y132" i="74"/>
  <c r="AB25" i="83"/>
  <c r="Z94" i="83"/>
  <c r="Y76" i="87"/>
  <c r="Y104" i="84"/>
  <c r="Y164" i="81"/>
  <c r="O71" i="82"/>
  <c r="O67" i="85"/>
  <c r="Q176" i="89"/>
  <c r="Q35" i="87"/>
  <c r="Z51" i="85"/>
  <c r="T96" i="88"/>
  <c r="O125" i="87"/>
  <c r="Z92" i="92"/>
  <c r="T117" i="84"/>
  <c r="AA156" i="83"/>
  <c r="Y110" i="94"/>
  <c r="O61" i="88"/>
  <c r="Y17" i="94"/>
  <c r="O168" i="87"/>
  <c r="P41" i="83"/>
  <c r="AB115" i="81"/>
  <c r="X83" i="87"/>
  <c r="L177" i="82"/>
  <c r="O165" i="87"/>
  <c r="Y23" i="82"/>
  <c r="Y90" i="74"/>
  <c r="O108" i="94"/>
  <c r="AA45" i="93"/>
  <c r="L87" i="85"/>
  <c r="P180" i="74"/>
  <c r="Q63" i="74"/>
  <c r="Z77" i="83"/>
  <c r="Z78" i="85"/>
  <c r="Q57" i="89"/>
  <c r="AA72" i="83"/>
  <c r="Y145" i="87"/>
  <c r="Q65" i="89"/>
  <c r="X112" i="83"/>
  <c r="P102" i="84"/>
  <c r="P155" i="83"/>
  <c r="Z11" i="83"/>
  <c r="Y129" i="83"/>
  <c r="AA168" i="83"/>
  <c r="O112" i="81"/>
  <c r="Z95" i="92"/>
  <c r="Z174" i="87"/>
  <c r="L138" i="81"/>
  <c r="P99" i="85"/>
  <c r="X33" i="82"/>
  <c r="Q11" i="87"/>
  <c r="AB176" i="81"/>
  <c r="Q9" i="87"/>
  <c r="L137" i="83"/>
  <c r="O105" i="74"/>
  <c r="Q119" i="92"/>
  <c r="M41" i="85"/>
  <c r="X23" i="83"/>
  <c r="Y142" i="74"/>
  <c r="Y124" i="89"/>
  <c r="AB113" i="81"/>
  <c r="L132" i="81"/>
  <c r="Z165" i="93"/>
  <c r="Y27" i="74"/>
  <c r="AB120" i="84"/>
  <c r="Q156" i="81"/>
  <c r="N27" i="92"/>
  <c r="O31" i="82"/>
  <c r="P103" i="84"/>
  <c r="Z33" i="94"/>
  <c r="Z107" i="84"/>
  <c r="L108" i="83"/>
  <c r="AA107" i="83"/>
  <c r="Q39" i="88"/>
  <c r="AA76" i="83"/>
  <c r="Q140" i="84"/>
  <c r="X163" i="89"/>
  <c r="X93" i="87"/>
  <c r="Z118" i="92"/>
  <c r="X94" i="87"/>
  <c r="T75" i="84"/>
  <c r="Z97" i="85"/>
  <c r="AB25" i="88"/>
  <c r="Z173" i="84"/>
  <c r="Q105" i="93"/>
  <c r="Q69" i="81"/>
  <c r="T69" i="83"/>
  <c r="N51" i="84"/>
  <c r="Y98" i="91"/>
  <c r="Y127" i="91"/>
  <c r="O157" i="91"/>
  <c r="AA140" i="74"/>
  <c r="Z110" i="81"/>
  <c r="Z59" i="81"/>
  <c r="Q75" i="85"/>
  <c r="Y84" i="93"/>
  <c r="AA128" i="89"/>
  <c r="Z117" i="88"/>
  <c r="AB106" i="85"/>
  <c r="Q103" i="85"/>
  <c r="P37" i="74"/>
  <c r="T108" i="84"/>
  <c r="L66" i="84"/>
  <c r="O47" i="83"/>
  <c r="Y29" i="84"/>
  <c r="AA123" i="74"/>
  <c r="X51" i="89"/>
  <c r="AA98" i="82"/>
  <c r="N168" i="74"/>
  <c r="O178" i="85"/>
  <c r="X90" i="89"/>
  <c r="O142" i="84"/>
  <c r="AA140" i="85"/>
  <c r="AB177" i="84"/>
  <c r="X47" i="74"/>
  <c r="Z15" i="91"/>
  <c r="X171" i="88"/>
  <c r="L121" i="89"/>
  <c r="AB70" i="83"/>
  <c r="T9" i="92"/>
  <c r="AB92" i="87"/>
  <c r="M41" i="94"/>
  <c r="L182" i="81"/>
  <c r="Q161" i="82"/>
  <c r="X149" i="82"/>
  <c r="O76" i="84"/>
  <c r="O143" i="82"/>
  <c r="Z171" i="88"/>
  <c r="N141" i="81"/>
  <c r="Y95" i="82"/>
  <c r="P87" i="93"/>
  <c r="P80" i="82"/>
  <c r="N174" i="94"/>
  <c r="P19" i="74"/>
  <c r="P158" i="82"/>
  <c r="X89" i="85"/>
  <c r="AB96" i="82"/>
  <c r="M55" i="87"/>
  <c r="L76" i="82"/>
  <c r="O39" i="92"/>
  <c r="AB165" i="83"/>
  <c r="Y97" i="85"/>
  <c r="Y68" i="83"/>
  <c r="M47" i="92"/>
  <c r="AA11" i="93"/>
  <c r="O84" i="81"/>
  <c r="Z126" i="74"/>
  <c r="Z140" i="94"/>
  <c r="O141" i="89"/>
  <c r="O121" i="84"/>
  <c r="X29" i="74"/>
  <c r="Y105" i="93"/>
  <c r="X80" i="84"/>
  <c r="X175" i="88"/>
  <c r="P151" i="92"/>
  <c r="Q171" i="91"/>
  <c r="Z13" i="84"/>
  <c r="AA171" i="89"/>
  <c r="N69" i="84"/>
  <c r="AA141" i="83"/>
  <c r="Y37" i="82"/>
  <c r="L148" i="82"/>
  <c r="L92" i="87"/>
  <c r="N177" i="81"/>
  <c r="P175" i="84"/>
  <c r="N15" i="94"/>
  <c r="T117" i="93"/>
  <c r="Q78" i="93"/>
  <c r="AA119" i="84"/>
  <c r="X153" i="83"/>
  <c r="M17" i="84"/>
  <c r="Y170" i="83"/>
  <c r="Y144" i="82"/>
  <c r="Y148" i="74"/>
  <c r="O78" i="89"/>
  <c r="Y121" i="84"/>
  <c r="AA161" i="91"/>
  <c r="Y100" i="74"/>
  <c r="L153" i="81"/>
  <c r="X140" i="82"/>
  <c r="O35" i="81"/>
  <c r="X177" i="81"/>
  <c r="AB111" i="88"/>
  <c r="Z128" i="82"/>
  <c r="Y112" i="74"/>
  <c r="P133" i="89"/>
  <c r="L72" i="81"/>
  <c r="AA180" i="81"/>
  <c r="X95" i="91"/>
  <c r="Y84" i="91"/>
  <c r="P83" i="87"/>
  <c r="X73" i="92"/>
  <c r="X145" i="88"/>
  <c r="X68" i="82"/>
  <c r="Z17" i="92"/>
  <c r="AA138" i="82"/>
  <c r="P108" i="82"/>
  <c r="X115" i="74"/>
  <c r="L90" i="89"/>
  <c r="T126" i="85"/>
  <c r="Z163" i="74"/>
  <c r="P72" i="84"/>
  <c r="AA87" i="89"/>
  <c r="O144" i="81"/>
  <c r="L165" i="81"/>
  <c r="Q160" i="81"/>
  <c r="X130" i="83"/>
  <c r="O165" i="91"/>
  <c r="O100" i="89"/>
  <c r="AB131" i="84"/>
  <c r="Z131" i="91"/>
  <c r="M29" i="87"/>
  <c r="L108" i="91"/>
  <c r="Y111" i="74"/>
  <c r="L80" i="83"/>
  <c r="Y68" i="82"/>
  <c r="Y147" i="83"/>
  <c r="X9" i="88"/>
  <c r="X59" i="85"/>
  <c r="Z94" i="85"/>
  <c r="Q91" i="85"/>
  <c r="Q90" i="85"/>
  <c r="Q164" i="83"/>
  <c r="P123" i="85"/>
  <c r="AA90" i="91"/>
  <c r="AA61" i="82"/>
  <c r="Q88" i="85"/>
  <c r="Q77" i="74"/>
  <c r="N39" i="82"/>
  <c r="P116" i="94"/>
  <c r="AA35" i="94"/>
  <c r="O138" i="85"/>
  <c r="Q134" i="87"/>
  <c r="L77" i="74"/>
  <c r="O101" i="81"/>
  <c r="L68" i="83"/>
  <c r="T105" i="84"/>
  <c r="M21" i="91"/>
  <c r="L135" i="74"/>
  <c r="AA150" i="89"/>
  <c r="L91" i="85"/>
  <c r="P71" i="83"/>
  <c r="O131" i="81"/>
  <c r="N90" i="82"/>
  <c r="X25" i="83"/>
  <c r="N66" i="87"/>
  <c r="AA167" i="89"/>
  <c r="L107" i="83"/>
  <c r="O149" i="83"/>
  <c r="Y66" i="81"/>
  <c r="O169" i="91"/>
  <c r="L174" i="83"/>
  <c r="AA109" i="81"/>
  <c r="Q83" i="85"/>
  <c r="AB19" i="84"/>
  <c r="Q65" i="83"/>
  <c r="Z49" i="81"/>
  <c r="AB84" i="83"/>
  <c r="O130" i="84"/>
  <c r="Q127" i="94"/>
  <c r="T21" i="81"/>
  <c r="Q176" i="87"/>
  <c r="X53" i="91"/>
  <c r="O80" i="89"/>
  <c r="P137" i="91"/>
  <c r="Z51" i="88"/>
  <c r="O97" i="82"/>
  <c r="L138" i="91"/>
  <c r="AB15" i="82"/>
  <c r="AA73" i="74"/>
  <c r="P114" i="81"/>
  <c r="N126" i="74"/>
  <c r="Y166" i="83"/>
  <c r="O168" i="88"/>
  <c r="X180" i="87"/>
  <c r="AB177" i="81"/>
  <c r="T129" i="94"/>
  <c r="O146" i="82"/>
  <c r="AA161" i="83"/>
  <c r="X160" i="85"/>
  <c r="Q79" i="74"/>
  <c r="O136" i="92"/>
  <c r="Y100" i="88"/>
  <c r="O13" i="89"/>
  <c r="AA122" i="81"/>
  <c r="P106" i="91"/>
  <c r="Q66" i="85"/>
  <c r="Z98" i="81"/>
  <c r="Y176" i="82"/>
  <c r="O179" i="82"/>
  <c r="Z142" i="94"/>
  <c r="L101" i="84"/>
  <c r="L119" i="81"/>
  <c r="O113" i="74"/>
  <c r="Z17" i="83"/>
  <c r="AA133" i="85"/>
  <c r="AA164" i="81"/>
  <c r="AA72" i="87"/>
  <c r="L69" i="94"/>
  <c r="Y93" i="87"/>
  <c r="L180" i="92"/>
  <c r="P131" i="91"/>
  <c r="P67" i="84"/>
  <c r="P39" i="88"/>
  <c r="AA101" i="83"/>
  <c r="AA129" i="92"/>
  <c r="L117" i="85"/>
  <c r="Z47" i="82"/>
  <c r="AB169" i="85"/>
  <c r="Y137" i="82"/>
  <c r="O35" i="91"/>
  <c r="P92" i="87"/>
  <c r="N147" i="84"/>
  <c r="AA123" i="87"/>
  <c r="AB125" i="81"/>
  <c r="P155" i="81"/>
  <c r="AA11" i="82"/>
  <c r="P45" i="74"/>
  <c r="Y107" i="87"/>
  <c r="Q29" i="89"/>
  <c r="X105" i="85"/>
  <c r="Z120" i="83"/>
  <c r="Q81" i="88"/>
  <c r="L129" i="83"/>
  <c r="X59" i="82"/>
  <c r="Z155" i="84"/>
  <c r="Z132" i="83"/>
  <c r="P89" i="81"/>
  <c r="P15" i="74"/>
  <c r="AA92" i="84"/>
  <c r="Y95" i="88"/>
  <c r="Y78" i="85"/>
  <c r="AA112" i="84"/>
  <c r="AA83" i="81"/>
  <c r="P85" i="82"/>
  <c r="AA124" i="87"/>
  <c r="O169" i="74"/>
  <c r="O92" i="91"/>
  <c r="Z11" i="85"/>
  <c r="Q155" i="74"/>
  <c r="AA83" i="82"/>
  <c r="Q165" i="74"/>
  <c r="P132" i="82"/>
  <c r="Y168" i="81"/>
  <c r="AA148" i="84"/>
  <c r="Q134" i="92"/>
  <c r="AB146" i="81"/>
  <c r="Q129" i="84"/>
  <c r="Q172" i="87"/>
  <c r="Y110" i="89"/>
  <c r="AB97" i="85"/>
  <c r="P141" i="82"/>
  <c r="P168" i="82"/>
  <c r="L108" i="82"/>
  <c r="P76" i="87"/>
  <c r="AB61" i="84"/>
  <c r="O27" i="88"/>
  <c r="Z170" i="81"/>
  <c r="Y91" i="84"/>
  <c r="X29" i="83"/>
  <c r="Z53" i="81"/>
  <c r="O170" i="85"/>
  <c r="Q103" i="94"/>
  <c r="X103" i="93"/>
  <c r="Z126" i="81"/>
  <c r="T171" i="94"/>
  <c r="X122" i="84"/>
  <c r="N117" i="74"/>
  <c r="L155" i="83"/>
  <c r="M51" i="82"/>
  <c r="T105" i="93"/>
  <c r="AB129" i="88"/>
  <c r="P132" i="84"/>
  <c r="Y129" i="85"/>
  <c r="Q170" i="83"/>
  <c r="Y114" i="74"/>
  <c r="Z127" i="89"/>
  <c r="Y81" i="82"/>
  <c r="AB64" i="93"/>
  <c r="O88" i="83"/>
  <c r="Q41" i="88"/>
  <c r="T168" i="91"/>
  <c r="Y113" i="81"/>
  <c r="X47" i="88"/>
  <c r="Y49" i="74"/>
  <c r="Q135" i="83"/>
  <c r="O135" i="74"/>
  <c r="Q82" i="83"/>
  <c r="Q72" i="81"/>
  <c r="Y68" i="74"/>
  <c r="AB164" i="81"/>
  <c r="X75" i="85"/>
  <c r="Q143" i="85"/>
  <c r="P9" i="87"/>
  <c r="O179" i="83"/>
  <c r="L179" i="89"/>
  <c r="O151" i="81"/>
  <c r="Z132" i="82"/>
  <c r="Z151" i="83"/>
  <c r="T129" i="84"/>
  <c r="P108" i="89"/>
  <c r="O120" i="87"/>
  <c r="Y79" i="83"/>
  <c r="Q131" i="74"/>
  <c r="Q164" i="84"/>
  <c r="O97" i="91"/>
  <c r="AA125" i="74"/>
  <c r="Q143" i="94"/>
  <c r="P123" i="81"/>
  <c r="P45" i="82"/>
  <c r="X119" i="84"/>
  <c r="O91" i="74"/>
  <c r="Z175" i="83"/>
  <c r="Q33" i="74"/>
  <c r="P114" i="74"/>
  <c r="Q156" i="83"/>
  <c r="X101" i="89"/>
  <c r="Y90" i="83"/>
  <c r="AB159" i="84"/>
  <c r="L113" i="89"/>
  <c r="L116" i="91"/>
  <c r="Z115" i="83"/>
  <c r="Z15" i="87"/>
  <c r="X131" i="81"/>
  <c r="Z173" i="91"/>
  <c r="T180" i="93"/>
  <c r="Z173" i="88"/>
  <c r="Q103" i="84"/>
  <c r="X76" i="91"/>
  <c r="P84" i="74"/>
  <c r="T96" i="74"/>
  <c r="AA82" i="84"/>
  <c r="Y130" i="81"/>
  <c r="Y51" i="84"/>
  <c r="AB118" i="85"/>
  <c r="O104" i="74"/>
  <c r="O174" i="83"/>
  <c r="AB173" i="85"/>
  <c r="AA130" i="74"/>
  <c r="Q166" i="74"/>
  <c r="L93" i="83"/>
  <c r="AA172" i="89"/>
  <c r="Q171" i="81"/>
  <c r="Q155" i="81"/>
  <c r="T105" i="89"/>
  <c r="AB65" i="85"/>
  <c r="AB155" i="84"/>
  <c r="L170" i="85"/>
  <c r="O93" i="89"/>
  <c r="Z146" i="84"/>
  <c r="Q15" i="82"/>
  <c r="X51" i="88"/>
  <c r="AB157" i="87"/>
  <c r="L65" i="84"/>
  <c r="Y112" i="82"/>
  <c r="P78" i="91"/>
  <c r="L67" i="74"/>
  <c r="O68" i="81"/>
  <c r="AB81" i="89"/>
  <c r="X141" i="83"/>
  <c r="AA17" i="74"/>
  <c r="P64" i="88"/>
  <c r="AA21" i="81"/>
  <c r="L142" i="83"/>
  <c r="O181" i="91"/>
  <c r="AA161" i="84"/>
  <c r="Z33" i="85"/>
  <c r="Q104" i="81"/>
  <c r="AA70" i="87"/>
  <c r="Z96" i="83"/>
  <c r="Y17" i="83"/>
  <c r="X116" i="83"/>
  <c r="P70" i="74"/>
  <c r="X167" i="94"/>
  <c r="AB161" i="82"/>
  <c r="L105" i="81"/>
  <c r="Q163" i="85"/>
  <c r="Q136" i="82"/>
  <c r="Q35" i="89"/>
  <c r="O117" i="85"/>
  <c r="Z61" i="83"/>
  <c r="L95" i="85"/>
  <c r="O173" i="74"/>
  <c r="P131" i="82"/>
  <c r="Z160" i="84"/>
  <c r="Y55" i="93"/>
  <c r="X166" i="74"/>
  <c r="Z103" i="74"/>
  <c r="Q150" i="82"/>
  <c r="P11" i="88"/>
  <c r="Z161" i="81"/>
  <c r="T147" i="81"/>
  <c r="L79" i="92"/>
  <c r="O45" i="83"/>
  <c r="P116" i="81"/>
  <c r="AA89" i="84"/>
  <c r="AA128" i="85"/>
  <c r="X142" i="84"/>
  <c r="Q148" i="74"/>
  <c r="Q139" i="85"/>
  <c r="X73" i="81"/>
  <c r="Y133" i="74"/>
  <c r="Q138" i="84"/>
  <c r="Z168" i="91"/>
  <c r="AA147" i="85"/>
  <c r="AA117" i="83"/>
  <c r="P104" i="91"/>
  <c r="P166" i="88"/>
  <c r="Y146" i="74"/>
  <c r="AA105" i="91"/>
  <c r="P31" i="81"/>
  <c r="T93" i="81"/>
  <c r="X79" i="82"/>
  <c r="Q113" i="74"/>
  <c r="AB76" i="87"/>
  <c r="X151" i="82"/>
  <c r="Y85" i="74"/>
  <c r="P124" i="87"/>
  <c r="Z39" i="85"/>
  <c r="X67" i="84"/>
  <c r="Y41" i="74"/>
  <c r="Z105" i="85"/>
  <c r="P106" i="82"/>
  <c r="O84" i="93"/>
  <c r="N171" i="81"/>
  <c r="X115" i="87"/>
  <c r="AB168" i="88"/>
  <c r="P145" i="81"/>
  <c r="AA120" i="81"/>
  <c r="AA150" i="74"/>
  <c r="AB80" i="94"/>
  <c r="O120" i="84"/>
  <c r="X151" i="83"/>
  <c r="AB19" i="83"/>
  <c r="Z98" i="83"/>
  <c r="Z78" i="83"/>
  <c r="L86" i="87"/>
  <c r="AB72" i="91"/>
  <c r="P103" i="81"/>
  <c r="P129" i="91"/>
  <c r="P170" i="82"/>
  <c r="X49" i="85"/>
  <c r="M61" i="83"/>
  <c r="Y85" i="81"/>
  <c r="AA98" i="81"/>
  <c r="AA118" i="85"/>
  <c r="L71" i="85"/>
  <c r="Y157" i="81"/>
  <c r="P180" i="84"/>
  <c r="L164" i="83"/>
  <c r="T135" i="91"/>
  <c r="O97" i="81"/>
  <c r="N15" i="82"/>
  <c r="P87" i="83"/>
  <c r="Y174" i="74"/>
  <c r="Q120" i="82"/>
  <c r="M27" i="85"/>
  <c r="Z82" i="83"/>
  <c r="AA37" i="74"/>
  <c r="Z66" i="82"/>
  <c r="L107" i="74"/>
  <c r="Q107" i="93"/>
  <c r="AA146" i="74"/>
  <c r="O111" i="88"/>
  <c r="Z145" i="88"/>
  <c r="AB153" i="81"/>
  <c r="Y156" i="85"/>
  <c r="P33" i="81"/>
  <c r="AA27" i="88"/>
  <c r="AB171" i="93"/>
  <c r="Y29" i="82"/>
  <c r="N87" i="81"/>
  <c r="Y72" i="91"/>
  <c r="Z35" i="84"/>
  <c r="AA112" i="85"/>
  <c r="L175" i="89"/>
  <c r="Z136" i="83"/>
  <c r="X143" i="84"/>
  <c r="L144" i="82"/>
  <c r="Q143" i="83"/>
  <c r="AB72" i="81"/>
  <c r="L119" i="74"/>
  <c r="O41" i="81"/>
  <c r="X119" i="83"/>
  <c r="X116" i="84"/>
  <c r="L84" i="74"/>
  <c r="Q161" i="81"/>
  <c r="N180" i="87"/>
  <c r="Q51" i="85"/>
  <c r="L96" i="91"/>
  <c r="T72" i="89"/>
  <c r="AB150" i="89"/>
  <c r="Q110" i="83"/>
  <c r="Z169" i="85"/>
  <c r="Q89" i="85"/>
  <c r="N165" i="83"/>
  <c r="T153" i="83"/>
  <c r="P98" i="91"/>
  <c r="AB145" i="84"/>
  <c r="AB136" i="91"/>
  <c r="O179" i="87"/>
  <c r="Y146" i="81"/>
  <c r="Q134" i="84"/>
  <c r="AA43" i="74"/>
  <c r="L87" i="74"/>
  <c r="AB80" i="85"/>
  <c r="O175" i="83"/>
  <c r="AA15" i="84"/>
  <c r="Q11" i="83"/>
  <c r="AA71" i="84"/>
  <c r="Q57" i="74"/>
  <c r="L144" i="81"/>
  <c r="O82" i="85"/>
  <c r="P176" i="84"/>
  <c r="P65" i="74"/>
  <c r="Z150" i="83"/>
  <c r="X123" i="82"/>
  <c r="X67" i="81"/>
  <c r="O127" i="84"/>
  <c r="Y99" i="74"/>
  <c r="L162" i="85"/>
  <c r="P146" i="74"/>
  <c r="Q67" i="93"/>
  <c r="O113" i="88"/>
  <c r="L72" i="83"/>
  <c r="P124" i="91"/>
  <c r="Y145" i="94"/>
  <c r="P102" i="87"/>
  <c r="M49" i="82"/>
  <c r="P39" i="82"/>
  <c r="M9" i="74"/>
  <c r="O83" i="81"/>
  <c r="AA177" i="85"/>
  <c r="L71" i="84"/>
  <c r="L88" i="82"/>
  <c r="T90" i="81"/>
  <c r="X39" i="74"/>
  <c r="O132" i="83"/>
  <c r="Z93" i="74"/>
  <c r="Q174" i="84"/>
  <c r="X136" i="84"/>
  <c r="O140" i="83"/>
  <c r="Y109" i="87"/>
  <c r="M55" i="81"/>
  <c r="AA64" i="85"/>
  <c r="P159" i="85"/>
  <c r="Z100" i="94"/>
  <c r="Q178" i="83"/>
  <c r="AA13" i="88"/>
  <c r="P166" i="81"/>
  <c r="AA45" i="81"/>
  <c r="AA72" i="82"/>
  <c r="Q76" i="89"/>
  <c r="X72" i="81"/>
  <c r="L94" i="81"/>
  <c r="AB100" i="83"/>
  <c r="X64" i="88"/>
  <c r="X149" i="84"/>
  <c r="O138" i="81"/>
  <c r="Y101" i="89"/>
  <c r="Y174" i="84"/>
  <c r="O170" i="83"/>
  <c r="AA163" i="89"/>
  <c r="Q167" i="85"/>
  <c r="T114" i="92"/>
  <c r="Z133" i="83"/>
  <c r="O159" i="83"/>
  <c r="AA53" i="88"/>
  <c r="Y35" i="87"/>
  <c r="Z104" i="89"/>
  <c r="P119" i="81"/>
  <c r="AA171" i="83"/>
  <c r="X17" i="88"/>
  <c r="Z13" i="74"/>
  <c r="T153" i="94"/>
  <c r="AB79" i="92"/>
  <c r="P85" i="83"/>
  <c r="AB61" i="82"/>
  <c r="Z111" i="84"/>
  <c r="AA148" i="88"/>
  <c r="P83" i="94"/>
  <c r="Y63" i="87"/>
  <c r="T108" i="81"/>
  <c r="Q132" i="74"/>
  <c r="X163" i="87"/>
  <c r="L109" i="89"/>
  <c r="T75" i="94"/>
  <c r="AA96" i="94"/>
  <c r="Q11" i="82"/>
  <c r="Y140" i="81"/>
  <c r="M43" i="83"/>
  <c r="O122" i="83"/>
  <c r="X167" i="81"/>
  <c r="AA152" i="82"/>
  <c r="Z166" i="85"/>
  <c r="L167" i="85"/>
  <c r="Z96" i="74"/>
  <c r="Z98" i="74"/>
  <c r="X31" i="94"/>
  <c r="Y85" i="94"/>
  <c r="AA33" i="85"/>
  <c r="AB145" i="93"/>
  <c r="Y150" i="89"/>
  <c r="Z150" i="81"/>
  <c r="AB13" i="81"/>
  <c r="P25" i="81"/>
  <c r="AA169" i="85"/>
  <c r="Q180" i="81"/>
  <c r="O170" i="81"/>
  <c r="Q147" i="91"/>
  <c r="Q11" i="88"/>
  <c r="P177" i="81"/>
  <c r="AB171" i="85"/>
  <c r="AA93" i="82"/>
  <c r="X146" i="84"/>
  <c r="O173" i="84"/>
  <c r="AA66" i="83"/>
  <c r="AA156" i="74"/>
  <c r="Q63" i="88"/>
  <c r="Y68" i="91"/>
  <c r="Q35" i="83"/>
  <c r="Q113" i="87"/>
  <c r="P25" i="83"/>
  <c r="O177" i="74"/>
  <c r="L79" i="85"/>
  <c r="Z63" i="83"/>
  <c r="P95" i="85"/>
  <c r="Y173" i="82"/>
  <c r="L125" i="91"/>
  <c r="Z102" i="89"/>
  <c r="T96" i="85"/>
  <c r="O109" i="84"/>
  <c r="AA64" i="84"/>
  <c r="Z110" i="83"/>
  <c r="X61" i="83"/>
  <c r="P11" i="84"/>
  <c r="X87" i="91"/>
  <c r="P137" i="82"/>
  <c r="AB23" i="82"/>
  <c r="AB66" i="83"/>
  <c r="Q179" i="81"/>
  <c r="AB174" i="84"/>
  <c r="Y106" i="84"/>
  <c r="AA108" i="89"/>
  <c r="X121" i="81"/>
  <c r="L137" i="88"/>
  <c r="L104" i="81"/>
  <c r="Y41" i="89"/>
  <c r="L135" i="87"/>
  <c r="P160" i="74"/>
  <c r="P110" i="83"/>
  <c r="Y150" i="81"/>
  <c r="L177" i="88"/>
  <c r="O13" i="85"/>
  <c r="L160" i="87"/>
  <c r="Z177" i="83"/>
  <c r="Q118" i="83"/>
  <c r="X71" i="84"/>
  <c r="P132" i="87"/>
  <c r="O27" i="81"/>
  <c r="Q159" i="81"/>
  <c r="M37" i="82"/>
  <c r="P59" i="82"/>
  <c r="O121" i="83"/>
  <c r="P116" i="87"/>
  <c r="O108" i="91"/>
  <c r="AB133" i="93"/>
  <c r="Q69" i="74"/>
  <c r="AB152" i="82"/>
  <c r="O117" i="89"/>
  <c r="AA105" i="88"/>
  <c r="AB155" i="93"/>
  <c r="O171" i="85"/>
  <c r="P108" i="85"/>
  <c r="AA154" i="81"/>
  <c r="Z142" i="84"/>
  <c r="X163" i="93"/>
  <c r="Z175" i="84"/>
  <c r="L157" i="91"/>
  <c r="AB86" i="94"/>
  <c r="P182" i="87"/>
  <c r="X155" i="94"/>
  <c r="Y83" i="83"/>
  <c r="X31" i="74"/>
  <c r="AA175" i="92"/>
  <c r="L181" i="87"/>
  <c r="N45" i="85"/>
  <c r="N72" i="74"/>
  <c r="O165" i="89"/>
  <c r="X157" i="83"/>
  <c r="O73" i="74"/>
  <c r="AA74" i="94"/>
  <c r="T150" i="91"/>
  <c r="X31" i="89"/>
  <c r="AA92" i="92"/>
  <c r="Q67" i="82"/>
  <c r="AA162" i="89"/>
  <c r="Z172" i="74"/>
  <c r="P35" i="74"/>
  <c r="AA100" i="91"/>
  <c r="T102" i="82"/>
  <c r="Q43" i="88"/>
  <c r="Z107" i="74"/>
  <c r="X19" i="82"/>
  <c r="L95" i="84"/>
  <c r="O119" i="84"/>
  <c r="N165" i="81"/>
  <c r="X131" i="84"/>
  <c r="X79" i="81"/>
  <c r="AB172" i="82"/>
  <c r="P143" i="89"/>
  <c r="L126" i="82"/>
  <c r="T81" i="84"/>
  <c r="AA102" i="81"/>
  <c r="AB131" i="83"/>
  <c r="Z156" i="82"/>
  <c r="AB65" i="83"/>
  <c r="Y147" i="74"/>
  <c r="P155" i="85"/>
  <c r="Q69" i="84"/>
  <c r="AB136" i="84"/>
  <c r="X142" i="87"/>
  <c r="Y101" i="87"/>
  <c r="X99" i="84"/>
  <c r="Z163" i="87"/>
  <c r="L125" i="87"/>
  <c r="AA65" i="81"/>
  <c r="N171" i="87"/>
  <c r="Z114" i="85"/>
  <c r="X165" i="87"/>
  <c r="Y76" i="84"/>
  <c r="Q170" i="85"/>
  <c r="AB21" i="83"/>
  <c r="O67" i="84"/>
  <c r="Y156" i="82"/>
  <c r="T99" i="94"/>
  <c r="P156" i="87"/>
  <c r="X167" i="89"/>
  <c r="Y59" i="82"/>
  <c r="Y120" i="87"/>
  <c r="AB105" i="84"/>
  <c r="AA103" i="91"/>
  <c r="T147" i="92"/>
  <c r="M33" i="93"/>
  <c r="AB148" i="83"/>
  <c r="L175" i="87"/>
  <c r="M43" i="84"/>
  <c r="Q130" i="89"/>
  <c r="AB145" i="87"/>
  <c r="Q147" i="84"/>
  <c r="Z132" i="94"/>
  <c r="P171" i="74"/>
  <c r="X70" i="85"/>
  <c r="P55" i="83"/>
  <c r="AA57" i="82"/>
  <c r="AA176" i="82"/>
  <c r="Q163" i="89"/>
  <c r="X83" i="81"/>
  <c r="Y39" i="94"/>
  <c r="L69" i="85"/>
  <c r="O86" i="74"/>
  <c r="L160" i="89"/>
  <c r="AA163" i="84"/>
  <c r="T15" i="81"/>
  <c r="O176" i="83"/>
  <c r="Z93" i="82"/>
  <c r="AB167" i="94"/>
  <c r="AB84" i="87"/>
  <c r="Q90" i="92"/>
  <c r="Q102" i="89"/>
  <c r="X51" i="81"/>
  <c r="Q72" i="83"/>
  <c r="T39" i="81"/>
  <c r="X33" i="83"/>
  <c r="T78" i="85"/>
  <c r="N102" i="87"/>
  <c r="Y80" i="88"/>
  <c r="N84" i="88"/>
  <c r="X64" i="84"/>
  <c r="P39" i="91"/>
  <c r="X150" i="88"/>
  <c r="Y159" i="85"/>
  <c r="AB113" i="88"/>
  <c r="Z124" i="74"/>
  <c r="L125" i="85"/>
  <c r="Q166" i="85"/>
  <c r="Q114" i="85"/>
  <c r="P69" i="74"/>
  <c r="P121" i="92"/>
  <c r="O69" i="82"/>
  <c r="X117" i="89"/>
  <c r="X88" i="85"/>
  <c r="T180" i="84"/>
  <c r="L120" i="88"/>
  <c r="Y112" i="84"/>
  <c r="N123" i="83"/>
  <c r="P126" i="83"/>
  <c r="AB9" i="83"/>
  <c r="Q11" i="85"/>
  <c r="X142" i="83"/>
  <c r="O94" i="87"/>
  <c r="Q169" i="91"/>
  <c r="AB159" i="87"/>
  <c r="O77" i="82"/>
  <c r="Q97" i="85"/>
  <c r="O138" i="82"/>
  <c r="AB104" i="83"/>
  <c r="O84" i="83"/>
  <c r="AA106" i="82"/>
  <c r="O79" i="81"/>
  <c r="AA88" i="84"/>
  <c r="Q37" i="83"/>
  <c r="L162" i="81"/>
  <c r="L158" i="87"/>
  <c r="Z136" i="94"/>
  <c r="Q63" i="81"/>
  <c r="L180" i="85"/>
  <c r="X35" i="88"/>
  <c r="O165" i="92"/>
  <c r="O137" i="85"/>
  <c r="T51" i="74"/>
  <c r="Z166" i="89"/>
  <c r="Y126" i="85"/>
  <c r="L145" i="85"/>
  <c r="X161" i="87"/>
  <c r="Z15" i="89"/>
  <c r="T57" i="93"/>
  <c r="P104" i="74"/>
  <c r="X17" i="89"/>
  <c r="AA83" i="89"/>
  <c r="N129" i="83"/>
  <c r="O65" i="91"/>
  <c r="P120" i="93"/>
  <c r="L98" i="85"/>
  <c r="X101" i="82"/>
  <c r="AB140" i="84"/>
  <c r="AA102" i="82"/>
  <c r="M11" i="83"/>
  <c r="AB153" i="91"/>
  <c r="AA106" i="84"/>
  <c r="Z31" i="74"/>
  <c r="AA95" i="81"/>
  <c r="Y80" i="83"/>
  <c r="AB63" i="81"/>
  <c r="M51" i="83"/>
  <c r="Z95" i="74"/>
  <c r="P21" i="81"/>
  <c r="Q129" i="87"/>
  <c r="P121" i="94"/>
  <c r="N126" i="84"/>
  <c r="Q142" i="74"/>
  <c r="AB151" i="85"/>
  <c r="X106" i="74"/>
  <c r="AA87" i="81"/>
  <c r="L67" i="88"/>
  <c r="X15" i="81"/>
  <c r="Q88" i="82"/>
  <c r="AB64" i="82"/>
  <c r="Z142" i="82"/>
  <c r="AB165" i="87"/>
  <c r="Q64" i="81"/>
  <c r="Y122" i="82"/>
  <c r="Y74" i="91"/>
  <c r="O108" i="87"/>
  <c r="AB72" i="93"/>
  <c r="O110" i="85"/>
  <c r="P74" i="82"/>
  <c r="O84" i="74"/>
  <c r="Q87" i="74"/>
  <c r="L86" i="88"/>
  <c r="Y73" i="87"/>
  <c r="O159" i="74"/>
  <c r="L166" i="74"/>
  <c r="Z113" i="93"/>
  <c r="X105" i="93"/>
  <c r="Y167" i="83"/>
  <c r="Q47" i="83"/>
  <c r="AB91" i="81"/>
  <c r="L161" i="88"/>
  <c r="M19" i="92"/>
  <c r="O17" i="87"/>
  <c r="N69" i="81"/>
  <c r="Y92" i="82"/>
  <c r="Z148" i="81"/>
  <c r="Q166" i="91"/>
  <c r="M39" i="81"/>
  <c r="O178" i="83"/>
  <c r="X120" i="91"/>
  <c r="T93" i="82"/>
  <c r="X129" i="91"/>
  <c r="AA59" i="74"/>
  <c r="O114" i="83"/>
  <c r="AA68" i="83"/>
  <c r="L78" i="85"/>
  <c r="O174" i="89"/>
  <c r="O106" i="84"/>
  <c r="T153" i="89"/>
  <c r="Q141" i="92"/>
  <c r="Q165" i="81"/>
  <c r="AB37" i="88"/>
  <c r="Q17" i="83"/>
  <c r="N87" i="87"/>
  <c r="AB173" i="82"/>
  <c r="Z140" i="74"/>
  <c r="O61" i="81"/>
  <c r="Z170" i="89"/>
  <c r="Y158" i="94"/>
  <c r="X104" i="83"/>
  <c r="Z164" i="83"/>
  <c r="AB134" i="81"/>
  <c r="AA76" i="89"/>
  <c r="Q92" i="84"/>
  <c r="Z122" i="74"/>
  <c r="M25" i="93"/>
  <c r="Q98" i="91"/>
  <c r="P71" i="85"/>
  <c r="AA125" i="87"/>
  <c r="Q99" i="74"/>
  <c r="P90" i="81"/>
  <c r="L142" i="84"/>
  <c r="AB67" i="82"/>
  <c r="AA120" i="85"/>
  <c r="O163" i="88"/>
  <c r="O104" i="81"/>
  <c r="Y97" i="82"/>
  <c r="AA164" i="85"/>
  <c r="L144" i="87"/>
  <c r="Y57" i="91"/>
  <c r="AA65" i="74"/>
  <c r="L165" i="91"/>
  <c r="AA154" i="74"/>
  <c r="N15" i="92"/>
  <c r="P100" i="74"/>
  <c r="O90" i="87"/>
  <c r="AA161" i="74"/>
  <c r="X9" i="94"/>
  <c r="O155" i="83"/>
  <c r="O59" i="81"/>
  <c r="X63" i="87"/>
  <c r="P94" i="89"/>
  <c r="N123" i="89"/>
  <c r="P145" i="74"/>
  <c r="Y82" i="82"/>
  <c r="Q135" i="82"/>
  <c r="Y57" i="81"/>
  <c r="X59" i="92"/>
  <c r="Q132" i="88"/>
  <c r="Z114" i="83"/>
  <c r="T66" i="81"/>
  <c r="Y154" i="74"/>
  <c r="P79" i="89"/>
  <c r="AA114" i="87"/>
  <c r="P153" i="74"/>
  <c r="AB149" i="82"/>
  <c r="Q69" i="82"/>
  <c r="AB77" i="84"/>
  <c r="N81" i="91"/>
  <c r="X84" i="74"/>
  <c r="P130" i="81"/>
  <c r="Z76" i="83"/>
  <c r="O115" i="93"/>
  <c r="O96" i="81"/>
  <c r="N114" i="74"/>
  <c r="AB17" i="87"/>
  <c r="Z92" i="93"/>
  <c r="Z110" i="74"/>
  <c r="L86" i="74"/>
  <c r="Q141" i="84"/>
  <c r="P141" i="83"/>
  <c r="O116" i="83"/>
  <c r="L100" i="88"/>
  <c r="P90" i="88"/>
  <c r="Z9" i="89"/>
  <c r="L122" i="74"/>
  <c r="Y87" i="74"/>
  <c r="X27" i="84"/>
  <c r="Y66" i="82"/>
  <c r="Z83" i="85"/>
  <c r="AB93" i="85"/>
  <c r="L76" i="85"/>
  <c r="L88" i="81"/>
  <c r="Y136" i="82"/>
  <c r="Y109" i="81"/>
  <c r="AB114" i="83"/>
  <c r="AA162" i="87"/>
  <c r="O172" i="82"/>
  <c r="O94" i="81"/>
  <c r="AA149" i="87"/>
  <c r="X15" i="87"/>
  <c r="X51" i="94"/>
  <c r="Y117" i="83"/>
  <c r="L160" i="84"/>
  <c r="AB123" i="83"/>
  <c r="Y133" i="81"/>
  <c r="AB37" i="83"/>
  <c r="T84" i="93"/>
  <c r="AB35" i="83"/>
  <c r="L78" i="91"/>
  <c r="AA49" i="84"/>
  <c r="P124" i="84"/>
  <c r="P116" i="82"/>
  <c r="O9" i="85"/>
  <c r="L115" i="89"/>
  <c r="Q105" i="85"/>
  <c r="O164" i="94"/>
  <c r="L107" i="91"/>
  <c r="Z154" i="82"/>
  <c r="X133" i="88"/>
  <c r="O171" i="83"/>
  <c r="T87" i="81"/>
  <c r="L158" i="91"/>
  <c r="L115" i="82"/>
  <c r="L118" i="89"/>
  <c r="N15" i="74"/>
  <c r="AB47" i="91"/>
  <c r="Y71" i="81"/>
  <c r="Q180" i="74"/>
  <c r="AB132" i="83"/>
  <c r="AA119" i="88"/>
  <c r="AA117" i="82"/>
  <c r="P162" i="82"/>
  <c r="P51" i="84"/>
  <c r="L138" i="82"/>
  <c r="P71" i="82"/>
  <c r="AB113" i="84"/>
  <c r="P108" i="88"/>
  <c r="X154" i="81"/>
  <c r="AB117" i="81"/>
  <c r="Z64" i="74"/>
  <c r="Z120" i="88"/>
  <c r="AA88" i="81"/>
  <c r="P92" i="84"/>
  <c r="P181" i="74"/>
  <c r="X138" i="81"/>
  <c r="L123" i="85"/>
  <c r="M23" i="84"/>
  <c r="O181" i="81"/>
  <c r="L171" i="88"/>
  <c r="O120" i="81"/>
  <c r="T171" i="93"/>
  <c r="P96" i="74"/>
  <c r="X19" i="92"/>
  <c r="Y145" i="82"/>
  <c r="N108" i="85"/>
  <c r="O103" i="84"/>
  <c r="X180" i="74"/>
  <c r="N135" i="82"/>
  <c r="Q85" i="74"/>
  <c r="Q71" i="84"/>
  <c r="P131" i="74"/>
  <c r="T153" i="74"/>
  <c r="AB169" i="83"/>
  <c r="O87" i="84"/>
  <c r="O120" i="83"/>
  <c r="AB98" i="85"/>
  <c r="X129" i="81"/>
  <c r="P110" i="81"/>
  <c r="N150" i="84"/>
  <c r="M13" i="74"/>
  <c r="Y159" i="88"/>
  <c r="O37" i="81"/>
  <c r="O27" i="84"/>
  <c r="Q37" i="89"/>
  <c r="Z85" i="83"/>
  <c r="P119" i="74"/>
  <c r="Q119" i="87"/>
  <c r="Y154" i="83"/>
  <c r="O162" i="84"/>
  <c r="P145" i="94"/>
  <c r="Q51" i="81"/>
  <c r="P94" i="84"/>
  <c r="O64" i="74"/>
  <c r="Q137" i="91"/>
  <c r="O35" i="83"/>
  <c r="AB128" i="87"/>
  <c r="O27" i="74"/>
  <c r="Y158" i="85"/>
  <c r="Y164" i="85"/>
  <c r="T162" i="91"/>
  <c r="N27" i="83"/>
  <c r="Q96" i="89"/>
  <c r="AA23" i="74"/>
  <c r="Q125" i="74"/>
  <c r="N84" i="83"/>
  <c r="X91" i="85"/>
  <c r="Y151" i="83"/>
  <c r="AA92" i="91"/>
  <c r="Z29" i="89"/>
  <c r="AA97" i="74"/>
  <c r="Z82" i="81"/>
  <c r="AB165" i="92"/>
  <c r="AB111" i="85"/>
  <c r="AB156" i="83"/>
  <c r="Q57" i="82"/>
  <c r="Q166" i="83"/>
  <c r="X55" i="94"/>
  <c r="X43" i="82"/>
  <c r="AA47" i="74"/>
  <c r="AB175" i="84"/>
  <c r="Z110" i="88"/>
  <c r="P99" i="81"/>
  <c r="P140" i="74"/>
  <c r="O27" i="82"/>
  <c r="T75" i="93"/>
  <c r="M47" i="93"/>
  <c r="Y154" i="94"/>
  <c r="AB49" i="81"/>
  <c r="P55" i="84"/>
  <c r="L113" i="74"/>
  <c r="X162" i="83"/>
  <c r="O97" i="92"/>
  <c r="AA99" i="82"/>
  <c r="P132" i="83"/>
  <c r="Q143" i="93"/>
  <c r="Z90" i="93"/>
  <c r="Z83" i="82"/>
  <c r="M19" i="93"/>
  <c r="M29" i="84"/>
  <c r="O61" i="74"/>
  <c r="AB112" i="82"/>
  <c r="N90" i="85"/>
  <c r="Y85" i="84"/>
  <c r="AA96" i="81"/>
  <c r="AA66" i="87"/>
  <c r="P147" i="89"/>
  <c r="P154" i="91"/>
  <c r="Y174" i="82"/>
  <c r="Z166" i="92"/>
  <c r="Z45" i="74"/>
  <c r="O115" i="89"/>
  <c r="AA143" i="82"/>
  <c r="Q130" i="83"/>
  <c r="Y145" i="93"/>
  <c r="Y23" i="85"/>
  <c r="L74" i="89"/>
  <c r="AB57" i="82"/>
  <c r="Z101" i="74"/>
  <c r="Q141" i="74"/>
  <c r="P97" i="89"/>
  <c r="Y17" i="84"/>
  <c r="L147" i="84"/>
  <c r="Q166" i="82"/>
  <c r="AA116" i="74"/>
  <c r="P131" i="83"/>
  <c r="AB162" i="87"/>
  <c r="Z177" i="74"/>
  <c r="X180" i="89"/>
  <c r="O11" i="83"/>
  <c r="Q89" i="83"/>
  <c r="Q157" i="85"/>
  <c r="AA175" i="87"/>
  <c r="Z81" i="74"/>
  <c r="L171" i="81"/>
  <c r="Q158" i="74"/>
  <c r="Z55" i="92"/>
  <c r="Q122" i="81"/>
  <c r="Y27" i="82"/>
  <c r="AB119" i="83"/>
  <c r="L134" i="83"/>
  <c r="L66" i="91"/>
  <c r="AA33" i="84"/>
  <c r="P172" i="91"/>
  <c r="L136" i="87"/>
  <c r="Q129" i="94"/>
  <c r="AB79" i="85"/>
  <c r="P169" i="88"/>
  <c r="X17" i="82"/>
  <c r="AA29" i="74"/>
  <c r="Y148" i="82"/>
  <c r="P88" i="82"/>
  <c r="Y21" i="88"/>
  <c r="AA124" i="74"/>
  <c r="Q116" i="85"/>
  <c r="Y96" i="84"/>
  <c r="L85" i="81"/>
  <c r="Z154" i="89"/>
  <c r="Z121" i="88"/>
  <c r="AB69" i="84"/>
  <c r="O172" i="89"/>
  <c r="X61" i="74"/>
  <c r="Z15" i="88"/>
  <c r="X156" i="85"/>
  <c r="AA152" i="74"/>
  <c r="AA39" i="87"/>
  <c r="P63" i="83"/>
  <c r="X88" i="91"/>
  <c r="O49" i="83"/>
  <c r="Q101" i="83"/>
  <c r="X79" i="89"/>
  <c r="P92" i="81"/>
  <c r="O171" i="91"/>
  <c r="Y126" i="83"/>
  <c r="Y162" i="85"/>
  <c r="Y138" i="85"/>
  <c r="P113" i="85"/>
  <c r="AA71" i="74"/>
  <c r="Y66" i="83"/>
  <c r="T102" i="93"/>
  <c r="Q110" i="89"/>
  <c r="X111" i="84"/>
  <c r="T39" i="94"/>
  <c r="T102" i="88"/>
  <c r="Q164" i="82"/>
  <c r="AA166" i="82"/>
  <c r="L175" i="84"/>
  <c r="AA154" i="93"/>
  <c r="Q13" i="92"/>
  <c r="T75" i="74"/>
  <c r="Q29" i="85"/>
  <c r="AB17" i="82"/>
  <c r="Q145" i="83"/>
  <c r="L133" i="88"/>
  <c r="L112" i="82"/>
  <c r="L157" i="74"/>
  <c r="L67" i="81"/>
  <c r="P82" i="88"/>
  <c r="Z109" i="85"/>
  <c r="P154" i="94"/>
  <c r="N21" i="92"/>
  <c r="O136" i="74"/>
  <c r="O160" i="93"/>
  <c r="X68" i="93"/>
  <c r="L81" i="81"/>
  <c r="P35" i="83"/>
  <c r="Q143" i="82"/>
  <c r="AB159" i="83"/>
  <c r="AA63" i="74"/>
  <c r="Z90" i="83"/>
  <c r="AA151" i="91"/>
  <c r="O138" i="87"/>
  <c r="X107" i="81"/>
  <c r="Q91" i="91"/>
  <c r="L73" i="85"/>
  <c r="L118" i="88"/>
  <c r="X57" i="85"/>
  <c r="O128" i="74"/>
  <c r="P49" i="91"/>
  <c r="O103" i="85"/>
  <c r="T72" i="84"/>
  <c r="AA133" i="74"/>
  <c r="L178" i="81"/>
  <c r="AA65" i="88"/>
  <c r="Y90" i="81"/>
  <c r="T177" i="93"/>
  <c r="X117" i="84"/>
  <c r="Z23" i="82"/>
  <c r="L133" i="91"/>
  <c r="AB127" i="83"/>
  <c r="AA158" i="87"/>
  <c r="X102" i="74"/>
  <c r="O162" i="81"/>
  <c r="P45" i="83"/>
  <c r="AA150" i="82"/>
  <c r="M41" i="84"/>
  <c r="L150" i="89"/>
  <c r="AA109" i="83"/>
  <c r="N63" i="84"/>
  <c r="T129" i="74"/>
  <c r="L156" i="87"/>
  <c r="AA138" i="87"/>
  <c r="M27" i="88"/>
  <c r="Q86" i="84"/>
  <c r="Q100" i="85"/>
  <c r="O154" i="85"/>
  <c r="X109" i="84"/>
  <c r="O41" i="91"/>
  <c r="AB175" i="83"/>
  <c r="P180" i="83"/>
  <c r="Q59" i="81"/>
  <c r="Z21" i="85"/>
  <c r="O141" i="85"/>
  <c r="X162" i="93"/>
  <c r="AB94" i="93"/>
  <c r="Y172" i="84"/>
  <c r="AB104" i="93"/>
  <c r="L179" i="82"/>
  <c r="Q15" i="88"/>
  <c r="AB135" i="81"/>
  <c r="Q87" i="85"/>
  <c r="Y167" i="74"/>
  <c r="Z63" i="89"/>
  <c r="Z107" i="82"/>
  <c r="N162" i="83"/>
  <c r="L150" i="83"/>
  <c r="L110" i="91"/>
  <c r="Z77" i="85"/>
  <c r="O157" i="93"/>
  <c r="AA130" i="81"/>
  <c r="AA53" i="81"/>
  <c r="T84" i="91"/>
  <c r="AA148" i="81"/>
  <c r="L125" i="83"/>
  <c r="P65" i="82"/>
  <c r="N138" i="85"/>
  <c r="N78" i="84"/>
  <c r="Z90" i="74"/>
  <c r="Y158" i="87"/>
  <c r="X120" i="81"/>
  <c r="T63" i="92"/>
  <c r="AB75" i="83"/>
  <c r="Z27" i="84"/>
  <c r="O101" i="85"/>
  <c r="X134" i="94"/>
  <c r="Q170" i="82"/>
  <c r="Q45" i="92"/>
  <c r="L78" i="81"/>
  <c r="Z35" i="74"/>
  <c r="Z117" i="87"/>
  <c r="AB47" i="85"/>
  <c r="T126" i="94"/>
  <c r="Y67" i="83"/>
  <c r="AA176" i="87"/>
  <c r="Z13" i="81"/>
  <c r="AB134" i="84"/>
  <c r="L75" i="89"/>
  <c r="L168" i="87"/>
  <c r="L129" i="82"/>
  <c r="N111" i="89"/>
  <c r="Y47" i="81"/>
  <c r="O33" i="87"/>
  <c r="Z116" i="74"/>
  <c r="P96" i="85"/>
  <c r="Z151" i="84"/>
  <c r="L135" i="91"/>
  <c r="O117" i="93"/>
  <c r="Q140" i="87"/>
  <c r="AA134" i="74"/>
  <c r="Z55" i="74"/>
  <c r="P109" i="84"/>
  <c r="L77" i="91"/>
  <c r="Z170" i="88"/>
  <c r="AA57" i="85"/>
  <c r="N108" i="84"/>
  <c r="P178" i="83"/>
  <c r="AB129" i="93"/>
  <c r="T126" i="83"/>
  <c r="Q146" i="89"/>
  <c r="AA99" i="81"/>
  <c r="AB158" i="85"/>
  <c r="Y171" i="85"/>
  <c r="O149" i="81"/>
  <c r="Y106" i="85"/>
  <c r="Z171" i="74"/>
  <c r="X175" i="84"/>
  <c r="X144" i="82"/>
  <c r="AB33" i="81"/>
  <c r="Z78" i="89"/>
  <c r="Y160" i="74"/>
  <c r="Q178" i="84"/>
  <c r="Y125" i="85"/>
  <c r="Q75" i="74"/>
  <c r="Y43" i="81"/>
  <c r="L141" i="85"/>
  <c r="Z162" i="81"/>
  <c r="X168" i="87"/>
  <c r="Y71" i="87"/>
  <c r="AA79" i="82"/>
  <c r="Q162" i="82"/>
  <c r="AA79" i="89"/>
  <c r="AA71" i="82"/>
  <c r="AB115" i="91"/>
  <c r="O150" i="84"/>
  <c r="T15" i="92"/>
  <c r="X13" i="85"/>
  <c r="O41" i="92"/>
  <c r="T102" i="91"/>
  <c r="X124" i="74"/>
  <c r="Y116" i="74"/>
  <c r="Q175" i="84"/>
  <c r="AB147" i="81"/>
  <c r="P104" i="94"/>
  <c r="P123" i="84"/>
  <c r="M21" i="88"/>
  <c r="L154" i="84"/>
  <c r="Z47" i="74"/>
  <c r="P174" i="84"/>
  <c r="X61" i="85"/>
  <c r="L100" i="84"/>
  <c r="T114" i="81"/>
  <c r="Z67" i="83"/>
  <c r="T138" i="91"/>
  <c r="AB11" i="81"/>
  <c r="Z130" i="74"/>
  <c r="Q168" i="85"/>
  <c r="P115" i="74"/>
  <c r="M27" i="81"/>
  <c r="Y176" i="84"/>
  <c r="O88" i="91"/>
  <c r="O136" i="91"/>
  <c r="X64" i="83"/>
  <c r="O111" i="82"/>
  <c r="Z104" i="85"/>
  <c r="Y11" i="85"/>
  <c r="Q65" i="88"/>
  <c r="Y77" i="85"/>
  <c r="O67" i="81"/>
  <c r="Z159" i="88"/>
  <c r="O175" i="92"/>
  <c r="N99" i="88"/>
  <c r="M19" i="84"/>
  <c r="X29" i="82"/>
  <c r="L78" i="82"/>
  <c r="Z108" i="85"/>
  <c r="Q25" i="81"/>
  <c r="X82" i="84"/>
  <c r="AA17" i="85"/>
  <c r="Q142" i="85"/>
  <c r="X33" i="91"/>
  <c r="AB75" i="85"/>
  <c r="X81" i="81"/>
  <c r="X41" i="82"/>
  <c r="X160" i="88"/>
  <c r="Y106" i="88"/>
  <c r="AA144" i="74"/>
  <c r="N51" i="91"/>
  <c r="P61" i="94"/>
  <c r="L178" i="74"/>
  <c r="AA115" i="83"/>
  <c r="T138" i="88"/>
  <c r="Z177" i="82"/>
  <c r="Y97" i="81"/>
  <c r="Y47" i="88"/>
  <c r="L102" i="81"/>
  <c r="O155" i="81"/>
  <c r="AB172" i="81"/>
  <c r="Q162" i="91"/>
  <c r="X82" i="81"/>
  <c r="M57" i="82"/>
  <c r="Z160" i="74"/>
  <c r="Q27" i="87"/>
  <c r="AA94" i="82"/>
  <c r="O166" i="93"/>
  <c r="Z27" i="85"/>
  <c r="L121" i="85"/>
  <c r="L72" i="85"/>
  <c r="AA107" i="81"/>
  <c r="P170" i="83"/>
  <c r="Y59" i="83"/>
  <c r="AB160" i="83"/>
  <c r="Y152" i="81"/>
  <c r="Q27" i="82"/>
  <c r="X73" i="74"/>
  <c r="X73" i="85"/>
  <c r="P170" i="91"/>
  <c r="Y158" i="88"/>
  <c r="Q117" i="83"/>
  <c r="T159" i="94"/>
  <c r="X139" i="81"/>
  <c r="Y21" i="87"/>
  <c r="L110" i="88"/>
  <c r="AB132" i="81"/>
  <c r="X76" i="82"/>
  <c r="P27" i="85"/>
  <c r="AB51" i="87"/>
  <c r="Q69" i="94"/>
  <c r="Y149" i="84"/>
  <c r="O156" i="74"/>
  <c r="X81" i="89"/>
  <c r="N165" i="74"/>
  <c r="L181" i="85"/>
  <c r="P114" i="85"/>
  <c r="AA99" i="85"/>
  <c r="L151" i="81"/>
  <c r="AB82" i="87"/>
  <c r="Q145" i="88"/>
  <c r="Z87" i="85"/>
  <c r="M23" i="74"/>
  <c r="L145" i="92"/>
  <c r="O47" i="85"/>
  <c r="AA109" i="85"/>
  <c r="Z143" i="81"/>
  <c r="AB141" i="88"/>
  <c r="AA172" i="74"/>
  <c r="Z141" i="84"/>
  <c r="O118" i="82"/>
  <c r="AB53" i="81"/>
  <c r="X156" i="83"/>
  <c r="X45" i="84"/>
  <c r="AB47" i="94"/>
  <c r="AA114" i="84"/>
  <c r="O93" i="74"/>
  <c r="P31" i="85"/>
  <c r="Q147" i="93"/>
  <c r="P126" i="74"/>
  <c r="P105" i="83"/>
  <c r="Y180" i="82"/>
  <c r="Q83" i="88"/>
  <c r="T105" i="83"/>
  <c r="N99" i="81"/>
  <c r="N123" i="74"/>
  <c r="O79" i="83"/>
  <c r="P53" i="74"/>
  <c r="X37" i="74"/>
  <c r="L88" i="74"/>
  <c r="T138" i="82"/>
  <c r="O17" i="84"/>
  <c r="AA99" i="93"/>
  <c r="P136" i="83"/>
  <c r="AA99" i="88"/>
  <c r="Y65" i="85"/>
  <c r="Z68" i="85"/>
  <c r="P76" i="85"/>
  <c r="P158" i="74"/>
  <c r="Z43" i="82"/>
  <c r="P140" i="88"/>
  <c r="Q136" i="81"/>
  <c r="AA27" i="84"/>
  <c r="O9" i="84"/>
  <c r="AA103" i="84"/>
  <c r="X80" i="82"/>
  <c r="O171" i="74"/>
  <c r="AA39" i="82"/>
  <c r="O95" i="84"/>
  <c r="Q153" i="83"/>
  <c r="T51" i="93"/>
  <c r="X89" i="82"/>
  <c r="AA107" i="91"/>
  <c r="O182" i="87"/>
  <c r="L148" i="85"/>
  <c r="O64" i="92"/>
  <c r="L163" i="81"/>
  <c r="P125" i="82"/>
  <c r="Z85" i="92"/>
  <c r="AA139" i="85"/>
  <c r="X39" i="87"/>
  <c r="O105" i="87"/>
  <c r="O35" i="85"/>
  <c r="P92" i="89"/>
  <c r="O43" i="87"/>
  <c r="P80" i="74"/>
  <c r="O87" i="91"/>
  <c r="Y176" i="88"/>
  <c r="L64" i="91"/>
  <c r="Q184" i="88"/>
  <c r="P121" i="74"/>
  <c r="O119" i="83"/>
  <c r="Y11" i="89"/>
  <c r="T81" i="85"/>
  <c r="P134" i="74"/>
  <c r="N66" i="81"/>
  <c r="Z172" i="81"/>
  <c r="Y39" i="87"/>
  <c r="X135" i="85"/>
  <c r="Y77" i="81"/>
  <c r="O99" i="84"/>
  <c r="P142" i="74"/>
  <c r="L183" i="94"/>
  <c r="P144" i="74"/>
  <c r="Q184" i="84"/>
  <c r="AB97" i="81"/>
  <c r="Z118" i="84"/>
  <c r="P120" i="74"/>
  <c r="Z119" i="84"/>
  <c r="T51" i="84"/>
  <c r="AB37" i="82"/>
  <c r="O96" i="82"/>
  <c r="X157" i="84"/>
  <c r="Q153" i="84"/>
  <c r="T159" i="82"/>
  <c r="AB90" i="85"/>
  <c r="Z102" i="82"/>
  <c r="Y154" i="87"/>
  <c r="Z15" i="93"/>
  <c r="Y156" i="88"/>
  <c r="Z130" i="88"/>
  <c r="Q135" i="84"/>
  <c r="Q150" i="81"/>
  <c r="X153" i="91"/>
  <c r="Z145" i="84"/>
  <c r="Z142" i="74"/>
  <c r="N69" i="83"/>
  <c r="L79" i="84"/>
  <c r="X149" i="93"/>
  <c r="P9" i="81"/>
  <c r="X123" i="87"/>
  <c r="P129" i="83"/>
  <c r="O181" i="74"/>
  <c r="P99" i="87"/>
  <c r="Q129" i="85"/>
  <c r="AB76" i="82"/>
  <c r="L81" i="93"/>
  <c r="Q90" i="93"/>
  <c r="Y147" i="81"/>
  <c r="M53" i="82"/>
  <c r="AB125" i="83"/>
  <c r="Q63" i="84"/>
  <c r="AA160" i="81"/>
  <c r="X152" i="84"/>
  <c r="O180" i="91"/>
  <c r="AA49" i="91"/>
  <c r="P97" i="85"/>
  <c r="Q9" i="94"/>
  <c r="T141" i="85"/>
  <c r="T168" i="83"/>
  <c r="Q102" i="82"/>
  <c r="AA13" i="85"/>
  <c r="AA13" i="84"/>
  <c r="Z144" i="89"/>
  <c r="AA105" i="93"/>
  <c r="Z23" i="85"/>
  <c r="Y167" i="93"/>
  <c r="AA176" i="91"/>
  <c r="N99" i="91"/>
  <c r="AA147" i="87"/>
  <c r="AA151" i="81"/>
  <c r="Y57" i="87"/>
  <c r="Q27" i="81"/>
  <c r="M13" i="84"/>
  <c r="AB51" i="85"/>
  <c r="AA100" i="85"/>
  <c r="Z45" i="84"/>
  <c r="Y51" i="91"/>
  <c r="AA167" i="87"/>
  <c r="O155" i="87"/>
  <c r="AA41" i="87"/>
  <c r="Y107" i="91"/>
  <c r="X64" i="74"/>
  <c r="Z43" i="89"/>
  <c r="X142" i="81"/>
  <c r="AA66" i="81"/>
  <c r="N156" i="88"/>
  <c r="T90" i="89"/>
  <c r="AA167" i="74"/>
  <c r="P98" i="94"/>
  <c r="P132" i="81"/>
  <c r="Y148" i="85"/>
  <c r="L179" i="85"/>
  <c r="X49" i="81"/>
  <c r="T132" i="84"/>
  <c r="X118" i="83"/>
  <c r="Z55" i="82"/>
  <c r="Q49" i="81"/>
  <c r="T75" i="82"/>
  <c r="Z70" i="82"/>
  <c r="AA82" i="88"/>
  <c r="O29" i="83"/>
  <c r="O109" i="93"/>
  <c r="N105" i="92"/>
  <c r="T9" i="82"/>
  <c r="L182" i="82"/>
  <c r="O57" i="89"/>
  <c r="Y132" i="87"/>
  <c r="Y123" i="74"/>
  <c r="AA126" i="74"/>
  <c r="O149" i="89"/>
  <c r="P166" i="85"/>
  <c r="Z100" i="81"/>
  <c r="Z82" i="74"/>
  <c r="Q104" i="74"/>
  <c r="O181" i="89"/>
  <c r="Z149" i="74"/>
  <c r="Q127" i="84"/>
  <c r="N174" i="83"/>
  <c r="X155" i="91"/>
  <c r="O64" i="82"/>
  <c r="T132" i="91"/>
  <c r="T159" i="93"/>
  <c r="AB149" i="81"/>
  <c r="Z65" i="89"/>
  <c r="X87" i="85"/>
  <c r="O92" i="82"/>
  <c r="Y138" i="93"/>
  <c r="AB82" i="84"/>
  <c r="AA69" i="74"/>
  <c r="Q128" i="85"/>
  <c r="O143" i="83"/>
  <c r="N120" i="82"/>
  <c r="Z121" i="74"/>
  <c r="Z168" i="88"/>
  <c r="X113" i="74"/>
  <c r="AB63" i="91"/>
  <c r="P151" i="87"/>
  <c r="X147" i="88"/>
  <c r="O147" i="74"/>
  <c r="P134" i="81"/>
  <c r="Z146" i="85"/>
  <c r="AA123" i="82"/>
  <c r="AA92" i="81"/>
  <c r="X146" i="91"/>
  <c r="AA102" i="84"/>
  <c r="Z118" i="74"/>
  <c r="O85" i="83"/>
  <c r="L85" i="85"/>
  <c r="Y49" i="88"/>
  <c r="T93" i="88"/>
  <c r="L77" i="83"/>
  <c r="AA177" i="91"/>
  <c r="P79" i="94"/>
  <c r="L114" i="82"/>
  <c r="L139" i="82"/>
  <c r="X68" i="89"/>
  <c r="X64" i="87"/>
  <c r="Q99" i="88"/>
  <c r="AA104" i="94"/>
  <c r="L178" i="87"/>
  <c r="Y87" i="93"/>
  <c r="Y85" i="92"/>
  <c r="X69" i="82"/>
  <c r="Z133" i="82"/>
  <c r="Q132" i="87"/>
  <c r="Y111" i="82"/>
  <c r="Q160" i="88"/>
  <c r="P147" i="84"/>
  <c r="AA140" i="87"/>
  <c r="Z91" i="82"/>
  <c r="T180" i="74"/>
  <c r="N81" i="87"/>
  <c r="Q21" i="82"/>
  <c r="AA21" i="85"/>
  <c r="AB142" i="87"/>
  <c r="N15" i="85"/>
  <c r="X15" i="74"/>
  <c r="X87" i="81"/>
  <c r="Y47" i="83"/>
  <c r="L82" i="81"/>
  <c r="Q149" i="74"/>
  <c r="O103" i="87"/>
  <c r="Y25" i="81"/>
  <c r="X100" i="83"/>
  <c r="Q95" i="88"/>
  <c r="X55" i="83"/>
  <c r="T165" i="93"/>
  <c r="L107" i="81"/>
  <c r="AB139" i="81"/>
  <c r="O150" i="91"/>
  <c r="Q55" i="74"/>
  <c r="Z19" i="74"/>
  <c r="Q173" i="82"/>
  <c r="AB168" i="87"/>
  <c r="AB157" i="84"/>
  <c r="M45" i="82"/>
  <c r="O70" i="88"/>
  <c r="P85" i="81"/>
  <c r="T108" i="94"/>
  <c r="X94" i="92"/>
  <c r="AA142" i="74"/>
  <c r="P93" i="88"/>
  <c r="P97" i="81"/>
  <c r="AA129" i="74"/>
  <c r="N108" i="89"/>
  <c r="O116" i="94"/>
  <c r="O172" i="88"/>
  <c r="O98" i="87"/>
  <c r="X37" i="88"/>
  <c r="O103" i="83"/>
  <c r="X29" i="85"/>
  <c r="N114" i="87"/>
  <c r="Y139" i="83"/>
  <c r="AA172" i="94"/>
  <c r="Z57" i="74"/>
  <c r="Z137" i="82"/>
  <c r="X162" i="87"/>
  <c r="Q116" i="84"/>
  <c r="Q33" i="81"/>
  <c r="AB165" i="84"/>
  <c r="Z159" i="82"/>
  <c r="T141" i="93"/>
  <c r="Q98" i="88"/>
  <c r="AB168" i="89"/>
  <c r="AB88" i="87"/>
  <c r="AB102" i="89"/>
  <c r="O93" i="81"/>
  <c r="X169" i="74"/>
  <c r="AB112" i="84"/>
  <c r="M39" i="92"/>
  <c r="AB64" i="83"/>
  <c r="P150" i="82"/>
  <c r="O39" i="93"/>
  <c r="Z145" i="74"/>
  <c r="AB83" i="82"/>
  <c r="AB53" i="85"/>
  <c r="Z132" i="92"/>
  <c r="Q68" i="89"/>
  <c r="O158" i="74"/>
  <c r="X177" i="74"/>
  <c r="Y114" i="83"/>
  <c r="L151" i="83"/>
  <c r="O72" i="74"/>
  <c r="Z158" i="87"/>
  <c r="AB119" i="88"/>
  <c r="O92" i="89"/>
  <c r="P122" i="81"/>
  <c r="Y65" i="88"/>
  <c r="X104" i="85"/>
  <c r="Y150" i="88"/>
  <c r="Y76" i="85"/>
  <c r="P133" i="74"/>
  <c r="Y109" i="84"/>
  <c r="Y77" i="84"/>
  <c r="L86" i="85"/>
  <c r="O77" i="85"/>
  <c r="P39" i="74"/>
  <c r="X70" i="82"/>
  <c r="AA125" i="83"/>
  <c r="Z124" i="84"/>
  <c r="P107" i="84"/>
  <c r="O118" i="91"/>
  <c r="Y171" i="87"/>
  <c r="X84" i="91"/>
  <c r="AB51" i="84"/>
  <c r="X19" i="87"/>
  <c r="Y94" i="83"/>
  <c r="N99" i="85"/>
  <c r="Z33" i="74"/>
  <c r="AA114" i="92"/>
  <c r="Y125" i="88"/>
  <c r="Y15" i="83"/>
  <c r="P148" i="74"/>
  <c r="Q162" i="87"/>
  <c r="P90" i="85"/>
  <c r="Y118" i="93"/>
  <c r="L177" i="85"/>
  <c r="X135" i="87"/>
  <c r="AB69" i="83"/>
  <c r="O141" i="83"/>
  <c r="N117" i="87"/>
  <c r="AA157" i="83"/>
  <c r="AB11" i="83"/>
  <c r="Q113" i="83"/>
  <c r="N147" i="87"/>
  <c r="AA96" i="82"/>
  <c r="AB161" i="81"/>
  <c r="AA61" i="85"/>
  <c r="X171" i="82"/>
  <c r="AA65" i="89"/>
  <c r="P13" i="81"/>
  <c r="M17" i="83"/>
  <c r="X114" i="83"/>
  <c r="X167" i="74"/>
  <c r="AB103" i="87"/>
  <c r="Y164" i="83"/>
  <c r="P99" i="83"/>
  <c r="Y82" i="74"/>
  <c r="AA111" i="83"/>
  <c r="L91" i="81"/>
  <c r="N153" i="74"/>
  <c r="Z39" i="88"/>
  <c r="M19" i="87"/>
  <c r="Z136" i="89"/>
  <c r="P17" i="83"/>
  <c r="Y151" i="85"/>
  <c r="Z106" i="81"/>
  <c r="L182" i="91"/>
  <c r="AA98" i="89"/>
  <c r="AA75" i="92"/>
  <c r="P160" i="85"/>
  <c r="P84" i="91"/>
  <c r="L84" i="81"/>
  <c r="Z74" i="83"/>
  <c r="Y107" i="74"/>
  <c r="O57" i="92"/>
  <c r="AB171" i="82"/>
  <c r="N21" i="83"/>
  <c r="Z156" i="84"/>
  <c r="N75" i="89"/>
  <c r="Q13" i="74"/>
  <c r="AA31" i="85"/>
  <c r="Q156" i="74"/>
  <c r="Z140" i="88"/>
  <c r="P114" i="89"/>
  <c r="P85" i="91"/>
  <c r="AA158" i="84"/>
  <c r="AA114" i="82"/>
  <c r="P120" i="94"/>
  <c r="Z45" i="82"/>
  <c r="Q31" i="87"/>
  <c r="O109" i="94"/>
  <c r="L166" i="85"/>
  <c r="N33" i="81"/>
  <c r="Q70" i="83"/>
  <c r="AB111" i="87"/>
  <c r="AA19" i="81"/>
  <c r="X98" i="87"/>
  <c r="Q137" i="84"/>
  <c r="N174" i="87"/>
  <c r="P121" i="88"/>
  <c r="P129" i="85"/>
  <c r="O142" i="74"/>
  <c r="AA68" i="92"/>
  <c r="Q116" i="82"/>
  <c r="Z71" i="89"/>
  <c r="AB80" i="83"/>
  <c r="X85" i="87"/>
  <c r="AB70" i="88"/>
  <c r="Z37" i="84"/>
  <c r="Y162" i="89"/>
  <c r="Y98" i="81"/>
  <c r="Q104" i="91"/>
  <c r="Q177" i="85"/>
  <c r="Q138" i="83"/>
  <c r="P131" i="93"/>
  <c r="AA11" i="88"/>
  <c r="AB98" i="82"/>
  <c r="O85" i="87"/>
  <c r="Y66" i="85"/>
  <c r="P81" i="85"/>
  <c r="AB96" i="85"/>
  <c r="O83" i="84"/>
  <c r="X78" i="83"/>
  <c r="N165" i="89"/>
  <c r="O23" i="92"/>
  <c r="Z84" i="88"/>
  <c r="AB144" i="91"/>
  <c r="T114" i="84"/>
  <c r="Q157" i="74"/>
  <c r="L73" i="74"/>
  <c r="Z123" i="85"/>
  <c r="X126" i="81"/>
  <c r="P103" i="89"/>
  <c r="L134" i="92"/>
  <c r="Z134" i="84"/>
  <c r="Y165" i="94"/>
  <c r="Y152" i="84"/>
  <c r="O174" i="84"/>
  <c r="T138" i="74"/>
  <c r="Q127" i="89"/>
  <c r="L140" i="81"/>
  <c r="Z85" i="82"/>
  <c r="Y160" i="85"/>
  <c r="O119" i="93"/>
  <c r="AB129" i="91"/>
  <c r="Z175" i="94"/>
  <c r="L138" i="85"/>
  <c r="P68" i="85"/>
  <c r="AA11" i="81"/>
  <c r="T180" i="92"/>
  <c r="AB144" i="84"/>
  <c r="L176" i="88"/>
  <c r="Y150" i="83"/>
  <c r="P35" i="82"/>
  <c r="Z130" i="83"/>
  <c r="P68" i="84"/>
  <c r="AB138" i="84"/>
  <c r="AB133" i="83"/>
  <c r="Y130" i="74"/>
  <c r="AA131" i="88"/>
  <c r="X171" i="85"/>
  <c r="Y90" i="82"/>
  <c r="AA11" i="83"/>
  <c r="AA171" i="82"/>
  <c r="Z43" i="84"/>
  <c r="P78" i="74"/>
  <c r="L172" i="92"/>
  <c r="L120" i="81"/>
  <c r="P143" i="88"/>
  <c r="X82" i="83"/>
  <c r="L175" i="74"/>
  <c r="O181" i="85"/>
  <c r="O103" i="74"/>
  <c r="Z106" i="91"/>
  <c r="AA51" i="81"/>
  <c r="Q29" i="81"/>
  <c r="AA63" i="92"/>
  <c r="AB98" i="81"/>
  <c r="X65" i="82"/>
  <c r="AA55" i="89"/>
  <c r="Q182" i="81"/>
  <c r="O75" i="94"/>
  <c r="L144" i="94"/>
  <c r="Y112" i="87"/>
  <c r="L147" i="85"/>
  <c r="P182" i="83"/>
  <c r="O23" i="93"/>
  <c r="AB122" i="83"/>
  <c r="AA146" i="83"/>
  <c r="AA84" i="87"/>
  <c r="X19" i="74"/>
  <c r="L106" i="91"/>
  <c r="AA171" i="81"/>
  <c r="T45" i="88"/>
  <c r="Z83" i="81"/>
  <c r="AA69" i="81"/>
  <c r="T105" i="94"/>
  <c r="AA148" i="85"/>
  <c r="AB9" i="94"/>
  <c r="Q70" i="89"/>
  <c r="AB25" i="82"/>
  <c r="Z168" i="84"/>
  <c r="T147" i="91"/>
  <c r="X35" i="84"/>
  <c r="AB79" i="81"/>
  <c r="Z80" i="74"/>
  <c r="AB15" i="85"/>
  <c r="AA39" i="84"/>
  <c r="O170" i="74"/>
  <c r="P140" i="85"/>
  <c r="T102" i="81"/>
  <c r="X45" i="92"/>
  <c r="Z93" i="85"/>
  <c r="AB163" i="82"/>
  <c r="L133" i="83"/>
  <c r="Q67" i="85"/>
  <c r="X121" i="84"/>
  <c r="Q136" i="89"/>
  <c r="Q172" i="84"/>
  <c r="X153" i="82"/>
  <c r="Q159" i="93"/>
  <c r="N129" i="82"/>
  <c r="Y115" i="82"/>
  <c r="P55" i="74"/>
  <c r="Q129" i="92"/>
  <c r="X137" i="81"/>
  <c r="X80" i="85"/>
  <c r="AA97" i="83"/>
  <c r="AA146" i="92"/>
  <c r="N114" i="91"/>
  <c r="AB127" i="88"/>
  <c r="O29" i="87"/>
  <c r="AA151" i="87"/>
  <c r="L63" i="81"/>
  <c r="L173" i="82"/>
  <c r="AB170" i="85"/>
  <c r="T39" i="87"/>
  <c r="Z173" i="87"/>
  <c r="L120" i="91"/>
  <c r="L171" i="85"/>
  <c r="Z73" i="83"/>
  <c r="Q130" i="84"/>
  <c r="Y159" i="84"/>
  <c r="AA70" i="74"/>
  <c r="AA143" i="89"/>
  <c r="Q141" i="85"/>
  <c r="P160" i="84"/>
  <c r="Y161" i="74"/>
  <c r="X45" i="74"/>
  <c r="Y41" i="87"/>
  <c r="T177" i="74"/>
  <c r="AA49" i="93"/>
  <c r="L128" i="84"/>
  <c r="AA176" i="84"/>
  <c r="Z157" i="85"/>
  <c r="P78" i="85"/>
  <c r="AB27" i="92"/>
  <c r="T51" i="82"/>
  <c r="Z23" i="87"/>
  <c r="Q82" i="93"/>
  <c r="Q168" i="83"/>
  <c r="O120" i="88"/>
  <c r="AB21" i="85"/>
  <c r="AA81" i="88"/>
  <c r="N102" i="91"/>
  <c r="X173" i="82"/>
  <c r="L77" i="81"/>
  <c r="P31" i="74"/>
  <c r="L103" i="92"/>
  <c r="L126" i="87"/>
  <c r="O75" i="81"/>
  <c r="Z105" i="82"/>
  <c r="Q170" i="87"/>
  <c r="X157" i="87"/>
  <c r="Z177" i="84"/>
  <c r="AB114" i="88"/>
  <c r="X110" i="74"/>
  <c r="Y116" i="82"/>
  <c r="Q155" i="94"/>
  <c r="Z154" i="83"/>
  <c r="Z155" i="83"/>
  <c r="Q67" i="81"/>
  <c r="Q123" i="87"/>
  <c r="Z157" i="82"/>
  <c r="AA163" i="74"/>
  <c r="X100" i="81"/>
  <c r="Q182" i="82"/>
  <c r="Z145" i="93"/>
  <c r="X133" i="82"/>
  <c r="L124" i="83"/>
  <c r="AB125" i="84"/>
  <c r="AA55" i="81"/>
  <c r="AA115" i="91"/>
  <c r="Y156" i="92"/>
  <c r="AA101" i="85"/>
  <c r="P33" i="88"/>
  <c r="X102" i="84"/>
  <c r="X63" i="85"/>
  <c r="N15" i="89"/>
  <c r="Q145" i="87"/>
  <c r="Z94" i="81"/>
  <c r="O33" i="81"/>
  <c r="P182" i="74"/>
  <c r="X66" i="92"/>
  <c r="X80" i="87"/>
  <c r="L113" i="91"/>
  <c r="X161" i="82"/>
  <c r="P156" i="93"/>
  <c r="P103" i="92"/>
  <c r="Q57" i="85"/>
  <c r="L137" i="74"/>
  <c r="L161" i="82"/>
  <c r="Z88" i="83"/>
  <c r="O136" i="81"/>
  <c r="O104" i="89"/>
  <c r="P168" i="81"/>
  <c r="P79" i="85"/>
  <c r="X35" i="81"/>
  <c r="Y82" i="81"/>
  <c r="Y33" i="89"/>
  <c r="Z141" i="88"/>
  <c r="P148" i="87"/>
  <c r="Q108" i="81"/>
  <c r="AA173" i="81"/>
  <c r="AA121" i="85"/>
  <c r="Y25" i="74"/>
  <c r="X71" i="91"/>
  <c r="X79" i="83"/>
  <c r="X113" i="89"/>
  <c r="X147" i="83"/>
  <c r="P168" i="92"/>
  <c r="O107" i="74"/>
  <c r="Q53" i="74"/>
  <c r="Z95" i="88"/>
  <c r="AA43" i="91"/>
  <c r="Y82" i="84"/>
  <c r="O163" i="91"/>
  <c r="P185" i="84"/>
  <c r="Y61" i="89"/>
  <c r="N105" i="89"/>
  <c r="Z17" i="81"/>
  <c r="Y96" i="81"/>
  <c r="AB105" i="91"/>
  <c r="L160" i="74"/>
  <c r="T132" i="83"/>
  <c r="M33" i="83"/>
  <c r="P77" i="87"/>
  <c r="Z169" i="83"/>
  <c r="Q145" i="84"/>
  <c r="T51" i="92"/>
  <c r="T111" i="74"/>
  <c r="X96" i="85"/>
  <c r="Z127" i="81"/>
  <c r="Z66" i="83"/>
  <c r="Y117" i="85"/>
  <c r="AA125" i="84"/>
  <c r="Q94" i="81"/>
  <c r="T126" i="92"/>
  <c r="Y92" i="91"/>
  <c r="AB98" i="87"/>
  <c r="O95" i="82"/>
  <c r="X152" i="74"/>
  <c r="Q85" i="81"/>
  <c r="Q72" i="88"/>
  <c r="X106" i="82"/>
  <c r="T87" i="94"/>
  <c r="X92" i="85"/>
  <c r="O130" i="74"/>
  <c r="O75" i="74"/>
  <c r="X92" i="91"/>
  <c r="Y66" i="88"/>
  <c r="Z9" i="91"/>
  <c r="L129" i="74"/>
  <c r="Q29" i="82"/>
  <c r="Q170" i="84"/>
  <c r="L105" i="89"/>
  <c r="X140" i="81"/>
  <c r="P123" i="92"/>
  <c r="AA168" i="89"/>
  <c r="P49" i="84"/>
  <c r="P160" i="82"/>
  <c r="Y19" i="92"/>
  <c r="AB86" i="84"/>
  <c r="L184" i="83"/>
  <c r="Y29" i="74"/>
  <c r="X153" i="81"/>
  <c r="X118" i="88"/>
  <c r="Y145" i="74"/>
  <c r="Q122" i="84"/>
  <c r="X118" i="85"/>
  <c r="L104" i="83"/>
  <c r="N9" i="89"/>
  <c r="AA166" i="89"/>
  <c r="Y158" i="74"/>
  <c r="AA110" i="87"/>
  <c r="T147" i="93"/>
  <c r="T108" i="83"/>
  <c r="L176" i="83"/>
  <c r="X106" i="89"/>
  <c r="X31" i="92"/>
  <c r="Z99" i="84"/>
  <c r="T90" i="92"/>
  <c r="AA121" i="82"/>
  <c r="T123" i="92"/>
  <c r="Z87" i="92"/>
  <c r="O91" i="84"/>
  <c r="L160" i="83"/>
  <c r="AB119" i="85"/>
  <c r="X176" i="82"/>
  <c r="Y83" i="89"/>
  <c r="AA29" i="88"/>
  <c r="P94" i="85"/>
  <c r="L135" i="83"/>
  <c r="Q43" i="83"/>
  <c r="O33" i="83"/>
  <c r="AA80" i="89"/>
  <c r="M25" i="88"/>
  <c r="Z138" i="74"/>
  <c r="O147" i="93"/>
  <c r="AB41" i="84"/>
  <c r="Z158" i="85"/>
  <c r="Y125" i="83"/>
  <c r="Z72" i="82"/>
  <c r="Y19" i="82"/>
  <c r="X140" i="74"/>
  <c r="Q77" i="83"/>
  <c r="X108" i="92"/>
  <c r="T51" i="81"/>
  <c r="L132" i="84"/>
  <c r="AA51" i="82"/>
  <c r="O65" i="81"/>
  <c r="Z91" i="81"/>
  <c r="Q103" i="88"/>
  <c r="AA71" i="85"/>
  <c r="P125" i="87"/>
  <c r="AA29" i="91"/>
  <c r="P171" i="83"/>
  <c r="AB89" i="83"/>
  <c r="Q167" i="82"/>
  <c r="AA68" i="87"/>
  <c r="AA123" i="83"/>
  <c r="Z112" i="82"/>
  <c r="T138" i="87"/>
  <c r="P80" i="81"/>
  <c r="AA87" i="85"/>
  <c r="Z111" i="88"/>
  <c r="AA147" i="81"/>
  <c r="Z66" i="84"/>
  <c r="AB74" i="85"/>
  <c r="Y109" i="83"/>
  <c r="X171" i="83"/>
  <c r="Z83" i="74"/>
  <c r="X25" i="74"/>
  <c r="Y33" i="83"/>
  <c r="N63" i="81"/>
  <c r="L163" i="85"/>
  <c r="O79" i="92"/>
  <c r="O173" i="88"/>
  <c r="X99" i="81"/>
  <c r="Z11" i="84"/>
  <c r="O63" i="89"/>
  <c r="Y116" i="85"/>
  <c r="Y145" i="83"/>
  <c r="Y98" i="84"/>
  <c r="X104" i="81"/>
  <c r="L177" i="81"/>
  <c r="AB153" i="88"/>
  <c r="Q131" i="91"/>
  <c r="P139" i="83"/>
  <c r="AA140" i="84"/>
  <c r="P45" i="84"/>
  <c r="O147" i="84"/>
  <c r="Q117" i="82"/>
  <c r="AB140" i="82"/>
  <c r="X118" i="82"/>
  <c r="P154" i="83"/>
  <c r="Z175" i="87"/>
  <c r="Z23" i="91"/>
  <c r="Y124" i="82"/>
  <c r="Q47" i="93"/>
  <c r="P90" i="83"/>
  <c r="L145" i="82"/>
  <c r="AB76" i="89"/>
  <c r="T99" i="93"/>
  <c r="Z123" i="91"/>
  <c r="AB154" i="84"/>
  <c r="Q95" i="83"/>
  <c r="Z49" i="74"/>
  <c r="O67" i="82"/>
  <c r="Z103" i="85"/>
  <c r="T21" i="85"/>
  <c r="Q116" i="81"/>
  <c r="X37" i="84"/>
  <c r="P131" i="85"/>
  <c r="AB87" i="82"/>
  <c r="Y116" i="81"/>
  <c r="Z148" i="83"/>
  <c r="M21" i="84"/>
  <c r="X13" i="87"/>
  <c r="N129" i="81"/>
  <c r="Q98" i="81"/>
  <c r="T153" i="82"/>
  <c r="Y141" i="81"/>
  <c r="O165" i="82"/>
  <c r="L173" i="81"/>
  <c r="AA158" i="83"/>
  <c r="P158" i="88"/>
  <c r="Y82" i="89"/>
  <c r="O180" i="84"/>
  <c r="N51" i="85"/>
  <c r="O65" i="84"/>
  <c r="X51" i="82"/>
  <c r="Q111" i="81"/>
  <c r="AB91" i="85"/>
  <c r="Y101" i="84"/>
  <c r="AB177" i="83"/>
  <c r="T93" i="92"/>
  <c r="Q76" i="87"/>
  <c r="AB119" i="81"/>
  <c r="Q114" i="82"/>
  <c r="Y169" i="81"/>
  <c r="Y100" i="85"/>
  <c r="Z133" i="84"/>
  <c r="Z98" i="87"/>
  <c r="X127" i="92"/>
  <c r="M61" i="82"/>
  <c r="Q33" i="88"/>
  <c r="O144" i="89"/>
  <c r="Y172" i="87"/>
  <c r="Z160" i="81"/>
  <c r="Z162" i="87"/>
  <c r="M19" i="85"/>
  <c r="Z130" i="89"/>
  <c r="X127" i="87"/>
  <c r="P112" i="74"/>
  <c r="AB111" i="83"/>
  <c r="AB71" i="81"/>
  <c r="T63" i="85"/>
  <c r="T87" i="84"/>
  <c r="Y173" i="74"/>
  <c r="L132" i="85"/>
  <c r="Y35" i="89"/>
  <c r="T102" i="94"/>
  <c r="P27" i="87"/>
  <c r="AA157" i="85"/>
  <c r="L133" i="82"/>
  <c r="O121" i="91"/>
  <c r="T123" i="88"/>
  <c r="Q96" i="91"/>
  <c r="AA136" i="83"/>
  <c r="L148" i="83"/>
  <c r="O116" i="85"/>
  <c r="X167" i="84"/>
  <c r="M27" i="89"/>
  <c r="Y115" i="83"/>
  <c r="Y74" i="87"/>
  <c r="T57" i="94"/>
  <c r="L138" i="74"/>
  <c r="Z76" i="91"/>
  <c r="Z45" i="81"/>
  <c r="O122" i="92"/>
  <c r="P47" i="89"/>
  <c r="X71" i="74"/>
  <c r="AA101" i="82"/>
  <c r="Y9" i="81"/>
  <c r="L64" i="74"/>
  <c r="X109" i="85"/>
  <c r="M27" i="87"/>
  <c r="O78" i="81"/>
  <c r="Z73" i="82"/>
  <c r="X127" i="81"/>
  <c r="L118" i="83"/>
  <c r="Q92" i="85"/>
  <c r="P47" i="85"/>
  <c r="AB110" i="82"/>
  <c r="Q53" i="89"/>
  <c r="AA158" i="91"/>
  <c r="X150" i="74"/>
  <c r="Q144" i="85"/>
  <c r="L165" i="83"/>
  <c r="T39" i="92"/>
  <c r="L101" i="88"/>
  <c r="O110" i="82"/>
  <c r="O119" i="74"/>
  <c r="Q181" i="74"/>
  <c r="Z37" i="81"/>
  <c r="AA63" i="82"/>
  <c r="O57" i="74"/>
  <c r="Q100" i="91"/>
  <c r="AA9" i="88"/>
  <c r="Y167" i="81"/>
  <c r="Y141" i="85"/>
  <c r="AA102" i="85"/>
  <c r="X85" i="83"/>
  <c r="X170" i="84"/>
  <c r="N126" i="89"/>
  <c r="Z9" i="85"/>
  <c r="Y39" i="84"/>
  <c r="Y148" i="83"/>
  <c r="X79" i="91"/>
  <c r="P159" i="87"/>
  <c r="O168" i="89"/>
  <c r="M23" i="92"/>
  <c r="N51" i="74"/>
  <c r="Q165" i="82"/>
  <c r="O25" i="81"/>
  <c r="O33" i="88"/>
  <c r="AA156" i="88"/>
  <c r="Y102" i="83"/>
  <c r="L100" i="89"/>
  <c r="O136" i="82"/>
  <c r="L137" i="85"/>
  <c r="Z74" i="87"/>
  <c r="AB55" i="82"/>
  <c r="Q15" i="84"/>
  <c r="AA160" i="85"/>
  <c r="Z73" i="84"/>
  <c r="O77" i="83"/>
  <c r="P149" i="91"/>
  <c r="M45" i="74"/>
  <c r="T87" i="82"/>
  <c r="AB73" i="82"/>
  <c r="Z158" i="89"/>
  <c r="X63" i="81"/>
  <c r="Q155" i="82"/>
  <c r="AA109" i="84"/>
  <c r="O112" i="83"/>
  <c r="X27" i="81"/>
  <c r="P77" i="84"/>
  <c r="X69" i="81"/>
  <c r="AA163" i="87"/>
  <c r="O73" i="83"/>
  <c r="Y132" i="82"/>
  <c r="O134" i="74"/>
  <c r="N57" i="81"/>
  <c r="AB17" i="92"/>
  <c r="Z82" i="82"/>
  <c r="O80" i="85"/>
  <c r="Y152" i="85"/>
  <c r="Z108" i="88"/>
  <c r="P61" i="74"/>
  <c r="Q41" i="74"/>
  <c r="AB126" i="81"/>
  <c r="T117" i="81"/>
  <c r="AB148" i="85"/>
  <c r="P94" i="83"/>
  <c r="L96" i="89"/>
  <c r="X31" i="81"/>
  <c r="P161" i="89"/>
  <c r="AB160" i="84"/>
  <c r="AB81" i="81"/>
  <c r="Y64" i="83"/>
  <c r="Z162" i="83"/>
  <c r="AA160" i="87"/>
  <c r="L157" i="89"/>
  <c r="Y124" i="91"/>
  <c r="O115" i="74"/>
  <c r="Y153" i="82"/>
  <c r="Q133" i="74"/>
  <c r="M9" i="89"/>
  <c r="Z17" i="85"/>
  <c r="AB69" i="87"/>
  <c r="Y66" i="84"/>
  <c r="Y138" i="81"/>
  <c r="AA49" i="88"/>
  <c r="L166" i="84"/>
  <c r="O41" i="84"/>
  <c r="P69" i="81"/>
  <c r="Y132" i="83"/>
  <c r="Z76" i="74"/>
  <c r="Q139" i="83"/>
  <c r="AB88" i="85"/>
  <c r="Q180" i="85"/>
  <c r="Q87" i="84"/>
  <c r="P101" i="87"/>
  <c r="Y73" i="81"/>
  <c r="N105" i="74"/>
  <c r="O116" i="91"/>
  <c r="AA94" i="74"/>
  <c r="AB133" i="82"/>
  <c r="P154" i="84"/>
  <c r="AA90" i="82"/>
  <c r="Y134" i="89"/>
  <c r="P87" i="82"/>
  <c r="Y17" i="89"/>
  <c r="Y43" i="84"/>
  <c r="AA140" i="81"/>
  <c r="AB168" i="81"/>
  <c r="Z111" i="87"/>
  <c r="AA167" i="84"/>
  <c r="Z137" i="84"/>
  <c r="Z127" i="91"/>
  <c r="M57" i="88"/>
  <c r="X74" i="84"/>
  <c r="AB27" i="82"/>
  <c r="M59" i="74"/>
  <c r="X147" i="81"/>
  <c r="L140" i="92"/>
  <c r="Y147" i="88"/>
  <c r="L101" i="87"/>
  <c r="Q114" i="87"/>
  <c r="AB13" i="84"/>
  <c r="AB153" i="85"/>
  <c r="P183" i="88"/>
  <c r="Y136" i="91"/>
  <c r="AA35" i="87"/>
  <c r="X49" i="88"/>
  <c r="AA69" i="82"/>
  <c r="O11" i="85"/>
  <c r="Z110" i="89"/>
  <c r="Z89" i="84"/>
  <c r="P150" i="83"/>
  <c r="X23" i="74"/>
  <c r="X97" i="74"/>
  <c r="AA160" i="84"/>
  <c r="Z112" i="85"/>
  <c r="O99" i="93"/>
  <c r="L155" i="82"/>
  <c r="AA75" i="85"/>
  <c r="P105" i="88"/>
  <c r="Z15" i="81"/>
  <c r="Z109" i="82"/>
  <c r="Y142" i="85"/>
  <c r="AB137" i="88"/>
  <c r="T117" i="83"/>
  <c r="P176" i="82"/>
  <c r="P81" i="89"/>
  <c r="L151" i="88"/>
  <c r="AB103" i="81"/>
  <c r="O158" i="89"/>
  <c r="Q147" i="82"/>
  <c r="Y63" i="84"/>
  <c r="AA166" i="83"/>
  <c r="Q150" i="87"/>
  <c r="X143" i="81"/>
  <c r="Q84" i="74"/>
  <c r="L169" i="91"/>
  <c r="P171" i="82"/>
  <c r="N69" i="85"/>
  <c r="AB96" i="87"/>
  <c r="AB162" i="88"/>
  <c r="Z35" i="89"/>
  <c r="AA93" i="84"/>
  <c r="O148" i="82"/>
  <c r="O104" i="88"/>
  <c r="AB167" i="85"/>
  <c r="Y139" i="74"/>
  <c r="Z177" i="87"/>
  <c r="O163" i="82"/>
  <c r="Q64" i="84"/>
  <c r="L149" i="81"/>
  <c r="X41" i="83"/>
  <c r="O53" i="85"/>
  <c r="O79" i="89"/>
  <c r="O27" i="87"/>
  <c r="P71" i="89"/>
  <c r="L103" i="74"/>
  <c r="Y72" i="82"/>
  <c r="T159" i="84"/>
  <c r="Z91" i="92"/>
  <c r="L161" i="87"/>
  <c r="Y170" i="74"/>
  <c r="Y55" i="81"/>
  <c r="Y134" i="84"/>
  <c r="AA81" i="87"/>
  <c r="T93" i="94"/>
  <c r="P53" i="83"/>
  <c r="X97" i="81"/>
  <c r="X117" i="92"/>
  <c r="Y64" i="91"/>
  <c r="Q35" i="84"/>
  <c r="L145" i="81"/>
  <c r="T153" i="87"/>
  <c r="P162" i="85"/>
  <c r="O70" i="87"/>
  <c r="L80" i="87"/>
  <c r="P39" i="85"/>
  <c r="Z137" i="83"/>
  <c r="AB23" i="87"/>
  <c r="Y11" i="93"/>
  <c r="T174" i="82"/>
  <c r="Q128" i="83"/>
  <c r="X59" i="88"/>
  <c r="Q100" i="84"/>
  <c r="AA89" i="87"/>
  <c r="X41" i="74"/>
  <c r="O69" i="91"/>
  <c r="X180" i="85"/>
  <c r="T159" i="87"/>
  <c r="P77" i="81"/>
  <c r="Q185" i="88"/>
  <c r="P141" i="85"/>
  <c r="Q86" i="87"/>
  <c r="AA125" i="82"/>
  <c r="O23" i="83"/>
  <c r="P146" i="81"/>
  <c r="P168" i="85"/>
  <c r="Y98" i="82"/>
  <c r="Z55" i="88"/>
  <c r="L90" i="81"/>
  <c r="O75" i="82"/>
  <c r="X141" i="88"/>
  <c r="AB131" i="82"/>
  <c r="Z170" i="87"/>
  <c r="O47" i="82"/>
  <c r="T150" i="94"/>
  <c r="O106" i="82"/>
  <c r="P78" i="83"/>
  <c r="X88" i="82"/>
  <c r="AA83" i="83"/>
  <c r="O69" i="89"/>
  <c r="Q169" i="88"/>
  <c r="X75" i="81"/>
  <c r="Z173" i="74"/>
  <c r="N72" i="84"/>
  <c r="Y121" i="89"/>
  <c r="M61" i="88"/>
  <c r="P59" i="74"/>
  <c r="Y69" i="74"/>
  <c r="Z63" i="85"/>
  <c r="AA78" i="82"/>
  <c r="Z37" i="74"/>
  <c r="Q93" i="84"/>
  <c r="Z171" i="91"/>
  <c r="Q110" i="82"/>
  <c r="O137" i="74"/>
  <c r="Y99" i="91"/>
  <c r="Q128" i="87"/>
  <c r="AA78" i="91"/>
  <c r="X11" i="82"/>
  <c r="L103" i="85"/>
  <c r="AA82" i="82"/>
  <c r="Q96" i="88"/>
  <c r="Z149" i="94"/>
  <c r="P43" i="87"/>
  <c r="Z86" i="84"/>
  <c r="Q41" i="81"/>
  <c r="Y153" i="83"/>
  <c r="P27" i="88"/>
  <c r="T75" i="89"/>
  <c r="X9" i="74"/>
  <c r="AB171" i="87"/>
  <c r="AA53" i="82"/>
  <c r="P47" i="91"/>
  <c r="Y65" i="81"/>
  <c r="Q98" i="83"/>
  <c r="Z71" i="74"/>
  <c r="AA123" i="81"/>
  <c r="O77" i="87"/>
  <c r="AA59" i="92"/>
  <c r="AA43" i="83"/>
  <c r="P146" i="83"/>
  <c r="L181" i="84"/>
  <c r="AB122" i="92"/>
  <c r="P167" i="81"/>
  <c r="L105" i="88"/>
  <c r="N138" i="74"/>
  <c r="T114" i="94"/>
  <c r="Q72" i="85"/>
  <c r="L96" i="83"/>
  <c r="AB31" i="84"/>
  <c r="P72" i="74"/>
  <c r="AA143" i="83"/>
  <c r="P125" i="91"/>
  <c r="P137" i="74"/>
  <c r="AB41" i="83"/>
  <c r="P19" i="88"/>
  <c r="Z124" i="85"/>
  <c r="Y156" i="81"/>
  <c r="P144" i="83"/>
  <c r="Y73" i="82"/>
  <c r="L113" i="92"/>
  <c r="Q121" i="84"/>
  <c r="Y159" i="83"/>
  <c r="Q66" i="83"/>
  <c r="Z17" i="88"/>
  <c r="T144" i="82"/>
  <c r="O148" i="87"/>
  <c r="L117" i="83"/>
  <c r="L136" i="85"/>
  <c r="O153" i="87"/>
  <c r="AA81" i="83"/>
  <c r="Y165" i="74"/>
  <c r="AB170" i="81"/>
  <c r="X27" i="85"/>
  <c r="O39" i="74"/>
  <c r="Q163" i="84"/>
  <c r="Q120" i="74"/>
  <c r="P39" i="87"/>
  <c r="L151" i="87"/>
  <c r="AA147" i="74"/>
  <c r="O112" i="89"/>
  <c r="X77" i="74"/>
  <c r="Z132" i="87"/>
  <c r="P160" i="83"/>
  <c r="P179" i="81"/>
  <c r="X106" i="93"/>
  <c r="Q86" i="89"/>
  <c r="P51" i="83"/>
  <c r="AA75" i="81"/>
  <c r="L95" i="81"/>
  <c r="Q164" i="74"/>
  <c r="AA142" i="91"/>
  <c r="P89" i="84"/>
  <c r="Q153" i="74"/>
  <c r="O124" i="85"/>
  <c r="T153" i="84"/>
  <c r="P124" i="74"/>
  <c r="N75" i="85"/>
  <c r="Z176" i="94"/>
  <c r="AB146" i="82"/>
  <c r="L130" i="89"/>
  <c r="L162" i="74"/>
  <c r="L134" i="85"/>
  <c r="X87" i="74"/>
  <c r="AB88" i="93"/>
  <c r="Y105" i="83"/>
  <c r="O166" i="85"/>
  <c r="AB166" i="82"/>
  <c r="T174" i="94"/>
  <c r="Y121" i="83"/>
  <c r="Y94" i="89"/>
  <c r="Q117" i="88"/>
  <c r="L173" i="88"/>
  <c r="L92" i="88"/>
  <c r="Y136" i="74"/>
  <c r="AA35" i="85"/>
  <c r="Q76" i="85"/>
  <c r="Q159" i="82"/>
  <c r="P47" i="81"/>
  <c r="X103" i="81"/>
  <c r="Y87" i="88"/>
  <c r="AB118" i="84"/>
  <c r="AB111" i="82"/>
  <c r="X111" i="83"/>
  <c r="Y57" i="85"/>
  <c r="AA92" i="82"/>
  <c r="O115" i="87"/>
  <c r="AA126" i="93"/>
  <c r="Y101" i="74"/>
  <c r="X63" i="74"/>
  <c r="AB145" i="85"/>
  <c r="Q13" i="83"/>
  <c r="O169" i="84"/>
  <c r="Q175" i="92"/>
  <c r="Q81" i="91"/>
  <c r="Z180" i="87"/>
  <c r="AA65" i="87"/>
  <c r="AB133" i="91"/>
  <c r="N153" i="81"/>
  <c r="AA152" i="81"/>
  <c r="N96" i="94"/>
  <c r="Y55" i="84"/>
  <c r="X9" i="84"/>
  <c r="T111" i="81"/>
  <c r="Z159" i="84"/>
  <c r="AA146" i="81"/>
  <c r="X65" i="89"/>
  <c r="Z64" i="82"/>
  <c r="Y175" i="94"/>
  <c r="L142" i="87"/>
  <c r="X145" i="85"/>
  <c r="AA57" i="81"/>
  <c r="Y119" i="94"/>
  <c r="X86" i="82"/>
  <c r="X89" i="93"/>
  <c r="AA127" i="84"/>
  <c r="Y102" i="82"/>
  <c r="AB107" i="84"/>
  <c r="Y100" i="84"/>
  <c r="AA117" i="74"/>
  <c r="N87" i="74"/>
  <c r="T105" i="88"/>
  <c r="L139" i="92"/>
  <c r="X121" i="92"/>
  <c r="AA142" i="85"/>
  <c r="X158" i="87"/>
  <c r="AA91" i="87"/>
  <c r="L119" i="88"/>
  <c r="Y70" i="83"/>
  <c r="Q82" i="84"/>
  <c r="N153" i="84"/>
  <c r="Q80" i="83"/>
  <c r="P66" i="91"/>
  <c r="AB99" i="88"/>
  <c r="Y113" i="89"/>
  <c r="O92" i="93"/>
  <c r="L105" i="74"/>
  <c r="Y109" i="82"/>
  <c r="O80" i="94"/>
  <c r="Z109" i="81"/>
  <c r="T27" i="74"/>
  <c r="Q25" i="74"/>
  <c r="AB78" i="83"/>
  <c r="AB154" i="85"/>
  <c r="Y17" i="91"/>
  <c r="AB61" i="83"/>
  <c r="X138" i="85"/>
  <c r="O11" i="89"/>
  <c r="AA113" i="83"/>
  <c r="Q33" i="85"/>
  <c r="O183" i="85"/>
  <c r="L135" i="88"/>
  <c r="M29" i="91"/>
  <c r="X134" i="85"/>
  <c r="P164" i="87"/>
  <c r="AA29" i="85"/>
  <c r="T159" i="88"/>
  <c r="P113" i="91"/>
  <c r="Y150" i="85"/>
  <c r="Y168" i="74"/>
  <c r="O65" i="74"/>
  <c r="AA122" i="83"/>
  <c r="AA135" i="81"/>
  <c r="P185" i="94"/>
  <c r="P178" i="88"/>
  <c r="N162" i="81"/>
  <c r="Q9" i="82"/>
  <c r="O126" i="82"/>
  <c r="M37" i="81"/>
  <c r="O53" i="74"/>
  <c r="AA72" i="74"/>
  <c r="X66" i="82"/>
  <c r="AA128" i="83"/>
  <c r="Z98" i="82"/>
  <c r="AB89" i="89"/>
  <c r="O91" i="85"/>
  <c r="AB130" i="83"/>
  <c r="O101" i="82"/>
  <c r="P180" i="82"/>
  <c r="L169" i="81"/>
  <c r="O141" i="84"/>
  <c r="O47" i="93"/>
  <c r="Y143" i="83"/>
  <c r="O106" i="74"/>
  <c r="N9" i="94"/>
  <c r="T72" i="93"/>
  <c r="Y171" i="89"/>
  <c r="AA84" i="81"/>
  <c r="AB117" i="91"/>
  <c r="Y110" i="82"/>
  <c r="X35" i="82"/>
  <c r="L123" i="81"/>
  <c r="O182" i="85"/>
  <c r="Y89" i="92"/>
  <c r="L124" i="82"/>
  <c r="P70" i="89"/>
  <c r="Z105" i="87"/>
  <c r="AB139" i="82"/>
  <c r="Q43" i="87"/>
  <c r="Y127" i="85"/>
  <c r="O172" i="92"/>
  <c r="Y161" i="85"/>
  <c r="O172" i="81"/>
  <c r="Z133" i="89"/>
  <c r="P21" i="85"/>
  <c r="X153" i="87"/>
  <c r="Q172" i="82"/>
  <c r="P74" i="74"/>
  <c r="X83" i="84"/>
  <c r="P111" i="87"/>
  <c r="Y164" i="82"/>
  <c r="AA155" i="93"/>
  <c r="Z122" i="85"/>
  <c r="AA180" i="74"/>
  <c r="Z51" i="82"/>
  <c r="AB142" i="85"/>
  <c r="O90" i="91"/>
  <c r="X96" i="84"/>
  <c r="Y53" i="89"/>
  <c r="O166" i="84"/>
  <c r="O115" i="94"/>
  <c r="T156" i="74"/>
  <c r="Z111" i="82"/>
  <c r="AB122" i="81"/>
  <c r="X23" i="91"/>
  <c r="X145" i="81"/>
  <c r="Y63" i="81"/>
  <c r="O146" i="84"/>
  <c r="AB136" i="81"/>
  <c r="X96" i="81"/>
  <c r="Y122" i="74"/>
  <c r="O29" i="85"/>
  <c r="L151" i="74"/>
  <c r="Y170" i="87"/>
  <c r="X35" i="93"/>
  <c r="X136" i="74"/>
  <c r="O101" i="84"/>
  <c r="AB141" i="85"/>
  <c r="M9" i="85"/>
  <c r="Q57" i="88"/>
  <c r="AB70" i="92"/>
  <c r="Z158" i="88"/>
  <c r="P69" i="87"/>
  <c r="Z92" i="74"/>
  <c r="P91" i="91"/>
  <c r="O147" i="89"/>
  <c r="P71" i="74"/>
  <c r="Q86" i="82"/>
  <c r="Y167" i="82"/>
  <c r="Q19" i="81"/>
  <c r="AB15" i="81"/>
  <c r="O81" i="88"/>
  <c r="AA112" i="74"/>
  <c r="Z82" i="93"/>
  <c r="P134" i="85"/>
  <c r="X126" i="87"/>
  <c r="Y120" i="84"/>
  <c r="Z118" i="85"/>
  <c r="Z145" i="83"/>
  <c r="O177" i="83"/>
  <c r="L182" i="84"/>
  <c r="P117" i="87"/>
  <c r="Y63" i="85"/>
  <c r="Z167" i="85"/>
  <c r="Q169" i="84"/>
  <c r="Q25" i="84"/>
  <c r="Y100" i="89"/>
  <c r="L74" i="81"/>
  <c r="AA124" i="88"/>
  <c r="P126" i="92"/>
  <c r="O99" i="88"/>
  <c r="AA100" i="88"/>
  <c r="AA167" i="88"/>
  <c r="X141" i="85"/>
  <c r="N75" i="87"/>
  <c r="L144" i="83"/>
  <c r="X139" i="74"/>
  <c r="T168" i="84"/>
  <c r="AA158" i="81"/>
  <c r="T126" i="84"/>
  <c r="P75" i="83"/>
  <c r="L78" i="83"/>
  <c r="Q167" i="94"/>
  <c r="P144" i="82"/>
  <c r="AA47" i="83"/>
  <c r="O165" i="83"/>
  <c r="AA79" i="84"/>
  <c r="L153" i="85"/>
  <c r="T9" i="93"/>
  <c r="Q184" i="85"/>
  <c r="Q51" i="82"/>
  <c r="O11" i="88"/>
  <c r="P109" i="81"/>
  <c r="X166" i="91"/>
  <c r="P153" i="84"/>
  <c r="AA27" i="81"/>
  <c r="Z132" i="81"/>
  <c r="AA129" i="87"/>
  <c r="L119" i="83"/>
  <c r="Z136" i="91"/>
  <c r="P11" i="82"/>
  <c r="P66" i="74"/>
  <c r="Q173" i="81"/>
  <c r="Q180" i="87"/>
  <c r="AB73" i="94"/>
  <c r="AA124" i="92"/>
  <c r="Y13" i="89"/>
  <c r="L83" i="82"/>
  <c r="AB37" i="91"/>
  <c r="AA65" i="83"/>
  <c r="Y155" i="83"/>
  <c r="P136" i="82"/>
  <c r="L97" i="83"/>
  <c r="Q136" i="84"/>
  <c r="O98" i="85"/>
  <c r="X130" i="84"/>
  <c r="L72" i="88"/>
  <c r="P130" i="84"/>
  <c r="AA64" i="91"/>
  <c r="P92" i="85"/>
  <c r="P59" i="81"/>
  <c r="Z136" i="84"/>
  <c r="AA76" i="84"/>
  <c r="T51" i="85"/>
  <c r="Q181" i="87"/>
  <c r="AB137" i="81"/>
  <c r="X75" i="87"/>
  <c r="Q149" i="83"/>
  <c r="Y147" i="87"/>
  <c r="X118" i="81"/>
  <c r="Z11" i="82"/>
  <c r="Q77" i="94"/>
  <c r="AB69" i="82"/>
  <c r="X93" i="82"/>
  <c r="X98" i="88"/>
  <c r="Q66" i="89"/>
  <c r="Q94" i="91"/>
  <c r="Y103" i="81"/>
  <c r="X108" i="84"/>
  <c r="N21" i="91"/>
  <c r="O120" i="74"/>
  <c r="Q75" i="83"/>
  <c r="AA19" i="89"/>
  <c r="Y156" i="89"/>
  <c r="O115" i="83"/>
  <c r="O45" i="81"/>
  <c r="P69" i="91"/>
  <c r="Q77" i="91"/>
  <c r="AA164" i="88"/>
  <c r="O39" i="85"/>
  <c r="AB162" i="82"/>
  <c r="AB164" i="82"/>
  <c r="O87" i="93"/>
  <c r="Q147" i="83"/>
  <c r="L98" i="91"/>
  <c r="AA77" i="81"/>
  <c r="Q13" i="94"/>
  <c r="AA110" i="88"/>
  <c r="L80" i="82"/>
  <c r="Z75" i="83"/>
  <c r="L105" i="82"/>
  <c r="L151" i="82"/>
  <c r="X141" i="87"/>
  <c r="Z97" i="74"/>
  <c r="Y110" i="81"/>
  <c r="Q175" i="88"/>
  <c r="Q166" i="92"/>
  <c r="T144" i="87"/>
  <c r="N57" i="89"/>
  <c r="X143" i="85"/>
  <c r="X148" i="82"/>
  <c r="Z68" i="81"/>
  <c r="P72" i="85"/>
  <c r="AA23" i="94"/>
  <c r="P73" i="88"/>
  <c r="O85" i="81"/>
  <c r="Y89" i="74"/>
  <c r="Z71" i="91"/>
  <c r="Q141" i="82"/>
  <c r="Q106" i="93"/>
  <c r="AA85" i="88"/>
  <c r="Z110" i="82"/>
  <c r="M23" i="85"/>
  <c r="Y88" i="83"/>
  <c r="O125" i="84"/>
  <c r="AB57" i="89"/>
  <c r="Z152" i="83"/>
  <c r="AA126" i="88"/>
  <c r="AB94" i="82"/>
  <c r="X119" i="82"/>
  <c r="AB171" i="84"/>
  <c r="P31" i="82"/>
  <c r="AA21" i="83"/>
  <c r="AA66" i="74"/>
  <c r="AA47" i="92"/>
  <c r="O100" i="81"/>
  <c r="O144" i="84"/>
  <c r="P111" i="88"/>
  <c r="O63" i="82"/>
  <c r="P143" i="81"/>
  <c r="T21" i="93"/>
  <c r="L65" i="83"/>
  <c r="AB164" i="87"/>
  <c r="X109" i="89"/>
  <c r="L154" i="85"/>
  <c r="M45" i="89"/>
  <c r="P93" i="74"/>
  <c r="Q176" i="88"/>
  <c r="AA124" i="81"/>
  <c r="N114" i="85"/>
  <c r="AA78" i="81"/>
  <c r="P169" i="83"/>
  <c r="X180" i="92"/>
  <c r="N132" i="74"/>
  <c r="N27" i="84"/>
  <c r="AB43" i="84"/>
  <c r="AB45" i="82"/>
  <c r="O148" i="85"/>
  <c r="O147" i="81"/>
  <c r="T165" i="89"/>
  <c r="O108" i="74"/>
  <c r="Y149" i="85"/>
  <c r="O19" i="85"/>
  <c r="X125" i="92"/>
  <c r="P55" i="91"/>
  <c r="P91" i="74"/>
  <c r="AB154" i="92"/>
  <c r="N69" i="89"/>
  <c r="Z29" i="82"/>
  <c r="Z37" i="87"/>
  <c r="P139" i="87"/>
  <c r="Z57" i="92"/>
  <c r="X71" i="81"/>
  <c r="L178" i="91"/>
  <c r="AB109" i="83"/>
  <c r="Q151" i="92"/>
  <c r="AB169" i="89"/>
  <c r="O178" i="81"/>
  <c r="O124" i="84"/>
  <c r="Z71" i="83"/>
  <c r="O132" i="74"/>
  <c r="X174" i="88"/>
  <c r="Y70" i="91"/>
  <c r="AA177" i="74"/>
  <c r="T156" i="88"/>
  <c r="Y135" i="84"/>
  <c r="AB77" i="83"/>
  <c r="X78" i="84"/>
  <c r="P43" i="84"/>
  <c r="Y89" i="87"/>
  <c r="Q140" i="83"/>
  <c r="Q126" i="82"/>
  <c r="T180" i="82"/>
  <c r="Q25" i="93"/>
  <c r="Y163" i="81"/>
  <c r="AB147" i="88"/>
  <c r="Z154" i="88"/>
  <c r="AB96" i="83"/>
  <c r="AB144" i="88"/>
  <c r="O104" i="82"/>
  <c r="Z71" i="87"/>
  <c r="Y149" i="91"/>
  <c r="L86" i="91"/>
  <c r="X21" i="82"/>
  <c r="O154" i="91"/>
  <c r="T114" i="74"/>
  <c r="P74" i="92"/>
  <c r="X71" i="85"/>
  <c r="T141" i="87"/>
  <c r="Z80" i="84"/>
  <c r="Z171" i="82"/>
  <c r="X165" i="82"/>
  <c r="P112" i="83"/>
  <c r="L116" i="74"/>
  <c r="AA68" i="94"/>
  <c r="Y49" i="81"/>
  <c r="X53" i="83"/>
  <c r="X116" i="82"/>
  <c r="X43" i="83"/>
  <c r="AB133" i="84"/>
  <c r="X173" i="74"/>
  <c r="P82" i="81"/>
  <c r="T9" i="83"/>
  <c r="AA180" i="82"/>
  <c r="X43" i="74"/>
  <c r="Q156" i="87"/>
  <c r="AA92" i="74"/>
  <c r="Q123" i="74"/>
  <c r="M53" i="81"/>
  <c r="O51" i="74"/>
  <c r="Y25" i="87"/>
  <c r="P140" i="83"/>
  <c r="L118" i="81"/>
  <c r="P176" i="83"/>
  <c r="O164" i="74"/>
  <c r="Q118" i="87"/>
  <c r="M25" i="74"/>
  <c r="P168" i="83"/>
  <c r="P86" i="89"/>
  <c r="Y73" i="94"/>
  <c r="Y97" i="92"/>
  <c r="M61" i="81"/>
  <c r="Y108" i="85"/>
  <c r="Q69" i="85"/>
  <c r="O180" i="93"/>
  <c r="Z150" i="87"/>
  <c r="P128" i="84"/>
  <c r="Z23" i="88"/>
  <c r="Y77" i="93"/>
  <c r="AB173" i="88"/>
  <c r="O119" i="88"/>
  <c r="L176" i="81"/>
  <c r="P162" i="88"/>
  <c r="Z115" i="84"/>
  <c r="O171" i="81"/>
  <c r="AB116" i="85"/>
  <c r="P173" i="88"/>
  <c r="P159" i="74"/>
  <c r="AB95" i="91"/>
  <c r="M11" i="93"/>
  <c r="L67" i="85"/>
  <c r="Q91" i="82"/>
  <c r="AA27" i="91"/>
  <c r="Z100" i="74"/>
  <c r="AB145" i="82"/>
  <c r="L132" i="74"/>
  <c r="AB128" i="92"/>
  <c r="AB109" i="92"/>
  <c r="L157" i="94"/>
  <c r="AA100" i="82"/>
  <c r="O49" i="87"/>
  <c r="AB108" i="83"/>
  <c r="L170" i="81"/>
  <c r="P174" i="93"/>
  <c r="O37" i="74"/>
  <c r="Z158" i="82"/>
  <c r="P156" i="83"/>
  <c r="O55" i="74"/>
  <c r="P71" i="87"/>
  <c r="P17" i="81"/>
  <c r="AA57" i="83"/>
  <c r="O114" i="94"/>
  <c r="Z66" i="81"/>
  <c r="AA61" i="83"/>
  <c r="P61" i="85"/>
  <c r="L75" i="84"/>
  <c r="N126" i="91"/>
  <c r="X134" i="83"/>
  <c r="O129" i="81"/>
  <c r="Z87" i="94"/>
  <c r="P45" i="87"/>
  <c r="Z11" i="87"/>
  <c r="Q86" i="88"/>
  <c r="Q154" i="81"/>
  <c r="Z25" i="87"/>
  <c r="X134" i="81"/>
  <c r="AA67" i="87"/>
  <c r="O160" i="88"/>
  <c r="T96" i="91"/>
  <c r="Q19" i="84"/>
  <c r="N159" i="81"/>
  <c r="T84" i="92"/>
  <c r="N117" i="81"/>
  <c r="M25" i="81"/>
  <c r="P72" i="81"/>
  <c r="L135" i="89"/>
  <c r="Y175" i="85"/>
  <c r="X144" i="81"/>
  <c r="Y70" i="74"/>
  <c r="Z78" i="94"/>
  <c r="Y23" i="84"/>
  <c r="M11" i="82"/>
  <c r="O132" i="81"/>
  <c r="X107" i="91"/>
  <c r="T27" i="94"/>
  <c r="Z86" i="82"/>
  <c r="AB75" i="89"/>
  <c r="N93" i="83"/>
  <c r="O110" i="83"/>
  <c r="L177" i="74"/>
  <c r="L117" i="93"/>
  <c r="Q152" i="81"/>
  <c r="T129" i="91"/>
  <c r="Z109" i="74"/>
  <c r="L92" i="81"/>
  <c r="T39" i="82"/>
  <c r="N45" i="89"/>
  <c r="AB75" i="94"/>
  <c r="L65" i="93"/>
  <c r="O140" i="74"/>
  <c r="Y132" i="85"/>
  <c r="AA127" i="93"/>
  <c r="X85" i="74"/>
  <c r="Q120" i="83"/>
  <c r="Z177" i="91"/>
  <c r="P88" i="87"/>
  <c r="Z103" i="84"/>
  <c r="Y131" i="87"/>
  <c r="P53" i="81"/>
  <c r="P152" i="82"/>
  <c r="Q83" i="81"/>
  <c r="Q73" i="83"/>
  <c r="X86" i="88"/>
  <c r="AA167" i="81"/>
  <c r="Y72" i="85"/>
  <c r="X163" i="83"/>
  <c r="O118" i="87"/>
  <c r="Q150" i="89"/>
  <c r="Q170" i="74"/>
  <c r="P139" i="82"/>
  <c r="Q55" i="83"/>
  <c r="Y102" i="88"/>
  <c r="T75" i="87"/>
  <c r="M27" i="74"/>
  <c r="Q88" i="93"/>
  <c r="AA135" i="74"/>
  <c r="X82" i="85"/>
  <c r="Y43" i="83"/>
  <c r="Y51" i="85"/>
  <c r="T135" i="85"/>
  <c r="Z168" i="92"/>
  <c r="O103" i="81"/>
  <c r="Z51" i="91"/>
  <c r="AA148" i="83"/>
  <c r="P90" i="82"/>
  <c r="L124" i="81"/>
  <c r="AB68" i="81"/>
  <c r="Y154" i="89"/>
  <c r="T39" i="74"/>
  <c r="N72" i="94"/>
  <c r="Z167" i="74"/>
  <c r="N108" i="81"/>
  <c r="Z43" i="74"/>
  <c r="Q15" i="93"/>
  <c r="Q83" i="89"/>
  <c r="Y19" i="83"/>
  <c r="T126" i="74"/>
  <c r="O137" i="84"/>
  <c r="T162" i="92"/>
  <c r="Q167" i="84"/>
  <c r="N75" i="74"/>
  <c r="X57" i="74"/>
  <c r="Y122" i="91"/>
  <c r="N147" i="91"/>
  <c r="Y19" i="91"/>
  <c r="AA104" i="87"/>
  <c r="AB128" i="89"/>
  <c r="Q73" i="74"/>
  <c r="O102" i="92"/>
  <c r="Z153" i="84"/>
  <c r="Y114" i="92"/>
  <c r="T111" i="84"/>
  <c r="L94" i="85"/>
  <c r="AA82" i="85"/>
  <c r="T78" i="88"/>
  <c r="L159" i="82"/>
  <c r="Q88" i="84"/>
  <c r="Q181" i="85"/>
  <c r="N147" i="83"/>
  <c r="O166" i="91"/>
  <c r="P73" i="89"/>
  <c r="X135" i="82"/>
  <c r="AA66" i="88"/>
  <c r="AB21" i="84"/>
  <c r="Q114" i="74"/>
  <c r="P161" i="85"/>
  <c r="Y55" i="88"/>
  <c r="Y111" i="81"/>
  <c r="L102" i="82"/>
  <c r="X170" i="85"/>
  <c r="L163" i="94"/>
  <c r="AB88" i="81"/>
  <c r="Q109" i="84"/>
  <c r="X43" i="91"/>
  <c r="AB25" i="94"/>
  <c r="X139" i="83"/>
  <c r="T9" i="84"/>
  <c r="AA135" i="82"/>
  <c r="X99" i="82"/>
  <c r="P148" i="88"/>
  <c r="Y86" i="82"/>
  <c r="P25" i="88"/>
  <c r="O157" i="81"/>
  <c r="X102" i="82"/>
  <c r="O176" i="89"/>
  <c r="X152" i="85"/>
  <c r="Z78" i="81"/>
  <c r="L65" i="74"/>
  <c r="N132" i="83"/>
  <c r="Q59" i="85"/>
  <c r="AB109" i="89"/>
  <c r="Z180" i="74"/>
  <c r="AB118" i="91"/>
  <c r="Q143" i="81"/>
  <c r="AA153" i="85"/>
  <c r="X159" i="83"/>
  <c r="Z151" i="91"/>
  <c r="AA74" i="92"/>
  <c r="Z125" i="88"/>
  <c r="O133" i="74"/>
  <c r="Q119" i="82"/>
  <c r="T135" i="94"/>
  <c r="AB37" i="87"/>
  <c r="X100" i="74"/>
  <c r="AA118" i="87"/>
  <c r="O169" i="83"/>
  <c r="Z151" i="81"/>
  <c r="O176" i="87"/>
  <c r="L92" i="83"/>
  <c r="X173" i="89"/>
  <c r="Q39" i="81"/>
  <c r="AA86" i="87"/>
  <c r="Y143" i="89"/>
  <c r="AA137" i="81"/>
  <c r="AA144" i="89"/>
  <c r="P67" i="82"/>
  <c r="AB51" i="83"/>
  <c r="T57" i="92"/>
  <c r="L95" i="87"/>
  <c r="L170" i="89"/>
  <c r="X176" i="87"/>
  <c r="AB95" i="85"/>
  <c r="Z176" i="88"/>
  <c r="Q171" i="89"/>
  <c r="P61" i="83"/>
  <c r="P25" i="74"/>
  <c r="O104" i="87"/>
  <c r="AA133" i="94"/>
  <c r="Z159" i="87"/>
  <c r="N177" i="92"/>
  <c r="AB80" i="89"/>
  <c r="M21" i="85"/>
  <c r="P135" i="83"/>
  <c r="L139" i="89"/>
  <c r="M49" i="83"/>
  <c r="AB81" i="85"/>
  <c r="Y98" i="83"/>
  <c r="O80" i="88"/>
  <c r="AA106" i="91"/>
  <c r="P108" i="93"/>
  <c r="Z103" i="83"/>
  <c r="AB166" i="84"/>
  <c r="AA31" i="82"/>
  <c r="AA9" i="91"/>
  <c r="Y103" i="87"/>
  <c r="L185" i="82"/>
  <c r="T72" i="83"/>
  <c r="AA31" i="94"/>
  <c r="X21" i="81"/>
  <c r="AA130" i="94"/>
  <c r="Y159" i="74"/>
  <c r="Z77" i="88"/>
  <c r="Y152" i="88"/>
  <c r="Z137" i="81"/>
  <c r="T111" i="94"/>
  <c r="L85" i="88"/>
  <c r="Z9" i="81"/>
  <c r="T132" i="93"/>
  <c r="AA148" i="74"/>
  <c r="Y82" i="83"/>
  <c r="AA113" i="89"/>
  <c r="AA87" i="74"/>
  <c r="P57" i="83"/>
  <c r="N87" i="85"/>
  <c r="N184" i="85"/>
  <c r="Q135" i="74"/>
  <c r="Q178" i="74"/>
  <c r="Z68" i="84"/>
  <c r="X21" i="84"/>
  <c r="X148" i="81"/>
  <c r="AA9" i="82"/>
  <c r="P107" i="74"/>
  <c r="Z115" i="82"/>
  <c r="P113" i="89"/>
  <c r="Z174" i="82"/>
  <c r="T96" i="81"/>
  <c r="Z180" i="83"/>
  <c r="O150" i="74"/>
  <c r="P69" i="84"/>
  <c r="P67" i="85"/>
  <c r="AB83" i="85"/>
  <c r="Y120" i="85"/>
  <c r="P23" i="81"/>
  <c r="AB87" i="85"/>
  <c r="Z21" i="82"/>
  <c r="P137" i="89"/>
  <c r="M11" i="87"/>
  <c r="P37" i="88"/>
  <c r="Z15" i="74"/>
  <c r="Q102" i="74"/>
  <c r="L172" i="82"/>
  <c r="Q106" i="83"/>
  <c r="AA49" i="89"/>
  <c r="Z25" i="85"/>
  <c r="L123" i="74"/>
  <c r="X45" i="87"/>
  <c r="AB75" i="87"/>
  <c r="AA127" i="74"/>
  <c r="L183" i="85"/>
  <c r="Q23" i="89"/>
  <c r="T165" i="92"/>
  <c r="AB170" i="89"/>
  <c r="O125" i="88"/>
  <c r="P101" i="85"/>
  <c r="Q84" i="87"/>
  <c r="AB57" i="85"/>
  <c r="Y156" i="84"/>
  <c r="AA101" i="81"/>
  <c r="X75" i="83"/>
  <c r="O118" i="81"/>
  <c r="N90" i="87"/>
  <c r="X163" i="81"/>
  <c r="X177" i="91"/>
  <c r="Z126" i="82"/>
  <c r="AB27" i="83"/>
  <c r="Z74" i="74"/>
  <c r="AA103" i="81"/>
  <c r="AB73" i="81"/>
  <c r="L101" i="89"/>
  <c r="Y75" i="87"/>
  <c r="AB107" i="81"/>
  <c r="Q80" i="74"/>
  <c r="Q129" i="83"/>
  <c r="Y51" i="83"/>
  <c r="Y143" i="93"/>
  <c r="T81" i="92"/>
  <c r="O176" i="81"/>
  <c r="AB61" i="91"/>
  <c r="Q33" i="93"/>
  <c r="O165" i="84"/>
  <c r="Z23" i="94"/>
  <c r="AA45" i="74"/>
  <c r="X107" i="74"/>
  <c r="Y39" i="83"/>
  <c r="X174" i="94"/>
  <c r="Z156" i="85"/>
  <c r="T180" i="89"/>
  <c r="P91" i="85"/>
  <c r="Q111" i="84"/>
  <c r="X96" i="89"/>
  <c r="AB78" i="85"/>
  <c r="X176" i="85"/>
  <c r="Y82" i="91"/>
  <c r="X173" i="83"/>
  <c r="Y127" i="94"/>
  <c r="X76" i="84"/>
  <c r="Y159" i="87"/>
  <c r="M59" i="84"/>
  <c r="Z105" i="91"/>
  <c r="AB109" i="94"/>
  <c r="X25" i="89"/>
  <c r="X86" i="81"/>
  <c r="Z162" i="82"/>
  <c r="O102" i="85"/>
  <c r="Y161" i="88"/>
  <c r="O160" i="84"/>
  <c r="Z102" i="83"/>
  <c r="L172" i="81"/>
  <c r="Y123" i="87"/>
  <c r="AB92" i="83"/>
  <c r="L114" i="74"/>
  <c r="X90" i="82"/>
  <c r="X128" i="81"/>
  <c r="O130" i="83"/>
  <c r="AB110" i="81"/>
  <c r="X78" i="81"/>
  <c r="AA17" i="92"/>
  <c r="X64" i="85"/>
  <c r="N33" i="83"/>
  <c r="T72" i="74"/>
  <c r="P69" i="85"/>
  <c r="X144" i="85"/>
  <c r="AA55" i="84"/>
  <c r="P27" i="89"/>
  <c r="Y117" i="93"/>
  <c r="P124" i="82"/>
  <c r="Z116" i="81"/>
  <c r="Y78" i="84"/>
  <c r="L134" i="89"/>
  <c r="AA164" i="82"/>
  <c r="Q78" i="87"/>
  <c r="Y88" i="81"/>
  <c r="P164" i="85"/>
  <c r="AB141" i="83"/>
  <c r="Q73" i="81"/>
  <c r="L122" i="89"/>
  <c r="Y177" i="94"/>
  <c r="N117" i="91"/>
  <c r="AB102" i="82"/>
  <c r="M31" i="82"/>
  <c r="Y80" i="82"/>
  <c r="AB61" i="81"/>
  <c r="N90" i="93"/>
  <c r="AA135" i="89"/>
  <c r="X65" i="84"/>
  <c r="P102" i="82"/>
  <c r="AB122" i="87"/>
  <c r="AB140" i="81"/>
  <c r="L182" i="87"/>
  <c r="O66" i="82"/>
  <c r="AB43" i="94"/>
  <c r="O167" i="82"/>
  <c r="P161" i="74"/>
  <c r="Q153" i="85"/>
  <c r="Y93" i="85"/>
  <c r="P78" i="89"/>
  <c r="X132" i="74"/>
  <c r="O72" i="87"/>
  <c r="AA96" i="74"/>
  <c r="P91" i="81"/>
  <c r="X124" i="85"/>
  <c r="L173" i="74"/>
  <c r="Q152" i="83"/>
  <c r="L115" i="88"/>
  <c r="AB162" i="84"/>
  <c r="O41" i="82"/>
  <c r="AA77" i="87"/>
  <c r="L112" i="94"/>
  <c r="L63" i="85"/>
  <c r="AA145" i="81"/>
  <c r="X113" i="94"/>
  <c r="T135" i="92"/>
  <c r="AA158" i="89"/>
  <c r="Z110" i="84"/>
  <c r="Y126" i="88"/>
  <c r="P174" i="87"/>
  <c r="M49" i="85"/>
  <c r="L119" i="85"/>
  <c r="M61" i="74"/>
  <c r="AA108" i="74"/>
  <c r="P156" i="81"/>
  <c r="Z147" i="89"/>
  <c r="N63" i="85"/>
  <c r="AA63" i="83"/>
  <c r="O107" i="82"/>
  <c r="AA153" i="87"/>
  <c r="P93" i="92"/>
  <c r="Z53" i="83"/>
  <c r="N123" i="87"/>
  <c r="AA118" i="81"/>
  <c r="L141" i="84"/>
  <c r="L75" i="74"/>
  <c r="N144" i="94"/>
  <c r="Y160" i="84"/>
  <c r="Z31" i="83"/>
  <c r="Z107" i="87"/>
  <c r="N15" i="93"/>
  <c r="Y176" i="81"/>
  <c r="X157" i="74"/>
  <c r="P29" i="84"/>
  <c r="T33" i="88"/>
  <c r="O167" i="74"/>
  <c r="Y136" i="85"/>
  <c r="Z51" i="83"/>
  <c r="AB84" i="85"/>
  <c r="Y88" i="74"/>
  <c r="AB110" i="83"/>
  <c r="O63" i="84"/>
  <c r="O179" i="74"/>
  <c r="Q107" i="88"/>
  <c r="Z169" i="84"/>
  <c r="O144" i="74"/>
  <c r="AA180" i="87"/>
  <c r="O31" i="85"/>
  <c r="M17" i="89"/>
  <c r="Y112" i="81"/>
  <c r="P171" i="81"/>
  <c r="N69" i="87"/>
  <c r="AA19" i="74"/>
  <c r="Y78" i="74"/>
  <c r="L146" i="83"/>
  <c r="Q100" i="82"/>
  <c r="Z161" i="93"/>
  <c r="X122" i="87"/>
  <c r="AB86" i="89"/>
  <c r="X33" i="93"/>
  <c r="AA105" i="74"/>
  <c r="AB94" i="84"/>
  <c r="P149" i="82"/>
  <c r="O119" i="85"/>
  <c r="AB146" i="85"/>
  <c r="Q109" i="83"/>
  <c r="AA23" i="83"/>
  <c r="Z135" i="85"/>
  <c r="X175" i="87"/>
  <c r="Y161" i="84"/>
  <c r="L70" i="89"/>
  <c r="L124" i="88"/>
  <c r="O160" i="74"/>
  <c r="O37" i="88"/>
  <c r="X163" i="84"/>
  <c r="O66" i="85"/>
  <c r="Q160" i="82"/>
  <c r="Y78" i="94"/>
  <c r="P45" i="81"/>
  <c r="P23" i="74"/>
  <c r="AA127" i="89"/>
  <c r="AA37" i="89"/>
  <c r="O149" i="85"/>
  <c r="AB53" i="89"/>
  <c r="O141" i="81"/>
  <c r="X114" i="74"/>
  <c r="L70" i="83"/>
  <c r="P43" i="91"/>
  <c r="AB89" i="85"/>
  <c r="AB84" i="84"/>
  <c r="Z75" i="74"/>
  <c r="O35" i="87"/>
  <c r="N99" i="84"/>
  <c r="Q61" i="91"/>
  <c r="Y101" i="94"/>
  <c r="X89" i="88"/>
  <c r="L76" i="74"/>
  <c r="Y57" i="74"/>
  <c r="Y73" i="74"/>
  <c r="O91" i="92"/>
  <c r="Y47" i="85"/>
  <c r="L89" i="82"/>
  <c r="O99" i="81"/>
  <c r="X39" i="85"/>
  <c r="O9" i="74"/>
  <c r="AA39" i="74"/>
  <c r="AA110" i="83"/>
  <c r="L168" i="85"/>
  <c r="AA17" i="84"/>
  <c r="O105" i="89"/>
  <c r="Q113" i="82"/>
  <c r="Q111" i="89"/>
  <c r="O25" i="88"/>
  <c r="Q65" i="92"/>
  <c r="X153" i="85"/>
  <c r="AB124" i="89"/>
  <c r="AA115" i="81"/>
  <c r="L73" i="88"/>
  <c r="M9" i="84"/>
  <c r="AA37" i="84"/>
  <c r="AB71" i="83"/>
  <c r="Q158" i="85"/>
  <c r="L67" i="84"/>
  <c r="P128" i="88"/>
  <c r="Z25" i="74"/>
  <c r="Z11" i="74"/>
  <c r="Q101" i="91"/>
  <c r="N69" i="74"/>
  <c r="Y68" i="89"/>
  <c r="Z175" i="89"/>
  <c r="AB45" i="81"/>
  <c r="Y149" i="89"/>
  <c r="AB180" i="83"/>
  <c r="Y53" i="81"/>
  <c r="X152" i="91"/>
  <c r="L141" i="82"/>
  <c r="O47" i="92"/>
  <c r="L174" i="89"/>
  <c r="O85" i="85"/>
  <c r="Y174" i="81"/>
  <c r="AB172" i="91"/>
  <c r="Q45" i="81"/>
  <c r="Z17" i="91"/>
  <c r="AB176" i="89"/>
  <c r="AB83" i="87"/>
  <c r="O181" i="84"/>
  <c r="Y126" i="82"/>
  <c r="Z67" i="85"/>
  <c r="Y15" i="82"/>
  <c r="O137" i="82"/>
  <c r="AA130" i="93"/>
  <c r="Y148" i="84"/>
  <c r="O157" i="89"/>
  <c r="V174" i="89" l="1"/>
  <c r="V141" i="82"/>
  <c r="V67" i="84"/>
  <c r="U9" i="84"/>
  <c r="U10" i="84" s="1"/>
  <c r="V73" i="88"/>
  <c r="V168" i="85"/>
  <c r="V89" i="82"/>
  <c r="V76" i="74"/>
  <c r="V70" i="83"/>
  <c r="V124" i="88"/>
  <c r="V70" i="89"/>
  <c r="V146" i="83"/>
  <c r="U17" i="89"/>
  <c r="U18" i="89" s="1"/>
  <c r="V75" i="74"/>
  <c r="V141" i="84"/>
  <c r="U61" i="74"/>
  <c r="U62" i="74" s="1"/>
  <c r="V119" i="85"/>
  <c r="U49" i="85"/>
  <c r="U50" i="85" s="1"/>
  <c r="V63" i="85"/>
  <c r="V112" i="94"/>
  <c r="V115" i="88"/>
  <c r="V173" i="74"/>
  <c r="V182" i="87"/>
  <c r="U31" i="82"/>
  <c r="U32" i="82" s="1"/>
  <c r="V122" i="89"/>
  <c r="V134" i="89"/>
  <c r="V114" i="74"/>
  <c r="V172" i="81"/>
  <c r="U59" i="84"/>
  <c r="U60" i="84" s="1"/>
  <c r="Q188" i="93"/>
  <c r="V101" i="89"/>
  <c r="V123" i="74"/>
  <c r="V172" i="82"/>
  <c r="U11" i="87"/>
  <c r="U12" i="87" s="1"/>
  <c r="V85" i="88"/>
  <c r="U49" i="83"/>
  <c r="U50" i="83" s="1"/>
  <c r="V139" i="89"/>
  <c r="U21" i="85"/>
  <c r="U22" i="85" s="1"/>
  <c r="V170" i="89"/>
  <c r="V95" i="87"/>
  <c r="V92" i="83"/>
  <c r="V65" i="74"/>
  <c r="V163" i="94"/>
  <c r="V102" i="82"/>
  <c r="V159" i="82"/>
  <c r="V94" i="85"/>
  <c r="V124" i="81"/>
  <c r="U27" i="74"/>
  <c r="U28" i="74" s="1"/>
  <c r="V65" i="93"/>
  <c r="V92" i="81"/>
  <c r="V117" i="93"/>
  <c r="V177" i="74"/>
  <c r="U11" i="82"/>
  <c r="U12" i="82" s="1"/>
  <c r="V135" i="89"/>
  <c r="U25" i="81"/>
  <c r="U26" i="81" s="1"/>
  <c r="V75" i="84"/>
  <c r="V170" i="81"/>
  <c r="V157" i="94"/>
  <c r="V132" i="74"/>
  <c r="V67" i="85"/>
  <c r="U11" i="93"/>
  <c r="U12" i="93" s="1"/>
  <c r="V176" i="81"/>
  <c r="U61" i="81"/>
  <c r="U62" i="81" s="1"/>
  <c r="U25" i="74"/>
  <c r="U26" i="74" s="1"/>
  <c r="V118" i="81"/>
  <c r="U53" i="81"/>
  <c r="U54" i="81" s="1"/>
  <c r="V116" i="74"/>
  <c r="V86" i="91"/>
  <c r="V178" i="91"/>
  <c r="U45" i="89"/>
  <c r="U46" i="89" s="1"/>
  <c r="V154" i="85"/>
  <c r="V65" i="83"/>
  <c r="U23" i="85"/>
  <c r="U24" i="85" s="1"/>
  <c r="V151" i="82"/>
  <c r="V105" i="82"/>
  <c r="V80" i="82"/>
  <c r="V98" i="91"/>
  <c r="V72" i="88"/>
  <c r="V97" i="83"/>
  <c r="V83" i="82"/>
  <c r="V119" i="83"/>
  <c r="V153" i="85"/>
  <c r="V78" i="83"/>
  <c r="V144" i="83"/>
  <c r="V74" i="81"/>
  <c r="V182" i="84"/>
  <c r="U9" i="85"/>
  <c r="U10" i="85" s="1"/>
  <c r="V151" i="74"/>
  <c r="V124" i="82"/>
  <c r="V123" i="81"/>
  <c r="V169" i="81"/>
  <c r="U37" i="81"/>
  <c r="U38" i="81" s="1"/>
  <c r="U29" i="91"/>
  <c r="U30" i="91" s="1"/>
  <c r="V135" i="88"/>
  <c r="Q188" i="85"/>
  <c r="V105" i="74"/>
  <c r="V119" i="88"/>
  <c r="V139" i="92"/>
  <c r="V142" i="87"/>
  <c r="V92" i="88"/>
  <c r="V173" i="88"/>
  <c r="V134" i="85"/>
  <c r="V162" i="74"/>
  <c r="V130" i="89"/>
  <c r="V95" i="81"/>
  <c r="V151" i="87"/>
  <c r="V136" i="85"/>
  <c r="V117" i="83"/>
  <c r="V113" i="92"/>
  <c r="V96" i="83"/>
  <c r="V105" i="88"/>
  <c r="V181" i="84"/>
  <c r="V103" i="85"/>
  <c r="U61" i="88"/>
  <c r="U62" i="88" s="1"/>
  <c r="V90" i="81"/>
  <c r="V80" i="87"/>
  <c r="V145" i="81"/>
  <c r="V161" i="87"/>
  <c r="V103" i="74"/>
  <c r="V149" i="81"/>
  <c r="V169" i="91"/>
  <c r="V151" i="88"/>
  <c r="V155" i="82"/>
  <c r="V101" i="87"/>
  <c r="V140" i="92"/>
  <c r="U59" i="74"/>
  <c r="U60" i="74" s="1"/>
  <c r="U57" i="88"/>
  <c r="U58" i="88" s="1"/>
  <c r="V166" i="84"/>
  <c r="U9" i="89"/>
  <c r="U10" i="89" s="1"/>
  <c r="V157" i="89"/>
  <c r="V96" i="89"/>
  <c r="U45" i="74"/>
  <c r="U46" i="74" s="1"/>
  <c r="V137" i="85"/>
  <c r="V100" i="89"/>
  <c r="U23" i="92"/>
  <c r="U24" i="92" s="1"/>
  <c r="V101" i="88"/>
  <c r="V165" i="83"/>
  <c r="V118" i="83"/>
  <c r="U27" i="87"/>
  <c r="U28" i="87" s="1"/>
  <c r="V64" i="74"/>
  <c r="V138" i="74"/>
  <c r="U27" i="89"/>
  <c r="U28" i="89" s="1"/>
  <c r="V148" i="83"/>
  <c r="V133" i="82"/>
  <c r="V132" i="85"/>
  <c r="U19" i="85"/>
  <c r="U20" i="85" s="1"/>
  <c r="Q188" i="88"/>
  <c r="U61" i="82"/>
  <c r="U62" i="82" s="1"/>
  <c r="V173" i="81"/>
  <c r="U21" i="84"/>
  <c r="U22" i="84" s="1"/>
  <c r="V145" i="82"/>
  <c r="V177" i="81"/>
  <c r="V163" i="85"/>
  <c r="V132" i="84"/>
  <c r="U25" i="88"/>
  <c r="U26" i="88" s="1"/>
  <c r="V135" i="83"/>
  <c r="V160" i="83"/>
  <c r="V176" i="83"/>
  <c r="V104" i="83"/>
  <c r="V105" i="89"/>
  <c r="V129" i="74"/>
  <c r="U33" i="83"/>
  <c r="U34" i="83" s="1"/>
  <c r="V160" i="74"/>
  <c r="V161" i="82"/>
  <c r="V137" i="74"/>
  <c r="V113" i="91"/>
  <c r="V124" i="83"/>
  <c r="V126" i="87"/>
  <c r="V103" i="92"/>
  <c r="V77" i="81"/>
  <c r="V128" i="84"/>
  <c r="V171" i="85"/>
  <c r="V120" i="91"/>
  <c r="V173" i="82"/>
  <c r="V63" i="81"/>
  <c r="V133" i="83"/>
  <c r="V106" i="91"/>
  <c r="V147" i="85"/>
  <c r="V144" i="94"/>
  <c r="V175" i="74"/>
  <c r="V120" i="81"/>
  <c r="V172" i="92"/>
  <c r="V176" i="88"/>
  <c r="V138" i="85"/>
  <c r="V140" i="81"/>
  <c r="V134" i="92"/>
  <c r="V73" i="74"/>
  <c r="V166" i="85"/>
  <c r="Q187" i="87"/>
  <c r="V84" i="81"/>
  <c r="V182" i="91"/>
  <c r="U19" i="87"/>
  <c r="U20" i="87" s="1"/>
  <c r="V91" i="81"/>
  <c r="U17" i="83"/>
  <c r="U18" i="83" s="1"/>
  <c r="V177" i="85"/>
  <c r="V86" i="85"/>
  <c r="V151" i="83"/>
  <c r="U39" i="92"/>
  <c r="U40" i="92" s="1"/>
  <c r="Q188" i="81"/>
  <c r="U45" i="82"/>
  <c r="U46" i="82" s="1"/>
  <c r="V107" i="81"/>
  <c r="V82" i="81"/>
  <c r="V178" i="87"/>
  <c r="V139" i="82"/>
  <c r="V114" i="82"/>
  <c r="V77" i="83"/>
  <c r="V85" i="85"/>
  <c r="V182" i="82"/>
  <c r="V179" i="85"/>
  <c r="U13" i="84"/>
  <c r="U14" i="84" s="1"/>
  <c r="U53" i="82"/>
  <c r="U54" i="82" s="1"/>
  <c r="V81" i="93"/>
  <c r="V79" i="84"/>
  <c r="V64" i="91"/>
  <c r="V163" i="81"/>
  <c r="V148" i="85"/>
  <c r="V88" i="74"/>
  <c r="V145" i="92"/>
  <c r="U23" i="74"/>
  <c r="U24" i="74" s="1"/>
  <c r="V151" i="81"/>
  <c r="V181" i="85"/>
  <c r="V110" i="88"/>
  <c r="V72" i="85"/>
  <c r="V121" i="85"/>
  <c r="U57" i="82"/>
  <c r="U58" i="82" s="1"/>
  <c r="V102" i="81"/>
  <c r="V178" i="74"/>
  <c r="V78" i="82"/>
  <c r="U19" i="84"/>
  <c r="U20" i="84" s="1"/>
  <c r="U27" i="81"/>
  <c r="U28" i="81" s="1"/>
  <c r="V100" i="84"/>
  <c r="V154" i="84"/>
  <c r="U21" i="88"/>
  <c r="U22" i="88" s="1"/>
  <c r="V141" i="85"/>
  <c r="V77" i="91"/>
  <c r="V135" i="91"/>
  <c r="V129" i="82"/>
  <c r="V168" i="87"/>
  <c r="V75" i="89"/>
  <c r="V78" i="81"/>
  <c r="V125" i="83"/>
  <c r="V110" i="91"/>
  <c r="V150" i="83"/>
  <c r="V179" i="82"/>
  <c r="U27" i="88"/>
  <c r="U28" i="88" s="1"/>
  <c r="V156" i="87"/>
  <c r="V150" i="89"/>
  <c r="U41" i="84"/>
  <c r="U42" i="84" s="1"/>
  <c r="V133" i="91"/>
  <c r="V178" i="81"/>
  <c r="V118" i="88"/>
  <c r="V73" i="85"/>
  <c r="V81" i="81"/>
  <c r="V67" i="81"/>
  <c r="V157" i="74"/>
  <c r="V112" i="82"/>
  <c r="V133" i="88"/>
  <c r="V175" i="84"/>
  <c r="V85" i="81"/>
  <c r="V136" i="87"/>
  <c r="V66" i="91"/>
  <c r="V134" i="83"/>
  <c r="V171" i="81"/>
  <c r="V147" i="84"/>
  <c r="V74" i="89"/>
  <c r="U29" i="84"/>
  <c r="U30" i="84" s="1"/>
  <c r="U19" i="93"/>
  <c r="U20" i="93" s="1"/>
  <c r="V113" i="74"/>
  <c r="U47" i="93"/>
  <c r="U48" i="93" s="1"/>
  <c r="U13" i="74"/>
  <c r="U14" i="74" s="1"/>
  <c r="V171" i="88"/>
  <c r="U23" i="84"/>
  <c r="U24" i="84" s="1"/>
  <c r="V123" i="85"/>
  <c r="V138" i="82"/>
  <c r="V118" i="89"/>
  <c r="V115" i="82"/>
  <c r="V158" i="91"/>
  <c r="V107" i="91"/>
  <c r="V115" i="89"/>
  <c r="V78" i="91"/>
  <c r="V160" i="84"/>
  <c r="V88" i="81"/>
  <c r="V76" i="85"/>
  <c r="V122" i="74"/>
  <c r="V100" i="88"/>
  <c r="V86" i="74"/>
  <c r="V165" i="91"/>
  <c r="V144" i="87"/>
  <c r="V142" i="84"/>
  <c r="U25" i="93"/>
  <c r="U26" i="93" s="1"/>
  <c r="V78" i="85"/>
  <c r="U39" i="81"/>
  <c r="U40" i="81" s="1"/>
  <c r="U19" i="92"/>
  <c r="U20" i="92" s="1"/>
  <c r="V161" i="88"/>
  <c r="V166" i="74"/>
  <c r="V86" i="88"/>
  <c r="V67" i="88"/>
  <c r="U51" i="83"/>
  <c r="U52" i="83" s="1"/>
  <c r="U11" i="83"/>
  <c r="U12" i="83" s="1"/>
  <c r="V98" i="85"/>
  <c r="V145" i="85"/>
  <c r="V180" i="85"/>
  <c r="V158" i="87"/>
  <c r="V162" i="81"/>
  <c r="V120" i="88"/>
  <c r="V125" i="85"/>
  <c r="V160" i="89"/>
  <c r="V69" i="85"/>
  <c r="U43" i="84"/>
  <c r="U44" i="84" s="1"/>
  <c r="V175" i="87"/>
  <c r="U33" i="93"/>
  <c r="U34" i="93" s="1"/>
  <c r="V125" i="87"/>
  <c r="V126" i="82"/>
  <c r="V95" i="84"/>
  <c r="V181" i="87"/>
  <c r="V157" i="91"/>
  <c r="U37" i="82"/>
  <c r="U38" i="82" s="1"/>
  <c r="V160" i="87"/>
  <c r="V177" i="88"/>
  <c r="V135" i="87"/>
  <c r="V104" i="81"/>
  <c r="V137" i="88"/>
  <c r="V125" i="91"/>
  <c r="V79" i="85"/>
  <c r="V167" i="85"/>
  <c r="U43" i="83"/>
  <c r="U44" i="83" s="1"/>
  <c r="V109" i="89"/>
  <c r="V94" i="81"/>
  <c r="U55" i="81"/>
  <c r="U56" i="81" s="1"/>
  <c r="V88" i="82"/>
  <c r="V71" i="84"/>
  <c r="U9" i="74"/>
  <c r="U10" i="74" s="1"/>
  <c r="U49" i="82"/>
  <c r="U50" i="82" s="1"/>
  <c r="V72" i="83"/>
  <c r="V162" i="85"/>
  <c r="V144" i="81"/>
  <c r="V87" i="74"/>
  <c r="V96" i="91"/>
  <c r="V84" i="74"/>
  <c r="V119" i="74"/>
  <c r="V144" i="82"/>
  <c r="V175" i="89"/>
  <c r="V107" i="74"/>
  <c r="U27" i="85"/>
  <c r="U28" i="85" s="1"/>
  <c r="V164" i="83"/>
  <c r="V71" i="85"/>
  <c r="U61" i="83"/>
  <c r="U62" i="83" s="1"/>
  <c r="V86" i="87"/>
  <c r="V79" i="92"/>
  <c r="V95" i="85"/>
  <c r="V105" i="81"/>
  <c r="V142" i="83"/>
  <c r="V67" i="74"/>
  <c r="V65" i="84"/>
  <c r="V170" i="85"/>
  <c r="V93" i="83"/>
  <c r="V116" i="91"/>
  <c r="V113" i="89"/>
  <c r="Q188" i="74"/>
  <c r="V179" i="89"/>
  <c r="U51" i="82"/>
  <c r="U52" i="82" s="1"/>
  <c r="V155" i="83"/>
  <c r="V108" i="82"/>
  <c r="V129" i="83"/>
  <c r="V117" i="85"/>
  <c r="V180" i="92"/>
  <c r="V69" i="94"/>
  <c r="V119" i="81"/>
  <c r="V101" i="84"/>
  <c r="V138" i="91"/>
  <c r="V174" i="83"/>
  <c r="V107" i="83"/>
  <c r="V91" i="85"/>
  <c r="V135" i="74"/>
  <c r="U21" i="91"/>
  <c r="U22" i="91" s="1"/>
  <c r="V68" i="83"/>
  <c r="V77" i="74"/>
  <c r="V80" i="83"/>
  <c r="V108" i="91"/>
  <c r="U29" i="87"/>
  <c r="U30" i="87" s="1"/>
  <c r="V165" i="81"/>
  <c r="V90" i="89"/>
  <c r="V72" i="81"/>
  <c r="V153" i="81"/>
  <c r="U17" i="84"/>
  <c r="U18" i="84" s="1"/>
  <c r="V92" i="87"/>
  <c r="V148" i="82"/>
  <c r="U47" i="92"/>
  <c r="U48" i="92" s="1"/>
  <c r="V76" i="82"/>
  <c r="U55" i="87"/>
  <c r="U56" i="87" s="1"/>
  <c r="V182" i="81"/>
  <c r="U41" i="94"/>
  <c r="U42" i="94" s="1"/>
  <c r="V121" i="89"/>
  <c r="V66" i="84"/>
  <c r="V108" i="83"/>
  <c r="V132" i="81"/>
  <c r="U41" i="85"/>
  <c r="U42" i="85" s="1"/>
  <c r="V137" i="83"/>
  <c r="V138" i="81"/>
  <c r="V87" i="85"/>
  <c r="V177" i="82"/>
  <c r="V135" i="94"/>
  <c r="V69" i="91"/>
  <c r="V164" i="89"/>
  <c r="V159" i="81"/>
  <c r="V153" i="87"/>
  <c r="U59" i="94"/>
  <c r="U60" i="94" s="1"/>
  <c r="U35" i="81"/>
  <c r="U36" i="81" s="1"/>
  <c r="V102" i="88"/>
  <c r="V111" i="82"/>
  <c r="V149" i="94"/>
  <c r="V90" i="74"/>
  <c r="V100" i="82"/>
  <c r="V69" i="81"/>
  <c r="V173" i="85"/>
  <c r="V142" i="74"/>
  <c r="V126" i="83"/>
  <c r="V78" i="88"/>
  <c r="V122" i="91"/>
  <c r="V181" i="74"/>
  <c r="U49" i="88"/>
  <c r="U50" i="88" s="1"/>
  <c r="V167" i="91"/>
  <c r="V88" i="91"/>
  <c r="V122" i="82"/>
  <c r="V157" i="81"/>
  <c r="V150" i="88"/>
  <c r="V81" i="85"/>
  <c r="V94" i="83"/>
  <c r="V101" i="83"/>
  <c r="V126" i="89"/>
  <c r="V121" i="83"/>
  <c r="U43" i="87"/>
  <c r="U44" i="87" s="1"/>
  <c r="V175" i="83"/>
  <c r="V92" i="74"/>
  <c r="U57" i="74"/>
  <c r="U58" i="74" s="1"/>
  <c r="V98" i="87"/>
  <c r="V102" i="74"/>
  <c r="Q187" i="81"/>
  <c r="V127" i="82"/>
  <c r="V129" i="92"/>
  <c r="V167" i="82"/>
  <c r="U51" i="84"/>
  <c r="U52" i="84" s="1"/>
  <c r="V110" i="74"/>
  <c r="V128" i="94"/>
  <c r="V146" i="74"/>
  <c r="V72" i="74"/>
  <c r="U49" i="87"/>
  <c r="U50" i="87" s="1"/>
  <c r="V181" i="82"/>
  <c r="V131" i="81"/>
  <c r="V94" i="89"/>
  <c r="V105" i="87"/>
  <c r="V133" i="85"/>
  <c r="V131" i="74"/>
  <c r="V169" i="74"/>
  <c r="V80" i="91"/>
  <c r="V161" i="94"/>
  <c r="V70" i="88"/>
  <c r="V179" i="74"/>
  <c r="V156" i="94"/>
  <c r="V82" i="82"/>
  <c r="U27" i="91"/>
  <c r="U28" i="91" s="1"/>
  <c r="V171" i="89"/>
  <c r="V159" i="74"/>
  <c r="V166" i="92"/>
  <c r="V147" i="74"/>
  <c r="V140" i="82"/>
  <c r="V71" i="88"/>
  <c r="V131" i="91"/>
  <c r="V130" i="83"/>
  <c r="V133" i="84"/>
  <c r="V120" i="82"/>
  <c r="V63" i="89"/>
  <c r="V182" i="85"/>
  <c r="V126" i="81"/>
  <c r="V74" i="85"/>
  <c r="U21" i="81"/>
  <c r="U22" i="81" s="1"/>
  <c r="V64" i="84"/>
  <c r="V126" i="74"/>
  <c r="V181" i="91"/>
  <c r="V129" i="94"/>
  <c r="V173" i="92"/>
  <c r="U61" i="84"/>
  <c r="U62" i="84" s="1"/>
  <c r="V86" i="81"/>
  <c r="V92" i="94"/>
  <c r="U49" i="81"/>
  <c r="U50" i="81" s="1"/>
  <c r="U31" i="88"/>
  <c r="U32" i="88" s="1"/>
  <c r="V151" i="85"/>
  <c r="V110" i="89"/>
  <c r="V81" i="88"/>
  <c r="V137" i="81"/>
  <c r="Q188" i="84"/>
  <c r="V107" i="82"/>
  <c r="Q187" i="85"/>
  <c r="V93" i="74"/>
  <c r="V67" i="92"/>
  <c r="V112" i="74"/>
  <c r="U53" i="91"/>
  <c r="U54" i="91" s="1"/>
  <c r="V70" i="81"/>
  <c r="V89" i="81"/>
  <c r="V99" i="85"/>
  <c r="V156" i="88"/>
  <c r="U13" i="82"/>
  <c r="U14" i="82" s="1"/>
  <c r="U37" i="74"/>
  <c r="U38" i="74" s="1"/>
  <c r="V113" i="85"/>
  <c r="V101" i="82"/>
  <c r="V143" i="83"/>
  <c r="V133" i="81"/>
  <c r="V104" i="94"/>
  <c r="U11" i="94"/>
  <c r="U12" i="94" s="1"/>
  <c r="V164" i="74"/>
  <c r="V113" i="83"/>
  <c r="V102" i="85"/>
  <c r="V78" i="89"/>
  <c r="V176" i="91"/>
  <c r="V159" i="88"/>
  <c r="V98" i="93"/>
  <c r="U23" i="94"/>
  <c r="U24" i="94" s="1"/>
  <c r="V68" i="81"/>
  <c r="U17" i="81"/>
  <c r="U18" i="81" s="1"/>
  <c r="V67" i="94"/>
  <c r="U49" i="91"/>
  <c r="U50" i="91" s="1"/>
  <c r="V109" i="92"/>
  <c r="U27" i="84"/>
  <c r="U28" i="84" s="1"/>
  <c r="V80" i="81"/>
  <c r="U17" i="82"/>
  <c r="U18" i="82" s="1"/>
  <c r="V154" i="87"/>
  <c r="V172" i="89"/>
  <c r="V109" i="81"/>
  <c r="V161" i="91"/>
  <c r="V127" i="88"/>
  <c r="V124" i="85"/>
  <c r="U19" i="83"/>
  <c r="U20" i="83" s="1"/>
  <c r="V159" i="84"/>
  <c r="V96" i="94"/>
  <c r="V108" i="85"/>
  <c r="V116" i="81"/>
  <c r="V76" i="92"/>
  <c r="V64" i="85"/>
  <c r="V140" i="74"/>
  <c r="V150" i="82"/>
  <c r="V63" i="93"/>
  <c r="V172" i="83"/>
  <c r="V92" i="85"/>
  <c r="V109" i="93"/>
  <c r="V129" i="91"/>
  <c r="U27" i="82"/>
  <c r="U28" i="82" s="1"/>
  <c r="U45" i="81"/>
  <c r="U46" i="81" s="1"/>
  <c r="V87" i="83"/>
  <c r="V126" i="94"/>
  <c r="V167" i="74"/>
  <c r="U15" i="82"/>
  <c r="U16" i="82" s="1"/>
  <c r="U9" i="81"/>
  <c r="U10" i="81" s="1"/>
  <c r="V165" i="93"/>
  <c r="V145" i="91"/>
  <c r="U25" i="89"/>
  <c r="U26" i="89" s="1"/>
  <c r="V178" i="93"/>
  <c r="V173" i="91"/>
  <c r="V161" i="74"/>
  <c r="V119" i="87"/>
  <c r="V157" i="82"/>
  <c r="V91" i="74"/>
  <c r="V77" i="84"/>
  <c r="V170" i="87"/>
  <c r="V172" i="91"/>
  <c r="U9" i="87"/>
  <c r="U10" i="87" s="1"/>
  <c r="V156" i="91"/>
  <c r="V181" i="81"/>
  <c r="U15" i="91"/>
  <c r="U16" i="91" s="1"/>
  <c r="U39" i="88"/>
  <c r="U40" i="88" s="1"/>
  <c r="V155" i="87"/>
  <c r="V87" i="88"/>
  <c r="V103" i="88"/>
  <c r="V161" i="89"/>
  <c r="V141" i="74"/>
  <c r="V68" i="88"/>
  <c r="V89" i="74"/>
  <c r="V154" i="83"/>
  <c r="V66" i="74"/>
  <c r="V80" i="84"/>
  <c r="V149" i="84"/>
  <c r="V151" i="94"/>
  <c r="U37" i="91"/>
  <c r="U38" i="91" s="1"/>
  <c r="V133" i="87"/>
  <c r="V76" i="81"/>
  <c r="V180" i="88"/>
  <c r="V144" i="89"/>
  <c r="V121" i="91"/>
  <c r="V149" i="89"/>
  <c r="V112" i="81"/>
  <c r="U59" i="83"/>
  <c r="U60" i="83" s="1"/>
  <c r="V145" i="83"/>
  <c r="V115" i="81"/>
  <c r="V89" i="85"/>
  <c r="U29" i="92"/>
  <c r="U30" i="92" s="1"/>
  <c r="V88" i="87"/>
  <c r="V155" i="74"/>
  <c r="V142" i="89"/>
  <c r="V85" i="74"/>
  <c r="V79" i="82"/>
  <c r="V129" i="85"/>
  <c r="U15" i="83"/>
  <c r="U16" i="83" s="1"/>
  <c r="V81" i="91"/>
  <c r="V85" i="93"/>
  <c r="V74" i="82"/>
  <c r="V65" i="82"/>
  <c r="V163" i="88"/>
  <c r="V83" i="87"/>
  <c r="V153" i="84"/>
  <c r="V179" i="93"/>
  <c r="V72" i="91"/>
  <c r="V106" i="81"/>
  <c r="U43" i="82"/>
  <c r="U44" i="82" s="1"/>
  <c r="U55" i="85"/>
  <c r="U56" i="85" s="1"/>
  <c r="V64" i="87"/>
  <c r="V84" i="85"/>
  <c r="V166" i="83"/>
  <c r="V181" i="89"/>
  <c r="V92" i="82"/>
  <c r="V124" i="92"/>
  <c r="V112" i="87"/>
  <c r="U43" i="81"/>
  <c r="U44" i="81" s="1"/>
  <c r="V82" i="87"/>
  <c r="U9" i="88"/>
  <c r="U10" i="88" s="1"/>
  <c r="V119" i="91"/>
  <c r="V115" i="83"/>
  <c r="V169" i="88"/>
  <c r="V124" i="74"/>
  <c r="V82" i="89"/>
  <c r="V157" i="83"/>
  <c r="V146" i="81"/>
  <c r="V152" i="94"/>
  <c r="V101" i="74"/>
  <c r="U55" i="82"/>
  <c r="U56" i="82" s="1"/>
  <c r="V74" i="93"/>
  <c r="Q187" i="84"/>
  <c r="V146" i="87"/>
  <c r="V119" i="84"/>
  <c r="U31" i="93"/>
  <c r="U32" i="93" s="1"/>
  <c r="V77" i="92"/>
  <c r="U31" i="83"/>
  <c r="U32" i="83" s="1"/>
  <c r="V182" i="74"/>
  <c r="V132" i="88"/>
  <c r="V64" i="89"/>
  <c r="V164" i="93"/>
  <c r="Q188" i="82"/>
  <c r="V113" i="82"/>
  <c r="V99" i="88"/>
  <c r="V99" i="89"/>
  <c r="V152" i="83"/>
  <c r="U41" i="83"/>
  <c r="U42" i="83" s="1"/>
  <c r="V135" i="81"/>
  <c r="V106" i="74"/>
  <c r="V111" i="83"/>
  <c r="U21" i="74"/>
  <c r="U22" i="74" s="1"/>
  <c r="V164" i="82"/>
  <c r="U23" i="82"/>
  <c r="U24" i="82" s="1"/>
  <c r="V73" i="91"/>
  <c r="V85" i="84"/>
  <c r="V117" i="81"/>
  <c r="V181" i="93"/>
  <c r="V131" i="85"/>
  <c r="U51" i="92"/>
  <c r="U52" i="92" s="1"/>
  <c r="V147" i="81"/>
  <c r="V102" i="92"/>
  <c r="V177" i="87"/>
  <c r="V116" i="94"/>
  <c r="V100" i="85"/>
  <c r="U9" i="82"/>
  <c r="U10" i="82" s="1"/>
  <c r="V171" i="92"/>
  <c r="V96" i="82"/>
  <c r="V163" i="74"/>
  <c r="V76" i="88"/>
  <c r="V158" i="85"/>
  <c r="V128" i="83"/>
  <c r="V85" i="89"/>
  <c r="V69" i="84"/>
  <c r="V139" i="91"/>
  <c r="V162" i="83"/>
  <c r="V178" i="88"/>
  <c r="V89" i="88"/>
  <c r="V102" i="93"/>
  <c r="U59" i="91"/>
  <c r="U60" i="91" s="1"/>
  <c r="V78" i="87"/>
  <c r="V99" i="82"/>
  <c r="V79" i="74"/>
  <c r="V179" i="81"/>
  <c r="U19" i="88"/>
  <c r="U20" i="88" s="1"/>
  <c r="V128" i="81"/>
  <c r="V155" i="91"/>
  <c r="Q187" i="91"/>
  <c r="V81" i="84"/>
  <c r="V162" i="87"/>
  <c r="V100" i="83"/>
  <c r="V176" i="84"/>
  <c r="U23" i="83"/>
  <c r="U24" i="83" s="1"/>
  <c r="V131" i="83"/>
  <c r="V157" i="85"/>
  <c r="V98" i="94"/>
  <c r="V77" i="88"/>
  <c r="V105" i="83"/>
  <c r="U33" i="82"/>
  <c r="U34" i="82" s="1"/>
  <c r="V71" i="92"/>
  <c r="V70" i="85"/>
  <c r="V94" i="87"/>
  <c r="V176" i="74"/>
  <c r="V157" i="92"/>
  <c r="V130" i="82"/>
  <c r="U15" i="81"/>
  <c r="U16" i="81" s="1"/>
  <c r="V164" i="85"/>
  <c r="V167" i="83"/>
  <c r="V95" i="74"/>
  <c r="U55" i="83"/>
  <c r="U56" i="83" s="1"/>
  <c r="V143" i="89"/>
  <c r="V63" i="92"/>
  <c r="U11" i="74"/>
  <c r="U12" i="74" s="1"/>
  <c r="V99" i="91"/>
  <c r="V91" i="83"/>
  <c r="V138" i="93"/>
  <c r="U15" i="88"/>
  <c r="U16" i="88" s="1"/>
  <c r="V148" i="74"/>
  <c r="U17" i="87"/>
  <c r="U18" i="87" s="1"/>
  <c r="V135" i="82"/>
  <c r="V152" i="89"/>
  <c r="V165" i="87"/>
  <c r="V125" i="74"/>
  <c r="V122" i="94"/>
  <c r="V82" i="93"/>
  <c r="V168" i="81"/>
  <c r="Q187" i="82"/>
  <c r="V117" i="87"/>
  <c r="V76" i="84"/>
  <c r="V144" i="74"/>
  <c r="V91" i="89"/>
  <c r="V99" i="81"/>
  <c r="V99" i="83"/>
  <c r="U31" i="84"/>
  <c r="U32" i="84" s="1"/>
  <c r="V150" i="74"/>
  <c r="V84" i="84"/>
  <c r="V109" i="83"/>
  <c r="V88" i="92"/>
  <c r="U15" i="85"/>
  <c r="U16" i="85" s="1"/>
  <c r="V179" i="87"/>
  <c r="V154" i="88"/>
  <c r="V125" i="81"/>
  <c r="U13" i="85"/>
  <c r="U14" i="85" s="1"/>
  <c r="V174" i="91"/>
  <c r="V87" i="94"/>
  <c r="V118" i="91"/>
  <c r="V116" i="88"/>
  <c r="V124" i="89"/>
  <c r="U29" i="74"/>
  <c r="U30" i="74" s="1"/>
  <c r="V99" i="92"/>
  <c r="V148" i="94"/>
  <c r="V107" i="89"/>
  <c r="V123" i="89"/>
  <c r="U35" i="88"/>
  <c r="U36" i="88" s="1"/>
  <c r="V123" i="82"/>
  <c r="V125" i="92"/>
  <c r="V138" i="83"/>
  <c r="V182" i="83"/>
  <c r="V158" i="89"/>
  <c r="V174" i="87"/>
  <c r="V133" i="74"/>
  <c r="U29" i="83"/>
  <c r="U30" i="83" s="1"/>
  <c r="V102" i="83"/>
  <c r="V147" i="94"/>
  <c r="V150" i="94"/>
  <c r="V164" i="81"/>
  <c r="V75" i="85"/>
  <c r="V79" i="83"/>
  <c r="U25" i="83"/>
  <c r="U26" i="83" s="1"/>
  <c r="V123" i="93"/>
  <c r="U47" i="85"/>
  <c r="U48" i="85" s="1"/>
  <c r="V160" i="82"/>
  <c r="V69" i="83"/>
  <c r="V116" i="82"/>
  <c r="V130" i="81"/>
  <c r="V115" i="74"/>
  <c r="V152" i="88"/>
  <c r="V90" i="91"/>
  <c r="U45" i="91"/>
  <c r="U46" i="91" s="1"/>
  <c r="V141" i="88"/>
  <c r="V93" i="89"/>
  <c r="V97" i="82"/>
  <c r="V166" i="94"/>
  <c r="V117" i="74"/>
  <c r="V155" i="81"/>
  <c r="V142" i="85"/>
  <c r="U45" i="84"/>
  <c r="U46" i="84" s="1"/>
  <c r="V71" i="89"/>
  <c r="V70" i="74"/>
  <c r="V93" i="88"/>
  <c r="V162" i="82"/>
  <c r="V79" i="87"/>
  <c r="V136" i="82"/>
  <c r="U23" i="91"/>
  <c r="U24" i="91" s="1"/>
  <c r="V75" i="83"/>
  <c r="U21" i="92"/>
  <c r="U22" i="92" s="1"/>
  <c r="V73" i="81"/>
  <c r="V128" i="82"/>
  <c r="V114" i="88"/>
  <c r="V74" i="74"/>
  <c r="V80" i="94"/>
  <c r="V73" i="87"/>
  <c r="U37" i="85"/>
  <c r="U38" i="85" s="1"/>
  <c r="U13" i="81"/>
  <c r="U14" i="81" s="1"/>
  <c r="V114" i="93"/>
  <c r="V174" i="92"/>
  <c r="V168" i="83"/>
  <c r="V112" i="85"/>
  <c r="V96" i="74"/>
  <c r="U13" i="87"/>
  <c r="U14" i="87" s="1"/>
  <c r="V147" i="87"/>
  <c r="V138" i="87"/>
  <c r="V88" i="83"/>
  <c r="V66" i="82"/>
  <c r="U53" i="93"/>
  <c r="U54" i="93" s="1"/>
  <c r="V138" i="88"/>
  <c r="U27" i="83"/>
  <c r="U28" i="83" s="1"/>
  <c r="V145" i="74"/>
  <c r="V127" i="87"/>
  <c r="V83" i="92"/>
  <c r="V153" i="83"/>
  <c r="V114" i="87"/>
  <c r="U29" i="89"/>
  <c r="U30" i="89" s="1"/>
  <c r="V79" i="88"/>
  <c r="V147" i="88"/>
  <c r="V105" i="85"/>
  <c r="V163" i="89"/>
  <c r="V122" i="83"/>
  <c r="V166" i="89"/>
  <c r="V88" i="94"/>
  <c r="V89" i="83"/>
  <c r="V83" i="74"/>
  <c r="V128" i="88"/>
  <c r="V95" i="83"/>
  <c r="V154" i="89"/>
  <c r="V162" i="88"/>
  <c r="V66" i="94"/>
  <c r="V180" i="89"/>
  <c r="V80" i="74"/>
  <c r="V128" i="85"/>
  <c r="V179" i="92"/>
  <c r="U39" i="91"/>
  <c r="U40" i="91" s="1"/>
  <c r="V177" i="83"/>
  <c r="V68" i="87"/>
  <c r="V97" i="87"/>
  <c r="V118" i="74"/>
  <c r="V112" i="88"/>
  <c r="V83" i="88"/>
  <c r="V99" i="74"/>
  <c r="V174" i="74"/>
  <c r="V105" i="92"/>
  <c r="U57" i="84"/>
  <c r="U58" i="84" s="1"/>
  <c r="V140" i="85"/>
  <c r="V100" i="94"/>
  <c r="V108" i="93"/>
  <c r="U61" i="89"/>
  <c r="U62" i="89" s="1"/>
  <c r="V64" i="81"/>
  <c r="V69" i="82"/>
  <c r="V154" i="82"/>
  <c r="V117" i="91"/>
  <c r="V179" i="88"/>
  <c r="U51" i="93"/>
  <c r="U52" i="93" s="1"/>
  <c r="V96" i="81"/>
  <c r="V71" i="82"/>
  <c r="V175" i="88"/>
  <c r="V142" i="88"/>
  <c r="V79" i="89"/>
  <c r="V93" i="82"/>
  <c r="V143" i="84"/>
  <c r="V152" i="91"/>
  <c r="V128" i="93"/>
  <c r="V67" i="93"/>
  <c r="V158" i="74"/>
  <c r="U15" i="74"/>
  <c r="U16" i="74" s="1"/>
  <c r="U11" i="81"/>
  <c r="U12" i="81" s="1"/>
  <c r="V149" i="74"/>
  <c r="U57" i="85"/>
  <c r="U58" i="85" s="1"/>
  <c r="U55" i="84"/>
  <c r="U56" i="84" s="1"/>
  <c r="V133" i="94"/>
  <c r="V129" i="93"/>
  <c r="V180" i="82"/>
  <c r="V143" i="82"/>
  <c r="V130" i="88"/>
  <c r="U47" i="84"/>
  <c r="U48" i="84" s="1"/>
  <c r="U25" i="91"/>
  <c r="U26" i="91" s="1"/>
  <c r="U11" i="85"/>
  <c r="U12" i="85" s="1"/>
  <c r="U31" i="81"/>
  <c r="U32" i="81" s="1"/>
  <c r="V176" i="92"/>
  <c r="V129" i="87"/>
  <c r="V163" i="87"/>
  <c r="V141" i="83"/>
  <c r="V95" i="91"/>
  <c r="U13" i="83"/>
  <c r="U14" i="83" s="1"/>
  <c r="V140" i="93"/>
  <c r="V73" i="82"/>
  <c r="V98" i="83"/>
  <c r="V67" i="87"/>
  <c r="V112" i="93"/>
  <c r="V133" i="89"/>
  <c r="U53" i="84"/>
  <c r="U54" i="84" s="1"/>
  <c r="V80" i="92"/>
  <c r="V63" i="84"/>
  <c r="V71" i="81"/>
  <c r="V166" i="91"/>
  <c r="V163" i="82"/>
  <c r="V95" i="92"/>
  <c r="U35" i="82"/>
  <c r="U36" i="82" s="1"/>
  <c r="V173" i="93"/>
  <c r="V174" i="85"/>
  <c r="V112" i="89"/>
  <c r="V92" i="91"/>
  <c r="U25" i="92"/>
  <c r="U26" i="92" s="1"/>
  <c r="V92" i="89"/>
  <c r="U57" i="83"/>
  <c r="U58" i="83" s="1"/>
  <c r="V142" i="82"/>
  <c r="V111" i="91"/>
  <c r="V165" i="92"/>
  <c r="V104" i="74"/>
  <c r="V178" i="82"/>
  <c r="V93" i="81"/>
  <c r="U45" i="85"/>
  <c r="U46" i="85" s="1"/>
  <c r="V68" i="93"/>
  <c r="U37" i="83"/>
  <c r="U38" i="83" s="1"/>
  <c r="V114" i="91"/>
  <c r="V68" i="82"/>
  <c r="V172" i="85"/>
  <c r="V66" i="89"/>
  <c r="U61" i="91"/>
  <c r="U62" i="91" s="1"/>
  <c r="V84" i="92"/>
  <c r="V124" i="87"/>
  <c r="U61" i="87"/>
  <c r="U62" i="87" s="1"/>
  <c r="V82" i="84"/>
  <c r="V75" i="82"/>
  <c r="U33" i="85"/>
  <c r="U34" i="85" s="1"/>
  <c r="U23" i="87"/>
  <c r="U24" i="87" s="1"/>
  <c r="V89" i="93"/>
  <c r="V125" i="88"/>
  <c r="V158" i="93"/>
  <c r="V143" i="92"/>
  <c r="U35" i="84"/>
  <c r="U36" i="84" s="1"/>
  <c r="V82" i="91"/>
  <c r="V139" i="94"/>
  <c r="Q188" i="94"/>
  <c r="V181" i="88"/>
  <c r="V94" i="74"/>
  <c r="V124" i="94"/>
  <c r="V136" i="83"/>
  <c r="V70" i="82"/>
  <c r="V156" i="82"/>
  <c r="V172" i="93"/>
  <c r="V81" i="82"/>
  <c r="V64" i="92"/>
  <c r="V91" i="92"/>
  <c r="U53" i="92"/>
  <c r="U54" i="92" s="1"/>
  <c r="U57" i="87"/>
  <c r="U58" i="87" s="1"/>
  <c r="V86" i="92"/>
  <c r="V144" i="92"/>
  <c r="V104" i="87"/>
  <c r="V65" i="91"/>
  <c r="V118" i="84"/>
  <c r="V149" i="91"/>
  <c r="V164" i="88"/>
  <c r="V149" i="83"/>
  <c r="U13" i="88"/>
  <c r="U14" i="88" s="1"/>
  <c r="V136" i="93"/>
  <c r="V147" i="91"/>
  <c r="V169" i="94"/>
  <c r="V99" i="87"/>
  <c r="V145" i="87"/>
  <c r="V144" i="93"/>
  <c r="V64" i="82"/>
  <c r="U59" i="85"/>
  <c r="U60" i="85" s="1"/>
  <c r="V89" i="87"/>
  <c r="V80" i="88"/>
  <c r="V137" i="89"/>
  <c r="V67" i="89"/>
  <c r="V102" i="94"/>
  <c r="U47" i="91"/>
  <c r="U48" i="91" s="1"/>
  <c r="V167" i="84"/>
  <c r="V156" i="81"/>
  <c r="U55" i="93"/>
  <c r="U56" i="93" s="1"/>
  <c r="V146" i="88"/>
  <c r="V168" i="88"/>
  <c r="V92" i="92"/>
  <c r="U35" i="83"/>
  <c r="U36" i="83" s="1"/>
  <c r="V90" i="94"/>
  <c r="V103" i="81"/>
  <c r="V176" i="82"/>
  <c r="V87" i="82"/>
  <c r="V178" i="94"/>
  <c r="V95" i="82"/>
  <c r="U31" i="85"/>
  <c r="U32" i="85" s="1"/>
  <c r="U23" i="89"/>
  <c r="U24" i="89" s="1"/>
  <c r="V105" i="93"/>
  <c r="V98" i="82"/>
  <c r="U29" i="88"/>
  <c r="U30" i="88" s="1"/>
  <c r="U59" i="82"/>
  <c r="U60" i="82" s="1"/>
  <c r="V68" i="85"/>
  <c r="V143" i="87"/>
  <c r="U53" i="85"/>
  <c r="U54" i="85" s="1"/>
  <c r="V178" i="83"/>
  <c r="V85" i="82"/>
  <c r="V100" i="81"/>
  <c r="V167" i="92"/>
  <c r="V171" i="87"/>
  <c r="V91" i="88"/>
  <c r="V86" i="93"/>
  <c r="V81" i="89"/>
  <c r="U15" i="84"/>
  <c r="U16" i="84" s="1"/>
  <c r="U9" i="94"/>
  <c r="U10" i="94" s="1"/>
  <c r="V79" i="91"/>
  <c r="V111" i="74"/>
  <c r="V152" i="81"/>
  <c r="V169" i="92"/>
  <c r="V88" i="93"/>
  <c r="V63" i="83"/>
  <c r="V95" i="93"/>
  <c r="U31" i="74"/>
  <c r="U32" i="74" s="1"/>
  <c r="U19" i="94"/>
  <c r="U20" i="94" s="1"/>
  <c r="V180" i="94"/>
  <c r="V138" i="92"/>
  <c r="V104" i="82"/>
  <c r="V68" i="89"/>
  <c r="V118" i="93"/>
  <c r="V103" i="83"/>
  <c r="V108" i="89"/>
  <c r="V74" i="83"/>
  <c r="V108" i="81"/>
  <c r="V159" i="83"/>
  <c r="V120" i="85"/>
  <c r="V178" i="85"/>
  <c r="V114" i="83"/>
  <c r="V148" i="89"/>
  <c r="V132" i="93"/>
  <c r="V182" i="94"/>
  <c r="V136" i="81"/>
  <c r="V90" i="87"/>
  <c r="V110" i="85"/>
  <c r="V137" i="82"/>
  <c r="V116" i="89"/>
  <c r="V77" i="87"/>
  <c r="V156" i="74"/>
  <c r="Q188" i="83"/>
  <c r="V131" i="82"/>
  <c r="V145" i="89"/>
  <c r="V97" i="81"/>
  <c r="V75" i="94"/>
  <c r="V97" i="94"/>
  <c r="V144" i="91"/>
  <c r="V110" i="83"/>
  <c r="V94" i="84"/>
  <c r="V134" i="81"/>
  <c r="U11" i="91"/>
  <c r="U12" i="91" s="1"/>
  <c r="V64" i="93"/>
  <c r="V120" i="89"/>
  <c r="V118" i="82"/>
  <c r="V84" i="87"/>
  <c r="V74" i="91"/>
  <c r="V153" i="89"/>
  <c r="V138" i="94"/>
  <c r="V68" i="92"/>
  <c r="V63" i="87"/>
  <c r="V101" i="93"/>
  <c r="V81" i="74"/>
  <c r="V146" i="85"/>
  <c r="V165" i="89"/>
  <c r="V70" i="84"/>
  <c r="V122" i="92"/>
  <c r="V89" i="91"/>
  <c r="V117" i="82"/>
  <c r="V81" i="94"/>
  <c r="V71" i="83"/>
  <c r="V171" i="94"/>
  <c r="V129" i="81"/>
  <c r="U25" i="82"/>
  <c r="U26" i="82" s="1"/>
  <c r="V136" i="89"/>
  <c r="V160" i="92"/>
  <c r="U51" i="81"/>
  <c r="U52" i="81" s="1"/>
  <c r="V98" i="89"/>
  <c r="U19" i="74"/>
  <c r="U20" i="74" s="1"/>
  <c r="V109" i="74"/>
  <c r="V79" i="81"/>
  <c r="V94" i="88"/>
  <c r="V98" i="81"/>
  <c r="V157" i="87"/>
  <c r="V126" i="85"/>
  <c r="U21" i="83"/>
  <c r="U22" i="83" s="1"/>
  <c r="V162" i="91"/>
  <c r="V115" i="94"/>
  <c r="V159" i="87"/>
  <c r="U39" i="87"/>
  <c r="U40" i="87" s="1"/>
  <c r="V65" i="92"/>
  <c r="V107" i="92"/>
  <c r="V172" i="87"/>
  <c r="V98" i="74"/>
  <c r="V90" i="88"/>
  <c r="V128" i="92"/>
  <c r="V136" i="91"/>
  <c r="V149" i="87"/>
  <c r="V82" i="85"/>
  <c r="V160" i="94"/>
  <c r="V113" i="94"/>
  <c r="V132" i="91"/>
  <c r="U23" i="81"/>
  <c r="U24" i="81" s="1"/>
  <c r="V86" i="82"/>
  <c r="U55" i="88"/>
  <c r="U56" i="88" s="1"/>
  <c r="U11" i="92"/>
  <c r="U12" i="92" s="1"/>
  <c r="U15" i="92"/>
  <c r="U16" i="92" s="1"/>
  <c r="V150" i="81"/>
  <c r="V123" i="91"/>
  <c r="V147" i="82"/>
  <c r="V122" i="85"/>
  <c r="V71" i="74"/>
  <c r="V66" i="81"/>
  <c r="V167" i="87"/>
  <c r="U23" i="88"/>
  <c r="U24" i="88" s="1"/>
  <c r="V178" i="89"/>
  <c r="V132" i="82"/>
  <c r="V83" i="81"/>
  <c r="V70" i="87"/>
  <c r="V171" i="83"/>
  <c r="V104" i="88"/>
  <c r="U49" i="92"/>
  <c r="U50" i="92" s="1"/>
  <c r="U49" i="89"/>
  <c r="U50" i="89" s="1"/>
  <c r="V70" i="93"/>
  <c r="V176" i="93"/>
  <c r="U9" i="83"/>
  <c r="U10" i="83" s="1"/>
  <c r="V97" i="74"/>
  <c r="V132" i="87"/>
  <c r="V110" i="93"/>
  <c r="U41" i="82"/>
  <c r="U42" i="82" s="1"/>
  <c r="V169" i="93"/>
  <c r="V118" i="85"/>
  <c r="V101" i="91"/>
  <c r="V86" i="94"/>
  <c r="U47" i="82"/>
  <c r="U48" i="82" s="1"/>
  <c r="V131" i="88"/>
  <c r="U51" i="89"/>
  <c r="U52" i="89" s="1"/>
  <c r="V153" i="93"/>
  <c r="V160" i="93"/>
  <c r="V108" i="74"/>
  <c r="V93" i="87"/>
  <c r="Q187" i="88"/>
  <c r="V154" i="91"/>
  <c r="V131" i="93"/>
  <c r="V151" i="93"/>
  <c r="U47" i="88"/>
  <c r="U48" i="88" s="1"/>
  <c r="V175" i="82"/>
  <c r="U25" i="85"/>
  <c r="U26" i="85" s="1"/>
  <c r="V166" i="88"/>
  <c r="V126" i="92"/>
  <c r="V153" i="94"/>
  <c r="V168" i="82"/>
  <c r="V152" i="92"/>
  <c r="V67" i="83"/>
  <c r="V154" i="93"/>
  <c r="V171" i="91"/>
  <c r="V86" i="83"/>
  <c r="V174" i="93"/>
  <c r="U31" i="91"/>
  <c r="U32" i="91" s="1"/>
  <c r="U47" i="83"/>
  <c r="U48" i="83" s="1"/>
  <c r="V174" i="94"/>
  <c r="V159" i="92"/>
  <c r="Q187" i="89"/>
  <c r="V109" i="82"/>
  <c r="V161" i="85"/>
  <c r="U9" i="91"/>
  <c r="U10" i="91" s="1"/>
  <c r="V122" i="88"/>
  <c r="U17" i="74"/>
  <c r="U18" i="74" s="1"/>
  <c r="V156" i="83"/>
  <c r="V126" i="91"/>
  <c r="V111" i="92"/>
  <c r="V143" i="88"/>
  <c r="V87" i="91"/>
  <c r="V161" i="81"/>
  <c r="V114" i="92"/>
  <c r="V121" i="81"/>
  <c r="U57" i="92"/>
  <c r="U58" i="92" s="1"/>
  <c r="V174" i="81"/>
  <c r="V166" i="87"/>
  <c r="V72" i="94"/>
  <c r="V119" i="89"/>
  <c r="V97" i="88"/>
  <c r="V139" i="87"/>
  <c r="V93" i="84"/>
  <c r="V139" i="83"/>
  <c r="V150" i="85"/>
  <c r="V81" i="87"/>
  <c r="V164" i="91"/>
  <c r="U47" i="94"/>
  <c r="U48" i="94" s="1"/>
  <c r="V103" i="82"/>
  <c r="V108" i="87"/>
  <c r="V141" i="89"/>
  <c r="V170" i="82"/>
  <c r="V140" i="91"/>
  <c r="V122" i="93"/>
  <c r="V87" i="89"/>
  <c r="U33" i="88"/>
  <c r="U34" i="88" s="1"/>
  <c r="V113" i="93"/>
  <c r="V77" i="82"/>
  <c r="V82" i="74"/>
  <c r="U55" i="74"/>
  <c r="U56" i="74" s="1"/>
  <c r="U37" i="88"/>
  <c r="U38" i="88" s="1"/>
  <c r="V152" i="74"/>
  <c r="V167" i="89"/>
  <c r="Q188" i="91"/>
  <c r="U11" i="89"/>
  <c r="U12" i="89" s="1"/>
  <c r="U21" i="89"/>
  <c r="U22" i="89" s="1"/>
  <c r="V180" i="93"/>
  <c r="V117" i="88"/>
  <c r="U29" i="85"/>
  <c r="U30" i="85" s="1"/>
  <c r="U29" i="93"/>
  <c r="U30" i="93" s="1"/>
  <c r="V160" i="81"/>
  <c r="U61" i="94"/>
  <c r="U62" i="94" s="1"/>
  <c r="V130" i="87"/>
  <c r="V150" i="91"/>
  <c r="V99" i="93"/>
  <c r="V89" i="92"/>
  <c r="V78" i="84"/>
  <c r="V181" i="92"/>
  <c r="U41" i="93"/>
  <c r="U42" i="93" s="1"/>
  <c r="V74" i="87"/>
  <c r="V107" i="93"/>
  <c r="U25" i="84"/>
  <c r="U26" i="84" s="1"/>
  <c r="V174" i="82"/>
  <c r="U53" i="74"/>
  <c r="U54" i="74" s="1"/>
  <c r="V109" i="88"/>
  <c r="U37" i="87"/>
  <c r="U38" i="87" s="1"/>
  <c r="V139" i="74"/>
  <c r="V67" i="82"/>
  <c r="V168" i="89"/>
  <c r="V109" i="91"/>
  <c r="V111" i="88"/>
  <c r="V158" i="82"/>
  <c r="V91" i="93"/>
  <c r="V70" i="91"/>
  <c r="V76" i="83"/>
  <c r="V172" i="74"/>
  <c r="U15" i="89"/>
  <c r="U16" i="89" s="1"/>
  <c r="V151" i="91"/>
  <c r="U61" i="85"/>
  <c r="U62" i="85" s="1"/>
  <c r="V141" i="91"/>
  <c r="U19" i="81"/>
  <c r="U20" i="81" s="1"/>
  <c r="V63" i="88"/>
  <c r="V139" i="85"/>
  <c r="Q188" i="89"/>
  <c r="U27" i="94"/>
  <c r="U28" i="94" s="1"/>
  <c r="V104" i="89"/>
  <c r="V76" i="93"/>
  <c r="U35" i="89"/>
  <c r="U36" i="89" s="1"/>
  <c r="U35" i="87"/>
  <c r="U36" i="87" s="1"/>
  <c r="Q187" i="92"/>
  <c r="V127" i="92"/>
  <c r="V129" i="88"/>
  <c r="V134" i="87"/>
  <c r="V158" i="81"/>
  <c r="U49" i="84"/>
  <c r="U50" i="84" s="1"/>
  <c r="V159" i="91"/>
  <c r="V170" i="94"/>
  <c r="V135" i="85"/>
  <c r="V152" i="82"/>
  <c r="V104" i="85"/>
  <c r="V177" i="93"/>
  <c r="V156" i="92"/>
  <c r="V136" i="94"/>
  <c r="U51" i="88"/>
  <c r="U52" i="88" s="1"/>
  <c r="V68" i="74"/>
  <c r="V142" i="81"/>
  <c r="Q187" i="74"/>
  <c r="U37" i="89"/>
  <c r="U38" i="89" s="1"/>
  <c r="V74" i="84"/>
  <c r="V82" i="94"/>
  <c r="V93" i="92"/>
  <c r="V160" i="88"/>
  <c r="V127" i="93"/>
  <c r="U43" i="74"/>
  <c r="U44" i="74" s="1"/>
  <c r="U49" i="74"/>
  <c r="U50" i="74" s="1"/>
  <c r="U13" i="91"/>
  <c r="U14" i="91" s="1"/>
  <c r="V132" i="92"/>
  <c r="V72" i="87"/>
  <c r="V84" i="82"/>
  <c r="V123" i="83"/>
  <c r="V81" i="92"/>
  <c r="V177" i="91"/>
  <c r="V110" i="81"/>
  <c r="V180" i="83"/>
  <c r="V82" i="92"/>
  <c r="U45" i="87"/>
  <c r="U46" i="87" s="1"/>
  <c r="V180" i="81"/>
  <c r="V147" i="83"/>
  <c r="V113" i="81"/>
  <c r="U33" i="92"/>
  <c r="U34" i="92" s="1"/>
  <c r="V107" i="85"/>
  <c r="V106" i="88"/>
  <c r="U47" i="74"/>
  <c r="U48" i="74" s="1"/>
  <c r="V126" i="88"/>
  <c r="U35" i="74"/>
  <c r="U36" i="74" s="1"/>
  <c r="U47" i="87"/>
  <c r="U48" i="87" s="1"/>
  <c r="V152" i="93"/>
  <c r="V112" i="84"/>
  <c r="U29" i="81"/>
  <c r="U30" i="81" s="1"/>
  <c r="V106" i="85"/>
  <c r="V181" i="83"/>
  <c r="V73" i="92"/>
  <c r="V132" i="83"/>
  <c r="V67" i="91"/>
  <c r="V126" i="93"/>
  <c r="V131" i="89"/>
  <c r="V175" i="92"/>
  <c r="V134" i="91"/>
  <c r="V72" i="84"/>
  <c r="V118" i="87"/>
  <c r="V100" i="91"/>
  <c r="V121" i="93"/>
  <c r="U55" i="89"/>
  <c r="U56" i="89" s="1"/>
  <c r="V75" i="91"/>
  <c r="V96" i="92"/>
  <c r="U45" i="83"/>
  <c r="U46" i="83" s="1"/>
  <c r="V137" i="93"/>
  <c r="Q188" i="87"/>
  <c r="V100" i="74"/>
  <c r="V162" i="93"/>
  <c r="V153" i="92"/>
  <c r="V101" i="81"/>
  <c r="V182" i="88"/>
  <c r="U53" i="83"/>
  <c r="U54" i="83" s="1"/>
  <c r="V74" i="88"/>
  <c r="V167" i="94"/>
  <c r="V77" i="85"/>
  <c r="V120" i="87"/>
  <c r="U21" i="82"/>
  <c r="U22" i="82" s="1"/>
  <c r="V171" i="74"/>
  <c r="V115" i="85"/>
  <c r="V159" i="85"/>
  <c r="V83" i="91"/>
  <c r="U43" i="88"/>
  <c r="U44" i="88" s="1"/>
  <c r="U59" i="92"/>
  <c r="U60" i="92" s="1"/>
  <c r="U51" i="91"/>
  <c r="U52" i="91" s="1"/>
  <c r="V176" i="94"/>
  <c r="V117" i="92"/>
  <c r="V125" i="82"/>
  <c r="V69" i="93"/>
  <c r="V125" i="89"/>
  <c r="V181" i="94"/>
  <c r="U37" i="93"/>
  <c r="U38" i="93" s="1"/>
  <c r="V75" i="81"/>
  <c r="V66" i="93"/>
  <c r="V111" i="84"/>
  <c r="V159" i="93"/>
  <c r="V113" i="87"/>
  <c r="V148" i="93"/>
  <c r="V149" i="93"/>
  <c r="V115" i="91"/>
  <c r="V130" i="74"/>
  <c r="V134" i="94"/>
  <c r="V143" i="93"/>
  <c r="V78" i="93"/>
  <c r="V127" i="94"/>
  <c r="U39" i="85"/>
  <c r="U40" i="85" s="1"/>
  <c r="U35" i="93"/>
  <c r="U36" i="93" s="1"/>
  <c r="V161" i="83"/>
  <c r="V65" i="89"/>
  <c r="V149" i="92"/>
  <c r="V114" i="81"/>
  <c r="V88" i="89"/>
  <c r="V119" i="82"/>
  <c r="V127" i="74"/>
  <c r="V162" i="94"/>
  <c r="U61" i="92"/>
  <c r="U62" i="92" s="1"/>
  <c r="V143" i="74"/>
  <c r="V155" i="89"/>
  <c r="V90" i="85"/>
  <c r="V137" i="87"/>
  <c r="V137" i="94"/>
  <c r="U33" i="91"/>
  <c r="U34" i="91" s="1"/>
  <c r="V154" i="74"/>
  <c r="V151" i="89"/>
  <c r="V149" i="82"/>
  <c r="V104" i="91"/>
  <c r="V164" i="94"/>
  <c r="V141" i="93"/>
  <c r="V173" i="89"/>
  <c r="U41" i="81"/>
  <c r="U42" i="81" s="1"/>
  <c r="V73" i="89"/>
  <c r="V143" i="91"/>
  <c r="V180" i="74"/>
  <c r="V85" i="87"/>
  <c r="V144" i="85"/>
  <c r="U31" i="94"/>
  <c r="U32" i="94" s="1"/>
  <c r="V76" i="94"/>
  <c r="V118" i="94"/>
  <c r="V90" i="93"/>
  <c r="V171" i="93"/>
  <c r="U57" i="89"/>
  <c r="U58" i="89" s="1"/>
  <c r="V93" i="91"/>
  <c r="V132" i="94"/>
  <c r="V145" i="88"/>
  <c r="V153" i="74"/>
  <c r="V64" i="83"/>
  <c r="V120" i="94"/>
  <c r="V174" i="84"/>
  <c r="V159" i="89"/>
  <c r="V71" i="87"/>
  <c r="V93" i="85"/>
  <c r="V141" i="94"/>
  <c r="U33" i="87"/>
  <c r="U34" i="87" s="1"/>
  <c r="V111" i="87"/>
  <c r="V100" i="87"/>
  <c r="V106" i="93"/>
  <c r="U43" i="85"/>
  <c r="U44" i="85" s="1"/>
  <c r="V101" i="85"/>
  <c r="V105" i="94"/>
  <c r="V122" i="81"/>
  <c r="V140" i="83"/>
  <c r="U33" i="81"/>
  <c r="U34" i="81" s="1"/>
  <c r="V134" i="84"/>
  <c r="V156" i="85"/>
  <c r="V72" i="82"/>
  <c r="V116" i="93"/>
  <c r="V161" i="93"/>
  <c r="V106" i="89"/>
  <c r="V73" i="84"/>
  <c r="U31" i="89"/>
  <c r="U32" i="89" s="1"/>
  <c r="U55" i="91"/>
  <c r="U56" i="91" s="1"/>
  <c r="V142" i="93"/>
  <c r="V93" i="94"/>
  <c r="U35" i="91"/>
  <c r="U36" i="91" s="1"/>
  <c r="V168" i="91"/>
  <c r="V106" i="83"/>
  <c r="V68" i="91"/>
  <c r="V180" i="87"/>
  <c r="V170" i="83"/>
  <c r="U57" i="91"/>
  <c r="U58" i="91" s="1"/>
  <c r="V94" i="94"/>
  <c r="U59" i="89"/>
  <c r="U60" i="89" s="1"/>
  <c r="V167" i="93"/>
  <c r="V90" i="83"/>
  <c r="V97" i="85"/>
  <c r="V77" i="89"/>
  <c r="V149" i="88"/>
  <c r="V155" i="88"/>
  <c r="U59" i="81"/>
  <c r="U60" i="81" s="1"/>
  <c r="V160" i="91"/>
  <c r="V109" i="85"/>
  <c r="U55" i="92"/>
  <c r="U56" i="92" s="1"/>
  <c r="U49" i="93"/>
  <c r="U50" i="93" s="1"/>
  <c r="V119" i="93"/>
  <c r="V136" i="74"/>
  <c r="V65" i="81"/>
  <c r="U47" i="81"/>
  <c r="U48" i="81" s="1"/>
  <c r="V139" i="88"/>
  <c r="U11" i="84"/>
  <c r="U12" i="84" s="1"/>
  <c r="V121" i="87"/>
  <c r="V116" i="83"/>
  <c r="V137" i="91"/>
  <c r="V102" i="89"/>
  <c r="V155" i="92"/>
  <c r="V75" i="87"/>
  <c r="V126" i="84"/>
  <c r="V110" i="82"/>
  <c r="V117" i="84"/>
  <c r="U51" i="85"/>
  <c r="U52" i="85" s="1"/>
  <c r="U49" i="94"/>
  <c r="U50" i="94" s="1"/>
  <c r="U37" i="84"/>
  <c r="U38" i="84" s="1"/>
  <c r="V69" i="87"/>
  <c r="V166" i="93"/>
  <c r="V94" i="92"/>
  <c r="V63" i="91"/>
  <c r="V114" i="89"/>
  <c r="U53" i="88"/>
  <c r="U54" i="88" s="1"/>
  <c r="V159" i="94"/>
  <c r="V170" i="88"/>
  <c r="U41" i="74"/>
  <c r="U42" i="74" s="1"/>
  <c r="V106" i="87"/>
  <c r="V161" i="92"/>
  <c r="U17" i="93"/>
  <c r="U18" i="93" s="1"/>
  <c r="U51" i="74"/>
  <c r="U52" i="74" s="1"/>
  <c r="V151" i="92"/>
  <c r="V118" i="92"/>
  <c r="V111" i="85"/>
  <c r="U39" i="74"/>
  <c r="U40" i="74" s="1"/>
  <c r="V78" i="94"/>
  <c r="V63" i="82"/>
  <c r="U41" i="88"/>
  <c r="U42" i="88" s="1"/>
  <c r="V170" i="91"/>
  <c r="V121" i="82"/>
  <c r="V173" i="94"/>
  <c r="V179" i="83"/>
  <c r="U21" i="93"/>
  <c r="U22" i="93" s="1"/>
  <c r="U21" i="94"/>
  <c r="U22" i="94" s="1"/>
  <c r="V120" i="74"/>
  <c r="V130" i="93"/>
  <c r="V111" i="81"/>
  <c r="V142" i="94"/>
  <c r="U33" i="89"/>
  <c r="U34" i="89" s="1"/>
  <c r="V161" i="84"/>
  <c r="V169" i="87"/>
  <c r="V127" i="89"/>
  <c r="V172" i="94"/>
  <c r="V143" i="94"/>
  <c r="V127" i="91"/>
  <c r="V164" i="87"/>
  <c r="V95" i="89"/>
  <c r="V65" i="88"/>
  <c r="V97" i="93"/>
  <c r="V164" i="92"/>
  <c r="V85" i="92"/>
  <c r="V91" i="91"/>
  <c r="U13" i="89"/>
  <c r="U14" i="89" s="1"/>
  <c r="V74" i="94"/>
  <c r="U9" i="93"/>
  <c r="U10" i="93" s="1"/>
  <c r="V155" i="93"/>
  <c r="Q188" i="92"/>
  <c r="V130" i="92"/>
  <c r="V97" i="91"/>
  <c r="V64" i="88"/>
  <c r="U17" i="88"/>
  <c r="U18" i="88" s="1"/>
  <c r="V73" i="83"/>
  <c r="U39" i="93"/>
  <c r="U40" i="93" s="1"/>
  <c r="V129" i="89"/>
  <c r="V90" i="92"/>
  <c r="V100" i="92"/>
  <c r="V165" i="94"/>
  <c r="U17" i="94"/>
  <c r="U18" i="94" s="1"/>
  <c r="V128" i="91"/>
  <c r="V121" i="94"/>
  <c r="V168" i="74"/>
  <c r="V131" i="87"/>
  <c r="V116" i="85"/>
  <c r="V97" i="92"/>
  <c r="V83" i="85"/>
  <c r="V180" i="91"/>
  <c r="U35" i="94"/>
  <c r="U36" i="94" s="1"/>
  <c r="V170" i="92"/>
  <c r="V127" i="83"/>
  <c r="V115" i="92"/>
  <c r="V66" i="87"/>
  <c r="U57" i="81"/>
  <c r="U58" i="81" s="1"/>
  <c r="V170" i="74"/>
  <c r="V157" i="93"/>
  <c r="V69" i="88"/>
  <c r="V135" i="93"/>
  <c r="U41" i="87"/>
  <c r="U42" i="87" s="1"/>
  <c r="V182" i="89"/>
  <c r="V163" i="83"/>
  <c r="V78" i="74"/>
  <c r="U39" i="83"/>
  <c r="U40" i="83" s="1"/>
  <c r="U61" i="93"/>
  <c r="U62" i="93" s="1"/>
  <c r="V116" i="87"/>
  <c r="U41" i="91"/>
  <c r="U42" i="91" s="1"/>
  <c r="V171" i="82"/>
  <c r="V140" i="89"/>
  <c r="V85" i="91"/>
  <c r="V63" i="74"/>
  <c r="V87" i="92"/>
  <c r="V66" i="92"/>
  <c r="V84" i="93"/>
  <c r="U33" i="84"/>
  <c r="U34" i="84" s="1"/>
  <c r="V88" i="85"/>
  <c r="V65" i="87"/>
  <c r="U37" i="92"/>
  <c r="U38" i="92" s="1"/>
  <c r="V119" i="92"/>
  <c r="V108" i="92"/>
  <c r="U33" i="94"/>
  <c r="U34" i="94" s="1"/>
  <c r="V163" i="91"/>
  <c r="U21" i="87"/>
  <c r="U22" i="87" s="1"/>
  <c r="V168" i="93"/>
  <c r="V130" i="85"/>
  <c r="V165" i="85"/>
  <c r="V98" i="88"/>
  <c r="U51" i="94"/>
  <c r="U52" i="94" s="1"/>
  <c r="V103" i="91"/>
  <c r="V87" i="93"/>
  <c r="V96" i="87"/>
  <c r="V109" i="94"/>
  <c r="V142" i="91"/>
  <c r="V73" i="94"/>
  <c r="V179" i="94"/>
  <c r="V177" i="94"/>
  <c r="U15" i="87"/>
  <c r="U16" i="87" s="1"/>
  <c r="V175" i="93"/>
  <c r="V91" i="94"/>
  <c r="U43" i="91"/>
  <c r="U44" i="91" s="1"/>
  <c r="U53" i="94"/>
  <c r="U54" i="94" s="1"/>
  <c r="V158" i="92"/>
  <c r="V66" i="88"/>
  <c r="V65" i="85"/>
  <c r="U39" i="94"/>
  <c r="U40" i="94" s="1"/>
  <c r="V150" i="87"/>
  <c r="V162" i="89"/>
  <c r="V178" i="92"/>
  <c r="V152" i="87"/>
  <c r="V87" i="81"/>
  <c r="V150" i="93"/>
  <c r="V148" i="81"/>
  <c r="V120" i="92"/>
  <c r="U43" i="94"/>
  <c r="U44" i="94" s="1"/>
  <c r="V86" i="89"/>
  <c r="V148" i="84"/>
  <c r="U53" i="89"/>
  <c r="U54" i="89" s="1"/>
  <c r="V147" i="93"/>
  <c r="U39" i="89"/>
  <c r="U40" i="89" s="1"/>
  <c r="V121" i="92"/>
  <c r="U45" i="92"/>
  <c r="U46" i="92" s="1"/>
  <c r="V90" i="82"/>
  <c r="V84" i="94"/>
  <c r="U57" i="93"/>
  <c r="U58" i="93" s="1"/>
  <c r="U35" i="92"/>
  <c r="U36" i="92" s="1"/>
  <c r="V69" i="92"/>
  <c r="U31" i="87"/>
  <c r="U32" i="87" s="1"/>
  <c r="V165" i="74"/>
  <c r="V127" i="85"/>
  <c r="V123" i="94"/>
  <c r="U25" i="87"/>
  <c r="U26" i="87" s="1"/>
  <c r="U29" i="82"/>
  <c r="U30" i="82" s="1"/>
  <c r="V130" i="91"/>
  <c r="V111" i="89"/>
  <c r="V72" i="89"/>
  <c r="V146" i="92"/>
  <c r="V71" i="93"/>
  <c r="V100" i="93"/>
  <c r="U13" i="94"/>
  <c r="U14" i="94" s="1"/>
  <c r="U45" i="93"/>
  <c r="U46" i="93" s="1"/>
  <c r="V167" i="81"/>
  <c r="V134" i="93"/>
  <c r="V155" i="94"/>
  <c r="V131" i="92"/>
  <c r="V163" i="92"/>
  <c r="V132" i="89"/>
  <c r="V142" i="92"/>
  <c r="V128" i="74"/>
  <c r="V114" i="94"/>
  <c r="V176" i="85"/>
  <c r="V111" i="93"/>
  <c r="V112" i="92"/>
  <c r="U37" i="94"/>
  <c r="U38" i="94" s="1"/>
  <c r="V123" i="87"/>
  <c r="V174" i="88"/>
  <c r="U35" i="85"/>
  <c r="U36" i="85" s="1"/>
  <c r="V117" i="89"/>
  <c r="V148" i="91"/>
  <c r="V173" i="83"/>
  <c r="V106" i="94"/>
  <c r="V91" i="82"/>
  <c r="U9" i="92"/>
  <c r="U10" i="92" s="1"/>
  <c r="V91" i="87"/>
  <c r="V146" i="82"/>
  <c r="V145" i="93"/>
  <c r="V72" i="93"/>
  <c r="U59" i="87"/>
  <c r="U60" i="87" s="1"/>
  <c r="V153" i="88"/>
  <c r="V165" i="84"/>
  <c r="V77" i="94"/>
  <c r="U59" i="88"/>
  <c r="U60" i="88" s="1"/>
  <c r="V158" i="83"/>
  <c r="V140" i="94"/>
  <c r="V68" i="94"/>
  <c r="V148" i="87"/>
  <c r="V83" i="93"/>
  <c r="V84" i="91"/>
  <c r="U51" i="87"/>
  <c r="U52" i="87" s="1"/>
  <c r="V101" i="92"/>
  <c r="V166" i="81"/>
  <c r="V148" i="92"/>
  <c r="V121" i="74"/>
  <c r="V148" i="88"/>
  <c r="V95" i="94"/>
  <c r="V98" i="92"/>
  <c r="V66" i="85"/>
  <c r="V108" i="94"/>
  <c r="V96" i="88"/>
  <c r="V176" i="87"/>
  <c r="V144" i="88"/>
  <c r="V136" i="88"/>
  <c r="U39" i="82"/>
  <c r="U40" i="82" s="1"/>
  <c r="V169" i="85"/>
  <c r="V119" i="94"/>
  <c r="V130" i="94"/>
  <c r="V83" i="94"/>
  <c r="V110" i="92"/>
  <c r="V153" i="91"/>
  <c r="U47" i="89"/>
  <c r="U48" i="89" s="1"/>
  <c r="V89" i="89"/>
  <c r="V122" i="87"/>
  <c r="V175" i="85"/>
  <c r="V152" i="85"/>
  <c r="V172" i="88"/>
  <c r="V106" i="92"/>
  <c r="V78" i="92"/>
  <c r="V134" i="74"/>
  <c r="V76" i="91"/>
  <c r="U55" i="94"/>
  <c r="U56" i="94" s="1"/>
  <c r="V96" i="93"/>
  <c r="V89" i="94"/>
  <c r="V133" i="93"/>
  <c r="V87" i="87"/>
  <c r="V179" i="91"/>
  <c r="V104" i="93"/>
  <c r="V146" i="89"/>
  <c r="V156" i="93"/>
  <c r="V116" i="92"/>
  <c r="V169" i="89"/>
  <c r="U31" i="92"/>
  <c r="U32" i="92" s="1"/>
  <c r="U43" i="92"/>
  <c r="U44" i="92" s="1"/>
  <c r="V177" i="89"/>
  <c r="V134" i="82"/>
  <c r="V103" i="89"/>
  <c r="V75" i="88"/>
  <c r="V85" i="94"/>
  <c r="V99" i="84"/>
  <c r="V112" i="83"/>
  <c r="V69" i="89"/>
  <c r="V146" i="94"/>
  <c r="V177" i="92"/>
  <c r="V123" i="92"/>
  <c r="V76" i="89"/>
  <c r="U41" i="92"/>
  <c r="U42" i="92" s="1"/>
  <c r="V70" i="92"/>
  <c r="V69" i="74"/>
  <c r="V153" i="82"/>
  <c r="V74" i="92"/>
  <c r="U29" i="94"/>
  <c r="U30" i="94" s="1"/>
  <c r="V180" i="84"/>
  <c r="V173" i="87"/>
  <c r="V121" i="88"/>
  <c r="V114" i="85"/>
  <c r="V84" i="89"/>
  <c r="V143" i="85"/>
  <c r="U17" i="85"/>
  <c r="U18" i="85" s="1"/>
  <c r="U19" i="91"/>
  <c r="U20" i="91" s="1"/>
  <c r="V175" i="81"/>
  <c r="V103" i="94"/>
  <c r="V101" i="94"/>
  <c r="U19" i="89"/>
  <c r="U20" i="89" s="1"/>
  <c r="V145" i="94"/>
  <c r="V154" i="92"/>
  <c r="V104" i="92"/>
  <c r="V139" i="93"/>
  <c r="V124" i="91"/>
  <c r="V115" i="87"/>
  <c r="V141" i="81"/>
  <c r="V84" i="88"/>
  <c r="Q187" i="94"/>
  <c r="V125" i="94"/>
  <c r="V158" i="88"/>
  <c r="V154" i="94"/>
  <c r="V182" i="93"/>
  <c r="V117" i="94"/>
  <c r="V150" i="92"/>
  <c r="V135" i="92"/>
  <c r="V141" i="87"/>
  <c r="V80" i="85"/>
  <c r="V154" i="81"/>
  <c r="V96" i="85"/>
  <c r="V155" i="85"/>
  <c r="U17" i="91"/>
  <c r="U18" i="91" s="1"/>
  <c r="V106" i="82"/>
  <c r="U15" i="94"/>
  <c r="U16" i="94" s="1"/>
  <c r="V146" i="93"/>
  <c r="V163" i="93"/>
  <c r="V147" i="89"/>
  <c r="V124" i="93"/>
  <c r="V93" i="93"/>
  <c r="V95" i="88"/>
  <c r="V127" i="81"/>
  <c r="V79" i="94"/>
  <c r="V137" i="92"/>
  <c r="V175" i="94"/>
  <c r="U41" i="89"/>
  <c r="U42" i="89" s="1"/>
  <c r="V72" i="92"/>
  <c r="V146" i="91"/>
  <c r="V107" i="87"/>
  <c r="U19" i="82"/>
  <c r="U20" i="82" s="1"/>
  <c r="U27" i="93"/>
  <c r="U28" i="93" s="1"/>
  <c r="V80" i="93"/>
  <c r="V110" i="87"/>
  <c r="V112" i="91"/>
  <c r="Q187" i="93"/>
  <c r="V155" i="84"/>
  <c r="V175" i="91"/>
  <c r="V103" i="87"/>
  <c r="V136" i="92"/>
  <c r="V64" i="94"/>
  <c r="V65" i="94"/>
  <c r="V127" i="84"/>
  <c r="V176" i="89"/>
  <c r="V76" i="87"/>
  <c r="U17" i="92"/>
  <c r="U18" i="92" s="1"/>
  <c r="V182" i="92"/>
  <c r="V82" i="88"/>
  <c r="V139" i="81"/>
  <c r="V108" i="88"/>
  <c r="V66" i="83"/>
  <c r="V149" i="85"/>
  <c r="V102" i="87"/>
  <c r="V111" i="94"/>
  <c r="U39" i="84"/>
  <c r="U40" i="84" s="1"/>
  <c r="V86" i="84"/>
  <c r="V113" i="88"/>
  <c r="V166" i="82"/>
  <c r="V169" i="82"/>
  <c r="V71" i="91"/>
  <c r="V71" i="94"/>
  <c r="V107" i="94"/>
  <c r="V165" i="82"/>
  <c r="U25" i="94"/>
  <c r="U26" i="94" s="1"/>
  <c r="V102" i="91"/>
  <c r="V88" i="88"/>
  <c r="V168" i="92"/>
  <c r="U27" i="92"/>
  <c r="U28" i="92" s="1"/>
  <c r="V131" i="94"/>
  <c r="V92" i="93"/>
  <c r="V160" i="85"/>
  <c r="V140" i="88"/>
  <c r="V68" i="84"/>
  <c r="U53" i="87"/>
  <c r="U54" i="87" s="1"/>
  <c r="V115" i="93"/>
  <c r="V103" i="93"/>
  <c r="V75" i="93"/>
  <c r="V63" i="94"/>
  <c r="V120" i="83"/>
  <c r="U59" i="93"/>
  <c r="U60" i="93" s="1"/>
  <c r="U13" i="92"/>
  <c r="U14" i="92" s="1"/>
  <c r="V147" i="92"/>
  <c r="V120" i="93"/>
  <c r="V167" i="88"/>
  <c r="V140" i="87"/>
  <c r="V107" i="88"/>
  <c r="V75" i="92"/>
  <c r="V79" i="93"/>
  <c r="V113" i="84"/>
  <c r="U11" i="88"/>
  <c r="U12" i="88" s="1"/>
  <c r="V110" i="94"/>
  <c r="V169" i="83"/>
  <c r="V99" i="94"/>
  <c r="V138" i="89"/>
  <c r="U45" i="88"/>
  <c r="U46" i="88" s="1"/>
  <c r="V123" i="88"/>
  <c r="V168" i="94"/>
  <c r="V80" i="89"/>
  <c r="V94" i="82"/>
  <c r="V125" i="93"/>
  <c r="V128" i="87"/>
  <c r="V109" i="87"/>
  <c r="U23" i="93"/>
  <c r="U24" i="93" s="1"/>
  <c r="V94" i="91"/>
  <c r="V157" i="88"/>
  <c r="U15" i="93"/>
  <c r="U16" i="93" s="1"/>
  <c r="V83" i="84"/>
  <c r="V73" i="93"/>
  <c r="V94" i="93"/>
  <c r="V156" i="89"/>
  <c r="V83" i="89"/>
  <c r="U45" i="94"/>
  <c r="U46" i="94" s="1"/>
  <c r="V133" i="92"/>
  <c r="V77" i="93"/>
  <c r="V134" i="88"/>
  <c r="V141" i="92"/>
  <c r="V128" i="89"/>
  <c r="U43" i="93"/>
  <c r="U44" i="93" s="1"/>
  <c r="V170" i="93"/>
  <c r="V105" i="91"/>
  <c r="U13" i="93"/>
  <c r="U14" i="93" s="1"/>
  <c r="Q187" i="83"/>
  <c r="V97" i="89"/>
  <c r="U33" i="74"/>
  <c r="U34" i="74" s="1"/>
  <c r="U43" i="89"/>
  <c r="U44" i="89" s="1"/>
  <c r="V143" i="81"/>
  <c r="V70" i="94"/>
  <c r="V165" i="88"/>
  <c r="V158" i="94"/>
  <c r="T33" i="83"/>
  <c r="T45" i="92"/>
  <c r="T45" i="81"/>
  <c r="T33" i="94"/>
  <c r="T33" i="87"/>
  <c r="T45" i="83"/>
  <c r="T33" i="93"/>
  <c r="T33" i="92"/>
  <c r="T33" i="81"/>
  <c r="T45" i="74"/>
  <c r="T45" i="89"/>
  <c r="T45" i="87"/>
  <c r="T45" i="84"/>
  <c r="T45" i="93"/>
  <c r="T45" i="82"/>
  <c r="T33" i="91"/>
  <c r="T33" i="74"/>
  <c r="T33" i="89"/>
  <c r="T45" i="85"/>
  <c r="T33" i="84"/>
  <c r="T33" i="82"/>
  <c r="T45" i="91"/>
  <c r="T45" i="94"/>
  <c r="T33" i="85"/>
  <c r="Q189" i="93" l="1"/>
  <c r="Q191" i="93"/>
  <c r="Q192" i="89"/>
  <c r="Q190" i="89"/>
  <c r="Q189" i="89"/>
  <c r="Q191" i="89"/>
  <c r="Q189" i="91"/>
  <c r="Q191" i="91"/>
  <c r="Q192" i="92"/>
  <c r="Q190" i="92"/>
  <c r="Q189" i="74"/>
  <c r="Q191" i="74"/>
  <c r="Q191" i="88"/>
  <c r="Q189" i="88"/>
  <c r="Q192" i="83"/>
  <c r="Q190" i="83"/>
  <c r="Q192" i="94"/>
  <c r="Q190" i="94"/>
  <c r="Q189" i="82"/>
  <c r="Q191" i="82"/>
  <c r="Q190" i="82"/>
  <c r="Q192" i="82"/>
  <c r="Q191" i="85"/>
  <c r="Q189" i="85"/>
  <c r="Q192" i="74"/>
  <c r="Q190" i="74"/>
  <c r="Q189" i="87"/>
  <c r="Q191" i="87"/>
  <c r="Q191" i="83"/>
  <c r="Q189" i="83"/>
  <c r="Q192" i="87"/>
  <c r="Q190" i="87"/>
  <c r="Q189" i="92"/>
  <c r="Q191" i="92"/>
  <c r="Q192" i="91"/>
  <c r="Q190" i="91"/>
  <c r="Q191" i="81"/>
  <c r="Q189" i="81"/>
  <c r="Q190" i="93"/>
  <c r="Q192" i="93"/>
  <c r="Q189" i="94"/>
  <c r="Q191" i="94"/>
  <c r="Q191" i="84"/>
  <c r="Q189" i="84"/>
  <c r="Q192" i="84"/>
  <c r="Q190" i="84"/>
  <c r="Q192" i="81"/>
  <c r="Q190" i="81"/>
  <c r="Q190" i="88"/>
  <c r="Q192" i="88"/>
  <c r="Q190" i="85"/>
  <c r="Q192"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43497E6C-4608-44BA-BFA3-2CDCC6693EA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F5B5C0B1-B1A6-47BB-BFB2-13D2CF4D45B2}">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38C59847-67F7-42C0-B16D-4FF1ABB2578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E20F2932-DA61-48B0-A43A-40465AAD6479}">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0026D1E6-D6F1-4773-A85B-3C4F2FE9CA0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D9019E7-61A2-41BA-A085-C0FD338AB94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F22C904-7253-4207-9F8B-E23D3EEFEF4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14E5DB5-2BF5-4619-91E4-F7DAA1A9AA8C}">
      <text>
        <r>
          <rPr>
            <b/>
            <sz val="9"/>
            <color indexed="81"/>
            <rFont val="Tahoma"/>
            <family val="2"/>
          </rPr>
          <t>Andreas Helk | Viegand Maagøe:</t>
        </r>
        <r>
          <rPr>
            <sz val="9"/>
            <color indexed="81"/>
            <rFont val="Tahoma"/>
            <family val="2"/>
          </rPr>
          <t xml:space="preserve">
Consider looking into updating these</t>
        </r>
      </text>
    </comment>
    <comment ref="X6" authorId="1" shapeId="0" xr:uid="{18FC73E4-06D0-4EA7-9967-53C1D4C86AA7}">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CED2289-0F20-48FE-90F3-19133E3018CC}">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E7CC212B-FA44-40FF-9300-8CC0B9195480}">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E527C9A-2CCF-4572-9D78-D468D86A0555}">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76A5874-D382-41E7-A49E-380467BEA8E4}">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6D81CD49-DAFD-4B55-81E3-FD40311FF897}">
      <text>
        <r>
          <rPr>
            <b/>
            <sz val="9"/>
            <color indexed="81"/>
            <rFont val="Tahoma"/>
            <family val="2"/>
          </rPr>
          <t>Stefan Petrovic:</t>
        </r>
        <r>
          <rPr>
            <sz val="9"/>
            <color indexed="81"/>
            <rFont val="Tahoma"/>
            <family val="2"/>
          </rPr>
          <t xml:space="preserve">
=L6*0.95 was previously</t>
        </r>
      </text>
    </comment>
    <comment ref="O188" authorId="2" shapeId="0" xr:uid="{265EC63A-D471-4BF3-9C70-E1ECBBD2BC96}">
      <text>
        <r>
          <rPr>
            <b/>
            <sz val="9"/>
            <color indexed="81"/>
            <rFont val="Tahoma"/>
            <family val="2"/>
          </rPr>
          <t>Stefan Petrovic:</t>
        </r>
        <r>
          <rPr>
            <sz val="9"/>
            <color indexed="81"/>
            <rFont val="Tahoma"/>
            <family val="2"/>
          </rPr>
          <t xml:space="preserve">
=L6*0.95 was previously</t>
        </r>
      </text>
    </comment>
    <comment ref="O189" authorId="2" shapeId="0" xr:uid="{49BB574B-AE43-4833-B3A5-7BF6F4B06C91}">
      <text>
        <r>
          <rPr>
            <b/>
            <sz val="9"/>
            <color indexed="81"/>
            <rFont val="Tahoma"/>
            <family val="2"/>
          </rPr>
          <t>Stefan Petrovic:</t>
        </r>
        <r>
          <rPr>
            <sz val="9"/>
            <color indexed="81"/>
            <rFont val="Tahoma"/>
            <family val="2"/>
          </rPr>
          <t xml:space="preserve">
=L6*0.95 was previously</t>
        </r>
      </text>
    </comment>
    <comment ref="O190" authorId="2" shapeId="0" xr:uid="{BC9783B0-3049-46A9-8F7C-EFF0711796FB}">
      <text>
        <r>
          <rPr>
            <b/>
            <sz val="9"/>
            <color indexed="81"/>
            <rFont val="Tahoma"/>
            <family val="2"/>
          </rPr>
          <t>Stefan Petrovic:</t>
        </r>
        <r>
          <rPr>
            <sz val="9"/>
            <color indexed="81"/>
            <rFont val="Tahoma"/>
            <family val="2"/>
          </rPr>
          <t xml:space="preserve">
=L6*0.95 was previously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600E1158-5989-44E8-8774-7198BB9959EE}">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68ECDF4C-977A-44C5-AC89-0133FE4DF86C}">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5AEB1801-E985-4339-A65E-09618A25CEA1}">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83C8CDF-F666-4BF2-8D0E-D79C15107851}">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64A1FD79-910A-4163-A3AF-5FEFF631785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5AE65CF-ECA2-4BCA-BDB1-098CA6C5E01E}">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C7EC3203-38DA-49D8-A3C6-78EFFB75510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B251B711-2985-466B-A489-87DB7597EA19}">
      <text>
        <r>
          <rPr>
            <b/>
            <sz val="9"/>
            <color indexed="81"/>
            <rFont val="Tahoma"/>
            <family val="2"/>
          </rPr>
          <t>Andreas Helk | Viegand Maagøe:</t>
        </r>
        <r>
          <rPr>
            <sz val="9"/>
            <color indexed="81"/>
            <rFont val="Tahoma"/>
            <family val="2"/>
          </rPr>
          <t xml:space="preserve">
Consider looking into updating these</t>
        </r>
      </text>
    </comment>
    <comment ref="X6" authorId="1" shapeId="0" xr:uid="{3501BC31-EC74-4C50-B4F6-DD9B4B23961F}">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6DE4EF3-3052-4098-A58C-F5119758AFF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8670D9D7-E6DB-4330-8BAA-73E681BD48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F4C7DB4-1738-4524-B0F1-C37D24E9252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2791778-C286-4B44-8888-6AF32276D1E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ECB74CA-E273-40C8-AD81-3CA16F0B3ED8}">
      <text>
        <r>
          <rPr>
            <b/>
            <sz val="9"/>
            <color indexed="81"/>
            <rFont val="Tahoma"/>
            <family val="2"/>
          </rPr>
          <t>Stefan Petrovic:</t>
        </r>
        <r>
          <rPr>
            <sz val="9"/>
            <color indexed="81"/>
            <rFont val="Tahoma"/>
            <family val="2"/>
          </rPr>
          <t xml:space="preserve">
=L6*0.95 was previously</t>
        </r>
      </text>
    </comment>
    <comment ref="O188" authorId="2" shapeId="0" xr:uid="{C6FBE8DF-062E-47D0-B8DA-1214BA0F2BFE}">
      <text>
        <r>
          <rPr>
            <b/>
            <sz val="9"/>
            <color indexed="81"/>
            <rFont val="Tahoma"/>
            <family val="2"/>
          </rPr>
          <t>Stefan Petrovic:</t>
        </r>
        <r>
          <rPr>
            <sz val="9"/>
            <color indexed="81"/>
            <rFont val="Tahoma"/>
            <family val="2"/>
          </rPr>
          <t xml:space="preserve">
=L6*0.95 was previously</t>
        </r>
      </text>
    </comment>
    <comment ref="O189" authorId="2" shapeId="0" xr:uid="{5165CED6-5D1D-44DA-BB14-3BB4FFC87297}">
      <text>
        <r>
          <rPr>
            <b/>
            <sz val="9"/>
            <color indexed="81"/>
            <rFont val="Tahoma"/>
            <family val="2"/>
          </rPr>
          <t>Stefan Petrovic:</t>
        </r>
        <r>
          <rPr>
            <sz val="9"/>
            <color indexed="81"/>
            <rFont val="Tahoma"/>
            <family val="2"/>
          </rPr>
          <t xml:space="preserve">
=L6*0.95 was previously</t>
        </r>
      </text>
    </comment>
    <comment ref="O190" authorId="2" shapeId="0" xr:uid="{85B63F13-5F28-4B22-91C9-C038BA13A389}">
      <text>
        <r>
          <rPr>
            <b/>
            <sz val="9"/>
            <color indexed="81"/>
            <rFont val="Tahoma"/>
            <family val="2"/>
          </rPr>
          <t>Stefan Petrovic:</t>
        </r>
        <r>
          <rPr>
            <sz val="9"/>
            <color indexed="81"/>
            <rFont val="Tahoma"/>
            <family val="2"/>
          </rPr>
          <t xml:space="preserve">
=L6*0.95 was previously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52011D9-B042-47E3-93A1-6F0593ABEB99}">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F858288-F4DD-4949-89CF-0613B3907A5D}">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20D3FCD-2A97-41A1-92AB-52A67225F77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0D1B1488-7107-43F2-954F-4C1431DF0FF2}">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C579EC3F-9BCD-4408-9079-65DD69AF40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DA521BF6-F582-4FE9-9E36-59F956469F0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4BFEA38-8471-42AC-9661-4CC03B3C70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3DD7BADB-FAC7-468C-ABAB-6A849771AF22}">
      <text>
        <r>
          <rPr>
            <b/>
            <sz val="9"/>
            <color indexed="81"/>
            <rFont val="Tahoma"/>
            <family val="2"/>
          </rPr>
          <t>Andreas Helk | Viegand Maagøe:</t>
        </r>
        <r>
          <rPr>
            <sz val="9"/>
            <color indexed="81"/>
            <rFont val="Tahoma"/>
            <family val="2"/>
          </rPr>
          <t xml:space="preserve">
Consider looking into updating these</t>
        </r>
      </text>
    </comment>
    <comment ref="X6" authorId="1" shapeId="0" xr:uid="{F7546FE5-F1A0-478A-BD8E-15A9B1F4FBEC}">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8A37660-A11B-40CA-9D11-EFA22C35AF0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9E4ED93A-9595-4AC0-9B79-DE2D4065A794}">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9BFD39A-11D2-4658-A1BF-2982FFF873D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8F2FD18B-0D3A-4F80-A839-6967E36C024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A6FC0EF-686B-4F1C-893E-74999219BEBF}">
      <text>
        <r>
          <rPr>
            <b/>
            <sz val="9"/>
            <color indexed="81"/>
            <rFont val="Tahoma"/>
            <family val="2"/>
          </rPr>
          <t>Stefan Petrovic:</t>
        </r>
        <r>
          <rPr>
            <sz val="9"/>
            <color indexed="81"/>
            <rFont val="Tahoma"/>
            <family val="2"/>
          </rPr>
          <t xml:space="preserve">
=L6*0.95 was previously</t>
        </r>
      </text>
    </comment>
    <comment ref="O188" authorId="2" shapeId="0" xr:uid="{86E26CD9-8841-4186-A925-6D6BDD5BC0DA}">
      <text>
        <r>
          <rPr>
            <b/>
            <sz val="9"/>
            <color indexed="81"/>
            <rFont val="Tahoma"/>
            <family val="2"/>
          </rPr>
          <t>Stefan Petrovic:</t>
        </r>
        <r>
          <rPr>
            <sz val="9"/>
            <color indexed="81"/>
            <rFont val="Tahoma"/>
            <family val="2"/>
          </rPr>
          <t xml:space="preserve">
=L6*0.95 was previously</t>
        </r>
      </text>
    </comment>
    <comment ref="O189" authorId="2" shapeId="0" xr:uid="{B8BE1263-D2C3-4A14-9765-977AC3F73151}">
      <text>
        <r>
          <rPr>
            <b/>
            <sz val="9"/>
            <color indexed="81"/>
            <rFont val="Tahoma"/>
            <family val="2"/>
          </rPr>
          <t>Stefan Petrovic:</t>
        </r>
        <r>
          <rPr>
            <sz val="9"/>
            <color indexed="81"/>
            <rFont val="Tahoma"/>
            <family val="2"/>
          </rPr>
          <t xml:space="preserve">
=L6*0.95 was previously</t>
        </r>
      </text>
    </comment>
    <comment ref="O190" authorId="2" shapeId="0" xr:uid="{66397159-5048-4899-B3B9-C0E99F914ACC}">
      <text>
        <r>
          <rPr>
            <b/>
            <sz val="9"/>
            <color indexed="81"/>
            <rFont val="Tahoma"/>
            <family val="2"/>
          </rPr>
          <t>Stefan Petrovic:</t>
        </r>
        <r>
          <rPr>
            <sz val="9"/>
            <color indexed="81"/>
            <rFont val="Tahoma"/>
            <family val="2"/>
          </rPr>
          <t xml:space="preserve">
=L6*0.95 was previously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4C7C45C-8C45-42C0-8DC0-A9426DBC95B5}">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1FE0B6B-F2BE-4667-817A-3DDEB2E01C9A}">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7B533D42-8326-4084-ABF7-78CCD2D94B80}">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45B8FA0D-33C0-4523-9D0A-6CB2ABEB555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2C55255-CE6E-484E-B28D-60B4EB5F16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2B5DB79F-0E8E-44E1-90C6-AFF0DF7A139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A5CE325-23C2-488D-AC4C-644BA6C5B31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5E7A6C5-49AA-4D56-8D5C-ED7222600501}">
      <text>
        <r>
          <rPr>
            <b/>
            <sz val="9"/>
            <color indexed="81"/>
            <rFont val="Tahoma"/>
            <family val="2"/>
          </rPr>
          <t>Andreas Helk | Viegand Maagøe:</t>
        </r>
        <r>
          <rPr>
            <sz val="9"/>
            <color indexed="81"/>
            <rFont val="Tahoma"/>
            <family val="2"/>
          </rPr>
          <t xml:space="preserve">
Consider looking into updating these</t>
        </r>
      </text>
    </comment>
    <comment ref="X6" authorId="1" shapeId="0" xr:uid="{5CF03B10-98C6-4C24-B972-FD143D93CF51}">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0648A574-8BD0-402B-ADAB-79DE7E7CC495}">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438E0E8-2F86-4E95-8846-44FAF1171B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96DE96C-D148-4355-B5C7-430E53EA2808}">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2DD2C59-9BD9-44F4-90CE-0B5C9F0D7ABC}">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F063CC21-A29D-4630-AE05-CA25C146C9CB}">
      <text>
        <r>
          <rPr>
            <b/>
            <sz val="9"/>
            <color indexed="81"/>
            <rFont val="Tahoma"/>
            <family val="2"/>
          </rPr>
          <t>Stefan Petrovic:</t>
        </r>
        <r>
          <rPr>
            <sz val="9"/>
            <color indexed="81"/>
            <rFont val="Tahoma"/>
            <family val="2"/>
          </rPr>
          <t xml:space="preserve">
=L6*0.95 was previously</t>
        </r>
      </text>
    </comment>
    <comment ref="O188" authorId="2" shapeId="0" xr:uid="{5405ABC6-97F8-46CB-8779-C6AC86ADE679}">
      <text>
        <r>
          <rPr>
            <b/>
            <sz val="9"/>
            <color indexed="81"/>
            <rFont val="Tahoma"/>
            <family val="2"/>
          </rPr>
          <t>Stefan Petrovic:</t>
        </r>
        <r>
          <rPr>
            <sz val="9"/>
            <color indexed="81"/>
            <rFont val="Tahoma"/>
            <family val="2"/>
          </rPr>
          <t xml:space="preserve">
=L6*0.95 was previously</t>
        </r>
      </text>
    </comment>
    <comment ref="O189" authorId="2" shapeId="0" xr:uid="{9E844F40-4A9E-4276-8C41-FA16892C2CF1}">
      <text>
        <r>
          <rPr>
            <b/>
            <sz val="9"/>
            <color indexed="81"/>
            <rFont val="Tahoma"/>
            <family val="2"/>
          </rPr>
          <t>Stefan Petrovic:</t>
        </r>
        <r>
          <rPr>
            <sz val="9"/>
            <color indexed="81"/>
            <rFont val="Tahoma"/>
            <family val="2"/>
          </rPr>
          <t xml:space="preserve">
=L6*0.95 was previously</t>
        </r>
      </text>
    </comment>
    <comment ref="O190" authorId="2" shapeId="0" xr:uid="{2AEE4F0B-9C8C-4586-9B46-37520A50F31F}">
      <text>
        <r>
          <rPr>
            <b/>
            <sz val="9"/>
            <color indexed="81"/>
            <rFont val="Tahoma"/>
            <family val="2"/>
          </rPr>
          <t>Stefan Petrovic:</t>
        </r>
        <r>
          <rPr>
            <sz val="9"/>
            <color indexed="81"/>
            <rFont val="Tahoma"/>
            <family val="2"/>
          </rPr>
          <t xml:space="preserve">
=L6*0.95 was previously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F273E3A-5346-4B39-AA0A-A35B47FCA1A6}">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E195574D-C2D7-4C5D-B0F6-458B9409F08E}">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8F1657-83D8-4349-9210-87AAE28A7092}">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0A0EB7-4EC0-4D4D-B3CA-705059B8B9CE}">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8DAB4D16-A8FF-42A4-9D17-C2F95089A83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C060F74-5E77-4AF4-AE50-FBE308760B54}">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A1F3A8F-3448-4E80-B92C-89DA7A5BFBC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93486E90-4DD1-4040-BE97-B111096972C5}">
      <text>
        <r>
          <rPr>
            <b/>
            <sz val="9"/>
            <color indexed="81"/>
            <rFont val="Tahoma"/>
            <family val="2"/>
          </rPr>
          <t>Andreas Helk | Viegand Maagøe:</t>
        </r>
        <r>
          <rPr>
            <sz val="9"/>
            <color indexed="81"/>
            <rFont val="Tahoma"/>
            <family val="2"/>
          </rPr>
          <t xml:space="preserve">
Consider looking into updating these</t>
        </r>
      </text>
    </comment>
    <comment ref="X6" authorId="1" shapeId="0" xr:uid="{7C1E6E94-8420-4FB5-8E54-208D6B7058A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7A17CA5-8A78-43BA-9204-4C53501B9D8D}">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5CCBB69-F11D-4C67-9ADB-E570130CB7B2}">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42645429-B31C-4E13-BC31-50EA15D8A50D}">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AA50682-FD75-42C4-AC56-F46B0657493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B1EB51C-E7E2-4995-B222-F79A82F52F57}">
      <text>
        <r>
          <rPr>
            <b/>
            <sz val="9"/>
            <color indexed="81"/>
            <rFont val="Tahoma"/>
            <family val="2"/>
          </rPr>
          <t>Stefan Petrovic:</t>
        </r>
        <r>
          <rPr>
            <sz val="9"/>
            <color indexed="81"/>
            <rFont val="Tahoma"/>
            <family val="2"/>
          </rPr>
          <t xml:space="preserve">
=L6*0.95 was previously</t>
        </r>
      </text>
    </comment>
    <comment ref="O188" authorId="2" shapeId="0" xr:uid="{E79A6F49-DB70-4C6A-8D35-D65B79767924}">
      <text>
        <r>
          <rPr>
            <b/>
            <sz val="9"/>
            <color indexed="81"/>
            <rFont val="Tahoma"/>
            <family val="2"/>
          </rPr>
          <t>Stefan Petrovic:</t>
        </r>
        <r>
          <rPr>
            <sz val="9"/>
            <color indexed="81"/>
            <rFont val="Tahoma"/>
            <family val="2"/>
          </rPr>
          <t xml:space="preserve">
=L6*0.95 was previously</t>
        </r>
      </text>
    </comment>
    <comment ref="O189" authorId="2" shapeId="0" xr:uid="{E9D68678-99AE-4C55-BD11-5BC0C9D4A0BD}">
      <text>
        <r>
          <rPr>
            <b/>
            <sz val="9"/>
            <color indexed="81"/>
            <rFont val="Tahoma"/>
            <family val="2"/>
          </rPr>
          <t>Stefan Petrovic:</t>
        </r>
        <r>
          <rPr>
            <sz val="9"/>
            <color indexed="81"/>
            <rFont val="Tahoma"/>
            <family val="2"/>
          </rPr>
          <t xml:space="preserve">
=L6*0.95 was previously</t>
        </r>
      </text>
    </comment>
    <comment ref="O190" authorId="2" shapeId="0" xr:uid="{D0D08C5D-C26F-49E4-A726-617233367BAE}">
      <text>
        <r>
          <rPr>
            <b/>
            <sz val="9"/>
            <color indexed="81"/>
            <rFont val="Tahoma"/>
            <family val="2"/>
          </rPr>
          <t>Stefan Petrovic:</t>
        </r>
        <r>
          <rPr>
            <sz val="9"/>
            <color indexed="81"/>
            <rFont val="Tahoma"/>
            <family val="2"/>
          </rPr>
          <t xml:space="preserve">
=L6*0.95 was previously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08185F-2F93-4011-8795-D02A93081A7A}">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8397D8B5-25C6-4BBD-96DF-35C266FF4DC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6ECD4A-E91D-44C5-8952-ABDD55C4FD63}">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1E1F70-42C2-4C00-B7C6-D03537C97B5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A27B379A-E895-43DB-9028-18935D8BF788}">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08D4223E-6CD4-408C-B5F6-0D86201D0F90}">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5086099-E139-48A5-8AD9-42D45FAFA4B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58C6F082-37F4-429C-9D61-CE68244A56AF}">
      <text>
        <r>
          <rPr>
            <b/>
            <sz val="9"/>
            <color indexed="81"/>
            <rFont val="Tahoma"/>
            <family val="2"/>
          </rPr>
          <t>Andreas Helk | Viegand Maagøe:</t>
        </r>
        <r>
          <rPr>
            <sz val="9"/>
            <color indexed="81"/>
            <rFont val="Tahoma"/>
            <family val="2"/>
          </rPr>
          <t xml:space="preserve">
Consider looking into updating these</t>
        </r>
      </text>
    </comment>
    <comment ref="X6" authorId="1" shapeId="0" xr:uid="{A5315DF2-38C7-41BA-957A-14849011AAA4}">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AEEF78-561B-4794-891B-B1C5D94ACDD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DFD33FC-6B34-4C86-B419-A79D2053BA7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5BAEA73-4261-434D-A98F-38304B5C7CE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A69BAC0-E7ED-4A0B-AE4A-9312ADEAF11E}">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90AD6F01-21A3-4F96-A709-CD7A66072106}">
      <text>
        <r>
          <rPr>
            <b/>
            <sz val="9"/>
            <color indexed="81"/>
            <rFont val="Tahoma"/>
            <family val="2"/>
          </rPr>
          <t>Stefan Petrovic:</t>
        </r>
        <r>
          <rPr>
            <sz val="9"/>
            <color indexed="81"/>
            <rFont val="Tahoma"/>
            <family val="2"/>
          </rPr>
          <t xml:space="preserve">
=L6*0.95 was previously</t>
        </r>
      </text>
    </comment>
    <comment ref="O188" authorId="2" shapeId="0" xr:uid="{987454A3-CD1D-447A-AB80-84C41AAB6F73}">
      <text>
        <r>
          <rPr>
            <b/>
            <sz val="9"/>
            <color indexed="81"/>
            <rFont val="Tahoma"/>
            <family val="2"/>
          </rPr>
          <t>Stefan Petrovic:</t>
        </r>
        <r>
          <rPr>
            <sz val="9"/>
            <color indexed="81"/>
            <rFont val="Tahoma"/>
            <family val="2"/>
          </rPr>
          <t xml:space="preserve">
=L6*0.95 was previously</t>
        </r>
      </text>
    </comment>
    <comment ref="O189" authorId="2" shapeId="0" xr:uid="{60C2A763-15CB-4610-BDF7-D47D55A62022}">
      <text>
        <r>
          <rPr>
            <b/>
            <sz val="9"/>
            <color indexed="81"/>
            <rFont val="Tahoma"/>
            <family val="2"/>
          </rPr>
          <t>Stefan Petrovic:</t>
        </r>
        <r>
          <rPr>
            <sz val="9"/>
            <color indexed="81"/>
            <rFont val="Tahoma"/>
            <family val="2"/>
          </rPr>
          <t xml:space="preserve">
=L6*0.95 was previously</t>
        </r>
      </text>
    </comment>
    <comment ref="O190" authorId="2" shapeId="0" xr:uid="{EF32014E-1A93-4FF5-818E-E262A8217AC3}">
      <text>
        <r>
          <rPr>
            <b/>
            <sz val="9"/>
            <color indexed="81"/>
            <rFont val="Tahoma"/>
            <family val="2"/>
          </rPr>
          <t>Stefan Petrovic:</t>
        </r>
        <r>
          <rPr>
            <sz val="9"/>
            <color indexed="81"/>
            <rFont val="Tahoma"/>
            <family val="2"/>
          </rPr>
          <t xml:space="preserve">
=L6*0.95 was previously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3690B2E-24EF-4D15-A008-9ED14DE2DF6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388D2754-A640-45BB-AAB9-E45DAEA1436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6A938E01-DC38-4218-B6E4-7DD6A3FAB05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D916F4E7-933E-413C-85EA-61BAE07EBD2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0B4884B-23D3-4C45-8E8B-85F4CB978FB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AA03353-A173-4D29-BD5F-FBA91D1589D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4AF74174-A76E-44DD-8E1E-217E18A1EF7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D654D5FE-3B1D-42B6-AF6A-F5F17E55728B}">
      <text>
        <r>
          <rPr>
            <b/>
            <sz val="9"/>
            <color indexed="81"/>
            <rFont val="Tahoma"/>
            <family val="2"/>
          </rPr>
          <t>Andreas Helk | Viegand Maagøe:</t>
        </r>
        <r>
          <rPr>
            <sz val="9"/>
            <color indexed="81"/>
            <rFont val="Tahoma"/>
            <family val="2"/>
          </rPr>
          <t xml:space="preserve">
Consider looking into updating these</t>
        </r>
      </text>
    </comment>
    <comment ref="X6" authorId="1" shapeId="0" xr:uid="{C9132B04-53BA-4061-A563-8DC3ECF6717E}">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31CBF88-B5BC-4379-915B-67F556F1EFA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23A09425-CBB5-46CA-8D4B-5E49F8BE2B8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B5D06CB-DCEE-4771-A53F-AEFFD54CC08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F8552A4-548D-4B2F-B655-DBB4ECF9B9C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952B723-66B7-422F-A80A-10D4B2792703}">
      <text>
        <r>
          <rPr>
            <b/>
            <sz val="9"/>
            <color indexed="81"/>
            <rFont val="Tahoma"/>
            <family val="2"/>
          </rPr>
          <t>Stefan Petrovic:</t>
        </r>
        <r>
          <rPr>
            <sz val="9"/>
            <color indexed="81"/>
            <rFont val="Tahoma"/>
            <family val="2"/>
          </rPr>
          <t xml:space="preserve">
=L6*0.95 was previously</t>
        </r>
      </text>
    </comment>
    <comment ref="O188" authorId="2" shapeId="0" xr:uid="{7CC4959C-9109-4FC0-896F-30E0C5B85100}">
      <text>
        <r>
          <rPr>
            <b/>
            <sz val="9"/>
            <color indexed="81"/>
            <rFont val="Tahoma"/>
            <family val="2"/>
          </rPr>
          <t>Stefan Petrovic:</t>
        </r>
        <r>
          <rPr>
            <sz val="9"/>
            <color indexed="81"/>
            <rFont val="Tahoma"/>
            <family val="2"/>
          </rPr>
          <t xml:space="preserve">
=L6*0.95 was previously</t>
        </r>
      </text>
    </comment>
    <comment ref="O189" authorId="2" shapeId="0" xr:uid="{D587C85F-9A3F-46E6-8197-B896A61CB58D}">
      <text>
        <r>
          <rPr>
            <b/>
            <sz val="9"/>
            <color indexed="81"/>
            <rFont val="Tahoma"/>
            <family val="2"/>
          </rPr>
          <t>Stefan Petrovic:</t>
        </r>
        <r>
          <rPr>
            <sz val="9"/>
            <color indexed="81"/>
            <rFont val="Tahoma"/>
            <family val="2"/>
          </rPr>
          <t xml:space="preserve">
=L6*0.95 was previously</t>
        </r>
      </text>
    </comment>
    <comment ref="O190" authorId="2" shapeId="0" xr:uid="{AEF7F9FB-8CC4-41D0-A7E9-EB586B716615}">
      <text>
        <r>
          <rPr>
            <b/>
            <sz val="9"/>
            <color indexed="81"/>
            <rFont val="Tahoma"/>
            <family val="2"/>
          </rPr>
          <t>Stefan Petrovic:</t>
        </r>
        <r>
          <rPr>
            <sz val="9"/>
            <color indexed="81"/>
            <rFont val="Tahoma"/>
            <family val="2"/>
          </rPr>
          <t xml:space="preserve">
=L6*0.95 was previously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A1617627-C138-43E9-A0A4-EF1050DCDB13}">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D5A0CB4-B7DE-45BE-ABA6-CFA41009B45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C8C824AE-BE35-49DB-87D2-46868812E3F1}">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0C43482-A77B-4582-B456-89B1EFEAF13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408A313-1E79-422F-8E66-24240D4A9331}">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96D1F10-CFAD-4C29-881A-5EC388B7E758}">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8DD6600-4BA1-4FB1-9215-AEEB6A9C5A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EC48E0D9-ABC6-4516-B045-300AF4897B90}">
      <text>
        <r>
          <rPr>
            <b/>
            <sz val="9"/>
            <color indexed="81"/>
            <rFont val="Tahoma"/>
            <family val="2"/>
          </rPr>
          <t>Andreas Helk | Viegand Maagøe:</t>
        </r>
        <r>
          <rPr>
            <sz val="9"/>
            <color indexed="81"/>
            <rFont val="Tahoma"/>
            <family val="2"/>
          </rPr>
          <t xml:space="preserve">
Consider looking into updating these</t>
        </r>
      </text>
    </comment>
    <comment ref="X6" authorId="1" shapeId="0" xr:uid="{887823A2-0655-442F-AD40-A9BC20220C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3A950AF-A566-486A-8DBC-5D48876ED83A}">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9C6EDAD-FF12-4473-BBBC-6898657398F1}">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3908911-DD37-4205-83AC-B871D67ED1F7}">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2B8A97F-8DC5-4140-8600-585CD538E97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CEF71D6-D7F1-44FC-8B32-3C6DC2745E56}">
      <text>
        <r>
          <rPr>
            <b/>
            <sz val="9"/>
            <color indexed="81"/>
            <rFont val="Tahoma"/>
            <family val="2"/>
          </rPr>
          <t>Stefan Petrovic:</t>
        </r>
        <r>
          <rPr>
            <sz val="9"/>
            <color indexed="81"/>
            <rFont val="Tahoma"/>
            <family val="2"/>
          </rPr>
          <t xml:space="preserve">
=L6*0.95 was previously</t>
        </r>
      </text>
    </comment>
    <comment ref="O188" authorId="2" shapeId="0" xr:uid="{05A345C6-D0C1-46EE-8BD6-1F0C00787147}">
      <text>
        <r>
          <rPr>
            <b/>
            <sz val="9"/>
            <color indexed="81"/>
            <rFont val="Tahoma"/>
            <family val="2"/>
          </rPr>
          <t>Stefan Petrovic:</t>
        </r>
        <r>
          <rPr>
            <sz val="9"/>
            <color indexed="81"/>
            <rFont val="Tahoma"/>
            <family val="2"/>
          </rPr>
          <t xml:space="preserve">
=L6*0.95 was previously</t>
        </r>
      </text>
    </comment>
    <comment ref="O189" authorId="2" shapeId="0" xr:uid="{11CABE8B-56E8-4837-8A6F-D009CB3724A8}">
      <text>
        <r>
          <rPr>
            <b/>
            <sz val="9"/>
            <color indexed="81"/>
            <rFont val="Tahoma"/>
            <family val="2"/>
          </rPr>
          <t>Stefan Petrovic:</t>
        </r>
        <r>
          <rPr>
            <sz val="9"/>
            <color indexed="81"/>
            <rFont val="Tahoma"/>
            <family val="2"/>
          </rPr>
          <t xml:space="preserve">
=L6*0.95 was previously</t>
        </r>
      </text>
    </comment>
    <comment ref="O190" authorId="2" shapeId="0" xr:uid="{6307E31D-001F-4693-B937-30C6704568EE}">
      <text>
        <r>
          <rPr>
            <b/>
            <sz val="9"/>
            <color indexed="81"/>
            <rFont val="Tahoma"/>
            <family val="2"/>
          </rPr>
          <t>Stefan Petrovic:</t>
        </r>
        <r>
          <rPr>
            <sz val="9"/>
            <color indexed="81"/>
            <rFont val="Tahoma"/>
            <family val="2"/>
          </rPr>
          <t xml:space="preserve">
=L6*0.95 was previously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DA3781-677B-4559-9119-4F2D574D360D}">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80A0EAA-9F7E-4EE2-8A29-D0FCEA333405}">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445A9EAD-B775-434A-AB48-612BE248E0B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5E62869-077B-4247-A083-193156C26AC7}">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300F5916-02B9-4772-BA20-59877B03DFE4}">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A99853E-F8AC-4F2A-91BB-2DBA5EE5B25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9768788-EC7B-4198-9718-763FD30F4A9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CC79290F-BAC2-4E05-9B43-D8B8F1538A25}">
      <text>
        <r>
          <rPr>
            <b/>
            <sz val="9"/>
            <color indexed="81"/>
            <rFont val="Tahoma"/>
            <family val="2"/>
          </rPr>
          <t>Andreas Helk | Viegand Maagøe:</t>
        </r>
        <r>
          <rPr>
            <sz val="9"/>
            <color indexed="81"/>
            <rFont val="Tahoma"/>
            <family val="2"/>
          </rPr>
          <t xml:space="preserve">
Consider looking into updating these</t>
        </r>
      </text>
    </comment>
    <comment ref="X6" authorId="1" shapeId="0" xr:uid="{5476CFB9-A3BC-44ED-ABCE-6A265D0614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F8B15F40-C9BD-4628-9614-2AA8B951416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AJ11" authorId="0" shapeId="0" xr:uid="{4C4D2F98-80FE-46E8-A025-764799DC9549}">
      <text>
        <r>
          <rPr>
            <b/>
            <sz val="9"/>
            <color indexed="81"/>
            <rFont val="Tahoma"/>
            <family val="2"/>
          </rPr>
          <t>Andreas Helk | Viegand Maagøe:</t>
        </r>
        <r>
          <rPr>
            <sz val="9"/>
            <color indexed="81"/>
            <rFont val="Tahoma"/>
            <family val="2"/>
          </rPr>
          <t xml:space="preserve">
Since "A" is taken by agriculture, the aluminium sector is given X</t>
        </r>
      </text>
    </comment>
    <comment ref="T33" authorId="0" shapeId="0" xr:uid="{43DC8CA1-913D-4D64-9B6F-AF46B12AC7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317AC39-9B4E-4E70-B3C6-59696E9423F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D2C3BCC-E69D-40DA-8E4B-A9F42B72C733}">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16CE706-F309-4B04-9B86-8B919E089169}">
      <text>
        <r>
          <rPr>
            <b/>
            <sz val="9"/>
            <color indexed="81"/>
            <rFont val="Tahoma"/>
            <family val="2"/>
          </rPr>
          <t>Stefan Petrovic:</t>
        </r>
        <r>
          <rPr>
            <sz val="9"/>
            <color indexed="81"/>
            <rFont val="Tahoma"/>
            <family val="2"/>
          </rPr>
          <t xml:space="preserve">
=L6*0.95 was previously</t>
        </r>
      </text>
    </comment>
    <comment ref="O188" authorId="2" shapeId="0" xr:uid="{3518016F-D1ED-4359-92B6-FCCEEFC75D4A}">
      <text>
        <r>
          <rPr>
            <b/>
            <sz val="9"/>
            <color indexed="81"/>
            <rFont val="Tahoma"/>
            <family val="2"/>
          </rPr>
          <t>Stefan Petrovic:</t>
        </r>
        <r>
          <rPr>
            <sz val="9"/>
            <color indexed="81"/>
            <rFont val="Tahoma"/>
            <family val="2"/>
          </rPr>
          <t xml:space="preserve">
=L6*0.95 was previously</t>
        </r>
      </text>
    </comment>
    <comment ref="O189" authorId="2" shapeId="0" xr:uid="{FC3A8F38-EC90-47CD-AC8B-A2FD63498692}">
      <text>
        <r>
          <rPr>
            <b/>
            <sz val="9"/>
            <color indexed="81"/>
            <rFont val="Tahoma"/>
            <family val="2"/>
          </rPr>
          <t>Stefan Petrovic:</t>
        </r>
        <r>
          <rPr>
            <sz val="9"/>
            <color indexed="81"/>
            <rFont val="Tahoma"/>
            <family val="2"/>
          </rPr>
          <t xml:space="preserve">
=L6*0.95 was previously</t>
        </r>
      </text>
    </comment>
    <comment ref="O190" authorId="2" shapeId="0" xr:uid="{733B984F-963D-4BEA-914D-C56CB4F5DA5C}">
      <text>
        <r>
          <rPr>
            <b/>
            <sz val="9"/>
            <color indexed="81"/>
            <rFont val="Tahoma"/>
            <family val="2"/>
          </rPr>
          <t>Stefan Petrovic:</t>
        </r>
        <r>
          <rPr>
            <sz val="9"/>
            <color indexed="81"/>
            <rFont val="Tahoma"/>
            <family val="2"/>
          </rPr>
          <t xml:space="preserve">
=L6*0.95 was previously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18F1E31-160A-4B55-8752-8C20ECFF373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93A403D-7FC1-438B-A294-D8B17218BEC7}">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00483D72-C4F9-468A-B315-F00C036CE437}">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3B5DA4AB-372A-4D2C-90CF-07D2D15AB2AB}">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879FA65-0FE1-4B5A-A192-B6D0C7CB5DF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6E6FB385-BD91-4CCF-B4BB-0630615CF12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7E512A9-1D38-4A7A-BAC6-419ED666009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8EE05B91-9AF1-4776-934E-A9F22E36C141}">
      <text>
        <r>
          <rPr>
            <b/>
            <sz val="9"/>
            <color indexed="81"/>
            <rFont val="Tahoma"/>
            <family val="2"/>
          </rPr>
          <t>Andreas Helk | Viegand Maagøe:</t>
        </r>
        <r>
          <rPr>
            <sz val="9"/>
            <color indexed="81"/>
            <rFont val="Tahoma"/>
            <family val="2"/>
          </rPr>
          <t xml:space="preserve">
Consider looking into updating these</t>
        </r>
      </text>
    </comment>
    <comment ref="X6" authorId="1" shapeId="0" xr:uid="{62F6D73C-B551-4CBB-AF03-6504C79B0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24FE09D6-D15D-4231-948A-7C32AB7E4AD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B266671B-7F22-4270-80EE-474E5AE0FE1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A3567E5-BDA7-4131-B260-30D6CD21CB62}">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9F20ED8-39C2-4483-B4C8-CE422B39542B}">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8A73C0DE-3B00-41DB-A052-905B16B1F377}">
      <text>
        <r>
          <rPr>
            <b/>
            <sz val="9"/>
            <color indexed="81"/>
            <rFont val="Tahoma"/>
            <family val="2"/>
          </rPr>
          <t>Stefan Petrovic:</t>
        </r>
        <r>
          <rPr>
            <sz val="9"/>
            <color indexed="81"/>
            <rFont val="Tahoma"/>
            <family val="2"/>
          </rPr>
          <t xml:space="preserve">
=L6*0.95 was previously</t>
        </r>
      </text>
    </comment>
    <comment ref="O188" authorId="2" shapeId="0" xr:uid="{0FC8FCC8-9BC1-4161-B648-220DBB798857}">
      <text>
        <r>
          <rPr>
            <b/>
            <sz val="9"/>
            <color indexed="81"/>
            <rFont val="Tahoma"/>
            <family val="2"/>
          </rPr>
          <t>Stefan Petrovic:</t>
        </r>
        <r>
          <rPr>
            <sz val="9"/>
            <color indexed="81"/>
            <rFont val="Tahoma"/>
            <family val="2"/>
          </rPr>
          <t xml:space="preserve">
=L6*0.95 was previously</t>
        </r>
      </text>
    </comment>
    <comment ref="O189" authorId="2" shapeId="0" xr:uid="{F2E45DD5-BE48-48D9-9146-693AAF53DED5}">
      <text>
        <r>
          <rPr>
            <b/>
            <sz val="9"/>
            <color indexed="81"/>
            <rFont val="Tahoma"/>
            <family val="2"/>
          </rPr>
          <t>Stefan Petrovic:</t>
        </r>
        <r>
          <rPr>
            <sz val="9"/>
            <color indexed="81"/>
            <rFont val="Tahoma"/>
            <family val="2"/>
          </rPr>
          <t xml:space="preserve">
=L6*0.95 was previously</t>
        </r>
      </text>
    </comment>
    <comment ref="O190" authorId="2" shapeId="0" xr:uid="{4CECE385-96BB-481B-B4F5-0786E22F854E}">
      <text>
        <r>
          <rPr>
            <b/>
            <sz val="9"/>
            <color indexed="81"/>
            <rFont val="Tahoma"/>
            <family val="2"/>
          </rPr>
          <t>Stefan Petrovic:</t>
        </r>
        <r>
          <rPr>
            <sz val="9"/>
            <color indexed="81"/>
            <rFont val="Tahoma"/>
            <family val="2"/>
          </rPr>
          <t xml:space="preserve">
=L6*0.95 was previously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B611114-CECB-42F6-8666-965307D68047}">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5CAEEDB-2217-4AA1-B9CD-9CB3224B127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8E7E804-A0F0-4370-98F4-B75F159202DE}">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2FC5D0C7-2F17-4341-A552-FCF283764E9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F9F6466-B01D-4B7C-8F86-E4F060AD09B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8AC1759-7E94-4616-9A45-6173485AEF1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2DAB7B3-7A2D-4A31-BBC5-3EFD5929199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827FFBF-8FEF-494D-B3E4-6A546DC3DD62}">
      <text>
        <r>
          <rPr>
            <b/>
            <sz val="9"/>
            <color indexed="81"/>
            <rFont val="Tahoma"/>
            <family val="2"/>
          </rPr>
          <t>Andreas Helk | Viegand Maagøe:</t>
        </r>
        <r>
          <rPr>
            <sz val="9"/>
            <color indexed="81"/>
            <rFont val="Tahoma"/>
            <family val="2"/>
          </rPr>
          <t xml:space="preserve">
Consider looking into updating these</t>
        </r>
      </text>
    </comment>
    <comment ref="X6" authorId="1" shapeId="0" xr:uid="{BC261F07-BD20-41D4-B66F-C07BEF06AF26}">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684075A5-BA6E-45D1-9AA5-CB914EFF9D04}">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9122B2D-5D37-4250-A073-EBDFE1AD6FC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55E1F8B-CF20-443E-AA81-3622693034CF}">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B5ADC520-47F5-427E-8D39-1A38D978807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D0F10D08-DCF8-4CD9-A4BD-321E25AA2C14}">
      <text>
        <r>
          <rPr>
            <b/>
            <sz val="9"/>
            <color indexed="81"/>
            <rFont val="Tahoma"/>
            <family val="2"/>
          </rPr>
          <t>Stefan Petrovic:</t>
        </r>
        <r>
          <rPr>
            <sz val="9"/>
            <color indexed="81"/>
            <rFont val="Tahoma"/>
            <family val="2"/>
          </rPr>
          <t xml:space="preserve">
=L6*0.95 was previously</t>
        </r>
      </text>
    </comment>
    <comment ref="O188" authorId="2" shapeId="0" xr:uid="{2D3531C9-CD5A-4FF1-B33F-35F2DB8A4CEC}">
      <text>
        <r>
          <rPr>
            <b/>
            <sz val="9"/>
            <color indexed="81"/>
            <rFont val="Tahoma"/>
            <family val="2"/>
          </rPr>
          <t>Stefan Petrovic:</t>
        </r>
        <r>
          <rPr>
            <sz val="9"/>
            <color indexed="81"/>
            <rFont val="Tahoma"/>
            <family val="2"/>
          </rPr>
          <t xml:space="preserve">
=L6*0.95 was previously</t>
        </r>
      </text>
    </comment>
    <comment ref="O189" authorId="2" shapeId="0" xr:uid="{7F09F1D5-4FD4-4F04-8458-8254DA3608AC}">
      <text>
        <r>
          <rPr>
            <b/>
            <sz val="9"/>
            <color indexed="81"/>
            <rFont val="Tahoma"/>
            <family val="2"/>
          </rPr>
          <t>Stefan Petrovic:</t>
        </r>
        <r>
          <rPr>
            <sz val="9"/>
            <color indexed="81"/>
            <rFont val="Tahoma"/>
            <family val="2"/>
          </rPr>
          <t xml:space="preserve">
=L6*0.95 was previously</t>
        </r>
      </text>
    </comment>
    <comment ref="O190" authorId="2" shapeId="0" xr:uid="{0B13A7CD-8982-4C7E-AD52-2BFBBC5C85DD}">
      <text>
        <r>
          <rPr>
            <b/>
            <sz val="9"/>
            <color indexed="81"/>
            <rFont val="Tahoma"/>
            <family val="2"/>
          </rPr>
          <t>Stefan Petrovic:</t>
        </r>
        <r>
          <rPr>
            <sz val="9"/>
            <color indexed="81"/>
            <rFont val="Tahoma"/>
            <family val="2"/>
          </rPr>
          <t xml:space="preserve">
=L6*0.95 was previously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56F877C8-C528-4255-B590-4A28F432AA2C}">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4998577-D4E2-4974-8488-945816E1952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BFE3D2EB-105B-4A17-9AF0-5E3CE0E681D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431C40C-FAB3-472E-8A1D-070DC7A5747F}">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00F5939-033A-4D97-AEB2-D89324410C19}">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CE814C3C-EE8E-4F41-A190-3C35DEBA9CF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0890D8A-09EF-450C-ABA7-23775E9EABFF}">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F2EC004D-2D02-46E7-AE3F-262CEE0D76C5}">
      <text>
        <r>
          <rPr>
            <b/>
            <sz val="9"/>
            <color indexed="81"/>
            <rFont val="Tahoma"/>
            <family val="2"/>
          </rPr>
          <t>Andreas Helk | Viegand Maagøe:</t>
        </r>
        <r>
          <rPr>
            <sz val="9"/>
            <color indexed="81"/>
            <rFont val="Tahoma"/>
            <family val="2"/>
          </rPr>
          <t xml:space="preserve">
Consider looking into updating these</t>
        </r>
      </text>
    </comment>
    <comment ref="X6" authorId="1" shapeId="0" xr:uid="{D261113E-1D4C-4DF8-A0A8-F4A372BE3DA8}">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AEBC50B-7ECE-44BB-9A7E-871096E3A871}">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BFAB39D-A437-467C-8507-A127C8B7A2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7C32BAF-AFA3-49D7-8249-CF25CCDFD78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8B05FA0-895D-4B99-A5C0-F9E6264D057F}">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3D487C12-B363-4DE4-A3BD-CDED81453771}">
      <text>
        <r>
          <rPr>
            <b/>
            <sz val="9"/>
            <color indexed="81"/>
            <rFont val="Tahoma"/>
            <family val="2"/>
          </rPr>
          <t>Stefan Petrovic:</t>
        </r>
        <r>
          <rPr>
            <sz val="9"/>
            <color indexed="81"/>
            <rFont val="Tahoma"/>
            <family val="2"/>
          </rPr>
          <t xml:space="preserve">
=L6*0.95 was previously</t>
        </r>
      </text>
    </comment>
    <comment ref="O188" authorId="2" shapeId="0" xr:uid="{1F0341B6-9F95-4800-991A-69907B970DC3}">
      <text>
        <r>
          <rPr>
            <b/>
            <sz val="9"/>
            <color indexed="81"/>
            <rFont val="Tahoma"/>
            <family val="2"/>
          </rPr>
          <t>Stefan Petrovic:</t>
        </r>
        <r>
          <rPr>
            <sz val="9"/>
            <color indexed="81"/>
            <rFont val="Tahoma"/>
            <family val="2"/>
          </rPr>
          <t xml:space="preserve">
=L6*0.95 was previously</t>
        </r>
      </text>
    </comment>
    <comment ref="O189" authorId="2" shapeId="0" xr:uid="{7F591DFA-A196-4B82-9F98-7F8DB4EFB619}">
      <text>
        <r>
          <rPr>
            <b/>
            <sz val="9"/>
            <color indexed="81"/>
            <rFont val="Tahoma"/>
            <family val="2"/>
          </rPr>
          <t>Stefan Petrovic:</t>
        </r>
        <r>
          <rPr>
            <sz val="9"/>
            <color indexed="81"/>
            <rFont val="Tahoma"/>
            <family val="2"/>
          </rPr>
          <t xml:space="preserve">
=L6*0.95 was previously</t>
        </r>
      </text>
    </comment>
    <comment ref="O190" authorId="2" shapeId="0" xr:uid="{12F91024-6824-4B89-A645-AF3B79A64BF8}">
      <text>
        <r>
          <rPr>
            <b/>
            <sz val="9"/>
            <color indexed="81"/>
            <rFont val="Tahoma"/>
            <family val="2"/>
          </rPr>
          <t>Stefan Petrovic:</t>
        </r>
        <r>
          <rPr>
            <sz val="9"/>
            <color indexed="81"/>
            <rFont val="Tahoma"/>
            <family val="2"/>
          </rPr>
          <t xml:space="preserve">
=L6*0.95 was previously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EE82D554-8CF9-497D-8EE1-404C96B4382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C94A898A-0032-49FD-98FB-8B2F273DFE9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F29D7F59-2B05-46FC-9E5E-8BED58E56BBB}">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249F23A-E04E-4564-B899-7A0410F69E8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B4F512C1-A702-4784-AB0C-8C706B506F7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534BB701-AF53-43B8-A092-6E4593B56767}">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2E4011B-AB29-407F-8BAB-1F67B69FA22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C49605E-D065-4AFD-878E-B348682204DE}">
      <text>
        <r>
          <rPr>
            <b/>
            <sz val="9"/>
            <color indexed="81"/>
            <rFont val="Tahoma"/>
            <family val="2"/>
          </rPr>
          <t>Andreas Helk | Viegand Maagøe:</t>
        </r>
        <r>
          <rPr>
            <sz val="9"/>
            <color indexed="81"/>
            <rFont val="Tahoma"/>
            <family val="2"/>
          </rPr>
          <t xml:space="preserve">
Consider looking into updating these</t>
        </r>
      </text>
    </comment>
    <comment ref="X6" authorId="1" shapeId="0" xr:uid="{BB963D45-2CC6-44AE-999D-FD93D9E78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63BCAAC-56CC-4EE8-953A-D8042EC39272}">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C1124D9F-8812-4438-AF02-5DA3FA35D34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EEFEC28-BEE2-4832-94EA-B979F2C2F4C1}">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48CE1DA-47F4-4F8D-A85A-1C5E0E4E5A7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2FF372C7-EE08-4D24-8269-ED178DE0875C}">
      <text>
        <r>
          <rPr>
            <b/>
            <sz val="9"/>
            <color indexed="81"/>
            <rFont val="Tahoma"/>
            <family val="2"/>
          </rPr>
          <t>Stefan Petrovic:</t>
        </r>
        <r>
          <rPr>
            <sz val="9"/>
            <color indexed="81"/>
            <rFont val="Tahoma"/>
            <family val="2"/>
          </rPr>
          <t xml:space="preserve">
=L6*0.95 was previously</t>
        </r>
      </text>
    </comment>
    <comment ref="O188" authorId="2" shapeId="0" xr:uid="{6CA5F1F1-936A-4671-83B1-7549555344A4}">
      <text>
        <r>
          <rPr>
            <b/>
            <sz val="9"/>
            <color indexed="81"/>
            <rFont val="Tahoma"/>
            <family val="2"/>
          </rPr>
          <t>Stefan Petrovic:</t>
        </r>
        <r>
          <rPr>
            <sz val="9"/>
            <color indexed="81"/>
            <rFont val="Tahoma"/>
            <family val="2"/>
          </rPr>
          <t xml:space="preserve">
=L6*0.95 was previously</t>
        </r>
      </text>
    </comment>
    <comment ref="O189" authorId="2" shapeId="0" xr:uid="{4D0177B0-40D9-46BC-9648-F93CA928F89D}">
      <text>
        <r>
          <rPr>
            <b/>
            <sz val="9"/>
            <color indexed="81"/>
            <rFont val="Tahoma"/>
            <family val="2"/>
          </rPr>
          <t>Stefan Petrovic:</t>
        </r>
        <r>
          <rPr>
            <sz val="9"/>
            <color indexed="81"/>
            <rFont val="Tahoma"/>
            <family val="2"/>
          </rPr>
          <t xml:space="preserve">
=L6*0.95 was previously</t>
        </r>
      </text>
    </comment>
    <comment ref="O190" authorId="2" shapeId="0" xr:uid="{AF81EE75-1FAF-424F-B5B0-7F15E7491F66}">
      <text>
        <r>
          <rPr>
            <b/>
            <sz val="9"/>
            <color indexed="81"/>
            <rFont val="Tahoma"/>
            <family val="2"/>
          </rPr>
          <t>Stefan Petrovic:</t>
        </r>
        <r>
          <rPr>
            <sz val="9"/>
            <color indexed="81"/>
            <rFont val="Tahoma"/>
            <family val="2"/>
          </rPr>
          <t xml:space="preserve">
=L6*0.95 was previously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I5" authorId="0" shapeId="0" xr:uid="{00000000-0006-0000-2F00-000001000000}">
      <text>
        <r>
          <rPr>
            <b/>
            <sz val="9"/>
            <color indexed="81"/>
            <rFont val="Tahoma"/>
            <family val="2"/>
          </rPr>
          <t>Iben Moll Rasmussen:</t>
        </r>
        <r>
          <rPr>
            <sz val="9"/>
            <color indexed="81"/>
            <rFont val="Tahoma"/>
            <family val="2"/>
          </rPr>
          <t xml:space="preserve">
What does this mean?</t>
        </r>
      </text>
    </comment>
    <comment ref="I6" authorId="1" shapeId="0" xr:uid="{00000000-0006-0000-2F00-000002000000}">
      <text>
        <r>
          <rPr>
            <b/>
            <sz val="9"/>
            <color indexed="81"/>
            <rFont val="Tahoma"/>
            <family val="2"/>
          </rPr>
          <t>Mikkel Bosack Simonsen:</t>
        </r>
        <r>
          <rPr>
            <sz val="9"/>
            <color indexed="81"/>
            <rFont val="Tahoma"/>
            <family val="2"/>
          </rPr>
          <t xml:space="preserve">
asummed similar to ELC HP with ambient temperature
</t>
        </r>
      </text>
    </comment>
    <comment ref="J6" authorId="1" shapeId="0" xr:uid="{00000000-0006-0000-2F00-000003000000}">
      <text>
        <r>
          <rPr>
            <b/>
            <sz val="9"/>
            <color indexed="81"/>
            <rFont val="Tahoma"/>
            <family val="2"/>
          </rPr>
          <t>Mikkel Bosack Simonsen:</t>
        </r>
        <r>
          <rPr>
            <sz val="9"/>
            <color indexed="81"/>
            <rFont val="Tahoma"/>
            <family val="2"/>
          </rPr>
          <t xml:space="preserve">
asummed similar to ELC HP with ambient temperature</t>
        </r>
      </text>
    </comment>
    <comment ref="K6" authorId="1" shapeId="0" xr:uid="{00000000-0006-0000-2F00-000004000000}">
      <text>
        <r>
          <rPr>
            <b/>
            <sz val="9"/>
            <color indexed="81"/>
            <rFont val="Tahoma"/>
            <family val="2"/>
          </rPr>
          <t>Mikkel Bosack Simonsen:</t>
        </r>
        <r>
          <rPr>
            <sz val="9"/>
            <color indexed="81"/>
            <rFont val="Tahoma"/>
            <family val="2"/>
          </rPr>
          <t xml:space="preserve">
asummed similar to ELC HP with ambient temperature</t>
        </r>
      </text>
    </comment>
    <comment ref="I10" authorId="1" shapeId="0" xr:uid="{00000000-0006-0000-2F00-000005000000}">
      <text>
        <r>
          <rPr>
            <b/>
            <sz val="9"/>
            <color indexed="81"/>
            <rFont val="Tahoma"/>
            <family val="2"/>
          </rPr>
          <t>Mikkel Bosack Simonsen:</t>
        </r>
        <r>
          <rPr>
            <sz val="9"/>
            <color indexed="81"/>
            <rFont val="Tahoma"/>
            <family val="2"/>
          </rPr>
          <t xml:space="preserve">
asummed similar to ELC HP with ambient temperature
</t>
        </r>
      </text>
    </comment>
    <comment ref="J10" authorId="1" shapeId="0" xr:uid="{00000000-0006-0000-2F00-000006000000}">
      <text>
        <r>
          <rPr>
            <b/>
            <sz val="9"/>
            <color indexed="81"/>
            <rFont val="Tahoma"/>
            <family val="2"/>
          </rPr>
          <t>Mikkel Bosack Simonsen:</t>
        </r>
        <r>
          <rPr>
            <sz val="9"/>
            <color indexed="81"/>
            <rFont val="Tahoma"/>
            <family val="2"/>
          </rPr>
          <t xml:space="preserve">
asummed similar to ELC HP with ambient temperature</t>
        </r>
      </text>
    </comment>
    <comment ref="K10" authorId="1" shapeId="0" xr:uid="{00000000-0006-0000-2F00-000007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J5" authorId="0" shapeId="0" xr:uid="{00000000-0006-0000-3000-000001000000}">
      <text>
        <r>
          <rPr>
            <b/>
            <sz val="9"/>
            <color indexed="81"/>
            <rFont val="Tahoma"/>
            <family val="2"/>
          </rPr>
          <t>Iben Moll Rasmussen:</t>
        </r>
        <r>
          <rPr>
            <sz val="9"/>
            <color indexed="81"/>
            <rFont val="Tahoma"/>
            <family val="2"/>
          </rPr>
          <t xml:space="preserve">
What does this mean?</t>
        </r>
      </text>
    </comment>
    <comment ref="J6" authorId="1" shapeId="0" xr:uid="{00000000-0006-0000-3000-000002000000}">
      <text>
        <r>
          <rPr>
            <b/>
            <sz val="9"/>
            <color indexed="81"/>
            <rFont val="Tahoma"/>
            <family val="2"/>
          </rPr>
          <t>Mikkel Bosack Simonsen:</t>
        </r>
        <r>
          <rPr>
            <sz val="9"/>
            <color indexed="81"/>
            <rFont val="Tahoma"/>
            <family val="2"/>
          </rPr>
          <t xml:space="preserve">
asummed similar to ELC HP with ambient temperature
</t>
        </r>
      </text>
    </comment>
    <comment ref="K6" authorId="1" shapeId="0" xr:uid="{00000000-0006-0000-3000-000003000000}">
      <text>
        <r>
          <rPr>
            <b/>
            <sz val="9"/>
            <color indexed="81"/>
            <rFont val="Tahoma"/>
            <family val="2"/>
          </rPr>
          <t>Mikkel Bosack Simonsen:</t>
        </r>
        <r>
          <rPr>
            <sz val="9"/>
            <color indexed="81"/>
            <rFont val="Tahoma"/>
            <family val="2"/>
          </rPr>
          <t xml:space="preserve">
asummed similar to ELC HP with ambient temperature</t>
        </r>
      </text>
    </comment>
    <comment ref="L6" authorId="1" shapeId="0" xr:uid="{00000000-0006-0000-3000-000004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1" type="6" refreshedVersion="4" background="1" saveData="1">
    <textPr codePage="65001" sourceFile="\\dtu-storage\stpet\Documents\Stefan\BBR\Waste heat\DHareas.csv" comma="1">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<sst xmlns="http://schemas.openxmlformats.org/spreadsheetml/2006/main" count="24304" uniqueCount="2129">
  <si>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</si>
  <si>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</si>
  <si>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</si>
  <si>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</si>
  <si>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</si>
  <si>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</si>
  <si>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</si>
  <si>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</si>
  <si>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</si>
  <si>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</si>
  <si>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</si>
  <si>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</si>
  <si>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</si>
  <si>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</si>
  <si>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</si>
  <si>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</si>
  <si>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</si>
  <si>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</si>
  <si>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</si>
  <si>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</si>
  <si>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</si>
  <si>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</si>
  <si>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</si>
  <si>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</si>
  <si>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</si>
  <si>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</si>
  <si>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</si>
  <si>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</si>
  <si>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</si>
  <si>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</si>
  <si>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</si>
  <si>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</si>
  <si>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</si>
  <si>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</si>
  <si>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</si>
  <si>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</si>
  <si>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</si>
  <si>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</si>
  <si>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</si>
  <si>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</si>
  <si>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</si>
  <si>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</si>
  <si>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</si>
  <si>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</si>
  <si>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</si>
  <si>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</si>
  <si>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</si>
  <si>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</si>
  <si>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</si>
  <si>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</si>
  <si>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</si>
  <si>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</si>
  <si>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</si>
  <si>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</si>
  <si>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</si>
  <si>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</si>
  <si>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</si>
  <si>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</si>
  <si>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</si>
  <si>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</si>
  <si>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</si>
  <si>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</si>
  <si>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</si>
  <si>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</si>
  <si>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</si>
  <si>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</si>
  <si>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</si>
  <si>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</si>
  <si>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</si>
  <si>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</si>
  <si>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</si>
  <si>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</si>
  <si>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</si>
  <si>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</si>
  <si>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</si>
  <si>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</si>
  <si>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</si>
  <si>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</si>
  <si>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</si>
  <si>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</si>
  <si>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</si>
  <si>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</si>
  <si>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</si>
  <si>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</si>
  <si>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</si>
  <si>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</si>
  <si>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</si>
  <si>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</si>
  <si>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</si>
  <si>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</si>
  <si>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</si>
  <si>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</si>
  <si>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</si>
  <si>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</si>
  <si>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</si>
  <si>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</si>
  <si>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</si>
  <si>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</si>
  <si>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</si>
  <si>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</si>
  <si>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</si>
  <si>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</si>
  <si>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</si>
  <si>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</si>
  <si>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</si>
  <si>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</si>
  <si>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</si>
  <si>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</si>
  <si>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</si>
  <si>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</si>
  <si>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</si>
  <si>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</si>
  <si>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</si>
  <si>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</si>
  <si>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</si>
  <si>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</si>
  <si>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</si>
  <si>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</si>
  <si>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</si>
  <si>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</si>
  <si>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</si>
  <si>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</si>
  <si>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</si>
  <si>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</si>
  <si>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</si>
  <si>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</si>
  <si>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</si>
  <si>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</si>
  <si>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</si>
  <si>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</si>
  <si>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</si>
  <si>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</si>
  <si>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</si>
  <si>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</si>
  <si>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</si>
  <si>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</si>
  <si>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</si>
  <si>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</si>
  <si>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</si>
  <si>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</si>
  <si>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</si>
  <si>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</si>
  <si>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</si>
  <si>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</si>
  <si>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</si>
  <si>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</si>
  <si>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</si>
  <si>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</si>
  <si>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</si>
  <si>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</si>
  <si>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</si>
  <si>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</si>
  <si>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</si>
  <si>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</si>
  <si>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</si>
  <si>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</si>
  <si>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</si>
  <si>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</si>
  <si>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</si>
  <si>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</si>
  <si>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</si>
  <si>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</si>
  <si>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</si>
  <si>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</si>
  <si>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</si>
  <si>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</si>
  <si>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</si>
  <si>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</si>
  <si>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</si>
  <si>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</si>
  <si>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</si>
  <si>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</si>
  <si>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</si>
  <si>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</si>
  <si>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</si>
  <si>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</si>
  <si>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</si>
  <si>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</si>
  <si>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</si>
  <si>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</si>
  <si>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</si>
  <si>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</si>
  <si>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</si>
  <si>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</si>
  <si>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</si>
  <si>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</si>
  <si>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</si>
  <si>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</si>
  <si>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</si>
  <si>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</si>
  <si>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</si>
  <si>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</si>
  <si>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</si>
  <si>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</si>
  <si>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</si>
  <si>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</si>
  <si>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</si>
  <si>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</si>
  <si>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</si>
  <si>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</si>
  <si>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</si>
  <si>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</si>
  <si>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</si>
  <si>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</si>
  <si>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</si>
  <si>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</si>
  <si>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</si>
  <si>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</si>
  <si>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</si>
  <si>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</si>
  <si>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</si>
  <si>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</si>
  <si>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</si>
  <si>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</si>
  <si>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</si>
  <si>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</si>
  <si>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</si>
  <si>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</si>
  <si>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</si>
  <si>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</si>
  <si>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</si>
  <si>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</si>
  <si>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</si>
  <si>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</si>
  <si>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</si>
  <si>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</si>
  <si>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</si>
  <si>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</si>
  <si>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</si>
  <si>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</si>
  <si>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</si>
  <si>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</si>
  <si>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</si>
  <si>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</si>
  <si>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</si>
  <si>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</si>
  <si>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</si>
  <si>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</si>
  <si>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</si>
  <si>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</si>
  <si>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</si>
  <si>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</si>
  <si>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</si>
  <si>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</si>
  <si>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</si>
  <si>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</si>
  <si>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</si>
  <si>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</si>
  <si>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</si>
  <si>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</si>
  <si>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</si>
  <si>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</si>
  <si>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</si>
  <si>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</si>
  <si>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</si>
  <si>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</si>
  <si>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</si>
  <si>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</si>
  <si>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</si>
  <si>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</si>
  <si>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</si>
  <si>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</si>
  <si>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</si>
  <si>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</si>
  <si>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</si>
  <si>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</si>
  <si>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</si>
  <si>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</si>
  <si>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</si>
  <si>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</si>
  <si>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</si>
  <si>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</si>
  <si>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</si>
  <si>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</si>
  <si>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</si>
  <si>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</si>
  <si>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</si>
  <si>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</si>
  <si>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</si>
  <si>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</si>
  <si>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</si>
  <si>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</si>
  <si>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</si>
  <si>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</si>
  <si>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</si>
  <si>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</si>
  <si>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</si>
  <si>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</si>
  <si>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</si>
  <si>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</si>
  <si>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</si>
  <si>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</si>
  <si>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</si>
  <si>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</si>
  <si>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</si>
  <si>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</si>
  <si>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</si>
  <si>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</si>
  <si>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</si>
  <si>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</si>
  <si>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</si>
  <si>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</si>
  <si>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</si>
  <si>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</si>
  <si>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</si>
  <si>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</si>
  <si>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</si>
  <si>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</si>
  <si>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</si>
  <si>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</si>
  <si>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</si>
  <si>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</si>
  <si>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</si>
  <si>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</si>
  <si>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</si>
  <si>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</si>
  <si>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</si>
  <si>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</si>
  <si>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</si>
  <si>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</si>
  <si>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</si>
  <si>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</si>
  <si>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</si>
  <si>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</si>
  <si>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</si>
  <si>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</si>
  <si>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</si>
  <si>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</si>
  <si>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</si>
  <si>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</si>
  <si>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</si>
  <si>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</si>
  <si>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</si>
  <si>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</si>
  <si>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</si>
  <si>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</si>
  <si>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</si>
  <si>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</si>
  <si>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</si>
  <si>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</si>
  <si>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</si>
  <si>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</si>
  <si>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</si>
  <si>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</si>
  <si>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</si>
  <si>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</si>
  <si>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</si>
  <si>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</si>
  <si>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</si>
  <si>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</si>
  <si>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</si>
  <si>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</si>
  <si>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</si>
  <si>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</si>
  <si>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</si>
  <si>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</si>
  <si>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</si>
  <si>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</si>
  <si>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</si>
  <si>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</si>
  <si>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</si>
  <si>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</si>
  <si>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</si>
  <si>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</si>
  <si>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</si>
  <si>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</si>
  <si>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</si>
  <si>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</si>
  <si>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</si>
  <si>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</si>
  <si>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</si>
  <si>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</si>
  <si>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</si>
  <si>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</si>
  <si>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</si>
  <si>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</si>
  <si>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</si>
  <si>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</si>
  <si>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</si>
  <si>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</si>
  <si>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</si>
  <si>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</si>
  <si>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</si>
  <si>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</si>
  <si>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</si>
  <si>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</si>
  <si>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</si>
  <si>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</si>
  <si>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</si>
  <si>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</si>
  <si>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</si>
  <si>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</si>
  <si>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</si>
  <si>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</si>
  <si>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</si>
  <si>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</si>
  <si>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</si>
  <si>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</si>
  <si>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</si>
  <si>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</si>
  <si>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</si>
  <si>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</si>
  <si>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</si>
  <si>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</si>
  <si>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</si>
  <si>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</si>
  <si>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</si>
  <si>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</si>
  <si>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</si>
  <si>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</si>
  <si>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</si>
  <si>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</si>
  <si>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</si>
  <si>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</si>
  <si>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</si>
  <si>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</si>
  <si>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</si>
  <si>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</si>
  <si>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</si>
  <si>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</si>
  <si>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</si>
  <si>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</si>
  <si>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</si>
  <si>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</si>
  <si>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</si>
  <si>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</si>
  <si>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</si>
  <si>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</si>
  <si>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</si>
  <si>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</si>
  <si>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</si>
  <si>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</si>
  <si>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</si>
  <si>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</si>
  <si>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</si>
  <si>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</si>
  <si>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</si>
  <si>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</si>
  <si>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</si>
  <si>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</si>
  <si>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</si>
  <si>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</si>
  <si>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</si>
  <si>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</si>
  <si>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</si>
  <si>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</si>
  <si>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</si>
  <si>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</si>
  <si>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</si>
  <si>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</si>
  <si>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</si>
  <si>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</si>
  <si>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</si>
  <si>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</si>
  <si>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</si>
  <si>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</si>
  <si>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</si>
  <si>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</si>
  <si>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</si>
  <si>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</si>
  <si>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</si>
  <si>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</si>
  <si>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</si>
  <si>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</si>
  <si>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</si>
  <si>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</si>
  <si>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</si>
  <si>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</si>
  <si>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</si>
  <si>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</si>
  <si>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</si>
  <si>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</si>
  <si>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</si>
  <si>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</si>
  <si>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</si>
  <si>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</si>
  <si>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</si>
  <si>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</si>
  <si>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</si>
  <si>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</si>
  <si>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</si>
  <si>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</si>
  <si>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</si>
  <si>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</si>
  <si>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</si>
  <si>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</si>
  <si>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</si>
  <si>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</si>
  <si>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</si>
  <si>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</si>
  <si>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</si>
  <si>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</si>
  <si>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</si>
  <si>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</si>
  <si>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</si>
  <si>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</si>
  <si>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</si>
  <si>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</si>
  <si>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INDWCH</t>
  </si>
  <si>
    <t>INDELC</t>
  </si>
  <si>
    <t>INDSOL</t>
  </si>
  <si>
    <t>INDHCE</t>
  </si>
  <si>
    <t>INDHDE</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</si>
  <si>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</si>
  <si>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</si>
  <si>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</si>
  <si>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</si>
  <si>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</si>
  <si>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</si>
  <si>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</si>
  <si>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</si>
  <si>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</si>
  <si>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</si>
  <si>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</si>
  <si>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</si>
  <si>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</si>
  <si>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</si>
  <si>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</si>
  <si>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</si>
  <si>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Food</t>
  </si>
  <si>
    <t>Chemical</t>
  </si>
  <si>
    <t>Glass &amp; Concrete</t>
  </si>
  <si>
    <t>Kenneth Bernard Karlsson</t>
  </si>
  <si>
    <t>IND_AGR</t>
  </si>
  <si>
    <t>Update of name to align with VT file</t>
  </si>
  <si>
    <t>Added the 3 haulage demands</t>
  </si>
  <si>
    <t>Changed dem name as in agr.</t>
  </si>
  <si>
    <t>Industry Saving Potential Technologies from COWI Study</t>
  </si>
  <si>
    <t>Olexandr</t>
  </si>
  <si>
    <t>IND_SavTechs</t>
  </si>
  <si>
    <t>Moved all the data from SubRES_IND_SavingPot to here</t>
  </si>
  <si>
    <t>Construction</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</si>
  <si>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</si>
  <si>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</si>
  <si>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</si>
  <si>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</si>
  <si>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</si>
  <si>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</si>
  <si>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</si>
  <si>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</si>
  <si>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</si>
  <si>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</si>
  <si>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</si>
  <si>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</si>
  <si>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</si>
  <si>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</si>
  <si>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</si>
  <si>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</si>
  <si>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</si>
  <si>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</si>
  <si>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IND_CHEM</t>
  </si>
  <si>
    <t>IND_G&amp;C</t>
  </si>
  <si>
    <t>IND_Metal</t>
  </si>
  <si>
    <t>IND_Other</t>
  </si>
  <si>
    <t>IND_Vehicles</t>
  </si>
  <si>
    <t>IND_Construction</t>
  </si>
  <si>
    <t>IND_Utilities</t>
  </si>
  <si>
    <t>Technologies are copied from ELC sector for proces heat and HOU for room heat. Notice the process definitions are kept for each industry sheet</t>
  </si>
  <si>
    <t>New technologies for Food (F)</t>
  </si>
  <si>
    <t xml:space="preserve">New technologies for Chemicals (C) </t>
  </si>
  <si>
    <t>New technologies for Metal and Machinery (M)</t>
  </si>
  <si>
    <t>New technologies for Other manufacturing (O)</t>
  </si>
  <si>
    <t>New technologies for Cars sales and repair (V)</t>
  </si>
  <si>
    <t>New technologies for Construction (N)</t>
  </si>
  <si>
    <t>New technologies for Utilities (L)</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</si>
  <si>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</si>
  <si>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</si>
  <si>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</si>
  <si>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</si>
  <si>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</si>
  <si>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</si>
  <si>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</si>
  <si>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</si>
  <si>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</si>
  <si>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</si>
  <si>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</si>
  <si>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</si>
  <si>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</si>
  <si>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</si>
  <si>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</si>
  <si>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</si>
  <si>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</si>
  <si>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</si>
  <si>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</si>
  <si>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</si>
  <si>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</si>
  <si>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</si>
  <si>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</si>
  <si>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</si>
  <si>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</si>
  <si>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</si>
  <si>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</si>
  <si>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</si>
  <si>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</si>
  <si>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</si>
  <si>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</si>
  <si>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</si>
  <si>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</si>
  <si>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</si>
  <si>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</si>
  <si>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</si>
  <si>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</si>
  <si>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</si>
  <si>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</si>
  <si>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</si>
  <si>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</si>
  <si>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</si>
  <si>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</si>
  <si>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</si>
  <si>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</si>
  <si>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</si>
  <si>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</si>
  <si>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</si>
  <si>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</si>
  <si>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</si>
  <si>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</si>
  <si>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New technologies for Glass &amp; Concrete (G) - Different from the above green IND_ sheets since this industry can build coal plants (since it containts Aalborg Portland)</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</si>
  <si>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</si>
  <si>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</si>
  <si>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</si>
  <si>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</si>
  <si>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</si>
  <si>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</si>
  <si>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</si>
  <si>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</si>
  <si>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</si>
  <si>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</si>
  <si>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</si>
  <si>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</si>
  <si>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</si>
  <si>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</si>
  <si>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</si>
  <si>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</si>
  <si>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</si>
  <si>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</si>
  <si>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</si>
  <si>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</si>
  <si>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</si>
  <si>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</si>
  <si>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</si>
  <si>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</si>
  <si>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</si>
  <si>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</si>
  <si>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</si>
  <si>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</si>
  <si>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</si>
  <si>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</si>
  <si>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</si>
  <si>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</si>
  <si>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</si>
  <si>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</si>
  <si>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</si>
  <si>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</si>
  <si>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</si>
  <si>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</si>
  <si>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</si>
  <si>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</si>
  <si>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</si>
  <si>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</si>
  <si>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</si>
  <si>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</si>
  <si>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</si>
  <si>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</si>
  <si>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</si>
  <si>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</si>
  <si>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</si>
  <si>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</si>
  <si>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</si>
  <si>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</si>
  <si>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</si>
  <si>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</si>
  <si>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</si>
  <si>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</si>
  <si>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</si>
  <si>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</si>
  <si>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</si>
  <si>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</si>
  <si>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</si>
  <si>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</si>
  <si>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</si>
  <si>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</si>
  <si>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</si>
  <si>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</si>
  <si>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</si>
  <si>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</si>
  <si>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</si>
  <si>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Machinery</t>
  </si>
  <si>
    <t>IND_Machinery</t>
  </si>
  <si>
    <t>Renamed Metal industry to Machinery industry</t>
  </si>
  <si>
    <t>CURR</t>
  </si>
  <si>
    <t>Aluminium</t>
  </si>
  <si>
    <t>R</t>
  </si>
  <si>
    <t>Paper &amp; Pulp</t>
  </si>
  <si>
    <t>S</t>
  </si>
  <si>
    <t>W</t>
  </si>
  <si>
    <t>Wood products</t>
  </si>
  <si>
    <t>Mining</t>
  </si>
  <si>
    <t>avaialable in</t>
  </si>
  <si>
    <t>IND_Aluminium</t>
  </si>
  <si>
    <t>IND_PaperPulp</t>
  </si>
  <si>
    <t>IND_IronSteel</t>
  </si>
  <si>
    <t>IND_Wood</t>
  </si>
  <si>
    <t>IND_Mining</t>
  </si>
  <si>
    <t>New technologies for Aluminimum (X)</t>
  </si>
  <si>
    <t>New technologies for Paper and Pulp (R)</t>
  </si>
  <si>
    <t>New technologies for Iron and steel (S)</t>
  </si>
  <si>
    <t>New technologies for Wood products (W)</t>
  </si>
  <si>
    <t>New technologies for Mining (I)</t>
  </si>
  <si>
    <t>Martin Hagberg</t>
  </si>
  <si>
    <t>Added sheets for industry sectors available in NO and SE but not in DK (these were earlier in other Subres-files which has been removed)</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</si>
  <si>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</si>
  <si>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</si>
  <si>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</si>
  <si>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</si>
  <si>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</si>
  <si>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</si>
  <si>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</si>
  <si>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</si>
  <si>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</si>
  <si>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</si>
  <si>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</si>
  <si>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</si>
  <si>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</si>
  <si>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</si>
  <si>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</si>
  <si>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</si>
  <si>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</si>
  <si>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</si>
  <si>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</si>
  <si>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</si>
  <si>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</si>
  <si>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</si>
  <si>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</si>
  <si>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</si>
  <si>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</si>
  <si>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</si>
  <si>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</si>
  <si>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</si>
  <si>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</si>
  <si>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</si>
  <si>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</si>
  <si>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</si>
  <si>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</si>
  <si>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</si>
  <si>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</si>
  <si>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</si>
  <si>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</si>
  <si>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</si>
  <si>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</si>
  <si>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</si>
  <si>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</si>
  <si>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</si>
  <si>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</si>
  <si>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</si>
  <si>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</si>
  <si>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</si>
  <si>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</si>
  <si>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</si>
  <si>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</si>
  <si>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</si>
  <si>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</si>
  <si>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</si>
  <si>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</si>
  <si>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</si>
  <si>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</si>
  <si>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</si>
  <si>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</si>
  <si>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</si>
  <si>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</si>
  <si>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</si>
  <si>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</si>
  <si>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</si>
  <si>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</si>
  <si>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</si>
  <si>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</si>
  <si>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</si>
  <si>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</si>
  <si>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</si>
  <si>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</si>
  <si>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</si>
  <si>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</si>
  <si>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</si>
  <si>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</si>
  <si>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</si>
  <si>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</si>
  <si>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</si>
  <si>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</si>
  <si>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</si>
  <si>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</si>
  <si>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</si>
  <si>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</si>
  <si>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</si>
  <si>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</si>
  <si>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</si>
  <si>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</si>
  <si>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</si>
  <si>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</si>
  <si>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</si>
  <si>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</si>
  <si>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</si>
  <si>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</si>
  <si>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</si>
  <si>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</si>
  <si>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</si>
  <si>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</si>
  <si>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</si>
  <si>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</si>
  <si>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</si>
  <si>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</si>
  <si>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</si>
  <si>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</si>
  <si>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</si>
  <si>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</si>
  <si>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</si>
  <si>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</si>
  <si>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</si>
  <si>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</si>
  <si>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</si>
  <si>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</si>
  <si>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</si>
  <si>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</si>
  <si>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</si>
  <si>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</si>
  <si>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</si>
  <si>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</si>
  <si>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</si>
  <si>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</si>
  <si>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</si>
  <si>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</si>
  <si>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</si>
  <si>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</si>
  <si>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</si>
  <si>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</si>
  <si>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</si>
  <si>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</si>
  <si>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</si>
  <si>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</si>
  <si>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</si>
  <si>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</si>
  <si>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</si>
  <si>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</si>
  <si>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</si>
  <si>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</si>
  <si>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</si>
  <si>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</si>
  <si>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</si>
  <si>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</si>
  <si>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</si>
  <si>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</si>
  <si>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</si>
  <si>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</si>
  <si>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</si>
  <si>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</si>
  <si>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</si>
  <si>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</si>
  <si>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</si>
  <si>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</si>
  <si>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</si>
  <si>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</si>
  <si>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</si>
  <si>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</si>
  <si>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</si>
  <si>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</si>
  <si>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</si>
  <si>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</si>
  <si>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</si>
  <si>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</si>
  <si>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</si>
  <si>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</si>
  <si>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</si>
  <si>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</si>
  <si>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</si>
  <si>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</si>
  <si>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</si>
  <si>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</si>
  <si>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</si>
  <si>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</si>
  <si>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</si>
  <si>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</si>
  <si>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</si>
  <si>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</si>
  <si>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</si>
  <si>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</si>
  <si>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</si>
  <si>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</si>
  <si>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</si>
  <si>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</si>
  <si>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</si>
  <si>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</si>
  <si>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</si>
  <si>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</si>
  <si>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</si>
  <si>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</si>
  <si>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</si>
  <si>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</si>
  <si>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</si>
  <si>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</si>
  <si>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</si>
  <si>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</si>
  <si>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</si>
  <si>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</si>
  <si>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</si>
  <si>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</si>
  <si>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</si>
  <si>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</si>
  <si>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</si>
  <si>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</si>
  <si>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</si>
  <si>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</si>
  <si>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</si>
  <si>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</si>
  <si>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</si>
  <si>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</si>
  <si>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</si>
  <si>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</si>
  <si>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</si>
  <si>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</si>
  <si>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</si>
  <si>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</si>
  <si>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</si>
  <si>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</si>
  <si>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</si>
  <si>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</si>
  <si>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</si>
  <si>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</si>
  <si>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</si>
  <si>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</si>
  <si>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</si>
  <si>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</si>
  <si>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</si>
  <si>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</si>
  <si>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</si>
  <si>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</si>
  <si>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</si>
  <si>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</si>
  <si>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</si>
  <si>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</si>
  <si>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</si>
  <si>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</si>
  <si>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</si>
  <si>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</si>
  <si>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</si>
  <si>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</si>
  <si>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</si>
  <si>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</si>
  <si>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</si>
  <si>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</si>
  <si>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</si>
  <si>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</si>
  <si>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</si>
  <si>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</si>
  <si>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</si>
  <si>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</si>
  <si>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</si>
  <si>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</si>
  <si>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</si>
  <si>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</si>
  <si>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</si>
  <si>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</si>
  <si>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</si>
  <si>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</si>
  <si>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</si>
  <si>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</si>
  <si>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</si>
  <si>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</si>
  <si>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</si>
  <si>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</si>
  <si>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</si>
  <si>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</si>
  <si>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</si>
  <si>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</si>
  <si>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</si>
  <si>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</si>
  <si>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</si>
  <si>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</si>
  <si>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</si>
  <si>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</si>
  <si>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</si>
  <si>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</si>
  <si>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</si>
  <si>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</si>
  <si>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</si>
  <si>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</si>
  <si>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</si>
  <si>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</si>
  <si>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</si>
  <si>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</si>
  <si>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</si>
  <si>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</si>
  <si>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</si>
  <si>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</si>
  <si>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</si>
  <si>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</si>
  <si>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</si>
  <si>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</si>
  <si>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</si>
  <si>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</si>
  <si>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</si>
  <si>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</si>
  <si>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</si>
  <si>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</si>
  <si>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</si>
  <si>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</si>
  <si>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</si>
  <si>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</si>
  <si>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INDWST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</si>
  <si>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</si>
  <si>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</si>
  <si>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</si>
  <si>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</si>
  <si>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</si>
  <si>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</si>
  <si>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</si>
  <si>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</si>
  <si>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</si>
  <si>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</si>
  <si>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</si>
  <si>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</si>
  <si>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</si>
  <si>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</si>
  <si>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</si>
  <si>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</si>
  <si>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</si>
  <si>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</si>
  <si>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</si>
  <si>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</si>
  <si>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</si>
  <si>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</si>
  <si>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</si>
  <si>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</si>
  <si>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</si>
  <si>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</si>
  <si>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</si>
  <si>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</si>
  <si>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</si>
  <si>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</si>
  <si>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</si>
  <si>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</si>
  <si>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</si>
  <si>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</si>
  <si>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</si>
  <si>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</si>
  <si>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</si>
  <si>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</si>
  <si>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</si>
  <si>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</si>
  <si>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</si>
  <si>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</si>
  <si>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</si>
  <si>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</si>
  <si>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</si>
  <si>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</si>
  <si>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</si>
  <si>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</si>
  <si>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</si>
  <si>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</si>
  <si>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</si>
  <si>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</si>
  <si>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</si>
  <si>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</si>
  <si>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</si>
  <si>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</si>
  <si>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</si>
  <si>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</si>
  <si>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</si>
  <si>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</si>
  <si>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</si>
  <si>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</si>
  <si>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</si>
  <si>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</si>
  <si>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</si>
  <si>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</si>
  <si>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</si>
  <si>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</si>
  <si>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</si>
  <si>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</si>
  <si>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</si>
  <si>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</si>
  <si>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</si>
  <si>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</si>
  <si>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</si>
  <si>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</si>
  <si>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</si>
  <si>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</si>
  <si>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</si>
  <si>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</si>
  <si>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</si>
  <si>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</si>
  <si>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</si>
  <si>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</si>
  <si>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</si>
  <si>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</si>
  <si>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</si>
  <si>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</si>
  <si>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</si>
  <si>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</si>
  <si>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</si>
  <si>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</si>
  <si>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</si>
  <si>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</si>
  <si>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</si>
  <si>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</si>
  <si>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</si>
  <si>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</si>
  <si>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</si>
  <si>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</si>
  <si>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</si>
  <si>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</si>
  <si>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</si>
  <si>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</si>
  <si>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</si>
  <si>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</si>
  <si>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</si>
  <si>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</si>
  <si>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</si>
  <si>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</si>
  <si>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</si>
  <si>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</si>
  <si>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</si>
  <si>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</si>
  <si>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</si>
  <si>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</si>
  <si>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</si>
  <si>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</si>
  <si>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</si>
  <si>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</si>
  <si>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</si>
  <si>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</si>
  <si>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</si>
  <si>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</si>
  <si>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</si>
  <si>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</si>
  <si>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</si>
  <si>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</si>
  <si>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</si>
  <si>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</si>
  <si>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</si>
  <si>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</si>
  <si>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Iron &amp; Steel</t>
  </si>
  <si>
    <t>1. Oil-fired boiler</t>
  </si>
  <si>
    <t>Oil burner (mineral oil fired, &lt;10 % FAME)</t>
  </si>
  <si>
    <t>15-30</t>
  </si>
  <si>
    <t>Fixed O&amp;M (€/year)</t>
  </si>
  <si>
    <t>Oil burner (bio oil)</t>
  </si>
  <si>
    <t>&gt; 30</t>
  </si>
  <si>
    <t>Specific investment (1000€/unit) - 400 kW unit</t>
  </si>
  <si>
    <t>Other</t>
  </si>
  <si>
    <t>Vehicles</t>
  </si>
  <si>
    <t>Utilities</t>
  </si>
  <si>
    <t>MKr15</t>
  </si>
  <si>
    <t>Glass &amp; Concrete industry Demand Heat Medium Temp. up to 150C</t>
  </si>
  <si>
    <t>Glass &amp; Concrete industry Demand Heat High Temp. over 150C</t>
  </si>
  <si>
    <t>Glass &amp; Concrete industry Demand Heat Room Heat</t>
  </si>
  <si>
    <t>IGDLA</t>
  </si>
  <si>
    <t>Glass &amp; Concrete industry Demand Light</t>
  </si>
  <si>
    <t>IGDEM</t>
  </si>
  <si>
    <t>Glass &amp; Concrete industry Demand Electric Motors</t>
  </si>
  <si>
    <t>IGDTF</t>
  </si>
  <si>
    <t>Glass &amp; Concrete industry Demand Haulage Tractors, Trucks, Fishing boats, Forest machines</t>
  </si>
  <si>
    <t>IGDFL</t>
  </si>
  <si>
    <t>Glass &amp; Concrete industry Demand Haulage Forklifts</t>
  </si>
  <si>
    <t>Chemical industry Demand Heat Medium Temp. up to 150C</t>
  </si>
  <si>
    <t>Chemical industry Demand Heat High Temp. over 150C</t>
  </si>
  <si>
    <t>Chemical industry Demand Heat Room Heat</t>
  </si>
  <si>
    <t>ICDLA</t>
  </si>
  <si>
    <t>Chemical industry Demand Light</t>
  </si>
  <si>
    <t>ICDEM</t>
  </si>
  <si>
    <t>Chemical industry Demand Electric Motors</t>
  </si>
  <si>
    <t>ICDTF</t>
  </si>
  <si>
    <t>Chemical industry Demand Haulage Tractors, Trucks, Fishing boats, Forest machines</t>
  </si>
  <si>
    <t>ICDFL</t>
  </si>
  <si>
    <t>Chemical industry Demand Haulage Forklifts</t>
  </si>
  <si>
    <t>Food industry Demand Heat Medium Temp. up to 150C</t>
  </si>
  <si>
    <t>Food industry Demand Heat High Temp. over 150C</t>
  </si>
  <si>
    <t>Food industry Demand Heat Room Heat</t>
  </si>
  <si>
    <t>IFDLA</t>
  </si>
  <si>
    <t>Food industry Demand Light</t>
  </si>
  <si>
    <t>IFDEM</t>
  </si>
  <si>
    <t>Food industry Demand Electric Motors</t>
  </si>
  <si>
    <t>IFDTF</t>
  </si>
  <si>
    <t>Food industry Demand Haulage Tractors, Trucks, Fishing boats, Forest machines</t>
  </si>
  <si>
    <t>IFDFL</t>
  </si>
  <si>
    <t>Food industry Demand Haulage Forklifts</t>
  </si>
  <si>
    <t>Machinery industry Demand Heat Medium Temp. up to 150C</t>
  </si>
  <si>
    <t>Machinery industry Demand Heat High Temp. over 150C</t>
  </si>
  <si>
    <t>Machinery industry Demand Heat Room Heat</t>
  </si>
  <si>
    <t>IMDLA</t>
  </si>
  <si>
    <t>Machinery industry Demand Light</t>
  </si>
  <si>
    <t>IMDEM</t>
  </si>
  <si>
    <t>Machinery industry Demand Electric Motors</t>
  </si>
  <si>
    <t>IMDTF</t>
  </si>
  <si>
    <t>Machinery industry Demand Haulage Tractors, Trucks, Fishing boats, Forest machines</t>
  </si>
  <si>
    <t>IMDFL</t>
  </si>
  <si>
    <t>Machinery industry Demand Haulage Forklifts</t>
  </si>
  <si>
    <t>Aluminium industry Demand Heat Medium Temp. up to 150C</t>
  </si>
  <si>
    <t>Aluminium industry Demand Heat High Temp. over 150C</t>
  </si>
  <si>
    <t>Aluminium industry Demand Heat Room Heat</t>
  </si>
  <si>
    <t>Aluminium industry Demand Light</t>
  </si>
  <si>
    <t>Aluminium industry Demand Electric Motors</t>
  </si>
  <si>
    <t>Aluminium industry Demand Haulage Tractors, Trucks, Fishing boats, Forest machines</t>
  </si>
  <si>
    <t>Aluminium industry Demand Haulage Forklifts</t>
  </si>
  <si>
    <t>Iron &amp; Steel  Demand Heat Medium Temp. up to 150C</t>
  </si>
  <si>
    <t>Iron &amp; Steel  Demand Heat High Temp. over 150C</t>
  </si>
  <si>
    <t>Iron &amp; Steel  Demand Heat Room Heat</t>
  </si>
  <si>
    <t>ISDLA</t>
  </si>
  <si>
    <t>Iron &amp; Steel  Demand Light</t>
  </si>
  <si>
    <t>ISDEM</t>
  </si>
  <si>
    <t>Iron &amp; Steel  Demand Electric Motors</t>
  </si>
  <si>
    <t>ISDTF</t>
  </si>
  <si>
    <t>Iron &amp; Steel  Demand Haulage Tractors, Trucks, Fishing boats, Forest machines</t>
  </si>
  <si>
    <t>ISDFL</t>
  </si>
  <si>
    <t>Iron &amp; Steel  Demand Haulage Forklifts</t>
  </si>
  <si>
    <t>Mining Demand Heat Medium Temp. up to 150C</t>
  </si>
  <si>
    <t>Mining Demand Heat High Temp. over 150C</t>
  </si>
  <si>
    <t>Mining Demand Heat Room Heat</t>
  </si>
  <si>
    <t>IIDLA</t>
  </si>
  <si>
    <t>Mining Demand Light</t>
  </si>
  <si>
    <t>IIDEM</t>
  </si>
  <si>
    <t>Mining Demand Electric Motors</t>
  </si>
  <si>
    <t>IIDTF</t>
  </si>
  <si>
    <t>Mining Demand Haulage Tractors, Trucks, Fishing boats, Forest machines</t>
  </si>
  <si>
    <t>IIDFL</t>
  </si>
  <si>
    <t>Mining Demand Haulage Forklifts</t>
  </si>
  <si>
    <t>Other comm Demand Heat Medium Temp. up to 150C</t>
  </si>
  <si>
    <t>Other comm Demand Heat High Temp. over 150C</t>
  </si>
  <si>
    <t>Other comm Demand Heat Room Heat</t>
  </si>
  <si>
    <t>IODLA</t>
  </si>
  <si>
    <t>Other comm Demand Light</t>
  </si>
  <si>
    <t>IODEM</t>
  </si>
  <si>
    <t>Other comm Demand Electric Motors</t>
  </si>
  <si>
    <t>IODTF</t>
  </si>
  <si>
    <t>Other comm Demand Haulage Tractors, Trucks, Fishing boats, Forest machines</t>
  </si>
  <si>
    <t>IODFL</t>
  </si>
  <si>
    <t>Other comm Demand Haulage Forklifts</t>
  </si>
  <si>
    <t>Wood products industry Demand Heat Medium Temp. up to 150C</t>
  </si>
  <si>
    <t>Wood products industry Demand Heat High Temp. over 150C</t>
  </si>
  <si>
    <t>Wood products industry Demand Heat Room Heat</t>
  </si>
  <si>
    <t>IWDLA</t>
  </si>
  <si>
    <t>Wood products industry Demand Light</t>
  </si>
  <si>
    <t>IWDEM</t>
  </si>
  <si>
    <t>Wood products industry Demand Electric Motors</t>
  </si>
  <si>
    <t>IWDTF</t>
  </si>
  <si>
    <t>Wood products industry Demand Haulage Tractors, Trucks, Fishing boats, Forest machines</t>
  </si>
  <si>
    <t>IWDFL</t>
  </si>
  <si>
    <t>Wood products industry Demand Haulage Forklifts</t>
  </si>
  <si>
    <t>Paper &amp; Pulp industry Demand Heat Medium Temp. up to 150C</t>
  </si>
  <si>
    <t>Paper &amp; Pulp industry Demand Heat High Temp. over 150C</t>
  </si>
  <si>
    <t>Paper &amp; Pulp industry Demand Heat Room Heat</t>
  </si>
  <si>
    <t>IRDLA</t>
  </si>
  <si>
    <t>Paper &amp; Pulp industry Demand Light</t>
  </si>
  <si>
    <t>IRDEM</t>
  </si>
  <si>
    <t>Paper &amp; Pulp industry Demand Electric Motors</t>
  </si>
  <si>
    <t>IRDTF</t>
  </si>
  <si>
    <t>Paper &amp; Pulp industry Demand Haulage Tractors, Trucks, Fishing boats, Forest machines</t>
  </si>
  <si>
    <t>IRDFL</t>
  </si>
  <si>
    <t>Paper &amp; Pulp industry Demand Haulage Forklifts</t>
  </si>
  <si>
    <t>Decentral</t>
  </si>
  <si>
    <t>Central</t>
  </si>
  <si>
    <t>DKW</t>
  </si>
  <si>
    <t>DKE</t>
  </si>
  <si>
    <t>Years</t>
  </si>
  <si>
    <t>MKr/PJ</t>
  </si>
  <si>
    <t>MKr/MW</t>
  </si>
  <si>
    <t>Construction time</t>
  </si>
  <si>
    <t>ILED</t>
  </si>
  <si>
    <t>Technical life</t>
  </si>
  <si>
    <t>Fraction of capacity in peak equations</t>
  </si>
  <si>
    <t>Annual availability/utilization factor</t>
  </si>
  <si>
    <t>Units of activity/unit of capacity</t>
  </si>
  <si>
    <t>Annual variable O&amp;M cost</t>
  </si>
  <si>
    <t>Annual fixed O&amp;M cost</t>
  </si>
  <si>
    <t>Total cost of investment in new capacity</t>
  </si>
  <si>
    <t>Electricity consumption</t>
  </si>
  <si>
    <t xml:space="preserve">Minimum capacity for technology </t>
  </si>
  <si>
    <t>Peak</t>
  </si>
  <si>
    <t>*ELCC Input</t>
  </si>
  <si>
    <t>*Minimum capacity</t>
  </si>
  <si>
    <r>
      <t>N</t>
    </r>
    <r>
      <rPr>
        <vertAlign val="subscript"/>
        <sz val="9"/>
        <color theme="1"/>
        <rFont val="Arial"/>
        <family val="2"/>
      </rPr>
      <t>2</t>
    </r>
    <r>
      <rPr>
        <sz val="9"/>
        <color theme="1"/>
        <rFont val="Arial"/>
        <family val="2"/>
      </rPr>
      <t>O (g per GJ fuel)</t>
    </r>
  </si>
  <si>
    <r>
      <t>CH</t>
    </r>
    <r>
      <rPr>
        <vertAlign val="subscript"/>
        <sz val="9"/>
        <color theme="1"/>
        <rFont val="Arial"/>
        <family val="2"/>
      </rPr>
      <t>4</t>
    </r>
    <r>
      <rPr>
        <sz val="9"/>
        <color theme="1"/>
        <rFont val="Arial"/>
        <family val="2"/>
      </rPr>
      <t xml:space="preserve"> (g per GJ fuel)</t>
    </r>
  </si>
  <si>
    <r>
      <t>NO</t>
    </r>
    <r>
      <rPr>
        <vertAlign val="subscript"/>
        <sz val="9"/>
        <color theme="1"/>
        <rFont val="Arial"/>
        <family val="2"/>
      </rPr>
      <t>X</t>
    </r>
    <r>
      <rPr>
        <sz val="9"/>
        <color theme="1"/>
        <rFont val="Arial"/>
        <family val="2"/>
      </rPr>
      <t xml:space="preserve"> (g per GJ fuel)</t>
    </r>
  </si>
  <si>
    <r>
      <t>SO</t>
    </r>
    <r>
      <rPr>
        <vertAlign val="subscript"/>
        <sz val="9"/>
        <color theme="1"/>
        <rFont val="Arial"/>
        <family val="2"/>
      </rPr>
      <t>2</t>
    </r>
    <r>
      <rPr>
        <sz val="9"/>
        <color theme="1"/>
        <rFont val="Arial"/>
        <family val="2"/>
      </rPr>
      <t xml:space="preserve"> (g per GJ fuel)</t>
    </r>
  </si>
  <si>
    <t>Data for the danish energy agency 2017 technology catalog</t>
  </si>
  <si>
    <t>DKK/EU</t>
  </si>
  <si>
    <t>Degrees of waste heat</t>
  </si>
  <si>
    <t>Comm</t>
  </si>
  <si>
    <r>
      <t>- of which is other O&amp;M costs (€/MWh</t>
    </r>
    <r>
      <rPr>
        <vertAlign val="subscript"/>
        <sz val="9"/>
        <rFont val="Arial"/>
        <family val="2"/>
      </rPr>
      <t>heat</t>
    </r>
    <r>
      <rPr>
        <sz val="9"/>
        <rFont val="Arial"/>
        <family val="2"/>
      </rPr>
      <t>)</t>
    </r>
  </si>
  <si>
    <r>
      <t>- of which is electricity costs (€/MWh</t>
    </r>
    <r>
      <rPr>
        <vertAlign val="subscript"/>
        <sz val="9"/>
        <rFont val="Arial"/>
        <family val="2"/>
      </rPr>
      <t>heat</t>
    </r>
    <r>
      <rPr>
        <sz val="9"/>
        <rFont val="Arial"/>
        <family val="2"/>
      </rPr>
      <t>)</t>
    </r>
  </si>
  <si>
    <r>
      <t>Variable O&amp;M (€/MWh</t>
    </r>
    <r>
      <rPr>
        <vertAlign val="subscript"/>
        <sz val="9"/>
        <rFont val="Arial"/>
        <family val="2"/>
      </rPr>
      <t>heat</t>
    </r>
    <r>
      <rPr>
        <sz val="9"/>
        <rFont val="Arial"/>
        <family val="2"/>
      </rPr>
      <t>)</t>
    </r>
  </si>
  <si>
    <r>
      <t>Fixed O&amp;M (€/MW</t>
    </r>
    <r>
      <rPr>
        <vertAlign val="subscript"/>
        <sz val="9"/>
        <rFont val="Arial"/>
        <family val="2"/>
      </rPr>
      <t>heat</t>
    </r>
    <r>
      <rPr>
        <sz val="9"/>
        <rFont val="Arial"/>
        <family val="2"/>
      </rPr>
      <t>/year)</t>
    </r>
  </si>
  <si>
    <t>A, L</t>
  </si>
  <si>
    <r>
      <t>Nominal investment (M€ per MW</t>
    </r>
    <r>
      <rPr>
        <vertAlign val="subscript"/>
        <sz val="9"/>
        <rFont val="Arial"/>
        <family val="2"/>
      </rPr>
      <t>heat</t>
    </r>
    <r>
      <rPr>
        <sz val="9"/>
        <rFont val="Arial"/>
        <family val="2"/>
      </rPr>
      <t>)</t>
    </r>
  </si>
  <si>
    <t>8,10</t>
  </si>
  <si>
    <r>
      <t>Space requirement (1000m2 per MW</t>
    </r>
    <r>
      <rPr>
        <vertAlign val="subscript"/>
        <sz val="9"/>
        <rFont val="Arial"/>
        <family val="2"/>
      </rPr>
      <t>heat</t>
    </r>
    <r>
      <rPr>
        <sz val="9"/>
        <rFont val="Arial"/>
        <family val="2"/>
      </rPr>
      <t>)</t>
    </r>
  </si>
  <si>
    <t>I, M</t>
  </si>
  <si>
    <t>3, 4</t>
  </si>
  <si>
    <t>A, B, F, J</t>
  </si>
  <si>
    <t>Total eff., net (%), annual average, waste heat 40° C, reduced supply temp.</t>
  </si>
  <si>
    <r>
      <t xml:space="preserve">Total eff., net (%), annual average, waste heat </t>
    </r>
    <r>
      <rPr>
        <b/>
        <sz val="9"/>
        <color rgb="FFFF0000"/>
        <rFont val="Arial"/>
        <family val="2"/>
      </rPr>
      <t>20° C</t>
    </r>
    <r>
      <rPr>
        <sz val="9"/>
        <rFont val="Arial"/>
        <family val="2"/>
      </rPr>
      <t>, reduced supply temp.</t>
    </r>
  </si>
  <si>
    <t>Total eff., net (%), annual average, ambient heat source, reduced supply temp.</t>
  </si>
  <si>
    <t>A, F, J, K</t>
  </si>
  <si>
    <t>Total eff., net (%), annual average, ambient heat source, no dev. in supply temp.</t>
  </si>
  <si>
    <t>N/A</t>
  </si>
  <si>
    <r>
      <t>Heat generation capacity for one unit (MW</t>
    </r>
    <r>
      <rPr>
        <vertAlign val="subscript"/>
        <sz val="9"/>
        <rFont val="Arial"/>
        <family val="2"/>
      </rPr>
      <t>heat</t>
    </r>
    <r>
      <rPr>
        <sz val="9"/>
        <rFont val="Arial"/>
        <family val="2"/>
      </rPr>
      <t>)</t>
    </r>
  </si>
  <si>
    <t>40 Electrical compression heat pumps - district heating</t>
  </si>
  <si>
    <t>T_lm, source [C] =</t>
  </si>
  <si>
    <t>T_source out [K] =</t>
  </si>
  <si>
    <t>T_source in [K] =</t>
  </si>
  <si>
    <t>Currency Conversion</t>
  </si>
  <si>
    <t>Degrees of Source Temperature</t>
  </si>
  <si>
    <t>Total eff., net (%), annual average, waste heat 20° C, reduced supply temp.</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</si>
  <si>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</si>
  <si>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</si>
  <si>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</si>
  <si>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</si>
  <si>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</si>
  <si>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</si>
  <si>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</si>
  <si>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</si>
  <si>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</si>
  <si>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</si>
  <si>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</si>
  <si>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</si>
  <si>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</si>
  <si>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</si>
  <si>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</si>
  <si>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</si>
  <si>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</si>
  <si>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</si>
  <si>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</si>
  <si>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</si>
  <si>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</si>
  <si>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</si>
  <si>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</si>
  <si>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</si>
  <si>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</si>
  <si>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</si>
  <si>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</si>
  <si>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</si>
  <si>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</si>
  <si>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</si>
  <si>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</si>
  <si>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</si>
  <si>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</si>
  <si>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</si>
  <si>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</si>
  <si>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</si>
  <si>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</si>
  <si>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</si>
  <si>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</si>
  <si>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</si>
  <si>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</si>
  <si>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</si>
  <si>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</si>
  <si>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</si>
  <si>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</si>
  <si>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</si>
  <si>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</si>
  <si>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</si>
  <si>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</si>
  <si>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</si>
  <si>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</si>
  <si>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</si>
  <si>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</si>
  <si>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</si>
  <si>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</si>
  <si>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</si>
  <si>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</si>
  <si>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</si>
  <si>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</si>
  <si>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</si>
  <si>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</si>
  <si>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</si>
  <si>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</si>
  <si>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</si>
  <si>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</si>
  <si>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</si>
  <si>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</si>
  <si>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</si>
  <si>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</si>
  <si>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</si>
  <si>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</si>
  <si>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</si>
  <si>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</si>
  <si>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</si>
  <si>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</si>
  <si>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</si>
  <si>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</si>
  <si>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</si>
  <si>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</si>
  <si>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</si>
  <si>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</si>
  <si>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</si>
  <si>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</si>
  <si>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</si>
  <si>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</si>
  <si>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</si>
  <si>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</si>
  <si>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</si>
  <si>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</si>
  <si>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</si>
  <si>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</si>
  <si>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</si>
  <si>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</si>
  <si>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</si>
  <si>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</si>
  <si>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</si>
  <si>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</si>
  <si>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</si>
  <si>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</si>
  <si>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</si>
  <si>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</si>
  <si>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</si>
  <si>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</si>
  <si>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</si>
  <si>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</si>
  <si>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</si>
  <si>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</si>
  <si>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</si>
  <si>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</si>
  <si>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</si>
  <si>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</si>
  <si>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</si>
  <si>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</si>
  <si>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</si>
  <si>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</si>
  <si>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</si>
  <si>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</si>
  <si>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</si>
  <si>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</si>
  <si>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</si>
  <si>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</si>
  <si>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</si>
  <si>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</si>
  <si>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</si>
  <si>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</si>
  <si>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</si>
  <si>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</si>
  <si>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</si>
  <si>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</si>
  <si>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</si>
  <si>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</si>
  <si>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</si>
  <si>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</si>
  <si>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</si>
  <si>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</si>
  <si>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</si>
  <si>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</si>
  <si>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</si>
  <si>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</si>
  <si>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</si>
  <si>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</si>
  <si>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</si>
  <si>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</si>
  <si>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</si>
  <si>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</si>
  <si>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</si>
  <si>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</si>
  <si>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</si>
  <si>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</si>
  <si>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</si>
  <si>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</si>
  <si>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</si>
  <si>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</si>
  <si>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</si>
  <si>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</si>
  <si>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</si>
  <si>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</si>
  <si>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</si>
  <si>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</si>
  <si>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</si>
  <si>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</si>
  <si>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</si>
  <si>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</si>
  <si>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</si>
  <si>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</si>
  <si>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</si>
  <si>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</si>
  <si>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</si>
  <si>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</si>
  <si>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</si>
  <si>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</si>
  <si>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</si>
  <si>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</si>
  <si>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</si>
  <si>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</si>
  <si>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</si>
  <si>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</si>
  <si>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</si>
  <si>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</si>
  <si>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</si>
  <si>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</si>
  <si>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</si>
  <si>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</si>
  <si>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</si>
  <si>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</si>
  <si>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</si>
  <si>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</si>
  <si>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</si>
  <si>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</si>
  <si>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</si>
  <si>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</si>
  <si>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</si>
  <si>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</si>
  <si>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</si>
  <si>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</si>
  <si>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</si>
  <si>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</si>
  <si>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</si>
  <si>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</si>
  <si>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</si>
  <si>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</si>
  <si>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</si>
  <si>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</si>
  <si>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</si>
  <si>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</si>
  <si>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</si>
  <si>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</si>
  <si>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</si>
  <si>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</si>
  <si>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</si>
  <si>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</si>
  <si>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</si>
  <si>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</si>
  <si>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</si>
  <si>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</si>
  <si>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</si>
  <si>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</si>
  <si>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</si>
  <si>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</si>
  <si>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</si>
  <si>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</si>
  <si>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</si>
  <si>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</si>
  <si>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</si>
  <si>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</si>
  <si>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</si>
  <si>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</si>
  <si>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</si>
  <si>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</si>
  <si>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</si>
  <si>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</si>
  <si>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</si>
  <si>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</si>
  <si>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</si>
  <si>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</si>
  <si>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</si>
  <si>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</si>
  <si>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</si>
  <si>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</si>
  <si>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</si>
  <si>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</si>
  <si>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</si>
  <si>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</si>
  <si>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</si>
  <si>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</si>
  <si>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</si>
  <si>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</si>
  <si>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</si>
  <si>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</si>
  <si>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</si>
  <si>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</si>
  <si>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</si>
  <si>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</si>
  <si>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</si>
  <si>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</si>
  <si>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</si>
  <si>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</si>
  <si>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</si>
  <si>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</si>
  <si>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</si>
  <si>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</si>
  <si>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</si>
  <si>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</si>
  <si>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</si>
  <si>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</si>
  <si>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</si>
  <si>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</si>
  <si>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</si>
  <si>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</si>
  <si>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</si>
  <si>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</si>
  <si>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</si>
  <si>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</si>
  <si>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</si>
  <si>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</si>
  <si>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</si>
  <si>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</si>
  <si>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</si>
  <si>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</si>
  <si>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</si>
  <si>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</si>
  <si>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</si>
  <si>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</si>
  <si>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</si>
  <si>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</si>
  <si>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</si>
  <si>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</si>
  <si>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</si>
  <si>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</si>
  <si>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</si>
  <si>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</si>
  <si>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</si>
  <si>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</si>
  <si>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</si>
  <si>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</si>
  <si>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</si>
  <si>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</si>
  <si>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</si>
  <si>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</si>
  <si>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</si>
  <si>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</si>
  <si>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</si>
  <si>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</si>
  <si>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</si>
  <si>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</si>
  <si>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</si>
  <si>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</si>
  <si>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</si>
  <si>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</si>
  <si>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</si>
  <si>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</si>
  <si>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</si>
  <si>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</si>
  <si>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</si>
  <si>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</si>
  <si>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</si>
  <si>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</si>
  <si>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</si>
  <si>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</si>
  <si>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</si>
  <si>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</si>
  <si>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</si>
  <si>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</si>
  <si>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</si>
  <si>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</si>
  <si>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</si>
  <si>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</si>
  <si>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</si>
  <si>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</si>
  <si>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</si>
  <si>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</si>
  <si>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</si>
  <si>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</si>
  <si>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</si>
  <si>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</si>
  <si>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</si>
  <si>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</si>
  <si>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</si>
  <si>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</si>
  <si>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</si>
  <si>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</si>
  <si>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</si>
  <si>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</si>
  <si>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</si>
  <si>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</si>
  <si>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</si>
  <si>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</si>
  <si>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</si>
  <si>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</si>
  <si>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</si>
  <si>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</si>
  <si>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</si>
  <si>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</si>
  <si>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</si>
  <si>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</si>
  <si>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</si>
  <si>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</si>
  <si>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</si>
  <si>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</si>
  <si>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</si>
  <si>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</si>
  <si>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</si>
  <si>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</si>
  <si>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</si>
  <si>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</si>
  <si>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</si>
  <si>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</si>
  <si>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</si>
  <si>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</si>
  <si>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</si>
  <si>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</si>
  <si>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</si>
  <si>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</si>
  <si>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</si>
  <si>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</si>
  <si>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</si>
  <si>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</si>
  <si>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</si>
  <si>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</si>
  <si>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</si>
  <si>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</si>
  <si>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</si>
  <si>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</si>
  <si>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</si>
  <si>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</si>
  <si>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</si>
  <si>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</si>
  <si>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</si>
  <si>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</si>
  <si>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</si>
  <si>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</si>
  <si>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</si>
  <si>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</si>
  <si>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</si>
  <si>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</si>
  <si>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</si>
  <si>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</si>
  <si>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</si>
  <si>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</si>
  <si>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</si>
  <si>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</si>
  <si>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</si>
  <si>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</si>
  <si>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</si>
  <si>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</si>
  <si>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</si>
  <si>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</si>
  <si>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</si>
  <si>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</si>
  <si>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</si>
  <si>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</si>
  <si>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</si>
  <si>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</si>
  <si>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</si>
  <si>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</si>
  <si>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</si>
  <si>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</si>
  <si>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</si>
  <si>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</si>
  <si>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</si>
  <si>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</si>
  <si>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</si>
  <si>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</si>
  <si>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</si>
  <si>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</si>
  <si>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</si>
  <si>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</si>
  <si>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</si>
  <si>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</si>
  <si>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</si>
  <si>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</si>
  <si>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</si>
  <si>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</si>
  <si>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</si>
  <si>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</si>
  <si>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</si>
  <si>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</si>
  <si>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</si>
  <si>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</si>
  <si>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</si>
  <si>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</si>
  <si>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</si>
  <si>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</si>
  <si>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</si>
  <si>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</si>
  <si>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</si>
  <si>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</si>
  <si>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</si>
  <si>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</si>
  <si>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</si>
  <si>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</si>
  <si>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</si>
  <si>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</si>
  <si>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</si>
  <si>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</si>
  <si>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</si>
  <si>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</si>
  <si>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</si>
  <si>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</si>
  <si>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</si>
  <si>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</si>
  <si>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</si>
  <si>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</si>
  <si>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</si>
  <si>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</si>
  <si>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</si>
  <si>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</si>
  <si>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</si>
  <si>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</si>
  <si>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</si>
  <si>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</si>
  <si>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</si>
  <si>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</si>
  <si>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</si>
  <si>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</si>
  <si>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</si>
  <si>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</si>
  <si>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</si>
  <si>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</si>
  <si>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</si>
  <si>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</si>
  <si>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</si>
  <si>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</si>
  <si>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</si>
  <si>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</si>
  <si>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</si>
  <si>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</si>
  <si>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</si>
  <si>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</si>
  <si>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</si>
  <si>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</si>
  <si>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</si>
  <si>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</si>
  <si>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</si>
  <si>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</si>
  <si>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</si>
  <si>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</si>
  <si>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</si>
  <si>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</si>
  <si>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</si>
  <si>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</si>
  <si>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</si>
  <si>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</si>
  <si>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</si>
  <si>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</si>
  <si>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</si>
  <si>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</si>
  <si>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</si>
  <si>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</si>
  <si>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</si>
  <si>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</si>
  <si>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</si>
  <si>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</si>
  <si>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</si>
  <si>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</si>
  <si>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</si>
  <si>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</si>
  <si>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</si>
  <si>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</si>
  <si>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</si>
  <si>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</si>
  <si>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</si>
  <si>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</si>
  <si>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</si>
  <si>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</si>
  <si>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</si>
  <si>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LTMEH</t>
  </si>
  <si>
    <t>GANDRUP VESTER-HASSING VARMEFORSYNING</t>
  </si>
  <si>
    <t>GALTEN VARMEVÆRK</t>
  </si>
  <si>
    <t>E.ON DANMARK A/S</t>
  </si>
  <si>
    <t>FUGLEBJERG FJERNVARME</t>
  </si>
  <si>
    <t>Dybvad Varmeværk</t>
  </si>
  <si>
    <t>DURUP FJERNVARME</t>
  </si>
  <si>
    <t>FREDERIKSBERG FJERNVARME A/S</t>
  </si>
  <si>
    <t>DTU-HF A.m.b.a.</t>
  </si>
  <si>
    <t>Winter</t>
  </si>
  <si>
    <t>Autumn</t>
  </si>
  <si>
    <t>Summer</t>
  </si>
  <si>
    <t>Spring</t>
  </si>
  <si>
    <t>MTEH</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</si>
  <si>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</si>
  <si>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</si>
  <si>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</si>
  <si>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</si>
  <si>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</si>
  <si>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</si>
  <si>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</si>
  <si>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</si>
  <si>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</si>
  <si>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</si>
  <si>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</si>
  <si>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</si>
  <si>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</si>
  <si>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</si>
  <si>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</si>
  <si>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</si>
  <si>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</si>
  <si>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</si>
  <si>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</si>
  <si>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Ret_temp_wint</t>
  </si>
  <si>
    <t>Supp_temp_wint</t>
  </si>
  <si>
    <t>Ret_temp_aut</t>
  </si>
  <si>
    <t>Supp_temp_aut</t>
  </si>
  <si>
    <t>Ret_temp_summ</t>
  </si>
  <si>
    <t>Supp_temp_summ</t>
  </si>
  <si>
    <t>Ret_temp_sspr</t>
  </si>
  <si>
    <t>Supp_temp_spr</t>
  </si>
  <si>
    <t>ENERGI VIBORG KRAFTVARME A/S</t>
  </si>
  <si>
    <t>BRØNDERSLEV VARME A/S</t>
  </si>
  <si>
    <t>WINTER</t>
  </si>
  <si>
    <t>AUTUMN</t>
  </si>
  <si>
    <t>SUMMER</t>
  </si>
  <si>
    <t>SPRING</t>
  </si>
  <si>
    <t>ELLIDSHØJ-FERSLEV KRAFTVARMEVÆRK</t>
  </si>
  <si>
    <t>BRØNDBY FJERNVARME A M B A</t>
  </si>
  <si>
    <t>EJSTRUPHOLM VARMEVÆRK</t>
  </si>
  <si>
    <t>Water</t>
  </si>
  <si>
    <t>https://www.seatemperature.org/europe/denmark/</t>
  </si>
  <si>
    <t>EJSING FJERNVARMEFORSYNING A.M.B.A.</t>
  </si>
  <si>
    <t>BRÆDSTRUP FJERNVARME A M B A</t>
  </si>
  <si>
    <t>Soil</t>
  </si>
  <si>
    <t>EJBY FJERNVARME A.M.B.A.</t>
  </si>
  <si>
    <t>BROVST FJERNVARME ANDELSSELSKAB</t>
  </si>
  <si>
    <t>Air</t>
  </si>
  <si>
    <t>EGEDAL FJERNVARME A/S</t>
  </si>
  <si>
    <t>BROAGER FJERNVARMESELSKAB AMBA</t>
  </si>
  <si>
    <t>EBELTOFT FJERNVARMEVÆRK A.M.B.A.</t>
  </si>
  <si>
    <t>Bredsten-Balle Kraftvarmeværk amba</t>
  </si>
  <si>
    <t>DYBVAD VARMEVÆRK A.M.B.A.</t>
  </si>
  <si>
    <t>Brande Fjernvarme</t>
  </si>
  <si>
    <t>Based on similar assumptions for DH temperatures as stated in the technology catalog 2017 from the Danish energy agency</t>
  </si>
  <si>
    <t>Future COP Values</t>
  </si>
  <si>
    <t>Boulstrup-Hou Kraftvarmeværk AMBA</t>
  </si>
  <si>
    <t>DAGNÆS-BÆKKELUND VARMEVÆRK A.M.B.A.</t>
  </si>
  <si>
    <t>CHRISTIANSFELD FJERNVARMESELSKAB A.M.B.A</t>
  </si>
  <si>
    <t>BORUP VARMEVÆRK A M B A</t>
  </si>
  <si>
    <t>BÆLUM VARMEVÆRK A.M.B.A.</t>
  </si>
  <si>
    <t>BORNHOLMS VARME A/S</t>
  </si>
  <si>
    <t>Historical average temperatures denmark</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</si>
  <si>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</si>
  <si>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</si>
  <si>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</si>
  <si>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</si>
  <si>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</si>
  <si>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</si>
  <si>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</si>
  <si>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</si>
  <si>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</si>
  <si>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</si>
  <si>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Waste heat 40 Degrees</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</si>
  <si>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</si>
  <si>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</si>
  <si>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</si>
  <si>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</si>
  <si>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</si>
  <si>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</si>
  <si>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</si>
  <si>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</si>
  <si>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Waste heat 20 Degrees</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</si>
  <si>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</si>
  <si>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</si>
  <si>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</si>
  <si>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</si>
  <si>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</si>
  <si>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</si>
  <si>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</si>
  <si>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</si>
  <si>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´5-10</t>
  </si>
  <si>
    <t>0-18</t>
  </si>
  <si>
    <t>Heat pump, ambient</t>
  </si>
  <si>
    <t>BJERRINGBRO VARMEVÆRK A.M.B.A.</t>
  </si>
  <si>
    <t>ASÅ VARMEVÆRK                     V/POUL NIELSEN</t>
  </si>
  <si>
    <t>BINDSLEV FJERNVARME A.M.B.A.</t>
  </si>
  <si>
    <t>ASTRUP KRAFTVARMEVÆRK A.M.B.A.</t>
  </si>
  <si>
    <t>BILLUND VARMEVÆRK A.M.B.A.</t>
  </si>
  <si>
    <t>ASSENS FJERNVARME A M B A</t>
  </si>
  <si>
    <t>°K</t>
  </si>
  <si>
    <t>BEDSTED FJERNVARME</t>
  </si>
  <si>
    <t>ARDEN VARMEVÆRK AMBA</t>
  </si>
  <si>
    <t>BALLING FJERNVARMEVÆRK A.M.B.A.</t>
  </si>
  <si>
    <t>ANSAGER VARMEVÆRK</t>
  </si>
  <si>
    <t>Off-Design Eff.</t>
  </si>
  <si>
    <t>AULUM FJERNVARME A.M.B.A.</t>
  </si>
  <si>
    <t>ANS FJERNVARMEVÆRK A M B A</t>
  </si>
  <si>
    <t>Lorentz Eff.</t>
  </si>
  <si>
    <t>Carnot Eff.</t>
  </si>
  <si>
    <t>AUGUSTENBORG FJERNVARME A.M.B.A.</t>
  </si>
  <si>
    <t>ANDELSSELSKABET OKSBØL VARMEVÆRK</t>
  </si>
  <si>
    <t>°C</t>
  </si>
  <si>
    <t>HTEH</t>
  </si>
  <si>
    <r>
      <rPr>
        <sz val="11"/>
        <color theme="1"/>
        <rFont val="Verdana"/>
        <family val="2"/>
      </rPr>
      <t>°</t>
    </r>
    <r>
      <rPr>
        <sz val="11"/>
        <color theme="1"/>
        <rFont val="Calibri"/>
        <family val="2"/>
      </rPr>
      <t>C</t>
    </r>
  </si>
  <si>
    <t>ASAA FJERNVARME</t>
  </si>
  <si>
    <t>ANDELSSELSKABET MØLHOLM VARMEVÆRK</t>
  </si>
  <si>
    <t>Lorentz efficiency, High</t>
  </si>
  <si>
    <t>Lorentz efficiency, Low</t>
  </si>
  <si>
    <t>Lorentz efficiency, mean</t>
  </si>
  <si>
    <t>vand</t>
  </si>
  <si>
    <t>luft</t>
  </si>
  <si>
    <t>Source, out</t>
  </si>
  <si>
    <t>Source, in</t>
  </si>
  <si>
    <t>DH T out</t>
  </si>
  <si>
    <t>DH T in</t>
  </si>
  <si>
    <t>COP High</t>
  </si>
  <si>
    <t>COP Low</t>
  </si>
  <si>
    <t>COP mean</t>
  </si>
  <si>
    <t>Tech</t>
  </si>
  <si>
    <t>ASSENS FJERNVARME - FYN</t>
  </si>
  <si>
    <t>LTEH</t>
  </si>
  <si>
    <t>ANSAGER VARMEVÆRK A.M.B.A.</t>
  </si>
  <si>
    <t>ALS FJERNVARME AMBA</t>
  </si>
  <si>
    <t>Tech catalogue Lorents efficiency calculation</t>
  </si>
  <si>
    <t>Outlet temp</t>
  </si>
  <si>
    <t>Avg. EH Delta_T</t>
  </si>
  <si>
    <t>Avg. EH T</t>
  </si>
  <si>
    <t>ALS FJERNVARME A.M.B.A.</t>
  </si>
  <si>
    <t>ALLINGÅBRO VARMEVÆRK A M B A</t>
  </si>
  <si>
    <t>Assumptions</t>
  </si>
  <si>
    <t>ALLINGÅBRO VARMEVÆRK A.M.B.A.</t>
  </si>
  <si>
    <t>Allerød Kommune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</si>
  <si>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</si>
  <si>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</si>
  <si>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</si>
  <si>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</si>
  <si>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</si>
  <si>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</si>
  <si>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</si>
  <si>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</si>
  <si>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</si>
  <si>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</si>
  <si>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</si>
  <si>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</si>
  <si>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Look up value</t>
  </si>
  <si>
    <t>Tractor</t>
  </si>
  <si>
    <t>Van</t>
  </si>
  <si>
    <t>PnD</t>
  </si>
  <si>
    <t>Pick up and delivery</t>
  </si>
  <si>
    <t>Vocational</t>
  </si>
  <si>
    <t>Heavy duty trucks also used used during construction &amp; mining</t>
  </si>
  <si>
    <t>NACFE</t>
  </si>
  <si>
    <t>Long distance semi trucks</t>
  </si>
  <si>
    <t>Mass in kg</t>
  </si>
  <si>
    <t>fuel consumption in gallon/mile (gpm) for charge sustaining and depleting modes</t>
  </si>
  <si>
    <t>energy consumption in Wh/mile (Whpm)</t>
  </si>
  <si>
    <t>Component Power</t>
  </si>
  <si>
    <t>daily fuel consumption assuming max range</t>
  </si>
  <si>
    <t>Weighted freight fuel consumption</t>
  </si>
  <si>
    <t>retail price equivalent of the components with learning costs ($)</t>
  </si>
  <si>
    <t>Retail Price ($)</t>
  </si>
  <si>
    <t>Case</t>
  </si>
  <si>
    <t>Class</t>
  </si>
  <si>
    <t>Purpose</t>
  </si>
  <si>
    <t>Powertrain</t>
  </si>
  <si>
    <t>RegulatoryCode</t>
  </si>
  <si>
    <t>TestMass</t>
  </si>
  <si>
    <t>CargoMass</t>
  </si>
  <si>
    <t>Battery kWh (Total)</t>
  </si>
  <si>
    <t>gpm_ARB</t>
  </si>
  <si>
    <t>gpm_EPA_55</t>
  </si>
  <si>
    <t>gpm_EPA_65</t>
  </si>
  <si>
    <t>gpm_CD_ARB</t>
  </si>
  <si>
    <t>gpm_CD_EPA_55</t>
  </si>
  <si>
    <t>gpm_CD_EPA_65</t>
  </si>
  <si>
    <t>Whpm_ARB</t>
  </si>
  <si>
    <t>Whpm_EPA_55</t>
  </si>
  <si>
    <t>Whpm_EPA_65</t>
  </si>
  <si>
    <t>Whpm_CD_ARB</t>
  </si>
  <si>
    <t>Whpm_CD_EPA_55</t>
  </si>
  <si>
    <t>Whpm_CD_EPA_65</t>
  </si>
  <si>
    <t>Engine (kW)</t>
  </si>
  <si>
    <t>Motor (kW)</t>
  </si>
  <si>
    <t>Battery (kW)</t>
  </si>
  <si>
    <t>Battery (kWh)</t>
  </si>
  <si>
    <t>Fuel cell (kW)</t>
  </si>
  <si>
    <t>ARB (gallons)</t>
  </si>
  <si>
    <t>EPA55 (gallons)</t>
  </si>
  <si>
    <t>EPA65 (gallons)</t>
  </si>
  <si>
    <t>gallon/1000mile-ton</t>
  </si>
  <si>
    <t>Engine</t>
  </si>
  <si>
    <t>Motor</t>
  </si>
  <si>
    <t>Battery</t>
  </si>
  <si>
    <t>Transmission</t>
  </si>
  <si>
    <t>Chassis</t>
  </si>
  <si>
    <t>Weight reduction</t>
  </si>
  <si>
    <t>Aero Improvments</t>
  </si>
  <si>
    <t>Fuel cell</t>
  </si>
  <si>
    <t>Tank</t>
  </si>
  <si>
    <t>Vehicle</t>
  </si>
  <si>
    <t>Conv</t>
  </si>
  <si>
    <t>ISG</t>
  </si>
  <si>
    <t>HEV</t>
  </si>
  <si>
    <t>PHEV</t>
  </si>
  <si>
    <t>BEV</t>
  </si>
  <si>
    <t>FCHEV</t>
  </si>
  <si>
    <t>Overall average values for all vehicles</t>
  </si>
  <si>
    <t>Utility</t>
  </si>
  <si>
    <t>non defined vehicles</t>
  </si>
  <si>
    <t>GJ/Gallon</t>
  </si>
  <si>
    <t>PJ/mileton</t>
  </si>
  <si>
    <t>It is assumed the average vehicle is used 10 % of its total daily range this alligns with teh calculation of AFA for tractors in denmark</t>
  </si>
  <si>
    <t>Number of tractors calculated</t>
  </si>
  <si>
    <t xml:space="preserve">Number of tractors in Denmark,https://effektivtlandbrug.landbrugnet.dk/traktorstatistik/faldende-traktorsalg-i-danmark.aspx </t>
  </si>
  <si>
    <t>PJ diesel in agriculture sector for tractors and other diesel fuel consumption</t>
  </si>
  <si>
    <t>GJ/day</t>
  </si>
  <si>
    <t>GJ/Year</t>
  </si>
  <si>
    <t>CAPUNIT</t>
  </si>
  <si>
    <t>Efficiency, relative to 2017 values</t>
  </si>
  <si>
    <t>AFA (PJ/Year)</t>
  </si>
  <si>
    <t>INDH2</t>
  </si>
  <si>
    <t>Kvehicle</t>
  </si>
  <si>
    <t>CAPprice/Pj</t>
  </si>
  <si>
    <t>INDNGA,INDSNG,INDBGA,INDH2,INDSYN</t>
  </si>
  <si>
    <t>INDDSL,INDDSB,INDHFO,INDGSB</t>
  </si>
  <si>
    <t>INDLPG,INDNGA,INDSNG,INDBGA,INDH2,INDSYN</t>
  </si>
  <si>
    <t>ICDPH</t>
  </si>
  <si>
    <t>ICDSH</t>
  </si>
  <si>
    <t>IGDPH</t>
  </si>
  <si>
    <t>IGDSH</t>
  </si>
  <si>
    <t>IFDPH</t>
  </si>
  <si>
    <t>IFDSH</t>
  </si>
  <si>
    <t>IMDPH</t>
  </si>
  <si>
    <t>IMDSH</t>
  </si>
  <si>
    <t>ISDPH</t>
  </si>
  <si>
    <t>ISDSH</t>
  </si>
  <si>
    <t>IIDPH</t>
  </si>
  <si>
    <t>IIDSH</t>
  </si>
  <si>
    <t>IODPH</t>
  </si>
  <si>
    <t>IODSH</t>
  </si>
  <si>
    <t>IWDPH</t>
  </si>
  <si>
    <t>IWDSH</t>
  </si>
  <si>
    <t>IRDPH</t>
  </si>
  <si>
    <t>IRDSH</t>
  </si>
  <si>
    <t>Transport</t>
  </si>
  <si>
    <t>IADPH</t>
  </si>
  <si>
    <t>IADSH</t>
  </si>
  <si>
    <t>IADLA</t>
  </si>
  <si>
    <t>IADEM</t>
  </si>
  <si>
    <t>IADTF</t>
  </si>
  <si>
    <t>IADFL</t>
  </si>
  <si>
    <t>Source is subres values from Commercial sector</t>
  </si>
  <si>
    <t>IRDCO</t>
  </si>
  <si>
    <t>Paper &amp; Pulp industry Demand Cooling</t>
  </si>
  <si>
    <t>Wood products industry Cooling</t>
  </si>
  <si>
    <t>Other comm Demand Cooling</t>
  </si>
  <si>
    <t>Mining Demand Cooling</t>
  </si>
  <si>
    <t>IIDCO</t>
  </si>
  <si>
    <t>Iron &amp; Steel  Demand Cooling</t>
  </si>
  <si>
    <t>ISDCO</t>
  </si>
  <si>
    <t>Aluminium industry Demand Cooling</t>
  </si>
  <si>
    <t>Machinery industry Demand Cooling</t>
  </si>
  <si>
    <t>Food industry Demand Cooling</t>
  </si>
  <si>
    <t>Chemical industry Demand Cooling</t>
  </si>
  <si>
    <t>Glass &amp; Concrete industry Demand Cooling</t>
  </si>
  <si>
    <t>PH</t>
  </si>
  <si>
    <t>SH</t>
  </si>
  <si>
    <t>INDHSE</t>
  </si>
  <si>
    <t>OBS!! Aluminium industry is mostly consuming electricity and fuel consumption in this sector is dominantly for power production as thus we have included all process heating as power units for plants with an efficiency similar to 50% of the total efficiency</t>
  </si>
  <si>
    <t>*="IND"&amp;RIGHT(H162,4)&amp;"GAS"&amp;"N"&amp;RIGHT(E162,1)</t>
  </si>
  <si>
    <t>*="IND"&amp;RIGHT(H165,4)&amp;"GAS"&amp;"N"&amp;RIGHT(E165,1)</t>
  </si>
  <si>
    <t>DE1,DE2,DE3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</si>
</sst>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 numFmtId="178" formatCode="0.000000"/>
    <numFmt numFmtId="179" formatCode="0.0%"/>
    <numFmt numFmtId="180" formatCode="_ * #,##0_ ;_ * \-#,##0_ ;_ * &quot;-&quot;_ ;_ @_ "/>
    <numFmt numFmtId="181" formatCode="_-[$€-2]* #,##0.00_-;\-[$€-2]* #,##0.00_-;_-[$€-2]* &quot;-&quot;??_-"/>
    <numFmt numFmtId="182" formatCode="0_ ;\-0\ "/>
    <numFmt numFmtId="183" formatCode="_-* #,##0.00\ _k_r_-;\-* #,##0.00\ _k_r_-;_-* &quot;-&quot;??\ _k_r_-;_-@_-"/>
    <numFmt numFmtId="184" formatCode="0.0;\-0.0"/>
    <numFmt numFmtId="185" formatCode="\$#,##0\ ;\(\$#,##0\)"/>
  </numFmts>
  <fonts count="184">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theme="1"/>
      <name val="Calibri"/>
      <family val="2"/>
      <charset val="1"/>
      <scheme val="minor"/>
    </font>
    <font>
      <vertAlign val="subscript"/>
      <sz val="9"/>
      <color theme="1"/>
      <name val="Arial"/>
      <family val="2"/>
    </font>
    <font>
      <i/>
      <sz val="11"/>
      <name val="Calibri"/>
      <family val="2"/>
      <scheme val="minor"/>
    </font>
    <font>
      <b/>
      <sz val="9"/>
      <color rgb="FFFF0000"/>
      <name val="Arial"/>
      <family val="2"/>
    </font>
    <font>
      <sz val="11"/>
      <name val="Calibri"/>
      <family val="2"/>
      <charset val="1"/>
      <scheme val="minor"/>
    </font>
    <font>
      <i/>
      <sz val="11"/>
      <name val="Calibri"/>
      <family val="2"/>
      <charset val="1"/>
      <scheme val="minor"/>
    </font>
    <font>
      <sz val="11"/>
      <color rgb="FFFF0000"/>
      <name val="Calibri"/>
      <family val="2"/>
      <charset val="1"/>
      <scheme val="minor"/>
    </font>
    <font>
      <b/>
      <sz val="12"/>
      <color rgb="FFFF0000"/>
      <name val="Calibri"/>
      <family val="2"/>
      <scheme val="minor"/>
    </font>
    <font>
      <sz val="11"/>
      <color rgb="FF00B0F0"/>
      <name val="Calibri"/>
      <family val="2"/>
      <scheme val="minor"/>
    </font>
    <font>
      <sz val="12"/>
      <name val="Calibri"/>
      <family val="2"/>
      <scheme val="minor"/>
    </font>
    <font>
      <sz val="11"/>
      <color theme="4"/>
      <name val="Calibri"/>
      <family val="2"/>
      <scheme val="minor"/>
    </font>
    <font>
      <b/>
      <sz val="14"/>
      <color theme="1"/>
      <name val="Calibri"/>
      <family val="2"/>
      <scheme val="minor"/>
    </font>
    <font>
      <sz val="16"/>
      <color theme="1"/>
      <name val="Calibri"/>
      <family val="2"/>
      <scheme val="minor"/>
    </font>
    <font>
      <sz val="12"/>
      <color theme="1"/>
      <name val="Calibri"/>
      <family val="2"/>
      <scheme val="minor"/>
    </font>
    <font>
      <sz val="11"/>
      <color theme="1"/>
      <name val="Verdana"/>
      <family val="2"/>
    </font>
    <font>
      <sz val="18"/>
      <color theme="3"/>
      <name val="Cambria"/>
      <family val="2"/>
      <scheme val="major"/>
    </font>
    <font>
      <sz val="11"/>
      <color rgb="FF9C0006"/>
      <name val="Calibri"/>
      <family val="2"/>
      <scheme val="minor"/>
    </font>
    <font>
      <sz val="10"/>
      <name val="Arial"/>
      <family val="2"/>
    </font>
    <font>
      <sz val="10"/>
      <color rgb="FF0000FF"/>
      <name val="Calibri"/>
      <family val="2"/>
    </font>
    <font>
      <b/>
      <sz val="16"/>
      <color theme="0"/>
      <name val="Calibri"/>
      <family val="2"/>
      <scheme val="minor"/>
    </font>
    <font>
      <b/>
      <sz val="13"/>
      <color theme="0"/>
      <name val="Calibri"/>
      <family val="2"/>
      <scheme val="minor"/>
    </font>
    <font>
      <b/>
      <sz val="11"/>
      <name val="Calibri"/>
      <family val="2"/>
    </font>
    <font>
      <i/>
      <sz val="10"/>
      <name val="Calibri"/>
      <family val="2"/>
    </font>
    <font>
      <sz val="11"/>
      <name val="Arial"/>
      <family val="2"/>
    </font>
    <font>
      <u/>
      <sz val="8"/>
      <color indexed="12"/>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s>
  <fills count="11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
      <patternFill patternType="solid">
        <fgColor indexed="44"/>
        <bgColor indexed="64"/>
      </patternFill>
    </fill>
    <fill>
      <patternFill patternType="solid">
        <fgColor rgb="FFFF0000"/>
        <bgColor indexed="64"/>
      </patternFill>
    </fill>
    <fill>
      <patternFill patternType="solid">
        <fgColor rgb="FFBED6EE"/>
        <bgColor indexed="64"/>
      </patternFill>
    </fill>
    <fill>
      <patternFill patternType="solid">
        <fgColor theme="6" tint="0.59996337778862885"/>
        <bgColor indexed="64"/>
      </patternFill>
    </fill>
    <fill>
      <patternFill patternType="solid">
        <fgColor indexed="9"/>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theme="4"/>
        <bgColor theme="4"/>
      </patternFill>
    </fill>
    <fill>
      <patternFill patternType="solid">
        <fgColor rgb="FFFFC000"/>
        <bgColor theme="4"/>
      </patternFill>
    </fill>
    <fill>
      <patternFill patternType="solid">
        <fgColor theme="4" tint="0.79998168889431442"/>
        <bgColor theme="4" tint="0.79998168889431442"/>
      </patternFill>
    </fill>
    <fill>
      <patternFill patternType="solid">
        <fgColor rgb="FFFFC9C9"/>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ck">
        <color auto="1"/>
      </right>
      <top/>
      <bottom/>
      <diagonal/>
    </border>
    <border>
      <left/>
      <right/>
      <top style="thin">
        <color theme="4"/>
      </top>
      <bottom style="double">
        <color theme="4"/>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822">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60" fillId="0" borderId="0"/>
    <xf numFmtId="3" fontId="63" fillId="41" borderId="43" applyBorder="0" applyAlignment="0" applyProtection="0"/>
    <xf numFmtId="0" fontId="64" fillId="0" borderId="0" applyNumberFormat="0" applyFill="0" applyBorder="0" applyAlignment="0" applyProtection="0"/>
    <xf numFmtId="0" fontId="65" fillId="33" borderId="0" applyNumberFormat="0" applyAlignment="0" applyProtection="0"/>
    <xf numFmtId="0" fontId="65" fillId="33" borderId="44" applyNumberFormat="0" applyAlignment="0" applyProtection="0"/>
    <xf numFmtId="0" fontId="66" fillId="42" borderId="45" applyNumberFormat="0" applyAlignment="0" applyProtection="0"/>
    <xf numFmtId="3" fontId="67" fillId="37" borderId="0"/>
    <xf numFmtId="3" fontId="68"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2" fillId="43" borderId="0" applyNumberFormat="0" applyBorder="0" applyAlignment="0" applyProtection="0"/>
    <xf numFmtId="0" fontId="7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69" fillId="45" borderId="46" applyNumberFormat="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4"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69" fillId="45" borderId="46" applyNumberFormat="0" applyAlignment="0" applyProtection="0"/>
    <xf numFmtId="0" fontId="85" fillId="0" borderId="0" applyNumberFormat="0" applyFill="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3"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xf numFmtId="0" fontId="11" fillId="0" borderId="0"/>
    <xf numFmtId="0" fontId="124" fillId="0" borderId="0"/>
    <xf numFmtId="0" fontId="11" fillId="0" borderId="0"/>
    <xf numFmtId="0" fontId="40" fillId="0" borderId="0"/>
    <xf numFmtId="0" fontId="124" fillId="0" borderId="0"/>
    <xf numFmtId="9" fontId="124" fillId="0" borderId="0" applyFont="0" applyFill="0" applyBorder="0" applyAlignment="0" applyProtection="0"/>
    <xf numFmtId="0" fontId="40" fillId="0" borderId="0"/>
    <xf numFmtId="0" fontId="40" fillId="0" borderId="0"/>
    <xf numFmtId="0" fontId="85" fillId="0" borderId="0" applyNumberFormat="0" applyFill="0" applyBorder="0" applyAlignment="0" applyProtection="0"/>
    <xf numFmtId="0" fontId="124" fillId="0" borderId="0"/>
    <xf numFmtId="0" fontId="141"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0" fontId="11" fillId="0" borderId="0"/>
    <xf numFmtId="0" fontId="44" fillId="0" borderId="0"/>
    <xf numFmtId="0" fontId="11" fillId="0" borderId="0"/>
    <xf numFmtId="0" fontId="40"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181" fontId="11" fillId="0" borderId="0"/>
    <xf numFmtId="181" fontId="11" fillId="0" borderId="0"/>
    <xf numFmtId="3" fontId="11" fillId="37" borderId="43" applyFont="0" applyFill="0" applyBorder="0" applyAlignment="0" applyProtection="0"/>
    <xf numFmtId="3" fontId="11" fillId="37" borderId="43" applyFont="0" applyFill="0" applyBorder="0" applyAlignment="0" applyProtection="0"/>
    <xf numFmtId="3" fontId="142" fillId="95" borderId="43"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43" applyNumberFormat="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81"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5"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2" fontId="67" fillId="96" borderId="0" applyNumberFormat="0" applyBorder="0" applyAlignment="0" applyProtection="0">
      <alignment horizontal="center"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143" fillId="33" borderId="0" applyNumberFormat="0" applyAlignment="0" applyProtection="0"/>
    <xf numFmtId="0" fontId="144" fillId="36" borderId="0" applyNumberFormat="0" applyAlignment="0" applyProtection="0"/>
    <xf numFmtId="0" fontId="66" fillId="42" borderId="0" applyNumberFormat="0" applyAlignment="0" applyProtection="0"/>
    <xf numFmtId="182" fontId="145" fillId="97"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68" fillId="31" borderId="43" applyNumberFormat="0" applyFill="0" applyBorder="0" applyAlignment="0" applyProtection="0"/>
    <xf numFmtId="0" fontId="146" fillId="31" borderId="43"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3" fontId="63" fillId="41" borderId="43" applyBorder="0" applyAlignment="0" applyProtection="0"/>
    <xf numFmtId="164" fontId="11" fillId="0" borderId="0" applyFont="0" applyFill="0" applyBorder="0" applyAlignment="0" applyProtection="0"/>
    <xf numFmtId="0" fontId="73" fillId="0" borderId="0" applyNumberFormat="0" applyFill="0" applyBorder="0" applyAlignment="0" applyProtection="0"/>
    <xf numFmtId="0" fontId="20" fillId="7" borderId="2" applyNumberFormat="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3" fillId="21" borderId="10"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0" fontId="11" fillId="0" borderId="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39" fillId="0" borderId="0" applyFont="0" applyFill="0" applyBorder="0" applyAlignment="0" applyProtection="0"/>
    <xf numFmtId="0" fontId="22" fillId="23" borderId="0" applyNumberFormat="0" applyBorder="0" applyAlignment="0" applyProtection="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1" fontId="2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1" fillId="0" borderId="0"/>
    <xf numFmtId="3" fontId="142" fillId="95" borderId="43"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11" fillId="0" borderId="0"/>
    <xf numFmtId="0" fontId="39" fillId="0" borderId="0"/>
    <xf numFmtId="0" fontId="83" fillId="0" borderId="0" applyFill="0" applyBorder="0"/>
    <xf numFmtId="0" fontId="39"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20" fillId="7" borderId="2" applyNumberFormat="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40" fillId="0" borderId="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11" fillId="0" borderId="0" applyFont="0" applyFill="0" applyBorder="0" applyAlignment="0" applyProtection="0"/>
    <xf numFmtId="0" fontId="140" fillId="30" borderId="0"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43" fontId="40"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1" fillId="0" borderId="0"/>
    <xf numFmtId="0" fontId="39" fillId="0" borderId="0"/>
    <xf numFmtId="0" fontId="11" fillId="0" borderId="0"/>
    <xf numFmtId="0" fontId="11" fillId="0" borderId="0"/>
    <xf numFmtId="0" fontId="11" fillId="0" borderId="0"/>
    <xf numFmtId="0" fontId="40" fillId="0" borderId="0"/>
    <xf numFmtId="0" fontId="40" fillId="0" borderId="0"/>
    <xf numFmtId="0" fontId="40" fillId="0" borderId="0"/>
    <xf numFmtId="164" fontId="35" fillId="0" borderId="0" applyFont="0" applyFill="0" applyBorder="0" applyAlignment="0" applyProtection="0"/>
    <xf numFmtId="0" fontId="40" fillId="0" borderId="0"/>
    <xf numFmtId="0" fontId="40" fillId="0" borderId="0"/>
    <xf numFmtId="0" fontId="44" fillId="0" borderId="0"/>
    <xf numFmtId="0" fontId="11" fillId="0" borderId="0"/>
    <xf numFmtId="0" fontId="40" fillId="0" borderId="0"/>
    <xf numFmtId="0" fontId="40" fillId="0" borderId="0"/>
    <xf numFmtId="0" fontId="35" fillId="0" borderId="0"/>
    <xf numFmtId="0" fontId="40" fillId="0" borderId="0"/>
    <xf numFmtId="0" fontId="40"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0" fontId="39" fillId="0" borderId="0"/>
    <xf numFmtId="0" fontId="20" fillId="7" borderId="2"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85" fillId="0" borderId="0" applyNumberForma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11" fillId="0" borderId="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3" fillId="21" borderId="10"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3" fillId="21" borderId="10" applyNumberFormat="0" applyAlignment="0" applyProtection="0"/>
    <xf numFmtId="0" fontId="11"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NumberFormat="0" applyFont="0" applyFill="0" applyBorder="0" applyProtection="0">
      <alignment horizontal="left" vertical="center" indent="5"/>
    </xf>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40" fillId="0" borderId="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0" fontId="35" fillId="25" borderId="9" applyNumberFormat="0" applyFon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169" fontId="35" fillId="0" borderId="0" applyFont="0" applyFill="0" applyBorder="0" applyAlignment="0" applyProtection="0"/>
    <xf numFmtId="0" fontId="23" fillId="21" borderId="10" applyNumberForma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4" fontId="35" fillId="0" borderId="0" applyFont="0" applyFill="0" applyBorder="0" applyAlignment="0" applyProtection="0"/>
    <xf numFmtId="3" fontId="67" fillId="37" borderId="0"/>
    <xf numFmtId="170" fontId="35" fillId="0" borderId="0" applyFont="0" applyFill="0" applyBorder="0" applyAlignment="0" applyProtection="0"/>
    <xf numFmtId="0" fontId="37" fillId="0" borderId="5">
      <alignment horizontal="left" vertical="center" wrapText="1" indent="2"/>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1" fillId="25" borderId="9"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3" fillId="21" borderId="10"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 fillId="0" borderId="11"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1" fontId="21" fillId="0" borderId="0" applyFont="0" applyFill="0" applyBorder="0" applyAlignment="0" applyProtection="0"/>
    <xf numFmtId="0" fontId="29" fillId="0" borderId="8" applyNumberFormat="0" applyFill="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 fontId="37" fillId="0" borderId="1" applyFill="0" applyBorder="0" applyProtection="0">
      <alignment horizontal="right" vertical="center"/>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 fillId="7" borderId="2" applyNumberFormat="0" applyAlignment="0" applyProtection="0"/>
    <xf numFmtId="0" fontId="37" fillId="0" borderId="5">
      <alignment horizontal="left" vertical="center" wrapText="1" indent="2"/>
    </xf>
    <xf numFmtId="0" fontId="17" fillId="21" borderId="2" applyNumberFormat="0" applyAlignment="0" applyProtection="0"/>
    <xf numFmtId="0" fontId="17" fillId="21" borderId="2" applyNumberFormat="0" applyAlignment="0" applyProtection="0"/>
    <xf numFmtId="0" fontId="29" fillId="0" borderId="8" applyNumberFormat="0" applyFill="0" applyAlignment="0" applyProtection="0"/>
    <xf numFmtId="4" fontId="37" fillId="0" borderId="1" applyFill="0" applyBorder="0" applyProtection="0">
      <alignment horizontal="right" vertical="center"/>
    </xf>
    <xf numFmtId="0" fontId="20" fillId="7" borderId="2" applyNumberFormat="0" applyAlignment="0" applyProtection="0"/>
    <xf numFmtId="0" fontId="37" fillId="0" borderId="5">
      <alignment horizontal="left" vertical="center" wrapText="1" indent="2"/>
    </xf>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7" fillId="21" borderId="2" applyNumberFormat="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0" fillId="7" borderId="2"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71" fontId="11" fillId="0" borderId="0" applyFont="0" applyFill="0" applyBorder="0" applyAlignment="0" applyProtection="0"/>
    <xf numFmtId="181"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83" fillId="0" borderId="0" applyFill="0" applyBorder="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25" borderId="9" applyNumberFormat="0" applyFon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1"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9"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0" borderId="0"/>
    <xf numFmtId="0" fontId="23" fillId="21" borderId="10" applyNumberFormat="0" applyAlignment="0" applyProtection="0"/>
    <xf numFmtId="0" fontId="40" fillId="0" borderId="0"/>
    <xf numFmtId="0" fontId="40" fillId="0" borderId="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25" borderId="9" applyNumberFormat="0" applyFont="0" applyAlignment="0" applyProtection="0"/>
    <xf numFmtId="0" fontId="11"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5" fillId="25" borderId="9" applyNumberFormat="0" applyFont="0" applyAlignment="0" applyProtection="0"/>
    <xf numFmtId="0" fontId="29" fillId="0" borderId="8" applyNumberFormat="0" applyFill="0" applyAlignment="0" applyProtection="0"/>
    <xf numFmtId="0" fontId="29" fillId="0" borderId="8" applyNumberFormat="0" applyFill="0" applyAlignment="0" applyProtection="0"/>
    <xf numFmtId="0" fontId="11" fillId="25" borderId="9" applyNumberFormat="0" applyFont="0" applyAlignment="0" applyProtection="0"/>
    <xf numFmtId="164" fontId="35" fillId="0" borderId="0" applyFont="0" applyFill="0" applyBorder="0" applyAlignment="0" applyProtection="0"/>
    <xf numFmtId="0" fontId="37" fillId="0" borderId="5">
      <alignment horizontal="left" vertical="center" wrapText="1" indent="2"/>
    </xf>
    <xf numFmtId="4" fontId="37" fillId="0" borderId="1" applyFill="0" applyBorder="0" applyProtection="0">
      <alignment horizontal="right" vertical="center"/>
    </xf>
    <xf numFmtId="4" fontId="37" fillId="0" borderId="1" applyFill="0" applyBorder="0" applyProtection="0">
      <alignment horizontal="right" vertical="center"/>
    </xf>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3" fontId="11" fillId="97" borderId="2" applyFont="0" applyFill="0" applyBorder="0" applyAlignment="0" applyProtection="0"/>
    <xf numFmtId="3" fontId="11" fillId="97" borderId="2"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31" fillId="3" borderId="0" applyNumberFormat="0" applyBorder="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3" fontId="142" fillId="95" borderId="2" applyNumberFormat="0" applyBorder="0" applyAlignment="0" applyProtection="0"/>
    <xf numFmtId="0" fontId="149" fillId="0" borderId="0"/>
    <xf numFmtId="0" fontId="150" fillId="0" borderId="0">
      <alignment horizontal="right"/>
    </xf>
    <xf numFmtId="0" fontId="151" fillId="0" borderId="0"/>
    <xf numFmtId="0" fontId="152" fillId="0" borderId="0"/>
    <xf numFmtId="0" fontId="153" fillId="0" borderId="0"/>
    <xf numFmtId="0" fontId="154" fillId="0" borderId="109" applyNumberFormat="0" applyAlignment="0"/>
    <xf numFmtId="0" fontId="155" fillId="0" borderId="0" applyAlignment="0">
      <alignment horizontal="left"/>
    </xf>
    <xf numFmtId="0" fontId="155" fillId="0" borderId="0">
      <alignment horizontal="right"/>
    </xf>
    <xf numFmtId="179" fontId="155" fillId="0" borderId="0">
      <alignment horizontal="right"/>
    </xf>
    <xf numFmtId="167" fontId="156" fillId="0" borderId="0">
      <alignment horizontal="right"/>
    </xf>
    <xf numFmtId="0" fontId="157" fillId="0" borderId="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7" fillId="37" borderId="2" applyNumberFormat="0" applyBorder="0" applyAlignment="0" applyProtection="0"/>
    <xf numFmtId="0" fontId="19" fillId="22" borderId="4"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3"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0" borderId="0" applyFont="0" applyFill="0" applyBorder="0" applyAlignment="0" applyProtection="0"/>
    <xf numFmtId="0" fontId="25" fillId="0" borderId="0" applyNumberFormat="0" applyFill="0" applyBorder="0" applyAlignment="0" applyProtection="0"/>
    <xf numFmtId="0" fontId="32" fillId="4"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148"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0" fontId="20" fillId="7" borderId="2"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48" fillId="0" borderId="0" applyNumberFormat="0" applyFill="0" applyBorder="0" applyAlignment="0" applyProtection="0">
      <alignment vertical="top"/>
      <protection locked="0"/>
    </xf>
    <xf numFmtId="164" fontId="11" fillId="0" borderId="0" applyFon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159" fillId="0" borderId="0" applyNumberFormat="0" applyFill="0" applyBorder="0" applyAlignment="0" applyProtection="0">
      <alignment vertical="top"/>
      <protection locked="0"/>
    </xf>
    <xf numFmtId="0" fontId="18" fillId="0" borderId="3" applyNumberFormat="0" applyFill="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35"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0" fontId="4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0" fontId="62" fillId="73" borderId="1" applyNumberFormat="0" applyProtection="0">
      <alignment horizontal="right"/>
    </xf>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4" fillId="0" borderId="0"/>
    <xf numFmtId="0" fontId="11" fillId="0" borderId="0"/>
    <xf numFmtId="0" fontId="39" fillId="0" borderId="0"/>
    <xf numFmtId="9" fontId="11" fillId="0" borderId="0" applyFont="0" applyFill="0" applyBorder="0" applyAlignment="0" applyProtection="0"/>
    <xf numFmtId="0" fontId="11" fillId="0" borderId="0" applyNumberFormat="0" applyFont="0" applyFill="0" applyBorder="0" applyProtection="0">
      <alignment horizontal="left" vertical="center" indent="2"/>
    </xf>
    <xf numFmtId="4" fontId="37" fillId="98" borderId="1">
      <alignment horizontal="right" vertical="center"/>
    </xf>
    <xf numFmtId="0" fontId="33" fillId="0" borderId="0" applyNumberFormat="0">
      <alignment horizontal="right"/>
    </xf>
    <xf numFmtId="0" fontId="33" fillId="0" borderId="110">
      <alignment horizontal="left" vertical="top" wrapText="1"/>
    </xf>
    <xf numFmtId="0" fontId="11" fillId="0" borderId="15"/>
    <xf numFmtId="0" fontId="161" fillId="0" borderId="0" applyNumberFormat="0" applyFill="0" applyBorder="0" applyAlignment="0" applyProtection="0"/>
    <xf numFmtId="4" fontId="37" fillId="0" borderId="93">
      <alignment horizontal="right" vertical="center"/>
    </xf>
    <xf numFmtId="0" fontId="37" fillId="24" borderId="1"/>
    <xf numFmtId="0" fontId="37" fillId="0" borderId="0"/>
    <xf numFmtId="0" fontId="11" fillId="0" borderId="0"/>
    <xf numFmtId="0" fontId="40" fillId="46" borderId="47" applyNumberFormat="0" applyFon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3" fillId="21" borderId="10" applyNumberFormat="0" applyAlignment="0" applyProtection="0"/>
    <xf numFmtId="0" fontId="23" fillId="21" borderId="10" applyNumberFormat="0" applyAlignment="0" applyProtection="0"/>
    <xf numFmtId="9" fontId="40" fillId="0" borderId="0" applyFont="0" applyFill="0" applyBorder="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60" fillId="0" borderId="0" applyNumberFormat="0" applyFill="0" applyBorder="0" applyAlignment="0" applyProtection="0"/>
    <xf numFmtId="0" fontId="2" fillId="0" borderId="11" applyNumberFormat="0" applyFill="0" applyAlignment="0" applyProtection="0"/>
    <xf numFmtId="0" fontId="11" fillId="0" borderId="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3" fontId="162" fillId="0" borderId="0" applyFont="0" applyFill="0" applyBorder="0" applyAlignment="0" applyProtection="0"/>
    <xf numFmtId="184" fontId="11" fillId="0" borderId="0"/>
    <xf numFmtId="184" fontId="11" fillId="0" borderId="0"/>
    <xf numFmtId="184" fontId="11" fillId="0" borderId="0"/>
    <xf numFmtId="184" fontId="11" fillId="0" borderId="0"/>
    <xf numFmtId="184" fontId="11" fillId="0" borderId="0"/>
    <xf numFmtId="0" fontId="39" fillId="0" borderId="0"/>
    <xf numFmtId="185" fontId="162" fillId="0" borderId="0" applyFont="0" applyFill="0" applyBorder="0" applyAlignment="0" applyProtection="0"/>
    <xf numFmtId="0" fontId="162" fillId="0" borderId="0" applyFont="0" applyFill="0" applyBorder="0" applyAlignment="0" applyProtection="0"/>
    <xf numFmtId="0" fontId="39" fillId="0" borderId="0"/>
    <xf numFmtId="2" fontId="162"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37" fillId="0" borderId="1" applyFill="0" applyBorder="0" applyProtection="0">
      <alignment horizontal="right" vertical="center"/>
    </xf>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9"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163" fillId="26" borderId="111" applyNumberFormat="0" applyProtection="0">
      <alignment vertical="center"/>
    </xf>
    <xf numFmtId="4" fontId="164" fillId="26" borderId="111" applyNumberFormat="0" applyProtection="0">
      <alignment vertical="center"/>
    </xf>
    <xf numFmtId="4" fontId="165" fillId="23" borderId="111" applyNumberFormat="0" applyProtection="0">
      <alignment horizontal="left" vertical="center" indent="1"/>
    </xf>
    <xf numFmtId="0" fontId="11" fillId="0" borderId="0"/>
    <xf numFmtId="4" fontId="166" fillId="99" borderId="111" applyNumberFormat="0" applyProtection="0">
      <alignment horizontal="left" vertical="center" indent="1"/>
    </xf>
    <xf numFmtId="4" fontId="167" fillId="100" borderId="111" applyNumberFormat="0" applyProtection="0">
      <alignment vertical="center"/>
    </xf>
    <xf numFmtId="0" fontId="11" fillId="0" borderId="0"/>
    <xf numFmtId="0" fontId="11" fillId="0" borderId="0"/>
    <xf numFmtId="0" fontId="11" fillId="0" borderId="0"/>
    <xf numFmtId="4" fontId="147" fillId="20" borderId="111" applyNumberFormat="0" applyProtection="0">
      <alignment vertical="center"/>
    </xf>
    <xf numFmtId="0" fontId="11" fillId="0" borderId="0"/>
    <xf numFmtId="0" fontId="11" fillId="0" borderId="0"/>
    <xf numFmtId="0" fontId="11" fillId="0" borderId="0"/>
    <xf numFmtId="4" fontId="167" fillId="101" borderId="111" applyNumberFormat="0" applyProtection="0">
      <alignment vertical="center"/>
    </xf>
    <xf numFmtId="0" fontId="11" fillId="0" borderId="0"/>
    <xf numFmtId="0" fontId="11" fillId="0" borderId="0"/>
    <xf numFmtId="0" fontId="11" fillId="0" borderId="0"/>
    <xf numFmtId="4" fontId="168" fillId="100" borderId="111" applyNumberFormat="0" applyProtection="0">
      <alignment vertical="center"/>
    </xf>
    <xf numFmtId="4" fontId="169" fillId="102" borderId="111" applyNumberFormat="0" applyProtection="0">
      <alignment horizontal="left" vertical="center" indent="1"/>
    </xf>
    <xf numFmtId="4" fontId="169" fillId="99" borderId="111" applyNumberFormat="0" applyProtection="0">
      <alignment horizontal="left" vertical="center" indent="1"/>
    </xf>
    <xf numFmtId="4" fontId="169" fillId="99" borderId="111" applyNumberFormat="0" applyProtection="0">
      <alignment horizontal="left" vertical="center" indent="1"/>
    </xf>
    <xf numFmtId="4" fontId="170" fillId="93" borderId="111" applyNumberFormat="0" applyProtection="0">
      <alignment vertical="center"/>
    </xf>
    <xf numFmtId="4" fontId="171" fillId="97" borderId="111" applyNumberFormat="0" applyProtection="0">
      <alignment horizontal="left" vertical="center" indent="1"/>
    </xf>
    <xf numFmtId="4" fontId="172" fillId="99" borderId="0" applyNumberFormat="0" applyProtection="0">
      <alignment horizontal="left" vertical="center" indent="1"/>
    </xf>
    <xf numFmtId="4" fontId="173" fillId="9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74" fillId="97" borderId="111" applyNumberFormat="0" applyProtection="0">
      <alignment vertical="center"/>
    </xf>
    <xf numFmtId="4" fontId="175" fillId="97" borderId="111" applyNumberFormat="0" applyProtection="0">
      <alignment vertical="center"/>
    </xf>
    <xf numFmtId="4" fontId="176" fillId="103" borderId="111" applyNumberFormat="0" applyProtection="0">
      <alignment horizontal="left" vertical="center" indent="1"/>
    </xf>
    <xf numFmtId="0" fontId="11" fillId="0" borderId="0"/>
    <xf numFmtId="4" fontId="177" fillId="97" borderId="111" applyNumberFormat="0" applyProtection="0">
      <alignment horizontal="right" vertical="center"/>
    </xf>
    <xf numFmtId="4" fontId="178" fillId="97" borderId="111" applyNumberFormat="0" applyProtection="0">
      <alignment vertical="center"/>
    </xf>
    <xf numFmtId="4" fontId="177" fillId="25" borderId="111" applyNumberFormat="0" applyProtection="0">
      <alignment horizontal="left" vertical="center"/>
    </xf>
    <xf numFmtId="0" fontId="11" fillId="0" borderId="0"/>
    <xf numFmtId="4" fontId="179" fillId="97" borderId="111" applyNumberFormat="0" applyProtection="0">
      <alignment vertical="center"/>
    </xf>
    <xf numFmtId="4" fontId="180" fillId="97" borderId="111" applyNumberFormat="0" applyProtection="0">
      <alignment vertical="center"/>
    </xf>
    <xf numFmtId="4" fontId="176" fillId="104" borderId="111" applyNumberFormat="0" applyProtection="0">
      <alignment horizontal="left" vertical="center" indent="1"/>
    </xf>
    <xf numFmtId="4" fontId="181" fillId="105" borderId="0" applyNumberFormat="0" applyProtection="0">
      <alignment horizontal="left" indent="1"/>
    </xf>
    <xf numFmtId="4" fontId="182" fillId="97" borderId="111" applyNumberFormat="0" applyProtection="0">
      <alignment vertical="center"/>
    </xf>
    <xf numFmtId="3" fontId="11" fillId="97" borderId="2" applyFont="0" applyFill="0" applyBorder="0" applyAlignment="0" applyProtection="0"/>
    <xf numFmtId="3" fontId="11" fillId="97" borderId="2" applyFont="0" applyFill="0" applyBorder="0" applyAlignment="0" applyProtection="0"/>
    <xf numFmtId="0" fontId="41" fillId="30" borderId="0" applyNumberFormat="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164"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9" fontId="11" fillId="0" borderId="1" applyFill="0" applyProtection="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24" borderId="1"/>
    <xf numFmtId="0" fontId="11" fillId="0" borderId="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7" fillId="21" borderId="2"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 fontId="37" fillId="0" borderId="1" applyFill="0" applyBorder="0" applyProtection="0">
      <alignment horizontal="right" vertical="center"/>
    </xf>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2" fillId="73" borderId="1" applyNumberFormat="0" applyProtection="0">
      <alignment horizontal="lef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3" fontId="63" fillId="41" borderId="43"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9" fontId="11" fillId="0" borderId="1" applyFill="0" applyProtection="0">
      <alignment horizontal="right"/>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49" fontId="11" fillId="0" borderId="1" applyFill="0" applyProtection="0">
      <alignment horizontal="right"/>
    </xf>
    <xf numFmtId="1" fontId="11" fillId="0" borderId="1" applyFill="0" applyProtection="0">
      <alignment horizontal="right" vertical="top" wrapText="1"/>
    </xf>
    <xf numFmtId="43"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2" fontId="11" fillId="0" borderId="1" applyFill="0" applyProtection="0">
      <alignment horizontal="right" vertical="top" wrapText="1"/>
    </xf>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11" fillId="0" borderId="0"/>
    <xf numFmtId="0" fontId="40" fillId="0" borderId="0"/>
    <xf numFmtId="9" fontId="40" fillId="0" borderId="0" applyFont="0" applyFill="0" applyBorder="0" applyAlignment="0" applyProtection="0"/>
    <xf numFmtId="0" fontId="62" fillId="73" borderId="1" applyNumberFormat="0" applyProtection="0">
      <alignment horizontal="left"/>
    </xf>
    <xf numFmtId="0" fontId="62" fillId="73" borderId="1" applyNumberFormat="0" applyProtection="0">
      <alignment horizontal="right"/>
    </xf>
    <xf numFmtId="2" fontId="11" fillId="0" borderId="1" applyFill="0" applyProtection="0">
      <alignment horizontal="right" vertical="top" wrapText="1"/>
    </xf>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2"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62" fillId="73" borderId="1" applyNumberFormat="0" applyProtection="0">
      <alignment horizontal="left"/>
    </xf>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11"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righ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40" fillId="0" borderId="0"/>
    <xf numFmtId="164" fontId="35"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0" fontId="40" fillId="0" borderId="0"/>
    <xf numFmtId="0" fontId="62" fillId="73" borderId="1" applyNumberFormat="0" applyProtection="0">
      <alignment horizontal="right"/>
    </xf>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left"/>
    </xf>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11" fillId="0" borderId="0"/>
    <xf numFmtId="0"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2"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40" fillId="0" borderId="0"/>
    <xf numFmtId="1" fontId="11" fillId="0" borderId="1" applyFill="0" applyProtection="0">
      <alignment horizontal="right" vertical="top" wrapText="1"/>
    </xf>
    <xf numFmtId="9"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9" fontId="11" fillId="0" borderId="1" applyFill="0" applyProtection="0">
      <alignment horizontal="right"/>
    </xf>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4" fillId="0" borderId="0"/>
    <xf numFmtId="0" fontId="11" fillId="0" borderId="0"/>
    <xf numFmtId="0" fontId="11" fillId="0" borderId="0"/>
    <xf numFmtId="0" fontId="11" fillId="0" borderId="0"/>
    <xf numFmtId="0" fontId="11" fillId="0" borderId="0"/>
    <xf numFmtId="182" fontId="11" fillId="0" borderId="0"/>
    <xf numFmtId="0" fontId="11" fillId="0" borderId="0"/>
    <xf numFmtId="0" fontId="11" fillId="0" borderId="0"/>
    <xf numFmtId="182" fontId="11" fillId="0" borderId="0"/>
    <xf numFmtId="181" fontId="11" fillId="0" borderId="0"/>
    <xf numFmtId="0" fontId="83" fillId="0" borderId="0" applyFill="0" applyBorder="0"/>
    <xf numFmtId="181" fontId="11" fillId="0" borderId="0"/>
    <xf numFmtId="0" fontId="83" fillId="0" borderId="0" applyFill="0" applyBorder="0"/>
    <xf numFmtId="181" fontId="11" fillId="0" borderId="0"/>
    <xf numFmtId="0" fontId="11" fillId="0" borderId="0"/>
    <xf numFmtId="0" fontId="11" fillId="0" borderId="0"/>
    <xf numFmtId="0" fontId="98" fillId="0" borderId="0"/>
    <xf numFmtId="0" fontId="98" fillId="0" borderId="0"/>
    <xf numFmtId="0" fontId="98" fillId="0" borderId="0"/>
    <xf numFmtId="0" fontId="98" fillId="0" borderId="0"/>
    <xf numFmtId="0" fontId="98" fillId="0" borderId="0"/>
    <xf numFmtId="0" fontId="98" fillId="0" borderId="0"/>
    <xf numFmtId="181" fontId="183" fillId="0" borderId="0"/>
    <xf numFmtId="0" fontId="39" fillId="0" borderId="0"/>
    <xf numFmtId="181" fontId="183" fillId="0" borderId="0"/>
    <xf numFmtId="0" fontId="11" fillId="0" borderId="0"/>
    <xf numFmtId="0" fontId="11" fillId="0" borderId="0"/>
    <xf numFmtId="0" fontId="98" fillId="0" borderId="0"/>
    <xf numFmtId="0" fontId="98" fillId="0" borderId="0"/>
    <xf numFmtId="0" fontId="98" fillId="0" borderId="0"/>
    <xf numFmtId="182" fontId="7" fillId="37" borderId="0" applyNumberFormat="0" applyBorder="0" applyAlignment="0"/>
    <xf numFmtId="0" fontId="83" fillId="0" borderId="0" applyFill="0" applyBorder="0"/>
    <xf numFmtId="0" fontId="11" fillId="0" borderId="0"/>
    <xf numFmtId="0" fontId="83" fillId="0" borderId="0" applyFill="0" applyBorder="0"/>
    <xf numFmtId="0" fontId="83" fillId="0" borderId="0" applyFill="0" applyBorder="0"/>
    <xf numFmtId="182" fontId="7" fillId="37" borderId="0" applyNumberFormat="0" applyBorder="0" applyAlignment="0"/>
    <xf numFmtId="0" fontId="11" fillId="0" borderId="0"/>
    <xf numFmtId="0" fontId="11" fillId="0" borderId="0"/>
    <xf numFmtId="0" fontId="44" fillId="0" borderId="0"/>
    <xf numFmtId="0" fontId="11" fillId="0" borderId="0"/>
    <xf numFmtId="0" fontId="11" fillId="0" borderId="0"/>
    <xf numFmtId="0" fontId="44" fillId="0" borderId="0"/>
    <xf numFmtId="0" fontId="11" fillId="0" borderId="0"/>
    <xf numFmtId="0" fontId="11" fillId="0" borderId="0"/>
    <xf numFmtId="0" fontId="39" fillId="0" borderId="0"/>
    <xf numFmtId="182" fontId="7" fillId="37" borderId="0" applyNumberFormat="0" applyBorder="0" applyAlignment="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82" fillId="31" borderId="71" applyNumberFormat="0" applyAlignment="0" applyProtection="0"/>
    <xf numFmtId="0" fontId="39" fillId="0" borderId="0"/>
    <xf numFmtId="179" fontId="8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39"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26" fillId="0" borderId="0" applyNumberFormat="0" applyFill="0" applyBorder="0" applyAlignment="0" applyProtection="0"/>
    <xf numFmtId="0" fontId="46" fillId="0" borderId="108"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24" fillId="0" borderId="0" applyNumberFormat="0" applyFill="0" applyBorder="0" applyAlignment="0" applyProtection="0"/>
    <xf numFmtId="0" fontId="47" fillId="0" borderId="0" applyNumberForma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9" fontId="40" fillId="0" borderId="0" applyFont="0" applyFill="0" applyBorder="0" applyAlignment="0" applyProtection="0"/>
    <xf numFmtId="0" fontId="40" fillId="0" borderId="0"/>
  </cellStyleXfs>
  <cellXfs count="1363">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7"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0" fontId="54" fillId="0" borderId="1" xfId="0" applyFont="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0" fontId="54" fillId="0" borderId="0" xfId="0" applyFont="1" applyBorder="1" applyAlignment="1">
      <alignment horizontal="center"/>
    </xf>
    <xf numFmtId="2" fontId="54" fillId="0" borderId="1" xfId="0" applyNumberFormat="1" applyFont="1" applyFill="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9" fillId="0" borderId="0" xfId="0"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59" fillId="0" borderId="0" xfId="0"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9" fillId="37" borderId="0" xfId="0" applyNumberFormat="1" applyFont="1" applyFill="1" applyBorder="1" applyAlignment="1">
      <alignment horizontal="center"/>
    </xf>
    <xf numFmtId="0" fontId="71"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0" fillId="72" borderId="0" xfId="548" applyFont="1" applyFill="1"/>
    <xf numFmtId="0" fontId="0" fillId="71" borderId="0" xfId="548" applyFont="1" applyFill="1"/>
    <xf numFmtId="0" fontId="0" fillId="75" borderId="0" xfId="548" applyFont="1" applyFill="1"/>
    <xf numFmtId="0" fontId="0" fillId="0" borderId="19" xfId="0" applyBorder="1"/>
    <xf numFmtId="0" fontId="0" fillId="76" borderId="0" xfId="548" applyFont="1" applyFill="1"/>
    <xf numFmtId="0" fontId="8" fillId="0" borderId="0" xfId="0" applyFont="1" applyFill="1" applyBorder="1" applyAlignment="1">
      <alignment horizontal="center"/>
    </xf>
    <xf numFmtId="0" fontId="54" fillId="0" borderId="26" xfId="0" applyFont="1" applyFill="1" applyBorder="1" applyAlignment="1">
      <alignment horizontal="center"/>
    </xf>
    <xf numFmtId="0" fontId="77"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7" borderId="0" xfId="0" applyFill="1"/>
    <xf numFmtId="9" fontId="0" fillId="77" borderId="0" xfId="0" applyNumberFormat="1" applyFill="1"/>
    <xf numFmtId="0" fontId="46" fillId="77"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78" fillId="0" borderId="52" xfId="0" applyFont="1" applyFill="1" applyBorder="1"/>
    <xf numFmtId="0" fontId="78" fillId="0" borderId="27" xfId="0" applyFont="1" applyBorder="1"/>
    <xf numFmtId="0" fontId="78" fillId="0" borderId="54" xfId="0" applyFont="1" applyFill="1" applyBorder="1"/>
    <xf numFmtId="0" fontId="78"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79"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79" fillId="37" borderId="1" xfId="0" applyFont="1" applyFill="1" applyBorder="1" applyAlignment="1">
      <alignment horizontal="center" vertical="center" wrapText="1"/>
    </xf>
    <xf numFmtId="0" fontId="79" fillId="37" borderId="1" xfId="0" applyFont="1" applyFill="1" applyBorder="1" applyAlignment="1">
      <alignment horizontal="center" vertical="top" wrapText="1"/>
    </xf>
    <xf numFmtId="1" fontId="79" fillId="37" borderId="1" xfId="0" applyNumberFormat="1" applyFont="1" applyFill="1" applyBorder="1" applyAlignment="1">
      <alignment horizontal="center" vertical="top" wrapText="1"/>
    </xf>
    <xf numFmtId="0" fontId="79" fillId="37" borderId="26" xfId="0" applyFont="1" applyFill="1" applyBorder="1" applyAlignment="1">
      <alignment vertical="top" wrapText="1"/>
    </xf>
    <xf numFmtId="0"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wrapText="1"/>
    </xf>
    <xf numFmtId="0" fontId="79" fillId="37" borderId="1" xfId="0" applyNumberFormat="1" applyFont="1" applyFill="1" applyBorder="1" applyAlignment="1">
      <alignment horizontal="center" vertical="top" wrapText="1"/>
    </xf>
    <xf numFmtId="2" fontId="79" fillId="37" borderId="1" xfId="0" applyNumberFormat="1" applyFont="1" applyFill="1" applyBorder="1" applyAlignment="1">
      <alignment horizontal="center" vertical="center" wrapText="1"/>
    </xf>
    <xf numFmtId="0" fontId="79" fillId="37" borderId="1" xfId="0" applyNumberFormat="1" applyFont="1" applyFill="1" applyBorder="1" applyAlignment="1">
      <alignment horizontal="center" vertical="center" wrapText="1"/>
    </xf>
    <xf numFmtId="1" fontId="79" fillId="37" borderId="1" xfId="0" applyNumberFormat="1" applyFont="1" applyFill="1" applyBorder="1" applyAlignment="1">
      <alignment horizontal="center" vertical="center" wrapText="1"/>
    </xf>
    <xf numFmtId="167" fontId="79" fillId="37" borderId="1" xfId="0" applyNumberFormat="1" applyFont="1" applyFill="1" applyBorder="1" applyAlignment="1">
      <alignment horizontal="center" vertical="center" wrapText="1"/>
    </xf>
    <xf numFmtId="0" fontId="79" fillId="37" borderId="1" xfId="0" applyFont="1" applyFill="1" applyBorder="1" applyAlignment="1">
      <alignment vertical="center"/>
    </xf>
    <xf numFmtId="49" fontId="79" fillId="37" borderId="26" xfId="0" applyNumberFormat="1" applyFont="1" applyFill="1" applyBorder="1" applyAlignment="1">
      <alignment vertical="center" wrapText="1"/>
    </xf>
    <xf numFmtId="0" fontId="79" fillId="37" borderId="40" xfId="0" applyFont="1" applyFill="1" applyBorder="1" applyAlignment="1">
      <alignment horizontal="center" vertical="center" wrapText="1"/>
    </xf>
    <xf numFmtId="0" fontId="79"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0" fontId="0" fillId="0" borderId="40" xfId="0" applyBorder="1"/>
    <xf numFmtId="0" fontId="0" fillId="0" borderId="70" xfId="0" applyBorder="1"/>
    <xf numFmtId="0" fontId="0" fillId="37" borderId="0" xfId="0" applyFill="1"/>
    <xf numFmtId="0" fontId="0" fillId="81" borderId="0" xfId="0" applyFill="1"/>
    <xf numFmtId="0" fontId="46" fillId="82" borderId="0" xfId="0" applyFont="1" applyFill="1"/>
    <xf numFmtId="0" fontId="50" fillId="0" borderId="0" xfId="0" applyFont="1" applyAlignment="1">
      <alignment horizontal="center" wrapText="1"/>
    </xf>
    <xf numFmtId="0" fontId="87" fillId="83" borderId="18" xfId="0" applyFont="1" applyFill="1" applyBorder="1" applyAlignment="1">
      <alignment vertical="center" wrapText="1"/>
    </xf>
    <xf numFmtId="0" fontId="49" fillId="0" borderId="0" xfId="0" applyFont="1" applyAlignment="1">
      <alignment horizontal="center" wrapText="1"/>
    </xf>
    <xf numFmtId="0" fontId="89"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4"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0" fontId="90" fillId="0" borderId="28" xfId="0" applyFont="1" applyBorder="1" applyAlignment="1">
      <alignment horizontal="center" wrapText="1"/>
    </xf>
    <xf numFmtId="0" fontId="90" fillId="0" borderId="84" xfId="0" applyFont="1" applyBorder="1" applyAlignment="1">
      <alignment horizontal="center" wrapText="1"/>
    </xf>
    <xf numFmtId="0" fontId="11" fillId="84" borderId="80" xfId="0" applyFont="1" applyFill="1" applyBorder="1" applyAlignment="1">
      <alignment vertical="center" wrapText="1"/>
    </xf>
    <xf numFmtId="0" fontId="11" fillId="84" borderId="1" xfId="968" applyNumberFormat="1" applyFont="1" applyFill="1" applyBorder="1" applyAlignment="1">
      <alignment horizontal="center" vertical="center" wrapText="1"/>
    </xf>
    <xf numFmtId="0" fontId="11" fillId="84" borderId="0" xfId="0" applyFont="1" applyFill="1" applyAlignment="1">
      <alignment horizontal="center"/>
    </xf>
    <xf numFmtId="0" fontId="11" fillId="84" borderId="1" xfId="0" applyFont="1" applyFill="1" applyBorder="1" applyAlignment="1">
      <alignment horizontal="center" vertical="center" wrapText="1"/>
    </xf>
    <xf numFmtId="0" fontId="11" fillId="84"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88" fillId="84" borderId="39" xfId="0" applyFont="1" applyFill="1" applyBorder="1" applyAlignment="1">
      <alignment horizontal="center" vertical="center" wrapText="1"/>
    </xf>
    <xf numFmtId="0" fontId="88" fillId="84" borderId="1" xfId="0" applyFont="1" applyFill="1" applyBorder="1" applyAlignment="1">
      <alignment horizontal="center" vertical="center" wrapText="1"/>
    </xf>
    <xf numFmtId="0" fontId="88" fillId="84"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88" fillId="33" borderId="39" xfId="0" applyFont="1" applyFill="1" applyBorder="1" applyAlignment="1">
      <alignment horizontal="center" vertical="center" wrapText="1"/>
    </xf>
    <xf numFmtId="0" fontId="88" fillId="0" borderId="39" xfId="0" applyFont="1" applyBorder="1" applyAlignment="1">
      <alignment horizontal="center" vertical="center" wrapText="1"/>
    </xf>
    <xf numFmtId="0" fontId="88" fillId="83" borderId="39" xfId="0" applyFont="1" applyFill="1" applyBorder="1" applyAlignment="1">
      <alignment horizontal="center" vertical="center" wrapText="1"/>
    </xf>
    <xf numFmtId="0" fontId="61" fillId="83" borderId="81" xfId="0" applyFont="1" applyFill="1" applyBorder="1" applyAlignment="1">
      <alignment horizontal="center" vertical="center" wrapText="1"/>
    </xf>
    <xf numFmtId="0" fontId="62" fillId="0" borderId="18" xfId="0" applyFont="1" applyBorder="1" applyAlignment="1">
      <alignment vertical="center" wrapText="1"/>
    </xf>
    <xf numFmtId="0" fontId="91" fillId="83" borderId="78" xfId="0" applyFont="1" applyFill="1" applyBorder="1" applyAlignment="1">
      <alignment horizontal="center" vertical="center" wrapText="1"/>
    </xf>
    <xf numFmtId="0" fontId="91" fillId="83" borderId="82" xfId="0" applyFont="1" applyFill="1" applyBorder="1" applyAlignment="1">
      <alignment horizontal="center" vertical="center" wrapText="1"/>
    </xf>
    <xf numFmtId="0" fontId="91" fillId="83" borderId="77" xfId="0" applyFont="1" applyFill="1" applyBorder="1" applyAlignment="1">
      <alignment horizontal="center" vertical="center" wrapText="1"/>
    </xf>
    <xf numFmtId="0" fontId="91" fillId="83" borderId="23" xfId="0" applyFont="1" applyFill="1" applyBorder="1" applyAlignment="1">
      <alignment horizontal="center" vertical="center" wrapText="1"/>
    </xf>
    <xf numFmtId="0" fontId="62" fillId="37" borderId="82" xfId="0" applyFont="1" applyFill="1" applyBorder="1" applyAlignment="1">
      <alignment vertical="top" wrapText="1"/>
    </xf>
    <xf numFmtId="0" fontId="86" fillId="0" borderId="82" xfId="0" applyFont="1" applyBorder="1"/>
    <xf numFmtId="0" fontId="93"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4" borderId="40" xfId="0" applyFont="1" applyFill="1" applyBorder="1" applyAlignment="1">
      <alignment horizontal="center" vertical="center" wrapText="1"/>
    </xf>
    <xf numFmtId="0" fontId="86" fillId="84" borderId="1" xfId="0" applyFont="1" applyFill="1" applyBorder="1"/>
    <xf numFmtId="0" fontId="55" fillId="0" borderId="0" xfId="0" applyFont="1"/>
    <xf numFmtId="0" fontId="62" fillId="0" borderId="80" xfId="0" applyFont="1" applyBorder="1" applyAlignment="1">
      <alignment vertical="center" wrapText="1"/>
    </xf>
    <xf numFmtId="0" fontId="91" fillId="83" borderId="1" xfId="0" applyFont="1" applyFill="1" applyBorder="1" applyAlignment="1">
      <alignment vertical="center" wrapText="1"/>
    </xf>
    <xf numFmtId="0" fontId="86" fillId="0" borderId="1" xfId="0" applyFont="1" applyBorder="1"/>
    <xf numFmtId="0" fontId="93" fillId="0" borderId="81" xfId="0" applyFont="1" applyBorder="1"/>
    <xf numFmtId="0" fontId="95" fillId="0" borderId="1" xfId="0" applyFont="1" applyBorder="1"/>
    <xf numFmtId="0" fontId="86" fillId="0" borderId="1" xfId="0" applyFont="1" applyBorder="1" applyAlignment="1">
      <alignment horizontal="center"/>
    </xf>
    <xf numFmtId="0" fontId="86"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88" fillId="33" borderId="31" xfId="0" applyFont="1" applyFill="1" applyBorder="1" applyAlignment="1">
      <alignment horizontal="center" vertical="center" wrapText="1"/>
    </xf>
    <xf numFmtId="0" fontId="62" fillId="0" borderId="23" xfId="0" applyFont="1" applyBorder="1" applyAlignment="1">
      <alignment vertical="center" wrapText="1"/>
    </xf>
    <xf numFmtId="0" fontId="91" fillId="83" borderId="94" xfId="0" applyFont="1" applyFill="1" applyBorder="1" applyAlignment="1">
      <alignment horizontal="center" vertical="center" wrapText="1"/>
    </xf>
    <xf numFmtId="0" fontId="91" fillId="83" borderId="92" xfId="0" applyFont="1" applyFill="1" applyBorder="1" applyAlignment="1">
      <alignment horizontal="center" vertical="center" wrapText="1"/>
    </xf>
    <xf numFmtId="0" fontId="62" fillId="37" borderId="78" xfId="0" applyFont="1" applyFill="1" applyBorder="1" applyAlignment="1">
      <alignment vertical="top" wrapText="1"/>
    </xf>
    <xf numFmtId="0" fontId="96" fillId="0" borderId="0" xfId="0" applyFont="1" applyAlignment="1">
      <alignment wrapText="1"/>
    </xf>
    <xf numFmtId="0" fontId="11" fillId="33" borderId="79" xfId="0" applyFont="1" applyFill="1" applyBorder="1" applyAlignment="1">
      <alignment vertical="center" wrapText="1"/>
    </xf>
    <xf numFmtId="165" fontId="98" fillId="33" borderId="40" xfId="0" applyNumberFormat="1" applyFont="1" applyFill="1" applyBorder="1" applyAlignment="1">
      <alignment horizontal="center" vertical="center" wrapText="1"/>
    </xf>
    <xf numFmtId="165" fontId="98" fillId="33" borderId="26" xfId="0" applyNumberFormat="1" applyFont="1" applyFill="1" applyBorder="1" applyAlignment="1">
      <alignment horizontal="center" vertical="center" wrapText="1"/>
    </xf>
    <xf numFmtId="165" fontId="98" fillId="33" borderId="42" xfId="0" applyNumberFormat="1" applyFont="1" applyFill="1" applyBorder="1" applyAlignment="1">
      <alignment horizontal="center" vertical="center" wrapText="1"/>
    </xf>
    <xf numFmtId="0" fontId="11" fillId="83"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98" fillId="83" borderId="39" xfId="0" applyFont="1" applyFill="1" applyBorder="1" applyAlignment="1">
      <alignment horizontal="center" vertical="center" wrapText="1"/>
    </xf>
    <xf numFmtId="1" fontId="98" fillId="83" borderId="39" xfId="0" applyNumberFormat="1" applyFont="1" applyFill="1" applyBorder="1" applyAlignment="1">
      <alignment horizontal="center" vertical="center" wrapText="1"/>
    </xf>
    <xf numFmtId="0" fontId="11" fillId="83" borderId="1" xfId="0" applyFont="1" applyFill="1" applyBorder="1" applyAlignment="1">
      <alignment horizontal="center" vertical="center" wrapText="1"/>
    </xf>
    <xf numFmtId="0" fontId="98" fillId="33" borderId="39" xfId="0" applyFont="1" applyFill="1" applyBorder="1" applyAlignment="1">
      <alignment horizontal="center" vertical="center" wrapText="1"/>
    </xf>
    <xf numFmtId="0" fontId="88" fillId="33" borderId="1" xfId="0" applyFont="1" applyFill="1" applyBorder="1" applyAlignment="1">
      <alignment horizontal="center" vertical="center"/>
    </xf>
    <xf numFmtId="0" fontId="88" fillId="33" borderId="37" xfId="0" applyFont="1" applyFill="1" applyBorder="1" applyAlignment="1">
      <alignment horizontal="center" vertical="center"/>
    </xf>
    <xf numFmtId="0" fontId="61" fillId="83"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4" borderId="86" xfId="0" applyFont="1" applyFill="1" applyBorder="1" applyAlignment="1">
      <alignment vertical="center" wrapText="1"/>
    </xf>
    <xf numFmtId="167" fontId="11" fillId="86" borderId="40" xfId="0" applyNumberFormat="1" applyFont="1" applyFill="1" applyBorder="1" applyAlignment="1">
      <alignment horizontal="center" wrapText="1"/>
    </xf>
    <xf numFmtId="0" fontId="95" fillId="84" borderId="1" xfId="0" applyFont="1" applyFill="1" applyBorder="1"/>
    <xf numFmtId="167" fontId="11" fillId="84" borderId="40" xfId="0" applyNumberFormat="1" applyFont="1" applyFill="1" applyBorder="1" applyAlignment="1">
      <alignment horizontal="center" wrapText="1"/>
    </xf>
    <xf numFmtId="0" fontId="61" fillId="84" borderId="1" xfId="0" applyFont="1" applyFill="1" applyBorder="1" applyAlignment="1">
      <alignment horizontal="center" vertical="center" wrapText="1"/>
    </xf>
    <xf numFmtId="167" fontId="61" fillId="83" borderId="39" xfId="0" applyNumberFormat="1" applyFont="1" applyFill="1" applyBorder="1" applyAlignment="1">
      <alignment horizontal="center" vertical="center" wrapText="1"/>
    </xf>
    <xf numFmtId="0" fontId="98" fillId="83" borderId="1" xfId="0" applyFont="1" applyFill="1" applyBorder="1" applyAlignment="1">
      <alignment horizontal="center" vertical="center" wrapText="1"/>
    </xf>
    <xf numFmtId="0" fontId="98" fillId="83" borderId="37" xfId="0" applyFont="1" applyFill="1" applyBorder="1" applyAlignment="1">
      <alignment horizontal="center" vertical="center" wrapText="1"/>
    </xf>
    <xf numFmtId="0" fontId="95" fillId="0" borderId="82" xfId="0" applyFont="1" applyBorder="1"/>
    <xf numFmtId="0" fontId="95" fillId="0" borderId="92" xfId="0" applyFont="1" applyBorder="1"/>
    <xf numFmtId="0" fontId="0" fillId="81" borderId="0" xfId="0" applyFill="1" applyAlignment="1">
      <alignment wrapText="1"/>
    </xf>
    <xf numFmtId="1" fontId="11" fillId="84" borderId="39" xfId="0" applyNumberFormat="1" applyFont="1" applyFill="1" applyBorder="1" applyAlignment="1">
      <alignment horizontal="center" vertical="center" wrapText="1"/>
    </xf>
    <xf numFmtId="167" fontId="11" fillId="84" borderId="39" xfId="0" applyNumberFormat="1" applyFont="1" applyFill="1" applyBorder="1" applyAlignment="1">
      <alignment horizontal="center" vertical="center" wrapText="1"/>
    </xf>
    <xf numFmtId="0" fontId="61" fillId="84" borderId="81" xfId="0" applyFont="1" applyFill="1" applyBorder="1" applyAlignment="1">
      <alignment horizontal="center" vertical="center" wrapText="1"/>
    </xf>
    <xf numFmtId="0" fontId="47" fillId="81" borderId="0" xfId="0" applyFont="1" applyFill="1"/>
    <xf numFmtId="0" fontId="54" fillId="87" borderId="1" xfId="0" applyFont="1" applyFill="1" applyBorder="1"/>
    <xf numFmtId="166" fontId="54" fillId="87" borderId="1" xfId="0" applyNumberFormat="1" applyFont="1" applyFill="1" applyBorder="1"/>
    <xf numFmtId="0" fontId="54" fillId="87" borderId="0" xfId="0" applyFont="1" applyFill="1"/>
    <xf numFmtId="0" fontId="98" fillId="84" borderId="39" xfId="0" applyFont="1" applyFill="1" applyBorder="1" applyAlignment="1">
      <alignment horizontal="center" vertical="center" wrapText="1"/>
    </xf>
    <xf numFmtId="0" fontId="98" fillId="84" borderId="1" xfId="0" applyFont="1" applyFill="1" applyBorder="1" applyAlignment="1">
      <alignment horizontal="center" vertical="center" wrapText="1"/>
    </xf>
    <xf numFmtId="0" fontId="98" fillId="84" borderId="37" xfId="0" applyFont="1" applyFill="1" applyBorder="1" applyAlignment="1">
      <alignment horizontal="center" vertical="center" wrapText="1"/>
    </xf>
    <xf numFmtId="0" fontId="11" fillId="84" borderId="37" xfId="0" applyFont="1" applyFill="1" applyBorder="1" applyAlignment="1">
      <alignment horizontal="center" vertical="center" wrapText="1"/>
    </xf>
    <xf numFmtId="0" fontId="95" fillId="84" borderId="1" xfId="0" applyFont="1" applyFill="1" applyBorder="1" applyAlignment="1">
      <alignment horizontal="center" vertical="center"/>
    </xf>
    <xf numFmtId="0" fontId="95" fillId="84" borderId="28" xfId="0" applyFont="1" applyFill="1" applyBorder="1"/>
    <xf numFmtId="0" fontId="11" fillId="84" borderId="83" xfId="0" applyFont="1" applyFill="1" applyBorder="1" applyAlignment="1">
      <alignment vertical="center" wrapText="1"/>
    </xf>
    <xf numFmtId="0" fontId="95" fillId="84" borderId="84" xfId="0" applyFont="1" applyFill="1" applyBorder="1"/>
    <xf numFmtId="0" fontId="11" fillId="84" borderId="90" xfId="0" applyFont="1" applyFill="1" applyBorder="1" applyAlignment="1">
      <alignment vertical="center" wrapText="1"/>
    </xf>
    <xf numFmtId="0" fontId="98" fillId="84" borderId="32" xfId="0" applyFont="1" applyFill="1" applyBorder="1" applyAlignment="1">
      <alignment horizontal="center" vertical="center" wrapText="1"/>
    </xf>
    <xf numFmtId="0" fontId="98" fillId="84" borderId="93" xfId="0" applyFont="1" applyFill="1" applyBorder="1" applyAlignment="1">
      <alignment horizontal="center" vertical="center" wrapText="1"/>
    </xf>
    <xf numFmtId="0" fontId="98" fillId="84" borderId="95" xfId="0" applyFont="1" applyFill="1" applyBorder="1" applyAlignment="1">
      <alignment horizontal="center" vertical="center" wrapText="1"/>
    </xf>
    <xf numFmtId="0" fontId="95" fillId="84" borderId="93" xfId="0" applyFont="1" applyFill="1" applyBorder="1"/>
    <xf numFmtId="0" fontId="95" fillId="84" borderId="96" xfId="0" applyFont="1" applyFill="1" applyBorder="1"/>
    <xf numFmtId="166" fontId="40" fillId="81" borderId="0" xfId="47" applyNumberFormat="1" applyFill="1"/>
    <xf numFmtId="166" fontId="40" fillId="0" borderId="0" xfId="47" applyNumberFormat="1" applyFill="1" applyBorder="1"/>
    <xf numFmtId="0" fontId="99" fillId="0" borderId="0" xfId="0" applyFont="1"/>
    <xf numFmtId="166" fontId="99" fillId="0" borderId="0" xfId="47" applyNumberFormat="1" applyFont="1"/>
    <xf numFmtId="2" fontId="0" fillId="81" borderId="0" xfId="0" applyNumberFormat="1" applyFill="1"/>
    <xf numFmtId="0" fontId="4" fillId="37" borderId="0" xfId="0" applyFont="1" applyFill="1" applyAlignment="1">
      <alignment vertical="center" wrapText="1"/>
    </xf>
    <xf numFmtId="0" fontId="102" fillId="37" borderId="0" xfId="0" applyFont="1" applyFill="1"/>
    <xf numFmtId="0" fontId="79" fillId="37" borderId="0" xfId="0" applyFont="1" applyFill="1"/>
    <xf numFmtId="0" fontId="3" fillId="37" borderId="0" xfId="0" applyFont="1" applyFill="1" applyAlignment="1">
      <alignment vertical="center" wrapText="1"/>
    </xf>
    <xf numFmtId="0" fontId="103" fillId="37" borderId="0" xfId="0" applyFont="1" applyFill="1" applyAlignment="1">
      <alignment vertical="center"/>
    </xf>
    <xf numFmtId="0" fontId="48" fillId="0" borderId="0" xfId="0" applyFont="1"/>
    <xf numFmtId="0" fontId="102" fillId="37" borderId="0" xfId="0" applyFont="1" applyFill="1" applyAlignment="1">
      <alignment vertical="center"/>
    </xf>
    <xf numFmtId="0" fontId="103" fillId="37" borderId="0" xfId="0" applyFont="1" applyFill="1"/>
    <xf numFmtId="0" fontId="49" fillId="37" borderId="0" xfId="0" applyFont="1" applyFill="1" applyAlignment="1">
      <alignment horizontal="right" vertical="center" wrapText="1"/>
    </xf>
    <xf numFmtId="0" fontId="104" fillId="37" borderId="0" xfId="0" applyFont="1" applyFill="1"/>
    <xf numFmtId="0" fontId="102" fillId="0" borderId="0" xfId="0" applyFont="1"/>
    <xf numFmtId="0" fontId="62" fillId="88" borderId="82" xfId="0" applyFont="1" applyFill="1" applyBorder="1" applyAlignment="1">
      <alignment vertical="top" wrapText="1"/>
    </xf>
    <xf numFmtId="0" fontId="11" fillId="88" borderId="80" xfId="0" applyFont="1" applyFill="1" applyBorder="1" applyAlignment="1">
      <alignment vertical="center" wrapText="1"/>
    </xf>
    <xf numFmtId="0" fontId="11" fillId="88" borderId="1" xfId="968" applyNumberFormat="1" applyFont="1" applyFill="1" applyBorder="1" applyAlignment="1">
      <alignment horizontal="center" vertical="center" wrapText="1"/>
    </xf>
    <xf numFmtId="0" fontId="11" fillId="88" borderId="0" xfId="0" applyFont="1" applyFill="1" applyAlignment="1">
      <alignment horizontal="center"/>
    </xf>
    <xf numFmtId="0" fontId="11" fillId="88" borderId="1" xfId="0" applyFont="1" applyFill="1" applyBorder="1" applyAlignment="1">
      <alignment horizontal="center" vertical="center" wrapText="1"/>
    </xf>
    <xf numFmtId="0" fontId="11" fillId="88"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88" fillId="88" borderId="39" xfId="0" applyFont="1" applyFill="1" applyBorder="1" applyAlignment="1">
      <alignment horizontal="center" vertical="center" wrapText="1"/>
    </xf>
    <xf numFmtId="0" fontId="88" fillId="88" borderId="1" xfId="0" applyFont="1" applyFill="1" applyBorder="1" applyAlignment="1">
      <alignment horizontal="center" vertical="center" wrapText="1"/>
    </xf>
    <xf numFmtId="0" fontId="88" fillId="88" borderId="37" xfId="0" applyFont="1" applyFill="1" applyBorder="1" applyAlignment="1">
      <alignment horizontal="center" vertical="center" wrapText="1"/>
    </xf>
    <xf numFmtId="0" fontId="11" fillId="88" borderId="40" xfId="0" applyFont="1" applyFill="1" applyBorder="1" applyAlignment="1">
      <alignment horizontal="center" vertical="center" wrapText="1"/>
    </xf>
    <xf numFmtId="0" fontId="86" fillId="88" borderId="1" xfId="0" applyFont="1" applyFill="1" applyBorder="1"/>
    <xf numFmtId="0" fontId="98" fillId="33" borderId="40" xfId="0" applyFont="1" applyFill="1" applyBorder="1" applyAlignment="1">
      <alignment horizontal="center" vertical="center" wrapText="1"/>
    </xf>
    <xf numFmtId="0" fontId="98" fillId="33" borderId="26" xfId="0" applyFont="1" applyFill="1" applyBorder="1" applyAlignment="1">
      <alignment horizontal="center" vertical="center" wrapText="1"/>
    </xf>
    <xf numFmtId="0" fontId="98" fillId="33" borderId="42" xfId="0" applyFont="1" applyFill="1" applyBorder="1" applyAlignment="1">
      <alignment horizontal="center" vertical="center" wrapText="1"/>
    </xf>
    <xf numFmtId="167" fontId="11" fillId="89" borderId="40" xfId="0" applyNumberFormat="1" applyFont="1" applyFill="1" applyBorder="1" applyAlignment="1">
      <alignment horizontal="center" wrapText="1"/>
    </xf>
    <xf numFmtId="0" fontId="95" fillId="88" borderId="1" xfId="0" applyFont="1" applyFill="1" applyBorder="1"/>
    <xf numFmtId="167" fontId="11" fillId="88" borderId="40" xfId="0" applyNumberFormat="1" applyFont="1" applyFill="1" applyBorder="1" applyAlignment="1">
      <alignment horizontal="center" wrapText="1"/>
    </xf>
    <xf numFmtId="0" fontId="61" fillId="88"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88" fillId="83" borderId="1" xfId="0" applyFont="1" applyFill="1" applyBorder="1" applyAlignment="1">
      <alignment horizontal="center" vertical="center"/>
    </xf>
    <xf numFmtId="0" fontId="88" fillId="83" borderId="37" xfId="0" applyFont="1" applyFill="1" applyBorder="1" applyAlignment="1">
      <alignment horizontal="center" vertical="center"/>
    </xf>
    <xf numFmtId="0" fontId="11" fillId="88" borderId="86" xfId="0" applyFont="1" applyFill="1" applyBorder="1" applyAlignment="1">
      <alignment vertical="center" wrapText="1"/>
    </xf>
    <xf numFmtId="1" fontId="11" fillId="88" borderId="39" xfId="0" applyNumberFormat="1" applyFont="1" applyFill="1" applyBorder="1" applyAlignment="1">
      <alignment horizontal="center" vertical="center" wrapText="1"/>
    </xf>
    <xf numFmtId="167" fontId="11" fillId="88" borderId="39" xfId="0" applyNumberFormat="1" applyFont="1" applyFill="1" applyBorder="1" applyAlignment="1">
      <alignment horizontal="center" vertical="center" wrapText="1"/>
    </xf>
    <xf numFmtId="0" fontId="61" fillId="88" borderId="81" xfId="0" applyFont="1" applyFill="1" applyBorder="1" applyAlignment="1">
      <alignment horizontal="center" vertical="center" wrapText="1"/>
    </xf>
    <xf numFmtId="0" fontId="98" fillId="88" borderId="39" xfId="0" applyFont="1" applyFill="1" applyBorder="1" applyAlignment="1">
      <alignment horizontal="center" vertical="center" wrapText="1"/>
    </xf>
    <xf numFmtId="0" fontId="98" fillId="88" borderId="1" xfId="0" applyFont="1" applyFill="1" applyBorder="1" applyAlignment="1">
      <alignment horizontal="center" vertical="center" wrapText="1"/>
    </xf>
    <xf numFmtId="0" fontId="98" fillId="88" borderId="37" xfId="0" applyFont="1" applyFill="1" applyBorder="1" applyAlignment="1">
      <alignment horizontal="center" vertical="center" wrapText="1"/>
    </xf>
    <xf numFmtId="0" fontId="11" fillId="88" borderId="37" xfId="0" applyFont="1" applyFill="1" applyBorder="1" applyAlignment="1">
      <alignment horizontal="center" vertical="center" wrapText="1"/>
    </xf>
    <xf numFmtId="0" fontId="95" fillId="88" borderId="1" xfId="0" applyFont="1" applyFill="1" applyBorder="1" applyAlignment="1">
      <alignment horizontal="center" vertical="center"/>
    </xf>
    <xf numFmtId="0" fontId="95" fillId="88" borderId="28" xfId="0" applyFont="1" applyFill="1" applyBorder="1"/>
    <xf numFmtId="0" fontId="11" fillId="88" borderId="83" xfId="0" applyFont="1" applyFill="1" applyBorder="1" applyAlignment="1">
      <alignment vertical="center" wrapText="1"/>
    </xf>
    <xf numFmtId="0" fontId="95" fillId="88" borderId="84" xfId="0" applyFont="1" applyFill="1" applyBorder="1"/>
    <xf numFmtId="0" fontId="11" fillId="88" borderId="90" xfId="0" applyFont="1" applyFill="1" applyBorder="1" applyAlignment="1">
      <alignment vertical="center" wrapText="1"/>
    </xf>
    <xf numFmtId="0" fontId="98" fillId="88" borderId="32" xfId="0" applyFont="1" applyFill="1" applyBorder="1" applyAlignment="1">
      <alignment horizontal="center" vertical="center" wrapText="1"/>
    </xf>
    <xf numFmtId="0" fontId="98" fillId="88" borderId="93" xfId="0" applyFont="1" applyFill="1" applyBorder="1" applyAlignment="1">
      <alignment horizontal="center" vertical="center" wrapText="1"/>
    </xf>
    <xf numFmtId="0" fontId="98" fillId="88" borderId="95" xfId="0" applyFont="1" applyFill="1" applyBorder="1" applyAlignment="1">
      <alignment horizontal="center" vertical="center" wrapText="1"/>
    </xf>
    <xf numFmtId="0" fontId="95" fillId="88" borderId="93" xfId="0" applyFont="1" applyFill="1" applyBorder="1"/>
    <xf numFmtId="0" fontId="95" fillId="88" borderId="96" xfId="0" applyFont="1" applyFill="1" applyBorder="1"/>
    <xf numFmtId="0" fontId="62" fillId="80" borderId="82" xfId="0" applyFont="1" applyFill="1" applyBorder="1" applyAlignment="1">
      <alignment vertical="top" wrapText="1"/>
    </xf>
    <xf numFmtId="0" fontId="11" fillId="80" borderId="80" xfId="0" applyFont="1" applyFill="1" applyBorder="1" applyAlignment="1">
      <alignment vertical="center" wrapText="1"/>
    </xf>
    <xf numFmtId="0" fontId="11" fillId="80" borderId="1" xfId="968" applyNumberFormat="1" applyFont="1" applyFill="1" applyBorder="1" applyAlignment="1">
      <alignment horizontal="center" vertical="center" wrapText="1"/>
    </xf>
    <xf numFmtId="0" fontId="11" fillId="80" borderId="0" xfId="0" applyFont="1" applyFill="1" applyAlignment="1">
      <alignment horizontal="center"/>
    </xf>
    <xf numFmtId="0" fontId="88" fillId="80" borderId="39" xfId="0" applyFont="1" applyFill="1" applyBorder="1" applyAlignment="1">
      <alignment horizontal="center" vertical="center" wrapText="1"/>
    </xf>
    <xf numFmtId="0" fontId="88" fillId="80" borderId="1" xfId="0" applyFont="1" applyFill="1" applyBorder="1" applyAlignment="1">
      <alignment horizontal="center" vertical="center" wrapText="1"/>
    </xf>
    <xf numFmtId="0" fontId="88" fillId="80" borderId="37" xfId="0" applyFont="1" applyFill="1" applyBorder="1" applyAlignment="1">
      <alignment horizontal="center" vertical="center" wrapText="1"/>
    </xf>
    <xf numFmtId="0" fontId="11" fillId="80" borderId="1" xfId="0" applyFont="1" applyFill="1" applyBorder="1" applyAlignment="1">
      <alignment horizontal="center" vertical="center" wrapText="1"/>
    </xf>
    <xf numFmtId="0" fontId="11" fillId="80" borderId="81" xfId="0" applyFont="1" applyFill="1" applyBorder="1" applyAlignment="1">
      <alignment horizontal="center" vertical="center" wrapText="1"/>
    </xf>
    <xf numFmtId="0" fontId="11" fillId="80" borderId="40" xfId="0" applyFont="1" applyFill="1" applyBorder="1" applyAlignment="1">
      <alignment horizontal="center" vertical="center" wrapText="1"/>
    </xf>
    <xf numFmtId="0" fontId="86" fillId="80" borderId="1" xfId="0" applyFont="1" applyFill="1" applyBorder="1"/>
    <xf numFmtId="2" fontId="98" fillId="33" borderId="40" xfId="0" applyNumberFormat="1" applyFont="1" applyFill="1" applyBorder="1" applyAlignment="1">
      <alignment horizontal="center" vertical="center" wrapText="1"/>
    </xf>
    <xf numFmtId="167" fontId="11" fillId="90" borderId="40" xfId="0" applyNumberFormat="1" applyFont="1" applyFill="1" applyBorder="1" applyAlignment="1">
      <alignment horizontal="center" wrapText="1"/>
    </xf>
    <xf numFmtId="0" fontId="95" fillId="80" borderId="1" xfId="0" applyFont="1" applyFill="1" applyBorder="1"/>
    <xf numFmtId="167" fontId="11" fillId="80" borderId="40" xfId="0" applyNumberFormat="1" applyFont="1" applyFill="1" applyBorder="1" applyAlignment="1">
      <alignment horizontal="center" wrapText="1"/>
    </xf>
    <xf numFmtId="0" fontId="61" fillId="80" borderId="1" xfId="0" applyFont="1" applyFill="1" applyBorder="1" applyAlignment="1">
      <alignment horizontal="center" vertical="center" wrapText="1"/>
    </xf>
    <xf numFmtId="0" fontId="11" fillId="80" borderId="86" xfId="0" applyFont="1" applyFill="1" applyBorder="1" applyAlignment="1">
      <alignment vertical="center" wrapText="1"/>
    </xf>
    <xf numFmtId="2" fontId="49" fillId="90" borderId="75" xfId="0" applyNumberFormat="1" applyFont="1" applyFill="1" applyBorder="1" applyAlignment="1">
      <alignment horizontal="center" vertical="center" wrapText="1"/>
    </xf>
    <xf numFmtId="167" fontId="11" fillId="80" borderId="39" xfId="0" applyNumberFormat="1" applyFont="1" applyFill="1" applyBorder="1" applyAlignment="1">
      <alignment horizontal="center" vertical="center" wrapText="1"/>
    </xf>
    <xf numFmtId="0" fontId="61" fillId="80" borderId="81" xfId="0" applyFont="1" applyFill="1" applyBorder="1" applyAlignment="1">
      <alignment horizontal="center" vertical="center" wrapText="1"/>
    </xf>
    <xf numFmtId="0" fontId="98" fillId="80" borderId="39" xfId="0" applyFont="1" applyFill="1" applyBorder="1" applyAlignment="1">
      <alignment horizontal="center" vertical="center" wrapText="1"/>
    </xf>
    <xf numFmtId="0" fontId="98" fillId="80" borderId="1" xfId="0" applyFont="1" applyFill="1" applyBorder="1" applyAlignment="1">
      <alignment horizontal="center" vertical="center" wrapText="1"/>
    </xf>
    <xf numFmtId="0" fontId="98" fillId="80" borderId="37" xfId="0" applyFont="1" applyFill="1" applyBorder="1" applyAlignment="1">
      <alignment horizontal="center" vertical="center" wrapText="1"/>
    </xf>
    <xf numFmtId="0" fontId="11" fillId="80" borderId="37" xfId="0" applyFont="1" applyFill="1" applyBorder="1" applyAlignment="1">
      <alignment horizontal="center" vertical="center" wrapText="1"/>
    </xf>
    <xf numFmtId="0" fontId="95" fillId="80" borderId="1" xfId="0" applyFont="1" applyFill="1" applyBorder="1" applyAlignment="1">
      <alignment horizontal="center" vertical="center"/>
    </xf>
    <xf numFmtId="0" fontId="95" fillId="80" borderId="28" xfId="0" applyFont="1" applyFill="1" applyBorder="1"/>
    <xf numFmtId="0" fontId="11" fillId="80" borderId="83" xfId="0" applyFont="1" applyFill="1" applyBorder="1" applyAlignment="1">
      <alignment vertical="center" wrapText="1"/>
    </xf>
    <xf numFmtId="0" fontId="11" fillId="80" borderId="90" xfId="0" applyFont="1" applyFill="1" applyBorder="1" applyAlignment="1">
      <alignment vertical="center" wrapText="1"/>
    </xf>
    <xf numFmtId="0" fontId="95" fillId="80" borderId="93" xfId="0" applyFont="1" applyFill="1" applyBorder="1"/>
    <xf numFmtId="0" fontId="95" fillId="80" borderId="96" xfId="0" applyFont="1" applyFill="1" applyBorder="1"/>
    <xf numFmtId="0" fontId="49" fillId="37" borderId="0" xfId="0" applyFont="1" applyFill="1" applyAlignment="1">
      <alignment vertical="center" wrapText="1"/>
    </xf>
    <xf numFmtId="0" fontId="102" fillId="0" borderId="0" xfId="0" applyFont="1" applyAlignment="1">
      <alignment vertical="center"/>
    </xf>
    <xf numFmtId="0" fontId="103" fillId="0" borderId="0" xfId="0" applyFont="1" applyAlignment="1">
      <alignment vertical="center"/>
    </xf>
    <xf numFmtId="0" fontId="103" fillId="0" borderId="0" xfId="0" applyFont="1"/>
    <xf numFmtId="0" fontId="11" fillId="82" borderId="80" xfId="0" applyFont="1" applyFill="1" applyBorder="1" applyAlignment="1">
      <alignment vertical="center" wrapText="1"/>
    </xf>
    <xf numFmtId="1" fontId="11" fillId="82"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88" fillId="82" borderId="39" xfId="0" applyNumberFormat="1" applyFont="1" applyFill="1" applyBorder="1" applyAlignment="1">
      <alignment horizontal="center" vertical="center" wrapText="1"/>
    </xf>
    <xf numFmtId="0" fontId="11" fillId="82" borderId="1" xfId="0" applyFont="1" applyFill="1" applyBorder="1" applyAlignment="1">
      <alignment horizontal="center" vertical="center" wrapText="1"/>
    </xf>
    <xf numFmtId="0" fontId="11" fillId="82" borderId="81" xfId="0" applyFont="1" applyFill="1" applyBorder="1" applyAlignment="1">
      <alignment horizontal="center" vertical="center" wrapText="1"/>
    </xf>
    <xf numFmtId="2" fontId="98" fillId="82" borderId="1" xfId="0" applyNumberFormat="1" applyFont="1" applyFill="1" applyBorder="1" applyAlignment="1">
      <alignment horizontal="center" vertical="center" wrapText="1"/>
    </xf>
    <xf numFmtId="0" fontId="88" fillId="82" borderId="39" xfId="0" applyFont="1" applyFill="1" applyBorder="1" applyAlignment="1">
      <alignment horizontal="center" vertical="center" wrapText="1"/>
    </xf>
    <xf numFmtId="0" fontId="62" fillId="83" borderId="78" xfId="0" applyFont="1" applyFill="1" applyBorder="1" applyAlignment="1">
      <alignment horizontal="center" vertical="center" wrapText="1"/>
    </xf>
    <xf numFmtId="0" fontId="62" fillId="83" borderId="82" xfId="0" applyFont="1" applyFill="1" applyBorder="1" applyAlignment="1">
      <alignment horizontal="center" vertical="center" wrapText="1"/>
    </xf>
    <xf numFmtId="0" fontId="62" fillId="83" borderId="77" xfId="0" applyFont="1" applyFill="1" applyBorder="1" applyAlignment="1">
      <alignment horizontal="center" vertical="center" wrapText="1"/>
    </xf>
    <xf numFmtId="0" fontId="62" fillId="83" borderId="23" xfId="0" applyFont="1" applyFill="1" applyBorder="1" applyAlignment="1">
      <alignment horizontal="center" vertical="center" wrapText="1"/>
    </xf>
    <xf numFmtId="0" fontId="86" fillId="0" borderId="92" xfId="0" applyFont="1" applyBorder="1"/>
    <xf numFmtId="1" fontId="88" fillId="82" borderId="39" xfId="0" applyNumberFormat="1" applyFont="1" applyFill="1" applyBorder="1" applyAlignment="1">
      <alignment horizontal="center" vertical="center" wrapText="1"/>
    </xf>
    <xf numFmtId="9" fontId="88" fillId="82" borderId="1" xfId="0" applyNumberFormat="1" applyFont="1" applyFill="1" applyBorder="1" applyAlignment="1">
      <alignment horizontal="center" vertical="center" wrapText="1"/>
    </xf>
    <xf numFmtId="0" fontId="88" fillId="82" borderId="1" xfId="0" applyFont="1" applyFill="1" applyBorder="1" applyAlignment="1">
      <alignment horizontal="center" vertical="center" wrapText="1"/>
    </xf>
    <xf numFmtId="9" fontId="105" fillId="0" borderId="23" xfId="0" applyNumberFormat="1" applyFont="1" applyBorder="1" applyAlignment="1">
      <alignment horizontal="center" vertical="center"/>
    </xf>
    <xf numFmtId="9" fontId="105" fillId="0" borderId="24" xfId="0" applyNumberFormat="1" applyFont="1" applyBorder="1" applyAlignment="1">
      <alignment horizontal="center" vertical="center"/>
    </xf>
    <xf numFmtId="9" fontId="105" fillId="0" borderId="77" xfId="0" applyNumberFormat="1" applyFont="1" applyBorder="1" applyAlignment="1">
      <alignment horizontal="center" vertical="center"/>
    </xf>
    <xf numFmtId="9" fontId="105" fillId="0" borderId="25" xfId="0" applyNumberFormat="1" applyFont="1" applyBorder="1" applyAlignment="1">
      <alignment horizontal="center" vertical="center"/>
    </xf>
    <xf numFmtId="0" fontId="11" fillId="82" borderId="40" xfId="0" applyFont="1" applyFill="1" applyBorder="1" applyAlignment="1">
      <alignment horizontal="center" vertical="center" wrapText="1"/>
    </xf>
    <xf numFmtId="0" fontId="86" fillId="82" borderId="1" xfId="0" applyFont="1" applyFill="1" applyBorder="1"/>
    <xf numFmtId="0" fontId="86" fillId="0" borderId="81" xfId="0" applyFont="1" applyBorder="1"/>
    <xf numFmtId="0" fontId="62" fillId="83" borderId="94" xfId="0" applyFont="1" applyFill="1" applyBorder="1" applyAlignment="1">
      <alignment horizontal="center" vertical="center" wrapText="1"/>
    </xf>
    <xf numFmtId="0" fontId="62" fillId="83" borderId="92" xfId="0" applyFont="1" applyFill="1" applyBorder="1" applyAlignment="1">
      <alignment horizontal="center" vertical="center" wrapText="1"/>
    </xf>
    <xf numFmtId="165" fontId="98" fillId="33" borderId="39" xfId="0" applyNumberFormat="1" applyFont="1" applyFill="1" applyBorder="1" applyAlignment="1">
      <alignment horizontal="center" vertical="center" wrapText="1"/>
    </xf>
    <xf numFmtId="1" fontId="98" fillId="0" borderId="39" xfId="0" applyNumberFormat="1" applyFont="1" applyBorder="1" applyAlignment="1">
      <alignment horizontal="center" vertical="center" wrapText="1"/>
    </xf>
    <xf numFmtId="1" fontId="98" fillId="33" borderId="39" xfId="0" applyNumberFormat="1" applyFont="1" applyFill="1" applyBorder="1" applyAlignment="1">
      <alignment horizontal="center" vertical="center" wrapText="1"/>
    </xf>
    <xf numFmtId="1" fontId="88" fillId="33" borderId="1" xfId="0" applyNumberFormat="1" applyFont="1" applyFill="1" applyBorder="1" applyAlignment="1">
      <alignment horizontal="center" vertical="center"/>
    </xf>
    <xf numFmtId="1" fontId="88"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80" borderId="40" xfId="0" applyNumberFormat="1" applyFont="1" applyFill="1" applyBorder="1" applyAlignment="1">
      <alignment horizontal="center" wrapText="1"/>
    </xf>
    <xf numFmtId="0" fontId="11" fillId="80" borderId="39" xfId="0" applyFont="1" applyFill="1" applyBorder="1" applyAlignment="1">
      <alignment horizontal="center" vertical="center" wrapText="1"/>
    </xf>
    <xf numFmtId="0" fontId="86" fillId="80" borderId="81" xfId="0" applyFont="1" applyFill="1" applyBorder="1"/>
    <xf numFmtId="0" fontId="11" fillId="80" borderId="1" xfId="0" applyFont="1" applyFill="1" applyBorder="1" applyAlignment="1">
      <alignment horizontal="center" vertical="center"/>
    </xf>
    <xf numFmtId="0" fontId="11" fillId="80" borderId="37" xfId="0" applyFont="1" applyFill="1" applyBorder="1" applyAlignment="1">
      <alignment horizontal="center" vertical="center"/>
    </xf>
    <xf numFmtId="0" fontId="62" fillId="80" borderId="18" xfId="0" applyFont="1" applyFill="1" applyBorder="1" applyAlignment="1">
      <alignment vertical="center" wrapText="1"/>
    </xf>
    <xf numFmtId="0" fontId="62" fillId="80" borderId="78" xfId="0" applyFont="1" applyFill="1" applyBorder="1" applyAlignment="1">
      <alignment horizontal="center" vertical="center" wrapText="1"/>
    </xf>
    <xf numFmtId="0" fontId="62" fillId="80" borderId="82" xfId="0" applyFont="1" applyFill="1" applyBorder="1" applyAlignment="1">
      <alignment horizontal="center" vertical="center" wrapText="1"/>
    </xf>
    <xf numFmtId="0" fontId="62" fillId="80" borderId="77" xfId="0" applyFont="1" applyFill="1" applyBorder="1" applyAlignment="1">
      <alignment horizontal="center" vertical="center" wrapText="1"/>
    </xf>
    <xf numFmtId="0" fontId="62" fillId="80" borderId="23" xfId="0" applyFont="1" applyFill="1" applyBorder="1" applyAlignment="1">
      <alignment horizontal="center" vertical="center" wrapText="1"/>
    </xf>
    <xf numFmtId="0" fontId="86" fillId="80" borderId="82" xfId="0" applyFont="1" applyFill="1" applyBorder="1"/>
    <xf numFmtId="0" fontId="86" fillId="80" borderId="92" xfId="0" applyFont="1" applyFill="1" applyBorder="1"/>
    <xf numFmtId="167" fontId="11" fillId="80" borderId="74" xfId="0" applyNumberFormat="1" applyFont="1" applyFill="1" applyBorder="1" applyAlignment="1">
      <alignment horizontal="center" vertical="center" wrapText="1"/>
    </xf>
    <xf numFmtId="0" fontId="11" fillId="80" borderId="76" xfId="0" applyFont="1" applyFill="1" applyBorder="1" applyAlignment="1">
      <alignment horizontal="center" vertical="center" wrapText="1"/>
    </xf>
    <xf numFmtId="1" fontId="47" fillId="81" borderId="0" xfId="0" applyNumberFormat="1" applyFont="1" applyFill="1"/>
    <xf numFmtId="0" fontId="86" fillId="80" borderId="28" xfId="0" applyFont="1" applyFill="1" applyBorder="1"/>
    <xf numFmtId="167" fontId="11" fillId="80" borderId="32" xfId="0" applyNumberFormat="1" applyFont="1" applyFill="1" applyBorder="1" applyAlignment="1">
      <alignment horizontal="center" vertical="center" wrapText="1"/>
    </xf>
    <xf numFmtId="0" fontId="86" fillId="80" borderId="93" xfId="0" applyFont="1" applyFill="1" applyBorder="1"/>
    <xf numFmtId="0" fontId="86" fillId="80" borderId="96" xfId="0" applyFont="1" applyFill="1" applyBorder="1"/>
    <xf numFmtId="0" fontId="95" fillId="37" borderId="0" xfId="0" applyFont="1" applyFill="1"/>
    <xf numFmtId="0" fontId="88" fillId="33" borderId="31" xfId="0" applyFont="1" applyFill="1" applyBorder="1" applyAlignment="1">
      <alignment horizontal="center" vertical="center" wrapText="1"/>
    </xf>
    <xf numFmtId="167" fontId="98" fillId="83" borderId="39" xfId="0" applyNumberFormat="1" applyFont="1" applyFill="1" applyBorder="1" applyAlignment="1">
      <alignment horizontal="center" vertical="center" wrapText="1"/>
    </xf>
    <xf numFmtId="0" fontId="95"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4" borderId="39" xfId="0" applyNumberFormat="1" applyFont="1" applyFill="1" applyBorder="1" applyAlignment="1">
      <alignment horizontal="center" vertical="center" wrapText="1"/>
    </xf>
    <xf numFmtId="0" fontId="46" fillId="37" borderId="0" xfId="0" applyFont="1" applyFill="1"/>
    <xf numFmtId="0" fontId="79" fillId="37" borderId="0" xfId="0" applyFont="1" applyFill="1" applyAlignment="1">
      <alignment vertical="top"/>
    </xf>
    <xf numFmtId="3" fontId="67" fillId="37" borderId="0" xfId="1257"/>
    <xf numFmtId="0" fontId="0" fillId="37" borderId="0" xfId="0" applyFill="1" applyAlignment="1">
      <alignment horizontal="right"/>
    </xf>
    <xf numFmtId="3" fontId="46" fillId="0" borderId="0" xfId="0" applyNumberFormat="1" applyFont="1"/>
    <xf numFmtId="1" fontId="11" fillId="84" borderId="1" xfId="968" applyNumberFormat="1" applyFont="1" applyFill="1" applyBorder="1" applyAlignment="1">
      <alignment horizontal="center" vertical="center" wrapText="1"/>
    </xf>
    <xf numFmtId="1" fontId="11" fillId="84"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3" borderId="39" xfId="0" applyFont="1" applyFill="1" applyBorder="1" applyAlignment="1">
      <alignment horizontal="center" vertical="center" wrapText="1"/>
    </xf>
    <xf numFmtId="0" fontId="11" fillId="84" borderId="39" xfId="0" applyFont="1" applyFill="1" applyBorder="1" applyAlignment="1">
      <alignment horizontal="center" vertical="center" wrapText="1"/>
    </xf>
    <xf numFmtId="167" fontId="98" fillId="84" borderId="32" xfId="0" applyNumberFormat="1" applyFont="1" applyFill="1" applyBorder="1" applyAlignment="1">
      <alignment horizontal="center" vertical="center" wrapText="1"/>
    </xf>
    <xf numFmtId="167" fontId="98" fillId="84" borderId="93" xfId="0" applyNumberFormat="1" applyFont="1" applyFill="1" applyBorder="1" applyAlignment="1">
      <alignment horizontal="center" vertical="center" wrapText="1"/>
    </xf>
    <xf numFmtId="167" fontId="98" fillId="84" borderId="95" xfId="0" applyNumberFormat="1" applyFont="1" applyFill="1" applyBorder="1" applyAlignment="1">
      <alignment horizontal="center" vertical="center" wrapText="1"/>
    </xf>
    <xf numFmtId="2" fontId="98" fillId="33" borderId="26" xfId="0" applyNumberFormat="1" applyFont="1" applyFill="1" applyBorder="1" applyAlignment="1">
      <alignment horizontal="center" vertical="center" wrapText="1"/>
    </xf>
    <xf numFmtId="2" fontId="98" fillId="33" borderId="42" xfId="0" applyNumberFormat="1" applyFont="1" applyFill="1" applyBorder="1" applyAlignment="1">
      <alignment horizontal="center" vertical="center" wrapText="1"/>
    </xf>
    <xf numFmtId="0" fontId="4" fillId="37" borderId="0" xfId="0" applyFont="1" applyFill="1"/>
    <xf numFmtId="0" fontId="79" fillId="91" borderId="0" xfId="0" applyFont="1" applyFill="1" applyAlignment="1">
      <alignment horizontal="right"/>
    </xf>
    <xf numFmtId="0" fontId="79" fillId="91" borderId="0" xfId="0" applyFont="1" applyFill="1"/>
    <xf numFmtId="0" fontId="79" fillId="91" borderId="0" xfId="0" applyFont="1" applyFill="1" applyAlignment="1">
      <alignment vertical="top"/>
    </xf>
    <xf numFmtId="0" fontId="83" fillId="91" borderId="0" xfId="0" applyFont="1" applyFill="1" applyAlignment="1">
      <alignment horizontal="right"/>
    </xf>
    <xf numFmtId="0" fontId="4" fillId="91" borderId="0" xfId="0" applyFont="1" applyFill="1" applyAlignment="1">
      <alignment horizontal="right"/>
    </xf>
    <xf numFmtId="2" fontId="11" fillId="84" borderId="40" xfId="0" applyNumberFormat="1" applyFont="1" applyFill="1" applyBorder="1" applyAlignment="1">
      <alignment horizontal="center" wrapText="1"/>
    </xf>
    <xf numFmtId="0" fontId="79" fillId="37" borderId="0" xfId="0" applyFont="1" applyFill="1" applyAlignment="1">
      <alignment horizontal="right"/>
    </xf>
    <xf numFmtId="0" fontId="107" fillId="83"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07" fillId="37" borderId="0" xfId="0" applyFont="1" applyFill="1" applyAlignment="1">
      <alignment horizontal="right"/>
    </xf>
    <xf numFmtId="0" fontId="95" fillId="37" borderId="0" xfId="0" applyFont="1" applyFill="1" applyAlignment="1">
      <alignment horizontal="right"/>
    </xf>
    <xf numFmtId="0" fontId="95" fillId="0" borderId="0" xfId="0" applyFont="1" applyAlignment="1">
      <alignment horizontal="right"/>
    </xf>
    <xf numFmtId="0" fontId="4" fillId="0" borderId="0" xfId="0" applyFont="1"/>
    <xf numFmtId="0" fontId="102"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8" borderId="1" xfId="968" applyNumberFormat="1" applyFont="1" applyFill="1" applyBorder="1" applyAlignment="1">
      <alignment horizontal="center" vertical="center" wrapText="1"/>
    </xf>
    <xf numFmtId="1" fontId="11" fillId="88" borderId="0" xfId="0" applyNumberFormat="1" applyFont="1" applyFill="1" applyAlignment="1">
      <alignment horizontal="center"/>
    </xf>
    <xf numFmtId="2" fontId="11" fillId="88" borderId="39" xfId="0" applyNumberFormat="1" applyFont="1" applyFill="1" applyBorder="1" applyAlignment="1">
      <alignment horizontal="center" vertical="center" wrapText="1"/>
    </xf>
    <xf numFmtId="0" fontId="11" fillId="88" borderId="39" xfId="0" applyFont="1" applyFill="1" applyBorder="1" applyAlignment="1">
      <alignment horizontal="center" vertical="center" wrapText="1"/>
    </xf>
    <xf numFmtId="0" fontId="71" fillId="0" borderId="23" xfId="0" applyFont="1" applyBorder="1"/>
    <xf numFmtId="0" fontId="0" fillId="0" borderId="25" xfId="0" applyBorder="1"/>
    <xf numFmtId="2" fontId="88" fillId="84" borderId="39" xfId="0" applyNumberFormat="1" applyFont="1" applyFill="1" applyBorder="1" applyAlignment="1">
      <alignment horizontal="center" vertical="center" wrapText="1"/>
    </xf>
    <xf numFmtId="167" fontId="88" fillId="84" borderId="39" xfId="0" applyNumberFormat="1" applyFont="1" applyFill="1" applyBorder="1" applyAlignment="1">
      <alignment horizontal="center" vertical="center" wrapText="1"/>
    </xf>
    <xf numFmtId="0" fontId="109" fillId="0" borderId="0" xfId="0" applyFont="1"/>
    <xf numFmtId="0" fontId="79" fillId="37" borderId="0" xfId="0" applyFont="1" applyFill="1" applyAlignment="1">
      <alignment horizontal="right" vertical="center"/>
    </xf>
    <xf numFmtId="0" fontId="83" fillId="37" borderId="0" xfId="0" applyFont="1" applyFill="1" applyAlignment="1">
      <alignment horizontal="right" vertical="center"/>
    </xf>
    <xf numFmtId="0" fontId="4" fillId="37" borderId="0" xfId="0" applyFont="1" applyFill="1" applyAlignment="1">
      <alignment horizontal="right" vertical="center"/>
    </xf>
    <xf numFmtId="2" fontId="11" fillId="88"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98" fillId="88" borderId="32" xfId="0" applyNumberFormat="1" applyFont="1" applyFill="1" applyBorder="1" applyAlignment="1">
      <alignment horizontal="center" vertical="center" wrapText="1"/>
    </xf>
    <xf numFmtId="167" fontId="98" fillId="88" borderId="93" xfId="0" applyNumberFormat="1" applyFont="1" applyFill="1" applyBorder="1" applyAlignment="1">
      <alignment horizontal="center" vertical="center" wrapText="1"/>
    </xf>
    <xf numFmtId="167" fontId="98" fillId="88" borderId="95" xfId="0" applyNumberFormat="1" applyFont="1" applyFill="1" applyBorder="1" applyAlignment="1">
      <alignment horizontal="center" vertical="center" wrapText="1"/>
    </xf>
    <xf numFmtId="0" fontId="95" fillId="88" borderId="1" xfId="0" applyFont="1" applyFill="1" applyBorder="1" applyAlignment="1">
      <alignment horizontal="left" vertical="center"/>
    </xf>
    <xf numFmtId="1" fontId="88" fillId="84" borderId="39" xfId="0" applyNumberFormat="1" applyFont="1" applyFill="1" applyBorder="1" applyAlignment="1">
      <alignment horizontal="center" vertical="center" wrapText="1"/>
    </xf>
    <xf numFmtId="1" fontId="88" fillId="88"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7" borderId="1" xfId="0" applyNumberFormat="1" applyFont="1" applyFill="1" applyBorder="1"/>
    <xf numFmtId="0" fontId="111" fillId="0" borderId="0" xfId="0" applyFont="1"/>
    <xf numFmtId="0" fontId="112"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77"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77"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3" fillId="83" borderId="41" xfId="0" applyFont="1" applyFill="1" applyBorder="1" applyAlignment="1">
      <alignment vertical="center" wrapText="1"/>
    </xf>
    <xf numFmtId="0" fontId="115" fillId="83" borderId="37" xfId="0" applyFont="1" applyFill="1" applyBorder="1" applyAlignment="1">
      <alignment vertical="center" wrapText="1"/>
    </xf>
    <xf numFmtId="0" fontId="116" fillId="83" borderId="70" xfId="0" applyFont="1" applyFill="1" applyBorder="1" applyAlignment="1">
      <alignment horizontal="center" vertical="center" wrapText="1"/>
    </xf>
    <xf numFmtId="0" fontId="116" fillId="83" borderId="39" xfId="0" applyFont="1" applyFill="1" applyBorder="1" applyAlignment="1">
      <alignment vertical="center" wrapText="1"/>
    </xf>
    <xf numFmtId="0" fontId="117" fillId="83" borderId="37" xfId="0" applyFont="1" applyFill="1" applyBorder="1" applyAlignment="1">
      <alignment vertical="center" wrapText="1"/>
    </xf>
    <xf numFmtId="0" fontId="115" fillId="83" borderId="1" xfId="0" applyFont="1" applyFill="1" applyBorder="1" applyAlignment="1">
      <alignment vertical="center" wrapText="1"/>
    </xf>
    <xf numFmtId="0" fontId="115" fillId="83" borderId="1" xfId="0" applyFont="1" applyFill="1" applyBorder="1" applyAlignment="1">
      <alignment horizontal="center" vertical="center" wrapText="1"/>
    </xf>
    <xf numFmtId="49" fontId="119" fillId="83" borderId="26" xfId="0" applyNumberFormat="1" applyFont="1" applyFill="1" applyBorder="1" applyAlignment="1">
      <alignment vertical="center" wrapText="1"/>
    </xf>
    <xf numFmtId="0" fontId="117" fillId="83" borderId="26" xfId="0" applyFont="1" applyFill="1" applyBorder="1" applyAlignment="1">
      <alignment vertical="center" wrapText="1"/>
    </xf>
    <xf numFmtId="0" fontId="115" fillId="83" borderId="28" xfId="0" applyFont="1" applyFill="1" applyBorder="1" applyAlignment="1">
      <alignment vertical="center" wrapText="1"/>
    </xf>
    <xf numFmtId="0" fontId="115" fillId="83" borderId="28" xfId="0" applyFont="1" applyFill="1" applyBorder="1" applyAlignment="1">
      <alignment horizontal="center" vertical="center" wrapText="1"/>
    </xf>
    <xf numFmtId="0" fontId="115" fillId="83" borderId="26" xfId="0" applyFont="1" applyFill="1" applyBorder="1" applyAlignment="1">
      <alignment vertical="center" wrapText="1"/>
    </xf>
    <xf numFmtId="0" fontId="115" fillId="83" borderId="26" xfId="0" applyFont="1" applyFill="1" applyBorder="1" applyAlignment="1">
      <alignment horizontal="center" vertical="center" wrapText="1"/>
    </xf>
    <xf numFmtId="0" fontId="115" fillId="83" borderId="1" xfId="0" applyFont="1" applyFill="1" applyBorder="1" applyAlignment="1">
      <alignment horizontal="left" vertical="center" wrapText="1"/>
    </xf>
    <xf numFmtId="0" fontId="115" fillId="83" borderId="27" xfId="0" applyFont="1" applyFill="1" applyBorder="1" applyAlignment="1">
      <alignment vertical="center" wrapText="1"/>
    </xf>
    <xf numFmtId="0" fontId="117" fillId="83" borderId="1" xfId="0" applyFont="1" applyFill="1" applyBorder="1" applyAlignment="1">
      <alignment vertical="center" wrapText="1"/>
    </xf>
    <xf numFmtId="0" fontId="115" fillId="83" borderId="28" xfId="0" quotePrefix="1" applyFont="1" applyFill="1" applyBorder="1" applyAlignment="1">
      <alignment vertical="center" wrapText="1"/>
    </xf>
    <xf numFmtId="0" fontId="117" fillId="83" borderId="39" xfId="0" applyFont="1" applyFill="1" applyBorder="1" applyAlignment="1">
      <alignment vertical="center" wrapText="1"/>
    </xf>
    <xf numFmtId="0" fontId="121" fillId="83" borderId="37" xfId="0" applyFont="1" applyFill="1" applyBorder="1" applyAlignment="1">
      <alignment horizontal="center" vertical="center" wrapText="1"/>
    </xf>
    <xf numFmtId="0" fontId="121" fillId="83" borderId="1" xfId="0" applyFont="1" applyFill="1" applyBorder="1" applyAlignment="1">
      <alignment horizontal="center" vertical="center" wrapText="1"/>
    </xf>
    <xf numFmtId="0" fontId="121" fillId="83" borderId="0" xfId="0" applyFont="1" applyFill="1" applyAlignment="1">
      <alignment horizontal="center" vertical="center" wrapText="1"/>
    </xf>
    <xf numFmtId="0" fontId="121" fillId="83" borderId="37" xfId="0" applyFont="1" applyFill="1" applyBorder="1" applyAlignment="1">
      <alignment vertical="center" wrapText="1"/>
    </xf>
    <xf numFmtId="0" fontId="121" fillId="83" borderId="36" xfId="0" applyFont="1" applyFill="1" applyBorder="1" applyAlignment="1">
      <alignment vertical="center" wrapText="1"/>
    </xf>
    <xf numFmtId="0" fontId="121" fillId="83" borderId="38" xfId="0" applyFont="1" applyFill="1" applyBorder="1" applyAlignment="1">
      <alignment vertical="center" wrapText="1"/>
    </xf>
    <xf numFmtId="0" fontId="121" fillId="83" borderId="38" xfId="0" applyFont="1" applyFill="1" applyBorder="1" applyAlignment="1">
      <alignment horizontal="center" vertical="center" wrapText="1"/>
    </xf>
    <xf numFmtId="0" fontId="59" fillId="83" borderId="1" xfId="0" applyFont="1" applyFill="1" applyBorder="1" applyAlignment="1">
      <alignment horizontal="center" vertical="center" wrapText="1"/>
    </xf>
    <xf numFmtId="0" fontId="121" fillId="83" borderId="26" xfId="0" applyFont="1" applyFill="1" applyBorder="1" applyAlignment="1">
      <alignment vertical="center" wrapText="1"/>
    </xf>
    <xf numFmtId="0" fontId="59" fillId="83" borderId="28" xfId="0" applyFont="1" applyFill="1" applyBorder="1" applyAlignment="1">
      <alignment horizontal="center" vertical="center" wrapText="1"/>
    </xf>
    <xf numFmtId="0" fontId="59" fillId="83" borderId="26" xfId="0" applyFont="1" applyFill="1" applyBorder="1" applyAlignment="1">
      <alignment horizontal="center" vertical="center" wrapText="1"/>
    </xf>
    <xf numFmtId="0" fontId="47" fillId="83" borderId="1" xfId="0" applyFont="1" applyFill="1" applyBorder="1" applyAlignment="1">
      <alignment horizontal="center" vertical="center" wrapText="1"/>
    </xf>
    <xf numFmtId="0" fontId="121" fillId="83" borderId="1" xfId="0" applyFont="1" applyFill="1" applyBorder="1" applyAlignment="1">
      <alignment vertical="center" wrapText="1"/>
    </xf>
    <xf numFmtId="0" fontId="59" fillId="0" borderId="1" xfId="0" applyFont="1" applyBorder="1" applyAlignment="1">
      <alignment horizontal="center" vertical="center" wrapText="1"/>
    </xf>
    <xf numFmtId="0" fontId="59" fillId="83" borderId="28" xfId="0" applyFont="1" applyFill="1" applyBorder="1" applyAlignment="1">
      <alignment vertical="center" wrapText="1"/>
    </xf>
    <xf numFmtId="0" fontId="59" fillId="83" borderId="1" xfId="0" applyFont="1" applyFill="1" applyBorder="1" applyAlignment="1">
      <alignment vertical="center" wrapText="1"/>
    </xf>
    <xf numFmtId="2" fontId="59" fillId="83"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77"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77" fillId="0" borderId="95" xfId="0" applyFont="1" applyFill="1" applyBorder="1" applyAlignment="1">
      <alignment horizontal="right"/>
    </xf>
    <xf numFmtId="0" fontId="122" fillId="37" borderId="0" xfId="0" applyFont="1" applyFill="1"/>
    <xf numFmtId="0" fontId="115" fillId="0" borderId="0" xfId="0" applyFont="1" applyAlignment="1">
      <alignment horizontal="center" vertical="center" wrapText="1"/>
    </xf>
    <xf numFmtId="0" fontId="115" fillId="83" borderId="0" xfId="0" applyFont="1" applyFill="1" applyAlignment="1">
      <alignment horizontal="center" vertical="center" wrapText="1"/>
    </xf>
    <xf numFmtId="0" fontId="115" fillId="0" borderId="0" xfId="0" applyFont="1" applyAlignment="1">
      <alignment vertical="center" wrapText="1"/>
    </xf>
    <xf numFmtId="0" fontId="122"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5"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5"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88"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98" fillId="83" borderId="1" xfId="0" applyNumberFormat="1" applyFont="1" applyFill="1" applyBorder="1" applyAlignment="1">
      <alignment horizontal="center" vertical="center" wrapText="1"/>
    </xf>
    <xf numFmtId="167" fontId="98" fillId="83" borderId="37" xfId="0" applyNumberFormat="1" applyFont="1" applyFill="1" applyBorder="1" applyAlignment="1">
      <alignment horizontal="center" vertical="center" wrapText="1"/>
    </xf>
    <xf numFmtId="167" fontId="88" fillId="88" borderId="39" xfId="0" applyNumberFormat="1" applyFont="1" applyFill="1" applyBorder="1" applyAlignment="1">
      <alignment horizontal="center" vertical="center" wrapText="1"/>
    </xf>
    <xf numFmtId="2" fontId="88" fillId="88" borderId="39" xfId="0" applyNumberFormat="1" applyFont="1" applyFill="1" applyBorder="1" applyAlignment="1">
      <alignment horizontal="center" vertical="center" wrapText="1"/>
    </xf>
    <xf numFmtId="167" fontId="88" fillId="33" borderId="39" xfId="0" applyNumberFormat="1" applyFont="1" applyFill="1" applyBorder="1" applyAlignment="1">
      <alignment horizontal="center" vertical="center" wrapText="1"/>
    </xf>
    <xf numFmtId="167" fontId="88" fillId="83" borderId="1" xfId="0" applyNumberFormat="1" applyFont="1" applyFill="1" applyBorder="1" applyAlignment="1">
      <alignment horizontal="center" vertical="center"/>
    </xf>
    <xf numFmtId="167" fontId="88" fillId="83" borderId="37" xfId="0" applyNumberFormat="1" applyFont="1" applyFill="1" applyBorder="1" applyAlignment="1">
      <alignment horizontal="center" vertical="center"/>
    </xf>
    <xf numFmtId="0" fontId="123" fillId="37" borderId="0" xfId="0" applyFont="1" applyFill="1"/>
    <xf numFmtId="0" fontId="70" fillId="37" borderId="0" xfId="0" applyFont="1" applyFill="1"/>
    <xf numFmtId="0" fontId="77"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77" fillId="34" borderId="20" xfId="0" applyFont="1" applyFill="1" applyBorder="1" applyAlignment="1">
      <alignment horizontal="right" vertical="center" wrapText="1"/>
    </xf>
    <xf numFmtId="0" fontId="77" fillId="34" borderId="32" xfId="0" applyFont="1" applyFill="1" applyBorder="1" applyAlignment="1">
      <alignment horizontal="right" vertical="center" wrapText="1"/>
    </xf>
    <xf numFmtId="0" fontId="115"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5" fillId="75" borderId="1" xfId="0" applyFont="1" applyFill="1" applyBorder="1" applyAlignment="1">
      <alignment horizontal="center" vertical="center" wrapText="1"/>
    </xf>
    <xf numFmtId="0" fontId="115"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5" fillId="75" borderId="26" xfId="0" applyFont="1" applyFill="1" applyBorder="1" applyAlignment="1">
      <alignment horizontal="center" vertical="center" wrapText="1"/>
    </xf>
    <xf numFmtId="0" fontId="115" fillId="75" borderId="28" xfId="0" applyFont="1" applyFill="1" applyBorder="1" applyAlignment="1">
      <alignment vertical="center" wrapText="1"/>
    </xf>
    <xf numFmtId="0" fontId="59" fillId="75" borderId="1" xfId="0" applyFont="1" applyFill="1" applyBorder="1"/>
    <xf numFmtId="0" fontId="7" fillId="26" borderId="38" xfId="6969" applyFont="1" applyFill="1" applyBorder="1" applyAlignment="1">
      <alignment horizontal="left" vertical="center" wrapText="1"/>
    </xf>
    <xf numFmtId="1" fontId="7" fillId="82" borderId="37" xfId="6969" applyNumberFormat="1" applyFont="1" applyFill="1" applyBorder="1" applyAlignment="1">
      <alignment horizontal="right"/>
    </xf>
    <xf numFmtId="1" fontId="7" fillId="82" borderId="38" xfId="6969" applyNumberFormat="1" applyFont="1" applyFill="1" applyBorder="1" applyAlignment="1">
      <alignment horizontal="right"/>
    </xf>
    <xf numFmtId="0" fontId="7" fillId="29" borderId="15" xfId="6969" applyFont="1" applyFill="1" applyBorder="1" applyAlignment="1">
      <alignment horizontal="left" wrapText="1"/>
    </xf>
    <xf numFmtId="0" fontId="7" fillId="29" borderId="15" xfId="6969" applyFont="1" applyFill="1" applyBorder="1" applyAlignment="1">
      <alignment horizontal="right" wrapText="1"/>
    </xf>
    <xf numFmtId="0" fontId="7" fillId="92" borderId="0" xfId="6969" applyFont="1" applyFill="1"/>
    <xf numFmtId="177" fontId="7" fillId="92" borderId="0" xfId="6969"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7"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78"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11" fillId="0" borderId="0" xfId="6970"/>
    <xf numFmtId="0" fontId="124" fillId="0" borderId="0" xfId="6971"/>
    <xf numFmtId="0" fontId="40" fillId="0" borderId="0" xfId="6973"/>
    <xf numFmtId="0" fontId="40" fillId="0" borderId="0" xfId="6973" applyAlignment="1">
      <alignment wrapText="1"/>
    </xf>
    <xf numFmtId="2" fontId="40" fillId="0" borderId="0" xfId="6973" applyNumberFormat="1"/>
    <xf numFmtId="0" fontId="0" fillId="0" borderId="0" xfId="6973" applyFont="1"/>
    <xf numFmtId="0" fontId="0" fillId="0" borderId="0" xfId="6973" applyFont="1" applyAlignment="1">
      <alignment wrapText="1"/>
    </xf>
    <xf numFmtId="0" fontId="124" fillId="0" borderId="0" xfId="6971" applyAlignment="1">
      <alignment horizontal="center"/>
    </xf>
    <xf numFmtId="0" fontId="124" fillId="0" borderId="0" xfId="6974"/>
    <xf numFmtId="0" fontId="59" fillId="0" borderId="0" xfId="2001" applyFont="1"/>
    <xf numFmtId="2" fontId="124" fillId="0" borderId="0" xfId="6974" applyNumberFormat="1"/>
    <xf numFmtId="0" fontId="59" fillId="27" borderId="20" xfId="6974" applyFont="1" applyFill="1" applyBorder="1" applyAlignment="1">
      <alignment horizontal="right"/>
    </xf>
    <xf numFmtId="0" fontId="59" fillId="34" borderId="19" xfId="6974" applyFont="1" applyFill="1" applyBorder="1" applyAlignment="1">
      <alignment vertical="top" wrapText="1"/>
    </xf>
    <xf numFmtId="0" fontId="59" fillId="26" borderId="19" xfId="6974" applyFont="1" applyFill="1" applyBorder="1" applyAlignment="1">
      <alignment horizontal="left" vertical="center" wrapText="1"/>
    </xf>
    <xf numFmtId="0" fontId="59" fillId="87" borderId="19" xfId="6974" applyFont="1" applyFill="1" applyBorder="1" applyAlignment="1">
      <alignment horizontal="left" vertical="center" wrapText="1"/>
    </xf>
    <xf numFmtId="0" fontId="49" fillId="0" borderId="13" xfId="6971" applyFont="1" applyBorder="1" applyAlignment="1">
      <alignment horizontal="center" wrapText="1"/>
    </xf>
    <xf numFmtId="0" fontId="48" fillId="0" borderId="12" xfId="6971" applyFont="1" applyBorder="1" applyAlignment="1">
      <alignment wrapText="1"/>
    </xf>
    <xf numFmtId="3" fontId="49" fillId="0" borderId="13" xfId="6971" applyNumberFormat="1" applyFont="1" applyBorder="1" applyAlignment="1">
      <alignment horizontal="center" wrapText="1"/>
    </xf>
    <xf numFmtId="0" fontId="49" fillId="0" borderId="17" xfId="6971" applyFont="1" applyBorder="1" applyAlignment="1">
      <alignment horizontal="center" wrapText="1"/>
    </xf>
    <xf numFmtId="0" fontId="48" fillId="0" borderId="16" xfId="6971" applyFont="1" applyBorder="1" applyAlignment="1">
      <alignment wrapText="1"/>
    </xf>
    <xf numFmtId="0" fontId="51" fillId="0" borderId="13" xfId="6971" applyFont="1" applyBorder="1" applyAlignment="1">
      <alignment horizontal="center" wrapText="1"/>
    </xf>
    <xf numFmtId="0" fontId="51" fillId="0" borderId="15" xfId="6971" applyFont="1" applyBorder="1" applyAlignment="1">
      <alignment horizontal="center" wrapText="1"/>
    </xf>
    <xf numFmtId="0" fontId="50" fillId="0" borderId="14" xfId="6971" applyFont="1" applyBorder="1" applyAlignment="1">
      <alignment wrapText="1"/>
    </xf>
    <xf numFmtId="2" fontId="124" fillId="0" borderId="0" xfId="6971" applyNumberFormat="1"/>
    <xf numFmtId="0" fontId="124" fillId="0" borderId="0" xfId="6971" applyAlignment="1">
      <alignment wrapText="1"/>
    </xf>
    <xf numFmtId="2" fontId="59" fillId="0" borderId="0" xfId="2001" applyNumberFormat="1" applyFont="1"/>
    <xf numFmtId="0" fontId="126" fillId="0" borderId="0" xfId="2001" applyFont="1"/>
    <xf numFmtId="0" fontId="59" fillId="27" borderId="20" xfId="6971" applyFont="1" applyFill="1" applyBorder="1" applyAlignment="1">
      <alignment horizontal="right"/>
    </xf>
    <xf numFmtId="0" fontId="59" fillId="34" borderId="19" xfId="6971" applyFont="1" applyFill="1" applyBorder="1" applyAlignment="1">
      <alignment vertical="top" wrapText="1"/>
    </xf>
    <xf numFmtId="0" fontId="59" fillId="26" borderId="19" xfId="6971" applyFont="1" applyFill="1" applyBorder="1" applyAlignment="1">
      <alignment horizontal="left" vertical="center" wrapText="1"/>
    </xf>
    <xf numFmtId="0" fontId="59" fillId="87" borderId="19" xfId="6971" applyFont="1" applyFill="1" applyBorder="1" applyAlignment="1">
      <alignment horizontal="left" vertical="center" wrapText="1"/>
    </xf>
    <xf numFmtId="0" fontId="79" fillId="37" borderId="1" xfId="6976" applyFont="1" applyFill="1" applyBorder="1" applyAlignment="1">
      <alignment horizontal="center" vertical="center" wrapText="1"/>
    </xf>
    <xf numFmtId="0" fontId="79" fillId="37" borderId="1" xfId="6976" applyFont="1" applyFill="1" applyBorder="1" applyAlignment="1">
      <alignment vertical="center" wrapText="1"/>
    </xf>
    <xf numFmtId="0" fontId="79" fillId="37" borderId="40" xfId="6976" applyFont="1" applyFill="1" applyBorder="1" applyAlignment="1">
      <alignment horizontal="center" vertical="center" wrapText="1"/>
    </xf>
    <xf numFmtId="167" fontId="79" fillId="37" borderId="40" xfId="6976" applyNumberFormat="1" applyFont="1" applyFill="1" applyBorder="1" applyAlignment="1">
      <alignment horizontal="center" wrapText="1"/>
    </xf>
    <xf numFmtId="49" fontId="79" fillId="37" borderId="26" xfId="6976" applyNumberFormat="1" applyFont="1" applyFill="1" applyBorder="1" applyAlignment="1">
      <alignment vertical="center" wrapText="1"/>
    </xf>
    <xf numFmtId="0" fontId="79" fillId="37" borderId="26" xfId="6976" applyFont="1" applyFill="1" applyBorder="1" applyAlignment="1">
      <alignment vertical="center" wrapText="1"/>
    </xf>
    <xf numFmtId="2" fontId="79" fillId="37" borderId="40" xfId="6976" applyNumberFormat="1" applyFont="1" applyFill="1" applyBorder="1" applyAlignment="1">
      <alignment horizontal="center" vertical="center" wrapText="1"/>
    </xf>
    <xf numFmtId="167" fontId="79" fillId="37" borderId="40" xfId="6976" applyNumberFormat="1" applyFont="1" applyFill="1" applyBorder="1" applyAlignment="1">
      <alignment horizontal="center" vertical="center" wrapText="1"/>
    </xf>
    <xf numFmtId="0" fontId="79" fillId="37" borderId="40" xfId="6976" quotePrefix="1" applyFont="1" applyFill="1" applyBorder="1" applyAlignment="1">
      <alignment horizontal="center" vertical="center" wrapText="1"/>
    </xf>
    <xf numFmtId="0" fontId="79" fillId="37" borderId="70" xfId="6976" applyFont="1" applyFill="1" applyBorder="1" applyAlignment="1">
      <alignment horizontal="center" vertical="center" wrapText="1"/>
    </xf>
    <xf numFmtId="0" fontId="79" fillId="37" borderId="42" xfId="6976" applyFont="1" applyFill="1" applyBorder="1" applyAlignment="1">
      <alignment vertical="center" wrapText="1"/>
    </xf>
    <xf numFmtId="0" fontId="79" fillId="79" borderId="1" xfId="6976" applyFont="1" applyFill="1" applyBorder="1" applyAlignment="1">
      <alignment horizontal="center" vertical="center" wrapText="1"/>
    </xf>
    <xf numFmtId="0" fontId="79" fillId="79" borderId="40" xfId="6976" applyFont="1" applyFill="1" applyBorder="1" applyAlignment="1">
      <alignment horizontal="center" vertical="center" wrapText="1"/>
    </xf>
    <xf numFmtId="0" fontId="79" fillId="79" borderId="26" xfId="6976" applyFont="1" applyFill="1" applyBorder="1" applyAlignment="1">
      <alignment vertical="center" wrapText="1"/>
    </xf>
    <xf numFmtId="0" fontId="79" fillId="37" borderId="27" xfId="6976" applyFont="1" applyFill="1" applyBorder="1" applyAlignment="1">
      <alignment vertical="center" wrapText="1"/>
    </xf>
    <xf numFmtId="0" fontId="79" fillId="79" borderId="39" xfId="6976" applyFont="1" applyFill="1" applyBorder="1" applyAlignment="1">
      <alignment horizontal="center" vertical="center" wrapText="1"/>
    </xf>
    <xf numFmtId="0" fontId="79" fillId="79" borderId="1" xfId="6976" applyFont="1" applyFill="1" applyBorder="1" applyAlignment="1">
      <alignment vertical="center" wrapText="1"/>
    </xf>
    <xf numFmtId="0" fontId="79" fillId="0" borderId="39" xfId="6976" applyFont="1" applyBorder="1" applyAlignment="1">
      <alignment horizontal="center" vertical="center" wrapText="1"/>
    </xf>
    <xf numFmtId="0" fontId="79" fillId="0" borderId="1" xfId="6976" applyFont="1" applyBorder="1" applyAlignment="1">
      <alignment horizontal="center" vertical="center" wrapText="1"/>
    </xf>
    <xf numFmtId="0" fontId="79" fillId="0" borderId="1" xfId="6976" applyFont="1" applyBorder="1" applyAlignment="1">
      <alignment vertical="center" wrapText="1"/>
    </xf>
    <xf numFmtId="0" fontId="62" fillId="37" borderId="39" xfId="6976" applyFont="1" applyFill="1" applyBorder="1" applyAlignment="1">
      <alignment vertical="center" wrapText="1"/>
    </xf>
    <xf numFmtId="0" fontId="62" fillId="37" borderId="38" xfId="6976" applyFont="1" applyFill="1" applyBorder="1" applyAlignment="1">
      <alignment vertical="center" wrapText="1"/>
    </xf>
    <xf numFmtId="0" fontId="62" fillId="37" borderId="37" xfId="6976" applyFont="1" applyFill="1" applyBorder="1" applyAlignment="1">
      <alignment vertical="center" wrapText="1"/>
    </xf>
    <xf numFmtId="0" fontId="62" fillId="37" borderId="40" xfId="6976" applyFont="1" applyFill="1" applyBorder="1" applyAlignment="1">
      <alignment horizontal="center" vertical="center" wrapText="1"/>
    </xf>
    <xf numFmtId="0" fontId="62" fillId="37" borderId="1" xfId="6976" applyFont="1" applyFill="1" applyBorder="1" applyAlignment="1">
      <alignment vertical="center" wrapText="1"/>
    </xf>
    <xf numFmtId="167" fontId="11" fillId="0" borderId="0" xfId="6970" applyNumberFormat="1"/>
    <xf numFmtId="0" fontId="128" fillId="0" borderId="0" xfId="6971" applyFont="1"/>
    <xf numFmtId="2" fontId="128" fillId="0" borderId="0" xfId="6971" applyNumberFormat="1" applyFont="1"/>
    <xf numFmtId="0" fontId="128" fillId="0" borderId="0" xfId="2001" applyFont="1"/>
    <xf numFmtId="0" fontId="128" fillId="0" borderId="0" xfId="6971" applyFont="1" applyAlignment="1">
      <alignment wrapText="1"/>
    </xf>
    <xf numFmtId="2" fontId="128" fillId="0" borderId="0" xfId="2001" applyNumberFormat="1" applyFont="1"/>
    <xf numFmtId="0" fontId="129" fillId="0" borderId="0" xfId="2001" applyFont="1"/>
    <xf numFmtId="0" fontId="130" fillId="0" borderId="0" xfId="6971" applyFont="1"/>
    <xf numFmtId="165" fontId="124" fillId="0" borderId="0" xfId="6971" applyNumberFormat="1" applyAlignment="1">
      <alignment horizontal="center"/>
    </xf>
    <xf numFmtId="2" fontId="124" fillId="0" borderId="0" xfId="6971" applyNumberFormat="1" applyAlignment="1">
      <alignment horizontal="center"/>
    </xf>
    <xf numFmtId="0" fontId="59" fillId="0" borderId="0" xfId="2001" applyFont="1" applyAlignment="1">
      <alignment horizontal="center"/>
    </xf>
    <xf numFmtId="0" fontId="124" fillId="0" borderId="0" xfId="6971" applyAlignment="1">
      <alignment horizontal="center" wrapText="1"/>
    </xf>
    <xf numFmtId="2" fontId="59" fillId="0" borderId="0" xfId="2001" applyNumberFormat="1" applyFont="1" applyAlignment="1">
      <alignment horizontal="center"/>
    </xf>
    <xf numFmtId="178" fontId="59" fillId="0" borderId="0" xfId="2001" applyNumberFormat="1" applyFont="1" applyAlignment="1">
      <alignment horizontal="center"/>
    </xf>
    <xf numFmtId="167" fontId="124" fillId="0" borderId="0" xfId="6971" applyNumberFormat="1" applyAlignment="1">
      <alignment horizontal="center" wrapText="1"/>
    </xf>
    <xf numFmtId="0" fontId="124" fillId="0" borderId="39" xfId="6971" applyBorder="1"/>
    <xf numFmtId="0" fontId="124" fillId="0" borderId="37" xfId="6971" applyBorder="1"/>
    <xf numFmtId="0" fontId="59" fillId="27" borderId="20" xfId="6971" applyFont="1" applyFill="1" applyBorder="1" applyAlignment="1">
      <alignment horizontal="center"/>
    </xf>
    <xf numFmtId="0" fontId="59" fillId="34" borderId="19" xfId="6971" applyFont="1" applyFill="1" applyBorder="1" applyAlignment="1">
      <alignment horizontal="center" vertical="top" wrapText="1"/>
    </xf>
    <xf numFmtId="0" fontId="124" fillId="0" borderId="0" xfId="6974" applyAlignment="1">
      <alignment wrapText="1"/>
    </xf>
    <xf numFmtId="0" fontId="79" fillId="37" borderId="1" xfId="6977" applyFont="1" applyFill="1" applyBorder="1" applyAlignment="1">
      <alignment horizontal="center" vertical="center" wrapText="1"/>
    </xf>
    <xf numFmtId="0" fontId="79" fillId="37" borderId="1" xfId="6977" applyFont="1" applyFill="1" applyBorder="1" applyAlignment="1">
      <alignment vertical="center" wrapText="1"/>
    </xf>
    <xf numFmtId="0" fontId="79" fillId="37" borderId="40" xfId="6977" applyFont="1" applyFill="1" applyBorder="1" applyAlignment="1">
      <alignment horizontal="center" vertical="center" wrapText="1"/>
    </xf>
    <xf numFmtId="167" fontId="79" fillId="37" borderId="40" xfId="6977" applyNumberFormat="1" applyFont="1" applyFill="1" applyBorder="1" applyAlignment="1">
      <alignment horizontal="center" wrapText="1"/>
    </xf>
    <xf numFmtId="49" fontId="79" fillId="37" borderId="26" xfId="6977" applyNumberFormat="1" applyFont="1" applyFill="1" applyBorder="1" applyAlignment="1">
      <alignment vertical="center" wrapText="1"/>
    </xf>
    <xf numFmtId="0" fontId="79" fillId="37" borderId="26" xfId="6977" applyFont="1" applyFill="1" applyBorder="1" applyAlignment="1">
      <alignment vertical="center" wrapText="1"/>
    </xf>
    <xf numFmtId="2" fontId="79" fillId="37" borderId="40" xfId="6977" applyNumberFormat="1" applyFont="1" applyFill="1" applyBorder="1" applyAlignment="1">
      <alignment horizontal="center" vertical="center" wrapText="1"/>
    </xf>
    <xf numFmtId="167" fontId="79" fillId="37" borderId="40" xfId="6977" applyNumberFormat="1" applyFont="1" applyFill="1" applyBorder="1" applyAlignment="1">
      <alignment horizontal="center" vertical="center" wrapText="1"/>
    </xf>
    <xf numFmtId="0" fontId="79" fillId="37" borderId="40" xfId="6977" quotePrefix="1" applyFont="1" applyFill="1" applyBorder="1" applyAlignment="1">
      <alignment horizontal="center" vertical="center" wrapText="1"/>
    </xf>
    <xf numFmtId="0" fontId="79" fillId="37" borderId="70" xfId="6977" applyFont="1" applyFill="1" applyBorder="1" applyAlignment="1">
      <alignment horizontal="center" vertical="center" wrapText="1"/>
    </xf>
    <xf numFmtId="0" fontId="79" fillId="37" borderId="42" xfId="6977" applyFont="1" applyFill="1" applyBorder="1" applyAlignment="1">
      <alignment vertical="center" wrapText="1"/>
    </xf>
    <xf numFmtId="0" fontId="79" fillId="37" borderId="27" xfId="6977" applyFont="1" applyFill="1" applyBorder="1" applyAlignment="1">
      <alignment vertical="center" wrapText="1"/>
    </xf>
    <xf numFmtId="0" fontId="79" fillId="37" borderId="39" xfId="6977" applyFont="1" applyFill="1" applyBorder="1" applyAlignment="1">
      <alignment horizontal="center" vertical="center" wrapText="1"/>
    </xf>
    <xf numFmtId="0" fontId="62" fillId="37" borderId="39" xfId="6977" applyFont="1" applyFill="1" applyBorder="1" applyAlignment="1">
      <alignment vertical="center" wrapText="1"/>
    </xf>
    <xf numFmtId="0" fontId="62" fillId="37" borderId="38" xfId="6977" applyFont="1" applyFill="1" applyBorder="1" applyAlignment="1">
      <alignment vertical="center" wrapText="1"/>
    </xf>
    <xf numFmtId="0" fontId="62" fillId="37" borderId="37" xfId="6977" applyFont="1" applyFill="1" applyBorder="1" applyAlignment="1">
      <alignment vertical="center" wrapText="1"/>
    </xf>
    <xf numFmtId="0" fontId="62" fillId="37" borderId="40" xfId="6977" applyFont="1" applyFill="1" applyBorder="1" applyAlignment="1">
      <alignment horizontal="center" vertical="center" wrapText="1"/>
    </xf>
    <xf numFmtId="0" fontId="62" fillId="37" borderId="1" xfId="6977" applyFont="1" applyFill="1" applyBorder="1" applyAlignment="1">
      <alignment vertical="center" wrapText="1"/>
    </xf>
    <xf numFmtId="0" fontId="128" fillId="0" borderId="0" xfId="6974" applyFont="1"/>
    <xf numFmtId="2" fontId="128" fillId="0" borderId="0" xfId="6974" applyNumberFormat="1" applyFont="1"/>
    <xf numFmtId="0" fontId="128" fillId="0" borderId="0" xfId="6974" applyFont="1" applyAlignment="1">
      <alignment wrapText="1"/>
    </xf>
    <xf numFmtId="0" fontId="130" fillId="0" borderId="0" xfId="6974" applyFont="1"/>
    <xf numFmtId="0" fontId="49" fillId="0" borderId="13" xfId="6974" applyFont="1" applyBorder="1" applyAlignment="1">
      <alignment horizontal="center" wrapText="1"/>
    </xf>
    <xf numFmtId="0" fontId="48" fillId="0" borderId="12" xfId="6974" applyFont="1" applyBorder="1" applyAlignment="1">
      <alignment wrapText="1"/>
    </xf>
    <xf numFmtId="3" fontId="49" fillId="0" borderId="13" xfId="6974" applyNumberFormat="1" applyFont="1" applyBorder="1" applyAlignment="1">
      <alignment horizontal="center" wrapText="1"/>
    </xf>
    <xf numFmtId="0" fontId="49" fillId="0" borderId="17" xfId="6974" applyFont="1" applyBorder="1" applyAlignment="1">
      <alignment horizontal="center" wrapText="1"/>
    </xf>
    <xf numFmtId="0" fontId="48" fillId="0" borderId="16" xfId="6974" applyFont="1" applyBorder="1" applyAlignment="1">
      <alignment wrapText="1"/>
    </xf>
    <xf numFmtId="0" fontId="51" fillId="0" borderId="13" xfId="6974" applyFont="1" applyBorder="1" applyAlignment="1">
      <alignment horizontal="center" wrapText="1"/>
    </xf>
    <xf numFmtId="0" fontId="51" fillId="0" borderId="15" xfId="6974" applyFont="1" applyBorder="1" applyAlignment="1">
      <alignment horizontal="center" wrapText="1"/>
    </xf>
    <xf numFmtId="0" fontId="50" fillId="0" borderId="14" xfId="6974" applyFont="1" applyBorder="1" applyAlignment="1">
      <alignment wrapText="1"/>
    </xf>
    <xf numFmtId="0" fontId="40" fillId="0" borderId="35" xfId="6973" applyBorder="1"/>
    <xf numFmtId="9" fontId="40" fillId="0" borderId="107" xfId="6973" applyNumberFormat="1" applyBorder="1"/>
    <xf numFmtId="1" fontId="40" fillId="0" borderId="21" xfId="6973" applyNumberFormat="1" applyBorder="1"/>
    <xf numFmtId="3" fontId="40" fillId="0" borderId="70" xfId="6973" applyNumberFormat="1" applyBorder="1"/>
    <xf numFmtId="3" fontId="40" fillId="0" borderId="0" xfId="6973" applyNumberFormat="1"/>
    <xf numFmtId="179" fontId="40" fillId="0" borderId="35" xfId="6973" applyNumberFormat="1" applyBorder="1"/>
    <xf numFmtId="9" fontId="131" fillId="0" borderId="107" xfId="6973" applyNumberFormat="1" applyFont="1" applyBorder="1"/>
    <xf numFmtId="9" fontId="78" fillId="0" borderId="107" xfId="6973" applyNumberFormat="1" applyFont="1" applyBorder="1"/>
    <xf numFmtId="0" fontId="132" fillId="0" borderId="0" xfId="6973" applyFont="1"/>
    <xf numFmtId="9" fontId="132" fillId="0" borderId="40" xfId="6973" applyNumberFormat="1" applyFont="1" applyBorder="1"/>
    <xf numFmtId="1" fontId="132" fillId="0" borderId="42" xfId="6973" applyNumberFormat="1" applyFont="1" applyBorder="1"/>
    <xf numFmtId="3" fontId="132" fillId="0" borderId="40" xfId="6973" applyNumberFormat="1" applyFont="1" applyBorder="1"/>
    <xf numFmtId="3" fontId="132" fillId="0" borderId="36" xfId="6973" applyNumberFormat="1" applyFont="1" applyBorder="1"/>
    <xf numFmtId="3" fontId="132" fillId="0" borderId="42" xfId="6973" applyNumberFormat="1" applyFont="1" applyBorder="1"/>
    <xf numFmtId="179" fontId="132" fillId="0" borderId="40" xfId="6973" applyNumberFormat="1" applyFont="1" applyBorder="1"/>
    <xf numFmtId="0" fontId="132" fillId="0" borderId="26" xfId="6973" applyFont="1" applyBorder="1"/>
    <xf numFmtId="9" fontId="132" fillId="0" borderId="70" xfId="6973" applyNumberFormat="1" applyFont="1" applyBorder="1"/>
    <xf numFmtId="1" fontId="132" fillId="0" borderId="21" xfId="6973" applyNumberFormat="1" applyFont="1" applyBorder="1"/>
    <xf numFmtId="3" fontId="132" fillId="0" borderId="70" xfId="6973" applyNumberFormat="1" applyFont="1" applyBorder="1"/>
    <xf numFmtId="3" fontId="132" fillId="0" borderId="0" xfId="6973" applyNumberFormat="1" applyFont="1"/>
    <xf numFmtId="3" fontId="132" fillId="0" borderId="21" xfId="6973" applyNumberFormat="1" applyFont="1" applyBorder="1"/>
    <xf numFmtId="179" fontId="132" fillId="0" borderId="70" xfId="6973" applyNumberFormat="1" applyFont="1" applyBorder="1"/>
    <xf numFmtId="0" fontId="132" fillId="0" borderId="27" xfId="6973" applyFont="1" applyBorder="1"/>
    <xf numFmtId="0" fontId="132" fillId="0" borderId="70" xfId="6973" applyFont="1" applyBorder="1"/>
    <xf numFmtId="0" fontId="132" fillId="0" borderId="21" xfId="6973" applyFont="1" applyBorder="1"/>
    <xf numFmtId="9" fontId="40" fillId="0" borderId="70" xfId="6973" applyNumberFormat="1" applyBorder="1"/>
    <xf numFmtId="3" fontId="40" fillId="0" borderId="21" xfId="6973" applyNumberFormat="1" applyBorder="1"/>
    <xf numFmtId="179" fontId="40" fillId="0" borderId="70" xfId="6973" applyNumberFormat="1" applyBorder="1"/>
    <xf numFmtId="0" fontId="40" fillId="0" borderId="27" xfId="6973" applyBorder="1"/>
    <xf numFmtId="1" fontId="132" fillId="0" borderId="70" xfId="6973" applyNumberFormat="1" applyFont="1" applyBorder="1"/>
    <xf numFmtId="1" fontId="132" fillId="0" borderId="0" xfId="6973" applyNumberFormat="1" applyFont="1"/>
    <xf numFmtId="9" fontId="133" fillId="0" borderId="107" xfId="6973" applyNumberFormat="1" applyFont="1" applyBorder="1"/>
    <xf numFmtId="0" fontId="134" fillId="0" borderId="0" xfId="6973" applyFont="1"/>
    <xf numFmtId="9" fontId="134" fillId="0" borderId="70" xfId="6973" applyNumberFormat="1" applyFont="1" applyBorder="1"/>
    <xf numFmtId="1" fontId="134" fillId="0" borderId="21" xfId="6973" applyNumberFormat="1" applyFont="1" applyBorder="1"/>
    <xf numFmtId="3" fontId="134" fillId="0" borderId="70" xfId="6973" applyNumberFormat="1" applyFont="1" applyBorder="1"/>
    <xf numFmtId="3" fontId="134" fillId="0" borderId="0" xfId="6973" applyNumberFormat="1" applyFont="1"/>
    <xf numFmtId="3" fontId="134" fillId="0" borderId="21" xfId="6973" applyNumberFormat="1" applyFont="1" applyBorder="1"/>
    <xf numFmtId="179" fontId="134" fillId="0" borderId="70" xfId="6973" applyNumberFormat="1" applyFont="1" applyBorder="1"/>
    <xf numFmtId="0" fontId="134" fillId="0" borderId="27" xfId="6973" applyFont="1" applyBorder="1"/>
    <xf numFmtId="0" fontId="40" fillId="0" borderId="70" xfId="6973" applyBorder="1"/>
    <xf numFmtId="0" fontId="40" fillId="0" borderId="21" xfId="6973" applyBorder="1"/>
    <xf numFmtId="2" fontId="0" fillId="0" borderId="0" xfId="6973" applyNumberFormat="1" applyFont="1"/>
    <xf numFmtId="2" fontId="40" fillId="0" borderId="13" xfId="6973" applyNumberFormat="1" applyBorder="1"/>
    <xf numFmtId="2" fontId="40" fillId="0" borderId="15" xfId="6973" applyNumberFormat="1" applyBorder="1"/>
    <xf numFmtId="0" fontId="135" fillId="0" borderId="14" xfId="6973" applyFont="1" applyBorder="1" applyAlignment="1">
      <alignment vertical="center"/>
    </xf>
    <xf numFmtId="2" fontId="40" fillId="0" borderId="17" xfId="6973" applyNumberFormat="1" applyBorder="1"/>
    <xf numFmtId="0" fontId="135" fillId="0" borderId="35" xfId="6973" applyFont="1" applyBorder="1" applyAlignment="1">
      <alignment vertical="center"/>
    </xf>
    <xf numFmtId="2" fontId="40" fillId="0" borderId="29" xfId="6973" applyNumberFormat="1" applyBorder="1"/>
    <xf numFmtId="2" fontId="40" fillId="0" borderId="34" xfId="6973" applyNumberFormat="1" applyBorder="1"/>
    <xf numFmtId="0" fontId="135" fillId="0" borderId="33" xfId="6973" applyFont="1" applyBorder="1" applyAlignment="1">
      <alignment vertical="center"/>
    </xf>
    <xf numFmtId="1" fontId="136" fillId="40" borderId="13" xfId="6973" applyNumberFormat="1" applyFont="1" applyFill="1" applyBorder="1"/>
    <xf numFmtId="1" fontId="136" fillId="40" borderId="15" xfId="6973" applyNumberFormat="1" applyFont="1" applyFill="1" applyBorder="1"/>
    <xf numFmtId="1" fontId="136" fillId="77" borderId="15" xfId="6973" applyNumberFormat="1" applyFont="1" applyFill="1" applyBorder="1"/>
    <xf numFmtId="167" fontId="136" fillId="79" borderId="15" xfId="6973" applyNumberFormat="1" applyFont="1" applyFill="1" applyBorder="1"/>
    <xf numFmtId="167" fontId="136" fillId="79" borderId="15" xfId="6973" quotePrefix="1" applyNumberFormat="1" applyFont="1" applyFill="1" applyBorder="1"/>
    <xf numFmtId="1" fontId="136" fillId="88" borderId="15" xfId="6973" applyNumberFormat="1" applyFont="1" applyFill="1" applyBorder="1"/>
    <xf numFmtId="1" fontId="136" fillId="40" borderId="17" xfId="6973" applyNumberFormat="1" applyFont="1" applyFill="1" applyBorder="1"/>
    <xf numFmtId="1" fontId="136" fillId="40" borderId="0" xfId="6973" applyNumberFormat="1" applyFont="1" applyFill="1"/>
    <xf numFmtId="1" fontId="136" fillId="77" borderId="0" xfId="6973" applyNumberFormat="1" applyFont="1" applyFill="1"/>
    <xf numFmtId="167" fontId="136" fillId="79" borderId="0" xfId="6973" applyNumberFormat="1" applyFont="1" applyFill="1"/>
    <xf numFmtId="1" fontId="136" fillId="88" borderId="0" xfId="6973" applyNumberFormat="1" applyFont="1" applyFill="1"/>
    <xf numFmtId="0" fontId="137" fillId="40" borderId="29" xfId="6973" applyFont="1" applyFill="1" applyBorder="1"/>
    <xf numFmtId="0" fontId="137" fillId="40" borderId="34" xfId="6973" applyFont="1" applyFill="1" applyBorder="1"/>
    <xf numFmtId="0" fontId="137" fillId="77" borderId="34" xfId="6973" applyFont="1" applyFill="1" applyBorder="1"/>
    <xf numFmtId="0" fontId="137" fillId="79" borderId="34" xfId="6973" applyFont="1" applyFill="1" applyBorder="1"/>
    <xf numFmtId="0" fontId="137" fillId="88" borderId="34" xfId="6973" applyFont="1" applyFill="1" applyBorder="1"/>
    <xf numFmtId="0" fontId="40" fillId="0" borderId="33" xfId="6973" applyBorder="1"/>
    <xf numFmtId="0" fontId="85" fillId="0" borderId="0" xfId="6978"/>
    <xf numFmtId="0" fontId="40" fillId="71" borderId="0" xfId="6973" applyFill="1"/>
    <xf numFmtId="0" fontId="46" fillId="71" borderId="0" xfId="6973" applyFont="1" applyFill="1"/>
    <xf numFmtId="0" fontId="135" fillId="0" borderId="15" xfId="6973" applyFont="1" applyBorder="1"/>
    <xf numFmtId="0" fontId="135" fillId="0" borderId="0" xfId="6973" applyFont="1"/>
    <xf numFmtId="0" fontId="135" fillId="0" borderId="34" xfId="6973" applyFont="1" applyBorder="1"/>
    <xf numFmtId="0" fontId="124" fillId="0" borderId="0" xfId="6979"/>
    <xf numFmtId="1" fontId="124" fillId="0" borderId="0" xfId="6979" applyNumberFormat="1"/>
    <xf numFmtId="1" fontId="136" fillId="79" borderId="15" xfId="6973" applyNumberFormat="1" applyFont="1" applyFill="1" applyBorder="1"/>
    <xf numFmtId="16" fontId="0" fillId="0" borderId="0" xfId="6973" applyNumberFormat="1" applyFont="1"/>
    <xf numFmtId="1" fontId="136" fillId="79" borderId="0" xfId="6973" applyNumberFormat="1" applyFont="1" applyFill="1"/>
    <xf numFmtId="0" fontId="40" fillId="0" borderId="34" xfId="6973" applyBorder="1"/>
    <xf numFmtId="1" fontId="138" fillId="0" borderId="33" xfId="6973" applyNumberFormat="1" applyFont="1" applyBorder="1"/>
    <xf numFmtId="0" fontId="40" fillId="0" borderId="40" xfId="6973" applyBorder="1"/>
    <xf numFmtId="0" fontId="40" fillId="0" borderId="36" xfId="6973" applyBorder="1"/>
    <xf numFmtId="0" fontId="40" fillId="0" borderId="42" xfId="6973" applyBorder="1"/>
    <xf numFmtId="0" fontId="135" fillId="0" borderId="0" xfId="6973" applyFont="1" applyAlignment="1">
      <alignment vertical="center"/>
    </xf>
    <xf numFmtId="0" fontId="0" fillId="0" borderId="21" xfId="6973" applyFont="1" applyBorder="1"/>
    <xf numFmtId="1" fontId="138" fillId="0" borderId="0" xfId="6973" applyNumberFormat="1" applyFont="1"/>
    <xf numFmtId="1" fontId="45" fillId="0" borderId="0" xfId="6973" applyNumberFormat="1" applyFont="1"/>
    <xf numFmtId="0" fontId="40" fillId="0" borderId="31" xfId="6973" applyBorder="1"/>
    <xf numFmtId="0" fontId="40" fillId="0" borderId="19" xfId="6973" applyBorder="1"/>
    <xf numFmtId="0" fontId="137" fillId="0" borderId="19" xfId="6973" applyFont="1" applyBorder="1"/>
    <xf numFmtId="0" fontId="137" fillId="0" borderId="41" xfId="6973" applyFont="1" applyBorder="1"/>
    <xf numFmtId="0" fontId="137" fillId="0" borderId="0" xfId="6973" applyFont="1"/>
    <xf numFmtId="179" fontId="40" fillId="0" borderId="31" xfId="6973" applyNumberFormat="1" applyBorder="1"/>
    <xf numFmtId="0" fontId="40" fillId="0" borderId="28" xfId="6973" applyBorder="1"/>
    <xf numFmtId="0" fontId="40" fillId="0" borderId="107" xfId="6973" applyBorder="1"/>
    <xf numFmtId="43" fontId="0" fillId="0" borderId="0" xfId="0" applyNumberFormat="1"/>
    <xf numFmtId="0" fontId="0" fillId="0" borderId="112" xfId="0" applyBorder="1"/>
    <xf numFmtId="167" fontId="0" fillId="0" borderId="0" xfId="0" applyNumberFormat="1"/>
    <xf numFmtId="1" fontId="0" fillId="0" borderId="0" xfId="0" applyNumberFormat="1"/>
    <xf numFmtId="0" fontId="69" fillId="106" borderId="113" xfId="0" applyFont="1" applyFill="1" applyBorder="1"/>
    <xf numFmtId="0" fontId="69" fillId="106" borderId="112" xfId="0" applyFont="1" applyFill="1" applyBorder="1"/>
    <xf numFmtId="1" fontId="69" fillId="106" borderId="112" xfId="0" applyNumberFormat="1" applyFont="1" applyFill="1" applyBorder="1"/>
    <xf numFmtId="167" fontId="69" fillId="106" borderId="112" xfId="0" applyNumberFormat="1" applyFont="1" applyFill="1" applyBorder="1"/>
    <xf numFmtId="165" fontId="69" fillId="106" borderId="112" xfId="0" applyNumberFormat="1" applyFont="1" applyFill="1" applyBorder="1"/>
    <xf numFmtId="2" fontId="69" fillId="106" borderId="112" xfId="0" applyNumberFormat="1" applyFont="1" applyFill="1" applyBorder="1"/>
    <xf numFmtId="167" fontId="69" fillId="107" borderId="112" xfId="0" applyNumberFormat="1" applyFont="1" applyFill="1" applyBorder="1"/>
    <xf numFmtId="1" fontId="69" fillId="107" borderId="114" xfId="0" applyNumberFormat="1" applyFont="1" applyFill="1" applyBorder="1"/>
    <xf numFmtId="0" fontId="0" fillId="108" borderId="113" xfId="0" applyFill="1" applyBorder="1"/>
    <xf numFmtId="0" fontId="0" fillId="108" borderId="112" xfId="0" applyFill="1" applyBorder="1"/>
    <xf numFmtId="0" fontId="0" fillId="94" borderId="0" xfId="0" applyFill="1"/>
    <xf numFmtId="0" fontId="0" fillId="0" borderId="113" xfId="0" applyBorder="1"/>
    <xf numFmtId="1" fontId="69" fillId="106" borderId="0" xfId="0" applyNumberFormat="1" applyFont="1" applyFill="1" applyBorder="1"/>
    <xf numFmtId="0" fontId="40" fillId="0" borderId="0" xfId="55821"/>
    <xf numFmtId="0" fontId="86" fillId="26" borderId="19" xfId="0" applyFont="1" applyFill="1" applyBorder="1" applyAlignment="1">
      <alignment horizontal="left" vertical="center" wrapText="1"/>
    </xf>
    <xf numFmtId="0" fontId="86" fillId="109" borderId="19" xfId="0" applyFont="1" applyFill="1" applyBorder="1" applyAlignment="1">
      <alignment horizontal="center" vertical="center" wrapText="1"/>
    </xf>
    <xf numFmtId="165" fontId="0" fillId="0" borderId="1" xfId="0" applyNumberFormat="1" applyFill="1" applyBorder="1" applyAlignment="1">
      <alignment horizontal="center"/>
    </xf>
    <xf numFmtId="167" fontId="59" fillId="0" borderId="1" xfId="0" applyNumberFormat="1" applyFont="1" applyFill="1" applyBorder="1" applyAlignment="1">
      <alignment horizontal="center"/>
    </xf>
    <xf numFmtId="0" fontId="47" fillId="0" borderId="1" xfId="0" applyFont="1" applyBorder="1" applyAlignment="1">
      <alignment horizontal="center"/>
    </xf>
    <xf numFmtId="0" fontId="59" fillId="0" borderId="1" xfId="0" applyFont="1" applyBorder="1" applyAlignment="1">
      <alignment horizontal="center"/>
    </xf>
    <xf numFmtId="167" fontId="59" fillId="0" borderId="1" xfId="0" applyNumberFormat="1" applyFont="1" applyBorder="1" applyAlignment="1">
      <alignment horizontal="center"/>
    </xf>
    <xf numFmtId="2" fontId="0" fillId="0" borderId="1" xfId="0" applyNumberFormat="1" applyBorder="1"/>
    <xf numFmtId="2" fontId="0" fillId="0" borderId="1" xfId="0" applyNumberFormat="1" applyBorder="1" applyAlignment="1">
      <alignment horizontal="center"/>
    </xf>
    <xf numFmtId="2" fontId="59" fillId="0" borderId="37" xfId="0" applyNumberFormat="1" applyFont="1" applyBorder="1" applyAlignment="1">
      <alignment horizontal="center"/>
    </xf>
    <xf numFmtId="0" fontId="50" fillId="0" borderId="0" xfId="0" applyFont="1" applyAlignment="1">
      <alignment wrapText="1"/>
    </xf>
    <xf numFmtId="0" fontId="50" fillId="0" borderId="0" xfId="0" applyFont="1" applyAlignment="1">
      <alignment horizontal="center" wrapText="1"/>
    </xf>
    <xf numFmtId="3" fontId="114" fillId="83" borderId="37" xfId="1257" applyFont="1" applyFill="1" applyBorder="1" applyAlignment="1">
      <alignment horizontal="center" vertical="center" wrapText="1"/>
    </xf>
    <xf numFmtId="3" fontId="114" fillId="83" borderId="38" xfId="1257" applyFont="1" applyFill="1" applyBorder="1" applyAlignment="1">
      <alignment horizontal="center" vertical="center" wrapText="1"/>
    </xf>
    <xf numFmtId="3" fontId="114" fillId="83" borderId="39" xfId="1257" applyFont="1" applyFill="1" applyBorder="1" applyAlignment="1">
      <alignment horizontal="center" vertical="center" wrapText="1"/>
    </xf>
    <xf numFmtId="0" fontId="121" fillId="83" borderId="37" xfId="0" applyFont="1" applyFill="1" applyBorder="1" applyAlignment="1">
      <alignment horizontal="center" vertical="center" wrapText="1"/>
    </xf>
    <xf numFmtId="0" fontId="121" fillId="83" borderId="39" xfId="0" applyFont="1" applyFill="1" applyBorder="1" applyAlignment="1">
      <alignment horizontal="center" vertical="center" wrapText="1"/>
    </xf>
    <xf numFmtId="0" fontId="113" fillId="83" borderId="38" xfId="0" applyFont="1" applyFill="1" applyBorder="1" applyAlignment="1">
      <alignment horizontal="center" vertical="center" wrapText="1"/>
    </xf>
    <xf numFmtId="0" fontId="113" fillId="83" borderId="39" xfId="0" applyFont="1" applyFill="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0" fillId="0" borderId="75" xfId="0" applyFont="1" applyBorder="1" applyAlignment="1">
      <alignment horizontal="center" vertical="center" wrapText="1"/>
    </xf>
    <xf numFmtId="0" fontId="90"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0" fillId="0" borderId="79" xfId="0" applyFont="1" applyBorder="1" applyAlignment="1">
      <alignment horizontal="center" vertical="center" textRotation="180" wrapText="1"/>
    </xf>
    <xf numFmtId="0" fontId="90" fillId="0" borderId="80" xfId="0" applyFont="1" applyBorder="1" applyAlignment="1">
      <alignment horizontal="center" vertical="center" textRotation="180" wrapText="1"/>
    </xf>
    <xf numFmtId="0" fontId="90" fillId="0" borderId="83" xfId="0" applyFont="1" applyBorder="1" applyAlignment="1">
      <alignment horizontal="center" vertical="center" textRotation="180" wrapText="1"/>
    </xf>
    <xf numFmtId="0" fontId="90" fillId="0" borderId="39" xfId="0" applyFont="1" applyBorder="1" applyAlignment="1">
      <alignment vertical="center" wrapText="1"/>
    </xf>
    <xf numFmtId="0" fontId="90" fillId="0" borderId="1" xfId="0" applyFont="1" applyBorder="1" applyAlignment="1">
      <alignment vertical="center" wrapText="1"/>
    </xf>
    <xf numFmtId="0" fontId="45" fillId="0" borderId="28" xfId="0" applyFont="1" applyBorder="1" applyAlignment="1">
      <alignment wrapText="1"/>
    </xf>
    <xf numFmtId="0" fontId="50" fillId="0" borderId="35" xfId="0" applyFont="1" applyBorder="1" applyAlignment="1">
      <alignment horizontal="center" wrapText="1"/>
    </xf>
    <xf numFmtId="0" fontId="50" fillId="0" borderId="17"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90" fillId="0" borderId="33" xfId="0" applyFont="1" applyBorder="1" applyAlignment="1">
      <alignment horizontal="center" vertical="center" wrapText="1"/>
    </xf>
    <xf numFmtId="0" fontId="90" fillId="0" borderId="29" xfId="0" applyFont="1" applyBorder="1" applyAlignment="1">
      <alignment horizontal="center" vertical="center" wrapText="1"/>
    </xf>
    <xf numFmtId="0" fontId="90" fillId="0" borderId="35" xfId="0" applyFont="1" applyBorder="1" applyAlignment="1">
      <alignment horizontal="center" vertical="center" wrapText="1"/>
    </xf>
    <xf numFmtId="0" fontId="90" fillId="0" borderId="17" xfId="0" applyFont="1" applyBorder="1" applyAlignment="1">
      <alignment horizontal="center" vertical="center" wrapText="1"/>
    </xf>
    <xf numFmtId="0" fontId="90" fillId="0" borderId="101" xfId="0" applyFont="1" applyBorder="1" applyAlignment="1">
      <alignment horizontal="center" vertical="center" wrapText="1"/>
    </xf>
    <xf numFmtId="0" fontId="90" fillId="0" borderId="102" xfId="0" applyFont="1" applyBorder="1" applyAlignment="1">
      <alignment horizontal="center" vertical="center" wrapText="1"/>
    </xf>
    <xf numFmtId="0" fontId="91" fillId="33" borderId="30" xfId="0" applyFont="1" applyFill="1" applyBorder="1" applyAlignment="1">
      <alignment vertical="center" wrapText="1"/>
    </xf>
    <xf numFmtId="0" fontId="0" fillId="33" borderId="12" xfId="0" applyFill="1" applyBorder="1" applyAlignment="1">
      <alignment vertical="center" wrapText="1"/>
    </xf>
    <xf numFmtId="0" fontId="91"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88" borderId="77" xfId="0" applyFont="1" applyFill="1" applyBorder="1" applyAlignment="1">
      <alignment horizontal="center" vertical="top" wrapText="1"/>
    </xf>
    <xf numFmtId="0" fontId="62" fillId="88" borderId="78" xfId="0" applyFont="1" applyFill="1" applyBorder="1" applyAlignment="1">
      <alignment horizontal="center" vertical="top" wrapText="1"/>
    </xf>
    <xf numFmtId="0" fontId="91" fillId="88" borderId="30" xfId="0" applyFont="1" applyFill="1" applyBorder="1" applyAlignment="1">
      <alignment horizontal="center" vertical="center" wrapText="1"/>
    </xf>
    <xf numFmtId="0" fontId="0" fillId="88" borderId="12" xfId="0" applyFill="1" applyBorder="1" applyAlignment="1">
      <alignment horizontal="center" vertical="center" wrapText="1"/>
    </xf>
    <xf numFmtId="0" fontId="46" fillId="83" borderId="23" xfId="1257" applyNumberFormat="1" applyFont="1" applyFill="1" applyBorder="1" applyAlignment="1">
      <alignment horizontal="left" vertical="center" wrapText="1"/>
    </xf>
    <xf numFmtId="0" fontId="88" fillId="83" borderId="24" xfId="0" applyFont="1" applyFill="1" applyBorder="1" applyAlignment="1">
      <alignment horizontal="left" vertical="center" wrapText="1"/>
    </xf>
    <xf numFmtId="0" fontId="88" fillId="83" borderId="25" xfId="0" applyFont="1" applyFill="1" applyBorder="1" applyAlignment="1">
      <alignment horizontal="left" vertical="center" wrapText="1"/>
    </xf>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2" fillId="85" borderId="30" xfId="0" applyFont="1" applyFill="1" applyBorder="1" applyAlignment="1">
      <alignment horizontal="center" vertical="center" textRotation="180" wrapText="1"/>
    </xf>
    <xf numFmtId="0" fontId="92" fillId="85" borderId="16" xfId="0" applyFont="1" applyFill="1" applyBorder="1" applyAlignment="1">
      <alignment horizontal="center" vertical="center" textRotation="180" wrapText="1"/>
    </xf>
    <xf numFmtId="0" fontId="92" fillId="85" borderId="12" xfId="0" applyFont="1" applyFill="1" applyBorder="1" applyAlignment="1">
      <alignment horizontal="center" vertical="center" textRotation="180" wrapText="1"/>
    </xf>
    <xf numFmtId="0" fontId="90" fillId="0" borderId="30" xfId="0" applyFont="1" applyBorder="1" applyAlignment="1">
      <alignment horizontal="center" vertical="center" wrapText="1"/>
    </xf>
    <xf numFmtId="0" fontId="90" fillId="0" borderId="16" xfId="0" applyFont="1" applyBorder="1" applyAlignment="1">
      <alignment horizontal="center" vertical="center" wrapText="1"/>
    </xf>
    <xf numFmtId="0" fontId="90" fillId="0" borderId="12" xfId="0" applyFont="1" applyBorder="1" applyAlignment="1">
      <alignment horizontal="center" vertical="center" wrapText="1"/>
    </xf>
    <xf numFmtId="9" fontId="45" fillId="0" borderId="87" xfId="0" applyNumberFormat="1" applyFont="1" applyBorder="1" applyAlignment="1">
      <alignment horizontal="center" vertical="center"/>
    </xf>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0" fillId="0" borderId="28" xfId="0" applyFont="1" applyBorder="1" applyAlignment="1">
      <alignment vertical="center" wrapText="1"/>
    </xf>
    <xf numFmtId="0" fontId="90" fillId="0" borderId="85" xfId="0" applyFont="1" applyBorder="1" applyAlignment="1">
      <alignment vertical="center" wrapText="1"/>
    </xf>
    <xf numFmtId="3" fontId="92" fillId="85" borderId="30" xfId="0" applyNumberFormat="1" applyFont="1" applyFill="1" applyBorder="1" applyAlignment="1">
      <alignment horizontal="center" vertical="center" textRotation="180" wrapText="1"/>
    </xf>
    <xf numFmtId="3" fontId="46" fillId="83" borderId="23" xfId="1257" applyFont="1" applyFill="1" applyBorder="1" applyAlignment="1">
      <alignment horizontal="left" vertical="center" wrapText="1"/>
    </xf>
    <xf numFmtId="0" fontId="91" fillId="83" borderId="24" xfId="0" applyFont="1" applyFill="1" applyBorder="1" applyAlignment="1">
      <alignment horizontal="left" vertical="center" wrapText="1"/>
    </xf>
    <xf numFmtId="0" fontId="91" fillId="83" borderId="25" xfId="0" applyFont="1" applyFill="1" applyBorder="1" applyAlignment="1">
      <alignment horizontal="left" vertical="center" wrapText="1"/>
    </xf>
    <xf numFmtId="0" fontId="91" fillId="83" borderId="30" xfId="0" applyFont="1" applyFill="1" applyBorder="1" applyAlignment="1">
      <alignment horizontal="center" vertical="center" wrapText="1"/>
    </xf>
    <xf numFmtId="0" fontId="0" fillId="0" borderId="12" xfId="0"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0" fillId="0" borderId="27" xfId="0" applyBorder="1"/>
    <xf numFmtId="0" fontId="0" fillId="0" borderId="85" xfId="0" applyBorder="1"/>
    <xf numFmtId="0" fontId="0" fillId="0" borderId="16" xfId="0" applyBorder="1"/>
    <xf numFmtId="0" fontId="0" fillId="0" borderId="12" xfId="0" applyBorder="1"/>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1" fontId="0" fillId="0" borderId="0" xfId="0" applyNumberFormat="1" applyAlignment="1">
      <alignment horizontal="center"/>
    </xf>
    <xf numFmtId="165" fontId="0" fillId="0" borderId="0" xfId="0" applyNumberFormat="1" applyAlignment="1">
      <alignment horizontal="center"/>
    </xf>
    <xf numFmtId="0" fontId="62" fillId="80" borderId="77" xfId="0" applyFont="1" applyFill="1" applyBorder="1" applyAlignment="1">
      <alignment horizontal="center" vertical="top" wrapText="1"/>
    </xf>
    <xf numFmtId="0" fontId="62" fillId="80" borderId="78" xfId="0" applyFont="1" applyFill="1" applyBorder="1" applyAlignment="1">
      <alignment horizontal="center" vertical="top" wrapText="1"/>
    </xf>
    <xf numFmtId="0" fontId="62" fillId="84" borderId="77" xfId="0" applyFont="1" applyFill="1" applyBorder="1" applyAlignment="1">
      <alignment horizontal="center" vertical="top" wrapText="1"/>
    </xf>
    <xf numFmtId="0" fontId="62" fillId="84" borderId="78" xfId="0" applyFont="1" applyFill="1" applyBorder="1" applyAlignment="1">
      <alignment horizontal="center" vertical="top" wrapText="1"/>
    </xf>
    <xf numFmtId="0" fontId="91" fillId="84" borderId="30" xfId="0" applyFont="1" applyFill="1" applyBorder="1" applyAlignment="1">
      <alignment horizontal="center" vertical="center" wrapText="1"/>
    </xf>
    <xf numFmtId="0" fontId="0" fillId="84" borderId="12" xfId="0" applyFill="1" applyBorder="1" applyAlignment="1">
      <alignment horizontal="center" vertical="center" wrapText="1"/>
    </xf>
    <xf numFmtId="0" fontId="88" fillId="33" borderId="41" xfId="0" applyFont="1" applyFill="1" applyBorder="1" applyAlignment="1">
      <alignment horizontal="center" vertical="center" wrapText="1"/>
    </xf>
    <xf numFmtId="0" fontId="88" fillId="33" borderId="19" xfId="0" applyFont="1" applyFill="1" applyBorder="1" applyAlignment="1">
      <alignment horizontal="center" vertical="center" wrapText="1"/>
    </xf>
    <xf numFmtId="0" fontId="88" fillId="33" borderId="31" xfId="0" applyFont="1" applyFill="1" applyBorder="1" applyAlignment="1">
      <alignment horizontal="center" vertical="center" wrapText="1"/>
    </xf>
    <xf numFmtId="0" fontId="88" fillId="33" borderId="21" xfId="0" applyFont="1" applyFill="1" applyBorder="1" applyAlignment="1">
      <alignment horizontal="center" vertical="center" wrapText="1"/>
    </xf>
    <xf numFmtId="0" fontId="88" fillId="33" borderId="0" xfId="0" applyFont="1" applyFill="1" applyBorder="1" applyAlignment="1">
      <alignment horizontal="center" vertical="center" wrapText="1"/>
    </xf>
    <xf numFmtId="0" fontId="88" fillId="33" borderId="70" xfId="0" applyFont="1" applyFill="1" applyBorder="1" applyAlignment="1">
      <alignment horizontal="center" vertical="center" wrapText="1"/>
    </xf>
    <xf numFmtId="0" fontId="88" fillId="33" borderId="22" xfId="0" applyFont="1" applyFill="1" applyBorder="1" applyAlignment="1">
      <alignment horizontal="center" vertical="center" wrapText="1"/>
    </xf>
    <xf numFmtId="0" fontId="88" fillId="33" borderId="15" xfId="0" applyFont="1" applyFill="1" applyBorder="1" applyAlignment="1">
      <alignment horizontal="center" vertical="center" wrapText="1"/>
    </xf>
    <xf numFmtId="0" fontId="88" fillId="33" borderId="100" xfId="0" applyFont="1" applyFill="1" applyBorder="1" applyAlignment="1">
      <alignment horizontal="center" vertical="center" wrapText="1"/>
    </xf>
    <xf numFmtId="0" fontId="95" fillId="84" borderId="37" xfId="0" applyFont="1" applyFill="1" applyBorder="1" applyAlignment="1">
      <alignment horizontal="center" vertical="center"/>
    </xf>
    <xf numFmtId="0" fontId="95" fillId="84" borderId="38" xfId="0" applyFont="1" applyFill="1" applyBorder="1" applyAlignment="1">
      <alignment horizontal="center" vertical="center"/>
    </xf>
    <xf numFmtId="0" fontId="95" fillId="84" borderId="39" xfId="0" applyFont="1" applyFill="1" applyBorder="1" applyAlignment="1">
      <alignment horizontal="center" vertical="center"/>
    </xf>
    <xf numFmtId="0" fontId="91" fillId="33" borderId="12" xfId="0" applyFont="1" applyFill="1" applyBorder="1" applyAlignment="1">
      <alignment vertical="center" wrapText="1"/>
    </xf>
    <xf numFmtId="0" fontId="91" fillId="33" borderId="12" xfId="0" applyFont="1" applyFill="1" applyBorder="1" applyAlignment="1">
      <alignment horizontal="center" vertical="center" wrapText="1"/>
    </xf>
    <xf numFmtId="0" fontId="62" fillId="84" borderId="23" xfId="0" applyFont="1" applyFill="1" applyBorder="1" applyAlignment="1">
      <alignment horizontal="center" vertical="top" wrapText="1"/>
    </xf>
    <xf numFmtId="0" fontId="91" fillId="84" borderId="12" xfId="0" applyFont="1" applyFill="1" applyBorder="1" applyAlignment="1">
      <alignment horizontal="center" vertical="center" wrapText="1"/>
    </xf>
    <xf numFmtId="0" fontId="106" fillId="37" borderId="23" xfId="1257" applyNumberFormat="1" applyFont="1" applyBorder="1" applyAlignment="1">
      <alignment horizontal="left"/>
    </xf>
    <xf numFmtId="0" fontId="106" fillId="37" borderId="24" xfId="1257" applyNumberFormat="1" applyFont="1" applyBorder="1" applyAlignment="1">
      <alignment horizontal="left"/>
    </xf>
    <xf numFmtId="0" fontId="106" fillId="37" borderId="25" xfId="1257" applyNumberFormat="1" applyFont="1" applyBorder="1" applyAlignment="1">
      <alignment horizontal="left"/>
    </xf>
    <xf numFmtId="0" fontId="62" fillId="84" borderId="25" xfId="0" applyFont="1" applyFill="1" applyBorder="1" applyAlignment="1">
      <alignment horizontal="center" vertical="top" wrapText="1"/>
    </xf>
    <xf numFmtId="167" fontId="88" fillId="33" borderId="41" xfId="0" applyNumberFormat="1" applyFont="1" applyFill="1" applyBorder="1" applyAlignment="1">
      <alignment horizontal="center" vertical="center" wrapText="1"/>
    </xf>
    <xf numFmtId="167" fontId="88" fillId="33" borderId="19" xfId="0" applyNumberFormat="1" applyFont="1" applyFill="1" applyBorder="1" applyAlignment="1">
      <alignment horizontal="center" vertical="center" wrapText="1"/>
    </xf>
    <xf numFmtId="167" fontId="88" fillId="33" borderId="31" xfId="0" applyNumberFormat="1" applyFont="1" applyFill="1" applyBorder="1" applyAlignment="1">
      <alignment horizontal="center" vertical="center" wrapText="1"/>
    </xf>
    <xf numFmtId="167" fontId="88" fillId="33" borderId="21" xfId="0" applyNumberFormat="1" applyFont="1" applyFill="1" applyBorder="1" applyAlignment="1">
      <alignment horizontal="center" vertical="center" wrapText="1"/>
    </xf>
    <xf numFmtId="167" fontId="88" fillId="33" borderId="0" xfId="0" applyNumberFormat="1" applyFont="1" applyFill="1" applyBorder="1" applyAlignment="1">
      <alignment horizontal="center" vertical="center" wrapText="1"/>
    </xf>
    <xf numFmtId="167" fontId="88" fillId="33" borderId="70" xfId="0" applyNumberFormat="1" applyFont="1" applyFill="1" applyBorder="1" applyAlignment="1">
      <alignment horizontal="center" vertical="center" wrapText="1"/>
    </xf>
    <xf numFmtId="0" fontId="0" fillId="0" borderId="89" xfId="0" applyBorder="1"/>
    <xf numFmtId="0" fontId="0" fillId="0" borderId="91" xfId="0" applyBorder="1"/>
    <xf numFmtId="3" fontId="106" fillId="37" borderId="23" xfId="1257" applyFont="1" applyBorder="1" applyAlignment="1">
      <alignment horizontal="left"/>
    </xf>
    <xf numFmtId="0" fontId="95" fillId="37" borderId="24" xfId="0" applyFont="1" applyFill="1" applyBorder="1" applyAlignment="1">
      <alignment horizontal="left"/>
    </xf>
    <xf numFmtId="0" fontId="95" fillId="37" borderId="25" xfId="0" applyFont="1" applyFill="1" applyBorder="1" applyAlignment="1">
      <alignment horizontal="left"/>
    </xf>
    <xf numFmtId="0" fontId="45" fillId="0" borderId="23" xfId="0" applyFont="1" applyBorder="1" applyAlignment="1">
      <alignment horizontal="center"/>
    </xf>
    <xf numFmtId="0" fontId="45" fillId="0" borderId="25" xfId="0" applyFont="1" applyBorder="1" applyAlignment="1">
      <alignment horizontal="center"/>
    </xf>
    <xf numFmtId="0" fontId="88" fillId="33" borderId="0" xfId="0" applyFont="1" applyFill="1" applyAlignment="1">
      <alignment horizontal="center" vertical="center" wrapText="1"/>
    </xf>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79" fillId="37" borderId="1" xfId="0" applyFont="1" applyFill="1" applyBorder="1" applyAlignment="1">
      <alignment horizontal="center" vertical="top" wrapText="1"/>
    </xf>
    <xf numFmtId="0" fontId="62" fillId="37" borderId="1" xfId="0" applyFont="1" applyFill="1" applyBorder="1" applyAlignment="1">
      <alignment vertical="top" wrapText="1"/>
    </xf>
    <xf numFmtId="0" fontId="79" fillId="37" borderId="41" xfId="0" applyFont="1" applyFill="1" applyBorder="1" applyAlignment="1">
      <alignment horizontal="center" vertical="center" wrapText="1"/>
    </xf>
    <xf numFmtId="0" fontId="79" fillId="37" borderId="19" xfId="0" applyFont="1" applyFill="1" applyBorder="1" applyAlignment="1">
      <alignment horizontal="center" vertical="center" wrapText="1"/>
    </xf>
    <xf numFmtId="0" fontId="79" fillId="37" borderId="31" xfId="0" applyFont="1" applyFill="1" applyBorder="1" applyAlignment="1">
      <alignment horizontal="center" vertical="center" wrapText="1"/>
    </xf>
    <xf numFmtId="0" fontId="79" fillId="37" borderId="21" xfId="0" applyFont="1" applyFill="1" applyBorder="1" applyAlignment="1">
      <alignment horizontal="center" vertical="center" wrapText="1"/>
    </xf>
    <xf numFmtId="0" fontId="79" fillId="37" borderId="0" xfId="0" applyFont="1" applyFill="1" applyBorder="1" applyAlignment="1">
      <alignment horizontal="center" vertical="center" wrapText="1"/>
    </xf>
    <xf numFmtId="0" fontId="79" fillId="37" borderId="70" xfId="0" applyFont="1" applyFill="1" applyBorder="1" applyAlignment="1">
      <alignment horizontal="center" vertical="center" wrapText="1"/>
    </xf>
    <xf numFmtId="0" fontId="79" fillId="37" borderId="42" xfId="0" applyFont="1" applyFill="1" applyBorder="1" applyAlignment="1">
      <alignment horizontal="center" vertical="center" wrapText="1"/>
    </xf>
    <xf numFmtId="0" fontId="79" fillId="37" borderId="36" xfId="0" applyFont="1" applyFill="1" applyBorder="1" applyAlignment="1">
      <alignment horizontal="center" vertical="center" wrapText="1"/>
    </xf>
    <xf numFmtId="0" fontId="79" fillId="37" borderId="40" xfId="0" applyFont="1" applyFill="1" applyBorder="1" applyAlignment="1">
      <alignment horizontal="center" vertical="center"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30" xfId="6971" applyFont="1" applyBorder="1" applyAlignment="1">
      <alignment wrapText="1"/>
    </xf>
    <xf numFmtId="0" fontId="50" fillId="0" borderId="12" xfId="6971" applyFont="1" applyBorder="1" applyAlignment="1">
      <alignment wrapText="1"/>
    </xf>
    <xf numFmtId="0" fontId="50" fillId="0" borderId="33" xfId="6971" applyFont="1" applyBorder="1" applyAlignment="1">
      <alignment horizontal="center" wrapText="1"/>
    </xf>
    <xf numFmtId="0" fontId="50" fillId="0" borderId="34" xfId="6971" applyFont="1" applyBorder="1" applyAlignment="1">
      <alignment horizontal="center" wrapText="1"/>
    </xf>
    <xf numFmtId="0" fontId="50" fillId="0" borderId="29" xfId="6971" applyFont="1" applyBorder="1" applyAlignment="1">
      <alignment horizontal="center" wrapText="1"/>
    </xf>
    <xf numFmtId="0" fontId="50" fillId="0" borderId="14" xfId="6971" applyFont="1" applyBorder="1" applyAlignment="1">
      <alignment horizontal="center" wrapText="1"/>
    </xf>
    <xf numFmtId="0" fontId="50" fillId="0" borderId="15" xfId="6971" applyFont="1" applyBorder="1" applyAlignment="1">
      <alignment horizontal="center" wrapText="1"/>
    </xf>
    <xf numFmtId="0" fontId="50" fillId="0" borderId="13" xfId="6971" applyFont="1" applyBorder="1" applyAlignment="1">
      <alignment horizontal="center" wrapText="1"/>
    </xf>
    <xf numFmtId="0" fontId="124" fillId="0" borderId="37" xfId="6971" applyBorder="1" applyAlignment="1">
      <alignment horizontal="center" vertical="center" wrapText="1"/>
    </xf>
    <xf numFmtId="0" fontId="124" fillId="0" borderId="39" xfId="6971" applyBorder="1" applyAlignment="1">
      <alignment horizontal="center" vertical="center" wrapText="1"/>
    </xf>
    <xf numFmtId="0" fontId="62" fillId="37" borderId="37" xfId="6976" applyFont="1" applyFill="1" applyBorder="1" applyAlignment="1">
      <alignment vertical="center" wrapText="1"/>
    </xf>
    <xf numFmtId="0" fontId="62" fillId="37" borderId="38" xfId="6976" applyFont="1" applyFill="1" applyBorder="1" applyAlignment="1">
      <alignment vertical="center" wrapText="1"/>
    </xf>
    <xf numFmtId="0" fontId="62" fillId="37" borderId="39" xfId="6976" applyFont="1" applyFill="1" applyBorder="1" applyAlignment="1">
      <alignment vertical="center" wrapText="1"/>
    </xf>
    <xf numFmtId="0" fontId="62" fillId="37" borderId="1" xfId="6976" applyFont="1" applyFill="1" applyBorder="1" applyAlignment="1">
      <alignment vertical="center" wrapText="1"/>
    </xf>
    <xf numFmtId="0" fontId="62" fillId="37" borderId="37" xfId="6976" applyFont="1" applyFill="1" applyBorder="1" applyAlignment="1">
      <alignment horizontal="center" vertical="center" wrapText="1"/>
    </xf>
    <xf numFmtId="0" fontId="40" fillId="37" borderId="38" xfId="6976" applyFill="1" applyBorder="1" applyAlignment="1">
      <alignment horizontal="center" vertical="center" wrapText="1"/>
    </xf>
    <xf numFmtId="0" fontId="40" fillId="37" borderId="39" xfId="6976" applyFill="1" applyBorder="1" applyAlignment="1">
      <alignment horizontal="center" vertical="center" wrapText="1"/>
    </xf>
    <xf numFmtId="0" fontId="62" fillId="37" borderId="39" xfId="6976" applyFont="1" applyFill="1" applyBorder="1" applyAlignment="1">
      <alignment horizontal="center" vertical="center" wrapText="1"/>
    </xf>
    <xf numFmtId="0" fontId="62" fillId="37" borderId="37" xfId="6977" applyFont="1" applyFill="1" applyBorder="1" applyAlignment="1">
      <alignment vertical="center" wrapText="1"/>
    </xf>
    <xf numFmtId="0" fontId="62" fillId="37" borderId="38" xfId="6977" applyFont="1" applyFill="1" applyBorder="1" applyAlignment="1">
      <alignment vertical="center" wrapText="1"/>
    </xf>
    <xf numFmtId="0" fontId="62" fillId="37" borderId="39" xfId="6977" applyFont="1" applyFill="1" applyBorder="1" applyAlignment="1">
      <alignment vertical="center" wrapText="1"/>
    </xf>
    <xf numFmtId="0" fontId="62" fillId="37" borderId="1" xfId="6977" applyFont="1" applyFill="1" applyBorder="1" applyAlignment="1">
      <alignment vertical="center" wrapText="1"/>
    </xf>
    <xf numFmtId="0" fontId="62" fillId="37" borderId="37" xfId="6977" applyFont="1" applyFill="1" applyBorder="1" applyAlignment="1">
      <alignment horizontal="center" vertical="center" wrapText="1"/>
    </xf>
    <xf numFmtId="0" fontId="40" fillId="37" borderId="38" xfId="6977" applyFill="1" applyBorder="1" applyAlignment="1">
      <alignment horizontal="center" vertical="center" wrapText="1"/>
    </xf>
    <xf numFmtId="0" fontId="40" fillId="37" borderId="39" xfId="6977" applyFill="1" applyBorder="1" applyAlignment="1">
      <alignment horizontal="center" vertical="center" wrapText="1"/>
    </xf>
    <xf numFmtId="0" fontId="62" fillId="37" borderId="39" xfId="6977" applyFont="1" applyFill="1" applyBorder="1" applyAlignment="1">
      <alignment horizontal="center" vertical="center" wrapText="1"/>
    </xf>
    <xf numFmtId="0" fontId="50" fillId="0" borderId="30" xfId="6974" applyFont="1" applyBorder="1" applyAlignment="1">
      <alignment wrapText="1"/>
    </xf>
    <xf numFmtId="0" fontId="50" fillId="0" borderId="12" xfId="6974" applyFont="1" applyBorder="1" applyAlignment="1">
      <alignment wrapText="1"/>
    </xf>
    <xf numFmtId="0" fontId="50" fillId="0" borderId="33" xfId="6974" applyFont="1" applyBorder="1" applyAlignment="1">
      <alignment horizontal="center" wrapText="1"/>
    </xf>
    <xf numFmtId="0" fontId="50" fillId="0" borderId="34" xfId="6974" applyFont="1" applyBorder="1" applyAlignment="1">
      <alignment horizontal="center" wrapText="1"/>
    </xf>
    <xf numFmtId="0" fontId="50" fillId="0" borderId="29" xfId="6974" applyFont="1" applyBorder="1" applyAlignment="1">
      <alignment horizontal="center" wrapText="1"/>
    </xf>
    <xf numFmtId="0" fontId="50" fillId="0" borderId="14" xfId="6974" applyFont="1" applyBorder="1" applyAlignment="1">
      <alignment horizontal="center" wrapText="1"/>
    </xf>
    <xf numFmtId="0" fontId="50" fillId="0" borderId="15" xfId="6974" applyFont="1" applyBorder="1" applyAlignment="1">
      <alignment horizontal="center" wrapText="1"/>
    </xf>
    <xf numFmtId="0" fontId="50" fillId="0" borderId="13" xfId="6974" applyFont="1" applyBorder="1" applyAlignment="1">
      <alignment horizontal="center" wrapText="1"/>
    </xf>
    <xf numFmtId="0" fontId="40" fillId="88" borderId="0" xfId="6973" applyFill="1" applyAlignment="1">
      <alignment horizontal="center"/>
    </xf>
    <xf numFmtId="0" fontId="40" fillId="79" borderId="0" xfId="6973" applyFill="1" applyAlignment="1">
      <alignment horizontal="center"/>
    </xf>
    <xf numFmtId="0" fontId="40" fillId="77" borderId="0" xfId="6973" applyFill="1" applyAlignment="1">
      <alignment horizontal="center"/>
    </xf>
    <xf numFmtId="0" fontId="40" fillId="40" borderId="0" xfId="6973" applyFill="1" applyAlignment="1">
      <alignment horizontal="center"/>
    </xf>
    <xf numFmtId="0" fontId="135" fillId="0" borderId="35" xfId="6973" applyFont="1" applyBorder="1" applyAlignment="1">
      <alignment horizontal="left" vertical="center"/>
    </xf>
    <xf numFmtId="0" fontId="135" fillId="0" borderId="14" xfId="6973" applyFont="1" applyBorder="1" applyAlignment="1">
      <alignment horizontal="left" vertical="center"/>
    </xf>
    <xf numFmtId="0" fontId="135" fillId="0" borderId="33" xfId="6973" applyFont="1" applyBorder="1" applyAlignment="1">
      <alignment horizontal="left" vertical="center"/>
    </xf>
    <xf numFmtId="0" fontId="40" fillId="0" borderId="0" xfId="6973" applyAlignment="1">
      <alignment horizontal="center" wrapText="1"/>
    </xf>
    <xf numFmtId="0" fontId="40" fillId="0" borderId="0" xfId="6973" applyAlignment="1">
      <alignment horizontal="center"/>
    </xf>
  </cellXfs>
  <cellStyles count="55822">
    <cellStyle name="_x000a_shell=progma 2" xfId="8909" xr:uid="{C2175498-ED50-43A1-A815-4890E9539A2C}"/>
    <cellStyle name="_x000a_shell=progma 2 2" xfId="8910" xr:uid="{F6E05FE1-02B1-40BD-903C-BBA462B34F36}"/>
    <cellStyle name="1.000" xfId="8911" xr:uid="{D92B6DDE-62BD-45E7-940E-E8898FA27ADA}"/>
    <cellStyle name="1.000 2" xfId="8912" xr:uid="{2ACE5F56-E592-41A6-8B4F-7BF1856BE0DB}"/>
    <cellStyle name="1.000 2 2" xfId="32602" xr:uid="{EB9132B4-BC60-4A5D-8080-4AF1DC61AC0A}"/>
    <cellStyle name="1.000 2 2 2" xfId="35551" xr:uid="{27C5832C-2E78-4DBD-BFFB-8BBC8FFC681E}"/>
    <cellStyle name="1.000 2 3" xfId="32671" xr:uid="{4AA492EF-F12E-44F5-9766-C024090DAC75}"/>
    <cellStyle name="1.000 2 4" xfId="23465" xr:uid="{D0602348-CE86-48B6-A031-B0800504DF3F}"/>
    <cellStyle name="1.000 3" xfId="32603" xr:uid="{21343C24-8118-4876-8DE7-1C17D3439A84}"/>
    <cellStyle name="1.000 3 2" xfId="35552" xr:uid="{30238A45-E185-4574-8F24-25E25F275357}"/>
    <cellStyle name="1.000 4" xfId="32670" xr:uid="{942179DF-960D-42C5-B69A-31A9C3A01BD7}"/>
    <cellStyle name="1.000 5" xfId="23464" xr:uid="{9BF65B02-15AB-4E30-9BC4-5306A0C7CD36}"/>
    <cellStyle name="20 % - Markeringsfarve1" xfId="1259" xr:uid="{00000000-0005-0000-0000-000000000000}"/>
    <cellStyle name="20 % - Markeringsfarve1 10" xfId="30255" xr:uid="{B9DE4457-15A2-4C61-9773-0E8D9A9A0EF7}"/>
    <cellStyle name="20 % - Markeringsfarve1 10 2" xfId="30256" xr:uid="{38359D8D-A86D-44E1-8F78-0CC6DA2D43EF}"/>
    <cellStyle name="20 % - Markeringsfarve1 11" xfId="30257" xr:uid="{09850DF8-CED9-446F-9CF6-D6B9438801E1}"/>
    <cellStyle name="20 % - Markeringsfarve1 12" xfId="17717" xr:uid="{155FD0DF-4308-4486-8ED1-80DFEB34100F}"/>
    <cellStyle name="20 % - Markeringsfarve1 2" xfId="1260" xr:uid="{00000000-0005-0000-0000-000001000000}"/>
    <cellStyle name="20 % - Markeringsfarve1 2 10" xfId="30258" xr:uid="{B78C7982-E192-491B-B6CE-867DCF9E2F0D}"/>
    <cellStyle name="20 % - Markeringsfarve1 2 11" xfId="17718" xr:uid="{6BE4D6DD-8C57-4137-82D2-AAEEC16F2F19}"/>
    <cellStyle name="20 % - Markeringsfarve1 2 2" xfId="23466" xr:uid="{55F207A1-3346-4FCC-ACD7-FD97DDB1F0FE}"/>
    <cellStyle name="20 % - Markeringsfarve1 2 2 2" xfId="23467" xr:uid="{DA9AC242-608E-4DAE-8455-59CC32671530}"/>
    <cellStyle name="20 % - Markeringsfarve1 2 2 2 2" xfId="30259" xr:uid="{B3BC2F25-5024-4E54-99B4-5931EC086834}"/>
    <cellStyle name="20 % - Markeringsfarve1 2 2 2 3" xfId="30260" xr:uid="{73A3324E-2A9D-4CE1-835C-E47EE6E1B9A2}"/>
    <cellStyle name="20 % - Markeringsfarve1 2 2 3" xfId="30261" xr:uid="{1A06A86B-4520-4150-AC67-DB875498A140}"/>
    <cellStyle name="20 % - Markeringsfarve1 2 2 3 2" xfId="30262" xr:uid="{63B41DF0-3ABC-4E9B-A5C2-001E35291616}"/>
    <cellStyle name="20 % - Markeringsfarve1 2 2 3 3" xfId="30263" xr:uid="{0090069C-EC1E-4E02-BA30-F13E0B0C2E8B}"/>
    <cellStyle name="20 % - Markeringsfarve1 2 2 4" xfId="30264" xr:uid="{E564855B-C60C-49FD-8F18-81409F29F990}"/>
    <cellStyle name="20 % - Markeringsfarve1 2 2 4 2" xfId="30265" xr:uid="{05C49F6C-85D7-46A6-844E-6C8F68FEF0E6}"/>
    <cellStyle name="20 % - Markeringsfarve1 2 2 4 3" xfId="30266" xr:uid="{CAD4803E-CA29-47F1-A440-0599DB0379F7}"/>
    <cellStyle name="20 % - Markeringsfarve1 2 2 5" xfId="30267" xr:uid="{828246A1-1B9D-4235-AFB4-E66948E63CD5}"/>
    <cellStyle name="20 % - Markeringsfarve1 2 2 5 2" xfId="30268" xr:uid="{5F10E29C-3102-453C-84DE-4ACE8A5E07CA}"/>
    <cellStyle name="20 % - Markeringsfarve1 2 2 5 3" xfId="30269" xr:uid="{A21CCE97-7F70-41E3-90CA-D1F60156B5BB}"/>
    <cellStyle name="20 % - Markeringsfarve1 2 2 6" xfId="30270" xr:uid="{6C817095-2629-4206-BBB2-A02559D13A6C}"/>
    <cellStyle name="20 % - Markeringsfarve1 2 2 6 2" xfId="30271" xr:uid="{F5DDBC7F-9BB1-497B-86BA-D703F0D7EA40}"/>
    <cellStyle name="20 % - Markeringsfarve1 2 2 6 3" xfId="30272" xr:uid="{4E351488-9AB5-4E4A-833D-49CB67524B98}"/>
    <cellStyle name="20 % - Markeringsfarve1 2 2 7" xfId="30273" xr:uid="{C89E9907-4215-40F1-A764-09617A84A0D1}"/>
    <cellStyle name="20 % - Markeringsfarve1 2 2 7 2" xfId="30274" xr:uid="{9F3EFE34-8773-4625-9D6B-6B5FCB7D9BBB}"/>
    <cellStyle name="20 % - Markeringsfarve1 2 2 8" xfId="30275" xr:uid="{23CAEC1A-1180-4123-A561-99282D1925D2}"/>
    <cellStyle name="20 % - Markeringsfarve1 2 3" xfId="23468" xr:uid="{1F1B7BDF-06B5-4ACA-A3EF-F2220578E239}"/>
    <cellStyle name="20 % - Markeringsfarve1 2 3 2" xfId="23469" xr:uid="{0EEA252C-6E82-4CF7-90B7-747FFBB9D0A9}"/>
    <cellStyle name="20 % - Markeringsfarve1 2 3 2 2" xfId="30276" xr:uid="{F05A224C-A60B-4F58-84E3-EDCC86C6259D}"/>
    <cellStyle name="20 % - Markeringsfarve1 2 3 2 3" xfId="30277" xr:uid="{D902CD73-293F-4057-8E9B-A9EC271DECF2}"/>
    <cellStyle name="20 % - Markeringsfarve1 2 3 3" xfId="30278" xr:uid="{67639BCD-E52B-4BD5-A3D2-8669B5592889}"/>
    <cellStyle name="20 % - Markeringsfarve1 2 3 3 2" xfId="30279" xr:uid="{81FC1148-9820-4CD5-AB43-FF22DBD748A4}"/>
    <cellStyle name="20 % - Markeringsfarve1 2 3 3 3" xfId="30280" xr:uid="{4E8FBBA3-8F46-4A0A-8BCD-5369336749C2}"/>
    <cellStyle name="20 % - Markeringsfarve1 2 3 4" xfId="30281" xr:uid="{A41601C5-32A0-43CE-9619-44DE3E687BE5}"/>
    <cellStyle name="20 % - Markeringsfarve1 2 3 4 2" xfId="30282" xr:uid="{B94647A8-984F-4A9E-BD94-D1BDFD1D03ED}"/>
    <cellStyle name="20 % - Markeringsfarve1 2 3 4 3" xfId="30283" xr:uid="{C9F0E519-F604-42CF-BD0E-A53087CD8215}"/>
    <cellStyle name="20 % - Markeringsfarve1 2 3 5" xfId="30284" xr:uid="{5891D469-A02E-43E2-A15C-57A976A786B6}"/>
    <cellStyle name="20 % - Markeringsfarve1 2 3 5 2" xfId="30285" xr:uid="{78D0225F-4FA7-414A-B465-7757451719D4}"/>
    <cellStyle name="20 % - Markeringsfarve1 2 3 5 3" xfId="30286" xr:uid="{94A5554F-D5A8-4CF3-BC68-EA07D7CC71DB}"/>
    <cellStyle name="20 % - Markeringsfarve1 2 3 6" xfId="30287" xr:uid="{B7B254DB-0C73-44AE-900C-8666C7291665}"/>
    <cellStyle name="20 % - Markeringsfarve1 2 3 6 2" xfId="30288" xr:uid="{A7B0BE6E-1595-4961-91E7-A6D31BB23968}"/>
    <cellStyle name="20 % - Markeringsfarve1 2 3 6 3" xfId="30289" xr:uid="{4DCFB0C1-E4C4-4609-9206-56BAAB132ED2}"/>
    <cellStyle name="20 % - Markeringsfarve1 2 3 7" xfId="30290" xr:uid="{3AD58DA2-FC79-4EE0-A8B7-7135364CA3BD}"/>
    <cellStyle name="20 % - Markeringsfarve1 2 3 7 2" xfId="30291" xr:uid="{A06959C6-0AB2-40FB-9602-7E42A4172677}"/>
    <cellStyle name="20 % - Markeringsfarve1 2 3 8" xfId="30292" xr:uid="{9A8B211E-F0EB-428A-A450-44B89A7D8922}"/>
    <cellStyle name="20 % - Markeringsfarve1 2 4" xfId="23470" xr:uid="{DAFB96E6-6A42-4759-88DF-63C6BCA8C6CD}"/>
    <cellStyle name="20 % - Markeringsfarve1 2 4 2" xfId="30293" xr:uid="{042444BE-29BC-4438-8B71-C0790EC91FC1}"/>
    <cellStyle name="20 % - Markeringsfarve1 2 4 3" xfId="30294" xr:uid="{05E8F589-EFB6-4182-8EBE-4B3D1971FFF0}"/>
    <cellStyle name="20 % - Markeringsfarve1 2 5" xfId="30295" xr:uid="{128A4C30-C62B-42A6-BE0E-09B7FD807420}"/>
    <cellStyle name="20 % - Markeringsfarve1 2 5 2" xfId="30296" xr:uid="{A0823D3C-B900-45D5-86EE-4BC22EE18B99}"/>
    <cellStyle name="20 % - Markeringsfarve1 2 5 3" xfId="30297" xr:uid="{4607CA98-24CD-4459-8EE6-719240180ACE}"/>
    <cellStyle name="20 % - Markeringsfarve1 2 6" xfId="30298" xr:uid="{94B7607D-62C2-41BE-923E-5D9AD2A3271C}"/>
    <cellStyle name="20 % - Markeringsfarve1 2 6 2" xfId="30299" xr:uid="{B118E4B2-E54F-414C-8E54-FEC0B7E4020B}"/>
    <cellStyle name="20 % - Markeringsfarve1 2 6 3" xfId="30300" xr:uid="{7F983BC4-69E7-4F41-BB04-1C8BD0A0B024}"/>
    <cellStyle name="20 % - Markeringsfarve1 2 7" xfId="30301" xr:uid="{6398EC07-7E25-418D-A999-38F08F58002C}"/>
    <cellStyle name="20 % - Markeringsfarve1 2 7 2" xfId="30302" xr:uid="{03BBBEE0-624F-4103-9919-7EE721D3CE62}"/>
    <cellStyle name="20 % - Markeringsfarve1 2 7 3" xfId="30303" xr:uid="{E5129C50-39E5-4EFA-BC7A-C66106428DCE}"/>
    <cellStyle name="20 % - Markeringsfarve1 2 8" xfId="30304" xr:uid="{50FB14DA-6D69-421F-AE8F-035BDC8CC90E}"/>
    <cellStyle name="20 % - Markeringsfarve1 2 8 2" xfId="30305" xr:uid="{826898EC-8711-4D66-9C04-AAA89DC80633}"/>
    <cellStyle name="20 % - Markeringsfarve1 2 8 3" xfId="30306" xr:uid="{52A67DEA-D514-4E36-B8CE-EC570B5E2526}"/>
    <cellStyle name="20 % - Markeringsfarve1 2 9" xfId="30307" xr:uid="{3617CA98-DB8E-4B72-B2EF-EFD87093DB13}"/>
    <cellStyle name="20 % - Markeringsfarve1 2 9 2" xfId="30308" xr:uid="{96332CF6-0785-4AEF-831D-C74AE75590FD}"/>
    <cellStyle name="20 % - Markeringsfarve1 3" xfId="2585" xr:uid="{135F4595-F8BD-4459-9134-0C53A788ADAC}"/>
    <cellStyle name="20 % - Markeringsfarve1 3 10" xfId="30309" xr:uid="{A7038E5A-A301-42CD-B818-3483EA1E40C7}"/>
    <cellStyle name="20 % - Markeringsfarve1 3 2" xfId="23471" xr:uid="{9F58CD80-8149-4653-8401-B2327F473B5A}"/>
    <cellStyle name="20 % - Markeringsfarve1 3 2 2" xfId="23472" xr:uid="{FACB055F-CDD7-4EAE-A793-73E4F8EE9744}"/>
    <cellStyle name="20 % - Markeringsfarve1 3 2 2 2" xfId="30310" xr:uid="{FFECB4AC-2A8F-4805-AC1C-70D68208E6BD}"/>
    <cellStyle name="20 % - Markeringsfarve1 3 2 2 3" xfId="30311" xr:uid="{9EC41035-7EE6-4D85-9288-F425C342111A}"/>
    <cellStyle name="20 % - Markeringsfarve1 3 2 3" xfId="30312" xr:uid="{B670B544-7578-4AAD-B623-0C61E2F3B3E8}"/>
    <cellStyle name="20 % - Markeringsfarve1 3 2 3 2" xfId="30313" xr:uid="{1284774C-A9DB-46C8-B3AF-2448DE0AB78D}"/>
    <cellStyle name="20 % - Markeringsfarve1 3 2 3 3" xfId="30314" xr:uid="{C0A9831F-DD3F-4697-B7DF-5EA294A9FCAF}"/>
    <cellStyle name="20 % - Markeringsfarve1 3 2 4" xfId="30315" xr:uid="{AAD702C0-4871-48CF-9616-537F8411DB2B}"/>
    <cellStyle name="20 % - Markeringsfarve1 3 2 4 2" xfId="30316" xr:uid="{EBBA596B-FD6D-43C9-A65E-51637A09B7DC}"/>
    <cellStyle name="20 % - Markeringsfarve1 3 2 4 3" xfId="30317" xr:uid="{F48B6BB1-A967-4AB0-97F7-9322847F7F68}"/>
    <cellStyle name="20 % - Markeringsfarve1 3 2 5" xfId="30318" xr:uid="{2644C61C-A27B-44DB-BD09-4CF39B3417DA}"/>
    <cellStyle name="20 % - Markeringsfarve1 3 2 5 2" xfId="30319" xr:uid="{122875BB-510D-47A7-A110-2BB4DF160D76}"/>
    <cellStyle name="20 % - Markeringsfarve1 3 2 5 3" xfId="30320" xr:uid="{9875DD9D-39DF-4BC8-B4AF-D3A7A3F9C5E4}"/>
    <cellStyle name="20 % - Markeringsfarve1 3 2 6" xfId="30321" xr:uid="{08BF653C-9C97-48FC-BC19-9A2ABB396906}"/>
    <cellStyle name="20 % - Markeringsfarve1 3 2 6 2" xfId="30322" xr:uid="{E5D006E8-F4D7-4F79-ADBA-1400BB781FE9}"/>
    <cellStyle name="20 % - Markeringsfarve1 3 2 6 3" xfId="30323" xr:uid="{C248C034-2A82-43DD-AD0F-CE92BE2D17A0}"/>
    <cellStyle name="20 % - Markeringsfarve1 3 2 7" xfId="30324" xr:uid="{C0769044-4CBB-42DB-AF03-09047840267C}"/>
    <cellStyle name="20 % - Markeringsfarve1 3 2 7 2" xfId="30325" xr:uid="{35DF65C9-379C-44D0-8C60-6A4D1B10677A}"/>
    <cellStyle name="20 % - Markeringsfarve1 3 2 8" xfId="30326" xr:uid="{ECCA4E8F-6675-4FEA-AE55-2B0821B8815E}"/>
    <cellStyle name="20 % - Markeringsfarve1 3 3" xfId="23473" xr:uid="{BB2043AC-8DCB-4432-AE50-82A0D06F816F}"/>
    <cellStyle name="20 % - Markeringsfarve1 3 3 2" xfId="30327" xr:uid="{36BE3FBF-A1B3-47D5-B256-C499ED1D76DF}"/>
    <cellStyle name="20 % - Markeringsfarve1 3 3 2 2" xfId="30328" xr:uid="{F616B62B-AD13-4282-9B87-6F3974275CB4}"/>
    <cellStyle name="20 % - Markeringsfarve1 3 3 2 3" xfId="30329" xr:uid="{B403BC4F-62F4-42ED-9751-630E21BC8D20}"/>
    <cellStyle name="20 % - Markeringsfarve1 3 3 3" xfId="30330" xr:uid="{DE07C238-BC68-4AE9-99F3-A79127E25BC4}"/>
    <cellStyle name="20 % - Markeringsfarve1 3 3 3 2" xfId="30331" xr:uid="{A190DE1C-6BD1-4EED-9762-44ECB72DDABD}"/>
    <cellStyle name="20 % - Markeringsfarve1 3 3 3 3" xfId="30332" xr:uid="{3991256C-5492-4168-8CCB-5F455609374D}"/>
    <cellStyle name="20 % - Markeringsfarve1 3 3 4" xfId="30333" xr:uid="{0063970E-A894-4330-AB87-C02EFFBFD2A8}"/>
    <cellStyle name="20 % - Markeringsfarve1 3 3 4 2" xfId="30334" xr:uid="{E75EA47B-A0E6-472D-9E1D-ED03E54A2A02}"/>
    <cellStyle name="20 % - Markeringsfarve1 3 3 4 3" xfId="30335" xr:uid="{2BFB2844-9483-49BC-8238-4F4CE2FFA972}"/>
    <cellStyle name="20 % - Markeringsfarve1 3 3 5" xfId="30336" xr:uid="{77DA2B49-8F38-40ED-945F-52F9AFA2FB3B}"/>
    <cellStyle name="20 % - Markeringsfarve1 3 3 5 2" xfId="30337" xr:uid="{6D77868F-A6EC-4F23-BBAA-A47169486645}"/>
    <cellStyle name="20 % - Markeringsfarve1 3 3 5 3" xfId="30338" xr:uid="{1C51EF3E-8EB0-4CD3-80DC-E39114CB16D5}"/>
    <cellStyle name="20 % - Markeringsfarve1 3 3 6" xfId="30339" xr:uid="{6C6428D9-F924-4B80-96DA-183CC0361805}"/>
    <cellStyle name="20 % - Markeringsfarve1 3 3 6 2" xfId="30340" xr:uid="{951D4A7F-3C40-4DB7-9028-7F98BC80BBDE}"/>
    <cellStyle name="20 % - Markeringsfarve1 3 3 6 3" xfId="30341" xr:uid="{6F0E7ACA-3EC1-4447-9821-D2EC2BA772A7}"/>
    <cellStyle name="20 % - Markeringsfarve1 3 3 7" xfId="30342" xr:uid="{2CBD4726-E9C3-444A-8841-F21973B259F6}"/>
    <cellStyle name="20 % - Markeringsfarve1 3 3 7 2" xfId="30343" xr:uid="{77895C77-659C-4FBB-BC12-06FC2AC11F3A}"/>
    <cellStyle name="20 % - Markeringsfarve1 3 3 8" xfId="30344" xr:uid="{574894F7-BE9A-443C-82A6-9BD94DA8A965}"/>
    <cellStyle name="20 % - Markeringsfarve1 3 4" xfId="30345" xr:uid="{7329AB1C-B29F-4BFB-A389-45BE957650DC}"/>
    <cellStyle name="20 % - Markeringsfarve1 3 4 2" xfId="30346" xr:uid="{98F12051-A526-4836-9013-5A8D39D89514}"/>
    <cellStyle name="20 % - Markeringsfarve1 3 4 3" xfId="30347" xr:uid="{031EAB5D-38EA-4370-B8C1-E6B8C983E05D}"/>
    <cellStyle name="20 % - Markeringsfarve1 3 5" xfId="30348" xr:uid="{EE399A5F-FA15-4D17-A832-BF1327FA0886}"/>
    <cellStyle name="20 % - Markeringsfarve1 3 5 2" xfId="30349" xr:uid="{2FBDD63E-805B-4DE8-BBED-FA75678A6D52}"/>
    <cellStyle name="20 % - Markeringsfarve1 3 5 3" xfId="30350" xr:uid="{320F462C-1806-4FDF-84B6-3B3F678EA0F0}"/>
    <cellStyle name="20 % - Markeringsfarve1 3 6" xfId="30351" xr:uid="{BA3AB97D-99C2-4FEA-9764-441662421566}"/>
    <cellStyle name="20 % - Markeringsfarve1 3 6 2" xfId="30352" xr:uid="{EE94F2B2-75E5-4944-BAAA-1E3814408623}"/>
    <cellStyle name="20 % - Markeringsfarve1 3 6 3" xfId="30353" xr:uid="{97F329D1-F0C9-4CA1-8AB5-A85354754C39}"/>
    <cellStyle name="20 % - Markeringsfarve1 3 7" xfId="30354" xr:uid="{7359ACD1-5234-43C7-A4A1-54B0876E2FD1}"/>
    <cellStyle name="20 % - Markeringsfarve1 3 7 2" xfId="30355" xr:uid="{12D4EFE8-C931-45F1-BE6F-6C5C50A49817}"/>
    <cellStyle name="20 % - Markeringsfarve1 3 7 3" xfId="30356" xr:uid="{26E13993-3C0A-46A0-96D3-406DD8B80C11}"/>
    <cellStyle name="20 % - Markeringsfarve1 3 8" xfId="30357" xr:uid="{004C4A57-51A0-4A42-AD16-0E5A9A3C63FF}"/>
    <cellStyle name="20 % - Markeringsfarve1 3 8 2" xfId="30358" xr:uid="{326DD8EC-B40A-4A09-89F1-7E722A464D2A}"/>
    <cellStyle name="20 % - Markeringsfarve1 3 8 3" xfId="30359" xr:uid="{3C989517-ED08-4343-80CC-7FFFD97697C8}"/>
    <cellStyle name="20 % - Markeringsfarve1 3 9" xfId="30360" xr:uid="{9592E2EB-9EEC-4B03-AAF3-C115AC266267}"/>
    <cellStyle name="20 % - Markeringsfarve1 3 9 2" xfId="30361" xr:uid="{8A0B1EC2-E810-4DF3-85FB-8DF6E21E5CAC}"/>
    <cellStyle name="20 % - Markeringsfarve1 4" xfId="23474" xr:uid="{620E51C8-5A90-4EA2-88E2-E8EEA101EAB5}"/>
    <cellStyle name="20 % - Markeringsfarve1 4 2" xfId="23475" xr:uid="{83E5902A-6A90-4DA5-A4B6-11363877B9B2}"/>
    <cellStyle name="20 % - Markeringsfarve1 4 2 2" xfId="30362" xr:uid="{82A9559B-5A17-48CD-8545-46D97A95F0CA}"/>
    <cellStyle name="20 % - Markeringsfarve1 4 2 3" xfId="30363" xr:uid="{CEE83DB2-271E-4ED3-BA45-E4B06A541593}"/>
    <cellStyle name="20 % - Markeringsfarve1 4 3" xfId="30364" xr:uid="{E9EF4B98-709B-4D5B-986E-13FB3C33334E}"/>
    <cellStyle name="20 % - Markeringsfarve1 4 3 2" xfId="30365" xr:uid="{1DB1A185-6F3A-4E79-96E3-73399A87E7EE}"/>
    <cellStyle name="20 % - Markeringsfarve1 4 3 3" xfId="30366" xr:uid="{47197A8F-9D41-4331-B082-50C6EAB23C2E}"/>
    <cellStyle name="20 % - Markeringsfarve1 4 4" xfId="30367" xr:uid="{42BA1925-B9DB-4945-BDA1-47F4D3320D85}"/>
    <cellStyle name="20 % - Markeringsfarve1 4 4 2" xfId="30368" xr:uid="{2E7FFCD9-91B6-4C98-9C0B-B31D3167A3ED}"/>
    <cellStyle name="20 % - Markeringsfarve1 4 4 3" xfId="30369" xr:uid="{D63D7ED8-9A36-46DE-9225-03493B42C7F8}"/>
    <cellStyle name="20 % - Markeringsfarve1 4 5" xfId="30370" xr:uid="{D054FF4F-1387-4EF8-A186-70A17BCBFB2C}"/>
    <cellStyle name="20 % - Markeringsfarve1 4 5 2" xfId="30371" xr:uid="{C7398972-8E23-493C-B20D-155BEE421E68}"/>
    <cellStyle name="20 % - Markeringsfarve1 4 5 3" xfId="30372" xr:uid="{56D42B5F-C59A-47AB-8136-989D0B3C7358}"/>
    <cellStyle name="20 % - Markeringsfarve1 4 6" xfId="30373" xr:uid="{68CB70AE-DAA0-43F5-BA86-E51799D0D772}"/>
    <cellStyle name="20 % - Markeringsfarve1 4 6 2" xfId="30374" xr:uid="{F0129780-11B8-4EB8-8C45-6927186A4ADE}"/>
    <cellStyle name="20 % - Markeringsfarve1 4 6 3" xfId="30375" xr:uid="{E0CB1C4C-274B-4E1D-966B-37BDBDCF0016}"/>
    <cellStyle name="20 % - Markeringsfarve1 4 7" xfId="30376" xr:uid="{06B10C62-9952-437B-A498-81CDB2FF770F}"/>
    <cellStyle name="20 % - Markeringsfarve1 4 7 2" xfId="30377" xr:uid="{7D85C6BC-045A-41AD-8F38-947ACE15385B}"/>
    <cellStyle name="20 % - Markeringsfarve1 4 8" xfId="30378" xr:uid="{9C0B5FBD-0FAB-4BAD-908F-93D277BC3917}"/>
    <cellStyle name="20 % - Markeringsfarve1 5" xfId="23476" xr:uid="{86859FDB-0DAA-4386-9FA2-B1E0E5C8BDF2}"/>
    <cellStyle name="20 % - Markeringsfarve1 5 2" xfId="23477" xr:uid="{CAE29328-9B7D-44D2-AE84-B54BD2596335}"/>
    <cellStyle name="20 % - Markeringsfarve1 5 2 2" xfId="30379" xr:uid="{EB8C2EB3-C817-4146-8185-C63C00E1E6C3}"/>
    <cellStyle name="20 % - Markeringsfarve1 5 2 3" xfId="30380" xr:uid="{57E73FE7-B867-4DBF-A61F-0122A81529CA}"/>
    <cellStyle name="20 % - Markeringsfarve1 5 3" xfId="30381" xr:uid="{1A8CFDDD-9CAC-4341-9B7A-268E19DC300F}"/>
    <cellStyle name="20 % - Markeringsfarve1 5 3 2" xfId="30382" xr:uid="{46343047-1306-4A4F-A0E2-3ABB3A6D1687}"/>
    <cellStyle name="20 % - Markeringsfarve1 5 3 3" xfId="30383" xr:uid="{4CD1130C-8353-4E90-926D-3B1929C32510}"/>
    <cellStyle name="20 % - Markeringsfarve1 5 4" xfId="30384" xr:uid="{31351FCE-EE87-4974-A1D0-15B2F2F47765}"/>
    <cellStyle name="20 % - Markeringsfarve1 5 4 2" xfId="30385" xr:uid="{B8962554-2EE6-4A29-A208-5C1A1C298E8E}"/>
    <cellStyle name="20 % - Markeringsfarve1 5 4 3" xfId="30386" xr:uid="{FEFD3A51-CB88-4EA0-9BB3-8EC5A1CA4F25}"/>
    <cellStyle name="20 % - Markeringsfarve1 5 5" xfId="30387" xr:uid="{11BEB3ED-7DDF-483A-BD30-B781F734713E}"/>
    <cellStyle name="20 % - Markeringsfarve1 5 5 2" xfId="30388" xr:uid="{27B944F6-623D-40D9-80C3-00440A5BD24E}"/>
    <cellStyle name="20 % - Markeringsfarve1 5 5 3" xfId="30389" xr:uid="{633D4CBC-4CDC-4683-B1EA-C7C0B6E5CF5E}"/>
    <cellStyle name="20 % - Markeringsfarve1 5 6" xfId="30390" xr:uid="{AA762771-E9D5-4ECB-9F7A-A005EAA9628E}"/>
    <cellStyle name="20 % - Markeringsfarve1 5 6 2" xfId="30391" xr:uid="{8668DE0C-8AC1-4343-B585-43F66485D2C2}"/>
    <cellStyle name="20 % - Markeringsfarve1 5 6 3" xfId="30392" xr:uid="{71F5852B-DF75-4F6D-AE81-A1D00CF47F82}"/>
    <cellStyle name="20 % - Markeringsfarve1 5 7" xfId="30393" xr:uid="{DC12C120-72F9-4F9F-9F00-9BBC6D5A55C6}"/>
    <cellStyle name="20 % - Markeringsfarve1 5 7 2" xfId="30394" xr:uid="{D195999C-807B-4839-95B1-D18437EE301C}"/>
    <cellStyle name="20 % - Markeringsfarve1 5 8" xfId="30395" xr:uid="{52D8671D-0164-4E04-8282-C5A0E19309A9}"/>
    <cellStyle name="20 % - Markeringsfarve1 6" xfId="23478" xr:uid="{751B8039-082E-4B1D-9B33-4314F757D264}"/>
    <cellStyle name="20 % - Markeringsfarve1 6 2" xfId="23479" xr:uid="{09BA19E6-8019-48C8-83C8-1D174C57F711}"/>
    <cellStyle name="20 % - Markeringsfarve1 6 2 2" xfId="30396" xr:uid="{FD3C1566-1ED9-4FE8-93A1-80E35C100C23}"/>
    <cellStyle name="20 % - Markeringsfarve1 6 2 3" xfId="30397" xr:uid="{16745440-080D-4095-BFF4-BB1FA5DD03DD}"/>
    <cellStyle name="20 % - Markeringsfarve1 6 3" xfId="30398" xr:uid="{42DCDED7-3D60-4773-85CC-FE7D39192BE3}"/>
    <cellStyle name="20 % - Markeringsfarve1 6 4" xfId="30399" xr:uid="{E3ED02B9-4C44-40FA-9264-EF6376E51116}"/>
    <cellStyle name="20 % - Markeringsfarve1 7" xfId="23480" xr:uid="{DC5B08B6-CE2B-4CD6-B331-E957DD92F423}"/>
    <cellStyle name="20 % - Markeringsfarve1 7 2" xfId="30400" xr:uid="{2B7BCB89-5332-4FAF-A020-ECD75E3CCA68}"/>
    <cellStyle name="20 % - Markeringsfarve1 7 3" xfId="30401" xr:uid="{D051AC0A-4DB0-4C25-A099-4F2D636C2B2F}"/>
    <cellStyle name="20 % - Markeringsfarve1 8" xfId="30402" xr:uid="{588A7C88-514E-4AB7-8F01-9A869970B03A}"/>
    <cellStyle name="20 % - Markeringsfarve1 8 2" xfId="30403" xr:uid="{B4DDE1B3-3D45-4345-89C7-259C4CB987CC}"/>
    <cellStyle name="20 % - Markeringsfarve1 8 3" xfId="30404" xr:uid="{977B5005-F67F-4F83-A142-E2100E44E6E2}"/>
    <cellStyle name="20 % - Markeringsfarve1 9" xfId="30405" xr:uid="{D2B6DAAB-05D3-4511-894B-6E1C529976CE}"/>
    <cellStyle name="20 % - Markeringsfarve1 9 2" xfId="30406" xr:uid="{C2ABC2E1-0BBF-43AF-AA8A-7586F077F705}"/>
    <cellStyle name="20 % - Markeringsfarve1 9 3" xfId="30407" xr:uid="{859BB95C-F1CC-4255-8367-6B6F9DCF2343}"/>
    <cellStyle name="20 % - Markeringsfarve2" xfId="1261" xr:uid="{00000000-0005-0000-0000-000002000000}"/>
    <cellStyle name="20 % - Markeringsfarve2 10" xfId="30408" xr:uid="{8948C716-099D-49D2-8BD4-CAC207CD51F3}"/>
    <cellStyle name="20 % - Markeringsfarve2 10 2" xfId="30409" xr:uid="{26959A30-4D70-4CF7-9313-20EEC2DED76F}"/>
    <cellStyle name="20 % - Markeringsfarve2 11" xfId="30410" xr:uid="{3677FA9F-2234-4C7A-8C2E-0C9F1C6DED6A}"/>
    <cellStyle name="20 % - Markeringsfarve2 12" xfId="17719" xr:uid="{133806A5-EC87-4F4F-A985-6FC7924BDC8B}"/>
    <cellStyle name="20 % - Markeringsfarve2 2" xfId="1262" xr:uid="{00000000-0005-0000-0000-000003000000}"/>
    <cellStyle name="20 % - Markeringsfarve2 2 10" xfId="30411" xr:uid="{D7E64765-EAC8-42CC-A73A-8F44DB0B7F07}"/>
    <cellStyle name="20 % - Markeringsfarve2 2 11" xfId="17720" xr:uid="{A4D8B056-3CB0-4210-BC4A-FB33D351707C}"/>
    <cellStyle name="20 % - Markeringsfarve2 2 2" xfId="23481" xr:uid="{C28B5AE4-F7DB-4C87-9BC0-A713206DD8AA}"/>
    <cellStyle name="20 % - Markeringsfarve2 2 2 2" xfId="23482" xr:uid="{C157CBC8-40C2-4318-9BF9-238F7DB27077}"/>
    <cellStyle name="20 % - Markeringsfarve2 2 2 2 2" xfId="30412" xr:uid="{7FFA3B6A-0276-4F55-97D2-349622272C5F}"/>
    <cellStyle name="20 % - Markeringsfarve2 2 2 2 3" xfId="30413" xr:uid="{D2B7CB4F-C047-4661-A7A2-52631AACCCDC}"/>
    <cellStyle name="20 % - Markeringsfarve2 2 2 3" xfId="30414" xr:uid="{E784909C-F0F7-4FD1-9906-22B459408BED}"/>
    <cellStyle name="20 % - Markeringsfarve2 2 2 3 2" xfId="30415" xr:uid="{1396724D-9FC3-477D-83B4-C13526264120}"/>
    <cellStyle name="20 % - Markeringsfarve2 2 2 3 3" xfId="30416" xr:uid="{74EFD3A6-6947-4402-9798-B14CEEE81A01}"/>
    <cellStyle name="20 % - Markeringsfarve2 2 2 4" xfId="30417" xr:uid="{9D49DCFD-F172-40C9-B381-F1D9C9E18465}"/>
    <cellStyle name="20 % - Markeringsfarve2 2 2 4 2" xfId="30418" xr:uid="{770DA7E4-E46F-408F-9C19-AD8D4F19FA19}"/>
    <cellStyle name="20 % - Markeringsfarve2 2 2 4 3" xfId="30419" xr:uid="{F58F7C9F-F21E-4015-94A7-09E4AC994C0B}"/>
    <cellStyle name="20 % - Markeringsfarve2 2 2 5" xfId="30420" xr:uid="{9F2D272E-9CDF-4D64-8566-88CE9FF81EF2}"/>
    <cellStyle name="20 % - Markeringsfarve2 2 2 5 2" xfId="30421" xr:uid="{3DF2609E-8A87-4B9B-AC3B-48381BF7DF1B}"/>
    <cellStyle name="20 % - Markeringsfarve2 2 2 5 3" xfId="30422" xr:uid="{2146917F-9E4A-47AE-96D3-0DA11ECF9210}"/>
    <cellStyle name="20 % - Markeringsfarve2 2 2 6" xfId="30423" xr:uid="{63CE31C8-102C-454F-B822-2DDD5EC0828A}"/>
    <cellStyle name="20 % - Markeringsfarve2 2 2 6 2" xfId="30424" xr:uid="{A68F2DD4-CFEE-45F2-9CA2-701B93E89762}"/>
    <cellStyle name="20 % - Markeringsfarve2 2 2 6 3" xfId="30425" xr:uid="{220E2EA4-8E23-48A9-A4F9-A9AEC3584AA8}"/>
    <cellStyle name="20 % - Markeringsfarve2 2 2 7" xfId="30426" xr:uid="{65AC8BC9-E016-4DFF-B909-CD33DB799236}"/>
    <cellStyle name="20 % - Markeringsfarve2 2 2 7 2" xfId="30427" xr:uid="{12FEC24C-2DAB-4D42-9897-1B12FD2DCEEF}"/>
    <cellStyle name="20 % - Markeringsfarve2 2 2 8" xfId="30428" xr:uid="{33CE2C0B-4A88-494C-87B6-ABB26B0F3831}"/>
    <cellStyle name="20 % - Markeringsfarve2 2 3" xfId="23483" xr:uid="{603C88D6-D9DB-48A7-AB64-28D75ACC59A1}"/>
    <cellStyle name="20 % - Markeringsfarve2 2 3 2" xfId="23484" xr:uid="{8E21AB7B-E2EA-479E-A95F-CD6E21D4460C}"/>
    <cellStyle name="20 % - Markeringsfarve2 2 3 2 2" xfId="30429" xr:uid="{350B64B2-D0D3-4A5C-9291-25CB3611C628}"/>
    <cellStyle name="20 % - Markeringsfarve2 2 3 2 3" xfId="30430" xr:uid="{0C854F73-B24E-4748-905C-5560CD88586C}"/>
    <cellStyle name="20 % - Markeringsfarve2 2 3 3" xfId="30431" xr:uid="{77B26B53-09FB-472F-A208-B1FA12D9E13C}"/>
    <cellStyle name="20 % - Markeringsfarve2 2 3 3 2" xfId="30432" xr:uid="{EB708E52-1972-4CDA-BD65-A4426FB9ED60}"/>
    <cellStyle name="20 % - Markeringsfarve2 2 3 3 3" xfId="30433" xr:uid="{8B953ED6-93BD-49BD-8572-AFD1FD4B72DC}"/>
    <cellStyle name="20 % - Markeringsfarve2 2 3 4" xfId="30434" xr:uid="{C7A96FDE-E952-4F8E-9E4E-B9CE9DAC9B78}"/>
    <cellStyle name="20 % - Markeringsfarve2 2 3 4 2" xfId="30435" xr:uid="{585F9FDA-E358-4964-AEED-3F20FED70EF0}"/>
    <cellStyle name="20 % - Markeringsfarve2 2 3 4 3" xfId="30436" xr:uid="{7CA1A377-5559-4E33-ABBA-419E167BC29F}"/>
    <cellStyle name="20 % - Markeringsfarve2 2 3 5" xfId="30437" xr:uid="{02514648-0795-4638-927F-566FA0CC9C54}"/>
    <cellStyle name="20 % - Markeringsfarve2 2 3 5 2" xfId="30438" xr:uid="{F8CF6D98-D2ED-4AC3-962D-4FE38F16E12A}"/>
    <cellStyle name="20 % - Markeringsfarve2 2 3 5 3" xfId="30439" xr:uid="{D75C351F-9BED-4591-88C3-1C73804A51A2}"/>
    <cellStyle name="20 % - Markeringsfarve2 2 3 6" xfId="30440" xr:uid="{8C54ECB7-F7AF-4D50-B6F8-989B65293CE2}"/>
    <cellStyle name="20 % - Markeringsfarve2 2 3 6 2" xfId="30441" xr:uid="{D9B6B6AA-4748-4DB4-8E6A-C3762A04C3C8}"/>
    <cellStyle name="20 % - Markeringsfarve2 2 3 6 3" xfId="30442" xr:uid="{EF641003-204B-4956-B86A-1253B233721D}"/>
    <cellStyle name="20 % - Markeringsfarve2 2 3 7" xfId="30443" xr:uid="{3C6A40F1-E797-49CF-9CFE-E983642424B8}"/>
    <cellStyle name="20 % - Markeringsfarve2 2 3 7 2" xfId="30444" xr:uid="{A2775188-D673-4BB1-87E6-E00255B292B0}"/>
    <cellStyle name="20 % - Markeringsfarve2 2 3 8" xfId="30445" xr:uid="{2972AA28-E6F4-45F1-AFC3-89BBBFF1CD25}"/>
    <cellStyle name="20 % - Markeringsfarve2 2 4" xfId="23485" xr:uid="{5C1334A4-1F6F-40C6-BC89-ED88708DE7F3}"/>
    <cellStyle name="20 % - Markeringsfarve2 2 4 2" xfId="30446" xr:uid="{96C265BA-EB59-417B-8C85-27416F1FDC0B}"/>
    <cellStyle name="20 % - Markeringsfarve2 2 4 3" xfId="30447" xr:uid="{7F9B47B3-D193-49DD-9556-D52DC4F4D913}"/>
    <cellStyle name="20 % - Markeringsfarve2 2 5" xfId="30448" xr:uid="{FC6210DF-CB69-438E-B15A-F27998699CBD}"/>
    <cellStyle name="20 % - Markeringsfarve2 2 5 2" xfId="30449" xr:uid="{565EA13B-2019-43F2-8F12-965CAE5898BA}"/>
    <cellStyle name="20 % - Markeringsfarve2 2 5 3" xfId="30450" xr:uid="{4D945403-F91C-4C17-BD2E-5562545C800C}"/>
    <cellStyle name="20 % - Markeringsfarve2 2 6" xfId="30451" xr:uid="{215FBB4D-0981-4624-ACBB-9D488B3D1321}"/>
    <cellStyle name="20 % - Markeringsfarve2 2 6 2" xfId="30452" xr:uid="{C34DBC5E-1FD2-48B2-A896-185488E68FF3}"/>
    <cellStyle name="20 % - Markeringsfarve2 2 6 3" xfId="30453" xr:uid="{96A8042F-6AD8-455F-8E6F-65F2ED442072}"/>
    <cellStyle name="20 % - Markeringsfarve2 2 7" xfId="30454" xr:uid="{8CD61F4D-CBDA-436F-9099-4EAA00BF1D13}"/>
    <cellStyle name="20 % - Markeringsfarve2 2 7 2" xfId="30455" xr:uid="{CCB0F5E4-6ABA-46A4-A0FB-BD56E9105F07}"/>
    <cellStyle name="20 % - Markeringsfarve2 2 7 3" xfId="30456" xr:uid="{A473EE24-13C0-4D53-AF85-F9E8AD943F90}"/>
    <cellStyle name="20 % - Markeringsfarve2 2 8" xfId="30457" xr:uid="{78532AEC-D477-4C97-8BB6-712336FB7168}"/>
    <cellStyle name="20 % - Markeringsfarve2 2 8 2" xfId="30458" xr:uid="{A082716D-AA77-4DDC-BCF5-3149B8409619}"/>
    <cellStyle name="20 % - Markeringsfarve2 2 8 3" xfId="30459" xr:uid="{B31C4F1C-4695-4E54-B2B7-7BC5B9C81825}"/>
    <cellStyle name="20 % - Markeringsfarve2 2 9" xfId="30460" xr:uid="{DFA5CCB9-5414-4F77-B6FF-87C86242F29D}"/>
    <cellStyle name="20 % - Markeringsfarve2 2 9 2" xfId="30461" xr:uid="{8776C54A-0E28-4A25-91C2-D584355571FE}"/>
    <cellStyle name="20 % - Markeringsfarve2 3" xfId="2586" xr:uid="{22A9BFCA-D7A2-4454-B925-5331D14C4E61}"/>
    <cellStyle name="20 % - Markeringsfarve2 3 10" xfId="30462" xr:uid="{853A22AC-7F14-49FD-860D-97F0A516242B}"/>
    <cellStyle name="20 % - Markeringsfarve2 3 2" xfId="23486" xr:uid="{BC93B78D-1652-4468-9F7E-C20E83A9B3DC}"/>
    <cellStyle name="20 % - Markeringsfarve2 3 2 2" xfId="30463" xr:uid="{CC0FBB36-5961-4EA9-8476-5A10C9D445D0}"/>
    <cellStyle name="20 % - Markeringsfarve2 3 2 2 2" xfId="30464" xr:uid="{0831AF86-D6A6-4C48-9974-082A73CF99CC}"/>
    <cellStyle name="20 % - Markeringsfarve2 3 2 2 3" xfId="30465" xr:uid="{2B6E089D-1F3A-4BAB-A495-CDAF4BDD3CB4}"/>
    <cellStyle name="20 % - Markeringsfarve2 3 2 3" xfId="30466" xr:uid="{3237FA4F-1A65-49E8-9B89-FD553BED39E1}"/>
    <cellStyle name="20 % - Markeringsfarve2 3 2 3 2" xfId="30467" xr:uid="{93862841-B65D-478D-8B0F-0BE7263C1525}"/>
    <cellStyle name="20 % - Markeringsfarve2 3 2 3 3" xfId="30468" xr:uid="{C9EA417A-71E3-423A-B4AC-88E2F61725EE}"/>
    <cellStyle name="20 % - Markeringsfarve2 3 2 4" xfId="30469" xr:uid="{47882B73-2B15-49CA-845E-B7435574C62E}"/>
    <cellStyle name="20 % - Markeringsfarve2 3 2 4 2" xfId="30470" xr:uid="{563781E4-543A-4190-B8D2-4919F92048FC}"/>
    <cellStyle name="20 % - Markeringsfarve2 3 2 4 3" xfId="30471" xr:uid="{3AD1AC21-2A7F-4B71-9C09-BCFB91400443}"/>
    <cellStyle name="20 % - Markeringsfarve2 3 2 5" xfId="30472" xr:uid="{09F7A5BC-5267-454F-AD8C-C5EA38EDF127}"/>
    <cellStyle name="20 % - Markeringsfarve2 3 2 5 2" xfId="30473" xr:uid="{F3BA9F62-5D3D-469A-BC5C-1B8A371D1973}"/>
    <cellStyle name="20 % - Markeringsfarve2 3 2 5 3" xfId="30474" xr:uid="{C07AC0E1-506D-4D2F-BC48-F922EA59A0BE}"/>
    <cellStyle name="20 % - Markeringsfarve2 3 2 6" xfId="30475" xr:uid="{9189CCFC-4EFD-497C-8120-0E6C9E31EBEC}"/>
    <cellStyle name="20 % - Markeringsfarve2 3 2 6 2" xfId="30476" xr:uid="{92D8B8A3-3EEA-47BC-AB37-F56DF3020FB7}"/>
    <cellStyle name="20 % - Markeringsfarve2 3 2 6 3" xfId="30477" xr:uid="{5A1523E5-5449-426A-B684-D8963B729AE2}"/>
    <cellStyle name="20 % - Markeringsfarve2 3 2 7" xfId="30478" xr:uid="{01A4D0A4-21EB-4E15-8DF8-E38675AF7594}"/>
    <cellStyle name="20 % - Markeringsfarve2 3 2 7 2" xfId="30479" xr:uid="{66B2D591-23FB-4334-9667-935BFCFA2C29}"/>
    <cellStyle name="20 % - Markeringsfarve2 3 2 8" xfId="30480" xr:uid="{43667715-3C2D-467F-A902-76ED1B60CE5D}"/>
    <cellStyle name="20 % - Markeringsfarve2 3 3" xfId="30481" xr:uid="{9CF83D00-6FE9-49F9-B51F-3AB285E3EFF3}"/>
    <cellStyle name="20 % - Markeringsfarve2 3 3 2" xfId="30482" xr:uid="{B57A8555-C4BD-4DDA-B3C4-6CD115D0EEED}"/>
    <cellStyle name="20 % - Markeringsfarve2 3 3 2 2" xfId="30483" xr:uid="{956BFC47-E492-42CD-BF4C-6F1EA00BA23E}"/>
    <cellStyle name="20 % - Markeringsfarve2 3 3 2 3" xfId="30484" xr:uid="{AF8CEBAD-A937-4FFA-8509-3AE3FFC1FA11}"/>
    <cellStyle name="20 % - Markeringsfarve2 3 3 3" xfId="30485" xr:uid="{D85D482E-6881-460E-B9A4-4FA09E8E9303}"/>
    <cellStyle name="20 % - Markeringsfarve2 3 3 3 2" xfId="30486" xr:uid="{43ABD234-DBE7-425B-BF7E-72F50541A30A}"/>
    <cellStyle name="20 % - Markeringsfarve2 3 3 3 3" xfId="30487" xr:uid="{2BEB1D3C-C0F3-4166-8686-BE77D979BF9D}"/>
    <cellStyle name="20 % - Markeringsfarve2 3 3 4" xfId="30488" xr:uid="{DFE84A85-8B49-4575-8769-02C72193F750}"/>
    <cellStyle name="20 % - Markeringsfarve2 3 3 4 2" xfId="30489" xr:uid="{DDBAB80A-E8CB-411E-A7AF-F6D2B705253B}"/>
    <cellStyle name="20 % - Markeringsfarve2 3 3 4 3" xfId="30490" xr:uid="{E38ACD31-0BA8-4302-9513-E19B21202CBF}"/>
    <cellStyle name="20 % - Markeringsfarve2 3 3 5" xfId="30491" xr:uid="{B69F41D3-6668-42AF-8CF3-9DE4609A92A9}"/>
    <cellStyle name="20 % - Markeringsfarve2 3 3 5 2" xfId="30492" xr:uid="{2912F58D-3C3E-425E-A6FF-F471A0C5B90F}"/>
    <cellStyle name="20 % - Markeringsfarve2 3 3 5 3" xfId="30493" xr:uid="{B1BBE3B1-7D06-4BEB-B645-5784FBE0280B}"/>
    <cellStyle name="20 % - Markeringsfarve2 3 3 6" xfId="30494" xr:uid="{CE9A7737-B371-4D47-A1B5-B46F8A4299A2}"/>
    <cellStyle name="20 % - Markeringsfarve2 3 3 6 2" xfId="30495" xr:uid="{78F26028-5AD7-4679-9E7D-AF6E11F643F0}"/>
    <cellStyle name="20 % - Markeringsfarve2 3 3 6 3" xfId="30496" xr:uid="{5F56C6DF-5F0C-44A6-A8C0-1421C68F74C8}"/>
    <cellStyle name="20 % - Markeringsfarve2 3 3 7" xfId="30497" xr:uid="{E84C6B06-3941-44CD-9460-20E7795BC910}"/>
    <cellStyle name="20 % - Markeringsfarve2 3 3 7 2" xfId="30498" xr:uid="{EC94142E-50E8-47CE-8EB9-616E66D3CF73}"/>
    <cellStyle name="20 % - Markeringsfarve2 3 3 8" xfId="30499" xr:uid="{E1CA7A79-4CAB-44DC-A236-285383D1CB20}"/>
    <cellStyle name="20 % - Markeringsfarve2 3 4" xfId="30500" xr:uid="{29CAC85D-72A4-48AD-A526-C96C6286374B}"/>
    <cellStyle name="20 % - Markeringsfarve2 3 4 2" xfId="30501" xr:uid="{AFCA1C56-6409-4FD4-818C-FACA7CA21789}"/>
    <cellStyle name="20 % - Markeringsfarve2 3 4 3" xfId="30502" xr:uid="{E2DD20BE-0A2A-4135-9412-9A46C59A4E39}"/>
    <cellStyle name="20 % - Markeringsfarve2 3 5" xfId="30503" xr:uid="{DA9629BD-FCA1-4CAD-B7C1-A0532233249F}"/>
    <cellStyle name="20 % - Markeringsfarve2 3 5 2" xfId="30504" xr:uid="{FE7FFC4B-7F6D-4A93-99D8-21A9FC1B9C41}"/>
    <cellStyle name="20 % - Markeringsfarve2 3 5 3" xfId="30505" xr:uid="{B8309F84-B270-4D54-A635-75B46EF88339}"/>
    <cellStyle name="20 % - Markeringsfarve2 3 6" xfId="30506" xr:uid="{FDA84867-9728-4778-81E6-81778C7234E3}"/>
    <cellStyle name="20 % - Markeringsfarve2 3 6 2" xfId="30507" xr:uid="{0B4A40D1-B717-4D04-8DF4-0CA72E1C6081}"/>
    <cellStyle name="20 % - Markeringsfarve2 3 6 3" xfId="30508" xr:uid="{79EA2421-EF41-414B-82BE-E9D47631115B}"/>
    <cellStyle name="20 % - Markeringsfarve2 3 7" xfId="30509" xr:uid="{BDF144BA-FC42-4F1D-97BD-127DA7BB1B3C}"/>
    <cellStyle name="20 % - Markeringsfarve2 3 7 2" xfId="30510" xr:uid="{2FB1E709-0D10-4557-99F8-7725650583C4}"/>
    <cellStyle name="20 % - Markeringsfarve2 3 7 3" xfId="30511" xr:uid="{FC4454EC-E37B-4838-9A4D-95BBCCDCF731}"/>
    <cellStyle name="20 % - Markeringsfarve2 3 8" xfId="30512" xr:uid="{3A934D22-EB85-4A5B-81FF-0A426F6BD308}"/>
    <cellStyle name="20 % - Markeringsfarve2 3 8 2" xfId="30513" xr:uid="{7E568AF9-0E8F-4CC9-B650-62B8549DD816}"/>
    <cellStyle name="20 % - Markeringsfarve2 3 8 3" xfId="30514" xr:uid="{2D6F2A85-96F9-4B96-8597-6D72DC436A07}"/>
    <cellStyle name="20 % - Markeringsfarve2 3 9" xfId="30515" xr:uid="{5C436FD0-4CE8-46A9-9743-FBCA791E7993}"/>
    <cellStyle name="20 % - Markeringsfarve2 3 9 2" xfId="30516" xr:uid="{5C1AF9EB-9DB9-4DBB-9DFD-053B4E580B99}"/>
    <cellStyle name="20 % - Markeringsfarve2 4" xfId="23487" xr:uid="{CC4EB750-CB11-4B7A-BCC3-A2D1F1FDACD6}"/>
    <cellStyle name="20 % - Markeringsfarve2 4 2" xfId="23488" xr:uid="{50D1B507-0361-4D03-9C78-B20F4CB4DAED}"/>
    <cellStyle name="20 % - Markeringsfarve2 4 2 2" xfId="30517" xr:uid="{BC54C7A1-2701-430E-B8FF-DF0CAA877A0F}"/>
    <cellStyle name="20 % - Markeringsfarve2 4 2 3" xfId="30518" xr:uid="{CF1D22F0-1AE7-4A34-B325-6D354BE96525}"/>
    <cellStyle name="20 % - Markeringsfarve2 4 3" xfId="30519" xr:uid="{E6FB7AEA-6651-4F4A-A35D-9B693AEB8C07}"/>
    <cellStyle name="20 % - Markeringsfarve2 4 3 2" xfId="30520" xr:uid="{DD8094CC-EA9A-4447-994F-40C8C547E973}"/>
    <cellStyle name="20 % - Markeringsfarve2 4 3 3" xfId="30521" xr:uid="{B7FBC3C1-53F8-4B6D-B34B-BC3754D3D8B0}"/>
    <cellStyle name="20 % - Markeringsfarve2 4 4" xfId="30522" xr:uid="{B2BB3F40-3400-4BAE-BF20-93C94EC32491}"/>
    <cellStyle name="20 % - Markeringsfarve2 4 4 2" xfId="30523" xr:uid="{3D89548E-2F64-4FB5-A29A-B8283C4773E7}"/>
    <cellStyle name="20 % - Markeringsfarve2 4 4 3" xfId="30524" xr:uid="{ECCC0E8D-803D-44E0-B11F-37E06655EE55}"/>
    <cellStyle name="20 % - Markeringsfarve2 4 5" xfId="30525" xr:uid="{72C2904C-4276-48A8-83BE-8F1955DE2FFE}"/>
    <cellStyle name="20 % - Markeringsfarve2 4 5 2" xfId="30526" xr:uid="{0A81BCC9-C5AE-49D1-BE68-76DF9211D507}"/>
    <cellStyle name="20 % - Markeringsfarve2 4 5 3" xfId="30527" xr:uid="{382D5903-FA2A-4248-80FD-A1D082F80149}"/>
    <cellStyle name="20 % - Markeringsfarve2 4 6" xfId="30528" xr:uid="{23AD13B5-187C-452E-9E64-4630435F1E01}"/>
    <cellStyle name="20 % - Markeringsfarve2 4 6 2" xfId="30529" xr:uid="{960E3135-99F0-474D-9AAE-735DC4EEBD0D}"/>
    <cellStyle name="20 % - Markeringsfarve2 4 6 3" xfId="30530" xr:uid="{B0028005-F7D0-4D43-9629-7312E559FF0B}"/>
    <cellStyle name="20 % - Markeringsfarve2 4 7" xfId="30531" xr:uid="{CEE10B8B-BDE6-4BBE-ACEC-7F3F6C60A3AB}"/>
    <cellStyle name="20 % - Markeringsfarve2 4 7 2" xfId="30532" xr:uid="{2098212A-FEC6-48DE-8480-498401B5D8C1}"/>
    <cellStyle name="20 % - Markeringsfarve2 4 8" xfId="30533" xr:uid="{6AF1A9F4-E461-40CC-9CC5-09A5732514A2}"/>
    <cellStyle name="20 % - Markeringsfarve2 5" xfId="23489" xr:uid="{972CF4D2-E85E-40EE-AC18-E441ECC97AE8}"/>
    <cellStyle name="20 % - Markeringsfarve2 5 2" xfId="23490" xr:uid="{52FC7F30-BE45-42A6-ABB3-4F4412B5E279}"/>
    <cellStyle name="20 % - Markeringsfarve2 5 2 2" xfId="30534" xr:uid="{F65B758D-C28B-4DF5-B67B-67FB5BC39C38}"/>
    <cellStyle name="20 % - Markeringsfarve2 5 2 3" xfId="30535" xr:uid="{0B07B882-FA74-4D7C-A341-711518E46170}"/>
    <cellStyle name="20 % - Markeringsfarve2 5 3" xfId="30536" xr:uid="{C5B184B4-AFF1-4DF1-AFAF-70F29D16BC58}"/>
    <cellStyle name="20 % - Markeringsfarve2 5 3 2" xfId="30537" xr:uid="{29B0C3D1-4912-419B-8F2A-651895E11A22}"/>
    <cellStyle name="20 % - Markeringsfarve2 5 3 3" xfId="30538" xr:uid="{E5EAA523-BD7E-4385-AB6A-2B49056AD53F}"/>
    <cellStyle name="20 % - Markeringsfarve2 5 4" xfId="30539" xr:uid="{F9FA0080-1B65-452A-9B26-E03C5DE0B201}"/>
    <cellStyle name="20 % - Markeringsfarve2 5 4 2" xfId="30540" xr:uid="{9357777D-9438-4842-8310-614BC5EBDD2D}"/>
    <cellStyle name="20 % - Markeringsfarve2 5 4 3" xfId="30541" xr:uid="{DEF99A39-B519-4750-BF3A-F00F814D2038}"/>
    <cellStyle name="20 % - Markeringsfarve2 5 5" xfId="30542" xr:uid="{1C4A4524-4B83-4EE8-A6FA-FF3ED3739E4D}"/>
    <cellStyle name="20 % - Markeringsfarve2 5 5 2" xfId="30543" xr:uid="{69278BCB-AAB9-43C4-BB00-3E896A2170BF}"/>
    <cellStyle name="20 % - Markeringsfarve2 5 5 3" xfId="30544" xr:uid="{782984DF-9D8B-47DE-A74D-2EA54913D762}"/>
    <cellStyle name="20 % - Markeringsfarve2 5 6" xfId="30545" xr:uid="{DF3A8A8D-1656-4B1C-B689-7522A4AB0A97}"/>
    <cellStyle name="20 % - Markeringsfarve2 5 6 2" xfId="30546" xr:uid="{1126A474-19B7-4296-9462-100BE616F41B}"/>
    <cellStyle name="20 % - Markeringsfarve2 5 6 3" xfId="30547" xr:uid="{C2F54AA5-383F-4515-8795-7F38072312AA}"/>
    <cellStyle name="20 % - Markeringsfarve2 5 7" xfId="30548" xr:uid="{3BD3ED53-E2BB-45D3-A50E-FCA87DAA8376}"/>
    <cellStyle name="20 % - Markeringsfarve2 5 7 2" xfId="30549" xr:uid="{D175EBD9-7C61-4FF3-A3A4-87B694FE00B6}"/>
    <cellStyle name="20 % - Markeringsfarve2 5 8" xfId="30550" xr:uid="{25FF214F-52AC-4431-8ADE-A297A68D5C93}"/>
    <cellStyle name="20 % - Markeringsfarve2 6" xfId="23491" xr:uid="{3385A10D-2516-4DE5-B4BD-E3DF7817AFD2}"/>
    <cellStyle name="20 % - Markeringsfarve2 6 2" xfId="23492" xr:uid="{6C590BE0-D1B3-418D-8371-B838467FC616}"/>
    <cellStyle name="20 % - Markeringsfarve2 6 2 2" xfId="30551" xr:uid="{DF154F75-BC12-43CA-8438-6105BB764F5D}"/>
    <cellStyle name="20 % - Markeringsfarve2 6 2 3" xfId="30552" xr:uid="{2D629FFC-3EE4-49F8-92D1-FDA5F02426C0}"/>
    <cellStyle name="20 % - Markeringsfarve2 6 3" xfId="30553" xr:uid="{3C3D4971-80B2-4226-BDD6-979AE39C1343}"/>
    <cellStyle name="20 % - Markeringsfarve2 6 4" xfId="30554" xr:uid="{85A3B220-2950-4DA7-8B20-D78C22CF9015}"/>
    <cellStyle name="20 % - Markeringsfarve2 7" xfId="23493" xr:uid="{77957283-14B6-4ED8-B839-AAEB0C980AA9}"/>
    <cellStyle name="20 % - Markeringsfarve2 7 2" xfId="30555" xr:uid="{00CC7D74-D044-4B62-B300-4CE1870D0F52}"/>
    <cellStyle name="20 % - Markeringsfarve2 7 3" xfId="30556" xr:uid="{E432E0A1-AF52-4B10-9E2F-980BDAA96243}"/>
    <cellStyle name="20 % - Markeringsfarve2 8" xfId="30557" xr:uid="{A6F0896E-F7C9-461B-A211-C6C038667CCD}"/>
    <cellStyle name="20 % - Markeringsfarve2 8 2" xfId="30558" xr:uid="{D8558587-7A0B-4C5C-8572-50CC2D054D70}"/>
    <cellStyle name="20 % - Markeringsfarve2 8 3" xfId="30559" xr:uid="{326EBEF2-1F67-4747-9366-4F8E9FD2623B}"/>
    <cellStyle name="20 % - Markeringsfarve2 9" xfId="30560" xr:uid="{C1307B08-EE51-4F31-B1E2-615BF9408888}"/>
    <cellStyle name="20 % - Markeringsfarve2 9 2" xfId="30561" xr:uid="{348BD3E0-2E4B-45D1-B508-1A5C73B3E485}"/>
    <cellStyle name="20 % - Markeringsfarve2 9 3" xfId="30562" xr:uid="{4B64CE94-BC35-4E0E-9D28-357ECB030A4F}"/>
    <cellStyle name="20 % - Markeringsfarve3" xfId="1263" xr:uid="{00000000-0005-0000-0000-000004000000}"/>
    <cellStyle name="20 % - Markeringsfarve3 10" xfId="30563" xr:uid="{5A8090B8-8CEE-473A-B553-6243665AA7E1}"/>
    <cellStyle name="20 % - Markeringsfarve3 10 2" xfId="30564" xr:uid="{82C81F3A-377C-43E8-9625-BF390839D856}"/>
    <cellStyle name="20 % - Markeringsfarve3 11" xfId="30565" xr:uid="{97D8BE5B-C8C2-4E63-8F96-9130D1E0D207}"/>
    <cellStyle name="20 % - Markeringsfarve3 12" xfId="17721" xr:uid="{9FE9A627-719A-4700-8D38-844B21FF6A87}"/>
    <cellStyle name="20 % - Markeringsfarve3 2" xfId="1264" xr:uid="{00000000-0005-0000-0000-000005000000}"/>
    <cellStyle name="20 % - Markeringsfarve3 2 10" xfId="30566" xr:uid="{DBC16257-B48B-46BF-9EFC-D068D078CC99}"/>
    <cellStyle name="20 % - Markeringsfarve3 2 11" xfId="17722" xr:uid="{8EACFD2E-B424-477A-945A-F729C16042C9}"/>
    <cellStyle name="20 % - Markeringsfarve3 2 2" xfId="23494" xr:uid="{2C008516-64BC-4735-930B-6921721354D5}"/>
    <cellStyle name="20 % - Markeringsfarve3 2 2 2" xfId="23495" xr:uid="{3E6386D8-65D2-4F0D-8BFE-6441984C1FFA}"/>
    <cellStyle name="20 % - Markeringsfarve3 2 2 2 2" xfId="30567" xr:uid="{D748036A-0F25-4B7E-B632-61ED85693689}"/>
    <cellStyle name="20 % - Markeringsfarve3 2 2 2 3" xfId="30568" xr:uid="{3D102298-B00D-4C2F-AE00-C58A121602A3}"/>
    <cellStyle name="20 % - Markeringsfarve3 2 2 3" xfId="30569" xr:uid="{E2952DBD-4C59-475E-A72F-489951E379EF}"/>
    <cellStyle name="20 % - Markeringsfarve3 2 2 3 2" xfId="30570" xr:uid="{83FDFC82-583A-4679-8A74-187284D049BC}"/>
    <cellStyle name="20 % - Markeringsfarve3 2 2 3 3" xfId="30571" xr:uid="{5C8D9B35-3760-4063-8570-8F03C8E3146E}"/>
    <cellStyle name="20 % - Markeringsfarve3 2 2 4" xfId="30572" xr:uid="{B899A67B-322A-46A1-B030-1D67F3B27452}"/>
    <cellStyle name="20 % - Markeringsfarve3 2 2 4 2" xfId="30573" xr:uid="{3207CE07-F821-4BBD-924F-AE94547D1D58}"/>
    <cellStyle name="20 % - Markeringsfarve3 2 2 4 3" xfId="30574" xr:uid="{DEFC84FD-9511-47D2-97B7-E7544EC2F4AD}"/>
    <cellStyle name="20 % - Markeringsfarve3 2 2 5" xfId="30575" xr:uid="{CAA20930-E574-4430-B0D1-3709D9E86485}"/>
    <cellStyle name="20 % - Markeringsfarve3 2 2 5 2" xfId="30576" xr:uid="{47A84042-A143-4F75-9F70-6AC2B755BC2C}"/>
    <cellStyle name="20 % - Markeringsfarve3 2 2 5 3" xfId="30577" xr:uid="{906C2527-113E-48B1-8B26-4CDA8E76257D}"/>
    <cellStyle name="20 % - Markeringsfarve3 2 2 6" xfId="30578" xr:uid="{53D9C553-C621-40C0-8E9D-20B42BE63404}"/>
    <cellStyle name="20 % - Markeringsfarve3 2 2 6 2" xfId="30579" xr:uid="{11271948-4A91-4396-9557-82AE7C81DA36}"/>
    <cellStyle name="20 % - Markeringsfarve3 2 2 6 3" xfId="30580" xr:uid="{8DCA5871-F54E-43A7-8C39-116B590CBEDF}"/>
    <cellStyle name="20 % - Markeringsfarve3 2 2 7" xfId="30581" xr:uid="{CDA2B927-669B-4FEC-AB11-30C1C3D91D6B}"/>
    <cellStyle name="20 % - Markeringsfarve3 2 2 7 2" xfId="30582" xr:uid="{1A2388D1-7230-436B-B39D-270236340188}"/>
    <cellStyle name="20 % - Markeringsfarve3 2 2 8" xfId="30583" xr:uid="{40EA5854-DC45-4E7C-8F2A-732EA96CA08D}"/>
    <cellStyle name="20 % - Markeringsfarve3 2 3" xfId="23496" xr:uid="{9DD3D151-35C0-40BA-940F-684D8D72AF7C}"/>
    <cellStyle name="20 % - Markeringsfarve3 2 3 2" xfId="23497" xr:uid="{9289A3CD-6200-4CF3-B9D7-0F35AC1A0BE4}"/>
    <cellStyle name="20 % - Markeringsfarve3 2 3 2 2" xfId="30584" xr:uid="{0976A378-F61D-4FF0-9BC2-4DF4ECBDED7C}"/>
    <cellStyle name="20 % - Markeringsfarve3 2 3 2 3" xfId="30585" xr:uid="{4A710459-C3A8-4AB0-883B-5EFD81411BE4}"/>
    <cellStyle name="20 % - Markeringsfarve3 2 3 3" xfId="30586" xr:uid="{53F2CFEC-F069-4190-A51E-8C20708DF88F}"/>
    <cellStyle name="20 % - Markeringsfarve3 2 3 3 2" xfId="30587" xr:uid="{DE41B7C1-B777-452E-A2A3-B452986FDE2A}"/>
    <cellStyle name="20 % - Markeringsfarve3 2 3 3 3" xfId="30588" xr:uid="{A1176FA3-74AA-4D01-A8D2-2F3CA3293E1C}"/>
    <cellStyle name="20 % - Markeringsfarve3 2 3 4" xfId="30589" xr:uid="{EAD2439E-3274-4DF0-982D-55F0E64A9D1F}"/>
    <cellStyle name="20 % - Markeringsfarve3 2 3 4 2" xfId="30590" xr:uid="{20687603-EAB5-475F-8FC4-52A94CB53CF1}"/>
    <cellStyle name="20 % - Markeringsfarve3 2 3 4 3" xfId="30591" xr:uid="{F3BAFAFA-75F1-49D7-8039-3C161394DA68}"/>
    <cellStyle name="20 % - Markeringsfarve3 2 3 5" xfId="30592" xr:uid="{D250D7B1-FD65-4C1E-AE23-E504A3195F80}"/>
    <cellStyle name="20 % - Markeringsfarve3 2 3 5 2" xfId="30593" xr:uid="{446D0AD2-15AB-4730-A055-FC9724BECC79}"/>
    <cellStyle name="20 % - Markeringsfarve3 2 3 5 3" xfId="30594" xr:uid="{DE46DEE3-541B-4F41-A4B0-CBE7393BA28A}"/>
    <cellStyle name="20 % - Markeringsfarve3 2 3 6" xfId="30595" xr:uid="{D46A75C6-82A7-46ED-86A2-2F9AF7CAAF0D}"/>
    <cellStyle name="20 % - Markeringsfarve3 2 3 6 2" xfId="30596" xr:uid="{64459389-2959-45AE-80F9-C80F00C00EFF}"/>
    <cellStyle name="20 % - Markeringsfarve3 2 3 6 3" xfId="30597" xr:uid="{4BC7CCB4-4997-447D-9EE3-B14E93E84238}"/>
    <cellStyle name="20 % - Markeringsfarve3 2 3 7" xfId="30598" xr:uid="{C6EE48D7-7C23-4FD2-902D-E7B363FB575F}"/>
    <cellStyle name="20 % - Markeringsfarve3 2 3 7 2" xfId="30599" xr:uid="{69049EA3-5C60-4971-99B6-1802F0D3BE86}"/>
    <cellStyle name="20 % - Markeringsfarve3 2 3 8" xfId="30600" xr:uid="{B7F715FC-D658-4CBD-87C9-E84E90A13557}"/>
    <cellStyle name="20 % - Markeringsfarve3 2 4" xfId="23498" xr:uid="{B66DCF4A-632E-4E75-86EC-0AADAFAFE28B}"/>
    <cellStyle name="20 % - Markeringsfarve3 2 4 2" xfId="23499" xr:uid="{CBC18479-C2ED-4ED7-907B-C7AE8EC4E5A7}"/>
    <cellStyle name="20 % - Markeringsfarve3 2 4 3" xfId="30601" xr:uid="{5C130B9C-82BF-4B37-8164-78D64FA65530}"/>
    <cellStyle name="20 % - Markeringsfarve3 2 5" xfId="23500" xr:uid="{38BC05F7-C995-4C60-B7FB-F4C382DAEDD2}"/>
    <cellStyle name="20 % - Markeringsfarve3 2 5 2" xfId="30602" xr:uid="{D6C837B9-F1B1-447B-B4C0-B83D82C4A471}"/>
    <cellStyle name="20 % - Markeringsfarve3 2 5 3" xfId="30603" xr:uid="{1C52AA9F-763E-473F-AF7D-34924631CD00}"/>
    <cellStyle name="20 % - Markeringsfarve3 2 6" xfId="30604" xr:uid="{AE8DFC05-1E82-46EF-9579-3F8E38ED9E4E}"/>
    <cellStyle name="20 % - Markeringsfarve3 2 6 2" xfId="30605" xr:uid="{832485B7-1958-4FA7-BEF7-18CCB7B8610C}"/>
    <cellStyle name="20 % - Markeringsfarve3 2 6 3" xfId="30606" xr:uid="{7116580C-2E45-499C-AD32-F790FB3C4B60}"/>
    <cellStyle name="20 % - Markeringsfarve3 2 7" xfId="30607" xr:uid="{C0076BFC-7B9D-47AC-BA09-86C9B0260AE7}"/>
    <cellStyle name="20 % - Markeringsfarve3 2 7 2" xfId="30608" xr:uid="{9B624048-7C71-4132-B1AD-100575807715}"/>
    <cellStyle name="20 % - Markeringsfarve3 2 7 3" xfId="30609" xr:uid="{02B86205-5813-4AC7-BE30-C6B9E16EA2AD}"/>
    <cellStyle name="20 % - Markeringsfarve3 2 8" xfId="30610" xr:uid="{97FD404C-1572-4348-A3C4-F44C4DCE7F7F}"/>
    <cellStyle name="20 % - Markeringsfarve3 2 8 2" xfId="30611" xr:uid="{9B36835B-E77F-4DB5-B269-50E18D4C8AAA}"/>
    <cellStyle name="20 % - Markeringsfarve3 2 8 3" xfId="30612" xr:uid="{EB5A203F-8D43-4E91-8F38-1A8D227C1775}"/>
    <cellStyle name="20 % - Markeringsfarve3 2 9" xfId="30613" xr:uid="{A1256460-416A-46F6-8A33-F608F94E76CD}"/>
    <cellStyle name="20 % - Markeringsfarve3 2 9 2" xfId="30614" xr:uid="{5EA57434-FF51-4F50-BB24-A85839B2B118}"/>
    <cellStyle name="20 % - Markeringsfarve3 3" xfId="2587" xr:uid="{CFC757D9-9939-472D-BD3A-638858576F1A}"/>
    <cellStyle name="20 % - Markeringsfarve3 3 10" xfId="30615" xr:uid="{B7826102-FA8A-4771-85A2-299AB3206EB2}"/>
    <cellStyle name="20 % - Markeringsfarve3 3 2" xfId="23501" xr:uid="{492C61F7-E8F3-43F5-9326-D8E5CCF7BD69}"/>
    <cellStyle name="20 % - Markeringsfarve3 3 2 2" xfId="30616" xr:uid="{6F8C0766-0590-49A3-AC28-DCFC38C26677}"/>
    <cellStyle name="20 % - Markeringsfarve3 3 2 2 2" xfId="30617" xr:uid="{FC6FC0B7-127F-43FF-AF96-C1EDC77CA07A}"/>
    <cellStyle name="20 % - Markeringsfarve3 3 2 2 3" xfId="30618" xr:uid="{2CBF8B4F-080C-48C0-856B-19AEAE89837E}"/>
    <cellStyle name="20 % - Markeringsfarve3 3 2 3" xfId="30619" xr:uid="{427D7FB8-A2B5-4752-9ED3-6A798B2204F8}"/>
    <cellStyle name="20 % - Markeringsfarve3 3 2 3 2" xfId="30620" xr:uid="{357E2E2D-E0A2-45BD-843C-C21532A7E23E}"/>
    <cellStyle name="20 % - Markeringsfarve3 3 2 3 3" xfId="30621" xr:uid="{D0FFE73F-A868-45AE-BB4B-74BDE7583133}"/>
    <cellStyle name="20 % - Markeringsfarve3 3 2 4" xfId="30622" xr:uid="{CED331A3-AFFF-447F-A29D-C6E7AE3A4954}"/>
    <cellStyle name="20 % - Markeringsfarve3 3 2 4 2" xfId="30623" xr:uid="{AB99F14F-8365-410B-8FD9-EC3A3A367E85}"/>
    <cellStyle name="20 % - Markeringsfarve3 3 2 4 3" xfId="30624" xr:uid="{4EA16873-4021-4E63-971B-F05EA5D3A1CB}"/>
    <cellStyle name="20 % - Markeringsfarve3 3 2 5" xfId="30625" xr:uid="{5818D104-8504-4FE7-B255-3068D959BF9B}"/>
    <cellStyle name="20 % - Markeringsfarve3 3 2 5 2" xfId="30626" xr:uid="{64538737-1609-48B1-A646-2A8D5A220E5A}"/>
    <cellStyle name="20 % - Markeringsfarve3 3 2 5 3" xfId="30627" xr:uid="{9A90CD03-2F52-4635-9970-E347ED879B30}"/>
    <cellStyle name="20 % - Markeringsfarve3 3 2 6" xfId="30628" xr:uid="{93CAC5AC-DB38-405B-8FFE-F640558CA7B5}"/>
    <cellStyle name="20 % - Markeringsfarve3 3 2 6 2" xfId="30629" xr:uid="{DBD43D16-5E8B-44AD-AF98-E2709DCBB2B0}"/>
    <cellStyle name="20 % - Markeringsfarve3 3 2 6 3" xfId="30630" xr:uid="{55A7DA6C-EBFB-415D-AF93-531181ED2F0D}"/>
    <cellStyle name="20 % - Markeringsfarve3 3 2 7" xfId="30631" xr:uid="{1F9484B6-F679-4599-998B-21E60DAE7AD4}"/>
    <cellStyle name="20 % - Markeringsfarve3 3 2 7 2" xfId="30632" xr:uid="{35E824D8-E0C5-4140-BEAA-22242E9B3F9C}"/>
    <cellStyle name="20 % - Markeringsfarve3 3 2 8" xfId="30633" xr:uid="{AD6DB336-DBBB-40BA-8A94-04E3C372EF49}"/>
    <cellStyle name="20 % - Markeringsfarve3 3 3" xfId="30634" xr:uid="{4CFDD4A8-34FB-419B-A5E0-03A451FC1D97}"/>
    <cellStyle name="20 % - Markeringsfarve3 3 3 2" xfId="30635" xr:uid="{21CE5DF7-0A48-46ED-9BC7-9241EECFF412}"/>
    <cellStyle name="20 % - Markeringsfarve3 3 3 2 2" xfId="30636" xr:uid="{354644E8-B738-440E-BF05-CF843080162B}"/>
    <cellStyle name="20 % - Markeringsfarve3 3 3 2 3" xfId="30637" xr:uid="{E1A80A65-D8A9-40E3-A1D1-DD9CA23296BA}"/>
    <cellStyle name="20 % - Markeringsfarve3 3 3 3" xfId="30638" xr:uid="{4B767552-B69F-47DA-A345-055BA133883A}"/>
    <cellStyle name="20 % - Markeringsfarve3 3 3 3 2" xfId="30639" xr:uid="{D09535B1-36BB-4DCF-8942-08E5375741BD}"/>
    <cellStyle name="20 % - Markeringsfarve3 3 3 3 3" xfId="30640" xr:uid="{E14BA535-C532-4B82-B43C-A1386C9CB345}"/>
    <cellStyle name="20 % - Markeringsfarve3 3 3 4" xfId="30641" xr:uid="{E0C37B8B-51CC-44F7-87A8-312723821017}"/>
    <cellStyle name="20 % - Markeringsfarve3 3 3 4 2" xfId="30642" xr:uid="{DFDE1129-E6EF-4028-BDE3-2CD609EFA19E}"/>
    <cellStyle name="20 % - Markeringsfarve3 3 3 4 3" xfId="30643" xr:uid="{329703A8-7599-4751-9032-06F02A665879}"/>
    <cellStyle name="20 % - Markeringsfarve3 3 3 5" xfId="30644" xr:uid="{17501D6D-D5AE-4FAC-92F9-A792B2F96372}"/>
    <cellStyle name="20 % - Markeringsfarve3 3 3 5 2" xfId="30645" xr:uid="{A2084617-8A48-4275-958E-331AD5368D79}"/>
    <cellStyle name="20 % - Markeringsfarve3 3 3 5 3" xfId="30646" xr:uid="{FE4C074D-75C8-4578-B7E1-BBEC2A1E8AFF}"/>
    <cellStyle name="20 % - Markeringsfarve3 3 3 6" xfId="30647" xr:uid="{9F06E7BE-3E07-432F-A75E-DDEA4C888787}"/>
    <cellStyle name="20 % - Markeringsfarve3 3 3 6 2" xfId="30648" xr:uid="{E8ED444C-F91D-4612-A13C-C108B506E661}"/>
    <cellStyle name="20 % - Markeringsfarve3 3 3 6 3" xfId="30649" xr:uid="{B31B0D14-1761-4C5C-861E-E01A8BD5D316}"/>
    <cellStyle name="20 % - Markeringsfarve3 3 3 7" xfId="30650" xr:uid="{E36D1BE3-8400-4E40-BC8C-CD1D7E93B319}"/>
    <cellStyle name="20 % - Markeringsfarve3 3 3 7 2" xfId="30651" xr:uid="{B73CF6FE-B72A-4335-9A7B-6F759ABF9215}"/>
    <cellStyle name="20 % - Markeringsfarve3 3 3 8" xfId="30652" xr:uid="{D06349E0-E18D-4443-8B93-F5095E374FED}"/>
    <cellStyle name="20 % - Markeringsfarve3 3 4" xfId="30653" xr:uid="{A229F7FB-81BC-448A-960F-32DC51F48773}"/>
    <cellStyle name="20 % - Markeringsfarve3 3 4 2" xfId="30654" xr:uid="{8598FD50-9FD7-470A-98AB-6C7F4C9E7B2D}"/>
    <cellStyle name="20 % - Markeringsfarve3 3 4 3" xfId="30655" xr:uid="{491D13B1-BEDA-434B-ADAA-5F9F43501453}"/>
    <cellStyle name="20 % - Markeringsfarve3 3 5" xfId="30656" xr:uid="{451524F5-6299-45E4-AF26-DC1D2FF6388D}"/>
    <cellStyle name="20 % - Markeringsfarve3 3 5 2" xfId="30657" xr:uid="{A810A07C-A288-46DA-82C1-F679373EA715}"/>
    <cellStyle name="20 % - Markeringsfarve3 3 5 3" xfId="30658" xr:uid="{D5CE933F-5466-434E-B2EC-B7297C238C7C}"/>
    <cellStyle name="20 % - Markeringsfarve3 3 6" xfId="30659" xr:uid="{FB3859E9-2512-4223-973F-AE5F95B0765B}"/>
    <cellStyle name="20 % - Markeringsfarve3 3 6 2" xfId="30660" xr:uid="{F9CADC96-8FD2-4BA5-8A45-74B6FC52ED1C}"/>
    <cellStyle name="20 % - Markeringsfarve3 3 6 3" xfId="30661" xr:uid="{85B604F7-497F-4A74-904D-B01DB4307EF5}"/>
    <cellStyle name="20 % - Markeringsfarve3 3 7" xfId="30662" xr:uid="{1A6032EC-2269-45D5-A445-DEB146073331}"/>
    <cellStyle name="20 % - Markeringsfarve3 3 7 2" xfId="30663" xr:uid="{A0ECD616-5BF7-423C-BE92-F081A15BE54D}"/>
    <cellStyle name="20 % - Markeringsfarve3 3 7 3" xfId="30664" xr:uid="{E2D8A60F-22AB-4F57-A2A3-46B5FAD2172B}"/>
    <cellStyle name="20 % - Markeringsfarve3 3 8" xfId="30665" xr:uid="{4436687E-8AC9-4FA5-B0AE-BFDAFB1DF64A}"/>
    <cellStyle name="20 % - Markeringsfarve3 3 8 2" xfId="30666" xr:uid="{34143D6A-2BFB-497A-A630-548AC953727F}"/>
    <cellStyle name="20 % - Markeringsfarve3 3 8 3" xfId="30667" xr:uid="{5B55BB76-0E9A-4AEA-A7D8-8F03371D8FD9}"/>
    <cellStyle name="20 % - Markeringsfarve3 3 9" xfId="30668" xr:uid="{401D0C7B-5583-4E62-94BC-494898C56654}"/>
    <cellStyle name="20 % - Markeringsfarve3 3 9 2" xfId="30669" xr:uid="{6E962AAF-D66B-43D6-9F8C-02D4F1F8E38A}"/>
    <cellStyle name="20 % - Markeringsfarve3 4" xfId="23502" xr:uid="{9642BFC1-5187-49C7-AF11-1DCF150FD88F}"/>
    <cellStyle name="20 % - Markeringsfarve3 4 2" xfId="23503" xr:uid="{D1E6838E-1B34-4D86-B3FD-A9AB0C73FA6D}"/>
    <cellStyle name="20 % - Markeringsfarve3 4 2 2" xfId="30670" xr:uid="{B8E1FC65-464C-4B0F-8AF2-5828BF8315A1}"/>
    <cellStyle name="20 % - Markeringsfarve3 4 2 3" xfId="30671" xr:uid="{D4DE7362-3DFA-4C91-A0C3-2CD0A524E9B1}"/>
    <cellStyle name="20 % - Markeringsfarve3 4 3" xfId="30672" xr:uid="{F2E0AB79-35F3-4E13-BC2C-060198606AC0}"/>
    <cellStyle name="20 % - Markeringsfarve3 4 3 2" xfId="30673" xr:uid="{9ECF99A2-E49F-4E1A-8179-5E34958290D1}"/>
    <cellStyle name="20 % - Markeringsfarve3 4 3 3" xfId="30674" xr:uid="{2A3ECBCE-6766-487C-9BF1-A77F52CF8927}"/>
    <cellStyle name="20 % - Markeringsfarve3 4 4" xfId="30675" xr:uid="{77A012C7-B342-48A1-8EA8-5FB692C5392F}"/>
    <cellStyle name="20 % - Markeringsfarve3 4 4 2" xfId="30676" xr:uid="{856C9928-7A9E-4C66-991F-2603093C8670}"/>
    <cellStyle name="20 % - Markeringsfarve3 4 4 3" xfId="30677" xr:uid="{9D065062-7AFE-43EB-88A2-6259E36E32BB}"/>
    <cellStyle name="20 % - Markeringsfarve3 4 5" xfId="30678" xr:uid="{27BA8CB9-369B-4E3F-868A-D1D59A2FD4A0}"/>
    <cellStyle name="20 % - Markeringsfarve3 4 5 2" xfId="30679" xr:uid="{BEE0BEF2-1099-43A3-BED9-F01AC7589F3B}"/>
    <cellStyle name="20 % - Markeringsfarve3 4 5 3" xfId="30680" xr:uid="{8B0CEF43-DF42-4D0B-B9DB-33638FBB98ED}"/>
    <cellStyle name="20 % - Markeringsfarve3 4 6" xfId="30681" xr:uid="{8EA0AF9C-68C3-49FF-9ACA-0A78C65BE0BA}"/>
    <cellStyle name="20 % - Markeringsfarve3 4 6 2" xfId="30682" xr:uid="{DF6A8928-43BE-4DDE-95B2-F03CF3A09499}"/>
    <cellStyle name="20 % - Markeringsfarve3 4 6 3" xfId="30683" xr:uid="{0C10779E-8C08-4F12-B4A6-FAAAE06FB957}"/>
    <cellStyle name="20 % - Markeringsfarve3 4 7" xfId="30684" xr:uid="{6734BB8F-4C28-4647-839C-C5A4CD9DD2AE}"/>
    <cellStyle name="20 % - Markeringsfarve3 4 7 2" xfId="30685" xr:uid="{8D8A2126-61D1-442E-9CD8-721F5EAE5AF1}"/>
    <cellStyle name="20 % - Markeringsfarve3 4 8" xfId="30686" xr:uid="{7DA20B39-7877-4847-B28D-6462D5857D72}"/>
    <cellStyle name="20 % - Markeringsfarve3 5" xfId="23504" xr:uid="{D6A327F5-A7BE-42EB-BC9C-FAAB9058A70C}"/>
    <cellStyle name="20 % - Markeringsfarve3 5 2" xfId="23505" xr:uid="{905BE758-49D1-467C-885C-B50EEB63B8C2}"/>
    <cellStyle name="20 % - Markeringsfarve3 5 2 2" xfId="30687" xr:uid="{03772C10-E730-4B10-8BE1-EE40AC387312}"/>
    <cellStyle name="20 % - Markeringsfarve3 5 2 3" xfId="30688" xr:uid="{92630C21-AC5B-41CD-9493-2F7ADB11C88D}"/>
    <cellStyle name="20 % - Markeringsfarve3 5 3" xfId="30689" xr:uid="{6EDE850B-0D39-45B6-B971-370A656FE805}"/>
    <cellStyle name="20 % - Markeringsfarve3 5 3 2" xfId="30690" xr:uid="{8C9BD42B-779F-4A02-8D5D-C267A440E3AB}"/>
    <cellStyle name="20 % - Markeringsfarve3 5 3 3" xfId="30691" xr:uid="{48F5D908-9BA9-4984-BDE4-414D89DF66B3}"/>
    <cellStyle name="20 % - Markeringsfarve3 5 4" xfId="30692" xr:uid="{4999A083-F56B-4BD5-942E-AE2E26068FFF}"/>
    <cellStyle name="20 % - Markeringsfarve3 5 4 2" xfId="30693" xr:uid="{38F61F28-99FF-4099-9E31-C7DF5B0B3F6F}"/>
    <cellStyle name="20 % - Markeringsfarve3 5 4 3" xfId="30694" xr:uid="{7545E1BD-2BB0-49FA-8E40-77AF58620B8A}"/>
    <cellStyle name="20 % - Markeringsfarve3 5 5" xfId="30695" xr:uid="{2A3A4CD4-A1BD-481C-B97E-B5FBCF64B4B2}"/>
    <cellStyle name="20 % - Markeringsfarve3 5 5 2" xfId="30696" xr:uid="{0DB2F0E4-4085-420A-BB52-67E36D9B80E1}"/>
    <cellStyle name="20 % - Markeringsfarve3 5 5 3" xfId="30697" xr:uid="{57E749CA-9ACB-4ABA-B08F-2246E8B03E4E}"/>
    <cellStyle name="20 % - Markeringsfarve3 5 6" xfId="30698" xr:uid="{73C004EC-8949-4259-A3A1-ECF607A6601E}"/>
    <cellStyle name="20 % - Markeringsfarve3 5 6 2" xfId="30699" xr:uid="{E3071F3D-AB89-46BD-9DDC-0275C2C1CD4D}"/>
    <cellStyle name="20 % - Markeringsfarve3 5 6 3" xfId="30700" xr:uid="{FAB479E7-650A-4D2B-B0F0-C18994DE9A70}"/>
    <cellStyle name="20 % - Markeringsfarve3 5 7" xfId="30701" xr:uid="{C7028EBF-7521-4C9E-8774-12DB3235D326}"/>
    <cellStyle name="20 % - Markeringsfarve3 5 7 2" xfId="30702" xr:uid="{9478EAC2-3DDE-416A-B54E-1FAC52E34DA3}"/>
    <cellStyle name="20 % - Markeringsfarve3 5 8" xfId="30703" xr:uid="{53C8ECA8-CD80-4DA3-BEC5-6525A2595097}"/>
    <cellStyle name="20 % - Markeringsfarve3 6" xfId="23506" xr:uid="{7DA92D3F-4370-4797-9241-2E7D45CD6291}"/>
    <cellStyle name="20 % - Markeringsfarve3 6 2" xfId="23507" xr:uid="{617CF3ED-409F-450F-9B40-65B0762B7093}"/>
    <cellStyle name="20 % - Markeringsfarve3 6 2 2" xfId="30704" xr:uid="{BFA0AC2C-F3AC-4265-BF8F-3FA43446F40E}"/>
    <cellStyle name="20 % - Markeringsfarve3 6 2 3" xfId="30705" xr:uid="{DF804A8C-AA37-48FD-A6CC-5FE8B82F2B12}"/>
    <cellStyle name="20 % - Markeringsfarve3 6 3" xfId="30706" xr:uid="{805A9C0D-F011-4E96-B6CE-653958B92055}"/>
    <cellStyle name="20 % - Markeringsfarve3 6 4" xfId="30707" xr:uid="{B565CA76-F7D9-492E-B025-CEF326C54493}"/>
    <cellStyle name="20 % - Markeringsfarve3 7" xfId="23508" xr:uid="{63A02281-0E5E-4ADC-BB41-158CD8EC7359}"/>
    <cellStyle name="20 % - Markeringsfarve3 7 2" xfId="30708" xr:uid="{D018BAE3-678D-4CAB-A92B-EF4472E07326}"/>
    <cellStyle name="20 % - Markeringsfarve3 7 3" xfId="30709" xr:uid="{BE195745-D604-4207-8AA8-301E96B8F1F2}"/>
    <cellStyle name="20 % - Markeringsfarve3 8" xfId="30710" xr:uid="{9DFB114E-02D1-48AE-8A58-E055B75FF52F}"/>
    <cellStyle name="20 % - Markeringsfarve3 8 2" xfId="30711" xr:uid="{005BD7C4-B33D-4B17-A8B3-A1698CAFFBAE}"/>
    <cellStyle name="20 % - Markeringsfarve3 8 3" xfId="30712" xr:uid="{8D7919F7-2B60-491A-B769-9A9B1168371D}"/>
    <cellStyle name="20 % - Markeringsfarve3 9" xfId="30713" xr:uid="{0F7C5AE0-EC83-4E82-8B14-D3C11A4DA922}"/>
    <cellStyle name="20 % - Markeringsfarve3 9 2" xfId="30714" xr:uid="{C4216167-B7C1-4A7E-9C2E-BAE4F9B95DD9}"/>
    <cellStyle name="20 % - Markeringsfarve3 9 3" xfId="30715" xr:uid="{1DD7A714-8D5D-40C0-83C0-52FC7B516EC1}"/>
    <cellStyle name="20 % - Markeringsfarve4" xfId="1265" xr:uid="{00000000-0005-0000-0000-000006000000}"/>
    <cellStyle name="20 % - Markeringsfarve4 10" xfId="30716" xr:uid="{10F45A80-A961-4E4C-80D3-AF70002C861D}"/>
    <cellStyle name="20 % - Markeringsfarve4 10 2" xfId="30717" xr:uid="{C2A03FE7-518D-4FB2-84AA-B3CBAB88E077}"/>
    <cellStyle name="20 % - Markeringsfarve4 11" xfId="30718" xr:uid="{AFDDBBCC-2336-44F3-9552-8D9AC8812615}"/>
    <cellStyle name="20 % - Markeringsfarve4 12" xfId="17723" xr:uid="{AA23FA41-3073-4F01-8023-1EBBB0E57176}"/>
    <cellStyle name="20 % - Markeringsfarve4 2" xfId="1266" xr:uid="{00000000-0005-0000-0000-000007000000}"/>
    <cellStyle name="20 % - Markeringsfarve4 2 10" xfId="30719" xr:uid="{A12F9272-587B-4DBA-A281-C113E880B61F}"/>
    <cellStyle name="20 % - Markeringsfarve4 2 11" xfId="17724" xr:uid="{5F54CEDA-D680-4260-AEFC-D0D4710C2877}"/>
    <cellStyle name="20 % - Markeringsfarve4 2 2" xfId="23509" xr:uid="{B44B7212-9E03-4C64-B560-D5B86494130E}"/>
    <cellStyle name="20 % - Markeringsfarve4 2 2 2" xfId="23510" xr:uid="{B6DEE020-BBFD-4DDA-BCDF-5C29ED33BF29}"/>
    <cellStyle name="20 % - Markeringsfarve4 2 2 2 2" xfId="30720" xr:uid="{944AD7A3-632D-43D8-A88A-A370BBE9FE18}"/>
    <cellStyle name="20 % - Markeringsfarve4 2 2 2 3" xfId="30721" xr:uid="{00417209-9A89-43CE-BAEE-7698A3606EBF}"/>
    <cellStyle name="20 % - Markeringsfarve4 2 2 3" xfId="30722" xr:uid="{1BBB575F-908C-4232-804E-4ACCC1CC4B56}"/>
    <cellStyle name="20 % - Markeringsfarve4 2 2 3 2" xfId="30723" xr:uid="{1BD35A05-0393-4FC8-BFC5-EA49A85D3CBF}"/>
    <cellStyle name="20 % - Markeringsfarve4 2 2 3 3" xfId="30724" xr:uid="{691FE5FE-49FB-40F3-8F0F-9CE0C3A29792}"/>
    <cellStyle name="20 % - Markeringsfarve4 2 2 4" xfId="30725" xr:uid="{7857FFAB-04C5-483E-B8AE-F3A27056E868}"/>
    <cellStyle name="20 % - Markeringsfarve4 2 2 4 2" xfId="30726" xr:uid="{8AB6E39C-9E7E-44E7-B6EA-2A755748A03F}"/>
    <cellStyle name="20 % - Markeringsfarve4 2 2 4 3" xfId="30727" xr:uid="{A0F23273-F2A6-4889-B5A1-7894504898B9}"/>
    <cellStyle name="20 % - Markeringsfarve4 2 2 5" xfId="30728" xr:uid="{3F364F5E-7DAF-43F8-9366-10ECA3AD42BC}"/>
    <cellStyle name="20 % - Markeringsfarve4 2 2 5 2" xfId="30729" xr:uid="{588A74BA-C380-4491-BDB2-F61C66B572F5}"/>
    <cellStyle name="20 % - Markeringsfarve4 2 2 5 3" xfId="30730" xr:uid="{581AFD19-F7F6-4356-BBFE-4B4980C0CB78}"/>
    <cellStyle name="20 % - Markeringsfarve4 2 2 6" xfId="30731" xr:uid="{F2494B07-4A63-486C-9722-995C61167845}"/>
    <cellStyle name="20 % - Markeringsfarve4 2 2 6 2" xfId="30732" xr:uid="{3107B9CC-4159-4247-B535-0CEFE4AECC52}"/>
    <cellStyle name="20 % - Markeringsfarve4 2 2 6 3" xfId="30733" xr:uid="{4CFCBBEA-B889-4D0C-A1C0-08DD24367417}"/>
    <cellStyle name="20 % - Markeringsfarve4 2 2 7" xfId="30734" xr:uid="{E185C125-0C81-43FD-BF9E-579627669C36}"/>
    <cellStyle name="20 % - Markeringsfarve4 2 2 7 2" xfId="30735" xr:uid="{A61750F2-0D66-4033-9195-1BD7FBB40FE8}"/>
    <cellStyle name="20 % - Markeringsfarve4 2 2 8" xfId="30736" xr:uid="{B6C88812-7C9B-4584-B936-FE2D08F4DF63}"/>
    <cellStyle name="20 % - Markeringsfarve4 2 3" xfId="23511" xr:uid="{29C0D80A-6642-4F91-97F0-245891F52D66}"/>
    <cellStyle name="20 % - Markeringsfarve4 2 3 2" xfId="23512" xr:uid="{74516851-5442-44C1-B52F-15CB99E872CE}"/>
    <cellStyle name="20 % - Markeringsfarve4 2 3 2 2" xfId="30737" xr:uid="{9DA744C1-B4CC-4902-A513-EE53AE0BB236}"/>
    <cellStyle name="20 % - Markeringsfarve4 2 3 2 3" xfId="30738" xr:uid="{9836D709-25D5-4811-BAA3-4AFCDD1AFC03}"/>
    <cellStyle name="20 % - Markeringsfarve4 2 3 3" xfId="30739" xr:uid="{E77D2EDC-CA54-4490-BA04-F0EF289DBE0E}"/>
    <cellStyle name="20 % - Markeringsfarve4 2 3 3 2" xfId="30740" xr:uid="{B47C3A8B-1224-45B7-B531-1582CDA27F50}"/>
    <cellStyle name="20 % - Markeringsfarve4 2 3 3 3" xfId="30741" xr:uid="{AE38E7DE-DEDB-4D8B-822A-5D22E31D243C}"/>
    <cellStyle name="20 % - Markeringsfarve4 2 3 4" xfId="30742" xr:uid="{77E87570-8373-4052-9B99-C8947400A245}"/>
    <cellStyle name="20 % - Markeringsfarve4 2 3 4 2" xfId="30743" xr:uid="{C0808E71-31AF-402B-961D-028C3DD4CF9C}"/>
    <cellStyle name="20 % - Markeringsfarve4 2 3 4 3" xfId="30744" xr:uid="{C1817886-BA6F-466E-BDE5-39FBE586F0EF}"/>
    <cellStyle name="20 % - Markeringsfarve4 2 3 5" xfId="30745" xr:uid="{4394856F-97BD-4E11-9A11-D7B925148F7E}"/>
    <cellStyle name="20 % - Markeringsfarve4 2 3 5 2" xfId="30746" xr:uid="{0261B2E9-68ED-45D1-8483-322DEB99F6E0}"/>
    <cellStyle name="20 % - Markeringsfarve4 2 3 5 3" xfId="30747" xr:uid="{AFB4AF16-796B-40A9-98A6-80374393A433}"/>
    <cellStyle name="20 % - Markeringsfarve4 2 3 6" xfId="30748" xr:uid="{B6C6D7A8-5A7A-42EA-BF2C-267B35C9358F}"/>
    <cellStyle name="20 % - Markeringsfarve4 2 3 6 2" xfId="30749" xr:uid="{1C65FCF6-9E3C-4462-8BB2-6529B3759254}"/>
    <cellStyle name="20 % - Markeringsfarve4 2 3 6 3" xfId="30750" xr:uid="{F2BDCFCF-68AC-4E64-91EF-1D22A7964C5C}"/>
    <cellStyle name="20 % - Markeringsfarve4 2 3 7" xfId="30751" xr:uid="{BA4F6D50-72C6-4566-A377-D8DF517EEBEA}"/>
    <cellStyle name="20 % - Markeringsfarve4 2 3 7 2" xfId="30752" xr:uid="{52EDCDF9-ABA4-4C19-9726-D5B724D13E66}"/>
    <cellStyle name="20 % - Markeringsfarve4 2 3 8" xfId="30753" xr:uid="{E53F7F9C-4363-46C8-9586-433AB4430C07}"/>
    <cellStyle name="20 % - Markeringsfarve4 2 4" xfId="23513" xr:uid="{5E71F09B-6F68-435B-B177-2839206F71FE}"/>
    <cellStyle name="20 % - Markeringsfarve4 2 4 2" xfId="30754" xr:uid="{577ABD1B-B8CD-47F0-8941-C317BEEAE4F0}"/>
    <cellStyle name="20 % - Markeringsfarve4 2 4 3" xfId="30755" xr:uid="{91609C46-4475-4A91-A66C-A760A8637100}"/>
    <cellStyle name="20 % - Markeringsfarve4 2 5" xfId="30756" xr:uid="{C01DBC8A-DEBB-4FEE-9CE3-FAB47DC11F5C}"/>
    <cellStyle name="20 % - Markeringsfarve4 2 5 2" xfId="30757" xr:uid="{06258D1B-FB47-4F6C-873A-2CDABB3398F7}"/>
    <cellStyle name="20 % - Markeringsfarve4 2 5 3" xfId="30758" xr:uid="{FAA744E8-A68D-4EF9-8972-132713FC9BCA}"/>
    <cellStyle name="20 % - Markeringsfarve4 2 6" xfId="30759" xr:uid="{5BA7CC65-53C4-46F3-AD89-858ECCACF353}"/>
    <cellStyle name="20 % - Markeringsfarve4 2 6 2" xfId="30760" xr:uid="{84991C0B-4F10-4334-870D-3E3668C348D1}"/>
    <cellStyle name="20 % - Markeringsfarve4 2 6 3" xfId="30761" xr:uid="{7C8A045E-7ADE-48F9-9EBC-D40E88588485}"/>
    <cellStyle name="20 % - Markeringsfarve4 2 7" xfId="30762" xr:uid="{2ECCAB0E-6B34-4AE4-B6C0-9DD30BAA2826}"/>
    <cellStyle name="20 % - Markeringsfarve4 2 7 2" xfId="30763" xr:uid="{0C98BFF9-160F-43BE-B64C-6A0E4CB0CA23}"/>
    <cellStyle name="20 % - Markeringsfarve4 2 7 3" xfId="30764" xr:uid="{83AAD639-04A7-4423-ABB6-7BE96A69C07D}"/>
    <cellStyle name="20 % - Markeringsfarve4 2 8" xfId="30765" xr:uid="{48B80C9E-5267-4B47-A50F-9E89F60D69D7}"/>
    <cellStyle name="20 % - Markeringsfarve4 2 8 2" xfId="30766" xr:uid="{D006B080-B765-491C-9A70-6F07C90223B8}"/>
    <cellStyle name="20 % - Markeringsfarve4 2 8 3" xfId="30767" xr:uid="{9C6FD6EE-238A-46B6-AB94-BDC65D0D8630}"/>
    <cellStyle name="20 % - Markeringsfarve4 2 9" xfId="30768" xr:uid="{6435A37A-79FA-44CF-BCBB-66CE94F534A8}"/>
    <cellStyle name="20 % - Markeringsfarve4 2 9 2" xfId="30769" xr:uid="{39878A1C-2C2B-4E24-9156-98806FCAC101}"/>
    <cellStyle name="20 % - Markeringsfarve4 3" xfId="2588" xr:uid="{FA2BC2EA-70C8-4419-A7C4-5B4C20F7E1CB}"/>
    <cellStyle name="20 % - Markeringsfarve4 3 10" xfId="30770" xr:uid="{93529D16-2F51-4ABE-92BC-BDA2C136E545}"/>
    <cellStyle name="20 % - Markeringsfarve4 3 2" xfId="23514" xr:uid="{31AC4709-C650-4F4D-BC47-3ABB9838D635}"/>
    <cellStyle name="20 % - Markeringsfarve4 3 2 2" xfId="30771" xr:uid="{2E234536-8383-4B37-935B-A52BD725AC89}"/>
    <cellStyle name="20 % - Markeringsfarve4 3 2 2 2" xfId="30772" xr:uid="{230925EC-4CF2-4C9F-9309-ECC026D9CD6D}"/>
    <cellStyle name="20 % - Markeringsfarve4 3 2 2 3" xfId="30773" xr:uid="{7E9788C9-5CD7-46B4-886E-6193067FF5CE}"/>
    <cellStyle name="20 % - Markeringsfarve4 3 2 3" xfId="30774" xr:uid="{DD43218F-8B89-4969-85E2-BF604CCA0369}"/>
    <cellStyle name="20 % - Markeringsfarve4 3 2 3 2" xfId="30775" xr:uid="{4EF8FB04-4A98-45FB-A977-F29600094371}"/>
    <cellStyle name="20 % - Markeringsfarve4 3 2 3 3" xfId="30776" xr:uid="{5E20A330-70AB-430D-B0D9-9C7E307A90C6}"/>
    <cellStyle name="20 % - Markeringsfarve4 3 2 4" xfId="30777" xr:uid="{FFD670BA-1412-4AEA-8315-69DC4E5830EB}"/>
    <cellStyle name="20 % - Markeringsfarve4 3 2 4 2" xfId="30778" xr:uid="{4347C1CE-5475-41EB-8339-15291A47AC65}"/>
    <cellStyle name="20 % - Markeringsfarve4 3 2 4 3" xfId="30779" xr:uid="{CBBBDC65-1C90-4544-BBAC-2182001576B7}"/>
    <cellStyle name="20 % - Markeringsfarve4 3 2 5" xfId="30780" xr:uid="{BAF60834-380F-4583-B99E-1740BF20D7C9}"/>
    <cellStyle name="20 % - Markeringsfarve4 3 2 5 2" xfId="30781" xr:uid="{B0FCE032-4AE1-44B3-928C-C694F4BDE581}"/>
    <cellStyle name="20 % - Markeringsfarve4 3 2 5 3" xfId="30782" xr:uid="{FDF90241-5184-4377-9DBA-0018D5797FF3}"/>
    <cellStyle name="20 % - Markeringsfarve4 3 2 6" xfId="30783" xr:uid="{1B6BB51C-E690-4308-B3D2-AED58333D966}"/>
    <cellStyle name="20 % - Markeringsfarve4 3 2 6 2" xfId="30784" xr:uid="{F223FAB7-35EE-4523-9D0A-0198754518B9}"/>
    <cellStyle name="20 % - Markeringsfarve4 3 2 6 3" xfId="30785" xr:uid="{40BC6857-32DA-4D6A-ADAB-124C0F7D09FB}"/>
    <cellStyle name="20 % - Markeringsfarve4 3 2 7" xfId="30786" xr:uid="{69B9F1DA-9720-4C1A-B003-58B29FC76B33}"/>
    <cellStyle name="20 % - Markeringsfarve4 3 2 7 2" xfId="30787" xr:uid="{F8DC72A0-0129-44DD-9EEE-C44E8C63C700}"/>
    <cellStyle name="20 % - Markeringsfarve4 3 2 8" xfId="30788" xr:uid="{A97A8CFB-DA57-4FCB-8EAC-A2E2ED32D359}"/>
    <cellStyle name="20 % - Markeringsfarve4 3 3" xfId="30789" xr:uid="{AFD8BA24-E3D5-4B2C-A06A-05749511A016}"/>
    <cellStyle name="20 % - Markeringsfarve4 3 3 2" xfId="30790" xr:uid="{CA2BFC33-C465-4E16-B84C-2E64FADB2BF1}"/>
    <cellStyle name="20 % - Markeringsfarve4 3 3 2 2" xfId="30791" xr:uid="{62330454-D4B2-4CED-8CF0-3AFD2D7A4979}"/>
    <cellStyle name="20 % - Markeringsfarve4 3 3 2 3" xfId="30792" xr:uid="{5DFA46E6-9FBD-4CD1-BBC0-EAADDB1B8E08}"/>
    <cellStyle name="20 % - Markeringsfarve4 3 3 3" xfId="30793" xr:uid="{97E69857-A03E-4E40-B44B-551400B6915B}"/>
    <cellStyle name="20 % - Markeringsfarve4 3 3 3 2" xfId="30794" xr:uid="{69A7F8CF-12FE-4481-A67C-F75C08D4A2B1}"/>
    <cellStyle name="20 % - Markeringsfarve4 3 3 3 3" xfId="30795" xr:uid="{9048D394-F25E-4041-9536-EFB44EFC4040}"/>
    <cellStyle name="20 % - Markeringsfarve4 3 3 4" xfId="30796" xr:uid="{02ADF0EA-466E-4CFF-BB8A-B7F3535EB377}"/>
    <cellStyle name="20 % - Markeringsfarve4 3 3 4 2" xfId="30797" xr:uid="{44D1D2CE-97EB-48B5-819D-6DFE568873BE}"/>
    <cellStyle name="20 % - Markeringsfarve4 3 3 4 3" xfId="30798" xr:uid="{4C832B97-452B-478D-A1BD-EA647AC3CF27}"/>
    <cellStyle name="20 % - Markeringsfarve4 3 3 5" xfId="30799" xr:uid="{C8EBEAAF-6289-4864-B575-AEDDB3CDAE26}"/>
    <cellStyle name="20 % - Markeringsfarve4 3 3 5 2" xfId="30800" xr:uid="{59101D5D-6CAA-4D98-AA1E-249E735DFA59}"/>
    <cellStyle name="20 % - Markeringsfarve4 3 3 5 3" xfId="30801" xr:uid="{4D94E36E-BF48-490E-B6AA-A87A7A90F356}"/>
    <cellStyle name="20 % - Markeringsfarve4 3 3 6" xfId="30802" xr:uid="{5504A015-67AB-46D1-BFDC-1EF90B99CE28}"/>
    <cellStyle name="20 % - Markeringsfarve4 3 3 6 2" xfId="30803" xr:uid="{DAD20A40-ED65-4194-A8C8-21DAEBC8AEDB}"/>
    <cellStyle name="20 % - Markeringsfarve4 3 3 6 3" xfId="30804" xr:uid="{8B444191-19FD-43A4-861A-198C076B93FC}"/>
    <cellStyle name="20 % - Markeringsfarve4 3 3 7" xfId="30805" xr:uid="{C932AA3D-7D00-4CD9-9D3A-9A90B3DE3AF6}"/>
    <cellStyle name="20 % - Markeringsfarve4 3 3 7 2" xfId="30806" xr:uid="{F59FDB7D-00CC-4B38-BE53-EFB4C1AF11B5}"/>
    <cellStyle name="20 % - Markeringsfarve4 3 3 8" xfId="30807" xr:uid="{03373BF9-B484-4D0E-B4DF-07DC1DCD5FA7}"/>
    <cellStyle name="20 % - Markeringsfarve4 3 4" xfId="30808" xr:uid="{7EC42613-CE36-49D2-84B4-50A4681CA8EE}"/>
    <cellStyle name="20 % - Markeringsfarve4 3 4 2" xfId="30809" xr:uid="{087A2EA2-4C52-43C9-A2AC-4E879FAAAD6D}"/>
    <cellStyle name="20 % - Markeringsfarve4 3 4 3" xfId="30810" xr:uid="{6A44BDD3-5CBB-46D8-8E66-D83067565037}"/>
    <cellStyle name="20 % - Markeringsfarve4 3 5" xfId="30811" xr:uid="{B8286952-36ED-448F-91EB-F12112DCC610}"/>
    <cellStyle name="20 % - Markeringsfarve4 3 5 2" xfId="30812" xr:uid="{A6803734-C2D7-4DC2-8CD7-731B4FC42213}"/>
    <cellStyle name="20 % - Markeringsfarve4 3 5 3" xfId="30813" xr:uid="{B2AEA8B1-459D-499F-BB61-2656D1D92293}"/>
    <cellStyle name="20 % - Markeringsfarve4 3 6" xfId="30814" xr:uid="{6F3528D6-609E-42AC-A68D-DC109AF62F1A}"/>
    <cellStyle name="20 % - Markeringsfarve4 3 6 2" xfId="30815" xr:uid="{522563C3-A37A-4FB6-AE92-A389B9EC1EC4}"/>
    <cellStyle name="20 % - Markeringsfarve4 3 6 3" xfId="30816" xr:uid="{49671B4B-947F-4E57-923E-BDF32749FD9E}"/>
    <cellStyle name="20 % - Markeringsfarve4 3 7" xfId="30817" xr:uid="{6035B7CA-CF38-4D77-9D27-1055E760FA74}"/>
    <cellStyle name="20 % - Markeringsfarve4 3 7 2" xfId="30818" xr:uid="{80E8549F-1513-4BFD-AC76-0339FF47A51D}"/>
    <cellStyle name="20 % - Markeringsfarve4 3 7 3" xfId="30819" xr:uid="{0CF7C308-D3BD-4563-90BB-77E7D791B83B}"/>
    <cellStyle name="20 % - Markeringsfarve4 3 8" xfId="30820" xr:uid="{EA8D404C-4E43-43F9-9F5D-A2B3A221E60F}"/>
    <cellStyle name="20 % - Markeringsfarve4 3 8 2" xfId="30821" xr:uid="{F561DE53-8E98-4CBB-A7EB-14A52FD5DBDF}"/>
    <cellStyle name="20 % - Markeringsfarve4 3 8 3" xfId="30822" xr:uid="{6A10928E-FCFA-428A-925D-D7F980A97AC0}"/>
    <cellStyle name="20 % - Markeringsfarve4 3 9" xfId="30823" xr:uid="{585B976B-5779-47CB-B004-D82EEF268305}"/>
    <cellStyle name="20 % - Markeringsfarve4 3 9 2" xfId="30824" xr:uid="{FA4CB637-282C-45CC-B231-446EFE7C0E15}"/>
    <cellStyle name="20 % - Markeringsfarve4 4" xfId="23515" xr:uid="{210BCE37-01EF-4184-8EB8-1B3FD6C79871}"/>
    <cellStyle name="20 % - Markeringsfarve4 4 2" xfId="23516" xr:uid="{525BE00E-E608-4908-A5A6-6623F696BD84}"/>
    <cellStyle name="20 % - Markeringsfarve4 4 2 2" xfId="30825" xr:uid="{776F431F-0B37-4382-AFAC-26CAC60931F7}"/>
    <cellStyle name="20 % - Markeringsfarve4 4 2 3" xfId="30826" xr:uid="{7FA18EF3-5FCA-43DA-A59B-F233F12CA190}"/>
    <cellStyle name="20 % - Markeringsfarve4 4 3" xfId="30827" xr:uid="{8196FD17-2B6C-48CB-B7CD-20B898C873E1}"/>
    <cellStyle name="20 % - Markeringsfarve4 4 3 2" xfId="30828" xr:uid="{1C45C061-99A0-4799-8A39-76B6DFF3C438}"/>
    <cellStyle name="20 % - Markeringsfarve4 4 3 3" xfId="30829" xr:uid="{7282CDEF-4BA0-4D77-B2CD-F99CD5F1AA09}"/>
    <cellStyle name="20 % - Markeringsfarve4 4 4" xfId="30830" xr:uid="{0F1E049F-0260-4BFA-A075-BC493D3B3D38}"/>
    <cellStyle name="20 % - Markeringsfarve4 4 4 2" xfId="30831" xr:uid="{56C521F2-C5F9-4460-9B9F-1017D7904A51}"/>
    <cellStyle name="20 % - Markeringsfarve4 4 4 3" xfId="30832" xr:uid="{8B5D0A84-44A6-45AF-B797-0CCA31DAFA83}"/>
    <cellStyle name="20 % - Markeringsfarve4 4 5" xfId="30833" xr:uid="{88B7094B-DD81-47A5-BC98-716899844B97}"/>
    <cellStyle name="20 % - Markeringsfarve4 4 5 2" xfId="30834" xr:uid="{CA19E63E-F2ED-4A6D-B0AF-EE35D99D696A}"/>
    <cellStyle name="20 % - Markeringsfarve4 4 5 3" xfId="30835" xr:uid="{2E0B2EDE-0379-4C74-BF3A-603DF208D3B6}"/>
    <cellStyle name="20 % - Markeringsfarve4 4 6" xfId="30836" xr:uid="{4B4C6DD6-5BFE-49BD-8CDA-DE35A4311CDB}"/>
    <cellStyle name="20 % - Markeringsfarve4 4 6 2" xfId="30837" xr:uid="{4EF933C2-12CD-4B84-8CA5-2E37C4A4839A}"/>
    <cellStyle name="20 % - Markeringsfarve4 4 6 3" xfId="30838" xr:uid="{8E1C3577-73EF-490C-BC99-67D5B1B97A2B}"/>
    <cellStyle name="20 % - Markeringsfarve4 4 7" xfId="30839" xr:uid="{D670E7EF-E549-4E68-A248-781287642BEE}"/>
    <cellStyle name="20 % - Markeringsfarve4 4 7 2" xfId="30840" xr:uid="{0021DB1D-3E53-4969-BEF8-3ABD682B5104}"/>
    <cellStyle name="20 % - Markeringsfarve4 4 8" xfId="30841" xr:uid="{5001619E-1836-49F3-ABD4-1BA5B63EA56F}"/>
    <cellStyle name="20 % - Markeringsfarve4 5" xfId="23517" xr:uid="{53B12592-33FA-4A66-AB94-2C15D90734A4}"/>
    <cellStyle name="20 % - Markeringsfarve4 5 2" xfId="23518" xr:uid="{0E597F01-E963-4B43-8EB3-D54627C89DB4}"/>
    <cellStyle name="20 % - Markeringsfarve4 5 2 2" xfId="30842" xr:uid="{5510A386-B817-4FFD-A935-41B28CD78EE0}"/>
    <cellStyle name="20 % - Markeringsfarve4 5 2 3" xfId="30843" xr:uid="{7299F4AC-732E-4B92-9E97-BBF9F6D76073}"/>
    <cellStyle name="20 % - Markeringsfarve4 5 3" xfId="30844" xr:uid="{A6F6FA65-B104-4197-8BF3-28D914002EE2}"/>
    <cellStyle name="20 % - Markeringsfarve4 5 3 2" xfId="30845" xr:uid="{20339B54-838A-46B8-948B-DD071E8CAFF8}"/>
    <cellStyle name="20 % - Markeringsfarve4 5 3 3" xfId="30846" xr:uid="{2FDA8933-DD5C-44B3-9CC9-01C64C4FDB87}"/>
    <cellStyle name="20 % - Markeringsfarve4 5 4" xfId="30847" xr:uid="{C2365058-2D76-405E-9ABE-E39AAF6150BC}"/>
    <cellStyle name="20 % - Markeringsfarve4 5 4 2" xfId="30848" xr:uid="{72695F80-15DD-41CA-BED2-46E3053A3CA6}"/>
    <cellStyle name="20 % - Markeringsfarve4 5 4 3" xfId="30849" xr:uid="{DF331A8A-0C91-4131-8D82-C2FB3BAA6248}"/>
    <cellStyle name="20 % - Markeringsfarve4 5 5" xfId="30850" xr:uid="{8185B991-9338-44BE-9F03-C60F1F9DDB01}"/>
    <cellStyle name="20 % - Markeringsfarve4 5 5 2" xfId="30851" xr:uid="{4806CE00-58DD-44FE-8B84-D3B837215C3E}"/>
    <cellStyle name="20 % - Markeringsfarve4 5 5 3" xfId="30852" xr:uid="{BA7A5934-7ACD-4F50-B224-ACCCDECBECCF}"/>
    <cellStyle name="20 % - Markeringsfarve4 5 6" xfId="30853" xr:uid="{9B0DA2A4-F7AF-4A5B-86D6-F2A3E0B2856A}"/>
    <cellStyle name="20 % - Markeringsfarve4 5 6 2" xfId="30854" xr:uid="{825016AC-A7D7-4A6F-BC7E-2A62DAC66B22}"/>
    <cellStyle name="20 % - Markeringsfarve4 5 6 3" xfId="30855" xr:uid="{40593D60-ED05-464F-A711-39DC3DD73CCD}"/>
    <cellStyle name="20 % - Markeringsfarve4 5 7" xfId="30856" xr:uid="{3D8847FC-CA12-4F3C-BCFA-1EBFF76A71A3}"/>
    <cellStyle name="20 % - Markeringsfarve4 5 7 2" xfId="30857" xr:uid="{D3569462-84EF-4B6A-AEDB-9EC18C6AB09F}"/>
    <cellStyle name="20 % - Markeringsfarve4 5 8" xfId="30858" xr:uid="{F41FF878-F3F7-49F3-AC62-FB83DB113757}"/>
    <cellStyle name="20 % - Markeringsfarve4 6" xfId="23519" xr:uid="{9CACDB51-0B41-4649-8FC4-A9DF022FD21E}"/>
    <cellStyle name="20 % - Markeringsfarve4 6 2" xfId="23520" xr:uid="{D080775D-7B9F-465B-ABEC-A0C97BDB9516}"/>
    <cellStyle name="20 % - Markeringsfarve4 6 2 2" xfId="30859" xr:uid="{B1CD0056-13ED-4A1B-8289-6C5E5000C1A5}"/>
    <cellStyle name="20 % - Markeringsfarve4 6 2 3" xfId="30860" xr:uid="{44A347B9-CBEB-4DD4-AE05-DE95E13F8AED}"/>
    <cellStyle name="20 % - Markeringsfarve4 6 3" xfId="30861" xr:uid="{F72EDEF5-CE12-461A-A596-4EB6855A9DB9}"/>
    <cellStyle name="20 % - Markeringsfarve4 6 4" xfId="30862" xr:uid="{0F2A51E4-7839-4A28-A7F5-1BD9CB60A45C}"/>
    <cellStyle name="20 % - Markeringsfarve4 7" xfId="23521" xr:uid="{ABCE4E8B-689F-4FB1-B3C4-C3615D211249}"/>
    <cellStyle name="20 % - Markeringsfarve4 7 2" xfId="30863" xr:uid="{2C017546-DC86-4B0C-BFD4-657642516E2E}"/>
    <cellStyle name="20 % - Markeringsfarve4 7 3" xfId="30864" xr:uid="{F2D5B4CE-AB0D-4E3A-88A5-12A402EAD36D}"/>
    <cellStyle name="20 % - Markeringsfarve4 8" xfId="30865" xr:uid="{878F3404-9F73-4766-8179-10D4303006F1}"/>
    <cellStyle name="20 % - Markeringsfarve4 8 2" xfId="30866" xr:uid="{B8ADB360-2C7E-4A2A-B51A-6404145B2954}"/>
    <cellStyle name="20 % - Markeringsfarve4 8 3" xfId="30867" xr:uid="{25A98A22-63FC-458B-9A79-E85EB146982F}"/>
    <cellStyle name="20 % - Markeringsfarve4 9" xfId="30868" xr:uid="{18A5AF08-BDB2-41A2-B69E-F583703A51DC}"/>
    <cellStyle name="20 % - Markeringsfarve4 9 2" xfId="30869" xr:uid="{6DDFEFEC-E020-48DC-89CF-72BC78D5D0A7}"/>
    <cellStyle name="20 % - Markeringsfarve4 9 3" xfId="30870" xr:uid="{94FB692E-86C4-426D-8FF0-86949C77440C}"/>
    <cellStyle name="20 % - Markeringsfarve5" xfId="1267" xr:uid="{00000000-0005-0000-0000-000008000000}"/>
    <cellStyle name="20 % - Markeringsfarve5 10" xfId="30871" xr:uid="{7F026E19-D0EA-4AC8-989C-56677445257C}"/>
    <cellStyle name="20 % - Markeringsfarve5 10 2" xfId="30872" xr:uid="{4CE4C340-5AD8-422F-97EC-CBE7416C8247}"/>
    <cellStyle name="20 % - Markeringsfarve5 10 3" xfId="30873" xr:uid="{AB046B27-915B-43D1-8BF7-94DCE64E9EA9}"/>
    <cellStyle name="20 % - Markeringsfarve5 11" xfId="30874" xr:uid="{D02CC2AC-00C4-43AB-8C8D-2ABF2388C253}"/>
    <cellStyle name="20 % - Markeringsfarve5 11 2" xfId="30875" xr:uid="{D0788480-F791-4D16-890F-E836E0A21671}"/>
    <cellStyle name="20 % - Markeringsfarve5 12" xfId="30876" xr:uid="{2AAC7A56-8869-423A-A0D9-C8A0190A9C65}"/>
    <cellStyle name="20 % - Markeringsfarve5 13" xfId="17725" xr:uid="{30AE7A6C-B36F-4381-8168-94F90BF85C3D}"/>
    <cellStyle name="20 % - Markeringsfarve5 2" xfId="1268" xr:uid="{00000000-0005-0000-0000-000009000000}"/>
    <cellStyle name="20 % - Markeringsfarve5 2 10" xfId="30877" xr:uid="{51DD74C5-D37E-445A-AC94-B8E5A49F49B2}"/>
    <cellStyle name="20 % - Markeringsfarve5 2 11" xfId="17726" xr:uid="{8EF6A82B-FB15-4167-A799-F6CE91C67A1A}"/>
    <cellStyle name="20 % - Markeringsfarve5 2 2" xfId="23522" xr:uid="{0AD83951-4E72-4DC8-9E6C-D88991FA1571}"/>
    <cellStyle name="20 % - Markeringsfarve5 2 2 2" xfId="23523" xr:uid="{9E8F0E33-3DDA-4B29-94A5-28E67ECA9C5E}"/>
    <cellStyle name="20 % - Markeringsfarve5 2 2 2 2" xfId="30878" xr:uid="{08741790-4509-46EF-8638-2EA5712BF674}"/>
    <cellStyle name="20 % - Markeringsfarve5 2 2 2 3" xfId="30879" xr:uid="{2F95A15A-381C-48B0-A678-DFC3C6BE4E39}"/>
    <cellStyle name="20 % - Markeringsfarve5 2 2 3" xfId="30880" xr:uid="{39EA546D-8908-43E0-8D14-E787F29B7060}"/>
    <cellStyle name="20 % - Markeringsfarve5 2 2 3 2" xfId="30881" xr:uid="{7120384C-B9BC-410A-86BC-116C6B9FBA02}"/>
    <cellStyle name="20 % - Markeringsfarve5 2 2 3 3" xfId="30882" xr:uid="{3C47D7B4-4E7F-42D9-A762-2EE98FBBF8E2}"/>
    <cellStyle name="20 % - Markeringsfarve5 2 2 4" xfId="30883" xr:uid="{3EA211D4-931B-4C68-A631-87D92781EB48}"/>
    <cellStyle name="20 % - Markeringsfarve5 2 2 4 2" xfId="30884" xr:uid="{AA470512-83D0-4539-9A0A-B624E3FF67BF}"/>
    <cellStyle name="20 % - Markeringsfarve5 2 2 4 3" xfId="30885" xr:uid="{9ECE4473-AD31-4A7E-B69A-5861C8053578}"/>
    <cellStyle name="20 % - Markeringsfarve5 2 2 5" xfId="30886" xr:uid="{954F4D23-06A3-4BE5-BDE6-311F27432B10}"/>
    <cellStyle name="20 % - Markeringsfarve5 2 2 5 2" xfId="30887" xr:uid="{ECAB8B72-4C46-4A35-99F9-1858724D0EC4}"/>
    <cellStyle name="20 % - Markeringsfarve5 2 2 5 3" xfId="30888" xr:uid="{0649E7F8-90DC-4182-9FAB-68AFC3788425}"/>
    <cellStyle name="20 % - Markeringsfarve5 2 2 6" xfId="30889" xr:uid="{E9D9E129-9E2E-4AA6-88D4-54A90F7938D0}"/>
    <cellStyle name="20 % - Markeringsfarve5 2 2 6 2" xfId="30890" xr:uid="{46EB555C-956B-4687-98B2-E5FD2E0DDCBF}"/>
    <cellStyle name="20 % - Markeringsfarve5 2 2 6 3" xfId="30891" xr:uid="{6121AAC8-EAB2-4A14-996C-39F36B2FCC82}"/>
    <cellStyle name="20 % - Markeringsfarve5 2 2 7" xfId="30892" xr:uid="{5320F684-A6C9-46D2-9592-B53EFD259508}"/>
    <cellStyle name="20 % - Markeringsfarve5 2 2 7 2" xfId="30893" xr:uid="{E46E18AD-4B51-4934-AC6E-28300EFF2E00}"/>
    <cellStyle name="20 % - Markeringsfarve5 2 2 8" xfId="30894" xr:uid="{84E664F9-4271-4975-8A24-BFA48634252D}"/>
    <cellStyle name="20 % - Markeringsfarve5 2 3" xfId="23524" xr:uid="{8C0D3148-8037-4A8C-8202-AB3159335932}"/>
    <cellStyle name="20 % - Markeringsfarve5 2 3 2" xfId="23525" xr:uid="{5D82D755-0356-48CE-BBBC-961D39A568F1}"/>
    <cellStyle name="20 % - Markeringsfarve5 2 3 2 2" xfId="30895" xr:uid="{866BD609-8F26-40EA-9A44-EC27A27BEA70}"/>
    <cellStyle name="20 % - Markeringsfarve5 2 3 2 3" xfId="30896" xr:uid="{55DEC528-1C1E-4EC1-B536-3F8832D47545}"/>
    <cellStyle name="20 % - Markeringsfarve5 2 3 3" xfId="30897" xr:uid="{A67A1CAC-6AF9-4E13-8A1C-8CBAAE863F34}"/>
    <cellStyle name="20 % - Markeringsfarve5 2 3 3 2" xfId="30898" xr:uid="{E9536268-69B2-44E1-8144-1FCC8C9BA1C6}"/>
    <cellStyle name="20 % - Markeringsfarve5 2 3 3 3" xfId="30899" xr:uid="{027D7739-01E2-472B-B500-DA0FC18B111E}"/>
    <cellStyle name="20 % - Markeringsfarve5 2 3 4" xfId="30900" xr:uid="{429B9C0E-58D1-42E4-83EB-9CFDB585ACBE}"/>
    <cellStyle name="20 % - Markeringsfarve5 2 3 4 2" xfId="30901" xr:uid="{FB79CA83-E375-418D-BD9C-379BCC6F0689}"/>
    <cellStyle name="20 % - Markeringsfarve5 2 3 4 3" xfId="30902" xr:uid="{702AD685-CFFC-44A5-BEE6-38383A5EBE78}"/>
    <cellStyle name="20 % - Markeringsfarve5 2 3 5" xfId="30903" xr:uid="{4D2D7FAF-2E1E-4F2C-8F27-5ABAAEF3B7B0}"/>
    <cellStyle name="20 % - Markeringsfarve5 2 3 5 2" xfId="30904" xr:uid="{9076691B-2688-4495-8B7F-BCD4E263683C}"/>
    <cellStyle name="20 % - Markeringsfarve5 2 3 5 3" xfId="30905" xr:uid="{F7C8ED78-7A30-42F3-9BDB-98EF65152D98}"/>
    <cellStyle name="20 % - Markeringsfarve5 2 3 6" xfId="30906" xr:uid="{454191B3-C711-47E8-A756-2A4A839FA4FB}"/>
    <cellStyle name="20 % - Markeringsfarve5 2 3 6 2" xfId="30907" xr:uid="{BC777AAF-1B04-4236-AF2B-3DB215637B90}"/>
    <cellStyle name="20 % - Markeringsfarve5 2 3 6 3" xfId="30908" xr:uid="{D0139AAC-FA4A-4F28-A680-CB8EFCA5E04A}"/>
    <cellStyle name="20 % - Markeringsfarve5 2 3 7" xfId="30909" xr:uid="{90F669F0-7F20-4784-83C1-96978E380FD0}"/>
    <cellStyle name="20 % - Markeringsfarve5 2 3 7 2" xfId="30910" xr:uid="{E9D08890-6CC4-47DC-AE90-8EE916DE670D}"/>
    <cellStyle name="20 % - Markeringsfarve5 2 3 8" xfId="30911" xr:uid="{223E43BC-23F0-4A74-BB17-3972593EFA56}"/>
    <cellStyle name="20 % - Markeringsfarve5 2 4" xfId="23526" xr:uid="{2672A067-0697-498E-BFC5-96D46E547D7C}"/>
    <cellStyle name="20 % - Markeringsfarve5 2 4 2" xfId="30912" xr:uid="{FBFBB97D-1462-440F-9506-88DB929D5CBA}"/>
    <cellStyle name="20 % - Markeringsfarve5 2 4 3" xfId="30913" xr:uid="{B8E061AD-A453-4840-A966-42A38B8180D6}"/>
    <cellStyle name="20 % - Markeringsfarve5 2 5" xfId="30914" xr:uid="{0F9C5FE2-8A20-43DD-8D97-4DAF91F8734D}"/>
    <cellStyle name="20 % - Markeringsfarve5 2 5 2" xfId="30915" xr:uid="{D8F68F3C-2F11-4057-B1BD-6B24557E7F35}"/>
    <cellStyle name="20 % - Markeringsfarve5 2 5 3" xfId="30916" xr:uid="{8428FDEB-3E89-4AA4-80B4-403E6F91B5D2}"/>
    <cellStyle name="20 % - Markeringsfarve5 2 6" xfId="30917" xr:uid="{B5891DDE-7B45-4A2D-B2D4-780D9806A763}"/>
    <cellStyle name="20 % - Markeringsfarve5 2 6 2" xfId="30918" xr:uid="{893DF7C9-4A9D-4352-BB45-CFBFA40E1D90}"/>
    <cellStyle name="20 % - Markeringsfarve5 2 6 3" xfId="30919" xr:uid="{0FEAB717-9C78-41AD-806C-F4369E8F87D7}"/>
    <cellStyle name="20 % - Markeringsfarve5 2 7" xfId="30920" xr:uid="{2B543CAB-41D2-4047-AB67-3CE5EDBB933E}"/>
    <cellStyle name="20 % - Markeringsfarve5 2 7 2" xfId="30921" xr:uid="{7755E689-6C65-4038-ABEE-4C54BCE9777E}"/>
    <cellStyle name="20 % - Markeringsfarve5 2 7 3" xfId="30922" xr:uid="{FDE35EC8-D960-4BB2-B624-CF3FE23D02D5}"/>
    <cellStyle name="20 % - Markeringsfarve5 2 8" xfId="30923" xr:uid="{723C2524-203A-42F0-B246-099E41FCF254}"/>
    <cellStyle name="20 % - Markeringsfarve5 2 8 2" xfId="30924" xr:uid="{C6A77272-29BE-4853-822A-160249867A16}"/>
    <cellStyle name="20 % - Markeringsfarve5 2 8 3" xfId="30925" xr:uid="{C597CBB3-EFDD-42E0-8F48-5EF3C313A334}"/>
    <cellStyle name="20 % - Markeringsfarve5 2 9" xfId="30926" xr:uid="{4BEB118F-A222-4685-9968-5DE84E725D64}"/>
    <cellStyle name="20 % - Markeringsfarve5 2 9 2" xfId="30927" xr:uid="{EDE21009-EB07-4F61-BEA9-B49E8F8E7261}"/>
    <cellStyle name="20 % - Markeringsfarve5 3" xfId="2589" xr:uid="{AE95A634-372A-4AA5-AFE6-1E2FEBDD4A25}"/>
    <cellStyle name="20 % - Markeringsfarve5 3 10" xfId="30928" xr:uid="{90E005AE-8A6C-4F70-B62D-36378BAE836D}"/>
    <cellStyle name="20 % - Markeringsfarve5 3 2" xfId="23527" xr:uid="{1E0E5DD4-E686-4C35-B9AD-2E31AFA18A96}"/>
    <cellStyle name="20 % - Markeringsfarve5 3 2 2" xfId="30929" xr:uid="{F5880C7E-BE05-4E39-9054-F94C329418D3}"/>
    <cellStyle name="20 % - Markeringsfarve5 3 2 2 2" xfId="30930" xr:uid="{313C8732-D0E5-44CA-99C3-1F8A33619B9A}"/>
    <cellStyle name="20 % - Markeringsfarve5 3 2 2 3" xfId="30931" xr:uid="{E88D96E3-0B99-4AF3-885D-22F7B061A3FE}"/>
    <cellStyle name="20 % - Markeringsfarve5 3 2 3" xfId="30932" xr:uid="{213062CA-CDBE-437D-A699-850DB78CA784}"/>
    <cellStyle name="20 % - Markeringsfarve5 3 2 3 2" xfId="30933" xr:uid="{F6989E06-B3C3-4F18-803F-7BA813868BC0}"/>
    <cellStyle name="20 % - Markeringsfarve5 3 2 3 3" xfId="30934" xr:uid="{CFC3E3FF-5DF6-4E58-B29C-E2DB6E4D3C4F}"/>
    <cellStyle name="20 % - Markeringsfarve5 3 2 4" xfId="30935" xr:uid="{9911BB6D-2BD3-4591-8083-5BB269B69FBA}"/>
    <cellStyle name="20 % - Markeringsfarve5 3 2 4 2" xfId="30936" xr:uid="{80A71289-8CF5-403E-BA82-B101D6AE53A7}"/>
    <cellStyle name="20 % - Markeringsfarve5 3 2 4 3" xfId="30937" xr:uid="{BD61A794-63B8-4993-830C-DA735946127E}"/>
    <cellStyle name="20 % - Markeringsfarve5 3 2 5" xfId="30938" xr:uid="{60EDB16C-3A31-4DB0-8BF7-11C3CDC0DD9B}"/>
    <cellStyle name="20 % - Markeringsfarve5 3 2 5 2" xfId="30939" xr:uid="{0794ADDF-1990-4D77-A9B6-70E04BE7CBEC}"/>
    <cellStyle name="20 % - Markeringsfarve5 3 2 5 3" xfId="30940" xr:uid="{E9D940C3-40C3-41C2-B379-E6069E6B2242}"/>
    <cellStyle name="20 % - Markeringsfarve5 3 2 6" xfId="30941" xr:uid="{4BCA41CB-4197-4304-91C8-9937439DE7A7}"/>
    <cellStyle name="20 % - Markeringsfarve5 3 2 6 2" xfId="30942" xr:uid="{026E9D36-F8D6-4528-A59A-862F1D4F1F30}"/>
    <cellStyle name="20 % - Markeringsfarve5 3 2 6 3" xfId="30943" xr:uid="{3302DD99-371C-4A62-9A51-56D5044AD306}"/>
    <cellStyle name="20 % - Markeringsfarve5 3 2 7" xfId="30944" xr:uid="{18A5BE33-3032-4665-914B-B1DAD571EE18}"/>
    <cellStyle name="20 % - Markeringsfarve5 3 2 7 2" xfId="30945" xr:uid="{5B4192E2-8C7C-4171-BB85-D19C3D95F17D}"/>
    <cellStyle name="20 % - Markeringsfarve5 3 2 8" xfId="30946" xr:uid="{04D62E31-1415-43C9-83A8-ACE5060EE67D}"/>
    <cellStyle name="20 % - Markeringsfarve5 3 3" xfId="30947" xr:uid="{A29C2FEA-B969-4A38-A107-330A05B5AA18}"/>
    <cellStyle name="20 % - Markeringsfarve5 3 3 2" xfId="30948" xr:uid="{E5B89572-1F0F-410E-95E1-914633A822C6}"/>
    <cellStyle name="20 % - Markeringsfarve5 3 3 2 2" xfId="30949" xr:uid="{C9700447-AB69-400D-A24C-E6EDE87A5065}"/>
    <cellStyle name="20 % - Markeringsfarve5 3 3 2 3" xfId="30950" xr:uid="{4CEBFF7A-A239-408D-BD2E-54830C2C7784}"/>
    <cellStyle name="20 % - Markeringsfarve5 3 3 3" xfId="30951" xr:uid="{E6D952A3-0C62-47A0-A9D9-E215861D8E23}"/>
    <cellStyle name="20 % - Markeringsfarve5 3 3 3 2" xfId="30952" xr:uid="{73E231A7-AC66-4574-B326-D85170608809}"/>
    <cellStyle name="20 % - Markeringsfarve5 3 3 3 3" xfId="30953" xr:uid="{7358B8E1-FDBF-4928-8E35-9F99D0423F9E}"/>
    <cellStyle name="20 % - Markeringsfarve5 3 3 4" xfId="30954" xr:uid="{365A0EB5-A41D-4A80-8677-2CE98CEE1F9C}"/>
    <cellStyle name="20 % - Markeringsfarve5 3 3 4 2" xfId="30955" xr:uid="{6C038E5F-DAA8-4B03-B5E8-51230AC66DE7}"/>
    <cellStyle name="20 % - Markeringsfarve5 3 3 4 3" xfId="30956" xr:uid="{927078F6-FC65-477E-AA9E-9B44943C2E6C}"/>
    <cellStyle name="20 % - Markeringsfarve5 3 3 5" xfId="30957" xr:uid="{B2101BCA-0695-4474-AFEF-2CC97193D31A}"/>
    <cellStyle name="20 % - Markeringsfarve5 3 3 5 2" xfId="30958" xr:uid="{3DFCDD1F-3267-4BBC-A183-3E35E490C969}"/>
    <cellStyle name="20 % - Markeringsfarve5 3 3 5 3" xfId="30959" xr:uid="{AB29C956-9386-4A14-BF41-B3CC99A2BCFE}"/>
    <cellStyle name="20 % - Markeringsfarve5 3 3 6" xfId="30960" xr:uid="{F5724AC0-49E1-4014-9847-C99E24E8F760}"/>
    <cellStyle name="20 % - Markeringsfarve5 3 3 6 2" xfId="30961" xr:uid="{B89491BF-E63E-4F6C-97F9-58C5C1351A23}"/>
    <cellStyle name="20 % - Markeringsfarve5 3 3 6 3" xfId="30962" xr:uid="{7FA7194F-A380-40AD-BFE4-156C9595348B}"/>
    <cellStyle name="20 % - Markeringsfarve5 3 3 7" xfId="30963" xr:uid="{7256594D-0BCC-47B1-A3D1-070C2236E573}"/>
    <cellStyle name="20 % - Markeringsfarve5 3 3 7 2" xfId="30964" xr:uid="{4E1E2706-CE60-43B4-A61C-373E5239AA83}"/>
    <cellStyle name="20 % - Markeringsfarve5 3 3 8" xfId="30965" xr:uid="{A3AC0DE1-9785-405C-AA9F-8C663EEA0182}"/>
    <cellStyle name="20 % - Markeringsfarve5 3 4" xfId="30966" xr:uid="{59FC358B-8BA2-4A5C-8E75-33A876234AA9}"/>
    <cellStyle name="20 % - Markeringsfarve5 3 4 2" xfId="30967" xr:uid="{F0707B5D-3BB4-409B-B3B7-CFA30694A332}"/>
    <cellStyle name="20 % - Markeringsfarve5 3 4 3" xfId="30968" xr:uid="{7565E798-C5A2-4453-AEA8-7E4DD60BE008}"/>
    <cellStyle name="20 % - Markeringsfarve5 3 5" xfId="30969" xr:uid="{6C7903DC-AC48-4AFA-AF34-D1E2059B89D3}"/>
    <cellStyle name="20 % - Markeringsfarve5 3 5 2" xfId="30970" xr:uid="{4AC6A846-E5F8-463F-9610-4EF871AE92DF}"/>
    <cellStyle name="20 % - Markeringsfarve5 3 5 3" xfId="30971" xr:uid="{D743DB52-6F5F-4B46-9744-0DB24035C3EE}"/>
    <cellStyle name="20 % - Markeringsfarve5 3 6" xfId="30972" xr:uid="{7AE47CD7-7800-4B12-B1D3-8D40358A9FE4}"/>
    <cellStyle name="20 % - Markeringsfarve5 3 6 2" xfId="30973" xr:uid="{980B4E65-ECEE-4BB2-9E72-C4B20A43CDFA}"/>
    <cellStyle name="20 % - Markeringsfarve5 3 6 3" xfId="30974" xr:uid="{740F64CC-11DE-4E6A-B3F9-CA703381464C}"/>
    <cellStyle name="20 % - Markeringsfarve5 3 7" xfId="30975" xr:uid="{3D7A6EB8-A953-44AF-BBDD-8E70014C90EA}"/>
    <cellStyle name="20 % - Markeringsfarve5 3 7 2" xfId="30976" xr:uid="{87947BFD-BCAA-421E-B9D7-91D95CB6C5D6}"/>
    <cellStyle name="20 % - Markeringsfarve5 3 7 3" xfId="30977" xr:uid="{70424544-3818-4CAD-9440-B4F3E0343D6A}"/>
    <cellStyle name="20 % - Markeringsfarve5 3 8" xfId="30978" xr:uid="{C24F9BA6-CD68-424C-A88E-D7E895E55EFA}"/>
    <cellStyle name="20 % - Markeringsfarve5 3 8 2" xfId="30979" xr:uid="{8FCF4166-0E68-4977-A676-B4D14389BD11}"/>
    <cellStyle name="20 % - Markeringsfarve5 3 8 3" xfId="30980" xr:uid="{3C5AAA66-5AB4-42C0-BC82-903A33685669}"/>
    <cellStyle name="20 % - Markeringsfarve5 3 9" xfId="30981" xr:uid="{14C4B1EE-294E-4F01-997E-4549632633B0}"/>
    <cellStyle name="20 % - Markeringsfarve5 3 9 2" xfId="30982" xr:uid="{368855DB-6C31-4DBD-A80A-C10223995A62}"/>
    <cellStyle name="20 % - Markeringsfarve5 4" xfId="23528" xr:uid="{6952584D-D674-422C-9F49-BBEF37267350}"/>
    <cellStyle name="20 % - Markeringsfarve5 4 2" xfId="23529" xr:uid="{15C86A69-807A-4848-9C36-3A7FD9D2E44F}"/>
    <cellStyle name="20 % - Markeringsfarve5 4 2 2" xfId="30983" xr:uid="{9C2ED396-AC2A-41B4-B2D7-0DCFB5F892EE}"/>
    <cellStyle name="20 % - Markeringsfarve5 4 2 3" xfId="30984" xr:uid="{34BBC247-0C3F-43D8-B945-34274D4949FE}"/>
    <cellStyle name="20 % - Markeringsfarve5 4 3" xfId="30985" xr:uid="{16FAB2A6-7F20-4A28-B8DE-8F5E00084723}"/>
    <cellStyle name="20 % - Markeringsfarve5 4 3 2" xfId="30986" xr:uid="{FB2B9953-066E-4E2E-AFA3-EB6DB11C5137}"/>
    <cellStyle name="20 % - Markeringsfarve5 4 3 3" xfId="30987" xr:uid="{43A089A5-19CE-41AB-81E3-4E3CCD7A77C9}"/>
    <cellStyle name="20 % - Markeringsfarve5 4 4" xfId="30988" xr:uid="{8C8EAF5A-9350-4387-96A4-E9ECAE6C1026}"/>
    <cellStyle name="20 % - Markeringsfarve5 4 4 2" xfId="30989" xr:uid="{865415DB-4B4C-4F1E-9463-758B23F95825}"/>
    <cellStyle name="20 % - Markeringsfarve5 4 4 3" xfId="30990" xr:uid="{2048BC1B-D7E3-4B68-BE6E-422E2E4204C4}"/>
    <cellStyle name="20 % - Markeringsfarve5 4 5" xfId="30991" xr:uid="{61CF3F2F-C24B-4ECF-9701-F5D0EC0C1EA3}"/>
    <cellStyle name="20 % - Markeringsfarve5 4 5 2" xfId="30992" xr:uid="{10CFB641-E279-4AD2-9C07-A0FFA9B8F3F7}"/>
    <cellStyle name="20 % - Markeringsfarve5 4 5 3" xfId="30993" xr:uid="{3F9301AB-71C2-4731-8235-DB285CE339BB}"/>
    <cellStyle name="20 % - Markeringsfarve5 4 6" xfId="30994" xr:uid="{9D9A569F-C041-4E51-A293-C0D9FCACEED9}"/>
    <cellStyle name="20 % - Markeringsfarve5 4 6 2" xfId="30995" xr:uid="{2DAE9638-9ACF-46EE-A482-7EA6777A49DD}"/>
    <cellStyle name="20 % - Markeringsfarve5 4 6 3" xfId="30996" xr:uid="{EA12C286-3698-47B7-A67F-FFEB7751DC1F}"/>
    <cellStyle name="20 % - Markeringsfarve5 4 7" xfId="30997" xr:uid="{34C125BC-A3B3-4AB5-A0CB-359450DC0067}"/>
    <cellStyle name="20 % - Markeringsfarve5 4 7 2" xfId="30998" xr:uid="{7A0CC4E3-A700-4BD4-AD69-25966CC73AF7}"/>
    <cellStyle name="20 % - Markeringsfarve5 4 8" xfId="30999" xr:uid="{09234CB3-2835-4737-93A7-A7C9FC81ACEE}"/>
    <cellStyle name="20 % - Markeringsfarve5 5" xfId="23530" xr:uid="{FE20E8AC-A02F-45A7-9EC9-28D6237B02D8}"/>
    <cellStyle name="20 % - Markeringsfarve5 5 2" xfId="23531" xr:uid="{363D08D6-51D1-4685-B012-DC12BB91E95E}"/>
    <cellStyle name="20 % - Markeringsfarve5 5 2 2" xfId="31000" xr:uid="{9E12AC3F-2EDA-47E5-823D-864D94470800}"/>
    <cellStyle name="20 % - Markeringsfarve5 5 2 3" xfId="31001" xr:uid="{DFED71F8-0171-4DE3-BB38-0FB149124A13}"/>
    <cellStyle name="20 % - Markeringsfarve5 5 3" xfId="31002" xr:uid="{CE629A35-1013-4918-B06C-F71DFC90EC06}"/>
    <cellStyle name="20 % - Markeringsfarve5 5 3 2" xfId="31003" xr:uid="{AB5E202E-3DC8-4B85-A5B0-A6F519B98788}"/>
    <cellStyle name="20 % - Markeringsfarve5 5 3 3" xfId="31004" xr:uid="{236A1ECA-3FF9-4BB2-9686-1B02CB07CFA3}"/>
    <cellStyle name="20 % - Markeringsfarve5 5 4" xfId="31005" xr:uid="{623160F6-FB60-4C91-AF51-657688F99E30}"/>
    <cellStyle name="20 % - Markeringsfarve5 5 4 2" xfId="31006" xr:uid="{1C68B5C1-820E-44BD-821D-6D49339C5656}"/>
    <cellStyle name="20 % - Markeringsfarve5 5 4 3" xfId="31007" xr:uid="{BD2540CB-8BE3-41F4-B52E-90AB9AAE58F0}"/>
    <cellStyle name="20 % - Markeringsfarve5 5 5" xfId="31008" xr:uid="{4EDA3397-0A56-44EF-8CF1-37ABA8AFDD23}"/>
    <cellStyle name="20 % - Markeringsfarve5 5 5 2" xfId="31009" xr:uid="{4C8CD38D-3001-4666-B454-EE4654B73F6C}"/>
    <cellStyle name="20 % - Markeringsfarve5 5 5 3" xfId="31010" xr:uid="{32030D5C-B61D-4BCB-B107-C7DA37F0D6E2}"/>
    <cellStyle name="20 % - Markeringsfarve5 5 6" xfId="31011" xr:uid="{10DD1399-C42B-41BF-9C3A-2153C6E3D71E}"/>
    <cellStyle name="20 % - Markeringsfarve5 5 6 2" xfId="31012" xr:uid="{50B16615-4813-4DB0-A191-60F8D56D573B}"/>
    <cellStyle name="20 % - Markeringsfarve5 5 6 3" xfId="31013" xr:uid="{286BD72D-E858-4885-8F7B-86D7DB2C02D4}"/>
    <cellStyle name="20 % - Markeringsfarve5 5 7" xfId="31014" xr:uid="{17288F4C-2D21-42BD-8E7A-0B1F71E10660}"/>
    <cellStyle name="20 % - Markeringsfarve5 5 7 2" xfId="31015" xr:uid="{F53094CE-5EAF-4D1C-925A-C7BAFFF4B8D2}"/>
    <cellStyle name="20 % - Markeringsfarve5 5 8" xfId="31016" xr:uid="{ECE2436A-4773-4F72-B1CB-D0F581CF3E4B}"/>
    <cellStyle name="20 % - Markeringsfarve5 6" xfId="23532" xr:uid="{D52FF4DD-4DAD-4973-BE01-24ED2D055A17}"/>
    <cellStyle name="20 % - Markeringsfarve5 6 2" xfId="23533" xr:uid="{8AFA9BE4-C8FF-423D-9B8D-C0F1D2F681E1}"/>
    <cellStyle name="20 % - Markeringsfarve5 6 3" xfId="31017" xr:uid="{B8096FA5-332A-4B85-88F0-8EC77F52623C}"/>
    <cellStyle name="20 % - Markeringsfarve5 7" xfId="23534" xr:uid="{61739860-380E-41CA-9811-2A9B82589791}"/>
    <cellStyle name="20 % - Markeringsfarve5 7 2" xfId="31018" xr:uid="{1EDEF7CB-FEF5-404D-B646-EC9453DDAA41}"/>
    <cellStyle name="20 % - Markeringsfarve5 7 3" xfId="31019" xr:uid="{3492BD6E-2D14-4F1E-B899-C1EDA5987B83}"/>
    <cellStyle name="20 % - Markeringsfarve5 8" xfId="31020" xr:uid="{BF909C62-7C6B-42ED-824B-F6229DA20A47}"/>
    <cellStyle name="20 % - Markeringsfarve5 8 2" xfId="31021" xr:uid="{D4C4503C-FFEC-4F7A-9A53-4D7405F97AB8}"/>
    <cellStyle name="20 % - Markeringsfarve5 8 3" xfId="31022" xr:uid="{F544F74D-44F3-4451-BFF2-9B92D00B9AA0}"/>
    <cellStyle name="20 % - Markeringsfarve5 9" xfId="31023" xr:uid="{9862580C-97F1-49C1-9E62-87D867553F9E}"/>
    <cellStyle name="20 % - Markeringsfarve5 9 2" xfId="31024" xr:uid="{643FEB67-0B33-4618-B206-32E85667BDED}"/>
    <cellStyle name="20 % - Markeringsfarve5 9 3" xfId="31025" xr:uid="{0080617B-A8A4-4CF0-A0FA-03C3EF019EEA}"/>
    <cellStyle name="20 % - Markeringsfarve6" xfId="1269" xr:uid="{00000000-0005-0000-0000-00000A000000}"/>
    <cellStyle name="20 % - Markeringsfarve6 10" xfId="31026" xr:uid="{64B9A4C1-3F3B-4752-ACA8-EBC00A3B24BE}"/>
    <cellStyle name="20 % - Markeringsfarve6 10 2" xfId="31027" xr:uid="{4893F16F-758C-4E5E-87D7-16E1121C6061}"/>
    <cellStyle name="20 % - Markeringsfarve6 10 3" xfId="31028" xr:uid="{5E6D2A97-D506-43F1-8B81-16423147A371}"/>
    <cellStyle name="20 % - Markeringsfarve6 11" xfId="31029" xr:uid="{B6B75A23-D645-4952-903A-06E8316A5ACD}"/>
    <cellStyle name="20 % - Markeringsfarve6 11 2" xfId="31030" xr:uid="{D847E291-5DE4-4FF8-B33A-7343C6244936}"/>
    <cellStyle name="20 % - Markeringsfarve6 12" xfId="31031" xr:uid="{8B0C5FDE-8999-4E7B-B6B7-1712C90B5F27}"/>
    <cellStyle name="20 % - Markeringsfarve6 13" xfId="17727" xr:uid="{7BC13CDE-1011-417D-9C77-51C9097BA1D0}"/>
    <cellStyle name="20 % - Markeringsfarve6 2" xfId="1270" xr:uid="{00000000-0005-0000-0000-00000B000000}"/>
    <cellStyle name="20 % - Markeringsfarve6 2 10" xfId="31032" xr:uid="{2BCF237C-5FFA-4412-A5AD-6FFD68E587C3}"/>
    <cellStyle name="20 % - Markeringsfarve6 2 11" xfId="17728" xr:uid="{C7391E4C-78E7-40AF-AD0E-76718D89D373}"/>
    <cellStyle name="20 % - Markeringsfarve6 2 2" xfId="23535" xr:uid="{71162D93-4F96-437B-A1EB-EC2156300B3E}"/>
    <cellStyle name="20 % - Markeringsfarve6 2 2 2" xfId="23536" xr:uid="{DA7492EA-3D8E-4FAF-8698-AF6E40234BD8}"/>
    <cellStyle name="20 % - Markeringsfarve6 2 2 2 2" xfId="31033" xr:uid="{F5047E13-9840-4F57-80B7-A1032C5BC66B}"/>
    <cellStyle name="20 % - Markeringsfarve6 2 2 2 3" xfId="31034" xr:uid="{FFCF6093-6D60-440A-84A9-C407D3BA3917}"/>
    <cellStyle name="20 % - Markeringsfarve6 2 2 3" xfId="31035" xr:uid="{35636129-77D0-4C90-83E9-D11535AE638E}"/>
    <cellStyle name="20 % - Markeringsfarve6 2 2 3 2" xfId="31036" xr:uid="{0D35ECDF-5857-40F9-A2D0-1B281318F589}"/>
    <cellStyle name="20 % - Markeringsfarve6 2 2 3 3" xfId="31037" xr:uid="{B8FAD5C0-E03D-467C-B871-735A4A19093F}"/>
    <cellStyle name="20 % - Markeringsfarve6 2 2 4" xfId="31038" xr:uid="{B50B24DD-E892-4133-90D9-0A0B9916D118}"/>
    <cellStyle name="20 % - Markeringsfarve6 2 2 4 2" xfId="31039" xr:uid="{6536C33B-1358-4BB5-9F13-92D7E9411CD9}"/>
    <cellStyle name="20 % - Markeringsfarve6 2 2 4 3" xfId="31040" xr:uid="{29F8BF35-9BA4-45F0-A63F-3718D96195E0}"/>
    <cellStyle name="20 % - Markeringsfarve6 2 2 5" xfId="31041" xr:uid="{F92DD6CC-30CE-4224-92A0-9EA44582B747}"/>
    <cellStyle name="20 % - Markeringsfarve6 2 2 5 2" xfId="31042" xr:uid="{2F266664-3487-48B3-84F6-B8E922EEFFBC}"/>
    <cellStyle name="20 % - Markeringsfarve6 2 2 5 3" xfId="31043" xr:uid="{44C7ED03-7E31-4A21-9120-AFA0BDE841D8}"/>
    <cellStyle name="20 % - Markeringsfarve6 2 2 6" xfId="31044" xr:uid="{272FD545-530A-4C99-AF3F-8DFE548997F5}"/>
    <cellStyle name="20 % - Markeringsfarve6 2 2 6 2" xfId="31045" xr:uid="{55700BC3-D66B-48B7-8303-EB5D01F3C832}"/>
    <cellStyle name="20 % - Markeringsfarve6 2 2 6 3" xfId="31046" xr:uid="{8C0B69E2-3E19-4F12-A57D-32199E3EF998}"/>
    <cellStyle name="20 % - Markeringsfarve6 2 2 7" xfId="31047" xr:uid="{170C731D-4173-4F99-A5A7-14ABA6097673}"/>
    <cellStyle name="20 % - Markeringsfarve6 2 2 7 2" xfId="31048" xr:uid="{EF24C74A-A6AF-46F1-9166-3AE5DCAA833F}"/>
    <cellStyle name="20 % - Markeringsfarve6 2 2 8" xfId="31049" xr:uid="{ED098C8A-DB43-4375-876B-29B177B3255C}"/>
    <cellStyle name="20 % - Markeringsfarve6 2 3" xfId="23537" xr:uid="{A874BD46-A3DF-4559-9263-CF1565790969}"/>
    <cellStyle name="20 % - Markeringsfarve6 2 3 2" xfId="23538" xr:uid="{748552C3-B8B7-4BFD-99EB-647E2A285D43}"/>
    <cellStyle name="20 % - Markeringsfarve6 2 3 2 2" xfId="31050" xr:uid="{54497B61-C46D-48B0-A8B7-F0E94F983812}"/>
    <cellStyle name="20 % - Markeringsfarve6 2 3 2 3" xfId="31051" xr:uid="{E10B42D1-13F4-4A2C-AE4C-3C08DBFFB157}"/>
    <cellStyle name="20 % - Markeringsfarve6 2 3 3" xfId="31052" xr:uid="{5DDF0D48-1BC8-410C-8F65-93A45B7A488A}"/>
    <cellStyle name="20 % - Markeringsfarve6 2 3 3 2" xfId="31053" xr:uid="{91510A3D-74E4-4FCE-A739-3393DDA0649D}"/>
    <cellStyle name="20 % - Markeringsfarve6 2 3 3 3" xfId="31054" xr:uid="{32019A80-AF25-4640-9F24-3192617E0948}"/>
    <cellStyle name="20 % - Markeringsfarve6 2 3 4" xfId="31055" xr:uid="{4783A03B-5461-4C89-A527-8DF0BA9C7C78}"/>
    <cellStyle name="20 % - Markeringsfarve6 2 3 4 2" xfId="31056" xr:uid="{F0BA927A-6BAF-45C7-92CE-EDBA61F14632}"/>
    <cellStyle name="20 % - Markeringsfarve6 2 3 4 3" xfId="31057" xr:uid="{CBB85D5D-2BCC-4518-8C65-FF966EB3721F}"/>
    <cellStyle name="20 % - Markeringsfarve6 2 3 5" xfId="31058" xr:uid="{EB195F7E-7CA4-4D0B-ABC4-37B2F997353C}"/>
    <cellStyle name="20 % - Markeringsfarve6 2 3 5 2" xfId="31059" xr:uid="{4D5463F2-597D-4070-AC89-7619BAC9C310}"/>
    <cellStyle name="20 % - Markeringsfarve6 2 3 5 3" xfId="31060" xr:uid="{A21130A3-8D84-4998-9179-3563830871EC}"/>
    <cellStyle name="20 % - Markeringsfarve6 2 3 6" xfId="31061" xr:uid="{67987420-1342-4F88-8599-57C7B8AFD3BF}"/>
    <cellStyle name="20 % - Markeringsfarve6 2 3 6 2" xfId="31062" xr:uid="{86F1A97F-DF7F-4736-A458-E26B939B347D}"/>
    <cellStyle name="20 % - Markeringsfarve6 2 3 6 3" xfId="31063" xr:uid="{B9B4EB0A-E37F-49D6-8665-B88B820D351C}"/>
    <cellStyle name="20 % - Markeringsfarve6 2 3 7" xfId="31064" xr:uid="{C2BE37FC-6436-4D53-A7A1-1B01957A3A8B}"/>
    <cellStyle name="20 % - Markeringsfarve6 2 3 7 2" xfId="31065" xr:uid="{9E40AFFE-130E-4110-8C3D-380A1CFB728C}"/>
    <cellStyle name="20 % - Markeringsfarve6 2 3 8" xfId="31066" xr:uid="{08C0B042-CE58-4CC9-B0AE-8072DD53B61A}"/>
    <cellStyle name="20 % - Markeringsfarve6 2 4" xfId="23539" xr:uid="{AB08F4EE-6E78-4B44-A8DF-6196808EA45D}"/>
    <cellStyle name="20 % - Markeringsfarve6 2 4 2" xfId="31067" xr:uid="{32A37BEE-A515-4F1F-BD92-DC27F70BDB20}"/>
    <cellStyle name="20 % - Markeringsfarve6 2 4 3" xfId="31068" xr:uid="{EA4F68DD-758B-417A-84A5-EA2B1D5F1DF9}"/>
    <cellStyle name="20 % - Markeringsfarve6 2 5" xfId="31069" xr:uid="{A43FB74E-CE05-431E-B477-3B15D4F97380}"/>
    <cellStyle name="20 % - Markeringsfarve6 2 5 2" xfId="31070" xr:uid="{BC881BBA-3ADC-435C-9F42-3395AA907E8E}"/>
    <cellStyle name="20 % - Markeringsfarve6 2 5 3" xfId="31071" xr:uid="{96CB9F7E-1083-441F-A5DF-7D0EE050BB00}"/>
    <cellStyle name="20 % - Markeringsfarve6 2 6" xfId="31072" xr:uid="{613FF43E-C62C-41AB-8CD3-95DF60805F2B}"/>
    <cellStyle name="20 % - Markeringsfarve6 2 6 2" xfId="31073" xr:uid="{B3583C5F-6634-40B6-83F8-6E1DDBA5B6D6}"/>
    <cellStyle name="20 % - Markeringsfarve6 2 6 3" xfId="31074" xr:uid="{57EED93A-DE91-42D6-A4C4-29DDD071B2B7}"/>
    <cellStyle name="20 % - Markeringsfarve6 2 7" xfId="31075" xr:uid="{5AAC8A4E-EB93-4319-AFE1-FFBEBC8AD3F4}"/>
    <cellStyle name="20 % - Markeringsfarve6 2 7 2" xfId="31076" xr:uid="{E86F2321-5E4D-4AD9-923A-9454A380A498}"/>
    <cellStyle name="20 % - Markeringsfarve6 2 7 3" xfId="31077" xr:uid="{5AABDD2A-8D5B-42AA-8903-5DC202611BF6}"/>
    <cellStyle name="20 % - Markeringsfarve6 2 8" xfId="31078" xr:uid="{4FB46617-B67F-4348-AD38-9EF672488B0E}"/>
    <cellStyle name="20 % - Markeringsfarve6 2 8 2" xfId="31079" xr:uid="{EAB24DDC-88ED-441E-A34D-F653F0569D12}"/>
    <cellStyle name="20 % - Markeringsfarve6 2 8 3" xfId="31080" xr:uid="{EDB33D06-DF78-4199-B620-598B2A6FD466}"/>
    <cellStyle name="20 % - Markeringsfarve6 2 9" xfId="31081" xr:uid="{07CEBC58-0C08-47C2-98E6-FEEEEFE4353E}"/>
    <cellStyle name="20 % - Markeringsfarve6 2 9 2" xfId="31082" xr:uid="{C4A88F5E-ACA8-478E-9E50-DE62593CA018}"/>
    <cellStyle name="20 % - Markeringsfarve6 3" xfId="2590" xr:uid="{B5B46348-71F9-4DF7-995E-D376E5D3C56D}"/>
    <cellStyle name="20 % - Markeringsfarve6 3 10" xfId="31083" xr:uid="{63D758C4-F5B9-4EE1-A6E5-1C140528B356}"/>
    <cellStyle name="20 % - Markeringsfarve6 3 2" xfId="23540" xr:uid="{12DA3580-D2CF-4A3F-BCEB-28126F223231}"/>
    <cellStyle name="20 % - Markeringsfarve6 3 2 2" xfId="31084" xr:uid="{4CCA6B6C-1D0B-4385-BD5B-2A18D0C800F9}"/>
    <cellStyle name="20 % - Markeringsfarve6 3 2 2 2" xfId="31085" xr:uid="{D9B37DA1-734B-437D-933D-55574C05DA85}"/>
    <cellStyle name="20 % - Markeringsfarve6 3 2 2 3" xfId="31086" xr:uid="{5D2A5E59-32DD-4518-B959-D194C5EF1C13}"/>
    <cellStyle name="20 % - Markeringsfarve6 3 2 3" xfId="31087" xr:uid="{FBF2E38A-5E75-4F41-8E35-DCE137E65976}"/>
    <cellStyle name="20 % - Markeringsfarve6 3 2 3 2" xfId="31088" xr:uid="{D42134CF-DCA4-470C-90AC-4AA24B65C363}"/>
    <cellStyle name="20 % - Markeringsfarve6 3 2 3 3" xfId="31089" xr:uid="{CF9C8A19-055A-40F1-8CB9-C89B8209C8DC}"/>
    <cellStyle name="20 % - Markeringsfarve6 3 2 4" xfId="31090" xr:uid="{4C46E89D-1961-4D8B-BA83-49FEAFBC9C9B}"/>
    <cellStyle name="20 % - Markeringsfarve6 3 2 4 2" xfId="31091" xr:uid="{14FF7666-3F71-4816-8B1E-5C262A4103A6}"/>
    <cellStyle name="20 % - Markeringsfarve6 3 2 4 3" xfId="31092" xr:uid="{2CF37CCF-B276-423D-8801-813286BB7760}"/>
    <cellStyle name="20 % - Markeringsfarve6 3 2 5" xfId="31093" xr:uid="{8E30706A-1EB5-4D71-BBD9-EAD6A9B46D37}"/>
    <cellStyle name="20 % - Markeringsfarve6 3 2 5 2" xfId="31094" xr:uid="{44E73774-47D0-47D4-B84A-874050CA8E14}"/>
    <cellStyle name="20 % - Markeringsfarve6 3 2 5 3" xfId="31095" xr:uid="{097BFDE8-2B1E-4B4D-84C1-6BBF145C0D46}"/>
    <cellStyle name="20 % - Markeringsfarve6 3 2 6" xfId="31096" xr:uid="{F73F670E-8720-48EF-B19C-2336294B8EBC}"/>
    <cellStyle name="20 % - Markeringsfarve6 3 2 6 2" xfId="31097" xr:uid="{9A5D49FA-8445-4A31-8C3C-DDF86FCBC313}"/>
    <cellStyle name="20 % - Markeringsfarve6 3 2 6 3" xfId="31098" xr:uid="{F5869595-F325-4B3F-A059-05F3EF254E0D}"/>
    <cellStyle name="20 % - Markeringsfarve6 3 2 7" xfId="31099" xr:uid="{EEBC78AE-E532-4232-A281-10FC37A2D75A}"/>
    <cellStyle name="20 % - Markeringsfarve6 3 2 7 2" xfId="31100" xr:uid="{889E17D9-71E4-4D17-95D5-18DDA07CD620}"/>
    <cellStyle name="20 % - Markeringsfarve6 3 2 8" xfId="31101" xr:uid="{6E5B4692-CBC8-4E8A-96AD-8A2F2A22E1FA}"/>
    <cellStyle name="20 % - Markeringsfarve6 3 3" xfId="31102" xr:uid="{7F4F648F-F2B0-4539-8DFC-F07694050221}"/>
    <cellStyle name="20 % - Markeringsfarve6 3 3 2" xfId="31103" xr:uid="{599D6FB2-2130-40F3-A1BD-8BD80369C2F1}"/>
    <cellStyle name="20 % - Markeringsfarve6 3 3 2 2" xfId="31104" xr:uid="{F723D23E-D9A9-4035-90B7-A6AE67B593B2}"/>
    <cellStyle name="20 % - Markeringsfarve6 3 3 2 3" xfId="31105" xr:uid="{F4B35A18-8BD0-4775-B947-15F320581EDA}"/>
    <cellStyle name="20 % - Markeringsfarve6 3 3 3" xfId="31106" xr:uid="{3D8E2CDF-8C36-42D0-8236-0F93505326E0}"/>
    <cellStyle name="20 % - Markeringsfarve6 3 3 3 2" xfId="31107" xr:uid="{1D7DA984-B36E-4EC8-B047-30D9D0E90849}"/>
    <cellStyle name="20 % - Markeringsfarve6 3 3 3 3" xfId="31108" xr:uid="{C2C03899-5B6C-4365-8022-C1A196080BE0}"/>
    <cellStyle name="20 % - Markeringsfarve6 3 3 4" xfId="31109" xr:uid="{ABF63AB7-11D3-4A44-A0F8-FD140CA48F8F}"/>
    <cellStyle name="20 % - Markeringsfarve6 3 3 4 2" xfId="31110" xr:uid="{D172544C-391F-4E11-9C01-9C92EAD57FD7}"/>
    <cellStyle name="20 % - Markeringsfarve6 3 3 4 3" xfId="31111" xr:uid="{77BAB1B8-2A1E-46BD-9530-629D94C8D540}"/>
    <cellStyle name="20 % - Markeringsfarve6 3 3 5" xfId="31112" xr:uid="{5C01A81B-6E31-4E56-B1A0-4393F728DFA4}"/>
    <cellStyle name="20 % - Markeringsfarve6 3 3 5 2" xfId="31113" xr:uid="{779CABDC-6512-4B8B-95BB-AB4ECAD16C5F}"/>
    <cellStyle name="20 % - Markeringsfarve6 3 3 5 3" xfId="31114" xr:uid="{A76B0691-A5F2-4EBB-8B19-67F4893F221D}"/>
    <cellStyle name="20 % - Markeringsfarve6 3 3 6" xfId="31115" xr:uid="{1BE488AD-3EF1-4A20-9EF8-170AFDF8011B}"/>
    <cellStyle name="20 % - Markeringsfarve6 3 3 6 2" xfId="31116" xr:uid="{CFAAE62C-F1D8-4977-9AF0-39BDB530CB42}"/>
    <cellStyle name="20 % - Markeringsfarve6 3 3 6 3" xfId="31117" xr:uid="{8F1CE1D3-3DD0-4226-8B25-512D93B86EAD}"/>
    <cellStyle name="20 % - Markeringsfarve6 3 3 7" xfId="31118" xr:uid="{4FDE42A9-F92B-4AE3-8475-55061E106B3C}"/>
    <cellStyle name="20 % - Markeringsfarve6 3 3 7 2" xfId="31119" xr:uid="{66249FDC-95D5-44B8-BDAE-F733F263FC26}"/>
    <cellStyle name="20 % - Markeringsfarve6 3 3 8" xfId="31120" xr:uid="{A5252C4D-D52B-440B-B89E-7E007A9A5898}"/>
    <cellStyle name="20 % - Markeringsfarve6 3 4" xfId="31121" xr:uid="{56C57F13-C8C7-49DD-845C-FBE80548E2FC}"/>
    <cellStyle name="20 % - Markeringsfarve6 3 4 2" xfId="31122" xr:uid="{C3445EFF-F01C-498C-A8DE-C2BDEB05F62D}"/>
    <cellStyle name="20 % - Markeringsfarve6 3 4 3" xfId="31123" xr:uid="{EE2F853B-5A65-43B1-AFB9-03CAB78AF55A}"/>
    <cellStyle name="20 % - Markeringsfarve6 3 5" xfId="31124" xr:uid="{80CF811C-7C5B-4A4C-9808-399ECD93BF14}"/>
    <cellStyle name="20 % - Markeringsfarve6 3 5 2" xfId="31125" xr:uid="{492E21B4-4296-4B55-922A-99EA33E7A22D}"/>
    <cellStyle name="20 % - Markeringsfarve6 3 5 3" xfId="31126" xr:uid="{8171F05A-1AFB-4D2F-AAEF-DC2EDD748579}"/>
    <cellStyle name="20 % - Markeringsfarve6 3 6" xfId="31127" xr:uid="{C18C71FA-73DB-44F0-A316-A616BECD9976}"/>
    <cellStyle name="20 % - Markeringsfarve6 3 6 2" xfId="31128" xr:uid="{8B79DFAF-3A6A-47FC-ACC2-158D8D002990}"/>
    <cellStyle name="20 % - Markeringsfarve6 3 6 3" xfId="31129" xr:uid="{68A24139-057E-4947-98BD-B9B1F426D1E2}"/>
    <cellStyle name="20 % - Markeringsfarve6 3 7" xfId="31130" xr:uid="{DCA40062-2964-4CC5-A515-4B3E56189F13}"/>
    <cellStyle name="20 % - Markeringsfarve6 3 7 2" xfId="31131" xr:uid="{F18AF363-1C6B-4751-94D2-20E28724D302}"/>
    <cellStyle name="20 % - Markeringsfarve6 3 7 3" xfId="31132" xr:uid="{76A618B5-D47F-4D93-80C6-ED9E9E648522}"/>
    <cellStyle name="20 % - Markeringsfarve6 3 8" xfId="31133" xr:uid="{606BBD86-424D-4227-973D-A44753F9CCD4}"/>
    <cellStyle name="20 % - Markeringsfarve6 3 8 2" xfId="31134" xr:uid="{C6AC60FC-A20C-4123-8F2B-6C5AC5F21060}"/>
    <cellStyle name="20 % - Markeringsfarve6 3 8 3" xfId="31135" xr:uid="{19FF31C4-D4B8-4238-9135-90B9726F1E74}"/>
    <cellStyle name="20 % - Markeringsfarve6 3 9" xfId="31136" xr:uid="{46084FCC-4E2A-43A6-9630-1F2649AA4A96}"/>
    <cellStyle name="20 % - Markeringsfarve6 3 9 2" xfId="31137" xr:uid="{1DDB66E7-983E-4C42-BDF5-1E1A0D400436}"/>
    <cellStyle name="20 % - Markeringsfarve6 4" xfId="23541" xr:uid="{CDF501CC-E88C-467E-AFAD-A3512FD85290}"/>
    <cellStyle name="20 % - Markeringsfarve6 4 2" xfId="23542" xr:uid="{7576FBA1-71EC-41A5-89F5-81A23CB705A3}"/>
    <cellStyle name="20 % - Markeringsfarve6 4 2 2" xfId="31138" xr:uid="{61276270-218F-4EEF-B3D1-28ED20B90AEC}"/>
    <cellStyle name="20 % - Markeringsfarve6 4 2 3" xfId="31139" xr:uid="{E7FAD0E6-8F77-4E6B-B7E0-24CDC7363232}"/>
    <cellStyle name="20 % - Markeringsfarve6 4 3" xfId="31140" xr:uid="{BC3AF1B0-A51C-4F37-BFAF-3D45069AA484}"/>
    <cellStyle name="20 % - Markeringsfarve6 4 3 2" xfId="31141" xr:uid="{6131BBBA-F082-4B73-9257-D45B8053F6F9}"/>
    <cellStyle name="20 % - Markeringsfarve6 4 3 3" xfId="31142" xr:uid="{D380D0F7-D243-493B-AFE7-41C5329F4D94}"/>
    <cellStyle name="20 % - Markeringsfarve6 4 4" xfId="31143" xr:uid="{50DD9D8D-6641-4426-9980-FFBA75B722DE}"/>
    <cellStyle name="20 % - Markeringsfarve6 4 4 2" xfId="31144" xr:uid="{0652E300-10D4-4F04-ACC2-12A2168555CA}"/>
    <cellStyle name="20 % - Markeringsfarve6 4 4 3" xfId="31145" xr:uid="{ECD96A45-3220-4D2C-93C1-16DEEB32A9E3}"/>
    <cellStyle name="20 % - Markeringsfarve6 4 5" xfId="31146" xr:uid="{BAE3E9CC-0D95-46A9-BBD4-B0C7B572D689}"/>
    <cellStyle name="20 % - Markeringsfarve6 4 5 2" xfId="31147" xr:uid="{FEAE5EBD-4D5D-4875-AC88-7450576EAAE6}"/>
    <cellStyle name="20 % - Markeringsfarve6 4 5 3" xfId="31148" xr:uid="{B754F951-BDCA-431D-8504-47BF51EC180B}"/>
    <cellStyle name="20 % - Markeringsfarve6 4 6" xfId="31149" xr:uid="{2F6BED99-CCE1-449C-863D-73672CCEF29A}"/>
    <cellStyle name="20 % - Markeringsfarve6 4 6 2" xfId="31150" xr:uid="{A734B4A9-D276-471D-81F5-5C5EB19BD7B7}"/>
    <cellStyle name="20 % - Markeringsfarve6 4 6 3" xfId="31151" xr:uid="{C9E152A1-53D9-481C-A3F2-3F7225C48F4B}"/>
    <cellStyle name="20 % - Markeringsfarve6 4 7" xfId="31152" xr:uid="{08000811-E42A-4764-8849-3F6B21A36D37}"/>
    <cellStyle name="20 % - Markeringsfarve6 4 7 2" xfId="31153" xr:uid="{62C943B5-220E-4729-88D4-A5F6C48F6EB9}"/>
    <cellStyle name="20 % - Markeringsfarve6 4 8" xfId="31154" xr:uid="{C490BCD0-E22A-414E-8961-B961C48C0DD0}"/>
    <cellStyle name="20 % - Markeringsfarve6 5" xfId="23543" xr:uid="{70EEDDEF-0D0F-44F5-B186-C1EB1FC23ABA}"/>
    <cellStyle name="20 % - Markeringsfarve6 5 2" xfId="23544" xr:uid="{4B5B8E4E-7C44-4BB0-8293-97C7B95D0F3C}"/>
    <cellStyle name="20 % - Markeringsfarve6 5 2 2" xfId="31155" xr:uid="{2D6863CA-1820-4D13-848E-5B5ECFE32CD7}"/>
    <cellStyle name="20 % - Markeringsfarve6 5 2 3" xfId="31156" xr:uid="{608B79E9-FC44-46BD-9C00-3D63136B0005}"/>
    <cellStyle name="20 % - Markeringsfarve6 5 3" xfId="31157" xr:uid="{84C5DF62-7F25-4D78-82E8-B2FD3C1DA352}"/>
    <cellStyle name="20 % - Markeringsfarve6 5 3 2" xfId="31158" xr:uid="{96F4B578-FCEF-4A98-BE38-0F6D84CC8B7E}"/>
    <cellStyle name="20 % - Markeringsfarve6 5 3 3" xfId="31159" xr:uid="{FC09B64D-8358-44B3-8B25-ABADCEBD29B3}"/>
    <cellStyle name="20 % - Markeringsfarve6 5 4" xfId="31160" xr:uid="{AB1BAE92-D735-4D29-99E4-99816A3AFDA2}"/>
    <cellStyle name="20 % - Markeringsfarve6 5 4 2" xfId="31161" xr:uid="{D00E0238-025D-4D9A-B9AC-0B0DF073717D}"/>
    <cellStyle name="20 % - Markeringsfarve6 5 4 3" xfId="31162" xr:uid="{F7F70B38-AAD4-4FC5-B938-9C53DFCF26CF}"/>
    <cellStyle name="20 % - Markeringsfarve6 5 5" xfId="31163" xr:uid="{B510770B-FE03-47EE-A33F-023E5AC4D941}"/>
    <cellStyle name="20 % - Markeringsfarve6 5 5 2" xfId="31164" xr:uid="{395C65DA-1BD8-4F58-98FB-2D0C365AEE4C}"/>
    <cellStyle name="20 % - Markeringsfarve6 5 5 3" xfId="31165" xr:uid="{CC8C6AA8-7A02-4B14-9FDA-B8F3074941AE}"/>
    <cellStyle name="20 % - Markeringsfarve6 5 6" xfId="31166" xr:uid="{991BC2AD-B5BA-43B9-9F51-6D63CCE92DB1}"/>
    <cellStyle name="20 % - Markeringsfarve6 5 6 2" xfId="31167" xr:uid="{7BA17932-A7A2-4E64-8587-B0AE56EFAF6E}"/>
    <cellStyle name="20 % - Markeringsfarve6 5 6 3" xfId="31168" xr:uid="{17D1CE68-E6E4-4C79-B001-02C5B27100F6}"/>
    <cellStyle name="20 % - Markeringsfarve6 5 7" xfId="31169" xr:uid="{13F370F9-7B14-4B30-B7C3-9EBC96852677}"/>
    <cellStyle name="20 % - Markeringsfarve6 5 7 2" xfId="31170" xr:uid="{FFDEE673-B054-4119-B242-621996D80112}"/>
    <cellStyle name="20 % - Markeringsfarve6 5 8" xfId="31171" xr:uid="{92324F24-D766-4F2F-AC58-E1CF16854C95}"/>
    <cellStyle name="20 % - Markeringsfarve6 6" xfId="23545" xr:uid="{B10AA89B-BDDE-4D20-B3DD-6C208DEE8029}"/>
    <cellStyle name="20 % - Markeringsfarve6 6 2" xfId="23546" xr:uid="{A2605F20-69C1-4A42-B584-D1BAA2A78849}"/>
    <cellStyle name="20 % - Markeringsfarve6 6 3" xfId="31172" xr:uid="{5C5CE64B-68AB-4269-86D8-48EFC96732C6}"/>
    <cellStyle name="20 % - Markeringsfarve6 7" xfId="23547" xr:uid="{2C4EA3CB-545E-44A7-B27E-E073330A8015}"/>
    <cellStyle name="20 % - Markeringsfarve6 7 2" xfId="31173" xr:uid="{FC233293-243C-4DFF-8064-39778D181755}"/>
    <cellStyle name="20 % - Markeringsfarve6 7 3" xfId="31174" xr:uid="{C2C6829E-64DE-42FD-AC1B-CB0694A68C0D}"/>
    <cellStyle name="20 % - Markeringsfarve6 8" xfId="31175" xr:uid="{E3841762-E7A0-4E1C-BDBE-97BB1EC983F3}"/>
    <cellStyle name="20 % - Markeringsfarve6 8 2" xfId="31176" xr:uid="{86DCD0FA-1BDE-4319-94F5-CBEFD13551A5}"/>
    <cellStyle name="20 % - Markeringsfarve6 8 3" xfId="31177" xr:uid="{7ED45D65-F3A1-4CCF-AADA-CAA51A9CE88A}"/>
    <cellStyle name="20 % - Markeringsfarve6 9" xfId="31178" xr:uid="{C3EFB7AC-8203-4E65-A04B-36450B7D8707}"/>
    <cellStyle name="20 % - Markeringsfarve6 9 2" xfId="31179" xr:uid="{A6EAADD4-C498-4B2F-AEEE-3AA64B8F6E3C}"/>
    <cellStyle name="20 % - Markeringsfarve6 9 3" xfId="31180" xr:uid="{835B799A-C1F1-4EAE-A9E0-C62157D81ADE}"/>
    <cellStyle name="20% - Accent1 2" xfId="23548" xr:uid="{DD86783D-1E7C-4654-B9D7-E87B880B5362}"/>
    <cellStyle name="20% - Accent2 2" xfId="23549" xr:uid="{1219D04F-4F36-4635-80A0-5A7A08EF8157}"/>
    <cellStyle name="20% - Accent3 2" xfId="23550" xr:uid="{CF729CE7-30AE-40E8-A4A2-189DC7E90FD2}"/>
    <cellStyle name="20% - Accent4 2" xfId="23551" xr:uid="{E9318D6A-8B70-4C09-B7F4-4EB19F4D4B4F}"/>
    <cellStyle name="20% - Accent5 2" xfId="23552" xr:uid="{9B832F5C-2748-4065-AE78-44142AECAC09}"/>
    <cellStyle name="20% - Accent6 2" xfId="23553" xr:uid="{F31645F1-75D9-4A37-BDC9-D77A0609040F}"/>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2x indented GHG Textfiels" xfId="30231" xr:uid="{18A2797C-E355-4D28-9952-9335090C98DC}"/>
    <cellStyle name="40 % - Markeringsfarve1" xfId="1271" xr:uid="{00000000-0005-0000-0000-000018000000}"/>
    <cellStyle name="40 % - Markeringsfarve1 10" xfId="31181" xr:uid="{754A9B5B-DC4D-4DE6-8531-BFBAAD1BC948}"/>
    <cellStyle name="40 % - Markeringsfarve1 10 2" xfId="31182" xr:uid="{6CE5E172-69FB-401F-B210-5A02885A086C}"/>
    <cellStyle name="40 % - Markeringsfarve1 10 3" xfId="31183" xr:uid="{958D1080-4361-4489-9194-83EFC40DCD02}"/>
    <cellStyle name="40 % - Markeringsfarve1 11" xfId="31184" xr:uid="{9C8BB0C7-3547-4AA4-B3CF-4FB5C789681B}"/>
    <cellStyle name="40 % - Markeringsfarve1 11 2" xfId="31185" xr:uid="{2D087EB0-E844-4133-8F7F-A3B263C0C448}"/>
    <cellStyle name="40 % - Markeringsfarve1 12" xfId="31186" xr:uid="{4F766CBA-7889-436B-B468-C56E87152860}"/>
    <cellStyle name="40 % - Markeringsfarve1 13" xfId="17729" xr:uid="{430B612F-FB94-4738-A46B-79F28A4446C9}"/>
    <cellStyle name="40 % - Markeringsfarve1 2" xfId="1272" xr:uid="{00000000-0005-0000-0000-000019000000}"/>
    <cellStyle name="40 % - Markeringsfarve1 2 10" xfId="31187" xr:uid="{2C3E6472-68B9-41AB-8F9B-A68CA2451FEB}"/>
    <cellStyle name="40 % - Markeringsfarve1 2 11" xfId="17730" xr:uid="{909B46D3-ECA6-407D-81A5-582DA74544BE}"/>
    <cellStyle name="40 % - Markeringsfarve1 2 2" xfId="23554" xr:uid="{E938EDD8-552E-4A8C-88F0-9D95205A9D55}"/>
    <cellStyle name="40 % - Markeringsfarve1 2 2 2" xfId="23555" xr:uid="{8CBCE1B8-D570-437D-9C99-39F95F8CE793}"/>
    <cellStyle name="40 % - Markeringsfarve1 2 2 2 2" xfId="31188" xr:uid="{8936E664-42C3-4DB8-B347-96BFC3A2C0EE}"/>
    <cellStyle name="40 % - Markeringsfarve1 2 2 2 3" xfId="31189" xr:uid="{41DC6CA6-41DE-47C2-AA12-C601CB9C9935}"/>
    <cellStyle name="40 % - Markeringsfarve1 2 2 3" xfId="31190" xr:uid="{F8A0FA14-FB6E-4460-88A7-D88F383B0D49}"/>
    <cellStyle name="40 % - Markeringsfarve1 2 2 3 2" xfId="31191" xr:uid="{39FBFE5B-AB1C-4516-ADE7-9BB10AA2B3D9}"/>
    <cellStyle name="40 % - Markeringsfarve1 2 2 3 3" xfId="31192" xr:uid="{01F46432-6F33-4A54-8B94-C3105187AEC0}"/>
    <cellStyle name="40 % - Markeringsfarve1 2 2 4" xfId="31193" xr:uid="{BEC04778-8CC0-4F1E-B1DF-07EB5C4EFFC9}"/>
    <cellStyle name="40 % - Markeringsfarve1 2 2 4 2" xfId="31194" xr:uid="{69D4B903-0DDE-4483-BE55-9D99CC67CBBF}"/>
    <cellStyle name="40 % - Markeringsfarve1 2 2 4 3" xfId="31195" xr:uid="{0B4A8A4B-C1CF-4C2B-BAF3-F9F9D822F7EE}"/>
    <cellStyle name="40 % - Markeringsfarve1 2 2 5" xfId="31196" xr:uid="{39A733E0-8DA6-4028-B4C6-2242B584DD4F}"/>
    <cellStyle name="40 % - Markeringsfarve1 2 2 5 2" xfId="31197" xr:uid="{7A8F5F1A-ADDD-4B8A-9F30-D5AE55A35463}"/>
    <cellStyle name="40 % - Markeringsfarve1 2 2 5 3" xfId="31198" xr:uid="{9DB1705B-973E-4A71-B463-6967AE3E2EE9}"/>
    <cellStyle name="40 % - Markeringsfarve1 2 2 6" xfId="31199" xr:uid="{7AE9CE08-4703-47F3-B82E-F03572E501FD}"/>
    <cellStyle name="40 % - Markeringsfarve1 2 2 6 2" xfId="31200" xr:uid="{2412BB32-5D51-4E0A-9183-4495081307D4}"/>
    <cellStyle name="40 % - Markeringsfarve1 2 2 6 3" xfId="31201" xr:uid="{4761C4B5-B420-4681-BD07-415D4078C343}"/>
    <cellStyle name="40 % - Markeringsfarve1 2 2 7" xfId="31202" xr:uid="{6ED5CEF6-21C2-4D54-9F5D-7790CAFA47ED}"/>
    <cellStyle name="40 % - Markeringsfarve1 2 2 7 2" xfId="31203" xr:uid="{D64C1101-505E-4DA8-BC58-CFB85DCA60BD}"/>
    <cellStyle name="40 % - Markeringsfarve1 2 2 8" xfId="31204" xr:uid="{B150B478-0AAE-4509-B92A-6F076E67AED0}"/>
    <cellStyle name="40 % - Markeringsfarve1 2 3" xfId="23556" xr:uid="{DCFA0D44-87DC-4298-9D3F-5CBB71A01858}"/>
    <cellStyle name="40 % - Markeringsfarve1 2 3 2" xfId="23557" xr:uid="{775C4673-EE36-4EBA-8A07-C7C6088D070E}"/>
    <cellStyle name="40 % - Markeringsfarve1 2 3 2 2" xfId="31205" xr:uid="{1C3B6476-777D-4BE8-A7A6-CD941A456523}"/>
    <cellStyle name="40 % - Markeringsfarve1 2 3 2 3" xfId="31206" xr:uid="{5427FC99-A680-468A-A9BA-9B0391E1F588}"/>
    <cellStyle name="40 % - Markeringsfarve1 2 3 3" xfId="31207" xr:uid="{181FDEBA-822C-4C9C-AF9F-DE59B8FAEF50}"/>
    <cellStyle name="40 % - Markeringsfarve1 2 3 3 2" xfId="31208" xr:uid="{8E5D7DF1-2CD9-4450-9191-D21633250043}"/>
    <cellStyle name="40 % - Markeringsfarve1 2 3 3 3" xfId="31209" xr:uid="{02F6D3A2-090E-46F3-AA02-BD3FA0E3D474}"/>
    <cellStyle name="40 % - Markeringsfarve1 2 3 4" xfId="31210" xr:uid="{3A4231B8-49EE-4C1E-9159-BA5E09D79CEA}"/>
    <cellStyle name="40 % - Markeringsfarve1 2 3 4 2" xfId="31211" xr:uid="{AF91965A-EE52-40C6-871C-D7D89E5C28A9}"/>
    <cellStyle name="40 % - Markeringsfarve1 2 3 4 3" xfId="31212" xr:uid="{7C8CE79A-B2CF-4E34-AD99-C2B5B1787E87}"/>
    <cellStyle name="40 % - Markeringsfarve1 2 3 5" xfId="31213" xr:uid="{B8185520-ED0B-4BEA-8AC5-F4B58F862EEA}"/>
    <cellStyle name="40 % - Markeringsfarve1 2 3 5 2" xfId="31214" xr:uid="{544C4FAD-34EE-4903-A2CA-5B5F57EA92F7}"/>
    <cellStyle name="40 % - Markeringsfarve1 2 3 5 3" xfId="31215" xr:uid="{2DCE0B1C-3B5B-4726-9E4F-1C945EE3F38C}"/>
    <cellStyle name="40 % - Markeringsfarve1 2 3 6" xfId="31216" xr:uid="{167D6C17-5493-4609-905A-5A397656DE4D}"/>
    <cellStyle name="40 % - Markeringsfarve1 2 3 6 2" xfId="31217" xr:uid="{50364191-7ECE-46E3-8DB1-F0CBEE8E1A64}"/>
    <cellStyle name="40 % - Markeringsfarve1 2 3 6 3" xfId="31218" xr:uid="{8B4F63E2-D878-472F-ADCC-3B64C077A233}"/>
    <cellStyle name="40 % - Markeringsfarve1 2 3 7" xfId="31219" xr:uid="{61E8E132-D74C-4D27-B961-2D48A212AC97}"/>
    <cellStyle name="40 % - Markeringsfarve1 2 3 7 2" xfId="31220" xr:uid="{7D3CD01F-3D24-4F2C-B4F0-307A10BB5DAA}"/>
    <cellStyle name="40 % - Markeringsfarve1 2 3 8" xfId="31221" xr:uid="{A279D220-1B39-4945-8255-5DBBCC6B8512}"/>
    <cellStyle name="40 % - Markeringsfarve1 2 4" xfId="23558" xr:uid="{8C8B98F1-1F32-40D4-8A09-0CF7C7B9D670}"/>
    <cellStyle name="40 % - Markeringsfarve1 2 4 2" xfId="31222" xr:uid="{FE7E65AB-E630-474C-8E84-7AD95D549E30}"/>
    <cellStyle name="40 % - Markeringsfarve1 2 4 3" xfId="31223" xr:uid="{8AB4A9FE-0775-4E96-AF97-6001F3733039}"/>
    <cellStyle name="40 % - Markeringsfarve1 2 5" xfId="31224" xr:uid="{FA063C44-050F-4284-B653-466C59EF8CF9}"/>
    <cellStyle name="40 % - Markeringsfarve1 2 5 2" xfId="31225" xr:uid="{FF082F8F-8DF3-4985-B4DD-32FE774DCA52}"/>
    <cellStyle name="40 % - Markeringsfarve1 2 5 3" xfId="31226" xr:uid="{A2B8C09E-3BEE-4ED0-9597-050283C44687}"/>
    <cellStyle name="40 % - Markeringsfarve1 2 6" xfId="31227" xr:uid="{F814B800-28D9-47BB-9017-3EEE01467925}"/>
    <cellStyle name="40 % - Markeringsfarve1 2 6 2" xfId="31228" xr:uid="{5408926E-0ED1-46B1-9B6A-BC3997F8C03C}"/>
    <cellStyle name="40 % - Markeringsfarve1 2 6 3" xfId="31229" xr:uid="{99239901-63C4-4979-AE70-5B7AD23E4B8F}"/>
    <cellStyle name="40 % - Markeringsfarve1 2 7" xfId="31230" xr:uid="{52AA5351-8B5D-41A6-9DC6-BB10427275C4}"/>
    <cellStyle name="40 % - Markeringsfarve1 2 7 2" xfId="31231" xr:uid="{AAD93BCB-1C84-45EF-A87D-D1FE6D8501FD}"/>
    <cellStyle name="40 % - Markeringsfarve1 2 7 3" xfId="31232" xr:uid="{EDF51C58-5C70-4955-AF26-EE1C3E34079F}"/>
    <cellStyle name="40 % - Markeringsfarve1 2 8" xfId="31233" xr:uid="{0640854A-6C7E-45E4-B98A-46C7BAB077B8}"/>
    <cellStyle name="40 % - Markeringsfarve1 2 8 2" xfId="31234" xr:uid="{7C53F166-A09F-45C1-A06D-BF7456BAB9BE}"/>
    <cellStyle name="40 % - Markeringsfarve1 2 8 3" xfId="31235" xr:uid="{233A68E6-FCE2-4EDD-99F3-C5FB971F6165}"/>
    <cellStyle name="40 % - Markeringsfarve1 2 9" xfId="31236" xr:uid="{9CC62FDE-A8D8-43A2-ADB8-BFCF1964F97E}"/>
    <cellStyle name="40 % - Markeringsfarve1 2 9 2" xfId="31237" xr:uid="{F1E66E8B-DD40-4875-B867-033B57E5E2D3}"/>
    <cellStyle name="40 % - Markeringsfarve1 3" xfId="2591" xr:uid="{F1D287DE-09C5-4118-AEA0-C4812786FA53}"/>
    <cellStyle name="40 % - Markeringsfarve1 3 10" xfId="31238" xr:uid="{B727EB35-34BD-4477-ABF8-A43DD0A0D8DA}"/>
    <cellStyle name="40 % - Markeringsfarve1 3 2" xfId="23559" xr:uid="{B2ACC7B2-B4E1-4827-A9D7-0856DC67CD45}"/>
    <cellStyle name="40 % - Markeringsfarve1 3 2 2" xfId="31239" xr:uid="{BBA9956B-77B7-4AB3-A613-0D969248F788}"/>
    <cellStyle name="40 % - Markeringsfarve1 3 2 2 2" xfId="31240" xr:uid="{EAD1D8DF-11AD-44B1-A673-B5FFC8A2374A}"/>
    <cellStyle name="40 % - Markeringsfarve1 3 2 2 3" xfId="31241" xr:uid="{05D2E921-2402-4086-AA1D-788F8E63D470}"/>
    <cellStyle name="40 % - Markeringsfarve1 3 2 3" xfId="31242" xr:uid="{CF29AC69-D944-4FAC-A457-E25C8A08535D}"/>
    <cellStyle name="40 % - Markeringsfarve1 3 2 3 2" xfId="31243" xr:uid="{D468BC0E-B401-45B2-BBB2-3A9BBEFA9122}"/>
    <cellStyle name="40 % - Markeringsfarve1 3 2 3 3" xfId="31244" xr:uid="{67BB5A27-9206-4C10-8A20-E331F3D9D9AE}"/>
    <cellStyle name="40 % - Markeringsfarve1 3 2 4" xfId="31245" xr:uid="{C4C57367-55C4-4928-A6A8-7A666A1B8621}"/>
    <cellStyle name="40 % - Markeringsfarve1 3 2 4 2" xfId="31246" xr:uid="{49DDE76C-9707-4F40-874E-17CA0AED762C}"/>
    <cellStyle name="40 % - Markeringsfarve1 3 2 4 3" xfId="31247" xr:uid="{9E64C787-A7D1-49DE-816E-68BDCD83D08F}"/>
    <cellStyle name="40 % - Markeringsfarve1 3 2 5" xfId="31248" xr:uid="{1814AC1A-ACD8-45E1-859D-FF17AF055854}"/>
    <cellStyle name="40 % - Markeringsfarve1 3 2 5 2" xfId="31249" xr:uid="{64ED8D6A-2EF6-46C5-91AC-11B3B17ED5B6}"/>
    <cellStyle name="40 % - Markeringsfarve1 3 2 5 3" xfId="31250" xr:uid="{F4DDD204-4D9D-47A8-9448-B8F1B5368C35}"/>
    <cellStyle name="40 % - Markeringsfarve1 3 2 6" xfId="31251" xr:uid="{30026527-E287-481F-9A01-030CD92ABD91}"/>
    <cellStyle name="40 % - Markeringsfarve1 3 2 6 2" xfId="31252" xr:uid="{BE43E6CE-6BA3-4012-BFD5-F7A5DE4EBF22}"/>
    <cellStyle name="40 % - Markeringsfarve1 3 2 6 3" xfId="31253" xr:uid="{0B120881-71CE-4603-823F-6075143E470C}"/>
    <cellStyle name="40 % - Markeringsfarve1 3 2 7" xfId="31254" xr:uid="{9B481735-3A88-407C-927A-D83815BB3716}"/>
    <cellStyle name="40 % - Markeringsfarve1 3 2 7 2" xfId="31255" xr:uid="{7E06EDE6-3361-4F5C-9841-5D69AD435D16}"/>
    <cellStyle name="40 % - Markeringsfarve1 3 2 8" xfId="31256" xr:uid="{EAB03D78-BA67-47C4-A3EB-200185ACE509}"/>
    <cellStyle name="40 % - Markeringsfarve1 3 3" xfId="31257" xr:uid="{6672053F-5089-4EE3-8061-49E9DAA73E41}"/>
    <cellStyle name="40 % - Markeringsfarve1 3 3 2" xfId="31258" xr:uid="{A94059A8-E62E-41D8-91C4-54444174CAE9}"/>
    <cellStyle name="40 % - Markeringsfarve1 3 3 2 2" xfId="31259" xr:uid="{A6307EF9-C734-4B8F-89AD-C5E94FF4DB4C}"/>
    <cellStyle name="40 % - Markeringsfarve1 3 3 2 3" xfId="31260" xr:uid="{D4224E4D-670F-4FB1-ACC7-2CDD295B439E}"/>
    <cellStyle name="40 % - Markeringsfarve1 3 3 3" xfId="31261" xr:uid="{4AD39D84-BCD5-400F-AF3E-460F54A636C8}"/>
    <cellStyle name="40 % - Markeringsfarve1 3 3 3 2" xfId="31262" xr:uid="{D2E8AA7F-84E2-4476-A92D-82968D4006E2}"/>
    <cellStyle name="40 % - Markeringsfarve1 3 3 3 3" xfId="31263" xr:uid="{0714A3C3-8C29-4A51-A979-8E64E71ADBF9}"/>
    <cellStyle name="40 % - Markeringsfarve1 3 3 4" xfId="31264" xr:uid="{BB706464-5C6B-42EC-9E44-1AC0D38E1D06}"/>
    <cellStyle name="40 % - Markeringsfarve1 3 3 4 2" xfId="31265" xr:uid="{0E59D3C9-169C-4EF4-A4A8-8AB165D9B509}"/>
    <cellStyle name="40 % - Markeringsfarve1 3 3 4 3" xfId="31266" xr:uid="{D09D64D3-AC09-4709-9409-6D66292AA0DA}"/>
    <cellStyle name="40 % - Markeringsfarve1 3 3 5" xfId="31267" xr:uid="{0D5FEC0E-3614-4970-9D09-8958802B3202}"/>
    <cellStyle name="40 % - Markeringsfarve1 3 3 5 2" xfId="31268" xr:uid="{A9611006-5746-46E9-A8FE-D22B09B46E7F}"/>
    <cellStyle name="40 % - Markeringsfarve1 3 3 5 3" xfId="31269" xr:uid="{C7221DD8-C567-45F2-B1BF-D352A6DEE1C1}"/>
    <cellStyle name="40 % - Markeringsfarve1 3 3 6" xfId="31270" xr:uid="{953DC9E1-C23B-4359-95D1-D752FFC35DC4}"/>
    <cellStyle name="40 % - Markeringsfarve1 3 3 6 2" xfId="31271" xr:uid="{72E755FA-195B-4A9A-BA1F-24E3C134561F}"/>
    <cellStyle name="40 % - Markeringsfarve1 3 3 6 3" xfId="31272" xr:uid="{DA5394D4-C76D-448F-97B5-716C95237374}"/>
    <cellStyle name="40 % - Markeringsfarve1 3 3 7" xfId="31273" xr:uid="{8C2418A0-92FD-4580-AD6B-8F32F22BDDBA}"/>
    <cellStyle name="40 % - Markeringsfarve1 3 3 7 2" xfId="31274" xr:uid="{D6142766-3810-4C52-898D-A39D94544C63}"/>
    <cellStyle name="40 % - Markeringsfarve1 3 3 8" xfId="31275" xr:uid="{344565BC-76D6-46CD-B4D5-F3A3F5B3816E}"/>
    <cellStyle name="40 % - Markeringsfarve1 3 4" xfId="31276" xr:uid="{3BB28A5C-94F3-4CA6-B4E0-183A0E3A0BF8}"/>
    <cellStyle name="40 % - Markeringsfarve1 3 4 2" xfId="31277" xr:uid="{07449BEC-2FB9-4D49-8FB1-89BEC9F7B1EE}"/>
    <cellStyle name="40 % - Markeringsfarve1 3 4 3" xfId="31278" xr:uid="{6D3A8D18-6548-4428-9C77-93C29DC1938D}"/>
    <cellStyle name="40 % - Markeringsfarve1 3 5" xfId="31279" xr:uid="{D0F92088-74BF-41F0-9636-0216E82F12A2}"/>
    <cellStyle name="40 % - Markeringsfarve1 3 5 2" xfId="31280" xr:uid="{E3BCB28B-F0BC-42A9-A4ED-8FC53E91B45E}"/>
    <cellStyle name="40 % - Markeringsfarve1 3 5 3" xfId="31281" xr:uid="{39991177-3F3F-4AED-9A5B-C6BB322929EB}"/>
    <cellStyle name="40 % - Markeringsfarve1 3 6" xfId="31282" xr:uid="{BA48508B-D940-45BC-8D34-AA20226F527C}"/>
    <cellStyle name="40 % - Markeringsfarve1 3 6 2" xfId="31283" xr:uid="{1E718622-2523-4D0A-990C-F0323700F783}"/>
    <cellStyle name="40 % - Markeringsfarve1 3 6 3" xfId="31284" xr:uid="{BF29723F-11D5-467B-B532-B64A63A9EBFA}"/>
    <cellStyle name="40 % - Markeringsfarve1 3 7" xfId="31285" xr:uid="{0D684484-53A4-4398-98D1-62CF7D4E8C14}"/>
    <cellStyle name="40 % - Markeringsfarve1 3 7 2" xfId="31286" xr:uid="{26680639-6D96-411C-9D1B-73ACA82B3AF2}"/>
    <cellStyle name="40 % - Markeringsfarve1 3 7 3" xfId="31287" xr:uid="{307C0BB8-C7D2-4A05-BACE-0A5C435CAB23}"/>
    <cellStyle name="40 % - Markeringsfarve1 3 8" xfId="31288" xr:uid="{457AB07D-B00F-40CA-B41C-23FE7CD8F632}"/>
    <cellStyle name="40 % - Markeringsfarve1 3 8 2" xfId="31289" xr:uid="{3E9380CA-6F30-429A-B5E8-414055392C26}"/>
    <cellStyle name="40 % - Markeringsfarve1 3 8 3" xfId="31290" xr:uid="{71F6C1A4-7273-489E-8A47-4104D8488DD8}"/>
    <cellStyle name="40 % - Markeringsfarve1 3 9" xfId="31291" xr:uid="{2CE17BFD-7CEA-42E3-8AF6-169BD3C9E550}"/>
    <cellStyle name="40 % - Markeringsfarve1 3 9 2" xfId="31292" xr:uid="{6C926A71-AAEA-473D-B693-704D60A328B9}"/>
    <cellStyle name="40 % - Markeringsfarve1 4" xfId="23560" xr:uid="{2173E19B-936C-4058-A3F1-4A40AC489D86}"/>
    <cellStyle name="40 % - Markeringsfarve1 4 2" xfId="23561" xr:uid="{89C9F172-8089-46C9-8BE6-33A518089120}"/>
    <cellStyle name="40 % - Markeringsfarve1 4 2 2" xfId="31293" xr:uid="{42910B5C-C7A1-472F-B12D-EA921B7FB29E}"/>
    <cellStyle name="40 % - Markeringsfarve1 4 2 3" xfId="31294" xr:uid="{9E4916C4-20DC-44C4-869A-71623B0DA798}"/>
    <cellStyle name="40 % - Markeringsfarve1 4 3" xfId="31295" xr:uid="{2EFAC741-4077-479F-B52C-4977C9A57FE2}"/>
    <cellStyle name="40 % - Markeringsfarve1 4 3 2" xfId="31296" xr:uid="{5D6545F1-E8A1-40B6-8991-A7296A837FAD}"/>
    <cellStyle name="40 % - Markeringsfarve1 4 3 3" xfId="31297" xr:uid="{4B7FE20C-9A3F-4169-BD44-F0DFD0BB619A}"/>
    <cellStyle name="40 % - Markeringsfarve1 4 4" xfId="31298" xr:uid="{250298AB-6898-48D3-B898-8A3FF06BF2F4}"/>
    <cellStyle name="40 % - Markeringsfarve1 4 4 2" xfId="31299" xr:uid="{2AAFABC3-1BC6-4695-AE38-A908FF4121A1}"/>
    <cellStyle name="40 % - Markeringsfarve1 4 4 3" xfId="31300" xr:uid="{D79815C3-A96A-4AD8-9D63-B978FEF5E506}"/>
    <cellStyle name="40 % - Markeringsfarve1 4 5" xfId="31301" xr:uid="{D1D0386A-5321-416E-831B-1BC8CE945AFA}"/>
    <cellStyle name="40 % - Markeringsfarve1 4 5 2" xfId="31302" xr:uid="{89E6D132-3A17-4D34-9FEE-5B7D33C38B5C}"/>
    <cellStyle name="40 % - Markeringsfarve1 4 5 3" xfId="31303" xr:uid="{6AC1557C-95C6-40FA-9CDE-2BBCEC188322}"/>
    <cellStyle name="40 % - Markeringsfarve1 4 6" xfId="31304" xr:uid="{D067BF8F-2CA2-4851-AB72-D6802FAF17F0}"/>
    <cellStyle name="40 % - Markeringsfarve1 4 6 2" xfId="31305" xr:uid="{8197B634-905E-4E42-A89C-18ADE104E70A}"/>
    <cellStyle name="40 % - Markeringsfarve1 4 6 3" xfId="31306" xr:uid="{412C7245-8CF6-43DC-B176-FE9C4A18FF1C}"/>
    <cellStyle name="40 % - Markeringsfarve1 4 7" xfId="31307" xr:uid="{6840B232-535A-4F1E-A24C-972D7D5F04AD}"/>
    <cellStyle name="40 % - Markeringsfarve1 4 7 2" xfId="31308" xr:uid="{25953460-81A5-4E99-8BF6-ABF77833F6F0}"/>
    <cellStyle name="40 % - Markeringsfarve1 4 8" xfId="31309" xr:uid="{44B620ED-E94F-4A7E-90FC-642853FF1CA3}"/>
    <cellStyle name="40 % - Markeringsfarve1 5" xfId="23562" xr:uid="{10B2D19E-ABA2-4906-AB51-A4D5A23918A6}"/>
    <cellStyle name="40 % - Markeringsfarve1 5 2" xfId="23563" xr:uid="{C8996C41-2251-4F82-AA2D-154FA5CE5A41}"/>
    <cellStyle name="40 % - Markeringsfarve1 5 2 2" xfId="31310" xr:uid="{6D3E5041-15D8-4B77-B954-087C768A9A0E}"/>
    <cellStyle name="40 % - Markeringsfarve1 5 2 3" xfId="31311" xr:uid="{DD2EF52C-8D13-4C05-884D-2016336AAC2D}"/>
    <cellStyle name="40 % - Markeringsfarve1 5 3" xfId="31312" xr:uid="{16589480-32EB-47F9-AF75-643747B63180}"/>
    <cellStyle name="40 % - Markeringsfarve1 5 3 2" xfId="31313" xr:uid="{E2EA57D7-1926-4787-9D58-3C6BF055CFD6}"/>
    <cellStyle name="40 % - Markeringsfarve1 5 3 3" xfId="31314" xr:uid="{4E32FF56-4082-4951-8749-6EDF26CBAF36}"/>
    <cellStyle name="40 % - Markeringsfarve1 5 4" xfId="31315" xr:uid="{6B006EF8-C8FD-4EB8-A898-A9EEDEE1FACA}"/>
    <cellStyle name="40 % - Markeringsfarve1 5 4 2" xfId="31316" xr:uid="{A6F591C2-8474-4AB5-8855-13D832D7CF40}"/>
    <cellStyle name="40 % - Markeringsfarve1 5 4 3" xfId="31317" xr:uid="{4A830092-BCC9-4DD7-9FB8-78DA12F7DC67}"/>
    <cellStyle name="40 % - Markeringsfarve1 5 5" xfId="31318" xr:uid="{F60F8A7B-B0D5-4F4D-AC1D-0D698A1EFAD2}"/>
    <cellStyle name="40 % - Markeringsfarve1 5 5 2" xfId="31319" xr:uid="{8C9DC8D5-0F7B-4EF2-8BEC-F8E8A527B104}"/>
    <cellStyle name="40 % - Markeringsfarve1 5 5 3" xfId="31320" xr:uid="{F2F252D3-4B48-49B0-B8E0-B05D47AC887D}"/>
    <cellStyle name="40 % - Markeringsfarve1 5 6" xfId="31321" xr:uid="{4126B669-CF82-43EF-BC0B-5E9A3C0A96D1}"/>
    <cellStyle name="40 % - Markeringsfarve1 5 6 2" xfId="31322" xr:uid="{DB19BDDC-5556-4A1D-8B49-6E60F12AABF3}"/>
    <cellStyle name="40 % - Markeringsfarve1 5 6 3" xfId="31323" xr:uid="{61FE6E7B-CF5B-4608-9040-51DE3A657E2A}"/>
    <cellStyle name="40 % - Markeringsfarve1 5 7" xfId="31324" xr:uid="{967A44FB-ED1F-4B65-8335-FEB18A362C68}"/>
    <cellStyle name="40 % - Markeringsfarve1 5 7 2" xfId="31325" xr:uid="{0BCB15D6-BC4B-4FC2-9B78-439806B15E50}"/>
    <cellStyle name="40 % - Markeringsfarve1 5 8" xfId="31326" xr:uid="{81965027-3EFC-42FB-BF8C-E3526F45D43B}"/>
    <cellStyle name="40 % - Markeringsfarve1 6" xfId="23564" xr:uid="{6D2ABF1F-5552-4478-AF0B-C3C124E58037}"/>
    <cellStyle name="40 % - Markeringsfarve1 6 2" xfId="23565" xr:uid="{E332AB53-1BB4-4059-99D7-532A2EFA1B30}"/>
    <cellStyle name="40 % - Markeringsfarve1 6 3" xfId="31327" xr:uid="{E1C4E005-3706-47A9-B8C5-8BBA0E4BA836}"/>
    <cellStyle name="40 % - Markeringsfarve1 7" xfId="23566" xr:uid="{F2178E5E-2FB9-446E-86B1-D6AFB055BEC2}"/>
    <cellStyle name="40 % - Markeringsfarve1 7 2" xfId="31328" xr:uid="{3892E2F9-BAB3-4D91-A73D-69D876C44BD3}"/>
    <cellStyle name="40 % - Markeringsfarve1 7 3" xfId="31329" xr:uid="{E12BC252-3EEC-4764-8744-49DF5ACCC37D}"/>
    <cellStyle name="40 % - Markeringsfarve1 8" xfId="31330" xr:uid="{E504C238-99E3-4412-B844-E261887C185E}"/>
    <cellStyle name="40 % - Markeringsfarve1 8 2" xfId="31331" xr:uid="{4F5D58E5-C50A-4933-B06C-5F2499E3036B}"/>
    <cellStyle name="40 % - Markeringsfarve1 8 3" xfId="31332" xr:uid="{C6C73769-DCB4-49FB-9C9B-1F3629464FBF}"/>
    <cellStyle name="40 % - Markeringsfarve1 9" xfId="31333" xr:uid="{F8F74EBA-2374-46DA-BA9D-0A6C7EEB0791}"/>
    <cellStyle name="40 % - Markeringsfarve1 9 2" xfId="31334" xr:uid="{6DDBBB6F-EDC6-46E8-B3EA-4FDF387E5267}"/>
    <cellStyle name="40 % - Markeringsfarve1 9 3" xfId="31335" xr:uid="{8BC0FD0C-6762-4CA1-A7C4-102E1E313817}"/>
    <cellStyle name="40 % - Markeringsfarve2" xfId="1273" xr:uid="{00000000-0005-0000-0000-00001A000000}"/>
    <cellStyle name="40 % - Markeringsfarve2 10" xfId="31336" xr:uid="{4DED7AFA-D610-48AF-B07F-7915EE190ABE}"/>
    <cellStyle name="40 % - Markeringsfarve2 10 2" xfId="31337" xr:uid="{660B71C8-2EB9-4C8A-A928-B9298EBD3E67}"/>
    <cellStyle name="40 % - Markeringsfarve2 10 3" xfId="31338" xr:uid="{929CC669-C37D-4FC0-82D3-ED9CF9BD3FD2}"/>
    <cellStyle name="40 % - Markeringsfarve2 11" xfId="31339" xr:uid="{D565961F-FED2-41C5-BC77-0DC9C4291056}"/>
    <cellStyle name="40 % - Markeringsfarve2 11 2" xfId="31340" xr:uid="{5BE68803-2E45-4501-BBD3-DCEE9D03B6A4}"/>
    <cellStyle name="40 % - Markeringsfarve2 12" xfId="31341" xr:uid="{CBCA8456-989C-4681-BBC8-B50702BD7E0C}"/>
    <cellStyle name="40 % - Markeringsfarve2 13" xfId="17731" xr:uid="{8D5B3B87-2FD9-456A-B8CB-1848FC2472D4}"/>
    <cellStyle name="40 % - Markeringsfarve2 2" xfId="1274" xr:uid="{00000000-0005-0000-0000-00001B000000}"/>
    <cellStyle name="40 % - Markeringsfarve2 2 10" xfId="31342" xr:uid="{68FFC557-93E8-4FBA-98F0-A5FF913ECAC4}"/>
    <cellStyle name="40 % - Markeringsfarve2 2 11" xfId="17732" xr:uid="{D164C4B4-34CE-4B5C-B75E-474948711B14}"/>
    <cellStyle name="40 % - Markeringsfarve2 2 2" xfId="23567" xr:uid="{42C07D6F-176B-4AA7-9F79-89AE33BD6E81}"/>
    <cellStyle name="40 % - Markeringsfarve2 2 2 2" xfId="23568" xr:uid="{18441E0D-CD22-488D-B807-31D582BC193C}"/>
    <cellStyle name="40 % - Markeringsfarve2 2 2 2 2" xfId="31343" xr:uid="{2F040F8A-9E8B-4AC3-A366-DBB7939AC070}"/>
    <cellStyle name="40 % - Markeringsfarve2 2 2 2 3" xfId="31344" xr:uid="{F950EAA8-B8C1-4331-9483-8B73068A8EDC}"/>
    <cellStyle name="40 % - Markeringsfarve2 2 2 3" xfId="31345" xr:uid="{1F473F59-0BBD-4CAF-A69D-1EAA8BC37161}"/>
    <cellStyle name="40 % - Markeringsfarve2 2 2 3 2" xfId="31346" xr:uid="{D49152F8-CB8C-4104-A8D4-75125E87071C}"/>
    <cellStyle name="40 % - Markeringsfarve2 2 2 3 3" xfId="31347" xr:uid="{954B7B35-6C8C-41AC-B259-CB0CA6C0368C}"/>
    <cellStyle name="40 % - Markeringsfarve2 2 2 4" xfId="31348" xr:uid="{93262038-B52D-40E2-BC3B-315EDC75CC21}"/>
    <cellStyle name="40 % - Markeringsfarve2 2 2 4 2" xfId="31349" xr:uid="{C2415E53-2383-43FC-878C-1301436D2521}"/>
    <cellStyle name="40 % - Markeringsfarve2 2 2 4 3" xfId="31350" xr:uid="{C5B01F66-9577-413C-A6C6-11E602C144D1}"/>
    <cellStyle name="40 % - Markeringsfarve2 2 2 5" xfId="31351" xr:uid="{B2CC60B6-8A35-447B-9735-4D4BDEC6661A}"/>
    <cellStyle name="40 % - Markeringsfarve2 2 2 5 2" xfId="31352" xr:uid="{DF1496C1-266B-4749-B18F-A1C0FBD17DAA}"/>
    <cellStyle name="40 % - Markeringsfarve2 2 2 5 3" xfId="31353" xr:uid="{D03EDE31-5943-42D8-9162-7FE0C9062C57}"/>
    <cellStyle name="40 % - Markeringsfarve2 2 2 6" xfId="31354" xr:uid="{3093355E-2A01-442C-8AC9-F29C45CDDC52}"/>
    <cellStyle name="40 % - Markeringsfarve2 2 2 6 2" xfId="31355" xr:uid="{251CEE27-B703-4584-9A84-B189A912C2B7}"/>
    <cellStyle name="40 % - Markeringsfarve2 2 2 6 3" xfId="31356" xr:uid="{297EFF1A-59C9-4511-9754-F45A7F42616C}"/>
    <cellStyle name="40 % - Markeringsfarve2 2 2 7" xfId="31357" xr:uid="{23EEFBFE-F7F8-4657-8EA5-7CC9F6601B5E}"/>
    <cellStyle name="40 % - Markeringsfarve2 2 2 7 2" xfId="31358" xr:uid="{6B6C595B-39EE-4808-8296-7C00E9A5893C}"/>
    <cellStyle name="40 % - Markeringsfarve2 2 2 8" xfId="31359" xr:uid="{618A1C44-AD82-46FD-8DCF-0E0D50EE8028}"/>
    <cellStyle name="40 % - Markeringsfarve2 2 3" xfId="23569" xr:uid="{A55D2A89-42FD-4E68-8A77-A826AAFB5EF8}"/>
    <cellStyle name="40 % - Markeringsfarve2 2 3 2" xfId="23570" xr:uid="{C4E57587-7917-48D8-8A99-206C3C91B467}"/>
    <cellStyle name="40 % - Markeringsfarve2 2 3 2 2" xfId="31360" xr:uid="{74BE3748-EA8E-4F5A-9FBC-85AAFC7EE9EF}"/>
    <cellStyle name="40 % - Markeringsfarve2 2 3 2 3" xfId="31361" xr:uid="{0B6446D0-7D77-4F5A-A824-36E6CDA2D181}"/>
    <cellStyle name="40 % - Markeringsfarve2 2 3 3" xfId="31362" xr:uid="{9FA2119E-9943-4DE6-8B5D-3D5C157DA9BE}"/>
    <cellStyle name="40 % - Markeringsfarve2 2 3 3 2" xfId="31363" xr:uid="{A598CE34-E017-483C-A275-520430C7CDC1}"/>
    <cellStyle name="40 % - Markeringsfarve2 2 3 3 3" xfId="31364" xr:uid="{2428A835-5B3A-487B-9940-FA21B9D504A8}"/>
    <cellStyle name="40 % - Markeringsfarve2 2 3 4" xfId="31365" xr:uid="{FB23E754-A7F6-4D2C-9870-A931F50DC6FB}"/>
    <cellStyle name="40 % - Markeringsfarve2 2 3 4 2" xfId="31366" xr:uid="{FAE1577E-009E-40B0-A2F3-7BB6A8E562D9}"/>
    <cellStyle name="40 % - Markeringsfarve2 2 3 4 3" xfId="31367" xr:uid="{C3F64F9C-9411-4D2E-9229-EBEA06FE9AAA}"/>
    <cellStyle name="40 % - Markeringsfarve2 2 3 5" xfId="31368" xr:uid="{A770E128-FACE-4CA9-90DD-5147D89F682A}"/>
    <cellStyle name="40 % - Markeringsfarve2 2 3 5 2" xfId="31369" xr:uid="{77B1A02D-4997-45C9-B225-66A89DF74B73}"/>
    <cellStyle name="40 % - Markeringsfarve2 2 3 5 3" xfId="31370" xr:uid="{3176ECA7-31FB-4A8A-954C-2A27BD53F717}"/>
    <cellStyle name="40 % - Markeringsfarve2 2 3 6" xfId="31371" xr:uid="{75CD085E-DDC2-4D1D-A407-8F5349F084AA}"/>
    <cellStyle name="40 % - Markeringsfarve2 2 3 6 2" xfId="31372" xr:uid="{A72DFB5D-9C36-4CCA-B6FA-154A7D27EF02}"/>
    <cellStyle name="40 % - Markeringsfarve2 2 3 6 3" xfId="31373" xr:uid="{466113D1-A546-463B-8A7A-9351E891B498}"/>
    <cellStyle name="40 % - Markeringsfarve2 2 3 7" xfId="31374" xr:uid="{7B329BB0-D781-4E43-A322-80CDBA14B4A0}"/>
    <cellStyle name="40 % - Markeringsfarve2 2 3 7 2" xfId="31375" xr:uid="{33C3779A-6E9D-4937-8DBB-A44125A9AB5D}"/>
    <cellStyle name="40 % - Markeringsfarve2 2 3 8" xfId="31376" xr:uid="{2BCA0647-EB7C-4F67-A646-00B6B62B5625}"/>
    <cellStyle name="40 % - Markeringsfarve2 2 4" xfId="23571" xr:uid="{5400E6FA-F143-4D3B-900A-E2574859712A}"/>
    <cellStyle name="40 % - Markeringsfarve2 2 4 2" xfId="31377" xr:uid="{FEDBCE1C-EFCE-4500-A551-4D1D4698B78B}"/>
    <cellStyle name="40 % - Markeringsfarve2 2 4 3" xfId="31378" xr:uid="{BA76E42A-79EE-4127-B279-696B63222179}"/>
    <cellStyle name="40 % - Markeringsfarve2 2 5" xfId="31379" xr:uid="{B8D8BE9A-4250-4AF4-B797-C3E3685D0AEB}"/>
    <cellStyle name="40 % - Markeringsfarve2 2 5 2" xfId="31380" xr:uid="{3AE0B5D4-141A-4C57-9A07-59A065B47F66}"/>
    <cellStyle name="40 % - Markeringsfarve2 2 5 3" xfId="31381" xr:uid="{9492A1B9-D5B6-418A-A2DB-733B9C665684}"/>
    <cellStyle name="40 % - Markeringsfarve2 2 6" xfId="31382" xr:uid="{6265EE46-8E2B-4A4F-940B-1EC5CBAE3AB8}"/>
    <cellStyle name="40 % - Markeringsfarve2 2 6 2" xfId="31383" xr:uid="{BB5F4EE9-5ED8-4F66-B7E2-F8EA32F50D7D}"/>
    <cellStyle name="40 % - Markeringsfarve2 2 6 3" xfId="31384" xr:uid="{DD979DDE-E194-462D-A729-1DF8840AA6C9}"/>
    <cellStyle name="40 % - Markeringsfarve2 2 7" xfId="31385" xr:uid="{96E3CB3C-368D-4AA6-B1FD-998ED57602CE}"/>
    <cellStyle name="40 % - Markeringsfarve2 2 7 2" xfId="31386" xr:uid="{7ECAF6AF-C72A-4210-88FE-C9874B4CE1EA}"/>
    <cellStyle name="40 % - Markeringsfarve2 2 7 3" xfId="31387" xr:uid="{FCDED0CE-4AB3-466A-A8D3-76E7DED83C0C}"/>
    <cellStyle name="40 % - Markeringsfarve2 2 8" xfId="31388" xr:uid="{23846CD6-C602-41A8-96B8-BC6A4BE8A755}"/>
    <cellStyle name="40 % - Markeringsfarve2 2 8 2" xfId="31389" xr:uid="{2F4892ED-7880-459B-A43C-BDF3229D46E9}"/>
    <cellStyle name="40 % - Markeringsfarve2 2 8 3" xfId="31390" xr:uid="{E15603DB-FFD0-45C8-B7F1-61F1E80BF12D}"/>
    <cellStyle name="40 % - Markeringsfarve2 2 9" xfId="31391" xr:uid="{C9F07979-5900-47D8-A48C-72C3F872261E}"/>
    <cellStyle name="40 % - Markeringsfarve2 2 9 2" xfId="31392" xr:uid="{94D3F74D-CED6-42FC-88D3-4A2D731CDA1D}"/>
    <cellStyle name="40 % - Markeringsfarve2 3" xfId="2592" xr:uid="{CB06E381-6186-464D-BFF6-591602C798FB}"/>
    <cellStyle name="40 % - Markeringsfarve2 3 10" xfId="31393" xr:uid="{FE3CD0EC-D6FC-4FE1-B9B8-23CA475D7D3D}"/>
    <cellStyle name="40 % - Markeringsfarve2 3 2" xfId="23572" xr:uid="{C2C132AD-65E3-4866-A098-82B2784DFF2D}"/>
    <cellStyle name="40 % - Markeringsfarve2 3 2 2" xfId="31394" xr:uid="{10FDFF0B-73F9-4647-AA46-D732E2C4FCA5}"/>
    <cellStyle name="40 % - Markeringsfarve2 3 2 2 2" xfId="31395" xr:uid="{D0C6BFFA-0C0A-40E4-95E8-8016F6CBC81A}"/>
    <cellStyle name="40 % - Markeringsfarve2 3 2 2 3" xfId="31396" xr:uid="{CFFA175D-760B-4036-8154-70A2109545C5}"/>
    <cellStyle name="40 % - Markeringsfarve2 3 2 3" xfId="31397" xr:uid="{F2A89D4A-F17E-4797-858C-DEB2223AF287}"/>
    <cellStyle name="40 % - Markeringsfarve2 3 2 3 2" xfId="31398" xr:uid="{A00106EE-18E7-4AFF-BA9C-9BDBFD55E6D7}"/>
    <cellStyle name="40 % - Markeringsfarve2 3 2 3 3" xfId="31399" xr:uid="{7C02A6E7-69E7-437E-BA3C-043CDC5B4036}"/>
    <cellStyle name="40 % - Markeringsfarve2 3 2 4" xfId="31400" xr:uid="{95E8D49A-1D33-4F26-9D74-5180D9BB8034}"/>
    <cellStyle name="40 % - Markeringsfarve2 3 2 4 2" xfId="31401" xr:uid="{C4E386C0-9FA9-4CC1-9980-8DE0F897E72A}"/>
    <cellStyle name="40 % - Markeringsfarve2 3 2 4 3" xfId="31402" xr:uid="{41247D88-C644-4863-8431-084A694CDDB4}"/>
    <cellStyle name="40 % - Markeringsfarve2 3 2 5" xfId="31403" xr:uid="{A715E420-91DE-4EB7-B8A0-050302DB3FCB}"/>
    <cellStyle name="40 % - Markeringsfarve2 3 2 5 2" xfId="31404" xr:uid="{69A23B63-14C9-440A-AC1C-473D3CC30B43}"/>
    <cellStyle name="40 % - Markeringsfarve2 3 2 5 3" xfId="31405" xr:uid="{00BDF2C8-FB80-4754-9D3B-8FFD98B9A205}"/>
    <cellStyle name="40 % - Markeringsfarve2 3 2 6" xfId="31406" xr:uid="{ED9C6843-2272-4B24-A615-E4CF8A9D2677}"/>
    <cellStyle name="40 % - Markeringsfarve2 3 2 6 2" xfId="31407" xr:uid="{5F007FBD-0153-4E81-92DB-4A96713A257A}"/>
    <cellStyle name="40 % - Markeringsfarve2 3 2 6 3" xfId="31408" xr:uid="{8DAA9B7B-B63D-4A20-9F7D-79E246D1D4BC}"/>
    <cellStyle name="40 % - Markeringsfarve2 3 2 7" xfId="31409" xr:uid="{DDFC3ADA-1565-42B9-AF08-C3F07F9F8D19}"/>
    <cellStyle name="40 % - Markeringsfarve2 3 2 7 2" xfId="31410" xr:uid="{6A8917E8-BEF9-49BB-B42E-4CD71D74AC21}"/>
    <cellStyle name="40 % - Markeringsfarve2 3 2 8" xfId="31411" xr:uid="{6FC6C96D-0C5E-4A3D-BC4F-5FB211A85D80}"/>
    <cellStyle name="40 % - Markeringsfarve2 3 3" xfId="31412" xr:uid="{30D59D08-355E-4679-80F6-998724A6AB39}"/>
    <cellStyle name="40 % - Markeringsfarve2 3 3 2" xfId="31413" xr:uid="{D98F6708-7D7D-4337-A7D0-F5B66E440683}"/>
    <cellStyle name="40 % - Markeringsfarve2 3 3 2 2" xfId="31414" xr:uid="{EC314F44-B9E3-4023-B6CC-32AE9309EDA4}"/>
    <cellStyle name="40 % - Markeringsfarve2 3 3 2 3" xfId="31415" xr:uid="{86D39835-353D-41ED-821A-3DCE4785951D}"/>
    <cellStyle name="40 % - Markeringsfarve2 3 3 3" xfId="31416" xr:uid="{5FB52202-9A21-4BA8-B171-C9FF21327DE8}"/>
    <cellStyle name="40 % - Markeringsfarve2 3 3 3 2" xfId="31417" xr:uid="{F299B295-E993-425B-84A1-F8534DD80B01}"/>
    <cellStyle name="40 % - Markeringsfarve2 3 3 3 3" xfId="31418" xr:uid="{B762BDCC-C8E8-423D-8B04-D32126920AE0}"/>
    <cellStyle name="40 % - Markeringsfarve2 3 3 4" xfId="31419" xr:uid="{3BC3A8F8-0E51-4784-89A8-EE4251869DBF}"/>
    <cellStyle name="40 % - Markeringsfarve2 3 3 4 2" xfId="31420" xr:uid="{8993577E-DF96-4639-AA46-A03974614A67}"/>
    <cellStyle name="40 % - Markeringsfarve2 3 3 4 3" xfId="31421" xr:uid="{E37A9F83-7341-4FCB-ADC7-55CB5970845C}"/>
    <cellStyle name="40 % - Markeringsfarve2 3 3 5" xfId="31422" xr:uid="{37DB1229-7F77-457B-82EF-4065C9ECA3ED}"/>
    <cellStyle name="40 % - Markeringsfarve2 3 3 5 2" xfId="31423" xr:uid="{1BB06576-AD3A-4560-9325-3112FE54FE86}"/>
    <cellStyle name="40 % - Markeringsfarve2 3 3 5 3" xfId="31424" xr:uid="{968B6649-DDCC-47D2-B38E-1C34DD1382BA}"/>
    <cellStyle name="40 % - Markeringsfarve2 3 3 6" xfId="31425" xr:uid="{45514989-6FF1-452F-9141-C8F409BAB7A9}"/>
    <cellStyle name="40 % - Markeringsfarve2 3 3 6 2" xfId="31426" xr:uid="{0B1700D4-373A-4601-931F-218B296FB69A}"/>
    <cellStyle name="40 % - Markeringsfarve2 3 3 6 3" xfId="31427" xr:uid="{57A45972-C9E0-4C95-B2AC-BA3CD388893B}"/>
    <cellStyle name="40 % - Markeringsfarve2 3 3 7" xfId="31428" xr:uid="{92430AB1-E65A-4D7E-973B-4DA3D76C7EC9}"/>
    <cellStyle name="40 % - Markeringsfarve2 3 3 7 2" xfId="31429" xr:uid="{15FD15F3-43DE-475E-B426-05A494D274F7}"/>
    <cellStyle name="40 % - Markeringsfarve2 3 3 8" xfId="31430" xr:uid="{85ECB636-0A80-418C-B40C-9E9B57ACFADE}"/>
    <cellStyle name="40 % - Markeringsfarve2 3 4" xfId="31431" xr:uid="{F6992595-A117-456A-83C5-4C8032B0795B}"/>
    <cellStyle name="40 % - Markeringsfarve2 3 4 2" xfId="31432" xr:uid="{B9D28ED5-41C3-4182-A953-E5F840ADACC3}"/>
    <cellStyle name="40 % - Markeringsfarve2 3 4 3" xfId="31433" xr:uid="{8295AD96-DF38-413E-B0EB-E122D97E5DE9}"/>
    <cellStyle name="40 % - Markeringsfarve2 3 5" xfId="31434" xr:uid="{4543D5FD-3551-4BDF-A694-1AD3CD18CD68}"/>
    <cellStyle name="40 % - Markeringsfarve2 3 5 2" xfId="31435" xr:uid="{BA90D456-E160-4244-A644-F63F8A9EE4BC}"/>
    <cellStyle name="40 % - Markeringsfarve2 3 5 3" xfId="31436" xr:uid="{352BD718-8748-451E-8303-B4B2B87FF303}"/>
    <cellStyle name="40 % - Markeringsfarve2 3 6" xfId="31437" xr:uid="{1AAFBC35-96BA-455B-AD4A-87EA7055DFE6}"/>
    <cellStyle name="40 % - Markeringsfarve2 3 6 2" xfId="31438" xr:uid="{D975F4F7-8EC5-4412-BA8D-2868E87574FD}"/>
    <cellStyle name="40 % - Markeringsfarve2 3 6 3" xfId="31439" xr:uid="{7D8B96E4-1AED-477D-A0BD-17D83BE9B1BC}"/>
    <cellStyle name="40 % - Markeringsfarve2 3 7" xfId="31440" xr:uid="{86D25207-4E9A-47AD-870F-2DC0818CD34C}"/>
    <cellStyle name="40 % - Markeringsfarve2 3 7 2" xfId="31441" xr:uid="{3E186B0B-536B-4957-AC78-0A31BC8400CE}"/>
    <cellStyle name="40 % - Markeringsfarve2 3 7 3" xfId="31442" xr:uid="{F8CAD827-DE00-4537-999E-229F4A1230B2}"/>
    <cellStyle name="40 % - Markeringsfarve2 3 8" xfId="31443" xr:uid="{671B1406-802C-4B29-A3CF-1D5A9A0A4C08}"/>
    <cellStyle name="40 % - Markeringsfarve2 3 8 2" xfId="31444" xr:uid="{521CB500-5967-4279-A134-C0271D5C9C3B}"/>
    <cellStyle name="40 % - Markeringsfarve2 3 8 3" xfId="31445" xr:uid="{83EC2FAD-A8C6-4433-B045-E5E1CF419F30}"/>
    <cellStyle name="40 % - Markeringsfarve2 3 9" xfId="31446" xr:uid="{E138ACF7-BA09-49AC-8298-6FB7A34DDD77}"/>
    <cellStyle name="40 % - Markeringsfarve2 3 9 2" xfId="31447" xr:uid="{86516FD3-15D8-452E-A2BB-8273B7649F2A}"/>
    <cellStyle name="40 % - Markeringsfarve2 4" xfId="23573" xr:uid="{26BA2AF4-A904-45A4-88AF-EE8BE3CF73D4}"/>
    <cellStyle name="40 % - Markeringsfarve2 4 2" xfId="23574" xr:uid="{F0CE72D3-1ACB-4CB0-9241-1AE77281C159}"/>
    <cellStyle name="40 % - Markeringsfarve2 4 2 2" xfId="31448" xr:uid="{140FA812-87FB-4CB8-A5B4-F00A4B9F331D}"/>
    <cellStyle name="40 % - Markeringsfarve2 4 2 3" xfId="31449" xr:uid="{D76451CF-05A8-42E3-A34B-5436FB10EF13}"/>
    <cellStyle name="40 % - Markeringsfarve2 4 3" xfId="31450" xr:uid="{D82570FA-85D8-4717-8729-5A7D69C1584E}"/>
    <cellStyle name="40 % - Markeringsfarve2 4 3 2" xfId="31451" xr:uid="{47BB702C-16D1-4BB0-8232-E76E1541B764}"/>
    <cellStyle name="40 % - Markeringsfarve2 4 3 3" xfId="31452" xr:uid="{6C34C8DD-543F-4D14-AFC6-E99909562559}"/>
    <cellStyle name="40 % - Markeringsfarve2 4 4" xfId="31453" xr:uid="{342F5549-2166-49CD-AA02-639238033379}"/>
    <cellStyle name="40 % - Markeringsfarve2 4 4 2" xfId="31454" xr:uid="{3E2CA7FD-8F61-4172-B83A-2F5FAD675585}"/>
    <cellStyle name="40 % - Markeringsfarve2 4 4 3" xfId="31455" xr:uid="{8DFEC899-6D05-4D37-91A9-AC4FA9645179}"/>
    <cellStyle name="40 % - Markeringsfarve2 4 5" xfId="31456" xr:uid="{0B6D28A4-01CC-4513-85AF-1CE71CCF332E}"/>
    <cellStyle name="40 % - Markeringsfarve2 4 5 2" xfId="31457" xr:uid="{AC3E73CD-DDBF-40BF-A340-6B0163E0D1C4}"/>
    <cellStyle name="40 % - Markeringsfarve2 4 5 3" xfId="31458" xr:uid="{5D38EA77-C4F4-48A0-9421-E012CA9B06F8}"/>
    <cellStyle name="40 % - Markeringsfarve2 4 6" xfId="31459" xr:uid="{5F09DF1D-F663-40E5-867D-FE28A1EB18B7}"/>
    <cellStyle name="40 % - Markeringsfarve2 4 6 2" xfId="31460" xr:uid="{5652B94F-C21C-4799-B22E-D6D8D42BE77B}"/>
    <cellStyle name="40 % - Markeringsfarve2 4 6 3" xfId="31461" xr:uid="{AD56B10A-781A-4F1C-8D93-4E67825DDF49}"/>
    <cellStyle name="40 % - Markeringsfarve2 4 7" xfId="31462" xr:uid="{771E4A45-6CE8-4933-9764-3EE00BE539E6}"/>
    <cellStyle name="40 % - Markeringsfarve2 4 7 2" xfId="31463" xr:uid="{8FF9FF1E-F449-4E0C-9444-606F82C107BC}"/>
    <cellStyle name="40 % - Markeringsfarve2 4 8" xfId="31464" xr:uid="{500DD62A-CD8C-41FC-B86F-554FB3A71642}"/>
    <cellStyle name="40 % - Markeringsfarve2 5" xfId="23575" xr:uid="{B850BB25-C4AC-499F-A079-5194B9AFF75C}"/>
    <cellStyle name="40 % - Markeringsfarve2 5 2" xfId="23576" xr:uid="{3C939DED-4FA1-4734-9021-F2B52774515B}"/>
    <cellStyle name="40 % - Markeringsfarve2 5 2 2" xfId="31465" xr:uid="{3DC6EEFB-44E7-4327-8BE2-AE6D34DB0BD2}"/>
    <cellStyle name="40 % - Markeringsfarve2 5 2 3" xfId="31466" xr:uid="{474A8C52-8433-41E2-A5C9-BFE4C32E1E41}"/>
    <cellStyle name="40 % - Markeringsfarve2 5 3" xfId="31467" xr:uid="{27600280-C2A9-4838-BEE5-AAC6B2AD8FDE}"/>
    <cellStyle name="40 % - Markeringsfarve2 5 3 2" xfId="31468" xr:uid="{1F397DC7-6E5C-41C7-A076-45CFE14DB155}"/>
    <cellStyle name="40 % - Markeringsfarve2 5 3 3" xfId="31469" xr:uid="{9126C0EC-1A26-42FF-9B97-8405E3494034}"/>
    <cellStyle name="40 % - Markeringsfarve2 5 4" xfId="31470" xr:uid="{CD0A5759-13FD-4838-B96A-CEF8CCF21EFE}"/>
    <cellStyle name="40 % - Markeringsfarve2 5 4 2" xfId="31471" xr:uid="{58E609A8-AE9F-4E09-89BB-06C8D263B1D5}"/>
    <cellStyle name="40 % - Markeringsfarve2 5 4 3" xfId="31472" xr:uid="{9EF093B6-C6AE-4493-80D8-6BCB48BF1730}"/>
    <cellStyle name="40 % - Markeringsfarve2 5 5" xfId="31473" xr:uid="{5E1BC8D6-E613-4B8C-8FF2-54A0A5C616DC}"/>
    <cellStyle name="40 % - Markeringsfarve2 5 5 2" xfId="31474" xr:uid="{3D461708-D09F-44C8-822F-7E46E39319E0}"/>
    <cellStyle name="40 % - Markeringsfarve2 5 5 3" xfId="31475" xr:uid="{62279C92-6A74-45AD-8079-37ED90EA5B3F}"/>
    <cellStyle name="40 % - Markeringsfarve2 5 6" xfId="31476" xr:uid="{160FD8F2-E423-4FD6-B088-BBB5DD5B99B5}"/>
    <cellStyle name="40 % - Markeringsfarve2 5 6 2" xfId="31477" xr:uid="{FB1F6905-D859-452C-86CA-DA4974B28EBF}"/>
    <cellStyle name="40 % - Markeringsfarve2 5 6 3" xfId="31478" xr:uid="{1546547A-2014-4935-B81C-2D186C3B50F8}"/>
    <cellStyle name="40 % - Markeringsfarve2 5 7" xfId="31479" xr:uid="{4D64DDAA-5536-4F73-ACDE-9F79D38F1EAD}"/>
    <cellStyle name="40 % - Markeringsfarve2 5 7 2" xfId="31480" xr:uid="{CD07ABDD-E030-4475-ADE9-038595016A75}"/>
    <cellStyle name="40 % - Markeringsfarve2 5 8" xfId="31481" xr:uid="{09EDB3FD-7566-4751-BD18-ED7DB9DC9EA8}"/>
    <cellStyle name="40 % - Markeringsfarve2 6" xfId="23577" xr:uid="{12C8C011-DBBD-4CF9-B714-6F69BF9466B4}"/>
    <cellStyle name="40 % - Markeringsfarve2 6 2" xfId="23578" xr:uid="{D5CC744C-DA8F-4A57-9DB5-9E61DA2123ED}"/>
    <cellStyle name="40 % - Markeringsfarve2 6 3" xfId="31482" xr:uid="{05555FA4-C17F-4E91-AA9E-58E89A95B81C}"/>
    <cellStyle name="40 % - Markeringsfarve2 7" xfId="23579" xr:uid="{871FF48B-7102-4999-9CF1-8AE63D0C982C}"/>
    <cellStyle name="40 % - Markeringsfarve2 7 2" xfId="31483" xr:uid="{3A3CCD33-D3EF-4EA9-A69B-6A21AA24612E}"/>
    <cellStyle name="40 % - Markeringsfarve2 7 3" xfId="31484" xr:uid="{07867C4B-5844-4C7D-8BA8-6296A903ACCD}"/>
    <cellStyle name="40 % - Markeringsfarve2 8" xfId="31485" xr:uid="{D4C29018-6603-4DBB-B48C-753907060968}"/>
    <cellStyle name="40 % - Markeringsfarve2 8 2" xfId="31486" xr:uid="{610788F1-33F9-4E15-9B5F-F163ABAE94C3}"/>
    <cellStyle name="40 % - Markeringsfarve2 8 3" xfId="31487" xr:uid="{27A6216C-9041-4D4B-A8F1-76C0A00BB012}"/>
    <cellStyle name="40 % - Markeringsfarve2 9" xfId="31488" xr:uid="{86A8C153-D282-4682-AC46-97B8B839D056}"/>
    <cellStyle name="40 % - Markeringsfarve2 9 2" xfId="31489" xr:uid="{DDF3EC79-4778-4485-924D-B5832297B402}"/>
    <cellStyle name="40 % - Markeringsfarve2 9 3" xfId="31490" xr:uid="{A58856FD-1737-4A76-8826-80B3D08499EB}"/>
    <cellStyle name="40 % - Markeringsfarve3" xfId="1275" xr:uid="{00000000-0005-0000-0000-00001C000000}"/>
    <cellStyle name="40 % - Markeringsfarve3 10" xfId="31491" xr:uid="{3B5BFDE9-87BC-4F68-A184-87A2A1A66266}"/>
    <cellStyle name="40 % - Markeringsfarve3 10 2" xfId="31492" xr:uid="{12E936E4-18BB-4207-8F34-4625A0D40BE0}"/>
    <cellStyle name="40 % - Markeringsfarve3 11" xfId="31493" xr:uid="{A7960F74-4546-42FF-B64B-4B314CCFE3B7}"/>
    <cellStyle name="40 % - Markeringsfarve3 12" xfId="17733" xr:uid="{C41C59E3-2DD6-4DFA-B9D1-559CA0788B80}"/>
    <cellStyle name="40 % - Markeringsfarve3 2" xfId="1276" xr:uid="{00000000-0005-0000-0000-00001D000000}"/>
    <cellStyle name="40 % - Markeringsfarve3 2 10" xfId="31494" xr:uid="{66B26A0A-3AE6-4111-ADC4-4D49820FE3AB}"/>
    <cellStyle name="40 % - Markeringsfarve3 2 11" xfId="17734" xr:uid="{1EB8EDF9-8514-4295-B77A-C657772ABFCB}"/>
    <cellStyle name="40 % - Markeringsfarve3 2 2" xfId="23580" xr:uid="{0DB45BE1-48AC-4790-AEE4-24F6461EC84B}"/>
    <cellStyle name="40 % - Markeringsfarve3 2 2 2" xfId="23581" xr:uid="{2BD8327B-92FC-4F87-A1FB-B8228409AB8B}"/>
    <cellStyle name="40 % - Markeringsfarve3 2 2 2 2" xfId="31495" xr:uid="{0E97581C-2642-4843-B178-677F73A89383}"/>
    <cellStyle name="40 % - Markeringsfarve3 2 2 2 3" xfId="31496" xr:uid="{A029EB41-7A20-4C36-B29E-41CBDCE31855}"/>
    <cellStyle name="40 % - Markeringsfarve3 2 2 3" xfId="31497" xr:uid="{FB90316F-77E4-41BF-B47A-A7E3A1C2D18A}"/>
    <cellStyle name="40 % - Markeringsfarve3 2 2 3 2" xfId="31498" xr:uid="{591AE13C-8D8B-4A30-88DA-E6D9FA1BE49A}"/>
    <cellStyle name="40 % - Markeringsfarve3 2 2 3 3" xfId="31499" xr:uid="{A5EE6B6C-C3F2-43B2-8393-220401FA7872}"/>
    <cellStyle name="40 % - Markeringsfarve3 2 2 4" xfId="31500" xr:uid="{42565CC0-1EA6-41C1-9486-6C42B5E44EFB}"/>
    <cellStyle name="40 % - Markeringsfarve3 2 2 4 2" xfId="31501" xr:uid="{2E5CD19D-FFB8-45F4-9D83-F7526A92DE2B}"/>
    <cellStyle name="40 % - Markeringsfarve3 2 2 4 3" xfId="31502" xr:uid="{6404DDA0-B787-4830-BAC1-4AB16130141A}"/>
    <cellStyle name="40 % - Markeringsfarve3 2 2 5" xfId="31503" xr:uid="{B3EDC425-D1D1-4FBD-8DD1-FE9EF54D535F}"/>
    <cellStyle name="40 % - Markeringsfarve3 2 2 5 2" xfId="31504" xr:uid="{20CB9FC0-9CF1-4920-87E7-3C1C9EBFFAB7}"/>
    <cellStyle name="40 % - Markeringsfarve3 2 2 5 3" xfId="31505" xr:uid="{96F7E950-6D65-41D1-9985-F8761CB85E31}"/>
    <cellStyle name="40 % - Markeringsfarve3 2 2 6" xfId="31506" xr:uid="{35F77BB4-99CA-4850-85C5-BF31B88546DD}"/>
    <cellStyle name="40 % - Markeringsfarve3 2 2 6 2" xfId="31507" xr:uid="{5B88E60A-0DC0-4371-BF40-9C2DD6F2ECC2}"/>
    <cellStyle name="40 % - Markeringsfarve3 2 2 6 3" xfId="31508" xr:uid="{DAA6A91A-2510-4863-B74C-98645A060A68}"/>
    <cellStyle name="40 % - Markeringsfarve3 2 2 7" xfId="31509" xr:uid="{E1F81C12-7E0B-4AF2-958B-8DFE7970ECF9}"/>
    <cellStyle name="40 % - Markeringsfarve3 2 2 7 2" xfId="31510" xr:uid="{DEBA881F-AFB9-4701-9D63-A2FDD7CA3719}"/>
    <cellStyle name="40 % - Markeringsfarve3 2 2 8" xfId="31511" xr:uid="{8003DDB1-353F-48E3-A9BE-B401B568152F}"/>
    <cellStyle name="40 % - Markeringsfarve3 2 3" xfId="23582" xr:uid="{25079CE7-097F-4FC8-B858-AFB44A0AC413}"/>
    <cellStyle name="40 % - Markeringsfarve3 2 3 2" xfId="23583" xr:uid="{1083FDB0-D976-4E74-9E20-FE91679372DB}"/>
    <cellStyle name="40 % - Markeringsfarve3 2 3 2 2" xfId="31512" xr:uid="{17EE4FE7-77DB-4AF3-8765-2FE0F6579079}"/>
    <cellStyle name="40 % - Markeringsfarve3 2 3 2 3" xfId="31513" xr:uid="{A59511D6-8C9B-4816-BC21-93619908CEB6}"/>
    <cellStyle name="40 % - Markeringsfarve3 2 3 3" xfId="31514" xr:uid="{C5504548-FB1C-4C8C-B3B8-94B9E7687C28}"/>
    <cellStyle name="40 % - Markeringsfarve3 2 3 3 2" xfId="31515" xr:uid="{55E8C7E5-377C-4435-AAA2-442FCA1D94E9}"/>
    <cellStyle name="40 % - Markeringsfarve3 2 3 3 3" xfId="31516" xr:uid="{A8AC71CE-EA6C-4C8B-ACBE-1B1AE2304D37}"/>
    <cellStyle name="40 % - Markeringsfarve3 2 3 4" xfId="31517" xr:uid="{088F9F34-EE16-4DE2-8FAF-4B7B26C7EB8D}"/>
    <cellStyle name="40 % - Markeringsfarve3 2 3 4 2" xfId="31518" xr:uid="{3D128780-429D-4727-8AB8-2CAEB1FF8438}"/>
    <cellStyle name="40 % - Markeringsfarve3 2 3 4 3" xfId="31519" xr:uid="{BBEA81B6-A4B1-454F-8E56-3B4217370BDB}"/>
    <cellStyle name="40 % - Markeringsfarve3 2 3 5" xfId="31520" xr:uid="{1003C24F-F68C-47D5-B7C8-61259E9B7D0E}"/>
    <cellStyle name="40 % - Markeringsfarve3 2 3 5 2" xfId="31521" xr:uid="{2DE9F5F8-3029-4B93-AACA-74DE9257373A}"/>
    <cellStyle name="40 % - Markeringsfarve3 2 3 5 3" xfId="31522" xr:uid="{B2CB60F2-E1DD-48AB-AE95-862B71C90D0D}"/>
    <cellStyle name="40 % - Markeringsfarve3 2 3 6" xfId="31523" xr:uid="{79F39A80-9397-46CD-8398-6705CD4B7979}"/>
    <cellStyle name="40 % - Markeringsfarve3 2 3 6 2" xfId="31524" xr:uid="{CE035F89-776A-4C4A-AB8D-6E4B5206B484}"/>
    <cellStyle name="40 % - Markeringsfarve3 2 3 6 3" xfId="31525" xr:uid="{D3D2A8DB-4949-4EB0-94CC-AC06FB6AB270}"/>
    <cellStyle name="40 % - Markeringsfarve3 2 3 7" xfId="31526" xr:uid="{5EC44992-60D6-420C-9D0C-BA0ED7910BD3}"/>
    <cellStyle name="40 % - Markeringsfarve3 2 3 7 2" xfId="31527" xr:uid="{F97CCD00-BA10-45C0-9A51-541670D28790}"/>
    <cellStyle name="40 % - Markeringsfarve3 2 3 8" xfId="31528" xr:uid="{8BE05532-C1A9-402E-A6DC-893CE1ED4C91}"/>
    <cellStyle name="40 % - Markeringsfarve3 2 4" xfId="23584" xr:uid="{7F78B118-01FB-4D73-AA72-BED10173F4D4}"/>
    <cellStyle name="40 % - Markeringsfarve3 2 4 2" xfId="31529" xr:uid="{2CC8727B-B511-40E5-AEB3-EFE1AFFD6B5C}"/>
    <cellStyle name="40 % - Markeringsfarve3 2 4 3" xfId="31530" xr:uid="{7E3F01E4-5CEA-4714-B40B-EBC413F3FDFA}"/>
    <cellStyle name="40 % - Markeringsfarve3 2 5" xfId="31531" xr:uid="{3EC2EED3-0DC7-4CD2-A865-57C9DFC7D1F1}"/>
    <cellStyle name="40 % - Markeringsfarve3 2 5 2" xfId="31532" xr:uid="{5C216097-D45C-4524-892E-9B87695F4103}"/>
    <cellStyle name="40 % - Markeringsfarve3 2 5 3" xfId="31533" xr:uid="{A60E3930-7A05-4BC1-8977-8D5D2704A735}"/>
    <cellStyle name="40 % - Markeringsfarve3 2 6" xfId="31534" xr:uid="{EDBC5C46-8857-4A28-BF73-D8442F95CBDD}"/>
    <cellStyle name="40 % - Markeringsfarve3 2 6 2" xfId="31535" xr:uid="{3559A701-AFB8-49F6-8575-CCDA8F5F8222}"/>
    <cellStyle name="40 % - Markeringsfarve3 2 6 3" xfId="31536" xr:uid="{77FC19C4-8076-47F4-B95B-54A3806371CD}"/>
    <cellStyle name="40 % - Markeringsfarve3 2 7" xfId="31537" xr:uid="{E455C92C-1E55-4523-97C1-7D187C0E188D}"/>
    <cellStyle name="40 % - Markeringsfarve3 2 7 2" xfId="31538" xr:uid="{BDC1F23B-A9CC-4B60-BC8F-CC1E9C61F820}"/>
    <cellStyle name="40 % - Markeringsfarve3 2 7 3" xfId="31539" xr:uid="{CAA48C83-4B50-4638-8A1A-DA95741B8400}"/>
    <cellStyle name="40 % - Markeringsfarve3 2 8" xfId="31540" xr:uid="{5DA8B5D7-6395-4F0A-B7D7-7459DAF43E7A}"/>
    <cellStyle name="40 % - Markeringsfarve3 2 8 2" xfId="31541" xr:uid="{6BF4D697-3E82-4191-AE65-71914DFD7CBF}"/>
    <cellStyle name="40 % - Markeringsfarve3 2 8 3" xfId="31542" xr:uid="{50350A23-2F45-4D49-A519-1E9A4D84461D}"/>
    <cellStyle name="40 % - Markeringsfarve3 2 9" xfId="31543" xr:uid="{764CB302-C196-41CC-9B4A-029FF3187F2A}"/>
    <cellStyle name="40 % - Markeringsfarve3 2 9 2" xfId="31544" xr:uid="{F71781D5-EC52-48A1-9783-141E2761FD90}"/>
    <cellStyle name="40 % - Markeringsfarve3 3" xfId="2593" xr:uid="{9F89632D-0223-44FB-BEFB-F194ED332DA0}"/>
    <cellStyle name="40 % - Markeringsfarve3 3 10" xfId="31545" xr:uid="{F9E7E916-0CF4-4780-83EC-EBF709B35586}"/>
    <cellStyle name="40 % - Markeringsfarve3 3 2" xfId="23585" xr:uid="{DB07E96F-5326-4B92-9516-6539FAE121BB}"/>
    <cellStyle name="40 % - Markeringsfarve3 3 2 2" xfId="31546" xr:uid="{919B8F5B-CCDD-4D8B-AFD0-DF4DCA18F788}"/>
    <cellStyle name="40 % - Markeringsfarve3 3 2 2 2" xfId="31547" xr:uid="{F8155201-9090-4A04-ACC8-D1E33C4CB86E}"/>
    <cellStyle name="40 % - Markeringsfarve3 3 2 2 3" xfId="31548" xr:uid="{B7489D2B-B0E1-4119-8E3F-5888AD6D308B}"/>
    <cellStyle name="40 % - Markeringsfarve3 3 2 3" xfId="31549" xr:uid="{736DB73E-1812-4785-B0B1-53F23248FF71}"/>
    <cellStyle name="40 % - Markeringsfarve3 3 2 3 2" xfId="31550" xr:uid="{B2071758-0258-43CD-9FD1-359CFE6ED16D}"/>
    <cellStyle name="40 % - Markeringsfarve3 3 2 3 3" xfId="31551" xr:uid="{2A57465D-B492-4D9C-9119-34B2DD416E40}"/>
    <cellStyle name="40 % - Markeringsfarve3 3 2 4" xfId="31552" xr:uid="{1E3F5C9B-80EC-486E-926D-EA2CFE785D1B}"/>
    <cellStyle name="40 % - Markeringsfarve3 3 2 4 2" xfId="31553" xr:uid="{960AC69F-4BE2-4ED7-9172-A37DFFFE5E59}"/>
    <cellStyle name="40 % - Markeringsfarve3 3 2 4 3" xfId="31554" xr:uid="{6AB83AA8-6A09-4AB0-9821-8091B8FDEA8D}"/>
    <cellStyle name="40 % - Markeringsfarve3 3 2 5" xfId="31555" xr:uid="{3EC47751-B567-4714-96E2-AE6D0CF6DA90}"/>
    <cellStyle name="40 % - Markeringsfarve3 3 2 5 2" xfId="31556" xr:uid="{7847831D-0603-4773-9901-C435BD0C3A18}"/>
    <cellStyle name="40 % - Markeringsfarve3 3 2 5 3" xfId="31557" xr:uid="{0536C868-1475-485A-B217-08426A4B9655}"/>
    <cellStyle name="40 % - Markeringsfarve3 3 2 6" xfId="31558" xr:uid="{D0B312A8-8B13-4349-9618-42EBC5712E9D}"/>
    <cellStyle name="40 % - Markeringsfarve3 3 2 6 2" xfId="31559" xr:uid="{468F9B18-F4DB-4235-8E3A-5E428B9F90F8}"/>
    <cellStyle name="40 % - Markeringsfarve3 3 2 6 3" xfId="31560" xr:uid="{56D2AFFB-5F63-42E1-A49D-8792EEB40197}"/>
    <cellStyle name="40 % - Markeringsfarve3 3 2 7" xfId="31561" xr:uid="{6981486D-2C75-4557-A0A4-E39830FB7AFE}"/>
    <cellStyle name="40 % - Markeringsfarve3 3 2 7 2" xfId="31562" xr:uid="{DFC7A259-A552-44B2-AA81-2F2AB388E2BC}"/>
    <cellStyle name="40 % - Markeringsfarve3 3 2 8" xfId="31563" xr:uid="{7B16FF3E-E241-483C-BCCC-17BD53F45BCE}"/>
    <cellStyle name="40 % - Markeringsfarve3 3 3" xfId="31564" xr:uid="{6E64A3DA-7D17-4AA9-B52C-02BD397B2E64}"/>
    <cellStyle name="40 % - Markeringsfarve3 3 3 2" xfId="31565" xr:uid="{00ADC3FB-68C4-44CB-876D-58C3367D9EB2}"/>
    <cellStyle name="40 % - Markeringsfarve3 3 3 2 2" xfId="31566" xr:uid="{49106429-9C9E-4D5A-A180-2D2588FD8AC6}"/>
    <cellStyle name="40 % - Markeringsfarve3 3 3 2 3" xfId="31567" xr:uid="{E8CFA7B3-A1D9-4B0B-A455-2212F50798EE}"/>
    <cellStyle name="40 % - Markeringsfarve3 3 3 3" xfId="31568" xr:uid="{2433D2E7-2F9B-4E07-8678-D9F09B4E7000}"/>
    <cellStyle name="40 % - Markeringsfarve3 3 3 3 2" xfId="31569" xr:uid="{93541A2A-7651-4607-BE9A-DBFACD1DCC0B}"/>
    <cellStyle name="40 % - Markeringsfarve3 3 3 3 3" xfId="31570" xr:uid="{5E7BB51A-8121-4A36-94BD-B68CAA93B8E4}"/>
    <cellStyle name="40 % - Markeringsfarve3 3 3 4" xfId="31571" xr:uid="{15198328-7F30-4A95-905C-B1C1F01FB204}"/>
    <cellStyle name="40 % - Markeringsfarve3 3 3 4 2" xfId="31572" xr:uid="{E8C5F9CE-C110-4C4F-BF2E-F1C554CF53D4}"/>
    <cellStyle name="40 % - Markeringsfarve3 3 3 4 3" xfId="31573" xr:uid="{3C2FE18B-6C9C-4A4E-A7E9-D936C75D789E}"/>
    <cellStyle name="40 % - Markeringsfarve3 3 3 5" xfId="31574" xr:uid="{3BF161D6-D242-4B53-A4D5-91657C675636}"/>
    <cellStyle name="40 % - Markeringsfarve3 3 3 5 2" xfId="31575" xr:uid="{5B0257E6-9D0D-416B-B927-B7F3A5796CB8}"/>
    <cellStyle name="40 % - Markeringsfarve3 3 3 5 3" xfId="31576" xr:uid="{DEBAF938-BB29-45BE-84D5-9252017B3F9B}"/>
    <cellStyle name="40 % - Markeringsfarve3 3 3 6" xfId="31577" xr:uid="{DC87291F-819C-43C1-B626-A39F0735F496}"/>
    <cellStyle name="40 % - Markeringsfarve3 3 3 6 2" xfId="31578" xr:uid="{D8192D05-DD7D-435D-B0C4-F483C4FAC174}"/>
    <cellStyle name="40 % - Markeringsfarve3 3 3 6 3" xfId="31579" xr:uid="{0A2D4A6A-7AC6-4B79-8531-5EC21C261BC4}"/>
    <cellStyle name="40 % - Markeringsfarve3 3 3 7" xfId="31580" xr:uid="{EBA65332-FB87-4CD8-B112-F0D809385B68}"/>
    <cellStyle name="40 % - Markeringsfarve3 3 3 7 2" xfId="31581" xr:uid="{196AB7A1-2319-42B8-9ADC-D42849EAA239}"/>
    <cellStyle name="40 % - Markeringsfarve3 3 3 8" xfId="31582" xr:uid="{DF7A66FC-DAE5-4DA7-A0D7-F0C0ED21220B}"/>
    <cellStyle name="40 % - Markeringsfarve3 3 4" xfId="31583" xr:uid="{F5AC744E-4D0F-4241-86E5-C8E5B8EB49F2}"/>
    <cellStyle name="40 % - Markeringsfarve3 3 4 2" xfId="31584" xr:uid="{A821429B-F69F-4811-BDD4-E3682A39B0DC}"/>
    <cellStyle name="40 % - Markeringsfarve3 3 4 3" xfId="31585" xr:uid="{0FCB1B69-2D9B-42D4-A871-653533FE0485}"/>
    <cellStyle name="40 % - Markeringsfarve3 3 5" xfId="31586" xr:uid="{0214B028-51A9-4C96-B015-E888891B9F43}"/>
    <cellStyle name="40 % - Markeringsfarve3 3 5 2" xfId="31587" xr:uid="{B633A31A-C14C-44DB-9B9B-558F4A40CE36}"/>
    <cellStyle name="40 % - Markeringsfarve3 3 5 3" xfId="31588" xr:uid="{A77C25DC-781C-4381-99A4-FB589529FF0C}"/>
    <cellStyle name="40 % - Markeringsfarve3 3 6" xfId="31589" xr:uid="{17CEC948-23AB-4AA7-B2AD-52649144D2ED}"/>
    <cellStyle name="40 % - Markeringsfarve3 3 6 2" xfId="31590" xr:uid="{D55351D0-F27D-4792-BCC4-0399D002E555}"/>
    <cellStyle name="40 % - Markeringsfarve3 3 6 3" xfId="31591" xr:uid="{2E72C698-6F01-462D-ADF2-C65308B870BD}"/>
    <cellStyle name="40 % - Markeringsfarve3 3 7" xfId="31592" xr:uid="{57469B23-025C-4444-8407-6FFA1C6FC8D2}"/>
    <cellStyle name="40 % - Markeringsfarve3 3 7 2" xfId="31593" xr:uid="{564BEBCE-4DA2-4F59-97B5-B35E695F6101}"/>
    <cellStyle name="40 % - Markeringsfarve3 3 7 3" xfId="31594" xr:uid="{429F2312-DF81-4A50-AA1D-3A142F30E61A}"/>
    <cellStyle name="40 % - Markeringsfarve3 3 8" xfId="31595" xr:uid="{683A6DB4-D48D-483E-BDC7-C8B93220FA86}"/>
    <cellStyle name="40 % - Markeringsfarve3 3 8 2" xfId="31596" xr:uid="{1B57BAB4-3E5B-49B2-84B5-E5742181CC0D}"/>
    <cellStyle name="40 % - Markeringsfarve3 3 8 3" xfId="31597" xr:uid="{39A4652B-D407-44D5-ACF8-78E5C0EED72F}"/>
    <cellStyle name="40 % - Markeringsfarve3 3 9" xfId="31598" xr:uid="{30A81022-2F40-400C-89B5-7275164D7F8D}"/>
    <cellStyle name="40 % - Markeringsfarve3 3 9 2" xfId="31599" xr:uid="{7E2587CD-79D6-427C-A974-E10BF9CB24DE}"/>
    <cellStyle name="40 % - Markeringsfarve3 4" xfId="23586" xr:uid="{8B9AAE0E-1C2D-4EF0-A641-7F7848456DED}"/>
    <cellStyle name="40 % - Markeringsfarve3 4 2" xfId="23587" xr:uid="{F931D371-7C67-48E8-A3F0-653AB1139D8F}"/>
    <cellStyle name="40 % - Markeringsfarve3 4 2 2" xfId="31600" xr:uid="{7BB78C2F-A309-43DD-9878-703DDA710947}"/>
    <cellStyle name="40 % - Markeringsfarve3 4 2 3" xfId="31601" xr:uid="{654555DD-6186-46D2-B8C7-8D7846803C7E}"/>
    <cellStyle name="40 % - Markeringsfarve3 4 3" xfId="31602" xr:uid="{56955656-FA15-402D-9F77-26B70C403C63}"/>
    <cellStyle name="40 % - Markeringsfarve3 4 3 2" xfId="31603" xr:uid="{C587BFE2-64EC-46EC-959E-732CB48B4DEB}"/>
    <cellStyle name="40 % - Markeringsfarve3 4 3 3" xfId="31604" xr:uid="{7FC89EA7-1943-42FC-BB92-F492D7DA2D4B}"/>
    <cellStyle name="40 % - Markeringsfarve3 4 4" xfId="31605" xr:uid="{A1A3CA8E-5318-4C99-B6CD-A448237C8FD0}"/>
    <cellStyle name="40 % - Markeringsfarve3 4 4 2" xfId="31606" xr:uid="{B7E4F8F6-B353-4A57-8815-4D088E3DCBF7}"/>
    <cellStyle name="40 % - Markeringsfarve3 4 4 3" xfId="31607" xr:uid="{D2183994-8E54-461F-A2C6-CB91D62435D6}"/>
    <cellStyle name="40 % - Markeringsfarve3 4 5" xfId="31608" xr:uid="{654714C2-6A7A-4650-8D88-CDB57E5D2279}"/>
    <cellStyle name="40 % - Markeringsfarve3 4 5 2" xfId="31609" xr:uid="{933ECCF5-B199-4788-AFFE-C4389CAA8FE7}"/>
    <cellStyle name="40 % - Markeringsfarve3 4 5 3" xfId="31610" xr:uid="{5B2432DB-E8F4-452B-8576-192EA1CFEE4E}"/>
    <cellStyle name="40 % - Markeringsfarve3 4 6" xfId="31611" xr:uid="{E5257365-C61C-432E-8CBC-9E0A4BC7A81B}"/>
    <cellStyle name="40 % - Markeringsfarve3 4 6 2" xfId="31612" xr:uid="{19A62D03-719F-49A2-A56B-D51D41DDF36B}"/>
    <cellStyle name="40 % - Markeringsfarve3 4 6 3" xfId="31613" xr:uid="{EDE60570-B29E-4B7A-90B5-6187627AC3B2}"/>
    <cellStyle name="40 % - Markeringsfarve3 4 7" xfId="31614" xr:uid="{2277A63E-F715-4882-985F-C8E679E0DFD5}"/>
    <cellStyle name="40 % - Markeringsfarve3 4 7 2" xfId="31615" xr:uid="{5AB5507D-E569-4E1C-AC06-165850407CA7}"/>
    <cellStyle name="40 % - Markeringsfarve3 4 8" xfId="31616" xr:uid="{1C77ABA4-FDD4-4715-B3CA-CD1B9BA23CF7}"/>
    <cellStyle name="40 % - Markeringsfarve3 5" xfId="23588" xr:uid="{0C6EED2B-65FB-46C7-ABCD-6C1306F028DD}"/>
    <cellStyle name="40 % - Markeringsfarve3 5 2" xfId="23589" xr:uid="{9DAB96F8-D767-490E-8602-84B42B5E9D1B}"/>
    <cellStyle name="40 % - Markeringsfarve3 5 2 2" xfId="31617" xr:uid="{99C4628A-1482-4173-A3D3-4ED152EB1A15}"/>
    <cellStyle name="40 % - Markeringsfarve3 5 2 3" xfId="31618" xr:uid="{DC70B12E-4595-4162-AA7F-4005F1121D07}"/>
    <cellStyle name="40 % - Markeringsfarve3 5 3" xfId="31619" xr:uid="{AE54E5FB-C2FE-4149-99EA-D75F3D19449B}"/>
    <cellStyle name="40 % - Markeringsfarve3 5 3 2" xfId="31620" xr:uid="{17D93C02-219D-4369-8CCB-2B7D95CFC830}"/>
    <cellStyle name="40 % - Markeringsfarve3 5 3 3" xfId="31621" xr:uid="{8D7CB4D4-5CB2-4651-9833-498ABBB28BB4}"/>
    <cellStyle name="40 % - Markeringsfarve3 5 4" xfId="31622" xr:uid="{A71FD295-64C6-440F-AD35-C8F83676B404}"/>
    <cellStyle name="40 % - Markeringsfarve3 5 4 2" xfId="31623" xr:uid="{9D28D147-0B5F-4E5E-8903-8321763842A4}"/>
    <cellStyle name="40 % - Markeringsfarve3 5 4 3" xfId="31624" xr:uid="{11A97D17-E3DE-4776-A2EE-874489FDDB0D}"/>
    <cellStyle name="40 % - Markeringsfarve3 5 5" xfId="31625" xr:uid="{BFF4CDC4-86F7-4BB6-8E46-EA926AE71512}"/>
    <cellStyle name="40 % - Markeringsfarve3 5 5 2" xfId="31626" xr:uid="{7B05A7D7-2FA2-4323-ACEC-9808F0E0DD75}"/>
    <cellStyle name="40 % - Markeringsfarve3 5 5 3" xfId="31627" xr:uid="{8C5A50E1-B69F-494B-A2F8-754FD0F480F3}"/>
    <cellStyle name="40 % - Markeringsfarve3 5 6" xfId="31628" xr:uid="{7A02F2CA-3E95-4CD1-ADE2-2E2C496644C5}"/>
    <cellStyle name="40 % - Markeringsfarve3 5 6 2" xfId="31629" xr:uid="{44420E22-AD51-445A-8A40-D5BDEBC3BB09}"/>
    <cellStyle name="40 % - Markeringsfarve3 5 6 3" xfId="31630" xr:uid="{3A8F6EC5-6BBB-44A0-8E03-50A033922B1D}"/>
    <cellStyle name="40 % - Markeringsfarve3 5 7" xfId="31631" xr:uid="{5C9B46B0-6D3B-4074-848F-1411E9F3D00F}"/>
    <cellStyle name="40 % - Markeringsfarve3 5 7 2" xfId="31632" xr:uid="{07472225-1A8B-47E3-B7E3-FB61107F3F32}"/>
    <cellStyle name="40 % - Markeringsfarve3 5 8" xfId="31633" xr:uid="{F1908B39-BCD9-4957-B678-28AC9ECA69D4}"/>
    <cellStyle name="40 % - Markeringsfarve3 6" xfId="23590" xr:uid="{03178BB1-4C40-4E82-AD0A-D6626B4F45CB}"/>
    <cellStyle name="40 % - Markeringsfarve3 6 2" xfId="23591" xr:uid="{BAC4A3DB-9253-4493-B49B-D29BE3591121}"/>
    <cellStyle name="40 % - Markeringsfarve3 6 2 2" xfId="31634" xr:uid="{423572D2-973D-48C6-9D69-5CD8D66D6C35}"/>
    <cellStyle name="40 % - Markeringsfarve3 6 2 3" xfId="31635" xr:uid="{D473EC47-7D58-4FDD-A152-FBF9C3CBC943}"/>
    <cellStyle name="40 % - Markeringsfarve3 6 3" xfId="31636" xr:uid="{C91C252C-5C26-4296-B0F0-CAE4FEF6C279}"/>
    <cellStyle name="40 % - Markeringsfarve3 6 4" xfId="31637" xr:uid="{BD0A3FBB-87FD-406A-82C0-3220FB196D99}"/>
    <cellStyle name="40 % - Markeringsfarve3 7" xfId="23592" xr:uid="{832EFF4E-390B-4D20-9C2A-A637A136DC46}"/>
    <cellStyle name="40 % - Markeringsfarve3 7 2" xfId="31638" xr:uid="{D0D2BF2C-C301-47CC-BCDE-BDFBB1941888}"/>
    <cellStyle name="40 % - Markeringsfarve3 7 3" xfId="31639" xr:uid="{B15699D3-DA2A-42BA-A764-2B647F65BD70}"/>
    <cellStyle name="40 % - Markeringsfarve3 8" xfId="31640" xr:uid="{22D8F4AA-E3B3-47BD-AA8C-2121D2702DFB}"/>
    <cellStyle name="40 % - Markeringsfarve3 8 2" xfId="31641" xr:uid="{A783B227-B3FB-4B28-9F2A-D7A8FE8EEE50}"/>
    <cellStyle name="40 % - Markeringsfarve3 8 3" xfId="31642" xr:uid="{85D293C6-AEBF-495A-A3A9-B9388B9BA990}"/>
    <cellStyle name="40 % - Markeringsfarve3 9" xfId="31643" xr:uid="{81D2F152-F6A7-4367-986C-E20BD795D972}"/>
    <cellStyle name="40 % - Markeringsfarve3 9 2" xfId="31644" xr:uid="{7A2DD291-DCD6-41D3-9268-4E564F9E1CC9}"/>
    <cellStyle name="40 % - Markeringsfarve3 9 3" xfId="31645" xr:uid="{7AAEE393-37C0-423B-A412-1501A4A484A5}"/>
    <cellStyle name="40 % - Markeringsfarve4" xfId="1277" xr:uid="{00000000-0005-0000-0000-00001E000000}"/>
    <cellStyle name="40 % - Markeringsfarve4 10" xfId="31646" xr:uid="{7EF53806-9F8F-4D48-8BC8-0A543359D61C}"/>
    <cellStyle name="40 % - Markeringsfarve4 10 2" xfId="31647" xr:uid="{0359C418-31FD-408A-879F-462DD4A733E4}"/>
    <cellStyle name="40 % - Markeringsfarve4 10 3" xfId="31648" xr:uid="{7A1D4978-251F-41CE-98DD-9F30F4783EB0}"/>
    <cellStyle name="40 % - Markeringsfarve4 11" xfId="31649" xr:uid="{47373802-67ED-4B06-8B23-8C86995390A2}"/>
    <cellStyle name="40 % - Markeringsfarve4 11 2" xfId="31650" xr:uid="{3D4B7A64-DD58-436C-BEEB-EFC91C4F514A}"/>
    <cellStyle name="40 % - Markeringsfarve4 12" xfId="31651" xr:uid="{1D74DC19-9625-4729-9B33-77F2A25BB2E4}"/>
    <cellStyle name="40 % - Markeringsfarve4 13" xfId="17735" xr:uid="{51E71722-15D4-458E-B7C7-BFE81C47F7E7}"/>
    <cellStyle name="40 % - Markeringsfarve4 2" xfId="1278" xr:uid="{00000000-0005-0000-0000-00001F000000}"/>
    <cellStyle name="40 % - Markeringsfarve4 2 10" xfId="31652" xr:uid="{E84B310C-83C8-4178-9C91-09BBEE00CA57}"/>
    <cellStyle name="40 % - Markeringsfarve4 2 11" xfId="17736" xr:uid="{67ABDB2C-C1E5-4C9F-B2DA-8509CF5CE3D3}"/>
    <cellStyle name="40 % - Markeringsfarve4 2 2" xfId="23593" xr:uid="{3B5BA8DE-4AE2-4A9B-BDBA-DAB02BAB2105}"/>
    <cellStyle name="40 % - Markeringsfarve4 2 2 2" xfId="23594" xr:uid="{31F9A5DF-F544-4F56-B1D2-DA39A8A77B54}"/>
    <cellStyle name="40 % - Markeringsfarve4 2 2 2 2" xfId="31653" xr:uid="{23858516-B1C9-40E7-AD9A-1734BDCD75EB}"/>
    <cellStyle name="40 % - Markeringsfarve4 2 2 2 3" xfId="31654" xr:uid="{C40F2903-D7BB-4690-B16B-99C734AF16A3}"/>
    <cellStyle name="40 % - Markeringsfarve4 2 2 3" xfId="31655" xr:uid="{1F1C2841-9421-432B-B2D8-FD0FDC6F300B}"/>
    <cellStyle name="40 % - Markeringsfarve4 2 2 3 2" xfId="31656" xr:uid="{292B6D4D-8ED0-46BF-91FA-5A80C4E7B1AD}"/>
    <cellStyle name="40 % - Markeringsfarve4 2 2 3 3" xfId="31657" xr:uid="{1FEE0DC2-9215-44EE-BB41-AE6AE32C122F}"/>
    <cellStyle name="40 % - Markeringsfarve4 2 2 4" xfId="31658" xr:uid="{20B8AFD1-57C6-4D39-BF9B-E54CFAA84464}"/>
    <cellStyle name="40 % - Markeringsfarve4 2 2 4 2" xfId="31659" xr:uid="{47665F02-3F63-438B-94DA-2A34C7673F28}"/>
    <cellStyle name="40 % - Markeringsfarve4 2 2 4 3" xfId="31660" xr:uid="{7117A783-8A93-4D3B-9398-94C2D00677D4}"/>
    <cellStyle name="40 % - Markeringsfarve4 2 2 5" xfId="31661" xr:uid="{8179B18D-640C-4863-AFF4-75BE726B5250}"/>
    <cellStyle name="40 % - Markeringsfarve4 2 2 5 2" xfId="31662" xr:uid="{3CEB8E30-00B2-4720-A271-DBDAB13B871B}"/>
    <cellStyle name="40 % - Markeringsfarve4 2 2 5 3" xfId="31663" xr:uid="{012B031E-D47A-4229-987F-B19159D582A2}"/>
    <cellStyle name="40 % - Markeringsfarve4 2 2 6" xfId="31664" xr:uid="{D36F267A-1297-4DDE-89E3-9E40A884E586}"/>
    <cellStyle name="40 % - Markeringsfarve4 2 2 6 2" xfId="31665" xr:uid="{F6221EFA-A345-4114-9303-D3781CA92E39}"/>
    <cellStyle name="40 % - Markeringsfarve4 2 2 6 3" xfId="31666" xr:uid="{05A264B2-30B7-490F-B40F-F3D0758F6781}"/>
    <cellStyle name="40 % - Markeringsfarve4 2 2 7" xfId="31667" xr:uid="{D2AE48A2-E3E9-4BB3-9EE2-AC7B4AD5041A}"/>
    <cellStyle name="40 % - Markeringsfarve4 2 2 7 2" xfId="31668" xr:uid="{385B64B2-3386-43DA-83B6-D17915213046}"/>
    <cellStyle name="40 % - Markeringsfarve4 2 2 8" xfId="31669" xr:uid="{09643633-90E1-4979-93AD-DA887D279758}"/>
    <cellStyle name="40 % - Markeringsfarve4 2 3" xfId="23595" xr:uid="{E0ECC885-E476-4AB3-9AB5-BA7B55C850DC}"/>
    <cellStyle name="40 % - Markeringsfarve4 2 3 2" xfId="23596" xr:uid="{020605B7-2B37-463E-AABA-4C3C7D5E14C2}"/>
    <cellStyle name="40 % - Markeringsfarve4 2 3 2 2" xfId="31670" xr:uid="{09711237-2AE0-494B-A212-B4C8A8D2A62E}"/>
    <cellStyle name="40 % - Markeringsfarve4 2 3 2 3" xfId="31671" xr:uid="{EC67ECE5-90AC-4202-BFC4-EF286491D20D}"/>
    <cellStyle name="40 % - Markeringsfarve4 2 3 3" xfId="31672" xr:uid="{067130BC-8ECD-4259-B035-5B402CF0FD11}"/>
    <cellStyle name="40 % - Markeringsfarve4 2 3 3 2" xfId="31673" xr:uid="{676CE507-5672-4C0D-ADBF-BF64E543CE12}"/>
    <cellStyle name="40 % - Markeringsfarve4 2 3 3 3" xfId="31674" xr:uid="{ADC0670C-62D2-436C-8900-DE136C81171A}"/>
    <cellStyle name="40 % - Markeringsfarve4 2 3 4" xfId="31675" xr:uid="{DBD944C8-CB0E-4B62-B292-56E926F0954D}"/>
    <cellStyle name="40 % - Markeringsfarve4 2 3 4 2" xfId="31676" xr:uid="{4F2A2992-F451-4EA9-974F-A768B068C720}"/>
    <cellStyle name="40 % - Markeringsfarve4 2 3 4 3" xfId="31677" xr:uid="{4C9FC24E-C2DD-4702-B4A0-2DCC5394C315}"/>
    <cellStyle name="40 % - Markeringsfarve4 2 3 5" xfId="31678" xr:uid="{28DE9F73-C60D-45E2-95D9-C8618A7FDAB7}"/>
    <cellStyle name="40 % - Markeringsfarve4 2 3 5 2" xfId="31679" xr:uid="{2958E1C7-6E9A-4F76-8287-D1C6B9C8333E}"/>
    <cellStyle name="40 % - Markeringsfarve4 2 3 5 3" xfId="31680" xr:uid="{C78871E2-68FA-43DA-ACCF-98033EAD0597}"/>
    <cellStyle name="40 % - Markeringsfarve4 2 3 6" xfId="31681" xr:uid="{9B445A06-EB0A-42F1-AE8D-5E4D787EFC90}"/>
    <cellStyle name="40 % - Markeringsfarve4 2 3 6 2" xfId="31682" xr:uid="{16AD59EF-2EC8-4AA4-8DAA-4D42426383A2}"/>
    <cellStyle name="40 % - Markeringsfarve4 2 3 6 3" xfId="31683" xr:uid="{91D022A0-0555-41F9-BA26-C8AF60906861}"/>
    <cellStyle name="40 % - Markeringsfarve4 2 3 7" xfId="31684" xr:uid="{0E20F933-2ED3-4C15-AE53-26A049D12DE0}"/>
    <cellStyle name="40 % - Markeringsfarve4 2 3 7 2" xfId="31685" xr:uid="{DA3395C4-155E-404F-AD9A-564618DC1AC6}"/>
    <cellStyle name="40 % - Markeringsfarve4 2 3 8" xfId="31686" xr:uid="{728ACC72-88A4-48C4-9CCC-07F4E46784CA}"/>
    <cellStyle name="40 % - Markeringsfarve4 2 4" xfId="23597" xr:uid="{31E97C1A-1F0C-4F59-8197-FE5E81F6D6AB}"/>
    <cellStyle name="40 % - Markeringsfarve4 2 4 2" xfId="31687" xr:uid="{28A7A3F2-E1D1-436B-9C66-6584EC61FC23}"/>
    <cellStyle name="40 % - Markeringsfarve4 2 4 3" xfId="31688" xr:uid="{EC0A0284-6528-4B84-AF3B-808E8BBEBF3F}"/>
    <cellStyle name="40 % - Markeringsfarve4 2 5" xfId="31689" xr:uid="{C92A7DDE-94AB-48C4-8012-310AF701AEE0}"/>
    <cellStyle name="40 % - Markeringsfarve4 2 5 2" xfId="31690" xr:uid="{1A67B102-B273-43EA-98DE-90F910E64463}"/>
    <cellStyle name="40 % - Markeringsfarve4 2 5 3" xfId="31691" xr:uid="{927718D5-4127-4278-8871-A879CEAD47BD}"/>
    <cellStyle name="40 % - Markeringsfarve4 2 6" xfId="31692" xr:uid="{6EC2091D-AD59-4D2A-9453-D59E950FBE58}"/>
    <cellStyle name="40 % - Markeringsfarve4 2 6 2" xfId="31693" xr:uid="{467A3A50-D035-4910-AA77-33963511F576}"/>
    <cellStyle name="40 % - Markeringsfarve4 2 6 3" xfId="31694" xr:uid="{DD88A6F4-10ED-4B7B-B8D1-7F93F8933966}"/>
    <cellStyle name="40 % - Markeringsfarve4 2 7" xfId="31695" xr:uid="{B57865FB-2328-4527-9690-F1000A03F315}"/>
    <cellStyle name="40 % - Markeringsfarve4 2 7 2" xfId="31696" xr:uid="{36A463F3-BAB5-41F5-952E-AC0F2D0CD99E}"/>
    <cellStyle name="40 % - Markeringsfarve4 2 7 3" xfId="31697" xr:uid="{D99E3B4D-1360-4C50-957B-734CE9430CBF}"/>
    <cellStyle name="40 % - Markeringsfarve4 2 8" xfId="31698" xr:uid="{1205C3C9-5FC9-4F82-BFE4-74BE44454EAB}"/>
    <cellStyle name="40 % - Markeringsfarve4 2 8 2" xfId="31699" xr:uid="{96604D63-827E-462A-833A-B54D47AD9D36}"/>
    <cellStyle name="40 % - Markeringsfarve4 2 8 3" xfId="31700" xr:uid="{5D774DC9-F446-44D1-A65C-B515648AEA51}"/>
    <cellStyle name="40 % - Markeringsfarve4 2 9" xfId="31701" xr:uid="{491E4A00-BCC5-4FA8-BCED-DC33ECE4B65F}"/>
    <cellStyle name="40 % - Markeringsfarve4 2 9 2" xfId="31702" xr:uid="{5A733909-BAFC-4473-A131-A1A0D8F47FF0}"/>
    <cellStyle name="40 % - Markeringsfarve4 3" xfId="2594" xr:uid="{6B6FA26D-D7D9-49D8-9C74-7977749D407E}"/>
    <cellStyle name="40 % - Markeringsfarve4 3 10" xfId="31703" xr:uid="{A24CA5AF-0A5C-47C7-A8F0-72B885FAE6D0}"/>
    <cellStyle name="40 % - Markeringsfarve4 3 2" xfId="23598" xr:uid="{57F79A36-A4CF-4B46-A9D5-19B52CB175C5}"/>
    <cellStyle name="40 % - Markeringsfarve4 3 2 2" xfId="31704" xr:uid="{0B38F272-A4F3-4C3C-B8B6-020E6BEE70C6}"/>
    <cellStyle name="40 % - Markeringsfarve4 3 2 2 2" xfId="31705" xr:uid="{D0CD2C7B-1358-412D-B242-D5F7B714D006}"/>
    <cellStyle name="40 % - Markeringsfarve4 3 2 2 3" xfId="31706" xr:uid="{98F5413B-3A39-498E-9EAF-EAE35000C0B1}"/>
    <cellStyle name="40 % - Markeringsfarve4 3 2 3" xfId="31707" xr:uid="{0BFB5AA1-7E88-4CE0-80BC-2326AB1F6C3F}"/>
    <cellStyle name="40 % - Markeringsfarve4 3 2 3 2" xfId="31708" xr:uid="{B731E6C1-C13B-47E0-AAA8-1D586A08F6AA}"/>
    <cellStyle name="40 % - Markeringsfarve4 3 2 3 3" xfId="31709" xr:uid="{530C9E46-8AB9-4562-9DCE-FCAF0960916E}"/>
    <cellStyle name="40 % - Markeringsfarve4 3 2 4" xfId="31710" xr:uid="{C33AA668-37EB-4283-8690-BC252D013741}"/>
    <cellStyle name="40 % - Markeringsfarve4 3 2 4 2" xfId="31711" xr:uid="{350AF5AD-22B6-4971-B671-763F18548EB4}"/>
    <cellStyle name="40 % - Markeringsfarve4 3 2 4 3" xfId="31712" xr:uid="{41CE3A97-483D-45E2-9C27-413F1C89AC98}"/>
    <cellStyle name="40 % - Markeringsfarve4 3 2 5" xfId="31713" xr:uid="{136B0B69-7F42-4379-9C08-B1A730A515BA}"/>
    <cellStyle name="40 % - Markeringsfarve4 3 2 5 2" xfId="31714" xr:uid="{0D2FAD8C-2D3B-4A2D-BFE0-D5B5F2FCF835}"/>
    <cellStyle name="40 % - Markeringsfarve4 3 2 5 3" xfId="31715" xr:uid="{7445E274-95F3-4748-85E8-BC275006D252}"/>
    <cellStyle name="40 % - Markeringsfarve4 3 2 6" xfId="31716" xr:uid="{7C0BC8B2-DCF2-40C6-AC75-FAC72813F5B9}"/>
    <cellStyle name="40 % - Markeringsfarve4 3 2 6 2" xfId="31717" xr:uid="{B43EC0C9-D58D-415B-952A-D35F6DCAEAE4}"/>
    <cellStyle name="40 % - Markeringsfarve4 3 2 6 3" xfId="31718" xr:uid="{5AFC34E4-487B-4713-8125-4825BDF4E6AA}"/>
    <cellStyle name="40 % - Markeringsfarve4 3 2 7" xfId="31719" xr:uid="{1543514E-9EA1-4CBA-8C4C-1E9D6C19D959}"/>
    <cellStyle name="40 % - Markeringsfarve4 3 2 7 2" xfId="31720" xr:uid="{D14EA5B5-FAB8-4841-8174-7FEDAC35A11B}"/>
    <cellStyle name="40 % - Markeringsfarve4 3 2 8" xfId="31721" xr:uid="{0581E140-0BFF-44D3-8E6A-3D1F87C241D1}"/>
    <cellStyle name="40 % - Markeringsfarve4 3 3" xfId="31722" xr:uid="{AC89C4A7-AB7C-4E50-9612-E22C1EC8BCD5}"/>
    <cellStyle name="40 % - Markeringsfarve4 3 3 2" xfId="31723" xr:uid="{D8BDBEDD-444D-44B7-A902-3945C4F3A921}"/>
    <cellStyle name="40 % - Markeringsfarve4 3 3 2 2" xfId="31724" xr:uid="{75365845-B89B-4E40-BCB3-34B90D944534}"/>
    <cellStyle name="40 % - Markeringsfarve4 3 3 2 3" xfId="31725" xr:uid="{404C30FE-68C6-4114-8A6C-C6C796AA10A1}"/>
    <cellStyle name="40 % - Markeringsfarve4 3 3 3" xfId="31726" xr:uid="{56644C08-87FE-4880-A4A1-90007188F36A}"/>
    <cellStyle name="40 % - Markeringsfarve4 3 3 3 2" xfId="31727" xr:uid="{D35B23FC-A862-4D9A-87E0-E26F5A3AF241}"/>
    <cellStyle name="40 % - Markeringsfarve4 3 3 3 3" xfId="31728" xr:uid="{70CAFB66-0FE9-4CAF-83A8-049866CE3403}"/>
    <cellStyle name="40 % - Markeringsfarve4 3 3 4" xfId="31729" xr:uid="{BDEFA79C-E275-4D6A-A174-FC5FEC4CFD10}"/>
    <cellStyle name="40 % - Markeringsfarve4 3 3 4 2" xfId="31730" xr:uid="{E535E366-5529-4A21-896D-AD6471C112D8}"/>
    <cellStyle name="40 % - Markeringsfarve4 3 3 4 3" xfId="31731" xr:uid="{5F7B2C0F-642D-4DD3-940C-FEB5A979915A}"/>
    <cellStyle name="40 % - Markeringsfarve4 3 3 5" xfId="31732" xr:uid="{69F5E8F1-811E-4D91-A02C-1A00C23406E0}"/>
    <cellStyle name="40 % - Markeringsfarve4 3 3 5 2" xfId="31733" xr:uid="{E073D31A-F8AD-48C7-902E-D2B5F4AF6821}"/>
    <cellStyle name="40 % - Markeringsfarve4 3 3 5 3" xfId="31734" xr:uid="{2050EEF2-EDAC-4F85-B9C1-3E33D218A559}"/>
    <cellStyle name="40 % - Markeringsfarve4 3 3 6" xfId="31735" xr:uid="{85E00A2A-4FA7-423B-AAF1-AAF10240AED8}"/>
    <cellStyle name="40 % - Markeringsfarve4 3 3 6 2" xfId="31736" xr:uid="{6CC6D744-BAC2-464B-A586-17F0BDB45D0F}"/>
    <cellStyle name="40 % - Markeringsfarve4 3 3 6 3" xfId="31737" xr:uid="{DE903C0F-D4C0-4B7D-8B7B-1027910CBFA8}"/>
    <cellStyle name="40 % - Markeringsfarve4 3 3 7" xfId="31738" xr:uid="{AF2F1970-3106-480E-A735-CD20D4378C13}"/>
    <cellStyle name="40 % - Markeringsfarve4 3 3 7 2" xfId="31739" xr:uid="{EA461999-0C93-4879-987A-14912880182D}"/>
    <cellStyle name="40 % - Markeringsfarve4 3 3 8" xfId="31740" xr:uid="{F3122871-FBF2-48F7-8484-45A6E1DD6477}"/>
    <cellStyle name="40 % - Markeringsfarve4 3 4" xfId="31741" xr:uid="{D9CEF9BC-2FCD-4EF0-9306-F5C2F5E892B0}"/>
    <cellStyle name="40 % - Markeringsfarve4 3 4 2" xfId="31742" xr:uid="{727A612E-7075-4E9D-8B89-DF84A3854953}"/>
    <cellStyle name="40 % - Markeringsfarve4 3 4 3" xfId="31743" xr:uid="{09143E3A-E196-497B-B336-26229F38AE93}"/>
    <cellStyle name="40 % - Markeringsfarve4 3 5" xfId="31744" xr:uid="{37FEB273-281A-484E-BFBF-FE9DC77D653E}"/>
    <cellStyle name="40 % - Markeringsfarve4 3 5 2" xfId="31745" xr:uid="{E0282D7F-9043-41ED-9ED2-1E32B531F5CE}"/>
    <cellStyle name="40 % - Markeringsfarve4 3 5 3" xfId="31746" xr:uid="{DBCE11C1-DBA7-44E0-89B8-1DA32444EE06}"/>
    <cellStyle name="40 % - Markeringsfarve4 3 6" xfId="31747" xr:uid="{D931C9A8-ACCD-46FF-86CF-2BB8E5167F2C}"/>
    <cellStyle name="40 % - Markeringsfarve4 3 6 2" xfId="31748" xr:uid="{3B27C919-1F9C-4C40-B471-95C1C7F8EB1D}"/>
    <cellStyle name="40 % - Markeringsfarve4 3 6 3" xfId="31749" xr:uid="{450324A0-E8E4-48CA-9007-C4CFE5FAF2EA}"/>
    <cellStyle name="40 % - Markeringsfarve4 3 7" xfId="31750" xr:uid="{52C85B57-48FB-4590-84F7-998ED4BA6BAD}"/>
    <cellStyle name="40 % - Markeringsfarve4 3 7 2" xfId="31751" xr:uid="{347FCB41-E0C9-453A-91F6-09AE363DB7C4}"/>
    <cellStyle name="40 % - Markeringsfarve4 3 7 3" xfId="31752" xr:uid="{E650A1E7-4B84-4551-9CC0-300348308181}"/>
    <cellStyle name="40 % - Markeringsfarve4 3 8" xfId="31753" xr:uid="{2C07C8A3-7674-421A-AC58-68E38FB6FE55}"/>
    <cellStyle name="40 % - Markeringsfarve4 3 8 2" xfId="31754" xr:uid="{3DEC3B57-92DA-470C-8632-05DE7731F4EE}"/>
    <cellStyle name="40 % - Markeringsfarve4 3 8 3" xfId="31755" xr:uid="{892E5B21-0F6B-4D05-B96E-24082483E0D5}"/>
    <cellStyle name="40 % - Markeringsfarve4 3 9" xfId="31756" xr:uid="{C343CD5C-32FE-4E49-80D8-DB6452123BD7}"/>
    <cellStyle name="40 % - Markeringsfarve4 3 9 2" xfId="31757" xr:uid="{290C5198-8650-4163-870E-3D5BC6357813}"/>
    <cellStyle name="40 % - Markeringsfarve4 4" xfId="23599" xr:uid="{65D2686E-06B3-49B1-81A1-8BD43D1221AD}"/>
    <cellStyle name="40 % - Markeringsfarve4 4 2" xfId="23600" xr:uid="{0261A3ED-5293-442B-8248-81F13AAC20CF}"/>
    <cellStyle name="40 % - Markeringsfarve4 4 2 2" xfId="31758" xr:uid="{C27AFCAE-C08F-4FFF-A2BB-01EC2F28533F}"/>
    <cellStyle name="40 % - Markeringsfarve4 4 2 3" xfId="31759" xr:uid="{B11F1EFB-837D-4F29-B0C5-9D374FFC0F6B}"/>
    <cellStyle name="40 % - Markeringsfarve4 4 3" xfId="31760" xr:uid="{66FF0703-6A0B-4DB8-84FE-C9FB33AC7C3D}"/>
    <cellStyle name="40 % - Markeringsfarve4 4 3 2" xfId="31761" xr:uid="{49787788-9CFF-494D-A255-190564840952}"/>
    <cellStyle name="40 % - Markeringsfarve4 4 3 3" xfId="31762" xr:uid="{8D4177A8-567B-4232-BF16-3D765CE252EE}"/>
    <cellStyle name="40 % - Markeringsfarve4 4 4" xfId="31763" xr:uid="{27EA0D10-CABB-4D17-81BA-754CF98490A9}"/>
    <cellStyle name="40 % - Markeringsfarve4 4 4 2" xfId="31764" xr:uid="{7B562395-E76C-4816-B86F-9D4E96872AD1}"/>
    <cellStyle name="40 % - Markeringsfarve4 4 4 3" xfId="31765" xr:uid="{73B3CA51-783E-4792-B932-BB33D19BC9D5}"/>
    <cellStyle name="40 % - Markeringsfarve4 4 5" xfId="31766" xr:uid="{1A10FE00-BF54-44F1-A566-CB7592E9C020}"/>
    <cellStyle name="40 % - Markeringsfarve4 4 5 2" xfId="31767" xr:uid="{B2CFB740-8075-4BF0-83C9-527217EA6FE7}"/>
    <cellStyle name="40 % - Markeringsfarve4 4 5 3" xfId="31768" xr:uid="{6CC696DC-99B5-42E4-8E64-D093D6A35D15}"/>
    <cellStyle name="40 % - Markeringsfarve4 4 6" xfId="31769" xr:uid="{5FF2B6DD-2B26-4343-B7EF-997776C9335C}"/>
    <cellStyle name="40 % - Markeringsfarve4 4 6 2" xfId="31770" xr:uid="{F53E191E-347C-451D-B0D4-52BC4FBC8D0E}"/>
    <cellStyle name="40 % - Markeringsfarve4 4 6 3" xfId="31771" xr:uid="{F068CAB2-95BB-4097-886B-BAE419AAADD3}"/>
    <cellStyle name="40 % - Markeringsfarve4 4 7" xfId="31772" xr:uid="{AC4DBD26-3E3B-430F-828C-4D329617F3B8}"/>
    <cellStyle name="40 % - Markeringsfarve4 4 7 2" xfId="31773" xr:uid="{952823B4-0F99-4EB7-BB0A-8F4F25CFEA62}"/>
    <cellStyle name="40 % - Markeringsfarve4 4 8" xfId="31774" xr:uid="{3C19B8FD-E5F0-46DD-8B31-CC48572B5F91}"/>
    <cellStyle name="40 % - Markeringsfarve4 5" xfId="23601" xr:uid="{FAA08A51-E376-45ED-9101-67FB764BA201}"/>
    <cellStyle name="40 % - Markeringsfarve4 5 2" xfId="23602" xr:uid="{5B95315F-8581-4690-80FD-25D1A5EA249A}"/>
    <cellStyle name="40 % - Markeringsfarve4 5 2 2" xfId="31775" xr:uid="{3F0170D5-0F14-4849-9AD3-22C460EF40CF}"/>
    <cellStyle name="40 % - Markeringsfarve4 5 2 3" xfId="31776" xr:uid="{126DCA5A-0563-4437-85F3-C506797C5508}"/>
    <cellStyle name="40 % - Markeringsfarve4 5 3" xfId="31777" xr:uid="{6D55DA98-AF0E-4808-B0DB-0746A489B74F}"/>
    <cellStyle name="40 % - Markeringsfarve4 5 3 2" xfId="31778" xr:uid="{126C7AAB-54D7-4B7F-BB9D-C403347845F3}"/>
    <cellStyle name="40 % - Markeringsfarve4 5 3 3" xfId="31779" xr:uid="{C75EA6AB-930F-40FE-A488-E9EA316D9808}"/>
    <cellStyle name="40 % - Markeringsfarve4 5 4" xfId="31780" xr:uid="{F47F0A10-5C9F-4F45-8AE9-3669DD42CBDB}"/>
    <cellStyle name="40 % - Markeringsfarve4 5 4 2" xfId="31781" xr:uid="{DA7D9B5E-7C32-4E84-BDAE-7064D40BF50F}"/>
    <cellStyle name="40 % - Markeringsfarve4 5 4 3" xfId="31782" xr:uid="{A0E02CF5-FFF1-47E6-9231-460487BBC139}"/>
    <cellStyle name="40 % - Markeringsfarve4 5 5" xfId="31783" xr:uid="{00C8D691-AE58-40B2-9A6F-AC43E8649FD0}"/>
    <cellStyle name="40 % - Markeringsfarve4 5 5 2" xfId="31784" xr:uid="{21DA8EDC-DA7E-4164-A9A5-C8101E38DB65}"/>
    <cellStyle name="40 % - Markeringsfarve4 5 5 3" xfId="31785" xr:uid="{016E98AC-064C-4776-A5E2-5A63501E5151}"/>
    <cellStyle name="40 % - Markeringsfarve4 5 6" xfId="31786" xr:uid="{94ECE25D-0363-4A5A-86EA-6BFAA9114BCE}"/>
    <cellStyle name="40 % - Markeringsfarve4 5 6 2" xfId="31787" xr:uid="{56C0429D-3206-41A3-A22B-EBB0C62302AF}"/>
    <cellStyle name="40 % - Markeringsfarve4 5 6 3" xfId="31788" xr:uid="{F1F1BD71-1F22-4926-AFF9-4029E89A8D74}"/>
    <cellStyle name="40 % - Markeringsfarve4 5 7" xfId="31789" xr:uid="{79511C73-FAD7-43A4-82C7-5339D329A78A}"/>
    <cellStyle name="40 % - Markeringsfarve4 5 7 2" xfId="31790" xr:uid="{E4AC8180-D8FB-4FE0-9CE0-8DAB60A42CB1}"/>
    <cellStyle name="40 % - Markeringsfarve4 5 8" xfId="31791" xr:uid="{0DA72083-3097-44A9-A3BF-D91BAD38654C}"/>
    <cellStyle name="40 % - Markeringsfarve4 6" xfId="23603" xr:uid="{9A5E3BFC-C310-488B-A7F9-7813D158FFF1}"/>
    <cellStyle name="40 % - Markeringsfarve4 6 2" xfId="23604" xr:uid="{45ADDF8B-2D8D-44DC-940C-A106DBCFF905}"/>
    <cellStyle name="40 % - Markeringsfarve4 6 3" xfId="31792" xr:uid="{F4044E54-30BA-4021-A51F-2CF4B64D1ECE}"/>
    <cellStyle name="40 % - Markeringsfarve4 7" xfId="23605" xr:uid="{BD87218B-E060-4D1B-9957-452925653E0B}"/>
    <cellStyle name="40 % - Markeringsfarve4 7 2" xfId="31793" xr:uid="{0FBB17F9-DF5A-4D21-8904-C56644D2F110}"/>
    <cellStyle name="40 % - Markeringsfarve4 7 3" xfId="31794" xr:uid="{4CE64C2D-FF40-4D33-94E2-5113C4BE316B}"/>
    <cellStyle name="40 % - Markeringsfarve4 8" xfId="31795" xr:uid="{381626C9-D08A-4A33-B5B1-4369D4B0C031}"/>
    <cellStyle name="40 % - Markeringsfarve4 8 2" xfId="31796" xr:uid="{44F80F46-5A84-4D65-9C88-FFA14C9D20D9}"/>
    <cellStyle name="40 % - Markeringsfarve4 8 3" xfId="31797" xr:uid="{5B4D36B9-5F6E-4094-8F19-CEF232D6185F}"/>
    <cellStyle name="40 % - Markeringsfarve4 9" xfId="31798" xr:uid="{CEC73817-3CCA-4AA4-B17B-5FC23223C923}"/>
    <cellStyle name="40 % - Markeringsfarve4 9 2" xfId="31799" xr:uid="{BA86EEA2-5882-45FE-9556-A6E20C70E5AE}"/>
    <cellStyle name="40 % - Markeringsfarve4 9 3" xfId="31800" xr:uid="{D6D0C9E2-F1B5-4A5C-B683-1A51B1C76C54}"/>
    <cellStyle name="40 % - Markeringsfarve5" xfId="1279" xr:uid="{00000000-0005-0000-0000-000020000000}"/>
    <cellStyle name="40 % - Markeringsfarve5 10" xfId="31801" xr:uid="{29D9C160-9327-4BCA-BA0C-44D43C1B8F30}"/>
    <cellStyle name="40 % - Markeringsfarve5 10 2" xfId="31802" xr:uid="{4570428D-1FE9-4174-BA60-5681D07DA691}"/>
    <cellStyle name="40 % - Markeringsfarve5 10 3" xfId="31803" xr:uid="{2D1B73F1-4277-44FD-8610-DC80F85A0DE8}"/>
    <cellStyle name="40 % - Markeringsfarve5 11" xfId="31804" xr:uid="{988A3624-1ECB-4944-AF09-81C3AF3684FF}"/>
    <cellStyle name="40 % - Markeringsfarve5 11 2" xfId="31805" xr:uid="{7831BF20-88E1-4F0C-BEA9-692902903F64}"/>
    <cellStyle name="40 % - Markeringsfarve5 12" xfId="31806" xr:uid="{3D3A026F-62EF-4375-87C5-D08698D1185E}"/>
    <cellStyle name="40 % - Markeringsfarve5 13" xfId="17737" xr:uid="{B4AEFC90-F02D-480E-8FF5-4AE964192F87}"/>
    <cellStyle name="40 % - Markeringsfarve5 2" xfId="1280" xr:uid="{00000000-0005-0000-0000-000021000000}"/>
    <cellStyle name="40 % - Markeringsfarve5 2 10" xfId="31807" xr:uid="{0A2A87CB-4B34-48F9-8837-B09DD06E558F}"/>
    <cellStyle name="40 % - Markeringsfarve5 2 11" xfId="17738" xr:uid="{DBE9A9FD-F91F-44AE-B155-FC3A273479E8}"/>
    <cellStyle name="40 % - Markeringsfarve5 2 2" xfId="23606" xr:uid="{3E8D5AC5-12C9-4595-97B2-A60100FB33EA}"/>
    <cellStyle name="40 % - Markeringsfarve5 2 2 2" xfId="23607" xr:uid="{B1CD5133-94AD-4302-A86C-81182420DDEB}"/>
    <cellStyle name="40 % - Markeringsfarve5 2 2 2 2" xfId="31808" xr:uid="{6383760D-B570-4AC3-AD1E-4C74D7911EE4}"/>
    <cellStyle name="40 % - Markeringsfarve5 2 2 2 3" xfId="31809" xr:uid="{464B9D19-E457-49B3-A3DF-4B77CC0AEB4F}"/>
    <cellStyle name="40 % - Markeringsfarve5 2 2 3" xfId="31810" xr:uid="{309C46C9-4F51-4F82-A5FC-EDFB2AD58D5B}"/>
    <cellStyle name="40 % - Markeringsfarve5 2 2 3 2" xfId="31811" xr:uid="{7493D54D-617F-41ED-B27C-0405A0E52B25}"/>
    <cellStyle name="40 % - Markeringsfarve5 2 2 3 3" xfId="31812" xr:uid="{5C414FF2-4D73-4717-877A-41E7F31983DC}"/>
    <cellStyle name="40 % - Markeringsfarve5 2 2 4" xfId="31813" xr:uid="{A1DDBCC5-8407-448F-8D38-D514E12028A9}"/>
    <cellStyle name="40 % - Markeringsfarve5 2 2 4 2" xfId="31814" xr:uid="{F01A3DDB-B51D-4F66-9727-BCDFE4E138B6}"/>
    <cellStyle name="40 % - Markeringsfarve5 2 2 4 3" xfId="31815" xr:uid="{A4CAECA1-8506-48B8-A099-4E5B41118783}"/>
    <cellStyle name="40 % - Markeringsfarve5 2 2 5" xfId="31816" xr:uid="{FD879C7C-506F-4408-B718-A67D0674B13F}"/>
    <cellStyle name="40 % - Markeringsfarve5 2 2 5 2" xfId="31817" xr:uid="{7F930B7B-E76F-4EFB-907C-E569D2B95A13}"/>
    <cellStyle name="40 % - Markeringsfarve5 2 2 5 3" xfId="31818" xr:uid="{A6E5D123-382B-4142-9ED8-9FB4B43DF274}"/>
    <cellStyle name="40 % - Markeringsfarve5 2 2 6" xfId="31819" xr:uid="{A5F0CE21-37A6-4CBA-B1AD-13183DE611E5}"/>
    <cellStyle name="40 % - Markeringsfarve5 2 2 6 2" xfId="31820" xr:uid="{2D461269-BBBF-4D39-85A0-8BFCE7CE026D}"/>
    <cellStyle name="40 % - Markeringsfarve5 2 2 6 3" xfId="31821" xr:uid="{83E8BF6D-CA73-4AF5-8F63-2B9B00068995}"/>
    <cellStyle name="40 % - Markeringsfarve5 2 2 7" xfId="31822" xr:uid="{0B0211F5-D787-4B73-8746-147143EFD789}"/>
    <cellStyle name="40 % - Markeringsfarve5 2 2 7 2" xfId="31823" xr:uid="{E8B417CD-5027-40DC-BFC1-399E78AEE196}"/>
    <cellStyle name="40 % - Markeringsfarve5 2 2 8" xfId="31824" xr:uid="{676478AD-E601-4CB6-B93A-44DA37930587}"/>
    <cellStyle name="40 % - Markeringsfarve5 2 3" xfId="23608" xr:uid="{22EDCD09-98ED-45B7-B2B8-7DD36B72E2FB}"/>
    <cellStyle name="40 % - Markeringsfarve5 2 3 2" xfId="23609" xr:uid="{FABD1368-3EA9-4D31-8EA1-95C840402F26}"/>
    <cellStyle name="40 % - Markeringsfarve5 2 3 2 2" xfId="31825" xr:uid="{2C28FDFF-AA9F-447F-A7B4-2F7BF617C14C}"/>
    <cellStyle name="40 % - Markeringsfarve5 2 3 2 3" xfId="31826" xr:uid="{3D1E7B3C-D77C-4442-BD1E-2D2C9B36D00E}"/>
    <cellStyle name="40 % - Markeringsfarve5 2 3 3" xfId="31827" xr:uid="{48B0D09F-878F-46E3-9791-8BFAE6C40BA4}"/>
    <cellStyle name="40 % - Markeringsfarve5 2 3 3 2" xfId="31828" xr:uid="{7C59D820-65F9-4188-BD77-FF8F236D2E10}"/>
    <cellStyle name="40 % - Markeringsfarve5 2 3 3 3" xfId="31829" xr:uid="{201C73DC-0668-4935-A59D-66607C5B6B39}"/>
    <cellStyle name="40 % - Markeringsfarve5 2 3 4" xfId="31830" xr:uid="{F9111929-C137-49B0-BB99-886C36563D33}"/>
    <cellStyle name="40 % - Markeringsfarve5 2 3 4 2" xfId="31831" xr:uid="{CD4CE431-28AC-4AA3-AABE-17EB87F4A7C1}"/>
    <cellStyle name="40 % - Markeringsfarve5 2 3 4 3" xfId="31832" xr:uid="{E897E88B-B9F8-40CB-BD24-1104072D4544}"/>
    <cellStyle name="40 % - Markeringsfarve5 2 3 5" xfId="31833" xr:uid="{E707136D-2516-4511-A0EF-19B38E2A7E17}"/>
    <cellStyle name="40 % - Markeringsfarve5 2 3 5 2" xfId="31834" xr:uid="{FF45DC89-862D-41C9-8C48-A7807F52486E}"/>
    <cellStyle name="40 % - Markeringsfarve5 2 3 5 3" xfId="31835" xr:uid="{36E118FB-8502-4639-97AF-DE0E5C084989}"/>
    <cellStyle name="40 % - Markeringsfarve5 2 3 6" xfId="31836" xr:uid="{5CD7944A-08F8-40A5-ACDC-5C76FC38FFDE}"/>
    <cellStyle name="40 % - Markeringsfarve5 2 3 6 2" xfId="31837" xr:uid="{676E4561-D50F-450C-B282-90831E3235E0}"/>
    <cellStyle name="40 % - Markeringsfarve5 2 3 6 3" xfId="31838" xr:uid="{EF7CAA4D-3769-40E0-98C6-9781F1EA674E}"/>
    <cellStyle name="40 % - Markeringsfarve5 2 3 7" xfId="31839" xr:uid="{511FF2DB-BFE3-43B5-B62E-FFFFA06B3A3C}"/>
    <cellStyle name="40 % - Markeringsfarve5 2 3 7 2" xfId="31840" xr:uid="{0C8ADF69-6BB3-42F0-AA6A-99163B17EC1C}"/>
    <cellStyle name="40 % - Markeringsfarve5 2 3 8" xfId="31841" xr:uid="{E2A5B185-40D5-41CF-B1D9-772898021CA2}"/>
    <cellStyle name="40 % - Markeringsfarve5 2 4" xfId="23610" xr:uid="{E4086B6D-BF9C-495D-831D-2432E211E634}"/>
    <cellStyle name="40 % - Markeringsfarve5 2 4 2" xfId="31842" xr:uid="{888462B9-65F9-422E-8918-E62DCEE9B955}"/>
    <cellStyle name="40 % - Markeringsfarve5 2 4 3" xfId="31843" xr:uid="{BD2FE467-C0F0-41AE-8B20-BA42DE290F58}"/>
    <cellStyle name="40 % - Markeringsfarve5 2 5" xfId="31844" xr:uid="{6F91B52A-EE13-48C7-AA3E-1036335910F5}"/>
    <cellStyle name="40 % - Markeringsfarve5 2 5 2" xfId="31845" xr:uid="{94EC29F5-3626-48FE-82CC-22EE9D800CE1}"/>
    <cellStyle name="40 % - Markeringsfarve5 2 5 3" xfId="31846" xr:uid="{BF39A8DF-0E34-495D-8893-DAA7BC55157E}"/>
    <cellStyle name="40 % - Markeringsfarve5 2 6" xfId="31847" xr:uid="{7245EEE9-EF3F-4546-99AD-3E982013F99D}"/>
    <cellStyle name="40 % - Markeringsfarve5 2 6 2" xfId="31848" xr:uid="{EEA4B3A3-C9E9-412B-90D4-198A255EDDA8}"/>
    <cellStyle name="40 % - Markeringsfarve5 2 6 3" xfId="31849" xr:uid="{F6C3BA28-B452-4CB9-A1CE-B6D4C60A550D}"/>
    <cellStyle name="40 % - Markeringsfarve5 2 7" xfId="31850" xr:uid="{2ABDAEA1-40D8-4883-A91F-D024C75ABAD6}"/>
    <cellStyle name="40 % - Markeringsfarve5 2 7 2" xfId="31851" xr:uid="{E1A1BC12-94B3-4FFF-9781-99AC5D2886C1}"/>
    <cellStyle name="40 % - Markeringsfarve5 2 7 3" xfId="31852" xr:uid="{E292CA6E-2D43-4859-8A9A-013CAED5CA0C}"/>
    <cellStyle name="40 % - Markeringsfarve5 2 8" xfId="31853" xr:uid="{7126FE6B-10B9-46D6-9A8A-84A3A57D9AF6}"/>
    <cellStyle name="40 % - Markeringsfarve5 2 8 2" xfId="31854" xr:uid="{FA63A2FD-5BD5-47D6-8D27-991A4259D238}"/>
    <cellStyle name="40 % - Markeringsfarve5 2 8 3" xfId="31855" xr:uid="{336D1F01-66CF-458C-AB1E-143682999656}"/>
    <cellStyle name="40 % - Markeringsfarve5 2 9" xfId="31856" xr:uid="{97AD421E-62F8-47F8-A043-246005876A70}"/>
    <cellStyle name="40 % - Markeringsfarve5 2 9 2" xfId="31857" xr:uid="{D14EAD69-D1FA-423F-A157-F72FBB97077E}"/>
    <cellStyle name="40 % - Markeringsfarve5 3" xfId="2595" xr:uid="{6BEDEBE0-9333-4464-909A-6646045222C4}"/>
    <cellStyle name="40 % - Markeringsfarve5 3 10" xfId="31858" xr:uid="{B73A3AD5-8C87-4C22-9D85-E476F8BABEAF}"/>
    <cellStyle name="40 % - Markeringsfarve5 3 2" xfId="23611" xr:uid="{748F3534-1A92-4EFB-998E-A1909BF29871}"/>
    <cellStyle name="40 % - Markeringsfarve5 3 2 2" xfId="31859" xr:uid="{A50D0E6A-5F9E-4B43-9469-663F78B92870}"/>
    <cellStyle name="40 % - Markeringsfarve5 3 2 2 2" xfId="31860" xr:uid="{A02965D6-D14B-4283-8E87-55698638F689}"/>
    <cellStyle name="40 % - Markeringsfarve5 3 2 2 3" xfId="31861" xr:uid="{4F3DC080-3392-47E9-ABEE-35F7DEE70C6A}"/>
    <cellStyle name="40 % - Markeringsfarve5 3 2 3" xfId="31862" xr:uid="{DED4741C-14FE-4E2A-855C-1DE8D750E298}"/>
    <cellStyle name="40 % - Markeringsfarve5 3 2 3 2" xfId="31863" xr:uid="{1D532E8B-1CCD-4F5A-BB4C-0A4B18230A57}"/>
    <cellStyle name="40 % - Markeringsfarve5 3 2 3 3" xfId="31864" xr:uid="{2F9785CB-1647-4C9F-A577-7B8A1F12FC5E}"/>
    <cellStyle name="40 % - Markeringsfarve5 3 2 4" xfId="31865" xr:uid="{C2EF0179-F9D9-4705-9807-58CB70CA7D2B}"/>
    <cellStyle name="40 % - Markeringsfarve5 3 2 4 2" xfId="31866" xr:uid="{4333A3DA-EE23-4E1C-9A98-4A040BB61039}"/>
    <cellStyle name="40 % - Markeringsfarve5 3 2 4 3" xfId="31867" xr:uid="{3E83F244-83E2-4E45-9C50-4B5D2EBF6E6E}"/>
    <cellStyle name="40 % - Markeringsfarve5 3 2 5" xfId="31868" xr:uid="{C58F4B31-B3DC-499C-B5B8-C2F617F1A573}"/>
    <cellStyle name="40 % - Markeringsfarve5 3 2 5 2" xfId="31869" xr:uid="{9D80C8D3-F988-40DE-8B70-4B678CFA748F}"/>
    <cellStyle name="40 % - Markeringsfarve5 3 2 5 3" xfId="31870" xr:uid="{C2E867C2-0AAC-4587-9E8A-39160809F047}"/>
    <cellStyle name="40 % - Markeringsfarve5 3 2 6" xfId="31871" xr:uid="{176650D9-DCF9-4487-911C-09E07070FAEE}"/>
    <cellStyle name="40 % - Markeringsfarve5 3 2 6 2" xfId="31872" xr:uid="{EA3B2B47-994A-43A6-B7C3-BFF424AE6EF0}"/>
    <cellStyle name="40 % - Markeringsfarve5 3 2 6 3" xfId="31873" xr:uid="{FD87B69F-D570-457D-8733-52BD754C85A6}"/>
    <cellStyle name="40 % - Markeringsfarve5 3 2 7" xfId="31874" xr:uid="{8122F399-BB86-4DA9-9249-C368435BEE79}"/>
    <cellStyle name="40 % - Markeringsfarve5 3 2 7 2" xfId="31875" xr:uid="{0CDB1ABC-676D-4D9A-988B-7611C0007E10}"/>
    <cellStyle name="40 % - Markeringsfarve5 3 2 8" xfId="31876" xr:uid="{8B4A6133-7400-4A35-941E-03BC29853CD6}"/>
    <cellStyle name="40 % - Markeringsfarve5 3 3" xfId="31877" xr:uid="{EA2CBAE1-4079-494C-9404-AB332C5F2A79}"/>
    <cellStyle name="40 % - Markeringsfarve5 3 3 2" xfId="31878" xr:uid="{3AB73830-A0BD-4D49-AEDF-70FFAC09066E}"/>
    <cellStyle name="40 % - Markeringsfarve5 3 3 2 2" xfId="31879" xr:uid="{374D29F7-0B95-4A01-AD42-A2CB9F4575D9}"/>
    <cellStyle name="40 % - Markeringsfarve5 3 3 2 3" xfId="31880" xr:uid="{C62EAFD9-9096-4D73-B089-1ED6FB5BA65C}"/>
    <cellStyle name="40 % - Markeringsfarve5 3 3 3" xfId="31881" xr:uid="{891FDF5F-A512-484D-8BB5-DBA475413389}"/>
    <cellStyle name="40 % - Markeringsfarve5 3 3 3 2" xfId="31882" xr:uid="{641C0D33-8AF9-45B3-AACC-D9E710460158}"/>
    <cellStyle name="40 % - Markeringsfarve5 3 3 3 3" xfId="31883" xr:uid="{8CFA081D-36BF-4C02-94CF-43F601A5396B}"/>
    <cellStyle name="40 % - Markeringsfarve5 3 3 4" xfId="31884" xr:uid="{74C4C348-5353-434A-A3EE-4695472723CC}"/>
    <cellStyle name="40 % - Markeringsfarve5 3 3 4 2" xfId="31885" xr:uid="{7D9E7522-23B0-44C7-92C5-E0AE257DCCA9}"/>
    <cellStyle name="40 % - Markeringsfarve5 3 3 4 3" xfId="31886" xr:uid="{F6572C32-788A-400B-9F95-31F3FA0CF95B}"/>
    <cellStyle name="40 % - Markeringsfarve5 3 3 5" xfId="31887" xr:uid="{DACE5517-3FC0-435A-97DF-F9D3AC80BA42}"/>
    <cellStyle name="40 % - Markeringsfarve5 3 3 5 2" xfId="31888" xr:uid="{77697459-60DD-468C-BCAD-1EB128343798}"/>
    <cellStyle name="40 % - Markeringsfarve5 3 3 5 3" xfId="31889" xr:uid="{65EAEBE1-C554-4535-A6BF-952862029498}"/>
    <cellStyle name="40 % - Markeringsfarve5 3 3 6" xfId="31890" xr:uid="{062EFE93-1103-45AB-BA66-F9DA03093A8F}"/>
    <cellStyle name="40 % - Markeringsfarve5 3 3 6 2" xfId="31891" xr:uid="{725EB24E-9A3B-4056-82C9-8A3C5C61FF7E}"/>
    <cellStyle name="40 % - Markeringsfarve5 3 3 6 3" xfId="31892" xr:uid="{AC7D07EE-A0E0-47D9-9847-D02F842099A3}"/>
    <cellStyle name="40 % - Markeringsfarve5 3 3 7" xfId="31893" xr:uid="{A1460A30-0BC1-4AEA-A93D-2B97745285DB}"/>
    <cellStyle name="40 % - Markeringsfarve5 3 3 7 2" xfId="31894" xr:uid="{91F7AD2B-0008-43CD-9539-5653AABDE5D5}"/>
    <cellStyle name="40 % - Markeringsfarve5 3 3 8" xfId="31895" xr:uid="{20A7405C-58FF-4FC3-BF25-3F1D7149E576}"/>
    <cellStyle name="40 % - Markeringsfarve5 3 4" xfId="31896" xr:uid="{FD814917-81DF-4C01-BB27-9A0B108C3299}"/>
    <cellStyle name="40 % - Markeringsfarve5 3 4 2" xfId="31897" xr:uid="{52E94C91-CE04-4153-A9F0-91A740F0CA9E}"/>
    <cellStyle name="40 % - Markeringsfarve5 3 4 3" xfId="31898" xr:uid="{D9E1BA70-63EC-42CE-B140-A585DB2CDC54}"/>
    <cellStyle name="40 % - Markeringsfarve5 3 5" xfId="31899" xr:uid="{DB5F7C81-558F-404F-96E1-233B9BB60EF2}"/>
    <cellStyle name="40 % - Markeringsfarve5 3 5 2" xfId="31900" xr:uid="{427B9040-3F22-4561-AC32-37678D2AA303}"/>
    <cellStyle name="40 % - Markeringsfarve5 3 5 3" xfId="31901" xr:uid="{4131DB03-D30B-4107-9CC3-895C330A6B19}"/>
    <cellStyle name="40 % - Markeringsfarve5 3 6" xfId="31902" xr:uid="{29398C6A-C263-4CDC-8D08-D36DF2A475C2}"/>
    <cellStyle name="40 % - Markeringsfarve5 3 6 2" xfId="31903" xr:uid="{C455D4AF-DF65-411C-999F-E81EF2761DEA}"/>
    <cellStyle name="40 % - Markeringsfarve5 3 6 3" xfId="31904" xr:uid="{759971A0-0EAE-4D3B-89D0-F8ED5B5FC1AD}"/>
    <cellStyle name="40 % - Markeringsfarve5 3 7" xfId="31905" xr:uid="{DCF13669-A82D-460D-ABA7-85E56B5E0AD1}"/>
    <cellStyle name="40 % - Markeringsfarve5 3 7 2" xfId="31906" xr:uid="{CBD889EA-7FCC-422A-A0EE-5C44DFACED18}"/>
    <cellStyle name="40 % - Markeringsfarve5 3 7 3" xfId="31907" xr:uid="{5F0FDFAD-D0B5-47F5-8A02-0EC4175271DF}"/>
    <cellStyle name="40 % - Markeringsfarve5 3 8" xfId="31908" xr:uid="{66A0B4FD-6DA2-4D66-8F4E-0C368D6EE3CF}"/>
    <cellStyle name="40 % - Markeringsfarve5 3 8 2" xfId="31909" xr:uid="{E71270D9-13CE-4D74-AF3F-72CD68E676B6}"/>
    <cellStyle name="40 % - Markeringsfarve5 3 8 3" xfId="31910" xr:uid="{12A317A5-ADED-46B5-AC4A-6F611A18877D}"/>
    <cellStyle name="40 % - Markeringsfarve5 3 9" xfId="31911" xr:uid="{9F6DEC67-5150-47F0-9691-4732129965EE}"/>
    <cellStyle name="40 % - Markeringsfarve5 3 9 2" xfId="31912" xr:uid="{84808B93-63BF-41DF-A6DB-9199263E00F9}"/>
    <cellStyle name="40 % - Markeringsfarve5 4" xfId="23612" xr:uid="{63F869E4-23EA-4E1F-A049-4C43F92446C5}"/>
    <cellStyle name="40 % - Markeringsfarve5 4 2" xfId="23613" xr:uid="{44566414-B6EC-4C30-96E4-91AC240635BE}"/>
    <cellStyle name="40 % - Markeringsfarve5 4 2 2" xfId="31913" xr:uid="{A02E2831-2A12-4FB3-8CF3-282263148AB3}"/>
    <cellStyle name="40 % - Markeringsfarve5 4 2 3" xfId="31914" xr:uid="{EB48EDE7-E67E-440C-84F0-43A5623526F9}"/>
    <cellStyle name="40 % - Markeringsfarve5 4 3" xfId="31915" xr:uid="{76B210EC-C3BD-47F0-96A9-C4F42E3A1FC8}"/>
    <cellStyle name="40 % - Markeringsfarve5 4 3 2" xfId="31916" xr:uid="{061290B3-DFEE-4A27-96A6-69948ECE561F}"/>
    <cellStyle name="40 % - Markeringsfarve5 4 3 3" xfId="31917" xr:uid="{16DF8AAB-AB76-4839-A40E-105FC76BBF15}"/>
    <cellStyle name="40 % - Markeringsfarve5 4 4" xfId="31918" xr:uid="{2F8A9D6A-7913-43AF-BABE-2DE95BAF8297}"/>
    <cellStyle name="40 % - Markeringsfarve5 4 4 2" xfId="31919" xr:uid="{7A8CDD14-3FA7-48C8-8381-416F6D151025}"/>
    <cellStyle name="40 % - Markeringsfarve5 4 4 3" xfId="31920" xr:uid="{C2B4EBA1-1735-497E-BABF-42F088F130DB}"/>
    <cellStyle name="40 % - Markeringsfarve5 4 5" xfId="31921" xr:uid="{A9A80B17-E933-43C7-8B7F-D5DBD162AFDB}"/>
    <cellStyle name="40 % - Markeringsfarve5 4 5 2" xfId="31922" xr:uid="{CE0C9813-D61E-4430-9304-A6AC1FD49931}"/>
    <cellStyle name="40 % - Markeringsfarve5 4 5 3" xfId="31923" xr:uid="{271FA1A7-5A87-474D-861D-7B6A62848C5D}"/>
    <cellStyle name="40 % - Markeringsfarve5 4 6" xfId="31924" xr:uid="{695D979F-5551-494B-9269-F3D7F124A331}"/>
    <cellStyle name="40 % - Markeringsfarve5 4 6 2" xfId="31925" xr:uid="{9F4CE42D-7D11-43A8-8DC7-C8684C15B515}"/>
    <cellStyle name="40 % - Markeringsfarve5 4 6 3" xfId="31926" xr:uid="{96583D10-FA95-42B1-93D9-80A3F2E9CED7}"/>
    <cellStyle name="40 % - Markeringsfarve5 4 7" xfId="31927" xr:uid="{3B8A4C4C-178B-4C7C-A6F7-3260A4742020}"/>
    <cellStyle name="40 % - Markeringsfarve5 4 7 2" xfId="31928" xr:uid="{C2943E51-3E8B-47D7-A79F-0F0634A6F294}"/>
    <cellStyle name="40 % - Markeringsfarve5 4 8" xfId="31929" xr:uid="{71B704F5-8F9A-4D15-8A9A-C5791AB87940}"/>
    <cellStyle name="40 % - Markeringsfarve5 5" xfId="23614" xr:uid="{83BDF34E-B842-4529-B05A-C7E7CFD724F1}"/>
    <cellStyle name="40 % - Markeringsfarve5 5 2" xfId="23615" xr:uid="{3C2E5713-0A57-4E01-B8F0-150B5CAEA634}"/>
    <cellStyle name="40 % - Markeringsfarve5 5 2 2" xfId="31930" xr:uid="{BFB54B7B-0DC2-4AD4-BF75-62E997DF428B}"/>
    <cellStyle name="40 % - Markeringsfarve5 5 2 3" xfId="31931" xr:uid="{280E98F4-E16D-456A-88A8-16C175A74F0C}"/>
    <cellStyle name="40 % - Markeringsfarve5 5 3" xfId="31932" xr:uid="{C6FDC8CB-4D81-450E-B7B5-3CCA546E20D7}"/>
    <cellStyle name="40 % - Markeringsfarve5 5 3 2" xfId="31933" xr:uid="{06D2E730-2D95-407D-B564-1C4B91FA8E71}"/>
    <cellStyle name="40 % - Markeringsfarve5 5 3 3" xfId="31934" xr:uid="{7ECEBAA8-99B0-44EE-BE3D-BE5ABF2683E2}"/>
    <cellStyle name="40 % - Markeringsfarve5 5 4" xfId="31935" xr:uid="{A66A4CE1-5907-4A77-AD38-E201ADC35725}"/>
    <cellStyle name="40 % - Markeringsfarve5 5 4 2" xfId="31936" xr:uid="{09537570-6099-4854-A734-F64D04F2366D}"/>
    <cellStyle name="40 % - Markeringsfarve5 5 4 3" xfId="31937" xr:uid="{58B25154-6973-4DD1-9F1C-DC91DBDD759E}"/>
    <cellStyle name="40 % - Markeringsfarve5 5 5" xfId="31938" xr:uid="{0424BA80-FCD7-4037-AEC1-53E1EFCC1859}"/>
    <cellStyle name="40 % - Markeringsfarve5 5 5 2" xfId="31939" xr:uid="{F77B1801-62AE-47EB-AA12-866AA064841A}"/>
    <cellStyle name="40 % - Markeringsfarve5 5 5 3" xfId="31940" xr:uid="{DF53B6FD-CDA1-4BB4-93D0-F6984B78CFE3}"/>
    <cellStyle name="40 % - Markeringsfarve5 5 6" xfId="31941" xr:uid="{3E1275A1-FCC4-4180-A7B7-EE17607254BB}"/>
    <cellStyle name="40 % - Markeringsfarve5 5 6 2" xfId="31942" xr:uid="{E26660B4-547B-44D4-A734-7E5F1B7BDF5B}"/>
    <cellStyle name="40 % - Markeringsfarve5 5 6 3" xfId="31943" xr:uid="{C1BE81D4-B652-4540-A66A-F571A5F75FB3}"/>
    <cellStyle name="40 % - Markeringsfarve5 5 7" xfId="31944" xr:uid="{510FC001-1367-4DF1-9C72-5C7185E5FDED}"/>
    <cellStyle name="40 % - Markeringsfarve5 5 7 2" xfId="31945" xr:uid="{03324C39-E9FB-4A60-859F-AAC0DDA1D5E1}"/>
    <cellStyle name="40 % - Markeringsfarve5 5 8" xfId="31946" xr:uid="{0DD7455A-2296-4BB8-8705-F14B002B0568}"/>
    <cellStyle name="40 % - Markeringsfarve5 6" xfId="23616" xr:uid="{56BB0587-E464-4DD4-8CA1-3E7A0B4238E4}"/>
    <cellStyle name="40 % - Markeringsfarve5 6 2" xfId="23617" xr:uid="{273B1F06-D4F6-4EED-8975-C7DE0796FA09}"/>
    <cellStyle name="40 % - Markeringsfarve5 6 3" xfId="31947" xr:uid="{F5A3D9E2-F0E5-4756-A75F-F3B180D4D436}"/>
    <cellStyle name="40 % - Markeringsfarve5 7" xfId="23618" xr:uid="{4BA96272-AD16-4CB2-9AAD-3AA6C55DAF94}"/>
    <cellStyle name="40 % - Markeringsfarve5 7 2" xfId="31948" xr:uid="{942AE209-79A0-4524-91F6-F1ECAC9734B4}"/>
    <cellStyle name="40 % - Markeringsfarve5 7 3" xfId="31949" xr:uid="{CECAAB17-172E-4A0A-A222-2BC0E5B750D2}"/>
    <cellStyle name="40 % - Markeringsfarve5 8" xfId="31950" xr:uid="{D9BDEDBA-3298-4CD8-8662-885DD1E39FCC}"/>
    <cellStyle name="40 % - Markeringsfarve5 8 2" xfId="31951" xr:uid="{61BDB8C1-4EB4-46AC-89F9-F4DF67E72B67}"/>
    <cellStyle name="40 % - Markeringsfarve5 8 3" xfId="31952" xr:uid="{A72AC75D-77C9-4E97-A34D-226C2963CC5C}"/>
    <cellStyle name="40 % - Markeringsfarve5 9" xfId="31953" xr:uid="{7CF2E59C-64E6-4538-A69B-F6AC97BF3EAE}"/>
    <cellStyle name="40 % - Markeringsfarve5 9 2" xfId="31954" xr:uid="{80A93F8B-088C-46EE-83CB-C26CC3E30016}"/>
    <cellStyle name="40 % - Markeringsfarve5 9 3" xfId="31955" xr:uid="{C29BEADE-D498-455A-A53E-99943BE70B9D}"/>
    <cellStyle name="40 % - Markeringsfarve6" xfId="1281" xr:uid="{00000000-0005-0000-0000-000022000000}"/>
    <cellStyle name="40 % - Markeringsfarve6 10" xfId="31956" xr:uid="{EC5AAE7B-0F76-4A4A-B7B3-C20260F1312C}"/>
    <cellStyle name="40 % - Markeringsfarve6 10 2" xfId="31957" xr:uid="{98F2D6C6-7539-448B-81B5-BBF10742C831}"/>
    <cellStyle name="40 % - Markeringsfarve6 10 3" xfId="31958" xr:uid="{91057D61-72EC-426E-8D0E-FA63B58781A5}"/>
    <cellStyle name="40 % - Markeringsfarve6 11" xfId="31959" xr:uid="{9DEEEA39-BAA5-40F3-83B7-8B810675CC1E}"/>
    <cellStyle name="40 % - Markeringsfarve6 11 2" xfId="31960" xr:uid="{E491FFFF-DD6A-4811-B3BD-9B4C27033A62}"/>
    <cellStyle name="40 % - Markeringsfarve6 12" xfId="31961" xr:uid="{7AEB2CC0-DCFA-4E8B-BA58-0A79970EA1AD}"/>
    <cellStyle name="40 % - Markeringsfarve6 13" xfId="17739" xr:uid="{C87B72B5-541C-4DCD-B72D-00376F1ADDEE}"/>
    <cellStyle name="40 % - Markeringsfarve6 2" xfId="1282" xr:uid="{00000000-0005-0000-0000-000023000000}"/>
    <cellStyle name="40 % - Markeringsfarve6 2 10" xfId="31962" xr:uid="{148D4243-947E-4A7F-A278-C7C0DA298D59}"/>
    <cellStyle name="40 % - Markeringsfarve6 2 11" xfId="17740" xr:uid="{7EDB3965-2365-439C-BB2C-02738990AFBA}"/>
    <cellStyle name="40 % - Markeringsfarve6 2 2" xfId="23619" xr:uid="{128F2C9D-CBBC-41C5-B1C1-217F97DD5B13}"/>
    <cellStyle name="40 % - Markeringsfarve6 2 2 2" xfId="23620" xr:uid="{C0BC3B00-5223-4EC2-A12E-AFB6E26C9226}"/>
    <cellStyle name="40 % - Markeringsfarve6 2 2 2 2" xfId="31963" xr:uid="{590DB729-ABDB-4EF9-A9D8-4E0793202211}"/>
    <cellStyle name="40 % - Markeringsfarve6 2 2 2 3" xfId="31964" xr:uid="{92E54B89-7671-4CA0-95E9-7E50CDCAC225}"/>
    <cellStyle name="40 % - Markeringsfarve6 2 2 3" xfId="31965" xr:uid="{40D2C87D-BB33-481B-8751-CEEDEFBBCEA4}"/>
    <cellStyle name="40 % - Markeringsfarve6 2 2 3 2" xfId="31966" xr:uid="{C31CD303-B205-4B2E-AB42-2EED0B3F1D82}"/>
    <cellStyle name="40 % - Markeringsfarve6 2 2 3 3" xfId="31967" xr:uid="{89D7AABB-26DB-4690-A8A2-6788AA97A0B8}"/>
    <cellStyle name="40 % - Markeringsfarve6 2 2 4" xfId="31968" xr:uid="{2CE919DC-DF51-4BAC-A703-0ADB7A1A6D81}"/>
    <cellStyle name="40 % - Markeringsfarve6 2 2 4 2" xfId="31969" xr:uid="{B93327D5-0084-4D39-96A6-FAC54612D62D}"/>
    <cellStyle name="40 % - Markeringsfarve6 2 2 4 3" xfId="31970" xr:uid="{BEA2B190-384C-4908-BB02-B3440CFC6A32}"/>
    <cellStyle name="40 % - Markeringsfarve6 2 2 5" xfId="31971" xr:uid="{3D47101A-1E2C-4921-8E03-80733991EE53}"/>
    <cellStyle name="40 % - Markeringsfarve6 2 2 5 2" xfId="31972" xr:uid="{D7732CE8-2FFC-46A7-9B6D-CE05D52F990F}"/>
    <cellStyle name="40 % - Markeringsfarve6 2 2 5 3" xfId="31973" xr:uid="{A375FC63-A4EA-4892-82B8-9F3ECA20DF04}"/>
    <cellStyle name="40 % - Markeringsfarve6 2 2 6" xfId="31974" xr:uid="{D5B880BF-805C-470C-83A3-4115C1A4B2E5}"/>
    <cellStyle name="40 % - Markeringsfarve6 2 2 6 2" xfId="31975" xr:uid="{E63BFA38-FAF5-4ABD-BD01-72E2CD8B768B}"/>
    <cellStyle name="40 % - Markeringsfarve6 2 2 6 3" xfId="31976" xr:uid="{7AFDC77B-1376-4EAD-9DAE-92E3D691EC9D}"/>
    <cellStyle name="40 % - Markeringsfarve6 2 2 7" xfId="31977" xr:uid="{235DBEB9-C6ED-4E8B-A858-F5C4BCB1F864}"/>
    <cellStyle name="40 % - Markeringsfarve6 2 2 7 2" xfId="31978" xr:uid="{552000B7-9713-4B58-B813-C3C6F93AF39C}"/>
    <cellStyle name="40 % - Markeringsfarve6 2 2 8" xfId="31979" xr:uid="{8C754C1A-39ED-459A-AB00-9568B016DEE6}"/>
    <cellStyle name="40 % - Markeringsfarve6 2 3" xfId="23621" xr:uid="{F4D57D28-41AD-476A-A855-B8C1B5C927DB}"/>
    <cellStyle name="40 % - Markeringsfarve6 2 3 2" xfId="23622" xr:uid="{D4FCE1F5-016D-471C-897B-9BEA3F6E1B4C}"/>
    <cellStyle name="40 % - Markeringsfarve6 2 3 2 2" xfId="31980" xr:uid="{8C8C01D3-00BF-443F-8002-99218F7BED7F}"/>
    <cellStyle name="40 % - Markeringsfarve6 2 3 2 3" xfId="31981" xr:uid="{CE13D54B-E3DD-4E21-BAD9-38089CFEE2EA}"/>
    <cellStyle name="40 % - Markeringsfarve6 2 3 3" xfId="31982" xr:uid="{0F9AF3F1-1574-438D-B5CF-F46891503082}"/>
    <cellStyle name="40 % - Markeringsfarve6 2 3 3 2" xfId="31983" xr:uid="{90EFB016-E4A8-4B51-ACC1-5F41192C2913}"/>
    <cellStyle name="40 % - Markeringsfarve6 2 3 3 3" xfId="31984" xr:uid="{ED8CE86D-AE17-481A-AEA9-7E3021455717}"/>
    <cellStyle name="40 % - Markeringsfarve6 2 3 4" xfId="31985" xr:uid="{F431A925-9F81-4E3E-8786-007B0ECECD90}"/>
    <cellStyle name="40 % - Markeringsfarve6 2 3 4 2" xfId="31986" xr:uid="{0C73FAD4-97AA-4E3B-81B7-D24D35AD7D0A}"/>
    <cellStyle name="40 % - Markeringsfarve6 2 3 4 3" xfId="31987" xr:uid="{B3E29245-17B8-42ED-84E3-916A746D12F1}"/>
    <cellStyle name="40 % - Markeringsfarve6 2 3 5" xfId="31988" xr:uid="{46183080-0B90-448D-8501-BAAC70C1DFF3}"/>
    <cellStyle name="40 % - Markeringsfarve6 2 3 5 2" xfId="31989" xr:uid="{9D225A50-13D1-4F8A-9125-97CCEC47A8B0}"/>
    <cellStyle name="40 % - Markeringsfarve6 2 3 5 3" xfId="31990" xr:uid="{9D068593-3CCB-4248-8A14-8BB4EBFA95ED}"/>
    <cellStyle name="40 % - Markeringsfarve6 2 3 6" xfId="31991" xr:uid="{B65C4E88-D9EF-451E-88D7-699A810EA313}"/>
    <cellStyle name="40 % - Markeringsfarve6 2 3 6 2" xfId="31992" xr:uid="{0E4BDEA3-1EE2-47CC-A2F8-BD8C6ECFD8BA}"/>
    <cellStyle name="40 % - Markeringsfarve6 2 3 6 3" xfId="31993" xr:uid="{88591462-1D59-470A-8804-C885D2EAC3A2}"/>
    <cellStyle name="40 % - Markeringsfarve6 2 3 7" xfId="31994" xr:uid="{0C485E4D-B425-4F5E-AD87-7C75D8F25A15}"/>
    <cellStyle name="40 % - Markeringsfarve6 2 3 7 2" xfId="31995" xr:uid="{60132DF5-9ED1-464D-83F6-2B07D9CCC486}"/>
    <cellStyle name="40 % - Markeringsfarve6 2 3 8" xfId="31996" xr:uid="{9BC46B2E-8F95-4430-A823-46BD0397BC76}"/>
    <cellStyle name="40 % - Markeringsfarve6 2 4" xfId="23623" xr:uid="{429B215E-41F3-434D-A54C-C3203BE4AE3C}"/>
    <cellStyle name="40 % - Markeringsfarve6 2 4 2" xfId="31997" xr:uid="{A97FD553-6AD1-4EF4-B4DE-A325613B2130}"/>
    <cellStyle name="40 % - Markeringsfarve6 2 4 3" xfId="31998" xr:uid="{EFADC3A4-057A-4B59-B043-1C0C2FD31C96}"/>
    <cellStyle name="40 % - Markeringsfarve6 2 5" xfId="31999" xr:uid="{86C56A49-0BE0-4DC9-A548-A96953DADEE8}"/>
    <cellStyle name="40 % - Markeringsfarve6 2 5 2" xfId="32000" xr:uid="{8412EF1E-A5B1-4684-8F7D-923E4329EB4E}"/>
    <cellStyle name="40 % - Markeringsfarve6 2 5 3" xfId="32001" xr:uid="{6D2F4697-3BF1-4507-9540-F5A83A08ED51}"/>
    <cellStyle name="40 % - Markeringsfarve6 2 6" xfId="32002" xr:uid="{C9F4ACAE-E2C8-457E-A6A4-2FE329637942}"/>
    <cellStyle name="40 % - Markeringsfarve6 2 6 2" xfId="32003" xr:uid="{7C292225-7595-48F5-ABB0-07FA69104133}"/>
    <cellStyle name="40 % - Markeringsfarve6 2 6 3" xfId="32004" xr:uid="{A5650298-7A0F-44C9-B9E5-FF356A08A047}"/>
    <cellStyle name="40 % - Markeringsfarve6 2 7" xfId="32005" xr:uid="{684C5E67-F399-4244-814C-7B1B2422B4EB}"/>
    <cellStyle name="40 % - Markeringsfarve6 2 7 2" xfId="32006" xr:uid="{C8E1DE88-E5CE-4AD0-A429-FF7F991BB09F}"/>
    <cellStyle name="40 % - Markeringsfarve6 2 7 3" xfId="32007" xr:uid="{CB0FD41F-6255-4C97-8D87-5C8BDDB36A0D}"/>
    <cellStyle name="40 % - Markeringsfarve6 2 8" xfId="32008" xr:uid="{16B552E7-2490-4D79-BFA6-01FCE895A977}"/>
    <cellStyle name="40 % - Markeringsfarve6 2 8 2" xfId="32009" xr:uid="{172BF27D-1089-4074-83E7-75703DDA721C}"/>
    <cellStyle name="40 % - Markeringsfarve6 2 8 3" xfId="32010" xr:uid="{5B4F2686-A31A-4387-A8CC-94F09231AA66}"/>
    <cellStyle name="40 % - Markeringsfarve6 2 9" xfId="32011" xr:uid="{C870165E-D4E2-47A8-8CEE-B149FB8AB307}"/>
    <cellStyle name="40 % - Markeringsfarve6 2 9 2" xfId="32012" xr:uid="{4B4BEE55-9215-4A59-BA17-D467810C2783}"/>
    <cellStyle name="40 % - Markeringsfarve6 3" xfId="2596" xr:uid="{6FBBB8E0-3B6E-43BD-80D9-D7AAD483C000}"/>
    <cellStyle name="40 % - Markeringsfarve6 3 10" xfId="32013" xr:uid="{82B72161-D74E-4DD9-96EB-D1BE64F2FEFE}"/>
    <cellStyle name="40 % - Markeringsfarve6 3 2" xfId="23624" xr:uid="{22B7C103-371F-44A1-AAD1-3068EE4F917B}"/>
    <cellStyle name="40 % - Markeringsfarve6 3 2 2" xfId="32014" xr:uid="{786F043D-CDB3-48E8-A367-72B0A50BA88B}"/>
    <cellStyle name="40 % - Markeringsfarve6 3 2 2 2" xfId="32015" xr:uid="{EDCB024E-9E42-4CCD-A518-8172B94A0292}"/>
    <cellStyle name="40 % - Markeringsfarve6 3 2 2 3" xfId="32016" xr:uid="{9BC17F36-7B3F-4D3D-82B0-14FE9DBCCD84}"/>
    <cellStyle name="40 % - Markeringsfarve6 3 2 3" xfId="32017" xr:uid="{EDFF1535-DBF0-4B86-B4CC-EBCA697F9E9A}"/>
    <cellStyle name="40 % - Markeringsfarve6 3 2 3 2" xfId="32018" xr:uid="{C95C8301-CBC2-40CF-A948-291D2E42A16B}"/>
    <cellStyle name="40 % - Markeringsfarve6 3 2 3 3" xfId="32019" xr:uid="{6C903CF0-8363-4BBD-BFCD-31ED200B87BA}"/>
    <cellStyle name="40 % - Markeringsfarve6 3 2 4" xfId="32020" xr:uid="{0E5868E0-561E-4916-BD38-E6AD2CE5FE12}"/>
    <cellStyle name="40 % - Markeringsfarve6 3 2 4 2" xfId="32021" xr:uid="{7FDD3ADA-BA38-4E7D-86F7-E780D84977EE}"/>
    <cellStyle name="40 % - Markeringsfarve6 3 2 4 3" xfId="32022" xr:uid="{6D030073-5F44-4A8D-BCB0-69EAA7652B45}"/>
    <cellStyle name="40 % - Markeringsfarve6 3 2 5" xfId="32023" xr:uid="{11AA8930-D372-41FF-93BB-35ED474C278C}"/>
    <cellStyle name="40 % - Markeringsfarve6 3 2 5 2" xfId="32024" xr:uid="{97FF1D60-FB7F-4441-91B8-324E70233384}"/>
    <cellStyle name="40 % - Markeringsfarve6 3 2 5 3" xfId="32025" xr:uid="{EC0416C7-7218-4ADB-A8BA-67DB5298C322}"/>
    <cellStyle name="40 % - Markeringsfarve6 3 2 6" xfId="32026" xr:uid="{EE0AB542-5333-40A6-A6F7-EE6AB0FAF20E}"/>
    <cellStyle name="40 % - Markeringsfarve6 3 2 6 2" xfId="32027" xr:uid="{629B03DC-E66C-4325-9295-030DAD99B058}"/>
    <cellStyle name="40 % - Markeringsfarve6 3 2 6 3" xfId="32028" xr:uid="{CE1AA16C-0AD9-4BCC-B839-88C32DEE7947}"/>
    <cellStyle name="40 % - Markeringsfarve6 3 2 7" xfId="32029" xr:uid="{0ED76318-E899-4483-93ED-BFD88D5B856D}"/>
    <cellStyle name="40 % - Markeringsfarve6 3 2 7 2" xfId="32030" xr:uid="{0BF9132D-FC50-461A-A77C-39F76F419429}"/>
    <cellStyle name="40 % - Markeringsfarve6 3 2 8" xfId="32031" xr:uid="{14B6F125-C55D-4E3B-BF49-34A3443615A5}"/>
    <cellStyle name="40 % - Markeringsfarve6 3 3" xfId="32032" xr:uid="{22CC63A7-97D8-48BB-9BC6-5623204EC1B2}"/>
    <cellStyle name="40 % - Markeringsfarve6 3 3 2" xfId="32033" xr:uid="{EEAD151D-2465-45E5-95DB-E18319616632}"/>
    <cellStyle name="40 % - Markeringsfarve6 3 3 2 2" xfId="32034" xr:uid="{A994C82A-F8F0-4687-8D7B-66F3E2152BEC}"/>
    <cellStyle name="40 % - Markeringsfarve6 3 3 2 3" xfId="32035" xr:uid="{9303702E-E841-4DCF-B8A0-766CB90863E7}"/>
    <cellStyle name="40 % - Markeringsfarve6 3 3 3" xfId="32036" xr:uid="{120B48E2-4E53-4A91-A537-B2FAC4BCB4F5}"/>
    <cellStyle name="40 % - Markeringsfarve6 3 3 3 2" xfId="32037" xr:uid="{8F1963A0-4741-427A-99F9-A10755FE4CF8}"/>
    <cellStyle name="40 % - Markeringsfarve6 3 3 3 3" xfId="32038" xr:uid="{296A7086-AD10-4678-9592-CC954DC0FEFC}"/>
    <cellStyle name="40 % - Markeringsfarve6 3 3 4" xfId="32039" xr:uid="{B408A020-F392-480B-9F3B-74BFCABC0B84}"/>
    <cellStyle name="40 % - Markeringsfarve6 3 3 4 2" xfId="32040" xr:uid="{2D764744-B478-401A-8BAA-4B359E956EAA}"/>
    <cellStyle name="40 % - Markeringsfarve6 3 3 4 3" xfId="32041" xr:uid="{9C4D4359-8BBC-42F2-96B3-F7B3B514B3B8}"/>
    <cellStyle name="40 % - Markeringsfarve6 3 3 5" xfId="32042" xr:uid="{CA6DE8A8-D3D6-46CE-BE2B-2DD55E12FF46}"/>
    <cellStyle name="40 % - Markeringsfarve6 3 3 5 2" xfId="32043" xr:uid="{95E42FD3-2243-441E-854D-7D2F567079F8}"/>
    <cellStyle name="40 % - Markeringsfarve6 3 3 5 3" xfId="32044" xr:uid="{829E8179-B35D-4E6D-B25F-4791CC1A7444}"/>
    <cellStyle name="40 % - Markeringsfarve6 3 3 6" xfId="32045" xr:uid="{E587E1D7-9976-45A1-A83B-722067746A03}"/>
    <cellStyle name="40 % - Markeringsfarve6 3 3 6 2" xfId="32046" xr:uid="{500C6C5F-3765-478D-9333-A53C5921C001}"/>
    <cellStyle name="40 % - Markeringsfarve6 3 3 6 3" xfId="32047" xr:uid="{DE8AB853-EEF6-45FD-B6D6-93DDC451C9DD}"/>
    <cellStyle name="40 % - Markeringsfarve6 3 3 7" xfId="32048" xr:uid="{FD58D339-FB96-4E69-AC14-6AB762035AFC}"/>
    <cellStyle name="40 % - Markeringsfarve6 3 3 7 2" xfId="32049" xr:uid="{E3AC4E95-0DEF-490C-AD2C-780E3A910D9F}"/>
    <cellStyle name="40 % - Markeringsfarve6 3 3 8" xfId="32050" xr:uid="{49DD4818-6C5E-462B-9A68-BAD45591E630}"/>
    <cellStyle name="40 % - Markeringsfarve6 3 4" xfId="32051" xr:uid="{FA7E45C0-6E05-4F92-89C6-BED517622127}"/>
    <cellStyle name="40 % - Markeringsfarve6 3 4 2" xfId="32052" xr:uid="{7906519E-DBBD-41CD-BE42-F82CD75C5979}"/>
    <cellStyle name="40 % - Markeringsfarve6 3 4 3" xfId="32053" xr:uid="{E0ED768C-EADF-46E0-A3A3-40186D6BC51B}"/>
    <cellStyle name="40 % - Markeringsfarve6 3 5" xfId="32054" xr:uid="{AB93E065-44B8-4831-9844-C56A16823924}"/>
    <cellStyle name="40 % - Markeringsfarve6 3 5 2" xfId="32055" xr:uid="{D0EBF93D-04DE-4C96-A495-B7A9F8ED17D7}"/>
    <cellStyle name="40 % - Markeringsfarve6 3 5 3" xfId="32056" xr:uid="{D396BD59-85B2-4C35-9FAB-1A000221F034}"/>
    <cellStyle name="40 % - Markeringsfarve6 3 6" xfId="32057" xr:uid="{1D8DE9CB-531E-4A03-9C16-B00BF011F2F8}"/>
    <cellStyle name="40 % - Markeringsfarve6 3 6 2" xfId="32058" xr:uid="{DFE5C0A4-1533-4C16-A426-EF345916D678}"/>
    <cellStyle name="40 % - Markeringsfarve6 3 6 3" xfId="32059" xr:uid="{F013284F-E7DA-47F4-A54D-6C7DBDB4C0C5}"/>
    <cellStyle name="40 % - Markeringsfarve6 3 7" xfId="32060" xr:uid="{2346979D-D5AA-4AB6-95E9-DB5EDFF073B8}"/>
    <cellStyle name="40 % - Markeringsfarve6 3 7 2" xfId="32061" xr:uid="{23D4AD17-996D-4895-80C0-6FB34F66B452}"/>
    <cellStyle name="40 % - Markeringsfarve6 3 7 3" xfId="32062" xr:uid="{A212928A-A4AE-48A2-B128-D2355E6C6609}"/>
    <cellStyle name="40 % - Markeringsfarve6 3 8" xfId="32063" xr:uid="{0FA6A509-0F62-46A9-B708-540A7371900D}"/>
    <cellStyle name="40 % - Markeringsfarve6 3 8 2" xfId="32064" xr:uid="{4634F908-98BD-429F-8FD1-DF8C78B4B7EA}"/>
    <cellStyle name="40 % - Markeringsfarve6 3 8 3" xfId="32065" xr:uid="{942E4D4F-AF46-48CC-8F67-5D9DCE1F437A}"/>
    <cellStyle name="40 % - Markeringsfarve6 3 9" xfId="32066" xr:uid="{2951B334-4BAA-4F85-A095-8FE9085E031C}"/>
    <cellStyle name="40 % - Markeringsfarve6 3 9 2" xfId="32067" xr:uid="{49993DB7-C19E-4931-ADC4-D72F7FB0140D}"/>
    <cellStyle name="40 % - Markeringsfarve6 4" xfId="23625" xr:uid="{8B669A73-835F-4A26-AD87-C1150B24EB92}"/>
    <cellStyle name="40 % - Markeringsfarve6 4 2" xfId="23626" xr:uid="{85289CDB-C002-4FEF-9C9F-B86043E8BEF5}"/>
    <cellStyle name="40 % - Markeringsfarve6 4 2 2" xfId="32068" xr:uid="{35FAFEC7-93ED-4F00-B210-9898AC4C9185}"/>
    <cellStyle name="40 % - Markeringsfarve6 4 2 3" xfId="32069" xr:uid="{7DC82E38-0579-47F2-ADEC-5F3D1E31E596}"/>
    <cellStyle name="40 % - Markeringsfarve6 4 3" xfId="32070" xr:uid="{7DEECB36-63AA-476E-AEFF-9AEA355C54F0}"/>
    <cellStyle name="40 % - Markeringsfarve6 4 3 2" xfId="32071" xr:uid="{CF49037A-FBB9-4606-8DC1-0CC5B4A812A0}"/>
    <cellStyle name="40 % - Markeringsfarve6 4 3 3" xfId="32072" xr:uid="{7642EF24-794F-4361-B0C4-B3A0CA0F271F}"/>
    <cellStyle name="40 % - Markeringsfarve6 4 4" xfId="32073" xr:uid="{79DB3D27-2ED3-41DB-9606-305D6367B281}"/>
    <cellStyle name="40 % - Markeringsfarve6 4 4 2" xfId="32074" xr:uid="{98662FFA-744D-49B6-BD64-8FDCAE5B78D7}"/>
    <cellStyle name="40 % - Markeringsfarve6 4 4 3" xfId="32075" xr:uid="{D12F6088-4E90-4D2D-9436-227D174B5F7E}"/>
    <cellStyle name="40 % - Markeringsfarve6 4 5" xfId="32076" xr:uid="{F3D5FD55-9F8C-4827-8D16-FD582FA34F3E}"/>
    <cellStyle name="40 % - Markeringsfarve6 4 5 2" xfId="32077" xr:uid="{3D486588-169D-4556-BE17-984D7F36B81E}"/>
    <cellStyle name="40 % - Markeringsfarve6 4 5 3" xfId="32078" xr:uid="{0EDCADAA-5046-495D-935A-4451FBE03386}"/>
    <cellStyle name="40 % - Markeringsfarve6 4 6" xfId="32079" xr:uid="{74E8D3FA-08E7-4F41-B503-BAAA52A91030}"/>
    <cellStyle name="40 % - Markeringsfarve6 4 6 2" xfId="32080" xr:uid="{9F49047D-A249-4047-B2FB-F58911D36522}"/>
    <cellStyle name="40 % - Markeringsfarve6 4 6 3" xfId="32081" xr:uid="{C88B1833-9B5B-4FED-B6DF-8F1317749F93}"/>
    <cellStyle name="40 % - Markeringsfarve6 4 7" xfId="32082" xr:uid="{59D15DC1-3E8A-45F3-B606-7CAA4DD9FFA2}"/>
    <cellStyle name="40 % - Markeringsfarve6 4 7 2" xfId="32083" xr:uid="{8B830FCD-D55C-4C13-8286-6B384F0C09DA}"/>
    <cellStyle name="40 % - Markeringsfarve6 4 8" xfId="32084" xr:uid="{DA75186C-A091-4720-A527-4F299C070228}"/>
    <cellStyle name="40 % - Markeringsfarve6 5" xfId="23627" xr:uid="{DFF24C8F-0645-4F3F-8ECB-B1CB753C6D86}"/>
    <cellStyle name="40 % - Markeringsfarve6 5 2" xfId="23628" xr:uid="{F8F32FF3-4F96-4E78-ABB9-3070F6427F22}"/>
    <cellStyle name="40 % - Markeringsfarve6 5 2 2" xfId="32085" xr:uid="{3E665619-D13F-4CA6-A7CB-456F6080F0A4}"/>
    <cellStyle name="40 % - Markeringsfarve6 5 2 3" xfId="32086" xr:uid="{00DA536F-D285-4AFC-90B7-D3FC885F6AB3}"/>
    <cellStyle name="40 % - Markeringsfarve6 5 3" xfId="32087" xr:uid="{F280E1D8-C782-4BB8-A271-47470E636828}"/>
    <cellStyle name="40 % - Markeringsfarve6 5 3 2" xfId="32088" xr:uid="{BDF7A9EE-0D31-46D6-9EFE-293259E54742}"/>
    <cellStyle name="40 % - Markeringsfarve6 5 3 3" xfId="32089" xr:uid="{E6F98FEC-412B-451C-82D3-EE87117C3FDD}"/>
    <cellStyle name="40 % - Markeringsfarve6 5 4" xfId="32090" xr:uid="{F2C80958-484D-4742-A4D2-32E70ED80031}"/>
    <cellStyle name="40 % - Markeringsfarve6 5 4 2" xfId="32091" xr:uid="{BBAE0DEB-D70D-42E2-A119-BEDEDF9C9A7A}"/>
    <cellStyle name="40 % - Markeringsfarve6 5 4 3" xfId="32092" xr:uid="{E673ECAB-C5CE-4467-908A-5811553413F6}"/>
    <cellStyle name="40 % - Markeringsfarve6 5 5" xfId="32093" xr:uid="{E99A8961-079D-482C-9066-841F00CC7111}"/>
    <cellStyle name="40 % - Markeringsfarve6 5 5 2" xfId="32094" xr:uid="{86E9B85B-B1F3-4956-9520-014399AB57B7}"/>
    <cellStyle name="40 % - Markeringsfarve6 5 5 3" xfId="32095" xr:uid="{FF6F1CF4-FB4C-4099-B0CA-FF654D17AA9F}"/>
    <cellStyle name="40 % - Markeringsfarve6 5 6" xfId="32096" xr:uid="{EE608A0C-FACA-45FE-9D8B-3688A323BD2C}"/>
    <cellStyle name="40 % - Markeringsfarve6 5 6 2" xfId="32097" xr:uid="{47FA2A2B-5A27-4569-BCBE-1A06F6E5D1DF}"/>
    <cellStyle name="40 % - Markeringsfarve6 5 6 3" xfId="32098" xr:uid="{81BBD36E-0B76-4E2B-A7F8-32815328CB2D}"/>
    <cellStyle name="40 % - Markeringsfarve6 5 7" xfId="32099" xr:uid="{F1C46960-9699-46AB-90EC-E666ED2807F4}"/>
    <cellStyle name="40 % - Markeringsfarve6 5 7 2" xfId="32100" xr:uid="{317525FD-2ED1-4A21-B3F5-52138B4A5B38}"/>
    <cellStyle name="40 % - Markeringsfarve6 5 8" xfId="32101" xr:uid="{0F1E9AFD-C5B7-43AD-BA7A-2980A650AA8A}"/>
    <cellStyle name="40 % - Markeringsfarve6 6" xfId="23629" xr:uid="{61FF83E9-43D1-4F6E-BDDF-D9059E1C7ACE}"/>
    <cellStyle name="40 % - Markeringsfarve6 6 2" xfId="23630" xr:uid="{124F9F70-08BE-4680-AC49-725640823113}"/>
    <cellStyle name="40 % - Markeringsfarve6 6 3" xfId="32102" xr:uid="{9FD7885A-8EF7-414B-BCA4-8D082BE8575A}"/>
    <cellStyle name="40 % - Markeringsfarve6 7" xfId="23631" xr:uid="{F375B9C4-C4C1-467F-9DAC-A38E862F7160}"/>
    <cellStyle name="40 % - Markeringsfarve6 7 2" xfId="32103" xr:uid="{2EB3EAB9-09CE-4137-9A52-041E7C790EB1}"/>
    <cellStyle name="40 % - Markeringsfarve6 7 3" xfId="32104" xr:uid="{3442B480-24C9-4840-80C9-58447415CCE6}"/>
    <cellStyle name="40 % - Markeringsfarve6 8" xfId="32105" xr:uid="{9383DB0B-7110-4D38-92E3-A418165B7D46}"/>
    <cellStyle name="40 % - Markeringsfarve6 8 2" xfId="32106" xr:uid="{06C990DE-7837-4877-818D-E10C4F392140}"/>
    <cellStyle name="40 % - Markeringsfarve6 8 3" xfId="32107" xr:uid="{639E9F8B-3776-4EEF-B79F-6A078EC47BB4}"/>
    <cellStyle name="40 % - Markeringsfarve6 9" xfId="32108" xr:uid="{FD7C7D1B-CE31-47A0-ACC7-2FD9CA49A8C7}"/>
    <cellStyle name="40 % - Markeringsfarve6 9 2" xfId="32109" xr:uid="{C6963BAD-7375-4911-B2C5-9E2560EBF025}"/>
    <cellStyle name="40 % - Markeringsfarve6 9 3" xfId="32110" xr:uid="{CFDBFEF0-5BB3-4130-8128-33F27D483223}"/>
    <cellStyle name="40% - Accent1 2" xfId="23632" xr:uid="{6418353F-4D5B-4974-B10D-F356A2EC0461}"/>
    <cellStyle name="40% - Accent2 2" xfId="23633" xr:uid="{91D0976E-C358-41FE-BF01-08754447FCF7}"/>
    <cellStyle name="40% - Accent3 2" xfId="23634" xr:uid="{5805ECBF-3415-4C73-BD59-36715F2A5FC6}"/>
    <cellStyle name="40% - Accent4 2" xfId="23635" xr:uid="{53BD2906-FF9D-4228-9875-0BDB6F4922C1}"/>
    <cellStyle name="40% - Accent5 2" xfId="23636" xr:uid="{189E0385-4264-401E-B5C2-5642F02D970D}"/>
    <cellStyle name="40% - Accent6 2" xfId="23637" xr:uid="{733EF9E3-C673-4D27-97EA-F82148D6E7A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7" xr:uid="{157CEF8C-1040-4470-AB58-985C8ACB82FC}"/>
    <cellStyle name="5x indented GHG Textfiels 2 2" xfId="13371" xr:uid="{1CDE7098-E6CE-47B7-A730-386AFC88299D}"/>
    <cellStyle name="5x indented GHG Textfiels 3" xfId="13054" xr:uid="{576B58E4-0AA3-4411-9023-7384A1682630}"/>
    <cellStyle name="60 % - Markeringsfarve1" xfId="1283" xr:uid="{00000000-0005-0000-0000-000031000000}"/>
    <cellStyle name="60 % - Markeringsfarve1 2" xfId="2598" xr:uid="{1B8F605D-9069-431D-87E1-008003429B0D}"/>
    <cellStyle name="60 % - Markeringsfarve2" xfId="1284" xr:uid="{00000000-0005-0000-0000-000032000000}"/>
    <cellStyle name="60 % - Markeringsfarve2 2" xfId="2599" xr:uid="{C344133D-C7FB-4DAA-9C9F-28FCE077B531}"/>
    <cellStyle name="60 % - Markeringsfarve3" xfId="1285" xr:uid="{00000000-0005-0000-0000-000033000000}"/>
    <cellStyle name="60 % - Markeringsfarve3 2" xfId="2600" xr:uid="{5423C402-57E4-4496-85B8-A2C87C957B0B}"/>
    <cellStyle name="60 % - Markeringsfarve4" xfId="1286" xr:uid="{00000000-0005-0000-0000-000034000000}"/>
    <cellStyle name="60 % - Markeringsfarve4 2" xfId="2601" xr:uid="{B907310D-3C65-4E0A-B4C6-EDE5FC4476CF}"/>
    <cellStyle name="60 % - Markeringsfarve5" xfId="1287" xr:uid="{00000000-0005-0000-0000-000035000000}"/>
    <cellStyle name="60 % - Markeringsfarve5 2" xfId="2602" xr:uid="{30D1AE32-EBAF-4A07-9CAC-C6C384153BD8}"/>
    <cellStyle name="60 % - Markeringsfarve6" xfId="1288" xr:uid="{00000000-0005-0000-0000-000036000000}"/>
    <cellStyle name="60 % - Markeringsfarve6 2" xfId="2603" xr:uid="{117988F5-4355-4526-8A7F-7B02821EF8BC}"/>
    <cellStyle name="60% - Accent1 2" xfId="23638" xr:uid="{C60610E2-15A7-4EF7-896B-ADE826D4AFF2}"/>
    <cellStyle name="60% - Accent2 2" xfId="23639" xr:uid="{47F3B249-8692-488B-A725-BDC1122C41EE}"/>
    <cellStyle name="60% - Accent3 2" xfId="23640" xr:uid="{45C01F27-4883-4049-8855-69E100136CDE}"/>
    <cellStyle name="60% - Accent4 2" xfId="23641" xr:uid="{60F23594-890D-4BEA-AF8C-45A0EE03E25B}"/>
    <cellStyle name="60% - Accent5 2" xfId="23642" xr:uid="{3CBD943A-06B6-491C-847D-C509308CA74F}"/>
    <cellStyle name="60% - Accent6 2" xfId="23643" xr:uid="{A6237FED-C582-4C69-BC1A-39F472D429DB}"/>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ccent1 2" xfId="23644" xr:uid="{BF52DB7E-C933-4524-8563-4F016F3D0436}"/>
    <cellStyle name="Accent2 2" xfId="23645" xr:uid="{6F38CD80-A80D-42C2-AA31-A3C59BBD5D69}"/>
    <cellStyle name="Accent3 2" xfId="23646" xr:uid="{4DDDC3A0-3417-41C3-9CEB-E978406F78C8}"/>
    <cellStyle name="Accent4 2" xfId="23647" xr:uid="{24D70446-8433-43FC-9A1D-F7FAF3103FF6}"/>
    <cellStyle name="Accent5 2" xfId="23648" xr:uid="{528DB808-7F67-431C-8329-8C11930ADDFC}"/>
    <cellStyle name="Accent6 2" xfId="23649" xr:uid="{C1220620-4508-4ABE-B486-A522AF791977}"/>
    <cellStyle name="AggblueCels_1x" xfId="30232" xr:uid="{0060BB5F-2BFF-4ADE-A73F-9E42C3B49485}"/>
    <cellStyle name="AggOrange_CRFReport-template" xfId="32" xr:uid="{00000000-0005-0000-0000-00003D000000}"/>
    <cellStyle name="AggOrange9_CRFReport-template" xfId="33" xr:uid="{00000000-0005-0000-0000-00003E000000}"/>
    <cellStyle name="Bad 2" xfId="34" xr:uid="{00000000-0005-0000-0000-00003F000000}"/>
    <cellStyle name="Bad 2 2" xfId="23650" xr:uid="{3425F975-D6FB-4985-8344-EF95503322E6}"/>
    <cellStyle name="Bad 3" xfId="35" xr:uid="{00000000-0005-0000-0000-000040000000}"/>
    <cellStyle name="Bad 4" xfId="11691" xr:uid="{3FACBD33-5963-497D-9C4F-5CD278FD285B}"/>
    <cellStyle name="Bad 5" xfId="32604" xr:uid="{746EB2D7-1581-4C91-8ABE-69082A10C16B}"/>
    <cellStyle name="Bemærk! 2" xfId="23651" xr:uid="{9373BE6E-2A29-42EF-BD0F-7406C4A017D0}"/>
    <cellStyle name="Bemærk! 2 10" xfId="32111" xr:uid="{D5AC8EFC-E589-400A-B26F-D2BB9BF1C837}"/>
    <cellStyle name="Bemærk! 2 10 2" xfId="32112" xr:uid="{84DC33B0-F1D1-44A7-BBE4-35E514EF4764}"/>
    <cellStyle name="Bemærk! 2 11" xfId="32113" xr:uid="{6F956C17-EFC8-41C7-B9BC-108AFE4DF890}"/>
    <cellStyle name="Bemærk! 2 2" xfId="23652" xr:uid="{BAA52B5B-9EB5-4581-BD8E-97F36BBDBAB4}"/>
    <cellStyle name="Bemærk! 2 2 10" xfId="32114" xr:uid="{821F02A5-6DC0-46C3-A16B-2EB424FAB241}"/>
    <cellStyle name="Bemærk! 2 2 2" xfId="23653" xr:uid="{241E8B99-FEBD-4373-8C32-00F2EA78E308}"/>
    <cellStyle name="Bemærk! 2 2 2 2" xfId="23654" xr:uid="{4A87E84F-BD1B-4718-A6A1-D7649D3D45FF}"/>
    <cellStyle name="Bemærk! 2 2 2 2 2" xfId="32115" xr:uid="{16D36176-82DD-4027-9D37-F1324AD2334D}"/>
    <cellStyle name="Bemærk! 2 2 2 2 3" xfId="32116" xr:uid="{667073C9-EFEE-4490-B7C6-5C225495CF52}"/>
    <cellStyle name="Bemærk! 2 2 2 3" xfId="32117" xr:uid="{D2FFD611-2391-49B9-BCEB-89CB5A2512B7}"/>
    <cellStyle name="Bemærk! 2 2 2 3 2" xfId="32118" xr:uid="{009CE85E-87CB-4D6C-9675-6202B1B9F086}"/>
    <cellStyle name="Bemærk! 2 2 2 3 3" xfId="32119" xr:uid="{B775F0A9-01DE-41E8-8BAC-EF7A1B278749}"/>
    <cellStyle name="Bemærk! 2 2 2 4" xfId="32120" xr:uid="{09B00C6E-8672-4BA5-BF14-FE13F409A602}"/>
    <cellStyle name="Bemærk! 2 2 2 4 2" xfId="32121" xr:uid="{4C11AF43-27E9-494D-9351-1E81B8ABAC97}"/>
    <cellStyle name="Bemærk! 2 2 2 4 3" xfId="32122" xr:uid="{8F0F8E7F-2BE7-45AE-88EA-F1E1340C963E}"/>
    <cellStyle name="Bemærk! 2 2 2 5" xfId="32123" xr:uid="{E94315C9-1AE9-4060-A008-3336AF95E170}"/>
    <cellStyle name="Bemærk! 2 2 2 5 2" xfId="32124" xr:uid="{73E16088-1B90-4D89-9F6C-B9903E46ABDB}"/>
    <cellStyle name="Bemærk! 2 2 2 5 3" xfId="32125" xr:uid="{1E146DDD-60BF-40CD-B245-A9BCE80E51DE}"/>
    <cellStyle name="Bemærk! 2 2 2 6" xfId="32126" xr:uid="{75B8C2EB-9374-4457-9C1E-BB7148A68E39}"/>
    <cellStyle name="Bemærk! 2 2 2 6 2" xfId="32127" xr:uid="{CDD40E75-4ECD-4AEE-BCB8-CCADCF27A457}"/>
    <cellStyle name="Bemærk! 2 2 2 6 3" xfId="32128" xr:uid="{3613587B-BFAD-404F-8C1F-D2511A05B7EC}"/>
    <cellStyle name="Bemærk! 2 2 2 7" xfId="32129" xr:uid="{C69B8693-980D-48E1-A7DE-6797E7A9BF43}"/>
    <cellStyle name="Bemærk! 2 2 2 7 2" xfId="32130" xr:uid="{3BA17DE0-3ACD-4948-95C7-18C198BC34F7}"/>
    <cellStyle name="Bemærk! 2 2 2 8" xfId="32131" xr:uid="{CE5D96F5-BDBB-4DB0-A9E0-B008FB486E37}"/>
    <cellStyle name="Bemærk! 2 2 3" xfId="23655" xr:uid="{51C9A40B-4AE6-47D9-9C93-28079F518509}"/>
    <cellStyle name="Bemærk! 2 2 3 2" xfId="23656" xr:uid="{D1B9E8EB-57BC-4373-85EA-1C033A17DAEE}"/>
    <cellStyle name="Bemærk! 2 2 3 2 2" xfId="32132" xr:uid="{39C525D6-D734-44B9-8D9D-B80131B37C1D}"/>
    <cellStyle name="Bemærk! 2 2 3 2 3" xfId="32133" xr:uid="{E40DCC2C-F19D-4175-A0DA-45B802B75D78}"/>
    <cellStyle name="Bemærk! 2 2 3 3" xfId="32134" xr:uid="{391F1EFC-E17D-4FB9-A178-A7CCCFDD53CF}"/>
    <cellStyle name="Bemærk! 2 2 3 3 2" xfId="32135" xr:uid="{3E726B34-DDF2-427F-BCA3-7F956341C64D}"/>
    <cellStyle name="Bemærk! 2 2 3 3 3" xfId="32136" xr:uid="{9F4B61C8-5B3B-4F6A-A463-194C89E58139}"/>
    <cellStyle name="Bemærk! 2 2 3 4" xfId="32137" xr:uid="{16B8CE36-6FB3-42AC-81ED-CEEE198AB99F}"/>
    <cellStyle name="Bemærk! 2 2 3 4 2" xfId="32138" xr:uid="{9FCDA293-3AE9-41F2-A8F9-164721FA9204}"/>
    <cellStyle name="Bemærk! 2 2 3 4 3" xfId="32139" xr:uid="{FEF5D38B-C00F-41C4-A38C-7E8FCCF6BA01}"/>
    <cellStyle name="Bemærk! 2 2 3 5" xfId="32140" xr:uid="{487E6CD6-2960-43E2-9D24-E46CD94D673A}"/>
    <cellStyle name="Bemærk! 2 2 3 5 2" xfId="32141" xr:uid="{8741D509-532E-4862-9F59-3B24F0FA5A45}"/>
    <cellStyle name="Bemærk! 2 2 3 5 3" xfId="32142" xr:uid="{D53BE8C4-8E13-48D6-87A6-BE4B18D4B589}"/>
    <cellStyle name="Bemærk! 2 2 3 6" xfId="32143" xr:uid="{72E7C6A1-FAC0-4806-9EA5-E026E0E4C121}"/>
    <cellStyle name="Bemærk! 2 2 3 6 2" xfId="32144" xr:uid="{6174E723-08CE-490F-9289-A1182806772A}"/>
    <cellStyle name="Bemærk! 2 2 3 6 3" xfId="32145" xr:uid="{F3752584-D129-45D9-91D4-0522D13AFD49}"/>
    <cellStyle name="Bemærk! 2 2 3 7" xfId="32146" xr:uid="{B44D26AE-EAEF-4587-BE71-11E9340FB9A9}"/>
    <cellStyle name="Bemærk! 2 2 3 7 2" xfId="32147" xr:uid="{64298D16-15FB-4ED4-9F9C-38E1D57A4C67}"/>
    <cellStyle name="Bemærk! 2 2 3 8" xfId="32148" xr:uid="{44703A25-0E8B-4DD4-B312-666447E2F9A5}"/>
    <cellStyle name="Bemærk! 2 2 4" xfId="23657" xr:uid="{1FBADDEE-71C6-4E90-85D9-6EA56DFFAB44}"/>
    <cellStyle name="Bemærk! 2 2 4 2" xfId="32149" xr:uid="{E5907336-B529-4B38-B37C-01AB86FD0218}"/>
    <cellStyle name="Bemærk! 2 2 4 3" xfId="32150" xr:uid="{62D330E7-C025-4258-8C8B-F8CFFD41EA45}"/>
    <cellStyle name="Bemærk! 2 2 5" xfId="32151" xr:uid="{95E1DE6D-8072-4692-9B3C-29CAC23D4ED6}"/>
    <cellStyle name="Bemærk! 2 2 5 2" xfId="32152" xr:uid="{13672071-284F-48B5-9BBC-2A67E8B4F49C}"/>
    <cellStyle name="Bemærk! 2 2 5 3" xfId="32153" xr:uid="{B0104D63-C42E-48F5-B427-5CCE2F2B7B04}"/>
    <cellStyle name="Bemærk! 2 2 6" xfId="32154" xr:uid="{AE8FA86E-43AF-4D9B-B83C-03234205934C}"/>
    <cellStyle name="Bemærk! 2 2 6 2" xfId="32155" xr:uid="{9BE2DC3E-CD21-4840-9C91-7A2D1288912D}"/>
    <cellStyle name="Bemærk! 2 2 6 3" xfId="32156" xr:uid="{1E31B04B-0009-4F45-8C1B-3CAE193C43AD}"/>
    <cellStyle name="Bemærk! 2 2 7" xfId="32157" xr:uid="{157C475D-294B-4C8A-9C2D-C19645EE3D85}"/>
    <cellStyle name="Bemærk! 2 2 7 2" xfId="32158" xr:uid="{97F29DA9-5367-4DEC-9810-6075C302ABB5}"/>
    <cellStyle name="Bemærk! 2 2 7 3" xfId="32159" xr:uid="{5D8E0BC8-FE04-4719-AAC0-2BC2E6656720}"/>
    <cellStyle name="Bemærk! 2 2 8" xfId="32160" xr:uid="{8F7F9DC7-D15B-48DE-9B48-1D08CDDA0756}"/>
    <cellStyle name="Bemærk! 2 2 8 2" xfId="32161" xr:uid="{65917F22-162D-44FC-9975-92AC0CF8634C}"/>
    <cellStyle name="Bemærk! 2 2 8 3" xfId="32162" xr:uid="{73B3EFF5-8AF5-4D72-8B3E-6F1D5B8BB781}"/>
    <cellStyle name="Bemærk! 2 2 9" xfId="32163" xr:uid="{D8C68C16-3194-4357-8ACA-C6F74933B5FD}"/>
    <cellStyle name="Bemærk! 2 2 9 2" xfId="32164" xr:uid="{ED83D84C-0ED0-4195-A2E9-533F7D03598C}"/>
    <cellStyle name="Bemærk! 2 3" xfId="23658" xr:uid="{BB798888-60E6-4583-BD05-C70AA10B4E15}"/>
    <cellStyle name="Bemærk! 2 3 2" xfId="23659" xr:uid="{F69B055C-3206-4BB3-A8E7-18DBE3B15C69}"/>
    <cellStyle name="Bemærk! 2 3 2 2" xfId="32165" xr:uid="{5E5FEF19-DD04-4505-960E-0561552931FF}"/>
    <cellStyle name="Bemærk! 2 3 2 3" xfId="32166" xr:uid="{A9FBCC9E-87FB-4A71-A966-76E0F22C59DC}"/>
    <cellStyle name="Bemærk! 2 3 3" xfId="32167" xr:uid="{AB7A0A12-0917-4D60-B264-1C1631613E9F}"/>
    <cellStyle name="Bemærk! 2 3 3 2" xfId="32168" xr:uid="{956A6DCB-B725-464A-9B4E-9D8D1418F2C2}"/>
    <cellStyle name="Bemærk! 2 3 3 3" xfId="32169" xr:uid="{ED6DF28E-5D7C-4606-B0D3-56B77ED4A880}"/>
    <cellStyle name="Bemærk! 2 3 4" xfId="32170" xr:uid="{82FC0555-3A30-4CEC-9282-0B9DCAFDC02A}"/>
    <cellStyle name="Bemærk! 2 3 4 2" xfId="32171" xr:uid="{534FA03D-B08D-43B2-9336-ED83CB92F500}"/>
    <cellStyle name="Bemærk! 2 3 4 3" xfId="32172" xr:uid="{94A496EA-D922-4DAE-B081-13263A6EDF2D}"/>
    <cellStyle name="Bemærk! 2 3 5" xfId="32173" xr:uid="{30300AEF-9DCB-4853-B386-050FAE4E67DD}"/>
    <cellStyle name="Bemærk! 2 3 5 2" xfId="32174" xr:uid="{12FB387D-0E38-4EC6-ACC1-C8895FD01A03}"/>
    <cellStyle name="Bemærk! 2 3 5 3" xfId="32175" xr:uid="{C357A56E-4524-4932-A02A-4EA0C5281A3A}"/>
    <cellStyle name="Bemærk! 2 3 6" xfId="32176" xr:uid="{F151A788-6443-4847-A4DB-F364703E34CC}"/>
    <cellStyle name="Bemærk! 2 3 6 2" xfId="32177" xr:uid="{B236B3CF-EC60-4593-8E3E-22558A84A040}"/>
    <cellStyle name="Bemærk! 2 3 6 3" xfId="32178" xr:uid="{4308D5AF-4156-4CA9-92A3-7DE8887D04BB}"/>
    <cellStyle name="Bemærk! 2 3 7" xfId="32179" xr:uid="{1FA27D3F-952A-4BAB-B9AA-17203F377BC0}"/>
    <cellStyle name="Bemærk! 2 3 7 2" xfId="32180" xr:uid="{C2C662CC-94EA-43AD-ADBE-874CD0CB3625}"/>
    <cellStyle name="Bemærk! 2 3 8" xfId="32181" xr:uid="{544D831A-DAB3-4A4E-B147-B61AB68A4B73}"/>
    <cellStyle name="Bemærk! 2 4" xfId="23660" xr:uid="{353858F9-B6CF-4FA4-9F26-BBE42A6AE029}"/>
    <cellStyle name="Bemærk! 2 4 2" xfId="23661" xr:uid="{8540102A-7B43-4513-B1B2-E0FD3F3C4F0F}"/>
    <cellStyle name="Bemærk! 2 4 2 2" xfId="32182" xr:uid="{206A998D-383A-4145-B058-C96D303A111E}"/>
    <cellStyle name="Bemærk! 2 4 2 3" xfId="32183" xr:uid="{4669F828-4A07-4388-89DE-7C07C2EBF949}"/>
    <cellStyle name="Bemærk! 2 4 3" xfId="32184" xr:uid="{B3E5C603-0537-41BA-8B90-8E0C04E5B6B8}"/>
    <cellStyle name="Bemærk! 2 4 3 2" xfId="32185" xr:uid="{04CE8552-D5F5-41AD-8659-4B62407FDB0D}"/>
    <cellStyle name="Bemærk! 2 4 3 3" xfId="32186" xr:uid="{0FB6B356-5774-4C98-BA25-5C2E37173D54}"/>
    <cellStyle name="Bemærk! 2 4 4" xfId="32187" xr:uid="{577A2A27-DF3F-4661-BF4E-ACF919705C5D}"/>
    <cellStyle name="Bemærk! 2 4 4 2" xfId="32188" xr:uid="{04158F11-DCC2-419B-9FA9-C373B79B12CF}"/>
    <cellStyle name="Bemærk! 2 4 4 3" xfId="32189" xr:uid="{4FD1BFA3-252F-4D9B-B3FE-DD9609DD3B55}"/>
    <cellStyle name="Bemærk! 2 4 5" xfId="32190" xr:uid="{E2D021F8-9C72-4333-85BE-14E28E9217AD}"/>
    <cellStyle name="Bemærk! 2 4 5 2" xfId="32191" xr:uid="{F96B879D-A96D-474B-B79F-8DAFD607CF00}"/>
    <cellStyle name="Bemærk! 2 4 5 3" xfId="32192" xr:uid="{204010CE-5A4F-4502-9C0E-52F6996BA965}"/>
    <cellStyle name="Bemærk! 2 4 6" xfId="32193" xr:uid="{D8A95BC3-D050-4DB6-9785-A7A119ACD6DC}"/>
    <cellStyle name="Bemærk! 2 4 6 2" xfId="32194" xr:uid="{D9CAE6CE-36D2-4835-BA37-BA41F0CB2157}"/>
    <cellStyle name="Bemærk! 2 4 6 3" xfId="32195" xr:uid="{1964F598-1E7B-46A1-8CCB-5977D9E8CDF4}"/>
    <cellStyle name="Bemærk! 2 4 7" xfId="32196" xr:uid="{18864F8D-D6AC-41BD-8C5B-F60B3DFC674F}"/>
    <cellStyle name="Bemærk! 2 4 7 2" xfId="32197" xr:uid="{45CB0B17-D0B7-41BE-997A-5CA8A977E716}"/>
    <cellStyle name="Bemærk! 2 4 8" xfId="32198" xr:uid="{7B85F6E9-34B6-42E8-957D-560649B0C4DB}"/>
    <cellStyle name="Bemærk! 2 5" xfId="23662" xr:uid="{B3D43376-5593-401B-A005-6B63BFE5625F}"/>
    <cellStyle name="Bemærk! 2 5 2" xfId="23663" xr:uid="{1B59DA08-37E7-4AB7-AEC4-62752A1E7F4A}"/>
    <cellStyle name="Bemærk! 2 5 3" xfId="32199" xr:uid="{4C1962C6-5258-475A-B0E4-4EB9EFB8F424}"/>
    <cellStyle name="Bemærk! 2 6" xfId="23664" xr:uid="{4C161280-FA25-49D9-B7D6-6242062D4491}"/>
    <cellStyle name="Bemærk! 2 6 2" xfId="32200" xr:uid="{551EE91B-ABF2-4599-A584-E23C16DB6464}"/>
    <cellStyle name="Bemærk! 2 6 3" xfId="32201" xr:uid="{BEC2C808-9616-43A9-BB83-45B06FC70063}"/>
    <cellStyle name="Bemærk! 2 7" xfId="23665" xr:uid="{F58A2777-A252-4AA4-817D-565554A0EB75}"/>
    <cellStyle name="Bemærk! 2 7 2" xfId="23666" xr:uid="{B6E09C6C-6BDB-4320-9642-46D20DE40B07}"/>
    <cellStyle name="Bemærk! 2 7 3" xfId="32202" xr:uid="{E05CE911-10ED-4845-8D64-4EC1F5D69C18}"/>
    <cellStyle name="Bemærk! 2 8" xfId="23667" xr:uid="{977A57F4-B207-420C-8477-07C36C5AA819}"/>
    <cellStyle name="Bemærk! 2 8 2" xfId="32203" xr:uid="{6C97BB3C-3CF7-4172-A575-653DEA0EA651}"/>
    <cellStyle name="Bemærk! 2 8 3" xfId="32204" xr:uid="{B50A274E-1FA5-4D93-A99B-C604A7832F7C}"/>
    <cellStyle name="Bemærk! 2 9" xfId="32205" xr:uid="{D6C6FC33-03B3-484D-AD58-3CAD66A9E5D7}"/>
    <cellStyle name="Bemærk! 2 9 2" xfId="32206" xr:uid="{E950A389-4E0E-44FD-9B85-038ACD765FF7}"/>
    <cellStyle name="Bemærk! 2 9 3" xfId="32207" xr:uid="{D4FEFA5C-EA53-44E3-A4CF-797E36032787}"/>
    <cellStyle name="Bemærk! 3" xfId="23668" xr:uid="{096AA7AC-4A8B-4A96-9567-5E09EAFD60B3}"/>
    <cellStyle name="Bemærk! 3 10" xfId="32208" xr:uid="{6941CA3B-8B21-4515-A72D-CB26E606C85D}"/>
    <cellStyle name="Bemærk! 3 2" xfId="30241" xr:uid="{2BC5965A-7B8A-4604-8FAB-77921E59B430}"/>
    <cellStyle name="Bemærk! 3 2 2" xfId="32209" xr:uid="{CFCB5BFD-5C47-4D9E-806C-075F1C0E6A48}"/>
    <cellStyle name="Bemærk! 3 2 2 2" xfId="32210" xr:uid="{D13708B7-D779-4145-BAAB-F80DC7BBEE35}"/>
    <cellStyle name="Bemærk! 3 2 2 3" xfId="32211" xr:uid="{7958ADE0-A42F-4252-B468-B4E458A12B06}"/>
    <cellStyle name="Bemærk! 3 2 3" xfId="32212" xr:uid="{E12850D1-5490-4483-99BE-BB6AEC626A81}"/>
    <cellStyle name="Bemærk! 3 2 3 2" xfId="32213" xr:uid="{D9547874-02BB-4CE8-A2E0-BEE9AD7165CF}"/>
    <cellStyle name="Bemærk! 3 2 3 3" xfId="32214" xr:uid="{791F691B-7C1E-4C9C-8D37-01D5D97E62F6}"/>
    <cellStyle name="Bemærk! 3 2 4" xfId="32215" xr:uid="{B09C661F-CADD-4D16-86A2-53B51BB9FD07}"/>
    <cellStyle name="Bemærk! 3 2 4 2" xfId="32216" xr:uid="{40FDEAF1-1EB0-4344-8D93-32BAFC034894}"/>
    <cellStyle name="Bemærk! 3 2 4 3" xfId="32217" xr:uid="{37B4F4EB-D431-4398-88A4-4520C74FDBF3}"/>
    <cellStyle name="Bemærk! 3 2 5" xfId="32218" xr:uid="{5F75D2B4-FC6D-43FA-B456-862D8BEC3E8D}"/>
    <cellStyle name="Bemærk! 3 2 5 2" xfId="32219" xr:uid="{06EE941D-7262-41A2-B2D9-0B4BA20A6EA3}"/>
    <cellStyle name="Bemærk! 3 2 5 3" xfId="32220" xr:uid="{BD92392B-53C5-43D5-843E-33C7D8CE5D1A}"/>
    <cellStyle name="Bemærk! 3 2 6" xfId="32221" xr:uid="{10A9BA7F-F06A-48FC-A3AE-061566A99583}"/>
    <cellStyle name="Bemærk! 3 2 6 2" xfId="32222" xr:uid="{00449C5D-7DE8-419E-9C9F-3A725E2CCD25}"/>
    <cellStyle name="Bemærk! 3 2 6 3" xfId="32223" xr:uid="{D9F04010-1F82-4A1E-8742-B7C21062BC8E}"/>
    <cellStyle name="Bemærk! 3 2 7" xfId="32224" xr:uid="{3F02C871-37C0-4A74-A38C-D5CBFC06215D}"/>
    <cellStyle name="Bemærk! 3 2 7 2" xfId="32225" xr:uid="{B24A5F66-D1AA-46DF-8159-21D9957566CC}"/>
    <cellStyle name="Bemærk! 3 2 8" xfId="32226" xr:uid="{34D2C64E-F7BD-4084-A5B5-0C5F40A5D845}"/>
    <cellStyle name="Bemærk! 3 3" xfId="32227" xr:uid="{F65A2F66-9E5A-4230-9D05-411298248526}"/>
    <cellStyle name="Bemærk! 3 3 2" xfId="32228" xr:uid="{2D2B8C1A-D52A-4562-8F9E-2D5F980207C6}"/>
    <cellStyle name="Bemærk! 3 3 2 2" xfId="32229" xr:uid="{18395612-0036-412F-BF5C-2DC112F358B1}"/>
    <cellStyle name="Bemærk! 3 3 2 3" xfId="32230" xr:uid="{24C6A305-A6DE-454D-8036-347749997263}"/>
    <cellStyle name="Bemærk! 3 3 3" xfId="32231" xr:uid="{CA087CA6-9142-4437-B29C-486C93CDFC1B}"/>
    <cellStyle name="Bemærk! 3 3 3 2" xfId="32232" xr:uid="{E58C7B28-CDEC-404F-A6E3-3226FD433A11}"/>
    <cellStyle name="Bemærk! 3 3 3 3" xfId="32233" xr:uid="{0EAF0F51-198D-4FD9-804C-1DD9C381FA87}"/>
    <cellStyle name="Bemærk! 3 3 4" xfId="32234" xr:uid="{ABDCE1E2-AADD-4C5C-A6A8-E44421E6497A}"/>
    <cellStyle name="Bemærk! 3 3 4 2" xfId="32235" xr:uid="{C3F40BB0-06C1-4AC4-9EA3-7CD27B814A08}"/>
    <cellStyle name="Bemærk! 3 3 4 3" xfId="32236" xr:uid="{72336176-852A-4D47-9FE3-D845339DFAFB}"/>
    <cellStyle name="Bemærk! 3 3 5" xfId="32237" xr:uid="{94521ABA-1AB2-4D4A-AA91-F9539D31DD19}"/>
    <cellStyle name="Bemærk! 3 3 5 2" xfId="32238" xr:uid="{1B4A1A3B-8B8B-436F-9813-B25D86D48391}"/>
    <cellStyle name="Bemærk! 3 3 5 3" xfId="32239" xr:uid="{E3487D6F-0C0A-4C29-9277-7880F12B0EE0}"/>
    <cellStyle name="Bemærk! 3 3 6" xfId="32240" xr:uid="{BA28B80A-BD88-4A37-8830-B42AA122FAE2}"/>
    <cellStyle name="Bemærk! 3 3 6 2" xfId="32241" xr:uid="{6763118E-78D5-485B-BFB2-083E09AFBE40}"/>
    <cellStyle name="Bemærk! 3 3 6 3" xfId="32242" xr:uid="{3CE0DBE0-1A2F-45A8-A9E5-D4083FD82D9B}"/>
    <cellStyle name="Bemærk! 3 3 7" xfId="32243" xr:uid="{0C508413-EA9E-4547-9BED-80ACAB5B870C}"/>
    <cellStyle name="Bemærk! 3 3 7 2" xfId="32244" xr:uid="{7A69D936-FBF4-49E8-8615-C8FD6D026B0D}"/>
    <cellStyle name="Bemærk! 3 3 8" xfId="32245" xr:uid="{86399F2D-697F-49F2-8829-F57F6B59A57F}"/>
    <cellStyle name="Bemærk! 3 4" xfId="32246" xr:uid="{2A10A7AF-B410-467B-ABC4-067DE2496E02}"/>
    <cellStyle name="Bemærk! 3 4 2" xfId="32247" xr:uid="{F5BBAAD8-5F2A-4812-9974-01FEF492EA06}"/>
    <cellStyle name="Bemærk! 3 4 3" xfId="32248" xr:uid="{E40EC000-B289-4341-A9F1-7420DB0703D4}"/>
    <cellStyle name="Bemærk! 3 5" xfId="32249" xr:uid="{0BF8C58B-FDF2-478A-9159-11402D1D9650}"/>
    <cellStyle name="Bemærk! 3 5 2" xfId="32250" xr:uid="{F59A8A4E-9912-4EF1-92AD-4834FE61C066}"/>
    <cellStyle name="Bemærk! 3 5 3" xfId="32251" xr:uid="{EEF4A43E-E70E-46A5-BAE7-F2C237B8CCA4}"/>
    <cellStyle name="Bemærk! 3 6" xfId="32252" xr:uid="{BB57616A-A766-4C32-89D8-BF972D5ADA86}"/>
    <cellStyle name="Bemærk! 3 6 2" xfId="32253" xr:uid="{357F80F0-4645-4E24-BB19-803158240F27}"/>
    <cellStyle name="Bemærk! 3 6 3" xfId="32254" xr:uid="{536619DD-5415-4BC1-AE88-237E22C74D31}"/>
    <cellStyle name="Bemærk! 3 7" xfId="32255" xr:uid="{7F543918-3317-4D58-8FAF-40C934A06E55}"/>
    <cellStyle name="Bemærk! 3 7 2" xfId="32256" xr:uid="{23AA626F-59BC-4E00-9767-3744DEC8ABB8}"/>
    <cellStyle name="Bemærk! 3 7 3" xfId="32257" xr:uid="{9008F13C-298C-46EA-BFA1-31AE6B83A2B8}"/>
    <cellStyle name="Bemærk! 3 8" xfId="32258" xr:uid="{CC097227-2521-4827-B894-BBE5BF263BB6}"/>
    <cellStyle name="Bemærk! 3 8 2" xfId="32259" xr:uid="{0AD2229A-BEEE-45B5-8992-E1ACA91154F0}"/>
    <cellStyle name="Bemærk! 3 8 3" xfId="32260" xr:uid="{2D270FB3-4669-4E39-8B88-03A3D85782AD}"/>
    <cellStyle name="Bemærk! 3 9" xfId="32261" xr:uid="{8579FBF9-8621-451C-B4FB-CF96D05A01CA}"/>
    <cellStyle name="Bemærk! 3 9 2" xfId="32262" xr:uid="{3908DCD4-0DA3-4858-9BA8-D8207D798F02}"/>
    <cellStyle name="Bemærk! 4" xfId="23669" xr:uid="{05967FC9-1B9D-413B-8CC3-3A13B4FED043}"/>
    <cellStyle name="Bemærk! 4 2" xfId="23670" xr:uid="{71477C25-5586-4D84-A55F-AAD6687049F3}"/>
    <cellStyle name="Bemærk! 4 2 2" xfId="23671" xr:uid="{2F466FB9-D821-43CB-9019-AF896C31A6C5}"/>
    <cellStyle name="Bemærk! 5" xfId="23672" xr:uid="{DDA4CC00-1A79-49E7-AA7E-5E6BE2E9D9B2}"/>
    <cellStyle name="Bemærk! 6" xfId="23673" xr:uid="{D4C899B0-5DAF-4BFC-8F66-51F97FFC0AAF}"/>
    <cellStyle name="Bemærk! 6 2" xfId="23674" xr:uid="{D5FD9BC6-5CA6-4055-AE62-74A10C435C44}"/>
    <cellStyle name="Bruger data" xfId="1252" xr:uid="{00000000-0005-0000-0000-000041000000}"/>
    <cellStyle name="Bruger data 2" xfId="11180" xr:uid="{AA6211FD-E3A6-4980-A31E-1D9961236792}"/>
    <cellStyle name="Bruger data 2 2" xfId="35553" xr:uid="{636E144F-223D-4B1A-98A2-6CC01E386B70}"/>
    <cellStyle name="Bruger data 2 3" xfId="32605" xr:uid="{14870784-EC10-4BA7-B9EA-82E259937C80}"/>
    <cellStyle name="Bruger data 3" xfId="10614" xr:uid="{F54873D6-FF5E-4707-940C-ABFECAA5487D}"/>
    <cellStyle name="Bruger data 3 2" xfId="46160" xr:uid="{6B86526D-0FD0-47C8-B220-8C63BCB99015}"/>
    <cellStyle name="Bruger data 3 3" xfId="32672" xr:uid="{6A0D491F-B90D-44E0-ADB8-BBC6C7B83A3A}"/>
    <cellStyle name="Bruger data 4" xfId="23675" xr:uid="{FF46509F-0D6E-4B9E-B89F-1430096DE960}"/>
    <cellStyle name="Bruger data 5" xfId="8913" xr:uid="{2600EE64-30B2-4BAD-A3E5-3763188A75C1}"/>
    <cellStyle name="C01_Main head" xfId="23676" xr:uid="{6588FF2C-182A-472D-909C-4D55764415F7}"/>
    <cellStyle name="C02_Column heads" xfId="23677" xr:uid="{C0648930-AF9E-4E38-8521-93E58EFB7397}"/>
    <cellStyle name="C03_Sub head bold" xfId="23678" xr:uid="{2818F8A4-726D-4507-A778-E339B2AE735A}"/>
    <cellStyle name="C03a_Sub head" xfId="23679" xr:uid="{8D818374-198D-4C43-8FE8-0F4B4D75C5BF}"/>
    <cellStyle name="C04_Total text white bold" xfId="23680" xr:uid="{D8FC01BB-3413-46AE-A5D6-0828587CC0FF}"/>
    <cellStyle name="C04a_Total text black with rule" xfId="23681" xr:uid="{0A57416A-AFDE-4B7A-8248-6E33EFEC82F6}"/>
    <cellStyle name="C05_Main text" xfId="23682" xr:uid="{5ABE3232-AEB2-4BC7-A59E-B24667E02740}"/>
    <cellStyle name="C06_Figs" xfId="23683" xr:uid="{55CB9D6B-87D5-4422-A1E8-41857260D471}"/>
    <cellStyle name="C07_Figs 1 dec percent" xfId="23684" xr:uid="{925351D2-7284-4CDF-9968-9C0A0EC29AAC}"/>
    <cellStyle name="C08_Figs 1 decimal" xfId="23685" xr:uid="{E841B24E-87F4-4C7C-AD79-5F174B117CD1}"/>
    <cellStyle name="C09_Notes" xfId="23686" xr:uid="{F902C3F2-CE6B-4FC3-BEFF-F636D451F084}"/>
    <cellStyle name="Calcolo" xfId="36" xr:uid="{00000000-0005-0000-0000-000042000000}"/>
    <cellStyle name="Calcolo 2" xfId="37" xr:uid="{00000000-0005-0000-0000-000043000000}"/>
    <cellStyle name="Calcolo 2 2" xfId="1289" xr:uid="{00000000-0005-0000-0000-000044000000}"/>
    <cellStyle name="Calcolo 2 2 2" xfId="17741" xr:uid="{124121E2-FBD2-4F73-82DA-53794C277F53}"/>
    <cellStyle name="Calcolo 2 2 2 2" xfId="35554" xr:uid="{0BA870E7-BAD0-4E5D-B8CD-24DB6860CB82}"/>
    <cellStyle name="Calcolo 2 2 3" xfId="32675" xr:uid="{F7A2E818-AD7F-45D5-865F-033CE2B0E8F8}"/>
    <cellStyle name="Calcolo 2 3" xfId="17703" xr:uid="{C6B35C0C-113D-4ED5-B4DF-34B4F5F7248C}"/>
    <cellStyle name="Calcolo 2 3 2" xfId="35054" xr:uid="{8DDB848F-2464-43BE-9B2E-0342E00229AF}"/>
    <cellStyle name="Calcolo 2 4" xfId="30242" xr:uid="{92E214D9-A962-41A1-B761-3B45EA25F18A}"/>
    <cellStyle name="Calcolo 2 4 2" xfId="35055" xr:uid="{60647F3B-200A-4BB3-B290-1826EE8F49D8}"/>
    <cellStyle name="Calcolo 2 5" xfId="30243" xr:uid="{090CA611-32BF-4FC4-8791-5362DF0BC0AB}"/>
    <cellStyle name="Calcolo 2 5 2" xfId="35056" xr:uid="{E60C48C7-0A37-4646-8158-D0E345F92E23}"/>
    <cellStyle name="Calcolo 2 6" xfId="32674" xr:uid="{5EBC7040-7A00-48AE-8D68-2CBCFE9BE885}"/>
    <cellStyle name="Calcolo 3" xfId="1290" xr:uid="{00000000-0005-0000-0000-000045000000}"/>
    <cellStyle name="Calcolo 3 2" xfId="17704" xr:uid="{1CA09E77-AB06-41F4-A318-722F10201A51}"/>
    <cellStyle name="Calcolo 3 2 2" xfId="35063" xr:uid="{20FC001F-FC79-42BD-87E0-055199A0E158}"/>
    <cellStyle name="Calcolo 3 3" xfId="32676" xr:uid="{A2D12F59-8F60-4042-8F24-B2B9FD300ACF}"/>
    <cellStyle name="Calcolo 4" xfId="8914" xr:uid="{95F318DA-1978-4390-BECB-400C20A6DE51}"/>
    <cellStyle name="Calcolo 4 2" xfId="32606" xr:uid="{33B9381E-4CA2-41CD-B1A5-0C0126357A32}"/>
    <cellStyle name="Calcolo 4 2 2" xfId="35555" xr:uid="{DE822BAD-DB7B-4E96-9AC6-9D3FFF9CECD6}"/>
    <cellStyle name="Calcolo 4 3" xfId="32607" xr:uid="{6C900488-D358-43AA-BE9B-CC99D47821D0}"/>
    <cellStyle name="Calcolo 4 3 2" xfId="35556" xr:uid="{AE598EF9-6E74-4BC5-9D0C-E04E491D008A}"/>
    <cellStyle name="Calcolo 4 4" xfId="32677" xr:uid="{4C0DEF7C-9C39-4377-89F9-D0AB650CE46D}"/>
    <cellStyle name="Calcolo 5" xfId="8915" xr:uid="{D51325E7-78BD-4F6E-9F91-501B5D6C6F42}"/>
    <cellStyle name="Calcolo 5 2" xfId="32608" xr:uid="{3D1618D7-F1E6-459A-BFFA-8B468F93F103}"/>
    <cellStyle name="Calcolo 5 2 2" xfId="35557" xr:uid="{ED588944-300E-4EF7-BFD5-91078B7663FB}"/>
    <cellStyle name="Calcolo 5 3" xfId="32609" xr:uid="{03CBC32C-A7D8-4CDB-922F-275A21D02EE6}"/>
    <cellStyle name="Calcolo 5 3 2" xfId="35558" xr:uid="{B309480E-019B-4AE4-A90E-C0F348E614CB}"/>
    <cellStyle name="Calcolo 5 4" xfId="32678" xr:uid="{9A63F37A-5100-457D-A5CF-BC71EA39D02A}"/>
    <cellStyle name="Calcolo 6" xfId="8916" xr:uid="{922C1E50-262C-412F-93DC-D8028592AB60}"/>
    <cellStyle name="Calcolo 6 2" xfId="32610" xr:uid="{D9457282-7983-4F10-97E1-F9E89AA1B716}"/>
    <cellStyle name="Calcolo 6 2 2" xfId="35559" xr:uid="{6F15812E-6BCF-482F-BE0F-42AF348E90A8}"/>
    <cellStyle name="Calcolo 6 3" xfId="32611" xr:uid="{9B33B142-B894-466B-A8F0-7BBA57165D85}"/>
    <cellStyle name="Calcolo 6 3 2" xfId="35560" xr:uid="{BBE85846-E107-4300-9A0A-9616577E7F5C}"/>
    <cellStyle name="Calcolo 6 4" xfId="32679" xr:uid="{8CBFB15F-428B-4F26-A631-C569F4206723}"/>
    <cellStyle name="Calcolo 7" xfId="8917" xr:uid="{4A9DDAC5-C0CE-47D7-A107-AD7A3DE1C404}"/>
    <cellStyle name="Calcolo 7 2" xfId="32612" xr:uid="{0932CA2C-7684-4171-818C-49E9CBFB3D91}"/>
    <cellStyle name="Calcolo 7 2 2" xfId="35561" xr:uid="{EEB837BB-230C-462B-BD2C-8D729DF1D27E}"/>
    <cellStyle name="Calcolo 7 3" xfId="32613" xr:uid="{B4987D60-259E-480B-92D7-060F0B8A418C}"/>
    <cellStyle name="Calcolo 7 3 2" xfId="35562" xr:uid="{8E8D5DD0-A58E-4A7F-9813-195BFF22F1A6}"/>
    <cellStyle name="Calcolo 7 4" xfId="32680" xr:uid="{BFF2191A-3EDB-4C52-994E-983019BB14B3}"/>
    <cellStyle name="Calcolo 8" xfId="32673" xr:uid="{DEE06948-2ACB-4E39-A4F0-8B7D9BCBD31E}"/>
    <cellStyle name="Calculation 2" xfId="38" xr:uid="{00000000-0005-0000-0000-000046000000}"/>
    <cellStyle name="Calculation 2 2" xfId="23687" xr:uid="{CBC4D063-C28C-466C-8661-7BD62CD6C263}"/>
    <cellStyle name="Calculation 2 2 2" xfId="32614" xr:uid="{89FEA145-8E46-41D3-B383-873D80FF9B41}"/>
    <cellStyle name="Calculation 2 2 2 2" xfId="35563" xr:uid="{112D25D1-B9CA-40A7-A428-5919ADAC3EF6}"/>
    <cellStyle name="Calculation 2 2 3" xfId="32615" xr:uid="{A50A6C8A-15C7-4E07-8106-A1AF35D220CD}"/>
    <cellStyle name="Calculation 2 2 3 2" xfId="35564" xr:uid="{03355C58-0043-4B33-88EA-1F6BC4B4A9B6}"/>
    <cellStyle name="Calculation 2 2 4" xfId="32681" xr:uid="{7C8BD276-716D-4017-AFE6-83FB5626D9C0}"/>
    <cellStyle name="Calculation 2 3" xfId="23688" xr:uid="{45BD1BC8-A8F7-4AC7-898D-3AF2D7530123}"/>
    <cellStyle name="Calculation 2 3 2" xfId="32616" xr:uid="{A7F4D76B-2F27-4DAF-AAA1-AFFC5B1DB2F5}"/>
    <cellStyle name="Calculation 2 3 2 2" xfId="35565" xr:uid="{BE8FF6C0-925C-464B-AF0B-B2ABAADFF45F}"/>
    <cellStyle name="Calculation 2 3 3" xfId="32617" xr:uid="{0452467F-8BF1-464E-A4AD-7048C8956A08}"/>
    <cellStyle name="Calculation 2 3 3 2" xfId="35566" xr:uid="{70288ABE-9266-4E8B-A3EC-DC04B85AA2B8}"/>
    <cellStyle name="Calculation 2 3 4" xfId="32682" xr:uid="{EF0B24F0-EEF7-4897-9884-AA994755B4BE}"/>
    <cellStyle name="Calculation 2 4" xfId="23689" xr:uid="{48549DCA-53B9-428C-91FA-D0F7C2EAB32A}"/>
    <cellStyle name="Calculations" xfId="8918" xr:uid="{AFA0CBB1-B95A-492B-9E6B-431160E8883D}"/>
    <cellStyle name="Calculations 2" xfId="32618" xr:uid="{4115DC77-D2D0-429A-9C6D-EAC8A0C2BA5B}"/>
    <cellStyle name="Calculations 2 2" xfId="35567" xr:uid="{89DF7B0C-4D42-4758-88BD-F22840AC9FD6}"/>
    <cellStyle name="Calculations 3" xfId="32683" xr:uid="{8BFE074A-82D1-49DE-BEB5-77FFCE7DA523}"/>
    <cellStyle name="Calculations 4" xfId="23690" xr:uid="{0684EA46-883C-44D2-A647-A6E15D6C36FD}"/>
    <cellStyle name="Cella collegata" xfId="39" xr:uid="{00000000-0005-0000-0000-000047000000}"/>
    <cellStyle name="Cella da controllare" xfId="40" xr:uid="{00000000-0005-0000-0000-000048000000}"/>
    <cellStyle name="Check Cell 2" xfId="23691" xr:uid="{CBAC0792-33FA-445F-AF6A-2D61E1EDD376}"/>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10" xfId="10602" xr:uid="{B2495AA6-265C-41AE-81E6-B3A49B556931}"/>
    <cellStyle name="Comma 10 2" xfId="21247" xr:uid="{29C3F1C1-18BE-4CE6-A244-1FA2F494EA3E}"/>
    <cellStyle name="Comma 10 3" xfId="23692" xr:uid="{2F8BFBD6-D167-4B4B-8474-5363033E029D}"/>
    <cellStyle name="Comma 10 4" xfId="47855" xr:uid="{FCF5D1D8-4FDA-4B10-940D-3EBD6C3DB044}"/>
    <cellStyle name="Comma 10 5" xfId="48585" xr:uid="{590155D4-BF90-403E-A3CF-C969865CE7E9}"/>
    <cellStyle name="Comma 10 6" xfId="49495" xr:uid="{9B7D1D02-AB33-4BB1-87EB-C8F07F62C282}"/>
    <cellStyle name="Comma 10 7" xfId="50265" xr:uid="{C79AFDAD-A6D3-45D4-BDDC-4EAA5EFF2C65}"/>
    <cellStyle name="Comma 10 8" xfId="53281" xr:uid="{8DFB44D3-4E11-4A10-8C53-619C7677268A}"/>
    <cellStyle name="Comma 10 9" xfId="17715" xr:uid="{16529C12-FF40-4A4B-8E0D-AD4875F6E72F}"/>
    <cellStyle name="Comma 11" xfId="23693" xr:uid="{BC26AA5A-DFA6-4B4E-9782-39E048680D64}"/>
    <cellStyle name="Comma 11 2" xfId="48586" xr:uid="{599AA06F-A351-40F1-915F-ED9F32AB5885}"/>
    <cellStyle name="Comma 11 3" xfId="49496" xr:uid="{B6D3DA87-87B9-4125-A315-3F55BE5F5A81}"/>
    <cellStyle name="Comma 12" xfId="23694" xr:uid="{77E2CAA8-FDAD-44F5-91B4-77567048DFF5}"/>
    <cellStyle name="Comma 12 2" xfId="48587" xr:uid="{425A5421-BCFB-4771-B370-1183F06A410F}"/>
    <cellStyle name="Comma 12 3" xfId="49497" xr:uid="{39D53C45-AA6C-43CF-A23F-B0722F07083D}"/>
    <cellStyle name="Comma 13" xfId="23695" xr:uid="{BE5FC36E-88E3-466F-A964-6AEEDB038C31}"/>
    <cellStyle name="Comma 13 2" xfId="32684" xr:uid="{196D2C47-39F8-4177-816C-B62E64ED694C}"/>
    <cellStyle name="Comma 13 3" xfId="48588" xr:uid="{E7C9C900-95DC-4FD2-9AA0-3A02031FC3D8}"/>
    <cellStyle name="Comma 13 4" xfId="49498" xr:uid="{699DD753-E8A2-4275-875B-D79D8604807B}"/>
    <cellStyle name="Comma 14" xfId="55819" xr:uid="{27E49B0A-2530-4D8D-A2A3-E121A8EAA585}"/>
    <cellStyle name="Comma 15" xfId="6981" xr:uid="{0E51ADE3-AE6F-4EF4-9E84-0ACDB4CC6201}"/>
    <cellStyle name="Comma 2" xfId="48" xr:uid="{00000000-0005-0000-0000-000050000000}"/>
    <cellStyle name="Comma 2 10" xfId="2604" xr:uid="{07072C41-71DE-4EF3-A4AC-0329D0C5C78E}"/>
    <cellStyle name="Comma 2 10 2" xfId="23696" xr:uid="{6A11E770-453C-4462-9437-2CFD97B53C4C}"/>
    <cellStyle name="Comma 2 10 3" xfId="48590" xr:uid="{0C3AE32F-A71B-490A-8167-88F127BFF6F6}"/>
    <cellStyle name="Comma 2 10 4" xfId="49500" xr:uid="{DB19570D-EDD5-49DC-A9F7-B24698F8DEFB}"/>
    <cellStyle name="Comma 2 10 5" xfId="19466" xr:uid="{F1C2F289-B466-4DD8-BBFF-8D51DAD5593F}"/>
    <cellStyle name="Comma 2 11" xfId="23697" xr:uid="{A234C552-AF97-4211-B958-2851B2351C08}"/>
    <cellStyle name="Comma 2 12" xfId="32685" xr:uid="{77D5B730-09C7-4EED-8190-B0D1A646EAEF}"/>
    <cellStyle name="Comma 2 12 2" xfId="38059" xr:uid="{D7090DC4-AF7E-4118-9327-A008D0D6910E}"/>
    <cellStyle name="Comma 2 12 3" xfId="43361" xr:uid="{D829579E-A8DF-4F98-A1C5-88C02D51FE58}"/>
    <cellStyle name="Comma 2 13" xfId="35594" xr:uid="{A9528D90-0284-43A6-8FE7-409CF2E85620}"/>
    <cellStyle name="Comma 2 14" xfId="40710" xr:uid="{D2A5D7A7-BFE9-4038-9310-7C19438299F2}"/>
    <cellStyle name="Comma 2 15" xfId="48589" xr:uid="{6B20BAF4-B212-4AE8-AACF-919642295793}"/>
    <cellStyle name="Comma 2 16" xfId="49499" xr:uid="{9A7C8100-C653-43F4-BBDF-9B9E65888906}"/>
    <cellStyle name="Comma 2 17" xfId="6982" xr:uid="{D9EA276E-938A-4F83-AFD1-4A374F0F80CD}"/>
    <cellStyle name="Comma 2 2" xfId="49" xr:uid="{00000000-0005-0000-0000-000051000000}"/>
    <cellStyle name="Comma 2 2 10" xfId="6983" xr:uid="{4FAA9659-A276-40C1-BE52-C4BFB6F14CEE}"/>
    <cellStyle name="Comma 2 2 2" xfId="2606" xr:uid="{8E5D7C90-9CB3-45D5-8CF3-5DBFA3CCB7B7}"/>
    <cellStyle name="Comma 2 2 2 10" xfId="15939" xr:uid="{5B7213FD-B013-45D7-9C3E-BA87FD3A569F}"/>
    <cellStyle name="Comma 2 2 2 11" xfId="7230" xr:uid="{C99BC8A3-30E5-4F2C-B43C-2AD489F0DA46}"/>
    <cellStyle name="Comma 2 2 2 2" xfId="2607" xr:uid="{2130FD32-2C64-4223-B287-6CA4A9FCF640}"/>
    <cellStyle name="Comma 2 2 2 2 10" xfId="15455" xr:uid="{3A72FF15-C6BC-461B-BF80-DC50D6B5B396}"/>
    <cellStyle name="Comma 2 2 2 2 10 2" xfId="22990" xr:uid="{52D349F8-5F86-4268-8A36-A7D346BE90D7}"/>
    <cellStyle name="Comma 2 2 2 2 10 3" xfId="47495" xr:uid="{C882876C-D6FC-4328-93B8-DB05BC1C30F7}"/>
    <cellStyle name="Comma 2 2 2 2 10 4" xfId="52328" xr:uid="{CA88D0A8-4824-46B6-B8B2-81B7BFDB5CC9}"/>
    <cellStyle name="Comma 2 2 2 2 10 5" xfId="55344" xr:uid="{F9F041A4-F157-484A-8E76-2C4DA2A2EE52}"/>
    <cellStyle name="Comma 2 2 2 2 11" xfId="11580" xr:uid="{5B8AC5B7-3550-4B90-A408-D6B53BDD26D6}"/>
    <cellStyle name="Comma 2 2 2 2 11 2" xfId="21704" xr:uid="{EEC4AE3C-7C96-46DB-950C-A72D06B9B683}"/>
    <cellStyle name="Comma 2 2 2 2 11 3" xfId="37214" xr:uid="{09498DFB-D205-4831-A229-FE13D3ACF59B}"/>
    <cellStyle name="Comma 2 2 2 2 11 4" xfId="50727" xr:uid="{CF1437E8-2DE6-4B9C-A147-6AEB65665660}"/>
    <cellStyle name="Comma 2 2 2 2 11 5" xfId="53743" xr:uid="{94A65E27-5798-4311-8B00-D6BCFFE15E6D}"/>
    <cellStyle name="Comma 2 2 2 2 12" xfId="19469" xr:uid="{A2FE0AA6-9E27-4F74-86B5-CBCCE3E9CF5F}"/>
    <cellStyle name="Comma 2 2 2 2 13" xfId="23700" xr:uid="{0B352EE0-A643-4783-8955-14B87A680AE0}"/>
    <cellStyle name="Comma 2 2 2 2 14" xfId="48593" xr:uid="{0EDC620B-DCD2-4CD7-93C8-4806890A4EFC}"/>
    <cellStyle name="Comma 2 2 2 2 15" xfId="49503" xr:uid="{E0CF1DA3-4605-4826-88EA-F84C2F573BD5}"/>
    <cellStyle name="Comma 2 2 2 2 16" xfId="49791" xr:uid="{BCA0DE54-187A-4F7F-9AAD-0293FD66365B}"/>
    <cellStyle name="Comma 2 2 2 2 17" xfId="52806" xr:uid="{C76A3272-042D-4846-8D89-652323A703CE}"/>
    <cellStyle name="Comma 2 2 2 2 2" xfId="8919" xr:uid="{B4F07312-EE6B-4E91-BB2D-8925E69360F9}"/>
    <cellStyle name="Comma 2 2 2 2 2 10" xfId="12316" xr:uid="{505BDF99-C44C-4CD4-A2E3-DA6E74E36C36}"/>
    <cellStyle name="Comma 2 2 2 2 2 10 2" xfId="47662" xr:uid="{BE3485BE-7E21-4135-86F3-BE7108EA7F69}"/>
    <cellStyle name="Comma 2 2 2 2 2 10 3" xfId="50945" xr:uid="{D2F95A2D-5E48-4D9C-8C1C-D148E045F6B5}"/>
    <cellStyle name="Comma 2 2 2 2 2 10 4" xfId="53961" xr:uid="{30B6E461-79CA-42E4-8745-77A03D6F34EF}"/>
    <cellStyle name="Comma 2 2 2 2 2 11" xfId="23701" xr:uid="{DF2EEB08-D18E-44E4-B4C1-71DA638151B9}"/>
    <cellStyle name="Comma 2 2 2 2 2 12" xfId="48594" xr:uid="{21EB4CB9-6517-4E49-B9AC-435D75E07F33}"/>
    <cellStyle name="Comma 2 2 2 2 2 13" xfId="49504" xr:uid="{C179FCCE-CF9B-4877-9794-F3A384F85B2A}"/>
    <cellStyle name="Comma 2 2 2 2 2 14" xfId="49796" xr:uid="{3396E409-2E62-42F8-BA9D-964A538D0BD8}"/>
    <cellStyle name="Comma 2 2 2 2 2 15" xfId="52811" xr:uid="{60B0C435-0062-492B-B903-F0E972D36E92}"/>
    <cellStyle name="Comma 2 2 2 2 2 2" xfId="10006" xr:uid="{2E4663C2-EE9B-4023-94E0-086F74B3B7C0}"/>
    <cellStyle name="Comma 2 2 2 2 2 2 2" xfId="10314" xr:uid="{9FCE9BC6-DE1C-4A4D-9B0D-F2B511ABA869}"/>
    <cellStyle name="Comma 2 2 2 2 2 2 2 2" xfId="14759" xr:uid="{CFEB6229-5F39-437D-8D97-04D62DEBA073}"/>
    <cellStyle name="Comma 2 2 2 2 2 2 2 2 2" xfId="22306" xr:uid="{8D06D761-8E61-45F6-A447-E9E5DDE6A1A4}"/>
    <cellStyle name="Comma 2 2 2 2 2 2 2 2 3" xfId="46431" xr:uid="{2AA5E9F0-97BD-4F4D-868A-FBB388F1CB75}"/>
    <cellStyle name="Comma 2 2 2 2 2 2 2 2 4" xfId="51644" xr:uid="{8A3464D1-D7C4-4012-A7D3-F81CF7B7A8BA}"/>
    <cellStyle name="Comma 2 2 2 2 2 2 2 2 5" xfId="54660" xr:uid="{A1DD82F1-CFBB-4CF5-80A4-BA8863B768C1}"/>
    <cellStyle name="Comma 2 2 2 2 2 2 2 3" xfId="15244" xr:uid="{AE5A68D4-E4CA-4ECE-A2FD-0BC22A5E5094}"/>
    <cellStyle name="Comma 2 2 2 2 2 2 2 3 2" xfId="22783" xr:uid="{C6B26DA0-A2F3-433F-83C7-C7F82916EF5B}"/>
    <cellStyle name="Comma 2 2 2 2 2 2 2 3 3" xfId="46501" xr:uid="{A0A8AF6A-7EDC-479B-9C08-EF3F51F613BB}"/>
    <cellStyle name="Comma 2 2 2 2 2 2 2 3 4" xfId="52121" xr:uid="{F6DF0E6A-4DC6-4026-8024-CB1C0DC43C3A}"/>
    <cellStyle name="Comma 2 2 2 2 2 2 2 3 5" xfId="55137" xr:uid="{3AAFF37A-69AD-46F6-BE21-FD7CD826643E}"/>
    <cellStyle name="Comma 2 2 2 2 2 2 2 4" xfId="15731" xr:uid="{A3E7E8A4-AD54-4BA5-8FBC-D0B46500E092}"/>
    <cellStyle name="Comma 2 2 2 2 2 2 2 4 2" xfId="23260" xr:uid="{1FA81DBE-6620-4818-B161-1CF5BA3F1AE5}"/>
    <cellStyle name="Comma 2 2 2 2 2 2 2 4 3" xfId="25284" xr:uid="{960355A4-3F47-42EC-917A-BD78258A6848}"/>
    <cellStyle name="Comma 2 2 2 2 2 2 2 4 4" xfId="52598" xr:uid="{26BD4CF0-2460-44F8-9482-CEF24287FB8D}"/>
    <cellStyle name="Comma 2 2 2 2 2 2 2 4 5" xfId="55614" xr:uid="{7F0A4995-D171-450A-BD99-390C73A18D40}"/>
    <cellStyle name="Comma 2 2 2 2 2 2 2 5" xfId="12767" xr:uid="{81FB8099-5E58-4484-A30A-19FC559C9722}"/>
    <cellStyle name="Comma 2 2 2 2 2 2 2 5 2" xfId="34159" xr:uid="{3693B33A-9DB1-45FF-A967-20EC5190A5F4}"/>
    <cellStyle name="Comma 2 2 2 2 2 2 2 5 3" xfId="51167" xr:uid="{225C9A37-BE33-42F9-B1A9-441EFE3A5230}"/>
    <cellStyle name="Comma 2 2 2 2 2 2 2 5 4" xfId="54183" xr:uid="{7E882375-CB32-4A3B-B4DD-E1A9EAC72251}"/>
    <cellStyle name="Comma 2 2 2 2 2 2 2 6" xfId="48453" xr:uid="{A95F68C4-26B7-4D5F-9C9E-A44353A2F0EB}"/>
    <cellStyle name="Comma 2 2 2 2 2 2 2 7" xfId="50061" xr:uid="{7C6BF1C6-1376-40C3-8C83-363076C3EF3B}"/>
    <cellStyle name="Comma 2 2 2 2 2 2 2 8" xfId="53077" xr:uid="{A1789CD0-CBCD-4CE1-ABC4-23598921BFAE}"/>
    <cellStyle name="Comma 2 2 2 2 2 2 3" xfId="14547" xr:uid="{8658C64B-6469-4A6B-B0B1-BCF8437B4937}"/>
    <cellStyle name="Comma 2 2 2 2 2 2 3 2" xfId="22094" xr:uid="{E357FAFA-1553-44AB-B8DE-E193D8F6AD84}"/>
    <cellStyle name="Comma 2 2 2 2 2 2 3 3" xfId="34064" xr:uid="{5764C349-7CF0-4D8E-BDC8-AC15D2876064}"/>
    <cellStyle name="Comma 2 2 2 2 2 2 3 4" xfId="51432" xr:uid="{23EA88CA-CEDB-4596-B0F7-D3AACC66F157}"/>
    <cellStyle name="Comma 2 2 2 2 2 2 3 5" xfId="54448" xr:uid="{289BABBA-7264-4031-9DAD-D0DF56E443FE}"/>
    <cellStyle name="Comma 2 2 2 2 2 2 4" xfId="15031" xr:uid="{783B96A2-BB2A-467D-9F17-1D16C9CF19DA}"/>
    <cellStyle name="Comma 2 2 2 2 2 2 4 2" xfId="22571" xr:uid="{67B9256D-2DD9-4ACB-A2E8-914759D073EB}"/>
    <cellStyle name="Comma 2 2 2 2 2 2 4 3" xfId="47484" xr:uid="{12DAC970-375A-4CC9-A7F4-3ACDD0E1357D}"/>
    <cellStyle name="Comma 2 2 2 2 2 2 4 4" xfId="51909" xr:uid="{23725452-5364-4B42-9DAD-39851135EBFD}"/>
    <cellStyle name="Comma 2 2 2 2 2 2 4 5" xfId="54925" xr:uid="{B197A2E8-1721-4A7A-96A4-6CD961E015FD}"/>
    <cellStyle name="Comma 2 2 2 2 2 2 5" xfId="15518" xr:uid="{AF6FEBEC-BE82-424A-BDCD-16500AFB273F}"/>
    <cellStyle name="Comma 2 2 2 2 2 2 5 2" xfId="23048" xr:uid="{000BC2A9-836F-4213-8041-B8461235A421}"/>
    <cellStyle name="Comma 2 2 2 2 2 2 5 3" xfId="46544" xr:uid="{48B7AE38-8FD3-47EC-AE86-6B9ABC4C9853}"/>
    <cellStyle name="Comma 2 2 2 2 2 2 5 4" xfId="52386" xr:uid="{FE4DD2A8-3AF1-414B-9C90-301F75C6A7BE}"/>
    <cellStyle name="Comma 2 2 2 2 2 2 5 5" xfId="55402" xr:uid="{DEEDB44E-1420-45E8-8036-0E96736ABD50}"/>
    <cellStyle name="Comma 2 2 2 2 2 2 6" xfId="12466" xr:uid="{869BCB60-85E6-430E-8912-645CC3355A55}"/>
    <cellStyle name="Comma 2 2 2 2 2 2 6 2" xfId="47612" xr:uid="{119A369E-39C3-42CF-980C-CB672C810DCE}"/>
    <cellStyle name="Comma 2 2 2 2 2 2 6 3" xfId="50955" xr:uid="{27A55F2A-DC32-4404-8169-B2124B6ADFDC}"/>
    <cellStyle name="Comma 2 2 2 2 2 2 6 4" xfId="53971" xr:uid="{86BEB2C1-4DC2-41D0-B70F-70F65CD4C270}"/>
    <cellStyle name="Comma 2 2 2 2 2 2 7" xfId="47571" xr:uid="{E2AA023B-5B1E-407B-B229-F2E4C5DF300B}"/>
    <cellStyle name="Comma 2 2 2 2 2 2 8" xfId="49849" xr:uid="{D0430B2D-D7CE-4728-AF37-8DCEE02D7C6D}"/>
    <cellStyle name="Comma 2 2 2 2 2 2 9" xfId="52865" xr:uid="{AA733D7F-7234-46EF-8974-44469D57BBA2}"/>
    <cellStyle name="Comma 2 2 2 2 2 3" xfId="10080" xr:uid="{970F714D-CB1C-477C-8A88-3048DFFD1C72}"/>
    <cellStyle name="Comma 2 2 2 2 2 3 2" xfId="10393" xr:uid="{C142E82A-5F2F-4776-8138-B4C6038B4006}"/>
    <cellStyle name="Comma 2 2 2 2 2 3 2 2" xfId="14812" xr:uid="{55C5121F-8B72-4238-9408-ED3F2AA22108}"/>
    <cellStyle name="Comma 2 2 2 2 2 3 2 2 2" xfId="22359" xr:uid="{A6DFC0A6-DCEF-415D-822C-8E0C6D043197}"/>
    <cellStyle name="Comma 2 2 2 2 2 3 2 2 3" xfId="47335" xr:uid="{9E6D4D50-4CB5-4E21-A9DD-61DCB0332764}"/>
    <cellStyle name="Comma 2 2 2 2 2 3 2 2 4" xfId="51697" xr:uid="{49CF1385-AC72-440C-AF4D-ADF9668D6FF3}"/>
    <cellStyle name="Comma 2 2 2 2 2 3 2 2 5" xfId="54713" xr:uid="{3DA96183-08CF-45B6-88E2-664BE5500066}"/>
    <cellStyle name="Comma 2 2 2 2 2 3 2 3" xfId="15297" xr:uid="{93E1C2FA-7135-4E6A-96E4-C21AECBD0BFD}"/>
    <cellStyle name="Comma 2 2 2 2 2 3 2 3 2" xfId="22836" xr:uid="{756DA5D5-8AFE-4EDE-86F2-4647DEA5C806}"/>
    <cellStyle name="Comma 2 2 2 2 2 3 2 3 3" xfId="24448" xr:uid="{C8C75282-563A-404E-ADAC-809CAEAF0700}"/>
    <cellStyle name="Comma 2 2 2 2 2 3 2 3 4" xfId="52174" xr:uid="{925BD59B-2F3A-4428-8401-75550C5CB675}"/>
    <cellStyle name="Comma 2 2 2 2 2 3 2 3 5" xfId="55190" xr:uid="{1C980DFC-6654-4114-B1AD-240C506557DC}"/>
    <cellStyle name="Comma 2 2 2 2 2 3 2 4" xfId="15784" xr:uid="{77723292-3D9B-413B-9EB7-64AABDB92DBF}"/>
    <cellStyle name="Comma 2 2 2 2 2 3 2 4 2" xfId="23313" xr:uid="{A362F127-8A89-42BE-B9F1-0733F34CFCD7}"/>
    <cellStyle name="Comma 2 2 2 2 2 3 2 4 3" xfId="47502" xr:uid="{DB76F9AD-9166-4DA4-9DA0-63AA452BD6C5}"/>
    <cellStyle name="Comma 2 2 2 2 2 3 2 4 4" xfId="52651" xr:uid="{19BEE77E-09FE-45AD-BB6D-6558A4541692}"/>
    <cellStyle name="Comma 2 2 2 2 2 3 2 4 5" xfId="55667" xr:uid="{7C8AC423-0F70-4898-8582-5B24803937FD}"/>
    <cellStyle name="Comma 2 2 2 2 2 3 2 5" xfId="12846" xr:uid="{5B07B445-9DBD-49B8-ADB7-FF80CB5C7E78}"/>
    <cellStyle name="Comma 2 2 2 2 2 3 2 5 2" xfId="48202" xr:uid="{29731AAE-BF57-49A6-AE26-F6463016A967}"/>
    <cellStyle name="Comma 2 2 2 2 2 3 2 5 3" xfId="51220" xr:uid="{6E82D698-96B4-4D2B-A981-33C63325FA42}"/>
    <cellStyle name="Comma 2 2 2 2 2 3 2 5 4" xfId="54236" xr:uid="{DE262B3E-F0FD-4A67-B1E2-C471B406BA9B}"/>
    <cellStyle name="Comma 2 2 2 2 2 3 2 6" xfId="24265" xr:uid="{3785C0F0-39C6-4EC0-A1A8-3272A865FA32}"/>
    <cellStyle name="Comma 2 2 2 2 2 3 2 7" xfId="50114" xr:uid="{E9BF7258-5987-4EB0-9C11-07832AFC6ED0}"/>
    <cellStyle name="Comma 2 2 2 2 2 3 2 8" xfId="53130" xr:uid="{5F16275A-5277-4E75-BF76-F4C097A1F6E9}"/>
    <cellStyle name="Comma 2 2 2 2 2 3 3" xfId="14600" xr:uid="{0B76994E-89DD-48DE-B587-8B88460CC15D}"/>
    <cellStyle name="Comma 2 2 2 2 2 3 3 2" xfId="22147" xr:uid="{EE0BA41D-F67D-4E0D-AEDE-83B909A16399}"/>
    <cellStyle name="Comma 2 2 2 2 2 3 3 3" xfId="32378" xr:uid="{459AA75B-8BA7-438F-9C45-7DCE02591519}"/>
    <cellStyle name="Comma 2 2 2 2 2 3 3 4" xfId="51485" xr:uid="{A849E47D-B3AF-4975-AB97-F07DA27346A4}"/>
    <cellStyle name="Comma 2 2 2 2 2 3 3 5" xfId="54501" xr:uid="{9C15F928-15EE-4E5B-81A9-71C3075F2E45}"/>
    <cellStyle name="Comma 2 2 2 2 2 3 4" xfId="15085" xr:uid="{B2BCDD78-80BA-469C-BB15-C893BFE3565D}"/>
    <cellStyle name="Comma 2 2 2 2 2 3 4 2" xfId="22624" xr:uid="{0E89A623-FA31-46D1-9BE5-D953784501C7}"/>
    <cellStyle name="Comma 2 2 2 2 2 3 4 3" xfId="47979" xr:uid="{E425703B-BD91-4C39-AB8F-FAF91E0A15A1}"/>
    <cellStyle name="Comma 2 2 2 2 2 3 4 4" xfId="51962" xr:uid="{34D3BE25-5719-499A-A4EF-680346D7CDF0}"/>
    <cellStyle name="Comma 2 2 2 2 2 3 4 5" xfId="54978" xr:uid="{820A08E2-066D-41A3-8FA4-0053E7021F49}"/>
    <cellStyle name="Comma 2 2 2 2 2 3 5" xfId="15572" xr:uid="{CAA3C18F-824B-4839-B54C-1B60D0D5D15C}"/>
    <cellStyle name="Comma 2 2 2 2 2 3 5 2" xfId="23101" xr:uid="{E2B3A1D2-257A-42A2-82EE-8B8DC0431C0D}"/>
    <cellStyle name="Comma 2 2 2 2 2 3 5 3" xfId="46937" xr:uid="{3555D337-5A3C-4115-A595-CF49F9581390}"/>
    <cellStyle name="Comma 2 2 2 2 2 3 5 4" xfId="52439" xr:uid="{84CCAF27-CB5A-4C6A-A30E-60B7C2C2D241}"/>
    <cellStyle name="Comma 2 2 2 2 2 3 5 5" xfId="55455" xr:uid="{344E05F5-421B-4234-BA4F-10BD711C976A}"/>
    <cellStyle name="Comma 2 2 2 2 2 3 6" xfId="12537" xr:uid="{7AD45FF8-B690-4EA0-9FD7-074150ED9B9C}"/>
    <cellStyle name="Comma 2 2 2 2 2 3 6 2" xfId="47049" xr:uid="{54499611-F365-49F5-818D-8CAF7C88C0E7}"/>
    <cellStyle name="Comma 2 2 2 2 2 3 6 3" xfId="51008" xr:uid="{266D4795-A9A8-48A3-B2F7-1CC430E62F28}"/>
    <cellStyle name="Comma 2 2 2 2 2 3 6 4" xfId="54024" xr:uid="{3D978921-DAFC-4F4B-8FB9-C92789C38EF0}"/>
    <cellStyle name="Comma 2 2 2 2 2 3 7" xfId="47868" xr:uid="{34651C98-D292-4401-8341-1F0E46E39B5B}"/>
    <cellStyle name="Comma 2 2 2 2 2 3 8" xfId="49902" xr:uid="{25E4BC19-6E8F-423D-82A1-BBEA4A3880A4}"/>
    <cellStyle name="Comma 2 2 2 2 2 3 9" xfId="52918" xr:uid="{49EE71A9-ED4E-461E-99D1-881A1486DE58}"/>
    <cellStyle name="Comma 2 2 2 2 2 4" xfId="10159" xr:uid="{FACD275E-614A-44B1-BA26-C424803A2CF9}"/>
    <cellStyle name="Comma 2 2 2 2 2 4 2" xfId="10473" xr:uid="{FE84EF5C-7DB3-4C4E-A30C-FCA1E0D318A2}"/>
    <cellStyle name="Comma 2 2 2 2 2 4 2 2" xfId="14865" xr:uid="{80389E93-90B1-4AA3-9748-0361EF8DB92D}"/>
    <cellStyle name="Comma 2 2 2 2 2 4 2 2 2" xfId="22412" xr:uid="{199CE776-CC1B-4A96-A781-3F4948CDC636}"/>
    <cellStyle name="Comma 2 2 2 2 2 4 2 2 3" xfId="46448" xr:uid="{0B5D240B-BE6A-42B9-ADEB-A7965FA53434}"/>
    <cellStyle name="Comma 2 2 2 2 2 4 2 2 4" xfId="51750" xr:uid="{5BB876BC-D519-44C2-8D95-DF41F936273D}"/>
    <cellStyle name="Comma 2 2 2 2 2 4 2 2 5" xfId="54766" xr:uid="{D78F6095-2F09-4880-8940-5E8A892C87CA}"/>
    <cellStyle name="Comma 2 2 2 2 2 4 2 3" xfId="15350" xr:uid="{7E544995-A8F5-49D0-8D7C-3B35B59E17D1}"/>
    <cellStyle name="Comma 2 2 2 2 2 4 2 3 2" xfId="22889" xr:uid="{3DDBFA63-2E0E-4425-81C9-B654243AF80F}"/>
    <cellStyle name="Comma 2 2 2 2 2 4 2 3 3" xfId="48015" xr:uid="{D4F286EF-87FC-4925-B331-54AE32CF22BB}"/>
    <cellStyle name="Comma 2 2 2 2 2 4 2 3 4" xfId="52227" xr:uid="{9011DF74-8583-4934-B6DC-0A54B695D27B}"/>
    <cellStyle name="Comma 2 2 2 2 2 4 2 3 5" xfId="55243" xr:uid="{FC90E913-32A0-44F4-8ABA-A3C2F7BC70A1}"/>
    <cellStyle name="Comma 2 2 2 2 2 4 2 4" xfId="15837" xr:uid="{2E9958A5-F78C-48D0-9679-C2F7839C14DC}"/>
    <cellStyle name="Comma 2 2 2 2 2 4 2 4 2" xfId="23366" xr:uid="{3B16856C-DD71-4760-9A8C-15EB5DE0B75F}"/>
    <cellStyle name="Comma 2 2 2 2 2 4 2 4 3" xfId="47113" xr:uid="{50346FA3-B773-4FAB-B9C1-E9BDB6D15F18}"/>
    <cellStyle name="Comma 2 2 2 2 2 4 2 4 4" xfId="52704" xr:uid="{B7041E99-4155-4055-82F1-6159023EEA43}"/>
    <cellStyle name="Comma 2 2 2 2 2 4 2 4 5" xfId="55720" xr:uid="{DABAF87A-2F8D-4113-8957-FBCECBEFA192}"/>
    <cellStyle name="Comma 2 2 2 2 2 4 2 5" xfId="12926" xr:uid="{41FBEDC9-4215-44C3-90B6-64762A99D4FB}"/>
    <cellStyle name="Comma 2 2 2 2 2 4 2 5 2" xfId="47101" xr:uid="{FF7D8520-1A00-4138-A9B3-3D3F2DCDDF29}"/>
    <cellStyle name="Comma 2 2 2 2 2 4 2 5 3" xfId="51273" xr:uid="{F736CFAB-E736-43E1-9928-78615B9418D8}"/>
    <cellStyle name="Comma 2 2 2 2 2 4 2 5 4" xfId="54289" xr:uid="{0F8ADD53-4E17-4AAC-8E9F-190EB2C79D75}"/>
    <cellStyle name="Comma 2 2 2 2 2 4 2 6" xfId="47290" xr:uid="{4ED697B8-D494-4AC1-9BA8-636415DD957B}"/>
    <cellStyle name="Comma 2 2 2 2 2 4 2 7" xfId="50167" xr:uid="{69DBC064-78D7-415C-85E7-CF86F9CF48C2}"/>
    <cellStyle name="Comma 2 2 2 2 2 4 2 8" xfId="53183" xr:uid="{50B5A3E1-07E2-409F-80FC-69C97307A3ED}"/>
    <cellStyle name="Comma 2 2 2 2 2 4 3" xfId="14653" xr:uid="{1712DFA7-A8D9-48BF-B481-4413633BB52B}"/>
    <cellStyle name="Comma 2 2 2 2 2 4 3 2" xfId="22200" xr:uid="{73232129-6351-4C2C-BD98-F31997541C9E}"/>
    <cellStyle name="Comma 2 2 2 2 2 4 3 3" xfId="46413" xr:uid="{775FBD3C-D702-49C3-B207-39D60413FAA5}"/>
    <cellStyle name="Comma 2 2 2 2 2 4 3 4" xfId="51538" xr:uid="{7EB4CC36-55BB-410B-BE44-97519CBDB8F9}"/>
    <cellStyle name="Comma 2 2 2 2 2 4 3 5" xfId="54554" xr:uid="{52FD9CE8-B92E-4374-ADF2-45B1A41F73F7}"/>
    <cellStyle name="Comma 2 2 2 2 2 4 4" xfId="15138" xr:uid="{1B318126-B47C-4A5F-9C01-26484F470D91}"/>
    <cellStyle name="Comma 2 2 2 2 2 4 4 2" xfId="22677" xr:uid="{2DCF1E6B-7544-4BA2-8964-687CA2B223D7}"/>
    <cellStyle name="Comma 2 2 2 2 2 4 4 3" xfId="47713" xr:uid="{4BF4C5FA-B661-453F-8172-57307E89A9E6}"/>
    <cellStyle name="Comma 2 2 2 2 2 4 4 4" xfId="52015" xr:uid="{7214B823-058D-4ABC-9E1B-8543035DADEB}"/>
    <cellStyle name="Comma 2 2 2 2 2 4 4 5" xfId="55031" xr:uid="{DD66F60E-45F1-43DD-9E4D-C3CB134FCD10}"/>
    <cellStyle name="Comma 2 2 2 2 2 4 5" xfId="15625" xr:uid="{24849170-54BB-4972-A444-01393A6F2A55}"/>
    <cellStyle name="Comma 2 2 2 2 2 4 5 2" xfId="23154" xr:uid="{2660B9D5-766D-45FD-B2BD-815F87D23C54}"/>
    <cellStyle name="Comma 2 2 2 2 2 4 5 3" xfId="47550" xr:uid="{A07E5C24-B3AF-4C56-AC69-2202C5601745}"/>
    <cellStyle name="Comma 2 2 2 2 2 4 5 4" xfId="52492" xr:uid="{0F2A8386-01D8-4EB3-8DD0-A99666FB4D20}"/>
    <cellStyle name="Comma 2 2 2 2 2 4 5 5" xfId="55508" xr:uid="{6371B645-5257-4E55-AAC6-0590E64D9A23}"/>
    <cellStyle name="Comma 2 2 2 2 2 4 6" xfId="12613" xr:uid="{5D524775-CE51-4E74-A57E-C86440AD48E1}"/>
    <cellStyle name="Comma 2 2 2 2 2 4 6 2" xfId="47467" xr:uid="{4119900A-9E36-4E6D-BBA1-2678D27DB230}"/>
    <cellStyle name="Comma 2 2 2 2 2 4 6 3" xfId="51061" xr:uid="{3F22E74F-4CEB-4187-82DA-51194791A4E3}"/>
    <cellStyle name="Comma 2 2 2 2 2 4 6 4" xfId="54077" xr:uid="{287B5A27-B0EB-4363-9B69-5B2B0C9C26EE}"/>
    <cellStyle name="Comma 2 2 2 2 2 4 7" xfId="46056" xr:uid="{AADFDC8F-DBB9-4C2C-985D-E8145959D0F3}"/>
    <cellStyle name="Comma 2 2 2 2 2 4 8" xfId="49955" xr:uid="{8DE904A2-BA71-4CD7-AAE9-C4CA6D541B3A}"/>
    <cellStyle name="Comma 2 2 2 2 2 4 9" xfId="52971" xr:uid="{E37520D0-41AE-479B-A7C4-397917D9CD3C}"/>
    <cellStyle name="Comma 2 2 2 2 2 5" xfId="10239" xr:uid="{C3CFC777-3000-49DB-880E-25A43B39F62E}"/>
    <cellStyle name="Comma 2 2 2 2 2 5 2" xfId="14706" xr:uid="{747F9DA6-8F0C-48CB-BB6B-9D3D35EC393A}"/>
    <cellStyle name="Comma 2 2 2 2 2 5 2 2" xfId="22253" xr:uid="{4D42047A-BBDB-4999-BF85-BEF2628175AA}"/>
    <cellStyle name="Comma 2 2 2 2 2 5 2 3" xfId="46851" xr:uid="{6D8C8677-A18F-4C39-984D-7D653A8C3C1D}"/>
    <cellStyle name="Comma 2 2 2 2 2 5 2 4" xfId="51591" xr:uid="{DE9DC742-64E8-4D3E-8965-9DE7463EF210}"/>
    <cellStyle name="Comma 2 2 2 2 2 5 2 5" xfId="54607" xr:uid="{4EE2E687-29CD-4F1C-94B2-17417340D73A}"/>
    <cellStyle name="Comma 2 2 2 2 2 5 3" xfId="15191" xr:uid="{BB37FEA1-2494-420C-B533-268F32CEDB94}"/>
    <cellStyle name="Comma 2 2 2 2 2 5 3 2" xfId="22730" xr:uid="{5AE08140-A2A2-4088-84D2-0350A0AAD0E2}"/>
    <cellStyle name="Comma 2 2 2 2 2 5 3 3" xfId="48415" xr:uid="{CA49C0F7-3559-4873-B299-D5F683048A11}"/>
    <cellStyle name="Comma 2 2 2 2 2 5 3 4" xfId="52068" xr:uid="{419B18FD-FA8A-4E0D-9F96-B92624620A3C}"/>
    <cellStyle name="Comma 2 2 2 2 2 5 3 5" xfId="55084" xr:uid="{10B7AE44-B114-4355-858C-C225AAD19040}"/>
    <cellStyle name="Comma 2 2 2 2 2 5 4" xfId="15678" xr:uid="{2F0C533D-3258-4137-BF0E-81AFC32C505B}"/>
    <cellStyle name="Comma 2 2 2 2 2 5 4 2" xfId="23207" xr:uid="{6463E8A3-0ADB-480C-A987-B1746B220575}"/>
    <cellStyle name="Comma 2 2 2 2 2 5 4 3" xfId="46952" xr:uid="{73026AC1-06A1-4A7D-9952-1000E8A006E5}"/>
    <cellStyle name="Comma 2 2 2 2 2 5 4 4" xfId="52545" xr:uid="{64C15F0B-187F-4A60-83E2-D0941A51033D}"/>
    <cellStyle name="Comma 2 2 2 2 2 5 4 5" xfId="55561" xr:uid="{5BF937AA-A852-4B2E-A8DC-496105A53DF6}"/>
    <cellStyle name="Comma 2 2 2 2 2 5 5" xfId="12692" xr:uid="{B1DA0687-0720-436B-9B08-BABC7693DD43}"/>
    <cellStyle name="Comma 2 2 2 2 2 5 5 2" xfId="25064" xr:uid="{B5D26DF6-EDD3-4E02-8E4D-70AD5486F1C0}"/>
    <cellStyle name="Comma 2 2 2 2 2 5 5 3" xfId="51114" xr:uid="{7A7D35B5-4BE9-4BEA-A55D-FB727AD78B2E}"/>
    <cellStyle name="Comma 2 2 2 2 2 5 5 4" xfId="54130" xr:uid="{38AA09ED-79B4-4A8D-9B2F-81564C1E7211}"/>
    <cellStyle name="Comma 2 2 2 2 2 5 6" xfId="46070" xr:uid="{2254B413-0082-4CAA-8DC6-E42A687A00AF}"/>
    <cellStyle name="Comma 2 2 2 2 2 5 7" xfId="50008" xr:uid="{30DDCDEC-BB9B-45FD-99E4-111FCD00F212}"/>
    <cellStyle name="Comma 2 2 2 2 2 5 8" xfId="53024" xr:uid="{68414BA0-877F-4D58-B508-67BE282D9338}"/>
    <cellStyle name="Comma 2 2 2 2 2 6" xfId="10553" xr:uid="{66A51568-4155-4286-A218-F40F30F0D640}"/>
    <cellStyle name="Comma 2 2 2 2 2 6 2" xfId="14918" xr:uid="{929CC629-AA4A-44D1-B0F5-31C60618E5CE}"/>
    <cellStyle name="Comma 2 2 2 2 2 6 2 2" xfId="22465" xr:uid="{5DBE17C5-70FD-476C-941E-8A0E2C7767F8}"/>
    <cellStyle name="Comma 2 2 2 2 2 6 2 3" xfId="32522" xr:uid="{D14D000A-D07E-4E49-B26D-9293F3740068}"/>
    <cellStyle name="Comma 2 2 2 2 2 6 2 4" xfId="51803" xr:uid="{DC71A1C9-E69E-407F-B682-F8407D0AA95F}"/>
    <cellStyle name="Comma 2 2 2 2 2 6 2 5" xfId="54819" xr:uid="{D5D3F881-B19F-463C-AD91-16564B592310}"/>
    <cellStyle name="Comma 2 2 2 2 2 6 3" xfId="15403" xr:uid="{359D6F52-6DB2-4B2E-85E9-F80D21A4C8A6}"/>
    <cellStyle name="Comma 2 2 2 2 2 6 3 2" xfId="22942" xr:uid="{078D9B2C-B87A-484A-9235-14EEBB1B3BF0}"/>
    <cellStyle name="Comma 2 2 2 2 2 6 3 3" xfId="47058" xr:uid="{79C13ED4-30FB-4982-B4D6-F04E75E1C2A8}"/>
    <cellStyle name="Comma 2 2 2 2 2 6 3 4" xfId="52280" xr:uid="{4424CCC5-2B84-455C-A70C-DFEB409A5F1D}"/>
    <cellStyle name="Comma 2 2 2 2 2 6 3 5" xfId="55296" xr:uid="{03228C61-1E13-412A-BFE7-88A2685EFE30}"/>
    <cellStyle name="Comma 2 2 2 2 2 6 4" xfId="15891" xr:uid="{90185DC8-2A25-4974-959E-4611EBFB1ABF}"/>
    <cellStyle name="Comma 2 2 2 2 2 6 4 2" xfId="23419" xr:uid="{7DF16008-0AAA-468C-B757-01E9267C4CCD}"/>
    <cellStyle name="Comma 2 2 2 2 2 6 4 3" xfId="46601" xr:uid="{8C870BAF-90DD-4B33-8BE3-682B0D016328}"/>
    <cellStyle name="Comma 2 2 2 2 2 6 4 4" xfId="52757" xr:uid="{A5AABFFF-A322-4B5A-AE46-D106D3AE40CD}"/>
    <cellStyle name="Comma 2 2 2 2 2 6 4 5" xfId="55773" xr:uid="{9B6FB96C-57AF-484A-B8B2-4607D8380087}"/>
    <cellStyle name="Comma 2 2 2 2 2 6 5" xfId="13006" xr:uid="{6E81CCE5-B2B4-47AC-AED4-C6D53854875C}"/>
    <cellStyle name="Comma 2 2 2 2 2 6 5 2" xfId="32379" xr:uid="{4581F1F6-4D98-4260-9C37-753969E545FE}"/>
    <cellStyle name="Comma 2 2 2 2 2 6 5 3" xfId="51326" xr:uid="{C8627537-7545-48EC-8A96-76D0B3FCE033}"/>
    <cellStyle name="Comma 2 2 2 2 2 6 5 4" xfId="54342" xr:uid="{C0574B5D-088D-422F-97DF-33C34D9A42CE}"/>
    <cellStyle name="Comma 2 2 2 2 2 6 6" xfId="46147" xr:uid="{99BEAFB2-F8F4-4620-9998-97E2A0644AFF}"/>
    <cellStyle name="Comma 2 2 2 2 2 6 7" xfId="50220" xr:uid="{A4375C25-CCA4-43DC-AB6C-FB57FF7512E0}"/>
    <cellStyle name="Comma 2 2 2 2 2 6 8" xfId="53236" xr:uid="{0191B212-5F72-4944-8545-F488BC610865}"/>
    <cellStyle name="Comma 2 2 2 2 2 7" xfId="14494" xr:uid="{65CD0272-747F-4367-89AA-40082BEC0540}"/>
    <cellStyle name="Comma 2 2 2 2 2 7 2" xfId="22041" xr:uid="{662EDD2C-7CC6-4F6D-B00C-81F9195B5E0E}"/>
    <cellStyle name="Comma 2 2 2 2 2 7 3" xfId="24751" xr:uid="{68D3AF3C-9E5C-4D91-B40C-52BA69C2A28B}"/>
    <cellStyle name="Comma 2 2 2 2 2 7 4" xfId="51379" xr:uid="{AED98160-77B6-4CE0-9F32-F42252B60219}"/>
    <cellStyle name="Comma 2 2 2 2 2 7 5" xfId="54395" xr:uid="{157D5F30-681F-4101-AAC8-042E8EC37616}"/>
    <cellStyle name="Comma 2 2 2 2 2 8" xfId="14978" xr:uid="{5BD4A070-67FE-40E5-8F0E-FCD8B1F03A8A}"/>
    <cellStyle name="Comma 2 2 2 2 2 8 2" xfId="22518" xr:uid="{782EB7C7-3EFD-4EFC-96D2-3CCEF6C28B87}"/>
    <cellStyle name="Comma 2 2 2 2 2 8 3" xfId="24926" xr:uid="{D4849487-099D-41D4-9433-CC6869DBB64D}"/>
    <cellStyle name="Comma 2 2 2 2 2 8 4" xfId="51856" xr:uid="{A896F8EE-ACC6-4D55-A9E8-EE6B376EF199}"/>
    <cellStyle name="Comma 2 2 2 2 2 8 5" xfId="54872" xr:uid="{1D74A3DC-13BD-44B9-A389-617DAE6C24E3}"/>
    <cellStyle name="Comma 2 2 2 2 2 9" xfId="15465" xr:uid="{B64A9C67-09C6-4CF2-ADC8-E21A922F3387}"/>
    <cellStyle name="Comma 2 2 2 2 2 9 2" xfId="22995" xr:uid="{1341AB1B-8E3F-4BC6-A1E5-6EDE5859FF93}"/>
    <cellStyle name="Comma 2 2 2 2 2 9 3" xfId="47059" xr:uid="{6ED7F16C-208A-415F-BC02-EA1524F30C8F}"/>
    <cellStyle name="Comma 2 2 2 2 2 9 4" xfId="52333" xr:uid="{B2B468DF-DFA7-4433-BBCF-5E72110AE028}"/>
    <cellStyle name="Comma 2 2 2 2 2 9 5" xfId="55349" xr:uid="{4A92AB21-B618-44A2-B393-3F8C98702382}"/>
    <cellStyle name="Comma 2 2 2 2 3" xfId="9601" xr:uid="{BA9B6541-2BCE-4A54-9E9F-5BB14F5CE57A}"/>
    <cellStyle name="Comma 2 2 2 2 3 2" xfId="10293" xr:uid="{292C86D0-F0EE-4740-AD9E-D43B0D2EC3D7}"/>
    <cellStyle name="Comma 2 2 2 2 3 2 2" xfId="14754" xr:uid="{85F9CC31-B45B-4F1B-A0C7-9ACC715940DA}"/>
    <cellStyle name="Comma 2 2 2 2 3 2 2 2" xfId="22301" xr:uid="{586CD4D2-A5F9-4DF4-903A-3945D5C74CDC}"/>
    <cellStyle name="Comma 2 2 2 2 3 2 2 3" xfId="34042" xr:uid="{67894323-CED1-4D5C-AB94-6A4B84A1A168}"/>
    <cellStyle name="Comma 2 2 2 2 3 2 2 4" xfId="51639" xr:uid="{8B45D972-376A-4371-B3EF-1891332C824A}"/>
    <cellStyle name="Comma 2 2 2 2 3 2 2 5" xfId="54655" xr:uid="{4840EBE2-D63C-43E8-B376-A1E28B4FE8CC}"/>
    <cellStyle name="Comma 2 2 2 2 3 2 3" xfId="15239" xr:uid="{0F7DCC39-910A-4C04-BA25-76F05A004480}"/>
    <cellStyle name="Comma 2 2 2 2 3 2 3 2" xfId="22778" xr:uid="{21636499-C5A2-47DC-A644-3F612A26F450}"/>
    <cellStyle name="Comma 2 2 2 2 3 2 3 3" xfId="47128" xr:uid="{5D2345A4-580C-4976-99B5-DC8F572D52B5}"/>
    <cellStyle name="Comma 2 2 2 2 3 2 3 4" xfId="52116" xr:uid="{34E0336D-F97E-4049-AB05-8E2A079F7339}"/>
    <cellStyle name="Comma 2 2 2 2 3 2 3 5" xfId="55132" xr:uid="{791D61D8-872E-4CF4-8B1C-9C085EE9B51A}"/>
    <cellStyle name="Comma 2 2 2 2 3 2 4" xfId="15726" xr:uid="{794F5601-F486-4916-9CF2-06B632190F9F}"/>
    <cellStyle name="Comma 2 2 2 2 3 2 4 2" xfId="23255" xr:uid="{2F3CCE61-0693-4C7A-B451-2EACB44FD903}"/>
    <cellStyle name="Comma 2 2 2 2 3 2 4 3" xfId="47729" xr:uid="{1F88A7C6-50A2-453E-9AAB-0F5184143511}"/>
    <cellStyle name="Comma 2 2 2 2 3 2 4 4" xfId="52593" xr:uid="{FDE490D1-E9D6-4013-A787-30033C0F6807}"/>
    <cellStyle name="Comma 2 2 2 2 3 2 4 5" xfId="55609" xr:uid="{2515A06F-E40F-4B2A-B96C-51B8690B24CA}"/>
    <cellStyle name="Comma 2 2 2 2 3 2 5" xfId="12746" xr:uid="{FB9DBDA0-1BF8-4B6A-96C1-5571030131EC}"/>
    <cellStyle name="Comma 2 2 2 2 3 2 5 2" xfId="47367" xr:uid="{783D8C14-2C4D-415A-A1F5-E52E926F766F}"/>
    <cellStyle name="Comma 2 2 2 2 3 2 5 3" xfId="51162" xr:uid="{BBF974F6-09BC-46A5-AC06-CF59E912939C}"/>
    <cellStyle name="Comma 2 2 2 2 3 2 5 4" xfId="54178" xr:uid="{06A48745-AF1C-454F-A67F-9979F58CB21C}"/>
    <cellStyle name="Comma 2 2 2 2 3 2 6" xfId="46086" xr:uid="{DFC1BC07-B789-4808-B63E-3B7BF90C2FC6}"/>
    <cellStyle name="Comma 2 2 2 2 3 2 7" xfId="50056" xr:uid="{125ED242-B8F2-480A-9F1A-464056DAB4B6}"/>
    <cellStyle name="Comma 2 2 2 2 3 2 8" xfId="53072" xr:uid="{9141C87A-AF40-4F75-A454-E42CD14ADDA7}"/>
    <cellStyle name="Comma 2 2 2 2 3 3" xfId="14542" xr:uid="{9928C43E-4F8F-43B9-8A1E-AB14D60F262E}"/>
    <cellStyle name="Comma 2 2 2 2 3 3 2" xfId="22089" xr:uid="{6718C1A9-888A-46F7-80BF-387912A36FCE}"/>
    <cellStyle name="Comma 2 2 2 2 3 3 3" xfId="47827" xr:uid="{6ECF838B-85C0-49FC-B780-4F2E27950356}"/>
    <cellStyle name="Comma 2 2 2 2 3 3 4" xfId="51427" xr:uid="{606BAF1E-5706-4119-BF7C-5E2EC8C6A22C}"/>
    <cellStyle name="Comma 2 2 2 2 3 3 5" xfId="54443" xr:uid="{52DD6964-5203-4983-B976-D664B6D341FF}"/>
    <cellStyle name="Comma 2 2 2 2 3 4" xfId="15026" xr:uid="{4ABE2224-D3B5-4B61-9DBF-1D407E22FE40}"/>
    <cellStyle name="Comma 2 2 2 2 3 4 2" xfId="22566" xr:uid="{F23D9F18-8F98-4C5C-9589-56EDE83D369A}"/>
    <cellStyle name="Comma 2 2 2 2 3 4 3" xfId="47081" xr:uid="{3A8759D7-E4F4-4780-9152-33FB7C24BB0C}"/>
    <cellStyle name="Comma 2 2 2 2 3 4 4" xfId="51904" xr:uid="{FEEFEF69-4F61-482F-8C3E-B14910ED3248}"/>
    <cellStyle name="Comma 2 2 2 2 3 4 5" xfId="54920" xr:uid="{7329EB66-4F0A-42E2-A941-BDDEFF2555BA}"/>
    <cellStyle name="Comma 2 2 2 2 3 5" xfId="15513" xr:uid="{856C8EF2-D396-4FC8-B6E3-AD140AB3B153}"/>
    <cellStyle name="Comma 2 2 2 2 3 5 2" xfId="23043" xr:uid="{FD8F2115-40DE-47BA-BB98-7901D8C8A519}"/>
    <cellStyle name="Comma 2 2 2 2 3 5 3" xfId="47674" xr:uid="{138DA8A1-F3D3-4A08-9BFC-B048C6FE810D}"/>
    <cellStyle name="Comma 2 2 2 2 3 5 4" xfId="52381" xr:uid="{FE0CA76E-28AA-488E-BF80-CD4DD6D07037}"/>
    <cellStyle name="Comma 2 2 2 2 3 5 5" xfId="55397" xr:uid="{26BAED6D-3526-4FE5-8A69-4ADDD778E689}"/>
    <cellStyle name="Comma 2 2 2 2 3 6" xfId="12451" xr:uid="{B803E4D8-4A20-448F-8890-647C09EA74EE}"/>
    <cellStyle name="Comma 2 2 2 2 3 6 2" xfId="47818" xr:uid="{087A2A27-1A14-4006-8A1F-5A14F3BF382B}"/>
    <cellStyle name="Comma 2 2 2 2 3 6 3" xfId="50950" xr:uid="{952DDA13-B94B-4A89-B0EE-CC3DD5326C8B}"/>
    <cellStyle name="Comma 2 2 2 2 3 6 4" xfId="53966" xr:uid="{CA0D24F7-037F-4A0C-BC27-9B13EA58BD35}"/>
    <cellStyle name="Comma 2 2 2 2 3 7" xfId="46017" xr:uid="{212106EF-B201-4178-88B4-F6ED9A290968}"/>
    <cellStyle name="Comma 2 2 2 2 3 8" xfId="49844" xr:uid="{4FB9A4D4-131D-4F55-B141-D463AE5BA582}"/>
    <cellStyle name="Comma 2 2 2 2 3 9" xfId="52860" xr:uid="{E0C10286-7245-43CF-887F-5C0E09B6D39A}"/>
    <cellStyle name="Comma 2 2 2 2 4" xfId="10059" xr:uid="{63D3C008-48CC-47FE-9082-D64069A161C9}"/>
    <cellStyle name="Comma 2 2 2 2 4 2" xfId="10367" xr:uid="{C9CE8F7E-4EE9-4E24-919C-474E5B0BE6CE}"/>
    <cellStyle name="Comma 2 2 2 2 4 2 2" xfId="14807" xr:uid="{23D63635-6F5A-4943-8F7B-76BF2AEFD13F}"/>
    <cellStyle name="Comma 2 2 2 2 4 2 2 2" xfId="22354" xr:uid="{D1843139-784A-4C68-A0CF-A776C054C5E6}"/>
    <cellStyle name="Comma 2 2 2 2 4 2 2 3" xfId="46436" xr:uid="{8F133844-666B-4E85-A4A5-2358C8BC740A}"/>
    <cellStyle name="Comma 2 2 2 2 4 2 2 4" xfId="51692" xr:uid="{7DE3EB44-7CB4-4FAD-B0CF-67DDB8792EDC}"/>
    <cellStyle name="Comma 2 2 2 2 4 2 2 5" xfId="54708" xr:uid="{48546721-3B23-4CF1-9B8F-5481491C835F}"/>
    <cellStyle name="Comma 2 2 2 2 4 2 3" xfId="15292" xr:uid="{97BC0375-B5AD-4C93-91C0-9D4EDF8C54E7}"/>
    <cellStyle name="Comma 2 2 2 2 4 2 3 2" xfId="22831" xr:uid="{53FEC6B4-638F-4202-AA20-7FBE684B4C03}"/>
    <cellStyle name="Comma 2 2 2 2 4 2 3 3" xfId="46903" xr:uid="{475D8629-A450-4F36-AE1A-D19D510CBDB5}"/>
    <cellStyle name="Comma 2 2 2 2 4 2 3 4" xfId="52169" xr:uid="{BFB1C454-6CB0-407A-B11E-1A22A92AB197}"/>
    <cellStyle name="Comma 2 2 2 2 4 2 3 5" xfId="55185" xr:uid="{C6D0D33A-225F-4156-9AA6-35DCEB4B6DCF}"/>
    <cellStyle name="Comma 2 2 2 2 4 2 4" xfId="15779" xr:uid="{B076243D-DF65-4C8E-A36E-DB496D545FC3}"/>
    <cellStyle name="Comma 2 2 2 2 4 2 4 2" xfId="23308" xr:uid="{028AC26F-0D8C-4FC0-82F7-037325073073}"/>
    <cellStyle name="Comma 2 2 2 2 4 2 4 3" xfId="47948" xr:uid="{DCDE9C95-BCD6-4FC2-830E-2CEDD96A8246}"/>
    <cellStyle name="Comma 2 2 2 2 4 2 4 4" xfId="52646" xr:uid="{BBDBBE3B-BD5A-4ACC-959A-562548307AE9}"/>
    <cellStyle name="Comma 2 2 2 2 4 2 4 5" xfId="55662" xr:uid="{4C75A125-9A1B-4C3E-B831-D97F8138F356}"/>
    <cellStyle name="Comma 2 2 2 2 4 2 5" xfId="12820" xr:uid="{5F9FA642-489A-4237-88D8-D35DDD409F9C}"/>
    <cellStyle name="Comma 2 2 2 2 4 2 5 2" xfId="47324" xr:uid="{0FD8B71E-9A33-4BE5-B357-E32900DB4148}"/>
    <cellStyle name="Comma 2 2 2 2 4 2 5 3" xfId="51215" xr:uid="{807D928B-D780-4D30-A238-9E3592BDB012}"/>
    <cellStyle name="Comma 2 2 2 2 4 2 5 4" xfId="54231" xr:uid="{F663063E-9A4B-4877-B3B8-362863DF7E9A}"/>
    <cellStyle name="Comma 2 2 2 2 4 2 6" xfId="46102" xr:uid="{F454BFC1-89A8-42E3-88DA-9EF12D92EA75}"/>
    <cellStyle name="Comma 2 2 2 2 4 2 7" xfId="50109" xr:uid="{4B6AEC62-9DAD-4DFD-B0DA-5F9684519C8A}"/>
    <cellStyle name="Comma 2 2 2 2 4 2 8" xfId="53125" xr:uid="{FFF9C82C-D586-4DCB-80F3-DCEB43136446}"/>
    <cellStyle name="Comma 2 2 2 2 4 3" xfId="14595" xr:uid="{53CA5702-72B9-4F02-AA1E-3759B6163A79}"/>
    <cellStyle name="Comma 2 2 2 2 4 3 2" xfId="22142" xr:uid="{3337169A-B4D7-4DC6-A6B5-52BFC7621090}"/>
    <cellStyle name="Comma 2 2 2 2 4 3 3" xfId="32363" xr:uid="{2B4BA464-AEB8-42AF-A035-32796B4393DD}"/>
    <cellStyle name="Comma 2 2 2 2 4 3 4" xfId="51480" xr:uid="{BD5686ED-5DD5-47B0-B5A6-51F751126683}"/>
    <cellStyle name="Comma 2 2 2 2 4 3 5" xfId="54496" xr:uid="{D5740BEE-CAF5-4162-99FD-7E93A70D8CDE}"/>
    <cellStyle name="Comma 2 2 2 2 4 4" xfId="15080" xr:uid="{600E357B-42D0-48FA-B6AC-8621BE7D9615}"/>
    <cellStyle name="Comma 2 2 2 2 4 4 2" xfId="22619" xr:uid="{00EE5129-0827-408D-9453-C1F2A6015BCC}"/>
    <cellStyle name="Comma 2 2 2 2 4 4 3" xfId="47339" xr:uid="{E41CEC3B-60DA-4620-9E99-B106F62C51CC}"/>
    <cellStyle name="Comma 2 2 2 2 4 4 4" xfId="51957" xr:uid="{DBFD5C63-15D6-478C-B0D8-ED988C08FB99}"/>
    <cellStyle name="Comma 2 2 2 2 4 4 5" xfId="54973" xr:uid="{A3235CD2-E0D9-498C-ABAB-2A890BA3DE53}"/>
    <cellStyle name="Comma 2 2 2 2 4 5" xfId="15567" xr:uid="{70F1F37D-0333-4BFA-BE59-E5AE9EDD1349}"/>
    <cellStyle name="Comma 2 2 2 2 4 5 2" xfId="23096" xr:uid="{F4A2F9C5-79FE-48FD-B9D7-1F01F16A8D8D}"/>
    <cellStyle name="Comma 2 2 2 2 4 5 3" xfId="47196" xr:uid="{FF9B9EBB-DCA2-4617-9C50-2C726EE94008}"/>
    <cellStyle name="Comma 2 2 2 2 4 5 4" xfId="52434" xr:uid="{C379FB4D-7401-4A94-AB8A-813925B90C00}"/>
    <cellStyle name="Comma 2 2 2 2 4 5 5" xfId="55450" xr:uid="{F092273B-0A78-460B-B6D3-B12E29231CE5}"/>
    <cellStyle name="Comma 2 2 2 2 4 6" xfId="12518" xr:uid="{320DEE86-255C-48A0-A60A-FAAC4991248B}"/>
    <cellStyle name="Comma 2 2 2 2 4 6 2" xfId="32429" xr:uid="{0DB79412-9A39-45EC-A92C-89C44E658102}"/>
    <cellStyle name="Comma 2 2 2 2 4 6 3" xfId="51003" xr:uid="{5485D810-BA26-47C6-919B-31169F6EECB5}"/>
    <cellStyle name="Comma 2 2 2 2 4 6 4" xfId="54019" xr:uid="{9F74F681-BB4A-40A4-BE46-89FE6026021E}"/>
    <cellStyle name="Comma 2 2 2 2 4 7" xfId="32345" xr:uid="{449AC7E5-7A0D-49CA-B407-B55887D497E2}"/>
    <cellStyle name="Comma 2 2 2 2 4 8" xfId="49897" xr:uid="{7C58323E-3DEF-435C-9BFF-E0A3ADC32247}"/>
    <cellStyle name="Comma 2 2 2 2 4 9" xfId="52913" xr:uid="{AFAA12DC-30FA-42CB-832C-387C79EA96C7}"/>
    <cellStyle name="Comma 2 2 2 2 5" xfId="10133" xr:uid="{BCA0F7CE-9151-4EEA-92DC-E716A5A62523}"/>
    <cellStyle name="Comma 2 2 2 2 5 2" xfId="10447" xr:uid="{92238A4E-B31D-483A-803D-C8B925210587}"/>
    <cellStyle name="Comma 2 2 2 2 5 2 2" xfId="14860" xr:uid="{ECA7A2D5-EC87-4921-B907-A51C1DD16119}"/>
    <cellStyle name="Comma 2 2 2 2 5 2 2 2" xfId="22407" xr:uid="{03AE1F57-2F6B-4FE6-8185-E9DF5C0F4F51}"/>
    <cellStyle name="Comma 2 2 2 2 5 2 2 3" xfId="24938" xr:uid="{0CEBB27A-CA61-4077-86EB-E60E40AB1CCC}"/>
    <cellStyle name="Comma 2 2 2 2 5 2 2 4" xfId="51745" xr:uid="{38F82D44-F5CB-4E5A-87C2-BC040601F289}"/>
    <cellStyle name="Comma 2 2 2 2 5 2 2 5" xfId="54761" xr:uid="{8375CBB9-8529-44C6-8D3D-0D6382CE5A32}"/>
    <cellStyle name="Comma 2 2 2 2 5 2 3" xfId="15345" xr:uid="{FC9E2BA7-E7A6-461C-8098-A6F9350CC499}"/>
    <cellStyle name="Comma 2 2 2 2 5 2 3 2" xfId="22884" xr:uid="{A5E981A1-E91C-488E-ACC8-1C054307B2A3}"/>
    <cellStyle name="Comma 2 2 2 2 5 2 3 3" xfId="47546" xr:uid="{977AD06C-E5F6-4695-AA4B-2F62E63E2412}"/>
    <cellStyle name="Comma 2 2 2 2 5 2 3 4" xfId="52222" xr:uid="{09969718-FD70-4C74-BC8D-42268C3DB6C8}"/>
    <cellStyle name="Comma 2 2 2 2 5 2 3 5" xfId="55238" xr:uid="{0DFE0237-3A2D-4B17-9471-3FAFDD3CF6EA}"/>
    <cellStyle name="Comma 2 2 2 2 5 2 4" xfId="15832" xr:uid="{46542907-16FC-46A8-9724-5B0906731A0F}"/>
    <cellStyle name="Comma 2 2 2 2 5 2 4 2" xfId="23361" xr:uid="{29EC63D7-8274-417D-877D-9633549E9FEA}"/>
    <cellStyle name="Comma 2 2 2 2 5 2 4 3" xfId="46972" xr:uid="{2E4F6ABA-A392-42D3-B167-B26984642764}"/>
    <cellStyle name="Comma 2 2 2 2 5 2 4 4" xfId="52699" xr:uid="{A5B43C82-7931-4A11-B887-80E282FAF2C6}"/>
    <cellStyle name="Comma 2 2 2 2 5 2 4 5" xfId="55715" xr:uid="{4F6ECF82-80AD-4DA0-9957-FDEB4AB7EC22}"/>
    <cellStyle name="Comma 2 2 2 2 5 2 5" xfId="12900" xr:uid="{55E873BF-ACA8-4424-B41E-A90398E64FA2}"/>
    <cellStyle name="Comma 2 2 2 2 5 2 5 2" xfId="47173" xr:uid="{A616198E-209F-4285-AB55-569C30B46B59}"/>
    <cellStyle name="Comma 2 2 2 2 5 2 5 3" xfId="51268" xr:uid="{E2ABC7D3-86A9-4D41-A383-4F2E1BAE7F08}"/>
    <cellStyle name="Comma 2 2 2 2 5 2 5 4" xfId="54284" xr:uid="{0EA6610A-A198-4366-8D7F-9911FD898B54}"/>
    <cellStyle name="Comma 2 2 2 2 5 2 6" xfId="47586" xr:uid="{2F6882B2-0B25-4DA4-8A50-6B4B86EA2BAD}"/>
    <cellStyle name="Comma 2 2 2 2 5 2 7" xfId="50162" xr:uid="{63917856-D76A-4866-A168-492F49F65354}"/>
    <cellStyle name="Comma 2 2 2 2 5 2 8" xfId="53178" xr:uid="{CA3F191B-EE97-4881-9053-CC015425C081}"/>
    <cellStyle name="Comma 2 2 2 2 5 3" xfId="14648" xr:uid="{9B7FC070-1163-4500-98B3-BFC07F2A926C}"/>
    <cellStyle name="Comma 2 2 2 2 5 3 2" xfId="22195" xr:uid="{5DCEFD0D-8EE1-48BC-93C3-661413D6D49B}"/>
    <cellStyle name="Comma 2 2 2 2 5 3 3" xfId="47043" xr:uid="{BC96DF40-5162-41F0-8C20-86B455AEC7C3}"/>
    <cellStyle name="Comma 2 2 2 2 5 3 4" xfId="51533" xr:uid="{38E2D2C8-A1BF-4F63-B3D1-709CD800F5E0}"/>
    <cellStyle name="Comma 2 2 2 2 5 3 5" xfId="54549" xr:uid="{C69BB68E-A3AA-49B2-9390-8227AF6E0A78}"/>
    <cellStyle name="Comma 2 2 2 2 5 4" xfId="15133" xr:uid="{1C3F436F-8659-4A4B-97F0-9190A972844C}"/>
    <cellStyle name="Comma 2 2 2 2 5 4 2" xfId="22672" xr:uid="{064543FB-D34B-423E-92DC-CAD0BCE00094}"/>
    <cellStyle name="Comma 2 2 2 2 5 4 3" xfId="46487" xr:uid="{94B8EF02-F1B7-4ABC-BD8D-366CED555346}"/>
    <cellStyle name="Comma 2 2 2 2 5 4 4" xfId="52010" xr:uid="{A0BA3AD7-7ECE-45F5-8804-70C2D237DBE1}"/>
    <cellStyle name="Comma 2 2 2 2 5 4 5" xfId="55026" xr:uid="{6B2CFD9E-D227-4AFF-BDFA-35598DB20CCE}"/>
    <cellStyle name="Comma 2 2 2 2 5 5" xfId="15620" xr:uid="{42F85706-1F5C-4C84-AAB0-773914172B1F}"/>
    <cellStyle name="Comma 2 2 2 2 5 5 2" xfId="23149" xr:uid="{EB48E82F-E851-4E4E-AA2C-A3F67F1EA5FF}"/>
    <cellStyle name="Comma 2 2 2 2 5 5 3" xfId="46942" xr:uid="{DAB898D8-C1C7-4E5D-BB39-9F34C4E369D2}"/>
    <cellStyle name="Comma 2 2 2 2 5 5 4" xfId="52487" xr:uid="{026C0A70-2C60-44C1-BEED-B4B78D3D6E7E}"/>
    <cellStyle name="Comma 2 2 2 2 5 5 5" xfId="55503" xr:uid="{6817E224-EF67-4E56-82BE-86A47801AB7D}"/>
    <cellStyle name="Comma 2 2 2 2 5 6" xfId="12590" xr:uid="{50DDCA4E-491A-42AC-945E-CA77349C13E5}"/>
    <cellStyle name="Comma 2 2 2 2 5 6 2" xfId="47366" xr:uid="{E138A3D5-28F4-4B08-9B0A-69F529A71F17}"/>
    <cellStyle name="Comma 2 2 2 2 5 6 3" xfId="51056" xr:uid="{00A9EC46-5959-4EB2-9A1A-05B788FF0E2B}"/>
    <cellStyle name="Comma 2 2 2 2 5 6 4" xfId="54072" xr:uid="{178D40CF-5F18-4BD6-B139-C816B6147036}"/>
    <cellStyle name="Comma 2 2 2 2 5 7" xfId="47577" xr:uid="{B7B0F3FA-2DCE-408B-A714-C1BA55C6ECDA}"/>
    <cellStyle name="Comma 2 2 2 2 5 8" xfId="49950" xr:uid="{BEFDA9C6-6E4F-4B08-B930-45775C15AB51}"/>
    <cellStyle name="Comma 2 2 2 2 5 9" xfId="52966" xr:uid="{55470721-CB7A-421B-B767-46D8A95F345D}"/>
    <cellStyle name="Comma 2 2 2 2 6" xfId="10213" xr:uid="{E531A319-590F-4759-A4A6-50C33422283E}"/>
    <cellStyle name="Comma 2 2 2 2 6 2" xfId="14701" xr:uid="{3CF50FE4-7DCA-4278-8BE3-3A21A3BBE4B8}"/>
    <cellStyle name="Comma 2 2 2 2 6 2 2" xfId="22248" xr:uid="{9671F261-93D3-42AA-B64D-B72E24D076C3}"/>
    <cellStyle name="Comma 2 2 2 2 6 2 3" xfId="32362" xr:uid="{60A6E74A-AF70-4A38-BA9B-9EFF2B546E38}"/>
    <cellStyle name="Comma 2 2 2 2 6 2 4" xfId="51586" xr:uid="{03C5E1B9-B708-4AE7-BF1A-0A9C1B4C8562}"/>
    <cellStyle name="Comma 2 2 2 2 6 2 5" xfId="54602" xr:uid="{05B7D12A-350B-4B4B-A1BB-C698D164F9DD}"/>
    <cellStyle name="Comma 2 2 2 2 6 3" xfId="15186" xr:uid="{B4B260B3-2797-45B6-8616-2F611DBB2CA3}"/>
    <cellStyle name="Comma 2 2 2 2 6 3 2" xfId="22725" xr:uid="{9DA9AC2F-5040-452C-B8A3-72F7292DCCD1}"/>
    <cellStyle name="Comma 2 2 2 2 6 3 3" xfId="47977" xr:uid="{8B5BF4D5-0241-4AE2-BF39-963A12EE7023}"/>
    <cellStyle name="Comma 2 2 2 2 6 3 4" xfId="52063" xr:uid="{252017F1-6AA8-4FF3-A294-EA8720E60122}"/>
    <cellStyle name="Comma 2 2 2 2 6 3 5" xfId="55079" xr:uid="{7F5FE750-1A4C-4D05-BE89-01F2850B2327}"/>
    <cellStyle name="Comma 2 2 2 2 6 4" xfId="15673" xr:uid="{CC314527-4679-4C20-B1A3-FEABA78ED4DB}"/>
    <cellStyle name="Comma 2 2 2 2 6 4 2" xfId="23202" xr:uid="{A85D4818-68A2-4DE8-A8DD-EB5DF0857F40}"/>
    <cellStyle name="Comma 2 2 2 2 6 4 3" xfId="47500" xr:uid="{9B9567B4-9B35-4FCF-BB89-E70529F6A729}"/>
    <cellStyle name="Comma 2 2 2 2 6 4 4" xfId="52540" xr:uid="{26FFC0FB-195F-4F5E-B070-E561A089C576}"/>
    <cellStyle name="Comma 2 2 2 2 6 4 5" xfId="55556" xr:uid="{20AA1ACE-0AE5-4B09-B012-F7DD14BECB47}"/>
    <cellStyle name="Comma 2 2 2 2 6 5" xfId="12666" xr:uid="{AA76E586-57EE-4568-9C5A-791F5A55A189}"/>
    <cellStyle name="Comma 2 2 2 2 6 5 2" xfId="24215" xr:uid="{7E4925A7-AB49-44D9-9C22-3865AB7289A0}"/>
    <cellStyle name="Comma 2 2 2 2 6 5 3" xfId="51109" xr:uid="{FD3E979B-93E0-484E-8213-E48E7B435259}"/>
    <cellStyle name="Comma 2 2 2 2 6 5 4" xfId="54125" xr:uid="{53FB6E4A-61A0-41D6-9DFF-F28AF2C55B15}"/>
    <cellStyle name="Comma 2 2 2 2 6 6" xfId="47579" xr:uid="{54C3D5EF-04D6-46B5-A501-AE438CE11243}"/>
    <cellStyle name="Comma 2 2 2 2 6 7" xfId="50003" xr:uid="{070FF394-3C3E-46BC-9E95-059C74FA1A40}"/>
    <cellStyle name="Comma 2 2 2 2 6 8" xfId="53019" xr:uid="{3D5EE21F-C381-4511-9E2D-75E9C62D4F5C}"/>
    <cellStyle name="Comma 2 2 2 2 7" xfId="10527" xr:uid="{5382FF9B-52E4-4F62-9E37-D54D1D8D4F45}"/>
    <cellStyle name="Comma 2 2 2 2 7 2" xfId="14913" xr:uid="{0B225380-A7C3-4409-9FBB-67E4EEE9D46A}"/>
    <cellStyle name="Comma 2 2 2 2 7 2 2" xfId="22460" xr:uid="{B7B09CE1-556B-4E3A-B975-BCC0F14B50B4}"/>
    <cellStyle name="Comma 2 2 2 2 7 2 3" xfId="47861" xr:uid="{1653051E-4928-4223-AA77-F54239ED70B3}"/>
    <cellStyle name="Comma 2 2 2 2 7 2 4" xfId="51798" xr:uid="{9A555018-4BE1-4956-B1A5-C4645F48AD68}"/>
    <cellStyle name="Comma 2 2 2 2 7 2 5" xfId="54814" xr:uid="{09803405-1F5C-47B8-8093-89C231DB1A2D}"/>
    <cellStyle name="Comma 2 2 2 2 7 3" xfId="15398" xr:uid="{7FF2AEC8-5DAC-44B1-894C-3999FC0FCACC}"/>
    <cellStyle name="Comma 2 2 2 2 7 3 2" xfId="22937" xr:uid="{D802B28A-6788-488A-BB6B-41E75E1D536B}"/>
    <cellStyle name="Comma 2 2 2 2 7 3 3" xfId="46917" xr:uid="{13FB987F-B9B2-4741-9EF5-4358040715EA}"/>
    <cellStyle name="Comma 2 2 2 2 7 3 4" xfId="52275" xr:uid="{13F810D2-DFE0-42CD-BCBA-4EEE507D50B8}"/>
    <cellStyle name="Comma 2 2 2 2 7 3 5" xfId="55291" xr:uid="{52ACFBE7-3416-4AD0-8DE3-62FCB7409874}"/>
    <cellStyle name="Comma 2 2 2 2 7 4" xfId="15885" xr:uid="{194DC933-96A0-4C7B-A1AE-3743EF1770C1}"/>
    <cellStyle name="Comma 2 2 2 2 7 4 2" xfId="23414" xr:uid="{F72B1899-16E6-4970-86EC-65DEE2311002}"/>
    <cellStyle name="Comma 2 2 2 2 7 4 3" xfId="47419" xr:uid="{BC6C86DC-26CD-44B9-8D0C-EDB3FDBFDCDA}"/>
    <cellStyle name="Comma 2 2 2 2 7 4 4" xfId="52752" xr:uid="{B0C94EBE-6620-450F-B981-90E2417961F8}"/>
    <cellStyle name="Comma 2 2 2 2 7 4 5" xfId="55768" xr:uid="{DC4A04EB-5378-4F9D-A68B-8077F9485C1E}"/>
    <cellStyle name="Comma 2 2 2 2 7 5" xfId="12980" xr:uid="{4646C968-3280-4EC7-88E0-6F162B74AB0F}"/>
    <cellStyle name="Comma 2 2 2 2 7 5 2" xfId="34143" xr:uid="{069DD924-6F40-4237-812E-14FBDBD6D41F}"/>
    <cellStyle name="Comma 2 2 2 2 7 5 3" xfId="51321" xr:uid="{012236C0-1EBE-455E-9647-7BF84249BB01}"/>
    <cellStyle name="Comma 2 2 2 2 7 5 4" xfId="54337" xr:uid="{E5F8E963-A17C-46E6-B72B-23FBF2AB60FA}"/>
    <cellStyle name="Comma 2 2 2 2 7 6" xfId="47886" xr:uid="{9F903D32-DA9B-4ACC-95E7-B13E9B2FD7D6}"/>
    <cellStyle name="Comma 2 2 2 2 7 7" xfId="50215" xr:uid="{5B524DE3-7F5C-4062-BDEB-297BF90F53F8}"/>
    <cellStyle name="Comma 2 2 2 2 7 8" xfId="53231" xr:uid="{DE02C82D-B1BD-4B01-A4A6-E7ED4D92C398}"/>
    <cellStyle name="Comma 2 2 2 2 8" xfId="14489" xr:uid="{D12D6E51-25E6-4A14-8FF9-505279C39686}"/>
    <cellStyle name="Comma 2 2 2 2 8 2" xfId="22036" xr:uid="{62143C16-72EF-47F0-AFED-95E83D16357E}"/>
    <cellStyle name="Comma 2 2 2 2 8 3" xfId="24674" xr:uid="{C2135C45-4BC9-4E47-A733-D04DDB82270C}"/>
    <cellStyle name="Comma 2 2 2 2 8 4" xfId="51374" xr:uid="{3B15D0CF-B4A3-4EC3-89E5-7A801980AC2A}"/>
    <cellStyle name="Comma 2 2 2 2 8 5" xfId="54390" xr:uid="{FB40C4EB-6172-4DC5-A31C-6967ADF871A6}"/>
    <cellStyle name="Comma 2 2 2 2 9" xfId="14969" xr:uid="{670A6D72-AF6B-4AB0-85A3-21DE02C8CC6A}"/>
    <cellStyle name="Comma 2 2 2 2 9 2" xfId="22513" xr:uid="{EE4B1962-7451-474A-A321-43927B21B84D}"/>
    <cellStyle name="Comma 2 2 2 2 9 3" xfId="47633" xr:uid="{E6ADC56F-AE44-443E-AA90-18763D9CCB3B}"/>
    <cellStyle name="Comma 2 2 2 2 9 4" xfId="51851" xr:uid="{1F829EB8-4CD5-4BAD-BEA0-ADAC2833AC4E}"/>
    <cellStyle name="Comma 2 2 2 2 9 5" xfId="54867" xr:uid="{2C235E22-BFD7-457D-8A65-5F35270A505E}"/>
    <cellStyle name="Comma 2 2 2 3" xfId="4526" xr:uid="{F03A6F21-E65C-4FBC-89D5-98AB9DAFB4C2}"/>
    <cellStyle name="Comma 2 2 2 3 10" xfId="11494" xr:uid="{CDA3880D-923C-4E33-9763-33C163E8E2D7}"/>
    <cellStyle name="Comma 2 2 2 3 10 2" xfId="21698" xr:uid="{134B3B92-55CC-45F7-BA11-52CF84B54236}"/>
    <cellStyle name="Comma 2 2 2 3 10 3" xfId="46654" xr:uid="{AB77F849-9A3D-4DEE-94B3-FF6C3C4F0AEA}"/>
    <cellStyle name="Comma 2 2 2 3 10 4" xfId="50718" xr:uid="{02B7CC67-7684-4C86-8027-8AC699B078E8}"/>
    <cellStyle name="Comma 2 2 2 3 10 5" xfId="53734" xr:uid="{24624FB2-435C-43B7-BD50-0049FD347BA0}"/>
    <cellStyle name="Comma 2 2 2 3 11" xfId="23702" xr:uid="{68CF3884-8928-4934-84D9-43A8DF50E41C}"/>
    <cellStyle name="Comma 2 2 2 3 12" xfId="48595" xr:uid="{F0ED69A0-AC65-42A1-B56F-A207DCEB03B7}"/>
    <cellStyle name="Comma 2 2 2 3 13" xfId="49505" xr:uid="{9D034DF5-1275-432A-97EF-B24EDBC916F4}"/>
    <cellStyle name="Comma 2 2 2 3 14" xfId="49797" xr:uid="{442C3608-6BE0-4100-B66A-D612C5479AAD}"/>
    <cellStyle name="Comma 2 2 2 3 15" xfId="52812" xr:uid="{55BE50BA-FC75-4D03-AA2F-3D77A8972BEB}"/>
    <cellStyle name="Comma 2 2 2 3 16" xfId="17638" xr:uid="{069A48AF-A909-41CF-AC79-D1F5BA972F5F}"/>
    <cellStyle name="Comma 2 2 2 3 17" xfId="8920" xr:uid="{569FA342-ADB0-4568-A738-B45BF3B05155}"/>
    <cellStyle name="Comma 2 2 2 3 2" xfId="10007" xr:uid="{143CA32F-053E-4AC8-8819-066CDC10FFD6}"/>
    <cellStyle name="Comma 2 2 2 3 2 2" xfId="10315" xr:uid="{BE221390-0148-4659-92DC-5A08FB75DF5E}"/>
    <cellStyle name="Comma 2 2 2 3 2 2 2" xfId="14760" xr:uid="{48D90780-FF0B-47EC-BDC0-DC51585F0A38}"/>
    <cellStyle name="Comma 2 2 2 3 2 2 2 2" xfId="22307" xr:uid="{2275C2F1-A05D-4CAF-BC8F-BB71ED80273A}"/>
    <cellStyle name="Comma 2 2 2 3 2 2 2 3" xfId="24951" xr:uid="{6D3AC3B2-3466-41F6-8D36-AAC9B269EE2C}"/>
    <cellStyle name="Comma 2 2 2 3 2 2 2 4" xfId="51645" xr:uid="{0D2B718E-3ABE-4D74-99F5-D64C274FC44C}"/>
    <cellStyle name="Comma 2 2 2 3 2 2 2 5" xfId="54661" xr:uid="{10EBC20C-B88B-4F89-9878-2F59FFB6278D}"/>
    <cellStyle name="Comma 2 2 2 3 2 2 3" xfId="15245" xr:uid="{8845F029-FFD8-4C31-850B-17A030A799C9}"/>
    <cellStyle name="Comma 2 2 2 3 2 2 3 2" xfId="22784" xr:uid="{F9FF6EFC-4DAE-455B-9B6A-DECD151CF075}"/>
    <cellStyle name="Comma 2 2 2 3 2 2 3 3" xfId="46502" xr:uid="{5F163680-DD0C-4741-B283-BF391B479EEE}"/>
    <cellStyle name="Comma 2 2 2 3 2 2 3 4" xfId="52122" xr:uid="{3725FDEC-6AD1-44CE-AD5D-BFC7B9E0C3A9}"/>
    <cellStyle name="Comma 2 2 2 3 2 2 3 5" xfId="55138" xr:uid="{EAE567D0-4EBF-4DA6-A290-438BEA35F81D}"/>
    <cellStyle name="Comma 2 2 2 3 2 2 4" xfId="15732" xr:uid="{979AF9CD-6710-4BC8-B444-2B426DAD3021}"/>
    <cellStyle name="Comma 2 2 2 3 2 2 4 2" xfId="23261" xr:uid="{EF363C67-056E-4C9C-9AB2-4DD9A75780B0}"/>
    <cellStyle name="Comma 2 2 2 3 2 2 4 3" xfId="47985" xr:uid="{713DF0F8-F725-44FA-A61D-736F2382CEB1}"/>
    <cellStyle name="Comma 2 2 2 3 2 2 4 4" xfId="52599" xr:uid="{3D75D818-AAF5-4FD8-B7F4-978CF9318246}"/>
    <cellStyle name="Comma 2 2 2 3 2 2 4 5" xfId="55615" xr:uid="{302DCA13-1BFF-47DE-88E3-5A30BDAF273D}"/>
    <cellStyle name="Comma 2 2 2 3 2 2 5" xfId="12768" xr:uid="{B862210B-43E0-4C8E-A505-E3597E4BB8BF}"/>
    <cellStyle name="Comma 2 2 2 3 2 2 5 2" xfId="47229" xr:uid="{67DFF9C3-AD51-4A4F-8FC7-A35287DD23C5}"/>
    <cellStyle name="Comma 2 2 2 3 2 2 5 3" xfId="51168" xr:uid="{F0C48CEA-B61E-4EB0-BC0E-46653D58F05A}"/>
    <cellStyle name="Comma 2 2 2 3 2 2 5 4" xfId="54184" xr:uid="{244A0BA1-A42F-4E09-9B1F-3E1A9EE300B4}"/>
    <cellStyle name="Comma 2 2 2 3 2 2 6" xfId="25372" xr:uid="{D6CDB3BA-91FA-4811-8A61-A460E096251B}"/>
    <cellStyle name="Comma 2 2 2 3 2 2 7" xfId="50062" xr:uid="{4D009826-1722-4BCE-840A-0528927D213F}"/>
    <cellStyle name="Comma 2 2 2 3 2 2 8" xfId="53078" xr:uid="{005F6E13-C168-4478-8D56-66C273D2CD76}"/>
    <cellStyle name="Comma 2 2 2 3 2 3" xfId="14548" xr:uid="{35CD7512-FF84-45E9-8919-93FC0929158C}"/>
    <cellStyle name="Comma 2 2 2 3 2 3 2" xfId="22095" xr:uid="{83DF0469-1D57-47F0-8047-E910BDC52487}"/>
    <cellStyle name="Comma 2 2 2 3 2 3 3" xfId="48403" xr:uid="{DF2EE60C-19AE-4D6A-A544-6CFF95444F29}"/>
    <cellStyle name="Comma 2 2 2 3 2 3 4" xfId="51433" xr:uid="{6C00241A-87AD-4711-BD70-345679C44B5D}"/>
    <cellStyle name="Comma 2 2 2 3 2 3 5" xfId="54449" xr:uid="{CCEE6032-CB20-4078-B29E-307A30EA9343}"/>
    <cellStyle name="Comma 2 2 2 3 2 4" xfId="15032" xr:uid="{4E58589B-862F-4052-B723-8BDC639445C4}"/>
    <cellStyle name="Comma 2 2 2 3 2 4 2" xfId="22572" xr:uid="{57877491-37D5-490C-B9CF-F22AFD5A74FD}"/>
    <cellStyle name="Comma 2 2 2 3 2 4 3" xfId="47417" xr:uid="{E27BAF1F-9923-4149-874D-9018733B25B1}"/>
    <cellStyle name="Comma 2 2 2 3 2 4 4" xfId="51910" xr:uid="{692130AA-E861-45FC-821A-DDD06C75EFAA}"/>
    <cellStyle name="Comma 2 2 2 3 2 4 5" xfId="54926" xr:uid="{DBDBFDA0-F8A1-4391-86D2-2399DAFC344C}"/>
    <cellStyle name="Comma 2 2 2 3 2 5" xfId="15519" xr:uid="{56181DDA-F88D-4FB5-95AE-712B5C86E84F}"/>
    <cellStyle name="Comma 2 2 2 3 2 5 2" xfId="23049" xr:uid="{EA61A2CD-1780-4149-A9D3-C266AC8032AC}"/>
    <cellStyle name="Comma 2 2 2 3 2 5 3" xfId="47111" xr:uid="{AB657D7A-ED81-4A0B-859A-EED4C12248E9}"/>
    <cellStyle name="Comma 2 2 2 3 2 5 4" xfId="52387" xr:uid="{7B693DBF-C0DD-43D6-9171-8D1E1240CAE0}"/>
    <cellStyle name="Comma 2 2 2 3 2 5 5" xfId="55403" xr:uid="{52F0E1D5-7C83-48D4-9EA3-7A36B5A2A8E8}"/>
    <cellStyle name="Comma 2 2 2 3 2 6" xfId="12467" xr:uid="{90DE33EB-C59F-46DE-A8C4-F20C8B9EC871}"/>
    <cellStyle name="Comma 2 2 2 3 2 6 2" xfId="34519" xr:uid="{6A678F25-23F4-450F-BDCA-9C36903B0280}"/>
    <cellStyle name="Comma 2 2 2 3 2 6 3" xfId="50956" xr:uid="{E69B3BE8-7A2A-4108-894D-F84FD30E72FD}"/>
    <cellStyle name="Comma 2 2 2 3 2 6 4" xfId="53972" xr:uid="{6408C400-2B6F-4680-B97D-2A2DC85BDAA4}"/>
    <cellStyle name="Comma 2 2 2 3 2 7" xfId="46019" xr:uid="{EA6CB972-BF6F-48E5-8F2A-9A3FEBE95B48}"/>
    <cellStyle name="Comma 2 2 2 3 2 8" xfId="49850" xr:uid="{B0929AB3-64FC-4DCF-BE57-98FCD65F4A4D}"/>
    <cellStyle name="Comma 2 2 2 3 2 9" xfId="52866" xr:uid="{11F52959-7BAA-4151-853D-EBF1A7D428EB}"/>
    <cellStyle name="Comma 2 2 2 3 3" xfId="10081" xr:uid="{4DDC0DCE-6484-4D57-A5ED-617D315CA6ED}"/>
    <cellStyle name="Comma 2 2 2 3 3 2" xfId="10394" xr:uid="{2661B35B-8EA9-4FF8-A90E-F262E32DD8EA}"/>
    <cellStyle name="Comma 2 2 2 3 3 2 2" xfId="14813" xr:uid="{46C78F71-968E-4D1F-B2F1-BB1890B16F94}"/>
    <cellStyle name="Comma 2 2 2 3 3 2 2 2" xfId="22360" xr:uid="{90701CB0-C5FA-4D94-8F74-F5706A3B584D}"/>
    <cellStyle name="Comma 2 2 2 3 3 2 2 3" xfId="46437" xr:uid="{75B0D286-EEEF-4CE6-968B-89A1BB8A5185}"/>
    <cellStyle name="Comma 2 2 2 3 3 2 2 4" xfId="51698" xr:uid="{878BC221-C715-4218-AE11-A2EB9DB14C73}"/>
    <cellStyle name="Comma 2 2 2 3 3 2 2 5" xfId="54714" xr:uid="{879E2A98-404F-45C4-ACFF-A3AA0C29E5EB}"/>
    <cellStyle name="Comma 2 2 2 3 3 2 3" xfId="15298" xr:uid="{1D51749E-8005-4B75-BFA1-5C268B9AF8DE}"/>
    <cellStyle name="Comma 2 2 2 3 3 2 3 2" xfId="22837" xr:uid="{1A30E3A4-01B9-478A-808F-9379E891B681}"/>
    <cellStyle name="Comma 2 2 2 3 3 2 3 3" xfId="46904" xr:uid="{65A87EC1-083B-4B23-9048-381CDB6AEB6A}"/>
    <cellStyle name="Comma 2 2 2 3 3 2 3 4" xfId="52175" xr:uid="{086A5FE1-36E8-4C5C-B9C8-C61382B90660}"/>
    <cellStyle name="Comma 2 2 2 3 3 2 3 5" xfId="55191" xr:uid="{AC3F3B6C-D86C-4C33-9A04-61CB73EEA76D}"/>
    <cellStyle name="Comma 2 2 2 3 3 2 4" xfId="15785" xr:uid="{20D32EE1-A07D-4DA4-8834-6E38860EBE2E}"/>
    <cellStyle name="Comma 2 2 2 3 3 2 4 2" xfId="23314" xr:uid="{E2E2BE6B-7CF3-4ECD-B71D-9E28F453DA5E}"/>
    <cellStyle name="Comma 2 2 2 3 3 2 4 3" xfId="48522" xr:uid="{9593F96B-8186-4C5D-85C8-C9C2742CA156}"/>
    <cellStyle name="Comma 2 2 2 3 3 2 4 4" xfId="52652" xr:uid="{2366DF62-89D1-46BC-B8D6-5C8775CF12E5}"/>
    <cellStyle name="Comma 2 2 2 3 3 2 4 5" xfId="55668" xr:uid="{429D47E9-5F7A-4C81-BE21-E7A3C447D085}"/>
    <cellStyle name="Comma 2 2 2 3 3 2 5" xfId="12847" xr:uid="{D252DBFD-18E5-46BD-A838-1A493304A044}"/>
    <cellStyle name="Comma 2 2 2 3 3 2 5 2" xfId="46995" xr:uid="{CA4CD0FF-41BD-489F-A9FE-7624480BF945}"/>
    <cellStyle name="Comma 2 2 2 3 3 2 5 3" xfId="51221" xr:uid="{5C3ACCDC-D630-4435-9608-31B3FDD885B9}"/>
    <cellStyle name="Comma 2 2 2 3 3 2 5 4" xfId="54237" xr:uid="{AB780261-52F5-44C0-9E25-C752F7E349F4}"/>
    <cellStyle name="Comma 2 2 2 3 3 2 6" xfId="46105" xr:uid="{08299C50-B4A6-4302-ADF1-2E22EBDA3BA6}"/>
    <cellStyle name="Comma 2 2 2 3 3 2 7" xfId="50115" xr:uid="{64651A7A-39FF-4CCC-A67D-F4F16310A2B0}"/>
    <cellStyle name="Comma 2 2 2 3 3 2 8" xfId="53131" xr:uid="{E5EF0392-C441-421B-A1F6-33BE4E2C0970}"/>
    <cellStyle name="Comma 2 2 2 3 3 3" xfId="14601" xr:uid="{2EDE0DFF-6112-4428-BE84-F0F2E796E46A}"/>
    <cellStyle name="Comma 2 2 2 3 3 3 2" xfId="22148" xr:uid="{98E54E0B-ADA1-4478-9BB2-FE81FBE4879E}"/>
    <cellStyle name="Comma 2 2 2 3 3 3 3" xfId="48143" xr:uid="{6A517BC3-7062-472A-B5BC-42B18C86E32B}"/>
    <cellStyle name="Comma 2 2 2 3 3 3 4" xfId="51486" xr:uid="{5D8E144F-83DF-43EC-8F1E-E19F91616AB6}"/>
    <cellStyle name="Comma 2 2 2 3 3 3 5" xfId="54502" xr:uid="{4B3CCFB1-A82D-4123-9B1A-CD40A4ABF976}"/>
    <cellStyle name="Comma 2 2 2 3 3 4" xfId="15086" xr:uid="{91D5E2A7-1071-4AFA-BCE8-32F315C85632}"/>
    <cellStyle name="Comma 2 2 2 3 3 4 2" xfId="22625" xr:uid="{8C0B504E-E828-4262-A4AD-164E6FF7DA61}"/>
    <cellStyle name="Comma 2 2 2 3 3 4 3" xfId="47935" xr:uid="{FEEE5855-C953-4049-83B8-6EDCE820C338}"/>
    <cellStyle name="Comma 2 2 2 3 3 4 4" xfId="51963" xr:uid="{3A8E3800-EDB6-4E49-9F30-F17750DCD680}"/>
    <cellStyle name="Comma 2 2 2 3 3 4 5" xfId="54979" xr:uid="{87FF68A8-D41D-4A60-9F40-031FAA42B740}"/>
    <cellStyle name="Comma 2 2 2 3 3 5" xfId="15573" xr:uid="{11AF99CC-B5AE-4281-975F-F4CD332D8189}"/>
    <cellStyle name="Comma 2 2 2 3 3 5 2" xfId="23102" xr:uid="{CEB5AEDE-2355-45DF-9229-06C955630FAE}"/>
    <cellStyle name="Comma 2 2 2 3 3 5 3" xfId="47789" xr:uid="{5793B20F-5BD2-479A-BFEF-F2026B75237B}"/>
    <cellStyle name="Comma 2 2 2 3 3 5 4" xfId="52440" xr:uid="{D10A1085-0ED0-4F36-BA3F-71D6543A72DA}"/>
    <cellStyle name="Comma 2 2 2 3 3 5 5" xfId="55456" xr:uid="{DF32561A-A071-4A3D-9935-31C43E28E1E1}"/>
    <cellStyle name="Comma 2 2 2 3 3 6" xfId="12538" xr:uid="{F61C55D9-AE43-410A-9B14-82196454336B}"/>
    <cellStyle name="Comma 2 2 2 3 3 6 2" xfId="46766" xr:uid="{96E497FE-3848-47C9-AAFD-D4AC85515956}"/>
    <cellStyle name="Comma 2 2 2 3 3 6 3" xfId="51009" xr:uid="{1206E84F-FB38-4AB5-8747-2CBD34CF8D76}"/>
    <cellStyle name="Comma 2 2 2 3 3 6 4" xfId="54025" xr:uid="{52C5E97D-5DAD-4CE4-BD71-0B0241C61D32}"/>
    <cellStyle name="Comma 2 2 2 3 3 7" xfId="46036" xr:uid="{9FB5111E-8E25-42B6-AF99-31EF18733949}"/>
    <cellStyle name="Comma 2 2 2 3 3 8" xfId="49903" xr:uid="{39649D07-925E-4BDC-AF18-8AFB2C3D6253}"/>
    <cellStyle name="Comma 2 2 2 3 3 9" xfId="52919" xr:uid="{1E66F56D-9920-47E7-88A7-CCCDB18529D8}"/>
    <cellStyle name="Comma 2 2 2 3 4" xfId="10160" xr:uid="{956F4867-0C23-4713-969E-E342309E47DF}"/>
    <cellStyle name="Comma 2 2 2 3 4 2" xfId="10474" xr:uid="{E0A39435-C8DF-4172-9B33-39DE84CB4A7B}"/>
    <cellStyle name="Comma 2 2 2 3 4 2 2" xfId="14866" xr:uid="{0A674214-F7C3-464B-82E3-1A7141ECFE39}"/>
    <cellStyle name="Comma 2 2 2 3 4 2 2 2" xfId="22413" xr:uid="{F0ED6C1F-1828-4A3B-BDD7-9E6811D864D9}"/>
    <cellStyle name="Comma 2 2 2 3 4 2 2 3" xfId="24937" xr:uid="{CD315C5B-58A2-4A47-B15C-CA632D7639D6}"/>
    <cellStyle name="Comma 2 2 2 3 4 2 2 4" xfId="51751" xr:uid="{8ECB2BA6-D5F4-4846-813F-8CA72E1FA97E}"/>
    <cellStyle name="Comma 2 2 2 3 4 2 2 5" xfId="54767" xr:uid="{0C241A63-7DF0-4CB3-9739-83CB8FFD941C}"/>
    <cellStyle name="Comma 2 2 2 3 4 2 3" xfId="15351" xr:uid="{2F8AD938-9528-4C51-A87D-3EC54B8D0692}"/>
    <cellStyle name="Comma 2 2 2 3 4 2 3 2" xfId="22890" xr:uid="{BBED0C13-241D-4AC1-93D4-67B732175CDB}"/>
    <cellStyle name="Comma 2 2 2 3 4 2 3 3" xfId="48127" xr:uid="{75AED857-ED17-4D61-9905-C18361B86443}"/>
    <cellStyle name="Comma 2 2 2 3 4 2 3 4" xfId="52228" xr:uid="{1DFC658A-CF09-4F9F-8599-A5FF19C8A2EC}"/>
    <cellStyle name="Comma 2 2 2 3 4 2 3 5" xfId="55244" xr:uid="{16BCA587-E95D-41BD-B363-FD6346664752}"/>
    <cellStyle name="Comma 2 2 2 3 4 2 4" xfId="15838" xr:uid="{3AB39F75-0B66-4E34-A7A5-2896C509C105}"/>
    <cellStyle name="Comma 2 2 2 3 4 2 4 2" xfId="23367" xr:uid="{0866B2E1-2E3D-4DB8-B5AA-DCE15481DBE0}"/>
    <cellStyle name="Comma 2 2 2 3 4 2 4 3" xfId="48027" xr:uid="{413D6943-D76E-44D2-B873-9937526D1303}"/>
    <cellStyle name="Comma 2 2 2 3 4 2 4 4" xfId="52705" xr:uid="{2C1019D8-71A0-4F07-B1FA-65F5F7C8E2D1}"/>
    <cellStyle name="Comma 2 2 2 3 4 2 4 5" xfId="55721" xr:uid="{6071986A-4576-47F9-B7AA-A12048C35C69}"/>
    <cellStyle name="Comma 2 2 2 3 4 2 5" xfId="12927" xr:uid="{326CD07B-8C07-4AB0-8113-3BB46B30B13F}"/>
    <cellStyle name="Comma 2 2 2 3 4 2 5 2" xfId="46371" xr:uid="{F61AB77A-DB38-485F-8792-8CC1EC7E411D}"/>
    <cellStyle name="Comma 2 2 2 3 4 2 5 3" xfId="51274" xr:uid="{832FD27C-7979-4F0A-A1F1-929E695A0B56}"/>
    <cellStyle name="Comma 2 2 2 3 4 2 5 4" xfId="54290" xr:uid="{68B047DF-4ECE-401E-B7CD-0C648220A5B6}"/>
    <cellStyle name="Comma 2 2 2 3 4 2 6" xfId="46125" xr:uid="{5FDABE47-F038-45DF-A6A5-9C7419D0D650}"/>
    <cellStyle name="Comma 2 2 2 3 4 2 7" xfId="50168" xr:uid="{179B2D62-2CAD-4189-B86B-D1980116E4D6}"/>
    <cellStyle name="Comma 2 2 2 3 4 2 8" xfId="53184" xr:uid="{287E9CD7-E0E4-4A76-8C75-3443E9A14B89}"/>
    <cellStyle name="Comma 2 2 2 3 4 3" xfId="14654" xr:uid="{78EB5EDE-CA01-4423-8061-B7F7D26D1671}"/>
    <cellStyle name="Comma 2 2 2 3 4 3 2" xfId="22201" xr:uid="{A53889AB-2E0C-4F5E-AC35-9DFE89A3AE65}"/>
    <cellStyle name="Comma 2 2 2 3 4 3 3" xfId="34057" xr:uid="{BD816400-B4E5-46AF-867E-2E4668587328}"/>
    <cellStyle name="Comma 2 2 2 3 4 3 4" xfId="51539" xr:uid="{74487912-B742-481C-9EE9-71C64D089261}"/>
    <cellStyle name="Comma 2 2 2 3 4 3 5" xfId="54555" xr:uid="{7B00C472-68AF-41D2-8346-E5E7053D94A0}"/>
    <cellStyle name="Comma 2 2 2 3 4 4" xfId="15139" xr:uid="{F466BE79-B562-4A3B-9B2F-B82DA9A16FBD}"/>
    <cellStyle name="Comma 2 2 2 3 4 4 2" xfId="22678" xr:uid="{28A48FF2-0E7C-4A38-B689-23F63F989CF6}"/>
    <cellStyle name="Comma 2 2 2 3 4 4 3" xfId="46488" xr:uid="{7B6A5A95-ABBB-4309-AD8A-3C17389FCBA1}"/>
    <cellStyle name="Comma 2 2 2 3 4 4 4" xfId="52016" xr:uid="{217ABCA0-7CD1-418E-A83F-1117FE0434A0}"/>
    <cellStyle name="Comma 2 2 2 3 4 4 5" xfId="55032" xr:uid="{87BE3DE1-8C31-4105-A175-93E2ED63DE04}"/>
    <cellStyle name="Comma 2 2 2 3 4 5" xfId="15626" xr:uid="{4755EC8D-4B28-4398-B62A-12503029420A}"/>
    <cellStyle name="Comma 2 2 2 3 4 5 2" xfId="23155" xr:uid="{915520AE-5159-4E15-A448-2AE5B351E045}"/>
    <cellStyle name="Comma 2 2 2 3 4 5 3" xfId="46943" xr:uid="{9E1073E4-B5A8-4180-9555-5BCD484ED886}"/>
    <cellStyle name="Comma 2 2 2 3 4 5 4" xfId="52493" xr:uid="{86F63475-3252-4D8E-9BC8-C3443A4ACA32}"/>
    <cellStyle name="Comma 2 2 2 3 4 5 5" xfId="55509" xr:uid="{B56A3FB6-A695-45AB-83F7-87439689C56E}"/>
    <cellStyle name="Comma 2 2 2 3 4 6" xfId="12614" xr:uid="{32FCFDD6-9044-4625-AD7B-45AC1F0CA6BA}"/>
    <cellStyle name="Comma 2 2 2 3 4 6 2" xfId="48490" xr:uid="{A02275F7-4D34-41F2-A96E-260C00207D92}"/>
    <cellStyle name="Comma 2 2 2 3 4 6 3" xfId="51062" xr:uid="{27DC7ABD-9E92-4C79-97A9-20C49C436384}"/>
    <cellStyle name="Comma 2 2 2 3 4 6 4" xfId="54078" xr:uid="{784E3B9F-0241-42C4-9F5B-550D7C5009DE}"/>
    <cellStyle name="Comma 2 2 2 3 4 7" xfId="48153" xr:uid="{3720DB96-6B04-4185-BDBA-61B82AD7276E}"/>
    <cellStyle name="Comma 2 2 2 3 4 8" xfId="49956" xr:uid="{CC3618B1-84EB-4A63-866D-8137777305FE}"/>
    <cellStyle name="Comma 2 2 2 3 4 9" xfId="52972" xr:uid="{D7209B9E-6BD1-416A-8FF5-839CEF02EC02}"/>
    <cellStyle name="Comma 2 2 2 3 5" xfId="10240" xr:uid="{AFB18D2B-8206-462E-BD01-7CA9C3A5C59C}"/>
    <cellStyle name="Comma 2 2 2 3 5 2" xfId="14707" xr:uid="{6E00E698-027E-4BBA-974A-3B091210E177}"/>
    <cellStyle name="Comma 2 2 2 3 5 2 2" xfId="22254" xr:uid="{DB7CD565-F551-4C45-8DA0-C688AF62B4A0}"/>
    <cellStyle name="Comma 2 2 2 3 5 2 3" xfId="47179" xr:uid="{6823427A-3418-4653-B881-B47FF900A468}"/>
    <cellStyle name="Comma 2 2 2 3 5 2 4" xfId="51592" xr:uid="{765B2801-41B7-4216-BC58-5985BBB6C3EC}"/>
    <cellStyle name="Comma 2 2 2 3 5 2 5" xfId="54608" xr:uid="{F0F34F5C-C6DB-4E33-9C11-64911FE3B5E4}"/>
    <cellStyle name="Comma 2 2 2 3 5 3" xfId="15192" xr:uid="{ACAC82D9-6BB8-4BAE-B1E5-D4F928096FAE}"/>
    <cellStyle name="Comma 2 2 2 3 5 3 2" xfId="22731" xr:uid="{B9EC384A-A093-4773-A7F8-8F7F0A3CEE40}"/>
    <cellStyle name="Comma 2 2 2 3 5 3 3" xfId="46891" xr:uid="{6F9FAFBE-DA95-42AF-84DD-C72BE2A67A49}"/>
    <cellStyle name="Comma 2 2 2 3 5 3 4" xfId="52069" xr:uid="{6B51926B-7BB4-4E47-B6A1-75B54DC90FA9}"/>
    <cellStyle name="Comma 2 2 2 3 5 3 5" xfId="55085" xr:uid="{AA9563D4-0B89-4DC6-AF5D-6C27F284286F}"/>
    <cellStyle name="Comma 2 2 2 3 5 4" xfId="15679" xr:uid="{C3B68CC7-86D9-42F2-B650-A6E247A6B1A0}"/>
    <cellStyle name="Comma 2 2 2 3 5 4 2" xfId="23208" xr:uid="{E6B713C6-13AA-4FE5-8CB9-2E52522087AC}"/>
    <cellStyle name="Comma 2 2 2 3 5 4 3" xfId="48081" xr:uid="{73D1BC13-1BC4-44CA-8786-38597827651B}"/>
    <cellStyle name="Comma 2 2 2 3 5 4 4" xfId="52546" xr:uid="{92868F59-5809-4A03-AC73-DBB341DD28BA}"/>
    <cellStyle name="Comma 2 2 2 3 5 4 5" xfId="55562" xr:uid="{6EA51E40-9E77-41DC-AB55-6C93327C1BDF}"/>
    <cellStyle name="Comma 2 2 2 3 5 5" xfId="12693" xr:uid="{7380E796-72F0-4B4A-9419-5888EF66E38E}"/>
    <cellStyle name="Comma 2 2 2 3 5 5 2" xfId="47525" xr:uid="{59F436D2-E61D-4497-AC82-E0DE7C8949F0}"/>
    <cellStyle name="Comma 2 2 2 3 5 5 3" xfId="51115" xr:uid="{A52A3020-9385-4967-9C3A-197DA225D30E}"/>
    <cellStyle name="Comma 2 2 2 3 5 5 4" xfId="54131" xr:uid="{06BD4809-8B8B-4DDF-AEAA-088567119B95}"/>
    <cellStyle name="Comma 2 2 2 3 5 6" xfId="47705" xr:uid="{A9BDD55F-2A08-41A7-B6E6-C9952A405722}"/>
    <cellStyle name="Comma 2 2 2 3 5 7" xfId="50009" xr:uid="{AD6B4287-E81E-4905-85B7-E304531CB6B2}"/>
    <cellStyle name="Comma 2 2 2 3 5 8" xfId="53025" xr:uid="{7D103BA2-A17B-4E4D-A320-6F411B8378E5}"/>
    <cellStyle name="Comma 2 2 2 3 6" xfId="10554" xr:uid="{4F3D004A-931B-4DCD-A04D-18308F56F6BE}"/>
    <cellStyle name="Comma 2 2 2 3 6 2" xfId="14919" xr:uid="{6BB716E5-C656-46FF-AEE5-ACB701A118B4}"/>
    <cellStyle name="Comma 2 2 2 3 6 2 2" xfId="22466" xr:uid="{7DAAF684-F260-43EE-9969-5C3AF6BA9DAA}"/>
    <cellStyle name="Comma 2 2 2 3 6 2 3" xfId="48067" xr:uid="{B02561A9-B394-44FB-A455-F94CB7CAFABE}"/>
    <cellStyle name="Comma 2 2 2 3 6 2 4" xfId="51804" xr:uid="{123A4742-7EC5-4A8B-9B9E-D9EF32F80EE4}"/>
    <cellStyle name="Comma 2 2 2 3 6 2 5" xfId="54820" xr:uid="{F95A93ED-55A0-44D4-A190-30AA97016974}"/>
    <cellStyle name="Comma 2 2 2 3 6 3" xfId="15404" xr:uid="{CD388197-B637-41C0-BECF-68443CB459B9}"/>
    <cellStyle name="Comma 2 2 2 3 6 3 2" xfId="22943" xr:uid="{BF8D78EA-CDD1-474E-9E82-313AA7233C59}"/>
    <cellStyle name="Comma 2 2 2 3 6 3 3" xfId="46918" xr:uid="{8DBAE5BE-0B75-4F1A-B33D-E0B57A8B4613}"/>
    <cellStyle name="Comma 2 2 2 3 6 3 4" xfId="52281" xr:uid="{64516FDA-F394-4591-A7FD-FA758003F8FD}"/>
    <cellStyle name="Comma 2 2 2 3 6 3 5" xfId="55297" xr:uid="{8D7CBA09-B415-4623-9759-FCB973FCB2D8}"/>
    <cellStyle name="Comma 2 2 2 3 6 4" xfId="15892" xr:uid="{E68D858F-BFC6-47A8-9A7B-D540447EB7C0}"/>
    <cellStyle name="Comma 2 2 2 3 6 4 2" xfId="23420" xr:uid="{D0117341-97A6-4683-8834-434BBEBB4743}"/>
    <cellStyle name="Comma 2 2 2 3 6 4 3" xfId="48028" xr:uid="{E1BED2FD-F1D6-44E0-ACC7-2A1D369CDE2A}"/>
    <cellStyle name="Comma 2 2 2 3 6 4 4" xfId="52758" xr:uid="{1BA2131A-9AF3-4424-99F1-3C95ABFC59A1}"/>
    <cellStyle name="Comma 2 2 2 3 6 4 5" xfId="55774" xr:uid="{0ACBB54C-FF3C-46F6-9B6F-6C509BC7A454}"/>
    <cellStyle name="Comma 2 2 2 3 6 5" xfId="13007" xr:uid="{2F3E130D-1D37-48AF-BAF3-614CAB27D3B7}"/>
    <cellStyle name="Comma 2 2 2 3 6 5 2" xfId="47860" xr:uid="{534BB568-B35E-46A8-A2C2-48C765A19B96}"/>
    <cellStyle name="Comma 2 2 2 3 6 5 3" xfId="51327" xr:uid="{EB579BE5-967B-4663-B466-D09A64CC6C43}"/>
    <cellStyle name="Comma 2 2 2 3 6 5 4" xfId="54343" xr:uid="{ED960FB1-1A8D-4171-9463-C7049AA0C01E}"/>
    <cellStyle name="Comma 2 2 2 3 6 6" xfId="47590" xr:uid="{2A2E0254-41AD-4298-AF84-1609CE443422}"/>
    <cellStyle name="Comma 2 2 2 3 6 7" xfId="50221" xr:uid="{A697F473-DF76-4F60-9730-DC88555DF874}"/>
    <cellStyle name="Comma 2 2 2 3 6 8" xfId="53237" xr:uid="{912C0BD3-18DC-493D-AF9C-18E1A6D74018}"/>
    <cellStyle name="Comma 2 2 2 3 7" xfId="14495" xr:uid="{5A8765C9-704C-4EB6-BEC1-4482C8F14F64}"/>
    <cellStyle name="Comma 2 2 2 3 7 2" xfId="22042" xr:uid="{44907127-9202-4D64-9D19-C1DC6BC9E582}"/>
    <cellStyle name="Comma 2 2 2 3 7 3" xfId="48440" xr:uid="{C718ADF8-38CC-4301-9166-A1CA8E0C6222}"/>
    <cellStyle name="Comma 2 2 2 3 7 4" xfId="51380" xr:uid="{ADEEFD41-195E-4EB8-B014-82C0DE05D8EA}"/>
    <cellStyle name="Comma 2 2 2 3 7 5" xfId="54396" xr:uid="{64F3D8A0-DEAF-4C84-8542-2FCFFAB0D681}"/>
    <cellStyle name="Comma 2 2 2 3 8" xfId="14979" xr:uid="{6BFE1B7B-D8EE-4221-9866-1B6CBFE33FA9}"/>
    <cellStyle name="Comma 2 2 2 3 8 2" xfId="22519" xr:uid="{490FB2B0-ED3D-4865-BB6E-D33BBC3EDB73}"/>
    <cellStyle name="Comma 2 2 2 3 8 3" xfId="48122" xr:uid="{AA96E2EC-08BF-425F-B43C-C0D49594C514}"/>
    <cellStyle name="Comma 2 2 2 3 8 4" xfId="51857" xr:uid="{E450C6D3-C589-4E91-8BD7-98E79B37CA3F}"/>
    <cellStyle name="Comma 2 2 2 3 8 5" xfId="54873" xr:uid="{A95CFCAF-FA22-426C-9278-E5024CFBB1E1}"/>
    <cellStyle name="Comma 2 2 2 3 9" xfId="15466" xr:uid="{45C7F282-C082-4841-818B-AE84A3922482}"/>
    <cellStyle name="Comma 2 2 2 3 9 2" xfId="22996" xr:uid="{53DED7D0-F5E7-4F23-8EA5-302F4CB8EE26}"/>
    <cellStyle name="Comma 2 2 2 3 9 3" xfId="46924" xr:uid="{A00FD034-18E1-4FD1-AE70-FB89761BD409}"/>
    <cellStyle name="Comma 2 2 2 3 9 4" xfId="52334" xr:uid="{A3E65B41-B129-44E0-B617-33F6DB7F3F88}"/>
    <cellStyle name="Comma 2 2 2 3 9 5" xfId="55350" xr:uid="{DD39A7D1-21B1-46AD-8002-661D4D7CE0A6}"/>
    <cellStyle name="Comma 2 2 2 4" xfId="5808" xr:uid="{51A6860B-AC18-48F9-B8BE-80BA6AE39BA2}"/>
    <cellStyle name="Comma 2 2 2 4 2" xfId="23703" xr:uid="{74EAC097-F92F-4045-9BD7-8C36710157B6}"/>
    <cellStyle name="Comma 2 2 2 4 3" xfId="48596" xr:uid="{651ACCC7-887D-4600-BD40-272FA755B9D4}"/>
    <cellStyle name="Comma 2 2 2 4 4" xfId="49506" xr:uid="{EA44B682-7982-46F4-BF9A-4E7FACE54195}"/>
    <cellStyle name="Comma 2 2 2 4 5" xfId="11097" xr:uid="{9E53871A-7ADC-46A4-A46A-B50C07A29658}"/>
    <cellStyle name="Comma 2 2 2 5" xfId="11183" xr:uid="{958BBA74-ED11-4845-AF17-E82353C14E2F}"/>
    <cellStyle name="Comma 2 2 2 5 2" xfId="21680" xr:uid="{7A93F93B-D240-44F0-AD51-4A5D409E2B92}"/>
    <cellStyle name="Comma 2 2 2 5 3" xfId="34284" xr:uid="{3EC51282-1892-42DD-8C3F-CDB136A02CDD}"/>
    <cellStyle name="Comma 2 2 2 5 4" xfId="50696" xr:uid="{AE4907A7-416D-4361-9A9D-EEF0FD83543E}"/>
    <cellStyle name="Comma 2 2 2 5 5" xfId="53712" xr:uid="{1ADDE85B-5D64-494B-904A-B37D4D6C40A1}"/>
    <cellStyle name="Comma 2 2 2 6" xfId="19468" xr:uid="{B852CDB4-2543-4999-8334-6492F101E168}"/>
    <cellStyle name="Comma 2 2 2 7" xfId="23699" xr:uid="{39A954A3-1195-471F-9D60-18F258ADF1B7}"/>
    <cellStyle name="Comma 2 2 2 8" xfId="48592" xr:uid="{BF6074D8-C857-44DD-923E-C68D2E1A3CBD}"/>
    <cellStyle name="Comma 2 2 2 9" xfId="49502" xr:uid="{7C0EABE3-310A-47B0-AC8D-D816B7098F9D}"/>
    <cellStyle name="Comma 2 2 3" xfId="2608" xr:uid="{762A1755-CD26-4A49-AB15-EE181F3B462B}"/>
    <cellStyle name="Comma 2 2 3 2" xfId="4527" xr:uid="{476826B3-936B-482E-9D57-564FD3FF8302}"/>
    <cellStyle name="Comma 2 2 3 2 2" xfId="23705" xr:uid="{9A9CD6E9-77BF-4ECE-AD93-49FC34E5750A}"/>
    <cellStyle name="Comma 2 2 3 2 3" xfId="48598" xr:uid="{10CBE904-2E74-4826-9A50-3BC5F6386A57}"/>
    <cellStyle name="Comma 2 2 3 2 4" xfId="49508" xr:uid="{66817341-5743-489B-AAB6-D99F0507AC3C}"/>
    <cellStyle name="Comma 2 2 3 2 5" xfId="12216" xr:uid="{8AC9BD21-9C05-4A19-94CA-3BE2F9B0AC7C}"/>
    <cellStyle name="Comma 2 2 3 3" xfId="5809" xr:uid="{284B1233-7F77-4692-9FFC-CF3A840C0868}"/>
    <cellStyle name="Comma 2 2 3 3 2" xfId="21715" xr:uid="{E06D1891-1262-46BA-BC45-CFF468C4BFD1}"/>
    <cellStyle name="Comma 2 2 3 3 3" xfId="48556" xr:uid="{7D954A40-A2AB-4F4F-AB7B-AEE914F81E5F}"/>
    <cellStyle name="Comma 2 2 3 3 4" xfId="50740" xr:uid="{D2B84113-6701-4169-AD88-1324E12E1B56}"/>
    <cellStyle name="Comma 2 2 3 3 5" xfId="53756" xr:uid="{A0A33306-F30E-4F64-885E-3769953E5707}"/>
    <cellStyle name="Comma 2 2 3 3 6" xfId="11692" xr:uid="{A0E93526-92E3-4716-8164-06B81E133CB2}"/>
    <cellStyle name="Comma 2 2 3 4" xfId="19470" xr:uid="{6184FA53-594D-4966-AB11-45B80D3D22BF}"/>
    <cellStyle name="Comma 2 2 3 5" xfId="23704" xr:uid="{C2F5A523-1CDC-4C42-9623-844D0425443C}"/>
    <cellStyle name="Comma 2 2 3 6" xfId="48597" xr:uid="{8A78084C-FC5B-4D57-AC04-306A9802FF80}"/>
    <cellStyle name="Comma 2 2 3 7" xfId="49507" xr:uid="{45AB3AED-448E-4E72-A084-F5A7D825AB8D}"/>
    <cellStyle name="Comma 2 2 3 8" xfId="8182" xr:uid="{CA3F99E9-98E7-410D-9A16-95E1ED14B95C}"/>
    <cellStyle name="Comma 2 2 4" xfId="4525" xr:uid="{51DF797C-6936-41D0-AC40-F7052E6C0D35}"/>
    <cellStyle name="Comma 2 2 4 10" xfId="11182" xr:uid="{5440D016-AEC9-41ED-9C5C-38BE83FBFF15}"/>
    <cellStyle name="Comma 2 2 4 2" xfId="11227" xr:uid="{78F98B57-EC42-4844-9521-2C52503D67CC}"/>
    <cellStyle name="Comma 2 2 4 3" xfId="18049" xr:uid="{CC7B65B4-4092-4183-931D-DE7D56323D37}"/>
    <cellStyle name="Comma 2 2 4 3 2" xfId="21679" xr:uid="{8927A93D-7C99-4894-89D8-5A59F2CA52AF}"/>
    <cellStyle name="Comma 2 2 4 4" xfId="23706" xr:uid="{08D5C8B7-EACD-485F-A2C5-1A80A9492B77}"/>
    <cellStyle name="Comma 2 2 4 5" xfId="46276" xr:uid="{8E6D809B-A51E-4BF0-BB89-F636BF693A1D}"/>
    <cellStyle name="Comma 2 2 4 6" xfId="48599" xr:uid="{1BBD619B-98AE-4E0C-A25F-7A2E0F2C4E78}"/>
    <cellStyle name="Comma 2 2 4 7" xfId="49509" xr:uid="{829065A0-909F-4D31-B559-544DFB523854}"/>
    <cellStyle name="Comma 2 2 4 8" xfId="50695" xr:uid="{8279618A-F19A-4040-A0AB-CC36807F163E}"/>
    <cellStyle name="Comma 2 2 4 9" xfId="53711" xr:uid="{499BB0D5-878D-4B4F-85BF-6DDA38BDD25B}"/>
    <cellStyle name="Comma 2 2 5" xfId="5807" xr:uid="{F52E9258-EE5D-425B-A7BF-F6F8D8A245EC}"/>
    <cellStyle name="Comma 2 2 5 2" xfId="23707" xr:uid="{7C7FCB72-78C1-42D5-B08E-CA5762E4DD3E}"/>
    <cellStyle name="Comma 2 2 5 3" xfId="48600" xr:uid="{DF742C37-A855-4AD6-9BA6-C27A7D17E0CD}"/>
    <cellStyle name="Comma 2 2 5 4" xfId="49510" xr:uid="{660955D9-7F52-46A6-86D1-56BB1F167A60}"/>
    <cellStyle name="Comma 2 2 5 5" xfId="19467" xr:uid="{A474FBF8-29C5-4C79-8A04-CD65E3BC3CF0}"/>
    <cellStyle name="Comma 2 2 6" xfId="2605" xr:uid="{23EAAC6A-E518-4A9C-959F-AE5270BDD31F}"/>
    <cellStyle name="Comma 2 2 6 2" xfId="23708" xr:uid="{13C92877-8F2E-4CD7-9E2D-6BE2F2589691}"/>
    <cellStyle name="Comma 2 2 7" xfId="23698" xr:uid="{E9C5394C-100F-4A37-80DD-E8C3010D0ECE}"/>
    <cellStyle name="Comma 2 2 8" xfId="48591" xr:uid="{F0F43FA4-8165-4258-9467-515828FF2250}"/>
    <cellStyle name="Comma 2 2 9" xfId="49501" xr:uid="{DDB2CB50-1153-44F6-8D3C-9BC389559AFE}"/>
    <cellStyle name="Comma 2 3" xfId="50" xr:uid="{00000000-0005-0000-0000-000052000000}"/>
    <cellStyle name="Comma 2 3 10" xfId="48601" xr:uid="{C852367C-1EAD-424C-B380-6205F5DD5CED}"/>
    <cellStyle name="Comma 2 3 11" xfId="49511" xr:uid="{72787197-6517-4B4C-806E-CA386552C8D5}"/>
    <cellStyle name="Comma 2 3 12" xfId="6984" xr:uid="{46C2EC60-96AC-49EA-8A6F-A9FCE4988771}"/>
    <cellStyle name="Comma 2 3 2" xfId="1291" xr:uid="{00000000-0005-0000-0000-000053000000}"/>
    <cellStyle name="Comma 2 3 2 10" xfId="49512" xr:uid="{BC01E01F-F59A-4713-A74B-26E4E5E335A2}"/>
    <cellStyle name="Comma 2 3 2 11" xfId="7232" xr:uid="{D5321128-32F4-479C-B897-AFA64F0CB3C3}"/>
    <cellStyle name="Comma 2 3 2 2" xfId="1292" xr:uid="{00000000-0005-0000-0000-000054000000}"/>
    <cellStyle name="Comma 2 3 2 2 10" xfId="14980" xr:uid="{903A0EC0-5488-4DCB-8721-B20034451450}"/>
    <cellStyle name="Comma 2 3 2 2 10 2" xfId="22520" xr:uid="{C7FF0B9F-3EDB-4C28-A4EC-49978A17575C}"/>
    <cellStyle name="Comma 2 3 2 2 10 3" xfId="32514" xr:uid="{3BA61A52-225C-4AE7-B897-97E434A650D7}"/>
    <cellStyle name="Comma 2 3 2 2 10 4" xfId="51858" xr:uid="{BBB98D8A-4D56-4807-AF0E-80017A9069F2}"/>
    <cellStyle name="Comma 2 3 2 2 10 5" xfId="54874" xr:uid="{D6D15CB2-19CD-415E-AF16-184C226DAF6A}"/>
    <cellStyle name="Comma 2 3 2 2 11" xfId="15467" xr:uid="{416AB14A-E007-4B4A-A639-3C63562B4B5E}"/>
    <cellStyle name="Comma 2 3 2 2 11 2" xfId="22997" xr:uid="{772CD3E0-3A44-4DF5-AC9E-595C880BE9AA}"/>
    <cellStyle name="Comma 2 3 2 2 11 3" xfId="48076" xr:uid="{78A92F05-6AEE-45A8-BBF1-24F6D35E715A}"/>
    <cellStyle name="Comma 2 3 2 2 11 4" xfId="52335" xr:uid="{EE8AD611-26DA-436A-AD00-0FE1A4C1E750}"/>
    <cellStyle name="Comma 2 3 2 2 11 5" xfId="55351" xr:uid="{7E5685B1-B5DD-47A6-9EA5-E6A8BFD38133}"/>
    <cellStyle name="Comma 2 3 2 2 12" xfId="17742" xr:uid="{5C2305A0-CB65-4B71-94A7-21EC6C1F218F}"/>
    <cellStyle name="Comma 2 3 2 2 12 2" xfId="21250" xr:uid="{C706E131-8752-4A91-80A9-674CF81131FF}"/>
    <cellStyle name="Comma 2 3 2 2 13" xfId="23711" xr:uid="{FE4ABE9C-94A4-4ADC-ADDF-22A2E3588ABD}"/>
    <cellStyle name="Comma 2 3 2 2 14" xfId="48603" xr:uid="{B22AC725-4282-4D0E-89CA-D06F1887CAB3}"/>
    <cellStyle name="Comma 2 3 2 2 15" xfId="49513" xr:uid="{2D46D74F-F54E-4312-94EF-8B5A3A9B34E2}"/>
    <cellStyle name="Comma 2 3 2 2 16" xfId="49798" xr:uid="{60EC447D-35E2-46D5-B44B-3B9BD658C6A1}"/>
    <cellStyle name="Comma 2 3 2 2 17" xfId="52813" xr:uid="{64E9F705-2701-4BF9-B945-EC86165D57A3}"/>
    <cellStyle name="Comma 2 3 2 2 18" xfId="8921" xr:uid="{0ADCC419-33A5-4011-96FC-BB09ADC95809}"/>
    <cellStyle name="Comma 2 3 2 2 2" xfId="4530" xr:uid="{7213A233-0B90-4107-8438-DCD4807E6D56}"/>
    <cellStyle name="Comma 2 3 2 2 2 10" xfId="52867" xr:uid="{408EF00B-129A-43D6-B11A-1075CFFC14F8}"/>
    <cellStyle name="Comma 2 3 2 2 2 11" xfId="10008" xr:uid="{63DA0ABE-27FC-485D-8C1C-E135C40031DA}"/>
    <cellStyle name="Comma 2 3 2 2 2 2" xfId="10316" xr:uid="{A02C5F1B-EDB3-42AF-ACF5-BE7FB397CB6B}"/>
    <cellStyle name="Comma 2 3 2 2 2 2 2" xfId="14761" xr:uid="{959CAD0D-A43F-4B7E-A704-85A59DBAEDB5}"/>
    <cellStyle name="Comma 2 3 2 2 2 2 2 2" xfId="22308" xr:uid="{FAFC2C04-6C6A-4A74-9764-A73730E63C39}"/>
    <cellStyle name="Comma 2 3 2 2 2 2 2 3" xfId="47832" xr:uid="{7ED3C404-E8B5-46D8-B933-4633E7B764DB}"/>
    <cellStyle name="Comma 2 3 2 2 2 2 2 4" xfId="51646" xr:uid="{DC36A1D0-B6BE-4DC2-A551-503BFAD84183}"/>
    <cellStyle name="Comma 2 3 2 2 2 2 2 5" xfId="54662" xr:uid="{EBE79AB6-3D3E-4486-AA66-63D7B3180E01}"/>
    <cellStyle name="Comma 2 3 2 2 2 2 3" xfId="15246" xr:uid="{E93C2DCC-A88D-4E2C-8716-299E82002908}"/>
    <cellStyle name="Comma 2 3 2 2 2 2 3 2" xfId="22785" xr:uid="{8E873991-D112-42ED-A704-404C0CD53913}"/>
    <cellStyle name="Comma 2 3 2 2 2 2 3 3" xfId="47720" xr:uid="{7D4B075E-F7B4-4950-ABDA-360059A71A74}"/>
    <cellStyle name="Comma 2 3 2 2 2 2 3 4" xfId="52123" xr:uid="{3D9DCAE9-0FC6-4466-87B0-36185168D194}"/>
    <cellStyle name="Comma 2 3 2 2 2 2 3 5" xfId="55139" xr:uid="{BE340F5F-AECF-44D0-9CBA-AB81B63F52A2}"/>
    <cellStyle name="Comma 2 3 2 2 2 2 4" xfId="15733" xr:uid="{6DCD6FF5-77D7-4177-997B-8BEF1070E992}"/>
    <cellStyle name="Comma 2 3 2 2 2 2 4 2" xfId="23262" xr:uid="{8810460B-7B06-4F88-B3D3-27BD4929DE63}"/>
    <cellStyle name="Comma 2 3 2 2 2 2 4 3" xfId="46700" xr:uid="{04F308B7-1857-4FC6-BC40-B049000E9551}"/>
    <cellStyle name="Comma 2 3 2 2 2 2 4 4" xfId="52600" xr:uid="{4FAC267F-F49D-455A-B00C-C8D39B48A47E}"/>
    <cellStyle name="Comma 2 3 2 2 2 2 4 5" xfId="55616" xr:uid="{B31E64A9-ACDA-4B4F-ABB5-84AF3FCFF3DC}"/>
    <cellStyle name="Comma 2 3 2 2 2 2 5" xfId="12769" xr:uid="{44B68935-E015-4897-BAD8-9F94EF57C0D6}"/>
    <cellStyle name="Comma 2 3 2 2 2 2 5 2" xfId="46791" xr:uid="{09A24BC7-6F88-4074-805A-D43F749E4CCC}"/>
    <cellStyle name="Comma 2 3 2 2 2 2 5 3" xfId="51169" xr:uid="{C51A3CB8-A870-4AD3-B28E-75059C66EF03}"/>
    <cellStyle name="Comma 2 3 2 2 2 2 5 4" xfId="54185" xr:uid="{83666CAF-BC64-4E64-824E-BE84127AB20E}"/>
    <cellStyle name="Comma 2 3 2 2 2 2 6" xfId="47798" xr:uid="{01AB64BA-314C-4289-9D26-E0CD9112AAF5}"/>
    <cellStyle name="Comma 2 3 2 2 2 2 7" xfId="50063" xr:uid="{57CFAC31-33BE-4702-9736-D51985EEA1CB}"/>
    <cellStyle name="Comma 2 3 2 2 2 2 8" xfId="53079" xr:uid="{3BD25BAB-4B1B-4A39-AF26-B032F579DAF2}"/>
    <cellStyle name="Comma 2 3 2 2 2 3" xfId="12468" xr:uid="{E7A0D0AE-99E7-43BC-BBD1-425E00A452D1}"/>
    <cellStyle name="Comma 2 3 2 2 2 3 2" xfId="21913" xr:uid="{DEC2945D-4760-499B-B92F-252F6703BBF3}"/>
    <cellStyle name="Comma 2 3 2 2 2 3 3" xfId="47213" xr:uid="{6D372531-49CF-4C32-86E6-CF1DBD59A1EA}"/>
    <cellStyle name="Comma 2 3 2 2 2 3 4" xfId="50957" xr:uid="{E23667E0-45CC-4DF7-8F5F-CDC8BA12F1CA}"/>
    <cellStyle name="Comma 2 3 2 2 2 3 5" xfId="53973" xr:uid="{5C64E9D5-CA2D-437B-9BCF-591081EE654F}"/>
    <cellStyle name="Comma 2 3 2 2 2 4" xfId="14549" xr:uid="{27A975A5-DA53-47CB-AA46-E59C7B77409F}"/>
    <cellStyle name="Comma 2 3 2 2 2 4 2" xfId="22096" xr:uid="{85557804-B38A-4838-B8B9-B238418818E1}"/>
    <cellStyle name="Comma 2 3 2 2 2 4 3" xfId="46833" xr:uid="{1E0811A3-8009-41F6-A436-D771FDC1121C}"/>
    <cellStyle name="Comma 2 3 2 2 2 4 4" xfId="51434" xr:uid="{3E6576A9-48D7-4C4E-A121-2747C322766F}"/>
    <cellStyle name="Comma 2 3 2 2 2 4 5" xfId="54450" xr:uid="{C823FB99-BBD1-49FF-9582-6F37FE27D408}"/>
    <cellStyle name="Comma 2 3 2 2 2 5" xfId="15033" xr:uid="{56F0543F-E196-4423-9560-AB22FF2A5296}"/>
    <cellStyle name="Comma 2 3 2 2 2 5 2" xfId="22573" xr:uid="{698AAB81-F71E-4DFA-AEB2-11A1694892E1}"/>
    <cellStyle name="Comma 2 3 2 2 2 5 3" xfId="46470" xr:uid="{E2C5C05C-FAED-41D1-84E9-94F373826078}"/>
    <cellStyle name="Comma 2 3 2 2 2 5 4" xfId="51911" xr:uid="{5B413FEC-3E7A-4396-91A0-1D9F0B53C68A}"/>
    <cellStyle name="Comma 2 3 2 2 2 5 5" xfId="54927" xr:uid="{B480A7C8-6C01-4A15-BC5A-97A0A93EDAAD}"/>
    <cellStyle name="Comma 2 3 2 2 2 6" xfId="15520" xr:uid="{E5FEDF81-50AA-4CBC-8006-476AF9413CEF}"/>
    <cellStyle name="Comma 2 3 2 2 2 6 2" xfId="23050" xr:uid="{13F1A26D-1087-47C7-80A9-6E11D865C7BD}"/>
    <cellStyle name="Comma 2 3 2 2 2 6 3" xfId="48254" xr:uid="{E2084E84-C35C-40F9-AB0A-4A2235CDC631}"/>
    <cellStyle name="Comma 2 3 2 2 2 6 4" xfId="52388" xr:uid="{19401D57-B31F-49F8-B154-13B731070D5F}"/>
    <cellStyle name="Comma 2 3 2 2 2 6 5" xfId="55404" xr:uid="{0978E4CE-95FD-418D-95E6-8053B62D3054}"/>
    <cellStyle name="Comma 2 3 2 2 2 7" xfId="11693" xr:uid="{2819927F-5632-496C-A58A-850FC68B2C6F}"/>
    <cellStyle name="Comma 2 3 2 2 2 7 2" xfId="46732" xr:uid="{5AC057AB-A21C-42CF-AE4D-28BD94D20125}"/>
    <cellStyle name="Comma 2 3 2 2 2 7 3" xfId="50741" xr:uid="{9BD65C1C-3361-437C-89BB-55D8F21DC1EA}"/>
    <cellStyle name="Comma 2 3 2 2 2 7 4" xfId="53757" xr:uid="{BE3AED0F-BCD2-4C5B-A376-F7565E13879E}"/>
    <cellStyle name="Comma 2 3 2 2 2 8" xfId="23712" xr:uid="{27D84BF7-6D72-440E-BD2D-F63D7F4382FA}"/>
    <cellStyle name="Comma 2 3 2 2 2 9" xfId="49851" xr:uid="{69284817-176F-40FE-9665-B2BB7FB19BD1}"/>
    <cellStyle name="Comma 2 3 2 2 3" xfId="2611" xr:uid="{11FFFB8E-1ACE-44F4-BB0E-54CDF7E287DF}"/>
    <cellStyle name="Comma 2 3 2 2 3 10" xfId="10082" xr:uid="{AC3C1994-C4CF-489D-AD7C-EEA6E04C68FA}"/>
    <cellStyle name="Comma 2 3 2 2 3 2" xfId="10395" xr:uid="{3ABB86C3-88B3-47B8-A145-B30A43D3E76B}"/>
    <cellStyle name="Comma 2 3 2 2 3 2 2" xfId="14814" xr:uid="{2A675DF2-272A-4353-B648-4A3CF80DEC71}"/>
    <cellStyle name="Comma 2 3 2 2 3 2 2 2" xfId="22361" xr:uid="{20CEB529-2649-435B-A4EF-DD6AECFD3239}"/>
    <cellStyle name="Comma 2 3 2 2 3 2 2 3" xfId="46438" xr:uid="{BFE1D256-73E4-45D5-A584-ECEECB0F136A}"/>
    <cellStyle name="Comma 2 3 2 2 3 2 2 4" xfId="51699" xr:uid="{390082D3-7715-43FE-93D7-ECF3A3337378}"/>
    <cellStyle name="Comma 2 3 2 2 3 2 2 5" xfId="54715" xr:uid="{D5FF8E22-C760-4E08-9133-B5D95F303982}"/>
    <cellStyle name="Comma 2 3 2 2 3 2 3" xfId="15299" xr:uid="{5A217326-A828-4B81-9A33-FFCE2C630BF8}"/>
    <cellStyle name="Comma 2 3 2 2 3 2 3 2" xfId="22838" xr:uid="{F7CDC67D-E0EE-47DB-860D-9B7FF240AA21}"/>
    <cellStyle name="Comma 2 3 2 2 3 2 3 3" xfId="48361" xr:uid="{1546A004-ABD4-45FC-929F-AACB589E6F54}"/>
    <cellStyle name="Comma 2 3 2 2 3 2 3 4" xfId="52176" xr:uid="{3A0BD322-2481-422A-9FC0-D348F3DFE3CC}"/>
    <cellStyle name="Comma 2 3 2 2 3 2 3 5" xfId="55192" xr:uid="{3918C03F-9C72-405B-8F79-B0919E44F183}"/>
    <cellStyle name="Comma 2 3 2 2 3 2 4" xfId="15786" xr:uid="{C282B9D9-08B8-4CE7-9B2B-DED8077219E3}"/>
    <cellStyle name="Comma 2 3 2 2 3 2 4 2" xfId="23315" xr:uid="{271A0838-EB70-4121-B908-F672B16CAB24}"/>
    <cellStyle name="Comma 2 3 2 2 3 2 4 3" xfId="46585" xr:uid="{EE467738-A621-4F4E-84D6-33384ACCCB2B}"/>
    <cellStyle name="Comma 2 3 2 2 3 2 4 4" xfId="52653" xr:uid="{4AFC2307-1998-4F7F-A2ED-2428D1ECFCB5}"/>
    <cellStyle name="Comma 2 3 2 2 3 2 4 5" xfId="55669" xr:uid="{606567A5-264B-43FB-904A-4B0903920A1A}"/>
    <cellStyle name="Comma 2 3 2 2 3 2 5" xfId="12848" xr:uid="{2F295206-6364-4E14-A377-1DEB098D3FD1}"/>
    <cellStyle name="Comma 2 3 2 2 3 2 5 2" xfId="48381" xr:uid="{58BA4E72-1E99-4341-97E2-171183DF65EF}"/>
    <cellStyle name="Comma 2 3 2 2 3 2 5 3" xfId="51222" xr:uid="{B8DFC350-DF6E-4CC9-B2E8-303F88F90DA4}"/>
    <cellStyle name="Comma 2 3 2 2 3 2 5 4" xfId="54238" xr:uid="{C971BFF0-E1B3-4FEE-945F-A53BE4C47E16}"/>
    <cellStyle name="Comma 2 3 2 2 3 2 6" xfId="47286" xr:uid="{83F910CB-83F6-48C2-97DD-697E4CBF2D7B}"/>
    <cellStyle name="Comma 2 3 2 2 3 2 7" xfId="50116" xr:uid="{BA5D57AA-9808-4D0B-95D3-AA6C58C33ADB}"/>
    <cellStyle name="Comma 2 3 2 2 3 2 8" xfId="53132" xr:uid="{8220DF12-D688-4E56-B7D8-C757A971CBC7}"/>
    <cellStyle name="Comma 2 3 2 2 3 3" xfId="14602" xr:uid="{6E328643-0F75-457B-8C44-D1C82EADCCAF}"/>
    <cellStyle name="Comma 2 3 2 2 3 3 2" xfId="22149" xr:uid="{DB801428-361D-4F25-81E6-987FA9518E53}"/>
    <cellStyle name="Comma 2 3 2 2 3 3 3" xfId="47369" xr:uid="{E1C4A89A-241E-4880-8D8E-1266778C9B76}"/>
    <cellStyle name="Comma 2 3 2 2 3 3 4" xfId="51487" xr:uid="{A123A020-9151-4609-A72F-8E61503B9B8F}"/>
    <cellStyle name="Comma 2 3 2 2 3 3 5" xfId="54503" xr:uid="{3F0E0EFA-C411-45E8-88EA-8823FC0E082A}"/>
    <cellStyle name="Comma 2 3 2 2 3 4" xfId="15087" xr:uid="{265FF9A5-9247-4432-B2A1-71AD6DFFB1D2}"/>
    <cellStyle name="Comma 2 3 2 2 3 4 2" xfId="22626" xr:uid="{6D9EC13C-F98E-4FBB-B5B6-3728FCA2E244}"/>
    <cellStyle name="Comma 2 3 2 2 3 4 3" xfId="46476" xr:uid="{7BCEF593-CC64-44E3-814C-E62B2360A3D7}"/>
    <cellStyle name="Comma 2 3 2 2 3 4 4" xfId="51964" xr:uid="{D2DAE5C4-D16E-44D6-9D4D-7EF05AB86596}"/>
    <cellStyle name="Comma 2 3 2 2 3 4 5" xfId="54980" xr:uid="{8865B410-B00D-427C-86EC-933BAD200EA1}"/>
    <cellStyle name="Comma 2 3 2 2 3 5" xfId="15574" xr:uid="{CD39F5F9-DEEB-4684-AFCF-B2007AA6A5D6}"/>
    <cellStyle name="Comma 2 3 2 2 3 5 2" xfId="23103" xr:uid="{A560A81A-D7F6-45F7-9DD6-D687A9C73F69}"/>
    <cellStyle name="Comma 2 3 2 2 3 5 3" xfId="47349" xr:uid="{3531F0CD-8653-4C7A-A406-04D39B891560}"/>
    <cellStyle name="Comma 2 3 2 2 3 5 4" xfId="52441" xr:uid="{8BCBC552-7CEA-4E37-9BBF-78B6BC270B28}"/>
    <cellStyle name="Comma 2 3 2 2 3 5 5" xfId="55457" xr:uid="{F94730FF-54D1-484D-9426-BF9A97EC07D2}"/>
    <cellStyle name="Comma 2 3 2 2 3 6" xfId="12539" xr:uid="{7841B187-1008-49F0-8EF6-F95C2D74C3C7}"/>
    <cellStyle name="Comma 2 3 2 2 3 6 2" xfId="47466" xr:uid="{D09BA315-ADE3-492F-AA3C-81E3B0D3077D}"/>
    <cellStyle name="Comma 2 3 2 2 3 6 3" xfId="51010" xr:uid="{4D6D22C4-0A50-45FA-A839-BEBEED0BE413}"/>
    <cellStyle name="Comma 2 3 2 2 3 6 4" xfId="54026" xr:uid="{AFD2F015-D821-4289-84EC-D0364409AF1D}"/>
    <cellStyle name="Comma 2 3 2 2 3 7" xfId="48447" xr:uid="{20A08395-B566-4820-B3A9-530AC55A79D9}"/>
    <cellStyle name="Comma 2 3 2 2 3 8" xfId="49904" xr:uid="{90833ED4-C1FA-48A1-B875-EDEC667FECB2}"/>
    <cellStyle name="Comma 2 3 2 2 3 9" xfId="52920" xr:uid="{9A7A3AE1-6DE1-4B1C-A158-492445BEBF04}"/>
    <cellStyle name="Comma 2 3 2 2 4" xfId="10161" xr:uid="{CD7B2A4A-DA9B-4125-867B-913B7F6EED8A}"/>
    <cellStyle name="Comma 2 3 2 2 4 2" xfId="10475" xr:uid="{C43F6456-EB69-49E4-A03B-6452CC64D653}"/>
    <cellStyle name="Comma 2 3 2 2 4 2 2" xfId="14867" xr:uid="{8028EFE2-7A34-4F9D-8119-7031C2A0375A}"/>
    <cellStyle name="Comma 2 3 2 2 4 2 2 2" xfId="22414" xr:uid="{47BD27C2-D7DB-4D10-95AA-870B2C69F989}"/>
    <cellStyle name="Comma 2 3 2 2 4 2 2 3" xfId="47539" xr:uid="{D0465578-0653-4630-8E6F-E3DEE8FFF998}"/>
    <cellStyle name="Comma 2 3 2 2 4 2 2 4" xfId="51752" xr:uid="{26C64B37-3FD2-4D6E-A66F-18C575805B02}"/>
    <cellStyle name="Comma 2 3 2 2 4 2 2 5" xfId="54768" xr:uid="{7E1F53E8-E5D0-410B-AEDA-4D3A831D0BA0}"/>
    <cellStyle name="Comma 2 3 2 2 4 2 3" xfId="15352" xr:uid="{4AB35C76-06D6-46CD-9DF5-757CD3406761}"/>
    <cellStyle name="Comma 2 3 2 2 4 2 3 2" xfId="22891" xr:uid="{0AA5EC37-2A79-42F4-9164-D2A65C930FAD}"/>
    <cellStyle name="Comma 2 3 2 2 4 2 3 3" xfId="46910" xr:uid="{D48D3B32-A146-43F1-B582-2B68199EA9ED}"/>
    <cellStyle name="Comma 2 3 2 2 4 2 3 4" xfId="52229" xr:uid="{40BFB071-03F8-46FE-B9B0-6DD7F6181BAA}"/>
    <cellStyle name="Comma 2 3 2 2 4 2 3 5" xfId="55245" xr:uid="{CC78B78A-17B7-44A2-B1E1-64F8678C35EF}"/>
    <cellStyle name="Comma 2 3 2 2 4 2 4" xfId="15839" xr:uid="{EDE270A4-A51D-42BE-856A-8B85BE4A8247}"/>
    <cellStyle name="Comma 2 3 2 2 4 2 4 2" xfId="23368" xr:uid="{77596663-9342-4E59-B24A-725A28D2FEA3}"/>
    <cellStyle name="Comma 2 3 2 2 4 2 4 3" xfId="47258" xr:uid="{2336151A-CEDF-4251-9D1B-5E263642987E}"/>
    <cellStyle name="Comma 2 3 2 2 4 2 4 4" xfId="52706" xr:uid="{A0CC4543-9D51-4C08-9C74-02AABC45521B}"/>
    <cellStyle name="Comma 2 3 2 2 4 2 4 5" xfId="55722" xr:uid="{3028A140-A066-4FE6-A6C3-C43D43104AA9}"/>
    <cellStyle name="Comma 2 3 2 2 4 2 5" xfId="12928" xr:uid="{D8AF83F3-0B85-4A23-B8C5-CCF71B80D313}"/>
    <cellStyle name="Comma 2 3 2 2 4 2 5 2" xfId="46372" xr:uid="{7E6D03F6-F876-4340-9C71-E8AEFC933ED6}"/>
    <cellStyle name="Comma 2 3 2 2 4 2 5 3" xfId="51275" xr:uid="{4242B3A3-6D92-4D01-9E4F-9BE2D1190602}"/>
    <cellStyle name="Comma 2 3 2 2 4 2 5 4" xfId="54291" xr:uid="{B2BFEB1F-D5E2-41E9-A69B-8A0FD45467A8}"/>
    <cellStyle name="Comma 2 3 2 2 4 2 6" xfId="47883" xr:uid="{DCB62397-EBC3-4ABD-B9F3-68E5E48301F2}"/>
    <cellStyle name="Comma 2 3 2 2 4 2 7" xfId="50169" xr:uid="{27CD276F-01A6-4D66-85D0-F9C015AA6819}"/>
    <cellStyle name="Comma 2 3 2 2 4 2 8" xfId="53185" xr:uid="{D84A5376-1E6E-4A38-961F-443760F4D526}"/>
    <cellStyle name="Comma 2 3 2 2 4 3" xfId="14655" xr:uid="{84B5DA62-2330-4129-B157-BCD9F42FE066}"/>
    <cellStyle name="Comma 2 3 2 2 4 3 2" xfId="22202" xr:uid="{7E2FA8F2-B524-4F40-94C9-790CC44AFBCF}"/>
    <cellStyle name="Comma 2 3 2 2 4 3 3" xfId="47534" xr:uid="{60963161-D76E-4E5F-8353-1A50DF0B6CCE}"/>
    <cellStyle name="Comma 2 3 2 2 4 3 4" xfId="51540" xr:uid="{8905B78B-D9E7-4B98-BC05-477AF6668335}"/>
    <cellStyle name="Comma 2 3 2 2 4 3 5" xfId="54556" xr:uid="{31A29E14-9CA9-459C-B190-54F8C3895FE3}"/>
    <cellStyle name="Comma 2 3 2 2 4 4" xfId="15140" xr:uid="{7390BF0A-8CEF-41CD-A560-3484A1E39F47}"/>
    <cellStyle name="Comma 2 3 2 2 4 4 2" xfId="22679" xr:uid="{D732CB98-759C-44F3-9588-5770935473F1}"/>
    <cellStyle name="Comma 2 3 2 2 4 4 3" xfId="47719" xr:uid="{BD7F2B0D-7F6C-4AED-82FA-063D81F7F370}"/>
    <cellStyle name="Comma 2 3 2 2 4 4 4" xfId="52017" xr:uid="{253623B3-414E-4E92-8357-47733ABCBA39}"/>
    <cellStyle name="Comma 2 3 2 2 4 4 5" xfId="55033" xr:uid="{2D7DE462-B76F-4700-B724-5E2DCC84A84E}"/>
    <cellStyle name="Comma 2 3 2 2 4 5" xfId="15627" xr:uid="{084D94C7-78FE-449E-BC38-69035DF038BD}"/>
    <cellStyle name="Comma 2 3 2 2 4 5 2" xfId="23156" xr:uid="{CB6D6614-75A5-4CA2-841B-D71869EA329A}"/>
    <cellStyle name="Comma 2 3 2 2 4 5 3" xfId="47790" xr:uid="{16853FAF-435B-4E44-9B43-ECD23C634817}"/>
    <cellStyle name="Comma 2 3 2 2 4 5 4" xfId="52494" xr:uid="{CF5FD152-4295-4632-8C26-C859232CA963}"/>
    <cellStyle name="Comma 2 3 2 2 4 5 5" xfId="55510" xr:uid="{9D83C704-9C89-4CF5-A209-887D32445983}"/>
    <cellStyle name="Comma 2 3 2 2 4 6" xfId="12615" xr:uid="{078008B6-8F77-44B4-9F2D-829681009395}"/>
    <cellStyle name="Comma 2 3 2 2 4 6 2" xfId="46330" xr:uid="{540052B8-F1CE-40BA-9C9F-3AD05ECDB9FC}"/>
    <cellStyle name="Comma 2 3 2 2 4 6 3" xfId="51063" xr:uid="{6916FDC5-61B9-48F0-BCA6-0395C0D7BC30}"/>
    <cellStyle name="Comma 2 3 2 2 4 6 4" xfId="54079" xr:uid="{3CFC1612-3072-4F38-AEB2-8F83414A9E3D}"/>
    <cellStyle name="Comma 2 3 2 2 4 7" xfId="46057" xr:uid="{239796BB-D49C-4FD8-8A68-F245AE85B671}"/>
    <cellStyle name="Comma 2 3 2 2 4 8" xfId="49957" xr:uid="{B7E0E0CB-0419-4BAA-975C-93D4DCF2BF63}"/>
    <cellStyle name="Comma 2 3 2 2 4 9" xfId="52973" xr:uid="{99390D04-2F91-4A11-A5E9-F49A03CF57A4}"/>
    <cellStyle name="Comma 2 3 2 2 5" xfId="10241" xr:uid="{34E282BF-3774-469D-84C7-87219F1BD2B9}"/>
    <cellStyle name="Comma 2 3 2 2 5 2" xfId="14708" xr:uid="{2BEDB347-7438-4EDF-8D3D-6E6CB65C8BA7}"/>
    <cellStyle name="Comma 2 3 2 2 5 2 2" xfId="22255" xr:uid="{AC0B6C29-4A56-460C-8D98-480E18208F35}"/>
    <cellStyle name="Comma 2 3 2 2 5 2 3" xfId="24192" xr:uid="{D276435E-DF55-4B69-8BC3-1619E7ECA2A2}"/>
    <cellStyle name="Comma 2 3 2 2 5 2 4" xfId="51593" xr:uid="{C852BADA-D751-48B8-B78B-06F7DEE6915C}"/>
    <cellStyle name="Comma 2 3 2 2 5 2 5" xfId="54609" xr:uid="{E9BC575D-BBF0-4B90-A4C9-48C9DBF5C6CD}"/>
    <cellStyle name="Comma 2 3 2 2 5 3" xfId="15193" xr:uid="{B4B3970B-EC7C-42A2-8868-CC199D43DC6E}"/>
    <cellStyle name="Comma 2 3 2 2 5 3 2" xfId="22732" xr:uid="{3F711FB6-7673-4AE9-BB95-07BC9BBB9FD5}"/>
    <cellStyle name="Comma 2 3 2 2 5 3 3" xfId="48263" xr:uid="{062E630C-BF6E-4634-8EA1-7016F28E0F41}"/>
    <cellStyle name="Comma 2 3 2 2 5 3 4" xfId="52070" xr:uid="{FCC2F2E8-C349-4E54-8CA3-7ED512C75AC6}"/>
    <cellStyle name="Comma 2 3 2 2 5 3 5" xfId="55086" xr:uid="{9D566D94-1254-436A-B492-595DB258EC35}"/>
    <cellStyle name="Comma 2 3 2 2 5 4" xfId="15680" xr:uid="{015CE1E4-D585-4665-9F7C-B31FB673BBD6}"/>
    <cellStyle name="Comma 2 3 2 2 5 4 2" xfId="23209" xr:uid="{6A3B391A-D91C-4434-88B7-9DAD83502D38}"/>
    <cellStyle name="Comma 2 3 2 2 5 4 3" xfId="48520" xr:uid="{D395E98C-495B-4227-A67D-4F7A454B608C}"/>
    <cellStyle name="Comma 2 3 2 2 5 4 4" xfId="52547" xr:uid="{6ADE9D52-2F98-4C60-9572-11FEC9171C46}"/>
    <cellStyle name="Comma 2 3 2 2 5 4 5" xfId="55563" xr:uid="{5196A128-BCFA-44FB-8E24-873608B8A225}"/>
    <cellStyle name="Comma 2 3 2 2 5 5" xfId="12694" xr:uid="{C4B648AF-0EC9-4271-8130-64FD4436E4B1}"/>
    <cellStyle name="Comma 2 3 2 2 5 5 2" xfId="46783" xr:uid="{44F9A946-C1FB-4312-A077-217FD43A2BB8}"/>
    <cellStyle name="Comma 2 3 2 2 5 5 3" xfId="51116" xr:uid="{F404C3CF-DDBD-4F38-B5C3-B0F62F03F319}"/>
    <cellStyle name="Comma 2 3 2 2 5 5 4" xfId="54132" xr:uid="{B5B0ADFB-31D5-4438-A49F-36868EE5FC36}"/>
    <cellStyle name="Comma 2 3 2 2 5 6" xfId="47065" xr:uid="{9E5294AC-F0A4-454F-A77B-4952533084D0}"/>
    <cellStyle name="Comma 2 3 2 2 5 7" xfId="50010" xr:uid="{610C28C0-557C-4715-9DF7-B27967A7FA22}"/>
    <cellStyle name="Comma 2 3 2 2 5 8" xfId="53026" xr:uid="{CD60FDC1-7F53-489F-84C7-9BF4AFFC58BB}"/>
    <cellStyle name="Comma 2 3 2 2 6" xfId="10555" xr:uid="{1D619F59-1B4F-47A1-BEA4-3872C4DEBC44}"/>
    <cellStyle name="Comma 2 3 2 2 6 2" xfId="14920" xr:uid="{85BD085D-6E9B-4ED9-8846-BF11991FBA63}"/>
    <cellStyle name="Comma 2 3 2 2 6 2 2" xfId="22467" xr:uid="{9E44E96A-8E9B-4480-BADE-E9631360E98A}"/>
    <cellStyle name="Comma 2 3 2 2 6 2 3" xfId="47632" xr:uid="{0C7B8459-665A-4333-8A88-4C627D6D1CFB}"/>
    <cellStyle name="Comma 2 3 2 2 6 2 4" xfId="51805" xr:uid="{52F2556B-6432-4CC0-BFE3-23B1ABA26269}"/>
    <cellStyle name="Comma 2 3 2 2 6 2 5" xfId="54821" xr:uid="{493FAC5A-1DA8-45B1-87FB-66942A84333E}"/>
    <cellStyle name="Comma 2 3 2 2 6 3" xfId="15405" xr:uid="{225469CC-E072-4BA5-ACF7-2B628BE36EB6}"/>
    <cellStyle name="Comma 2 3 2 2 6 3 2" xfId="22944" xr:uid="{E269A07B-88F6-4804-BA2A-361EBCD57976}"/>
    <cellStyle name="Comma 2 3 2 2 6 3 3" xfId="47494" xr:uid="{ACDAF7C6-01B7-4DA6-80F2-DCCF397B7783}"/>
    <cellStyle name="Comma 2 3 2 2 6 3 4" xfId="52282" xr:uid="{F9C8ACBC-3183-403B-B208-CC1AEF372E16}"/>
    <cellStyle name="Comma 2 3 2 2 6 3 5" xfId="55298" xr:uid="{EC8D68D1-981D-4A45-A6EE-1C17A6D8BD36}"/>
    <cellStyle name="Comma 2 3 2 2 6 4" xfId="15893" xr:uid="{429961F2-F1B8-41D6-AD1C-48F7D3A74AC0}"/>
    <cellStyle name="Comma 2 3 2 2 6 4 2" xfId="23421" xr:uid="{4B59EFB9-E40B-44D6-AC5D-806F7AA41040}"/>
    <cellStyle name="Comma 2 3 2 2 6 4 3" xfId="47259" xr:uid="{98A7F0B4-B057-4FC1-8337-229E5E1D8D3F}"/>
    <cellStyle name="Comma 2 3 2 2 6 4 4" xfId="52759" xr:uid="{FD80F61B-3A63-455D-B8A0-287DEA2F03E5}"/>
    <cellStyle name="Comma 2 3 2 2 6 4 5" xfId="55775" xr:uid="{8CAF1096-3716-41B2-8B11-429704DCEBE3}"/>
    <cellStyle name="Comma 2 3 2 2 6 5" xfId="13008" xr:uid="{31D32552-A39F-4498-89BB-6900B8C06071}"/>
    <cellStyle name="Comma 2 3 2 2 6 5 2" xfId="48534" xr:uid="{B7E23389-4DD9-4F8D-8741-61BBC150CB7C}"/>
    <cellStyle name="Comma 2 3 2 2 6 5 3" xfId="51328" xr:uid="{D1346554-F627-4C89-90E6-3B0204495B30}"/>
    <cellStyle name="Comma 2 3 2 2 6 5 4" xfId="54344" xr:uid="{01DB7310-3CE4-4E73-B09C-D0227C30B9AF}"/>
    <cellStyle name="Comma 2 3 2 2 6 6" xfId="46148" xr:uid="{F5B72D3A-9F0E-4C9A-9C6E-9FE493612359}"/>
    <cellStyle name="Comma 2 3 2 2 6 7" xfId="50222" xr:uid="{20240709-0D8E-4300-8CC3-4A47B73E1309}"/>
    <cellStyle name="Comma 2 3 2 2 6 8" xfId="53238" xr:uid="{7EF2D2B8-EA29-48E4-8BB5-33EB38F5EDB4}"/>
    <cellStyle name="Comma 2 3 2 2 7" xfId="11122" xr:uid="{B3E6B635-2643-4006-BCA1-FA194549362A}"/>
    <cellStyle name="Comma 2 3 2 2 7 2" xfId="21674" xr:uid="{5DAF8C21-AE9C-40D9-BE0E-1C4FBE8FA729}"/>
    <cellStyle name="Comma 2 3 2 2 7 3" xfId="46725" xr:uid="{6E61455D-7EB3-4D03-BF85-01935D956726}"/>
    <cellStyle name="Comma 2 3 2 2 7 4" xfId="50689" xr:uid="{7BE36A4C-A66D-4B1C-8603-2719C810AFD0}"/>
    <cellStyle name="Comma 2 3 2 2 7 5" xfId="53705" xr:uid="{687189D2-D207-4371-933A-DCB4F30E4DAD}"/>
    <cellStyle name="Comma 2 3 2 2 8" xfId="12311" xr:uid="{2A4B8CD0-D57B-4B6B-ABEA-3E8569B6F2AC}"/>
    <cellStyle name="Comma 2 3 2 2 9" xfId="14496" xr:uid="{C050B31A-2CFD-4263-A641-5122C49BB61B}"/>
    <cellStyle name="Comma 2 3 2 2 9 2" xfId="22043" xr:uid="{3357FF0C-2D75-40CA-8B19-609C27D27989}"/>
    <cellStyle name="Comma 2 3 2 2 9 3" xfId="23983" xr:uid="{10BB6176-E51B-4715-9FA3-DF9ECEF7DFA3}"/>
    <cellStyle name="Comma 2 3 2 2 9 4" xfId="51381" xr:uid="{42EE97CD-A9E8-47CD-912D-2AB8328E3997}"/>
    <cellStyle name="Comma 2 3 2 2 9 5" xfId="54397" xr:uid="{563BD351-B5B2-4A93-8513-428463E258DA}"/>
    <cellStyle name="Comma 2 3 2 3" xfId="4529" xr:uid="{493F0920-1550-45DA-85B3-CDB7AA338E6B}"/>
    <cellStyle name="Comma 2 3 2 3 2" xfId="21716" xr:uid="{B49E0C13-3719-4B41-A4B8-DB03CDDBD846}"/>
    <cellStyle name="Comma 2 3 2 3 3" xfId="23713" xr:uid="{A0170B78-8522-4D32-A727-90D6ACC9EA5C}"/>
    <cellStyle name="Comma 2 3 2 3 4" xfId="50742" xr:uid="{1E7B3250-A20A-4991-B3E1-A7C465C95007}"/>
    <cellStyle name="Comma 2 3 2 3 5" xfId="53758" xr:uid="{082C403F-C876-48A9-9E27-D877800CBE68}"/>
    <cellStyle name="Comma 2 3 2 3 6" xfId="11694" xr:uid="{098E537A-E47F-4A06-AA8E-6FCA327D5068}"/>
    <cellStyle name="Comma 2 3 2 4" xfId="5811" xr:uid="{CC19D272-5B8D-4595-8509-7E3E23D36B66}"/>
    <cellStyle name="Comma 2 3 2 4 2" xfId="21682" xr:uid="{BD26BCE2-2701-467C-B149-EA8D1E770D3E}"/>
    <cellStyle name="Comma 2 3 2 4 3" xfId="46726" xr:uid="{7A9A975A-0A12-4B1E-ABFE-181D9F114B0C}"/>
    <cellStyle name="Comma 2 3 2 4 4" xfId="50698" xr:uid="{0817EAA9-AB46-4E5B-821F-4C289F7C7DBA}"/>
    <cellStyle name="Comma 2 3 2 4 5" xfId="53714" xr:uid="{58EEE596-3727-40CB-944B-96CA993CD4A2}"/>
    <cellStyle name="Comma 2 3 2 4 6" xfId="11185" xr:uid="{33D517A5-B922-4A2A-A40D-B136B944428A}"/>
    <cellStyle name="Comma 2 3 2 5" xfId="2610" xr:uid="{10789FBE-91FF-46F3-A589-E2E54D327238}"/>
    <cellStyle name="Comma 2 3 2 5 2" xfId="12269" xr:uid="{BA7B05E1-60A8-4A02-9280-3228D4EDFABD}"/>
    <cellStyle name="Comma 2 3 2 6" xfId="10615" xr:uid="{EF893778-A32A-4A00-A411-F9B4B6D6020D}"/>
    <cellStyle name="Comma 2 3 2 6 2" xfId="21249" xr:uid="{415F0277-F3EE-43B9-BAA0-7C113CB7960C}"/>
    <cellStyle name="Comma 2 3 2 6 3" xfId="48463" xr:uid="{8D242996-DBF5-4792-A6A4-1DB98DDC38E2}"/>
    <cellStyle name="Comma 2 3 2 6 4" xfId="50267" xr:uid="{2751CE10-A565-44C9-B00E-9647CAE07792}"/>
    <cellStyle name="Comma 2 3 2 6 5" xfId="53283" xr:uid="{3FD5148E-2F18-49C3-80BC-7B80BB7DEB3C}"/>
    <cellStyle name="Comma 2 3 2 7" xfId="19472" xr:uid="{DEBB2457-2723-40D6-995B-301AD4F56059}"/>
    <cellStyle name="Comma 2 3 2 8" xfId="23710" xr:uid="{FF5CA31E-C717-497F-985D-A0A703D97CDF}"/>
    <cellStyle name="Comma 2 3 2 9" xfId="48602" xr:uid="{3BA1CA65-EB90-45DF-B2FF-D4BBC07791FF}"/>
    <cellStyle name="Comma 2 3 3" xfId="2612" xr:uid="{35500606-BD11-43FF-A04E-4CFAB9AB4FEE}"/>
    <cellStyle name="Comma 2 3 3 10" xfId="49514" xr:uid="{9A724045-E256-4A53-A978-E20D74DB40C2}"/>
    <cellStyle name="Comma 2 3 3 11" xfId="7231" xr:uid="{B6EEB2F8-17AC-4EAC-ABFA-72379096343A}"/>
    <cellStyle name="Comma 2 3 3 2" xfId="4531" xr:uid="{ADB9BCDB-CCC2-47E0-B081-D408D2462514}"/>
    <cellStyle name="Comma 2 3 3 2 10" xfId="14981" xr:uid="{562B44BF-B022-445B-8BE5-7A7DA1469D7E}"/>
    <cellStyle name="Comma 2 3 3 2 10 2" xfId="22521" xr:uid="{C152A64C-17E9-42A6-BBFB-B43A3EA7395B}"/>
    <cellStyle name="Comma 2 3 3 2 10 3" xfId="47186" xr:uid="{D083A669-C520-4D35-B8BD-AE555FEC43D7}"/>
    <cellStyle name="Comma 2 3 3 2 10 4" xfId="51859" xr:uid="{578341D6-A9DE-4C92-8EAD-45B0D287BACD}"/>
    <cellStyle name="Comma 2 3 3 2 10 5" xfId="54875" xr:uid="{6BF11EBB-86F6-4FA6-B345-4F1FC26BF27F}"/>
    <cellStyle name="Comma 2 3 3 2 11" xfId="15468" xr:uid="{9B62C31B-3741-4528-B32E-ED3AD2FDDB59}"/>
    <cellStyle name="Comma 2 3 3 2 11 2" xfId="22998" xr:uid="{4ADE233E-BDCA-446C-86B2-B7B42C8B9328}"/>
    <cellStyle name="Comma 2 3 3 2 11 3" xfId="47641" xr:uid="{EEDBA100-76BC-4CCE-A149-6989EDB32C8F}"/>
    <cellStyle name="Comma 2 3 3 2 11 4" xfId="52336" xr:uid="{005DC9B1-7011-490A-A2E1-F94F8700F777}"/>
    <cellStyle name="Comma 2 3 3 2 11 5" xfId="55352" xr:uid="{59CB1526-335C-43FE-B3D9-7BFE0C877C36}"/>
    <cellStyle name="Comma 2 3 3 2 12" xfId="11582" xr:uid="{7E74BE7B-9B17-4967-AB52-DF93C0779EF4}"/>
    <cellStyle name="Comma 2 3 3 2 12 2" xfId="21706" xr:uid="{9B46831B-8FB9-4684-A782-4FA3C93C718D}"/>
    <cellStyle name="Comma 2 3 3 2 12 3" xfId="46730" xr:uid="{3BC7E94F-9216-41F8-8518-0B46A1AF1890}"/>
    <cellStyle name="Comma 2 3 3 2 12 4" xfId="50729" xr:uid="{5DCF5BB9-4031-4BC4-BA2A-A1053069F8DD}"/>
    <cellStyle name="Comma 2 3 3 2 12 5" xfId="53745" xr:uid="{E7215E71-6CCD-474C-BD84-B858CB095097}"/>
    <cellStyle name="Comma 2 3 3 2 13" xfId="23715" xr:uid="{7CCB8D40-203B-4208-9320-B525AE293FB6}"/>
    <cellStyle name="Comma 2 3 3 2 14" xfId="48605" xr:uid="{44FF0D3C-81B0-4A0A-9D3E-EDB78A8EB395}"/>
    <cellStyle name="Comma 2 3 3 2 15" xfId="49515" xr:uid="{CF554274-D85E-4CD3-8285-C1E6265C7EAE}"/>
    <cellStyle name="Comma 2 3 3 2 16" xfId="49799" xr:uid="{21D1C680-E72A-4A8E-AC32-E643184D36A6}"/>
    <cellStyle name="Comma 2 3 3 2 17" xfId="52814" xr:uid="{593A9DFC-63F8-4B25-8EDC-259204A11F54}"/>
    <cellStyle name="Comma 2 3 3 2 18" xfId="8922" xr:uid="{839081CE-7388-4740-A0F1-62F461438EEF}"/>
    <cellStyle name="Comma 2 3 3 2 2" xfId="8923" xr:uid="{9AEA7300-493B-48F4-98D8-C62EE68DBE80}"/>
    <cellStyle name="Comma 2 3 3 2 2 10" xfId="12163" xr:uid="{3DB2886A-2FD7-4B82-95BE-63CCE69C41D3}"/>
    <cellStyle name="Comma 2 3 3 2 2 10 2" xfId="47913" xr:uid="{0238C066-A38B-4B77-960B-11B99A23B220}"/>
    <cellStyle name="Comma 2 3 3 2 2 10 3" xfId="50932" xr:uid="{2C8A6751-9B7D-4DC6-B249-3268E74D2AB9}"/>
    <cellStyle name="Comma 2 3 3 2 2 10 4" xfId="53948" xr:uid="{B7D9D4FB-58D4-4864-BAEB-62E6F7C878FF}"/>
    <cellStyle name="Comma 2 3 3 2 2 11" xfId="23716" xr:uid="{14166768-0383-4AE8-8CEC-20DAE490F871}"/>
    <cellStyle name="Comma 2 3 3 2 2 12" xfId="48606" xr:uid="{13D3CBD7-EC16-4393-9082-29846C4A450F}"/>
    <cellStyle name="Comma 2 3 3 2 2 13" xfId="49516" xr:uid="{9F87A458-DE35-4FAE-B3F6-7F48DF475C42}"/>
    <cellStyle name="Comma 2 3 3 2 2 14" xfId="49800" xr:uid="{C30DD9B7-FD1D-4A60-9DC5-2F5E6B6C8636}"/>
    <cellStyle name="Comma 2 3 3 2 2 15" xfId="52815" xr:uid="{5914E20D-9A23-4EBC-8A2E-93D99C1251A4}"/>
    <cellStyle name="Comma 2 3 3 2 2 2" xfId="10010" xr:uid="{81D7DE8A-A586-4370-B685-D0A0E83E2D3D}"/>
    <cellStyle name="Comma 2 3 3 2 2 2 2" xfId="10318" xr:uid="{C9901270-A9E1-4D0A-BE4A-13E6ECF979B7}"/>
    <cellStyle name="Comma 2 3 3 2 2 2 2 2" xfId="14763" xr:uid="{6380216F-EB34-486D-892B-640937363C35}"/>
    <cellStyle name="Comma 2 3 3 2 2 2 2 2 2" xfId="22310" xr:uid="{A71D6395-2217-4B37-98B1-98949EB923DC}"/>
    <cellStyle name="Comma 2 3 3 2 2 2 2 2 3" xfId="47482" xr:uid="{CC347AEF-7DBB-4D8B-8A8C-BED38257B085}"/>
    <cellStyle name="Comma 2 3 3 2 2 2 2 2 4" xfId="51648" xr:uid="{46690CEA-F3BB-4AC8-8778-64D1EBFDC241}"/>
    <cellStyle name="Comma 2 3 3 2 2 2 2 2 5" xfId="54664" xr:uid="{698849CB-44B5-442A-9C45-E9B6DB71620C}"/>
    <cellStyle name="Comma 2 3 3 2 2 2 2 3" xfId="15248" xr:uid="{0E3EAEEF-4431-4682-B9F4-E9DDD358A2F5}"/>
    <cellStyle name="Comma 2 3 3 2 2 2 2 3 2" xfId="22787" xr:uid="{F0757066-0C0C-41E9-BAC6-71F50CF3E863}"/>
    <cellStyle name="Comma 2 3 3 2 2 2 2 3 3" xfId="32503" xr:uid="{BCEAD07F-7392-49AC-8732-E52FAB8D14CB}"/>
    <cellStyle name="Comma 2 3 3 2 2 2 2 3 4" xfId="52125" xr:uid="{B337458A-506E-46FB-AB70-E1C358D3A166}"/>
    <cellStyle name="Comma 2 3 3 2 2 2 2 3 5" xfId="55141" xr:uid="{EEBF4E12-4B91-4121-97D3-0000D76A38B8}"/>
    <cellStyle name="Comma 2 3 3 2 2 2 2 4" xfId="15735" xr:uid="{6777FA06-7326-4AE3-996D-D21B6AFBD20C}"/>
    <cellStyle name="Comma 2 3 3 2 2 2 2 4 2" xfId="23264" xr:uid="{3CD9D1E3-5474-4A3A-BDBC-E09C6448732E}"/>
    <cellStyle name="Comma 2 3 3 2 2 2 2 4 3" xfId="48147" xr:uid="{4C080507-189E-48B0-A598-D3529FD4F2E4}"/>
    <cellStyle name="Comma 2 3 3 2 2 2 2 4 4" xfId="52602" xr:uid="{EEB82CFB-3ED0-458C-AB6F-8015CE2A3AC4}"/>
    <cellStyle name="Comma 2 3 3 2 2 2 2 4 5" xfId="55618" xr:uid="{BDC065A7-74CE-4F4B-A173-032167B585ED}"/>
    <cellStyle name="Comma 2 3 3 2 2 2 2 5" xfId="12771" xr:uid="{4BE36D60-AA4A-4D04-923E-80D2C81FA136}"/>
    <cellStyle name="Comma 2 3 3 2 2 2 2 5 2" xfId="32290" xr:uid="{491DA435-EF2C-4B63-8463-15436F516362}"/>
    <cellStyle name="Comma 2 3 3 2 2 2 2 5 3" xfId="51171" xr:uid="{80E6891A-9D17-41DF-B54A-C3B9FB044326}"/>
    <cellStyle name="Comma 2 3 3 2 2 2 2 5 4" xfId="54187" xr:uid="{75E33824-8EF5-4871-8AB8-50DCFF7A8A50}"/>
    <cellStyle name="Comma 2 3 3 2 2 2 2 6" xfId="24767" xr:uid="{96C08D6B-920B-4FC2-976E-FF4009562835}"/>
    <cellStyle name="Comma 2 3 3 2 2 2 2 7" xfId="50065" xr:uid="{3143380A-9FCA-4B49-9559-6EBB773F820F}"/>
    <cellStyle name="Comma 2 3 3 2 2 2 2 8" xfId="53081" xr:uid="{EE4E6D69-C339-4CB3-BE37-E8EE301DE50C}"/>
    <cellStyle name="Comma 2 3 3 2 2 2 3" xfId="14551" xr:uid="{634818F9-6026-4274-9BFF-E461EE018545}"/>
    <cellStyle name="Comma 2 3 3 2 2 2 3 2" xfId="22098" xr:uid="{33F36FE2-1FF3-43BE-B62B-CA50029C6400}"/>
    <cellStyle name="Comma 2 3 3 2 2 2 3 3" xfId="32286" xr:uid="{A1BD8C33-FA27-4704-93BD-BC1C134BF0D5}"/>
    <cellStyle name="Comma 2 3 3 2 2 2 3 4" xfId="51436" xr:uid="{AFE0FA84-D37D-4450-961E-40062980A3FC}"/>
    <cellStyle name="Comma 2 3 3 2 2 2 3 5" xfId="54452" xr:uid="{20765DF2-6BBE-488A-98F2-016954FB5105}"/>
    <cellStyle name="Comma 2 3 3 2 2 2 4" xfId="15035" xr:uid="{F92A3C6D-A559-41EA-90AF-4D4E318F6382}"/>
    <cellStyle name="Comma 2 3 3 2 2 2 4 2" xfId="22575" xr:uid="{EAE6AFE0-8C56-4349-A81E-EE6E722E73FE}"/>
    <cellStyle name="Comma 2 3 3 2 2 2 4 3" xfId="47055" xr:uid="{F4B6E4B4-A93C-463A-9616-788BC1B90FE4}"/>
    <cellStyle name="Comma 2 3 3 2 2 2 4 4" xfId="51913" xr:uid="{D61DA29A-49A4-48CB-A324-486424AB35FE}"/>
    <cellStyle name="Comma 2 3 3 2 2 2 4 5" xfId="54929" xr:uid="{FFB8FF1D-AE3A-49BA-BEB3-06D0DB962AB4}"/>
    <cellStyle name="Comma 2 3 3 2 2 2 5" xfId="15522" xr:uid="{7F91B782-E650-409D-8F07-1E91D279A253}"/>
    <cellStyle name="Comma 2 3 3 2 2 2 5 2" xfId="23052" xr:uid="{58271FC9-8401-411D-AA5C-D8AD294EA41F}"/>
    <cellStyle name="Comma 2 3 3 2 2 2 5 3" xfId="32500" xr:uid="{22606DFB-173B-4721-986E-4782441FEA91}"/>
    <cellStyle name="Comma 2 3 3 2 2 2 5 4" xfId="52390" xr:uid="{236997D6-D482-45F5-A3F4-007138511349}"/>
    <cellStyle name="Comma 2 3 3 2 2 2 5 5" xfId="55406" xr:uid="{F4DF83BA-4308-4105-8BB9-586C385EA8D6}"/>
    <cellStyle name="Comma 2 3 3 2 2 2 6" xfId="12470" xr:uid="{EAC8620C-B7D3-438C-AB3E-4A507A4089F9}"/>
    <cellStyle name="Comma 2 3 3 2 2 2 6 2" xfId="47148" xr:uid="{084ABE5D-FC3D-4C4B-9A06-346752CF7969}"/>
    <cellStyle name="Comma 2 3 3 2 2 2 6 3" xfId="50959" xr:uid="{28AFCB86-CDD0-4ACF-BE44-A032860DA834}"/>
    <cellStyle name="Comma 2 3 3 2 2 2 6 4" xfId="53975" xr:uid="{ED95C7B1-01EA-41B4-ABC6-77D2E1BE2ADC}"/>
    <cellStyle name="Comma 2 3 3 2 2 2 7" xfId="24283" xr:uid="{302BE3D2-5A72-491D-AA1F-8C65A89B0C40}"/>
    <cellStyle name="Comma 2 3 3 2 2 2 8" xfId="49853" xr:uid="{D5134812-2946-4B86-98F3-C4CAE961E59A}"/>
    <cellStyle name="Comma 2 3 3 2 2 2 9" xfId="52869" xr:uid="{05F9DBF3-FB26-4109-AE51-3420A3ECBDBB}"/>
    <cellStyle name="Comma 2 3 3 2 2 3" xfId="10084" xr:uid="{3DDF6CCC-95FC-4217-875B-86D8D59B625D}"/>
    <cellStyle name="Comma 2 3 3 2 2 3 2" xfId="10397" xr:uid="{F327FD35-5F63-40A8-BFF9-0B1F9342CB8F}"/>
    <cellStyle name="Comma 2 3 3 2 2 3 2 2" xfId="14816" xr:uid="{88D3B751-9245-4432-993E-B86D8E2E3764}"/>
    <cellStyle name="Comma 2 3 3 2 2 3 2 2 2" xfId="22363" xr:uid="{D009B561-F0F6-4F97-AE37-8ED7841D5089}"/>
    <cellStyle name="Comma 2 3 3 2 2 3 2 2 3" xfId="47833" xr:uid="{4E61C217-312D-4172-9D6F-BEEEA9799E27}"/>
    <cellStyle name="Comma 2 3 3 2 2 3 2 2 4" xfId="51701" xr:uid="{6E3A6567-E406-4C06-BC36-69437C75180D}"/>
    <cellStyle name="Comma 2 3 3 2 2 3 2 2 5" xfId="54717" xr:uid="{A0D76394-B054-4B51-A66E-8CA3518B168B}"/>
    <cellStyle name="Comma 2 3 3 2 2 3 2 3" xfId="15301" xr:uid="{FEDCBEA9-F5B0-4E48-9139-CA82F373B178}"/>
    <cellStyle name="Comma 2 3 3 2 2 3 2 3 2" xfId="22840" xr:uid="{03132B17-FBDC-4402-AAB6-BD0F60246768}"/>
    <cellStyle name="Comma 2 3 3 2 2 3 2 3 3" xfId="46513" xr:uid="{612B8823-77C1-4149-8941-41423BA1D4DE}"/>
    <cellStyle name="Comma 2 3 3 2 2 3 2 3 4" xfId="52178" xr:uid="{CC4A7E16-688A-4504-AD8A-3779A4BB4C16}"/>
    <cellStyle name="Comma 2 3 3 2 2 3 2 3 5" xfId="55194" xr:uid="{0C156BC6-44C8-4B83-B638-2C34A95E7B69}"/>
    <cellStyle name="Comma 2 3 3 2 2 3 2 4" xfId="15788" xr:uid="{E527D0FC-D9B4-4634-B114-F4A7874ADCDF}"/>
    <cellStyle name="Comma 2 3 3 2 2 3 2 4 2" xfId="23317" xr:uid="{17E391A2-A348-49C5-AEAA-144058E07378}"/>
    <cellStyle name="Comma 2 3 3 2 2 3 2 4 3" xfId="48134" xr:uid="{CE490C57-4F08-408D-8F5E-CB05E9BDC62B}"/>
    <cellStyle name="Comma 2 3 3 2 2 3 2 4 4" xfId="52655" xr:uid="{3FC421B0-5298-4FA2-A196-9A6A026618E1}"/>
    <cellStyle name="Comma 2 3 3 2 2 3 2 4 5" xfId="55671" xr:uid="{B0E0ADA2-D489-4697-AAA5-4FF2FBE5664A}"/>
    <cellStyle name="Comma 2 3 3 2 2 3 2 5" xfId="12850" xr:uid="{F02A9E2F-3C96-40D1-AB83-A3DC2D641ED4}"/>
    <cellStyle name="Comma 2 3 3 2 2 3 2 5 2" xfId="47449" xr:uid="{551A6DAC-3CE8-4220-9907-7609AAA74BD9}"/>
    <cellStyle name="Comma 2 3 3 2 2 3 2 5 3" xfId="51224" xr:uid="{F5DA4536-E7C5-4E12-B552-04B5BB8ED2AB}"/>
    <cellStyle name="Comma 2 3 3 2 2 3 2 5 4" xfId="54240" xr:uid="{28697651-E5D9-43A7-8E11-A25139D74C84}"/>
    <cellStyle name="Comma 2 3 3 2 2 3 2 6" xfId="47880" xr:uid="{C880A799-911F-4B63-BF31-D28D3914124F}"/>
    <cellStyle name="Comma 2 3 3 2 2 3 2 7" xfId="50118" xr:uid="{7A83D633-EB12-43EA-9DD0-D6569E8CBCBB}"/>
    <cellStyle name="Comma 2 3 3 2 2 3 2 8" xfId="53134" xr:uid="{13E1A844-308F-48A3-A7E4-0F788F51C76D}"/>
    <cellStyle name="Comma 2 3 3 2 2 3 3" xfId="14604" xr:uid="{D613A7A4-2151-47FE-B52B-0AC7155C0794}"/>
    <cellStyle name="Comma 2 3 3 2 2 3 3 2" xfId="22151" xr:uid="{5FD6806E-727F-4225-BA71-1E3F6E627C9C}"/>
    <cellStyle name="Comma 2 3 3 2 2 3 3 3" xfId="25304" xr:uid="{12C0E995-F3FD-4622-A9F6-09A0F229C4A0}"/>
    <cellStyle name="Comma 2 3 3 2 2 3 3 4" xfId="51489" xr:uid="{279E5EBF-2CE8-4875-821C-757823174AB2}"/>
    <cellStyle name="Comma 2 3 3 2 2 3 3 5" xfId="54505" xr:uid="{C3CF9289-CF76-49AD-9891-B6035A94CB03}"/>
    <cellStyle name="Comma 2 3 3 2 2 3 4" xfId="15089" xr:uid="{9CDF5FC9-4D21-476E-9268-4F6EEAAA7D34}"/>
    <cellStyle name="Comma 2 3 3 2 2 3 4 2" xfId="22628" xr:uid="{D2272AFA-EDF4-4082-871C-7C521E68F8BD}"/>
    <cellStyle name="Comma 2 3 3 2 2 3 4 3" xfId="47126" xr:uid="{66644AA2-FCE6-4699-AE11-620482B316FB}"/>
    <cellStyle name="Comma 2 3 3 2 2 3 4 4" xfId="51966" xr:uid="{F8F41B77-E29F-4B90-8CCE-F30E1274B869}"/>
    <cellStyle name="Comma 2 3 3 2 2 3 4 5" xfId="54982" xr:uid="{A2521340-861F-403E-B1BB-1674CE9D2C4F}"/>
    <cellStyle name="Comma 2 3 3 2 2 3 5" xfId="15576" xr:uid="{9635ECC7-7C15-4138-9C90-EF955C4BEFB7}"/>
    <cellStyle name="Comma 2 3 3 2 2 3 5 2" xfId="23105" xr:uid="{6B9CD819-5734-4A60-BA18-FFE23A01C13B}"/>
    <cellStyle name="Comma 2 3 3 2 2 3 5 3" xfId="48307" xr:uid="{467439F8-EF41-4FBA-A00C-E26CFDC83A06}"/>
    <cellStyle name="Comma 2 3 3 2 2 3 5 4" xfId="52443" xr:uid="{16D38A50-D63D-41C5-BB50-0C7BA72C4815}"/>
    <cellStyle name="Comma 2 3 3 2 2 3 5 5" xfId="55459" xr:uid="{EE725219-C4AD-445D-A29A-3BDACE3B21D6}"/>
    <cellStyle name="Comma 2 3 3 2 2 3 6" xfId="12541" xr:uid="{30C6DAE7-EE60-4C07-8A11-7CABC3FBC9C0}"/>
    <cellStyle name="Comma 2 3 3 2 2 3 6 2" xfId="46321" xr:uid="{209DBD0A-A89A-4E56-86BD-9CD479A7CCFB}"/>
    <cellStyle name="Comma 2 3 3 2 2 3 6 3" xfId="51012" xr:uid="{44701997-BD55-4720-9AB5-9DD4B31D0A31}"/>
    <cellStyle name="Comma 2 3 3 2 2 3 6 4" xfId="54028" xr:uid="{F45856DA-ADE5-43E8-9981-DC8A922643E0}"/>
    <cellStyle name="Comma 2 3 3 2 2 3 7" xfId="47575" xr:uid="{C1C0392D-C286-449A-A01D-FE38F0969377}"/>
    <cellStyle name="Comma 2 3 3 2 2 3 8" xfId="49906" xr:uid="{DB6C0079-84A4-40F4-9586-571B0509EB81}"/>
    <cellStyle name="Comma 2 3 3 2 2 3 9" xfId="52922" xr:uid="{9384B0DF-F466-4835-B9CD-053A203023BF}"/>
    <cellStyle name="Comma 2 3 3 2 2 4" xfId="10163" xr:uid="{B04E7CCF-B7C1-415F-BB8E-544B1623EC40}"/>
    <cellStyle name="Comma 2 3 3 2 2 4 2" xfId="10477" xr:uid="{634D9298-CD82-4347-961F-7107AD66779B}"/>
    <cellStyle name="Comma 2 3 3 2 2 4 2 2" xfId="14869" xr:uid="{B5F65823-6A19-426B-8600-431C181EAD10}"/>
    <cellStyle name="Comma 2 3 3 2 2 4 2 2 2" xfId="22416" xr:uid="{28FBD4DE-8ECB-4953-87E9-43BFCF095D18}"/>
    <cellStyle name="Comma 2 3 3 2 2 4 2 2 3" xfId="24663" xr:uid="{4ACA0F8C-88D0-4E96-A57F-FA4EB4FAA3BD}"/>
    <cellStyle name="Comma 2 3 3 2 2 4 2 2 4" xfId="51754" xr:uid="{64704F0A-197E-42A5-A3A6-3940EBAA2FC3}"/>
    <cellStyle name="Comma 2 3 3 2 2 4 2 2 5" xfId="54770" xr:uid="{0449EDBD-FB6B-4535-ABA6-40A6203BC46C}"/>
    <cellStyle name="Comma 2 3 3 2 2 4 2 3" xfId="15354" xr:uid="{DC3FE315-8E4E-4A20-8943-27B7EC640E87}"/>
    <cellStyle name="Comma 2 3 3 2 2 4 2 3 2" xfId="22893" xr:uid="{2C5F59BA-A079-4490-BA29-0B17EBF56483}"/>
    <cellStyle name="Comma 2 3 3 2 2 4 2 3 3" xfId="24172" xr:uid="{CC64EF9F-6377-4C40-B215-65C238DDD62D}"/>
    <cellStyle name="Comma 2 3 3 2 2 4 2 3 4" xfId="52231" xr:uid="{74A5077B-E4A8-4F22-8175-E4BFD90267EC}"/>
    <cellStyle name="Comma 2 3 3 2 2 4 2 3 5" xfId="55247" xr:uid="{D686F579-40AF-4055-A505-0881561068A5}"/>
    <cellStyle name="Comma 2 3 3 2 2 4 2 4" xfId="15841" xr:uid="{8698290C-7EE2-4A04-BA00-3EC86F704A42}"/>
    <cellStyle name="Comma 2 3 3 2 2 4 2 4 2" xfId="23370" xr:uid="{EBAEB50D-8A3D-4556-8E1F-2F12181AEED9}"/>
    <cellStyle name="Comma 2 3 3 2 2 4 2 4 3" xfId="47202" xr:uid="{473318F6-6C2E-42F7-998B-22E7CAEC5110}"/>
    <cellStyle name="Comma 2 3 3 2 2 4 2 4 4" xfId="52708" xr:uid="{CD3D6EF2-33C5-4C9E-AE0B-8F23AD8C5186}"/>
    <cellStyle name="Comma 2 3 3 2 2 4 2 4 5" xfId="55724" xr:uid="{FF7D31D6-A4B0-400E-984E-53233D607287}"/>
    <cellStyle name="Comma 2 3 3 2 2 4 2 5" xfId="12930" xr:uid="{597246DD-2EF0-49E7-A42A-59F2538DFE83}"/>
    <cellStyle name="Comma 2 3 3 2 2 4 2 5 2" xfId="25040" xr:uid="{1B92E4ED-9B1D-447E-8880-D8A4933C89D5}"/>
    <cellStyle name="Comma 2 3 3 2 2 4 2 5 3" xfId="51277" xr:uid="{11274D5A-AF52-45A1-B1C5-027FC2FE710D}"/>
    <cellStyle name="Comma 2 3 3 2 2 4 2 5 4" xfId="54293" xr:uid="{1AA17386-68F9-4D6E-B2D9-BC1D8AFF3AE3}"/>
    <cellStyle name="Comma 2 3 3 2 2 4 2 6" xfId="48460" xr:uid="{AA75026D-1267-4816-9270-296CAA45F2CA}"/>
    <cellStyle name="Comma 2 3 3 2 2 4 2 7" xfId="50171" xr:uid="{35687136-A10C-4F44-8299-3FFF4D41D326}"/>
    <cellStyle name="Comma 2 3 3 2 2 4 2 8" xfId="53187" xr:uid="{3D72BCB1-0140-49BB-8EE6-4DC9A3686AD8}"/>
    <cellStyle name="Comma 2 3 3 2 2 4 3" xfId="14657" xr:uid="{140666AB-F31C-4C80-B489-1CED8B06FFC8}"/>
    <cellStyle name="Comma 2 3 3 2 2 4 3 2" xfId="22204" xr:uid="{2D5073D0-2AD3-4772-ABDD-C332E6F7B0D8}"/>
    <cellStyle name="Comma 2 3 3 2 2 4 3 3" xfId="24668" xr:uid="{90A4B1B7-9C2A-47D5-BFDC-00365EF83A81}"/>
    <cellStyle name="Comma 2 3 3 2 2 4 3 4" xfId="51542" xr:uid="{17B80620-401D-4099-93DF-F6B585214272}"/>
    <cellStyle name="Comma 2 3 3 2 2 4 3 5" xfId="54558" xr:uid="{9AA6AA5B-4856-4877-9C08-F40D25A5FFD3}"/>
    <cellStyle name="Comma 2 3 3 2 2 4 4" xfId="15142" xr:uid="{49E682B6-F4DD-4850-B3E0-5BB8DE2CCC74}"/>
    <cellStyle name="Comma 2 3 3 2 2 4 4 2" xfId="22681" xr:uid="{191456E4-5803-4D43-8BBB-B1FEA159F539}"/>
    <cellStyle name="Comma 2 3 3 2 2 4 4 3" xfId="46886" xr:uid="{FA35787F-83C2-4257-84F8-3DA415558891}"/>
    <cellStyle name="Comma 2 3 3 2 2 4 4 4" xfId="52019" xr:uid="{81E48D3E-8A6A-4287-AB2D-71EF93DBE51C}"/>
    <cellStyle name="Comma 2 3 3 2 2 4 4 5" xfId="55035" xr:uid="{9945936D-7235-401A-B8B5-9A627AC17D74}"/>
    <cellStyle name="Comma 2 3 3 2 2 4 5" xfId="15629" xr:uid="{209B5AF4-6963-4CA3-8089-7FFA58BEB8ED}"/>
    <cellStyle name="Comma 2 3 3 2 2 4 5 2" xfId="23158" xr:uid="{445799C3-9728-4D1D-AC9D-69AC5C0983C6}"/>
    <cellStyle name="Comma 2 3 3 2 2 4 5 3" xfId="46560" xr:uid="{E0DBD783-334B-4962-A4CA-1AB91DF52878}"/>
    <cellStyle name="Comma 2 3 3 2 2 4 5 4" xfId="52496" xr:uid="{50DE72DC-5B17-45E1-A722-C48C19BA3D92}"/>
    <cellStyle name="Comma 2 3 3 2 2 4 5 5" xfId="55512" xr:uid="{06EE886B-25C4-4872-B31A-DAADAB083FBA}"/>
    <cellStyle name="Comma 2 3 3 2 2 4 6" xfId="12617" xr:uid="{70E781F8-BB35-4F8D-B87D-5D57ADF1C8DE}"/>
    <cellStyle name="Comma 2 3 3 2 2 4 6 2" xfId="48105" xr:uid="{30F71BCC-B179-4F83-8821-CBE3C69DC981}"/>
    <cellStyle name="Comma 2 3 3 2 2 4 6 3" xfId="51065" xr:uid="{40C3B186-8008-46C4-BF1D-115B93BADC31}"/>
    <cellStyle name="Comma 2 3 3 2 2 4 6 4" xfId="54081" xr:uid="{CDDDEF76-BFBA-41AF-95D6-3EFA561C40E7}"/>
    <cellStyle name="Comma 2 3 3 2 2 4 7" xfId="37549" xr:uid="{6EA288DE-F4B9-4807-A555-7C39D0B72D1C}"/>
    <cellStyle name="Comma 2 3 3 2 2 4 8" xfId="49959" xr:uid="{75C94E26-BDD7-4071-9E20-50B8B6241F70}"/>
    <cellStyle name="Comma 2 3 3 2 2 4 9" xfId="52975" xr:uid="{9352FA9F-73B6-447F-A4FC-C60222185F71}"/>
    <cellStyle name="Comma 2 3 3 2 2 5" xfId="10243" xr:uid="{04948784-9473-4C0E-9EF9-7D10D2EED147}"/>
    <cellStyle name="Comma 2 3 3 2 2 5 2" xfId="14710" xr:uid="{04790763-19D9-4232-8274-A6FFE837B242}"/>
    <cellStyle name="Comma 2 3 3 2 2 5 2 2" xfId="22257" xr:uid="{10F0F58B-ABE7-44E0-8621-1EF271DBFDF4}"/>
    <cellStyle name="Comma 2 3 3 2 2 5 2 3" xfId="32408" xr:uid="{72565A0D-7E01-4730-9790-CE98AE1C6027}"/>
    <cellStyle name="Comma 2 3 3 2 2 5 2 4" xfId="51595" xr:uid="{DD2C4D15-C404-4B58-9374-AE3C9A0E7537}"/>
    <cellStyle name="Comma 2 3 3 2 2 5 2 5" xfId="54611" xr:uid="{E5D418A9-739C-4DE0-A6CE-86DA2C41CA79}"/>
    <cellStyle name="Comma 2 3 3 2 2 5 3" xfId="15195" xr:uid="{561D71AA-BF53-42D8-A418-F03A56FBB955}"/>
    <cellStyle name="Comma 2 3 3 2 2 5 3 2" xfId="22734" xr:uid="{8D32DD5B-9BB5-44E8-9D2A-B786ABCA31E5}"/>
    <cellStyle name="Comma 2 3 3 2 2 5 3 3" xfId="25293" xr:uid="{1E3F4908-BCF1-49BA-AEBC-DC95B06D3515}"/>
    <cellStyle name="Comma 2 3 3 2 2 5 3 4" xfId="52072" xr:uid="{D13E17F8-8006-4F21-82C3-351CC2C9F1B0}"/>
    <cellStyle name="Comma 2 3 3 2 2 5 3 5" xfId="55088" xr:uid="{A9A7432B-FB81-451D-9C3C-3BF423CD25B5}"/>
    <cellStyle name="Comma 2 3 3 2 2 5 4" xfId="15682" xr:uid="{65316279-DD5F-4E6E-BCAE-C1B2A6F474F5}"/>
    <cellStyle name="Comma 2 3 3 2 2 5 4 2" xfId="23211" xr:uid="{7BCCA78E-C64F-4C42-892C-8BBF3067C1A1}"/>
    <cellStyle name="Comma 2 3 3 2 2 5 4 3" xfId="47443" xr:uid="{6BAE5DAF-3E43-4807-9165-38B28437A281}"/>
    <cellStyle name="Comma 2 3 3 2 2 5 4 4" xfId="52549" xr:uid="{D04785B6-8989-42E4-A8C1-F52A97B128AD}"/>
    <cellStyle name="Comma 2 3 3 2 2 5 4 5" xfId="55565" xr:uid="{56DB0038-DACA-4101-8E4E-4ACD00DFB951}"/>
    <cellStyle name="Comma 2 3 3 2 2 5 5" xfId="12696" xr:uid="{D018CF7A-5CF2-4314-A5AA-66349A200C4B}"/>
    <cellStyle name="Comma 2 3 3 2 2 5 5 2" xfId="48492" xr:uid="{AC6D66D0-1AAC-451E-B31B-D3D51D25D539}"/>
    <cellStyle name="Comma 2 3 3 2 2 5 5 3" xfId="51118" xr:uid="{63A82555-6ECF-4C24-A3AB-8E51D85D12CC}"/>
    <cellStyle name="Comma 2 3 3 2 2 5 5 4" xfId="54134" xr:uid="{425F0BC5-8D40-4739-94DF-EF370D66802D}"/>
    <cellStyle name="Comma 2 3 3 2 2 5 6" xfId="47066" xr:uid="{F72097DF-9FBC-4161-BCBA-63036345E53E}"/>
    <cellStyle name="Comma 2 3 3 2 2 5 7" xfId="50012" xr:uid="{D1AC5D3F-9256-43D0-A06C-15166C31C55D}"/>
    <cellStyle name="Comma 2 3 3 2 2 5 8" xfId="53028" xr:uid="{2B734D23-3A83-4C99-B0DA-2BEE4953DAA7}"/>
    <cellStyle name="Comma 2 3 3 2 2 6" xfId="10557" xr:uid="{0F2EDD79-8D78-40E3-A5D5-A7B8D9505597}"/>
    <cellStyle name="Comma 2 3 3 2 2 6 2" xfId="14922" xr:uid="{D2E6BDBA-41FC-4358-AD04-6E2BC6E6DEBB}"/>
    <cellStyle name="Comma 2 3 3 2 2 6 2 2" xfId="22469" xr:uid="{45A6045B-11BA-42A1-A740-73CAC7F598CE}"/>
    <cellStyle name="Comma 2 3 3 2 2 6 2 3" xfId="47216" xr:uid="{7F323C29-BA99-402F-821D-26CE09DCA92E}"/>
    <cellStyle name="Comma 2 3 3 2 2 6 2 4" xfId="51807" xr:uid="{870BC3A5-84B4-4893-AE70-02B2F73FBA4E}"/>
    <cellStyle name="Comma 2 3 3 2 2 6 2 5" xfId="54823" xr:uid="{43F0D32A-5D8E-407F-8215-6B56B2C34211}"/>
    <cellStyle name="Comma 2 3 3 2 2 6 3" xfId="15407" xr:uid="{537C3F3A-2FA2-4EF7-8944-90AC74EF0BF3}"/>
    <cellStyle name="Comma 2 3 3 2 2 6 3 2" xfId="22946" xr:uid="{83757C3A-9B11-498B-B661-1935D37CA84C}"/>
    <cellStyle name="Comma 2 3 3 2 2 6 3 3" xfId="46530" xr:uid="{00AB1A0E-9C5A-4F7B-A1E4-FE39CE187293}"/>
    <cellStyle name="Comma 2 3 3 2 2 6 3 4" xfId="52284" xr:uid="{8E8E0ECE-1CEE-4BC7-9FC9-4D7297764136}"/>
    <cellStyle name="Comma 2 3 3 2 2 6 3 5" xfId="55300" xr:uid="{077E2F33-E6C6-4B34-ACC2-B6275E84F2C2}"/>
    <cellStyle name="Comma 2 3 3 2 2 6 4" xfId="15895" xr:uid="{1E0723AF-6660-4ECB-9F9A-7EF66B6EC262}"/>
    <cellStyle name="Comma 2 3 3 2 2 6 4 2" xfId="23423" xr:uid="{EBFBC522-A0F5-480A-AFB0-DEB50BB9EB0D}"/>
    <cellStyle name="Comma 2 3 3 2 2 6 4 3" xfId="47203" xr:uid="{287D6B84-EF37-45C7-884F-A10E14BAB107}"/>
    <cellStyle name="Comma 2 3 3 2 2 6 4 4" xfId="52761" xr:uid="{EAA5214C-594A-423C-BA65-0B473B8119F5}"/>
    <cellStyle name="Comma 2 3 3 2 2 6 4 5" xfId="55777" xr:uid="{2F663129-7E3D-4D5C-B632-F5174AC18C3D}"/>
    <cellStyle name="Comma 2 3 3 2 2 6 5" xfId="13010" xr:uid="{57D6A7D9-6152-4E98-9E9A-80A2431DA986}"/>
    <cellStyle name="Comma 2 3 3 2 2 6 5 2" xfId="25030" xr:uid="{4FFA8E65-719B-4C1B-9117-C4E8DB443861}"/>
    <cellStyle name="Comma 2 3 3 2 2 6 5 3" xfId="51330" xr:uid="{06FF790C-0EEF-4A5D-A032-4FC572258DF1}"/>
    <cellStyle name="Comma 2 3 3 2 2 6 5 4" xfId="54346" xr:uid="{A3077C8C-71A9-4DBB-B1E0-8C8D55FCBBBA}"/>
    <cellStyle name="Comma 2 3 3 2 2 6 6" xfId="46149" xr:uid="{6701E823-D573-4352-8B05-53F335E63EBC}"/>
    <cellStyle name="Comma 2 3 3 2 2 6 7" xfId="50224" xr:uid="{826E46B8-136D-453F-87C6-C010ABEF4B5E}"/>
    <cellStyle name="Comma 2 3 3 2 2 6 8" xfId="53240" xr:uid="{D5366F76-B593-4BEC-85E6-12335C575869}"/>
    <cellStyle name="Comma 2 3 3 2 2 7" xfId="14498" xr:uid="{A61F8E3B-3D87-4952-A1F1-2AD195AA481E}"/>
    <cellStyle name="Comma 2 3 3 2 2 7 2" xfId="22045" xr:uid="{3B95EBA4-B2BE-4F69-97DE-7F8259459B63}"/>
    <cellStyle name="Comma 2 3 3 2 2 7 3" xfId="24987" xr:uid="{E4355425-C184-4C78-A68C-F5C0633A82B0}"/>
    <cellStyle name="Comma 2 3 3 2 2 7 4" xfId="51383" xr:uid="{7D3ABDE0-CA00-4FB9-89F9-A559AACF77C1}"/>
    <cellStyle name="Comma 2 3 3 2 2 7 5" xfId="54399" xr:uid="{2FD48C33-A294-4951-BEFE-7DA0CFB91FB2}"/>
    <cellStyle name="Comma 2 3 3 2 2 8" xfId="14982" xr:uid="{1FEFD389-A114-4F8A-8F93-1AD77E47CAB9}"/>
    <cellStyle name="Comma 2 3 3 2 2 8 2" xfId="22522" xr:uid="{3DDF08D1-53AB-4ED2-A4B6-B76A6D74EF28}"/>
    <cellStyle name="Comma 2 3 3 2 2 8 3" xfId="47334" xr:uid="{DC4799D3-624B-41CD-8A6A-9939AB488189}"/>
    <cellStyle name="Comma 2 3 3 2 2 8 4" xfId="51860" xr:uid="{B8D3AB0F-0072-45BE-B76E-31227BB43BD8}"/>
    <cellStyle name="Comma 2 3 3 2 2 8 5" xfId="54876" xr:uid="{2F449CD7-37D8-4DE9-87B3-0778DB8890CC}"/>
    <cellStyle name="Comma 2 3 3 2 2 9" xfId="15469" xr:uid="{CC41493E-1ED9-4843-85E1-CD4F94B514D1}"/>
    <cellStyle name="Comma 2 3 3 2 2 9 2" xfId="22999" xr:uid="{771B201C-2A66-4B24-A7D7-4E133BFE85FF}"/>
    <cellStyle name="Comma 2 3 3 2 2 9 3" xfId="47001" xr:uid="{0775FE58-01A6-4B92-A37E-DC39FB9AD7B6}"/>
    <cellStyle name="Comma 2 3 3 2 2 9 4" xfId="52337" xr:uid="{D41F65A8-8A10-47C5-A7BF-C96B17D9F4E9}"/>
    <cellStyle name="Comma 2 3 3 2 2 9 5" xfId="55353" xr:uid="{162BB384-DE09-431D-A5A7-1B4C8D54A7C4}"/>
    <cellStyle name="Comma 2 3 3 2 3" xfId="10009" xr:uid="{8E4EB684-8056-4E51-9E0A-45DCFC96D217}"/>
    <cellStyle name="Comma 2 3 3 2 3 2" xfId="10317" xr:uid="{D564A100-381F-43C1-9A1E-7CA5C4D8101B}"/>
    <cellStyle name="Comma 2 3 3 2 3 2 2" xfId="14762" xr:uid="{272C46AA-4058-40B3-8201-AD80E6AEBEF8}"/>
    <cellStyle name="Comma 2 3 3 2 3 2 2 2" xfId="22309" xr:uid="{C302F4F1-5E4D-46A5-8192-DF9BEB5D4805}"/>
    <cellStyle name="Comma 2 3 3 2 3 2 2 3" xfId="46860" xr:uid="{981DA0AA-DB31-4009-9056-4C4878A2126D}"/>
    <cellStyle name="Comma 2 3 3 2 3 2 2 4" xfId="51647" xr:uid="{7FB11E94-91A4-409F-8902-615488925A85}"/>
    <cellStyle name="Comma 2 3 3 2 3 2 2 5" xfId="54663" xr:uid="{CF664BE6-F968-4ACC-A7AF-3490732379F7}"/>
    <cellStyle name="Comma 2 3 3 2 3 2 3" xfId="15247" xr:uid="{9DD605CB-A988-4368-BDE1-18E778C01FC7}"/>
    <cellStyle name="Comma 2 3 3 2 3 2 3 2" xfId="22786" xr:uid="{86E1AB43-9F78-48F0-A22D-EBF15D9EBF85}"/>
    <cellStyle name="Comma 2 3 3 2 3 2 3 3" xfId="48564" xr:uid="{39BEB515-BF5C-4D5E-A79E-68E51E5F2656}"/>
    <cellStyle name="Comma 2 3 3 2 3 2 3 4" xfId="52124" xr:uid="{4B6EC1B1-8019-445C-86B4-EC8EA9CBA3EF}"/>
    <cellStyle name="Comma 2 3 3 2 3 2 3 5" xfId="55140" xr:uid="{03628BC7-392A-4180-A012-4B7FA172442A}"/>
    <cellStyle name="Comma 2 3 3 2 3 2 4" xfId="15734" xr:uid="{712FB333-A1F1-421E-9201-F4905DFC60EE}"/>
    <cellStyle name="Comma 2 3 3 2 3 2 4 2" xfId="23263" xr:uid="{94AFB809-6CFA-48F1-B4EE-C6D75E77BCAA}"/>
    <cellStyle name="Comma 2 3 3 2 3 2 4 3" xfId="48038" xr:uid="{3BEE630A-3BBD-4ED0-BADE-494ACB9F4438}"/>
    <cellStyle name="Comma 2 3 3 2 3 2 4 4" xfId="52601" xr:uid="{B6DA7D62-2D29-4162-9B9A-C112A54B5F51}"/>
    <cellStyle name="Comma 2 3 3 2 3 2 4 5" xfId="55617" xr:uid="{FA96D515-0777-4C2C-B29A-E0946A29D0BD}"/>
    <cellStyle name="Comma 2 3 3 2 3 2 5" xfId="12770" xr:uid="{26ABC75D-79FD-4E54-B9F9-5C5679E6C93B}"/>
    <cellStyle name="Comma 2 3 3 2 3 2 5 2" xfId="47169" xr:uid="{664135F1-0BA6-4657-8030-97BFB462CEA7}"/>
    <cellStyle name="Comma 2 3 3 2 3 2 5 3" xfId="51170" xr:uid="{F3665133-E79E-49DB-9D25-AA9EB9405AF5}"/>
    <cellStyle name="Comma 2 3 3 2 3 2 5 4" xfId="54186" xr:uid="{20DBCEE5-F009-4241-9D35-971B4E4A2A3E}"/>
    <cellStyle name="Comma 2 3 3 2 3 2 6" xfId="32554" xr:uid="{C3422A0D-6BEE-4C5D-ACC6-F8411FE5450F}"/>
    <cellStyle name="Comma 2 3 3 2 3 2 7" xfId="50064" xr:uid="{711669B7-BE12-4372-95D7-00FCA358763A}"/>
    <cellStyle name="Comma 2 3 3 2 3 2 8" xfId="53080" xr:uid="{F19EEDBB-EA5D-47B2-8F36-1CFAC4D16289}"/>
    <cellStyle name="Comma 2 3 3 2 3 3" xfId="14550" xr:uid="{D3733CDD-CBBD-453D-9A95-1ABEE74BC0A4}"/>
    <cellStyle name="Comma 2 3 3 2 3 3 2" xfId="22097" xr:uid="{0D6CF712-2C0E-4760-A0BD-3037660503BB}"/>
    <cellStyle name="Comma 2 3 3 2 3 3 3" xfId="47769" xr:uid="{AD5EEAB9-1D5B-453E-8E9D-3B49283CE9B6}"/>
    <cellStyle name="Comma 2 3 3 2 3 3 4" xfId="51435" xr:uid="{8A6C24D3-AC07-450E-A305-019329A02BE4}"/>
    <cellStyle name="Comma 2 3 3 2 3 3 5" xfId="54451" xr:uid="{BBC76D7B-16C3-467F-B3F2-8FCCE4705071}"/>
    <cellStyle name="Comma 2 3 3 2 3 4" xfId="15034" xr:uid="{30D400E4-2792-4B3B-86EB-58D8E0AD7F74}"/>
    <cellStyle name="Comma 2 3 3 2 3 4 2" xfId="22574" xr:uid="{BCF8C267-4D8E-4138-AA63-20F198BFFF0E}"/>
    <cellStyle name="Comma 2 3 3 2 3 4 3" xfId="32400" xr:uid="{767984B2-D1F0-40FE-A55C-520D8E27D800}"/>
    <cellStyle name="Comma 2 3 3 2 3 4 4" xfId="51912" xr:uid="{2F914409-83FA-46DB-9DED-B4DC1D699849}"/>
    <cellStyle name="Comma 2 3 3 2 3 4 5" xfId="54928" xr:uid="{9477A096-EB5E-4328-8E65-096C682EAC48}"/>
    <cellStyle name="Comma 2 3 3 2 3 5" xfId="15521" xr:uid="{9F14716B-DC6C-4E93-9479-634E82E480DA}"/>
    <cellStyle name="Comma 2 3 3 2 3 5 2" xfId="23051" xr:uid="{B807D395-8002-437C-B942-3E039FFD0B6F}"/>
    <cellStyle name="Comma 2 3 3 2 3 5 3" xfId="47843" xr:uid="{444067A8-D3F1-4F18-9968-EB0A9EB8E647}"/>
    <cellStyle name="Comma 2 3 3 2 3 5 4" xfId="52389" xr:uid="{1AA476FC-913C-469D-8302-B27CE2EB8DEE}"/>
    <cellStyle name="Comma 2 3 3 2 3 5 5" xfId="55405" xr:uid="{28C2F937-45A1-4CF6-9267-6F77DD2FCD64}"/>
    <cellStyle name="Comma 2 3 3 2 3 6" xfId="12469" xr:uid="{92D33652-E6CB-4148-AC7D-404A27C7D833}"/>
    <cellStyle name="Comma 2 3 3 2 3 6 2" xfId="46663" xr:uid="{46A846F0-CA08-4643-8E59-51125EEE276B}"/>
    <cellStyle name="Comma 2 3 3 2 3 6 3" xfId="50958" xr:uid="{165C28D9-0CEC-486F-BBA4-0F94ED91EABC}"/>
    <cellStyle name="Comma 2 3 3 2 3 6 4" xfId="53974" xr:uid="{64204EC0-42B6-47BE-9E43-2F5D8D106091}"/>
    <cellStyle name="Comma 2 3 3 2 3 7" xfId="46020" xr:uid="{9936546C-A75B-43AA-8A20-7E6657D30290}"/>
    <cellStyle name="Comma 2 3 3 2 3 8" xfId="49852" xr:uid="{6CA19C92-0241-4B98-8720-100C38E530C9}"/>
    <cellStyle name="Comma 2 3 3 2 3 9" xfId="52868" xr:uid="{EE22E379-C0CB-4B19-B982-FE0FA53B0102}"/>
    <cellStyle name="Comma 2 3 3 2 4" xfId="10083" xr:uid="{AB059C79-A1F9-4FE3-8209-C84910994116}"/>
    <cellStyle name="Comma 2 3 3 2 4 2" xfId="10396" xr:uid="{7ECA2633-2AE5-4D8F-9D62-429D7B9B4C98}"/>
    <cellStyle name="Comma 2 3 3 2 4 2 2" xfId="14815" xr:uid="{876884F4-EE5D-4F3C-8FB9-C32A08D6FD0A}"/>
    <cellStyle name="Comma 2 3 3 2 4 2 2 2" xfId="22362" xr:uid="{6A3146B5-AF4C-44CC-B0FC-7099F2A9D795}"/>
    <cellStyle name="Comma 2 3 3 2 4 2 2 3" xfId="32406" xr:uid="{14C7C815-8600-4A3C-9466-C452C9FBB47F}"/>
    <cellStyle name="Comma 2 3 3 2 4 2 2 4" xfId="51700" xr:uid="{D32B8427-6A6F-4E10-8386-77876769ECBF}"/>
    <cellStyle name="Comma 2 3 3 2 4 2 2 5" xfId="54716" xr:uid="{CB268E21-C5A5-471B-A97D-66D7DE4CADEA}"/>
    <cellStyle name="Comma 2 3 3 2 4 2 3" xfId="15300" xr:uid="{0C4FC0BA-093B-4F25-B35E-798FCE21B2DB}"/>
    <cellStyle name="Comma 2 3 3 2 4 2 3 2" xfId="22839" xr:uid="{7E1934C2-16ED-45B4-9B13-1AB38F052336}"/>
    <cellStyle name="Comma 2 3 3 2 4 2 3 3" xfId="47939" xr:uid="{03D42EC7-47FD-4873-B6E3-022A2A642E82}"/>
    <cellStyle name="Comma 2 3 3 2 4 2 3 4" xfId="52177" xr:uid="{E2E9AC15-01B0-422D-AAD6-DD8FEFF81D2D}"/>
    <cellStyle name="Comma 2 3 3 2 4 2 3 5" xfId="55193" xr:uid="{6CFA4FD3-4478-4A1A-BED1-D96DE52A7601}"/>
    <cellStyle name="Comma 2 3 3 2 4 2 4" xfId="15787" xr:uid="{6C4E4E07-2941-4E43-B56B-B6E9ED4BA193}"/>
    <cellStyle name="Comma 2 3 3 2 4 2 4 2" xfId="23316" xr:uid="{B311BF27-D167-4474-9263-EA2156476301}"/>
    <cellStyle name="Comma 2 3 3 2 4 2 4 3" xfId="47974" xr:uid="{D35154FB-819A-4803-B349-F5E53A3AE04C}"/>
    <cellStyle name="Comma 2 3 3 2 4 2 4 4" xfId="52654" xr:uid="{0EF7D395-0DC1-4D83-AF1F-43C4B6007ECD}"/>
    <cellStyle name="Comma 2 3 3 2 4 2 4 5" xfId="55670" xr:uid="{658269CC-E1DA-44F8-8A3D-9B8D0A0C2F7A}"/>
    <cellStyle name="Comma 2 3 3 2 4 2 5" xfId="12849" xr:uid="{94B068EF-3CB2-40D1-8A60-844BA8A24F92}"/>
    <cellStyle name="Comma 2 3 3 2 4 2 5 2" xfId="46670" xr:uid="{FBC93FE9-7907-40B0-9BBA-B450FFA5E87A}"/>
    <cellStyle name="Comma 2 3 3 2 4 2 5 3" xfId="51223" xr:uid="{B23A1D4B-7C48-4779-A378-F320CC3F7CC1}"/>
    <cellStyle name="Comma 2 3 3 2 4 2 5 4" xfId="54239" xr:uid="{A101766B-DD74-4024-92A3-BB5033062D45}"/>
    <cellStyle name="Comma 2 3 3 2 4 2 6" xfId="46106" xr:uid="{130E3B3B-7B80-435A-82FE-E55298443A5A}"/>
    <cellStyle name="Comma 2 3 3 2 4 2 7" xfId="50117" xr:uid="{8A253A62-277A-485A-8B0F-0FC2858B7984}"/>
    <cellStyle name="Comma 2 3 3 2 4 2 8" xfId="53133" xr:uid="{62B89682-458B-437E-A5B8-EC2A9FE2F210}"/>
    <cellStyle name="Comma 2 3 3 2 4 3" xfId="14603" xr:uid="{1C27FE4B-CFC8-409A-8948-6288C1C1530D}"/>
    <cellStyle name="Comma 2 3 3 2 4 3 2" xfId="22150" xr:uid="{EA97E7B8-295E-4963-94E9-F434CF35AE04}"/>
    <cellStyle name="Comma 2 3 3 2 4 3 3" xfId="46406" xr:uid="{22079576-4423-4B80-AE0F-C534DE3BB644}"/>
    <cellStyle name="Comma 2 3 3 2 4 3 4" xfId="51488" xr:uid="{AA0BFD6E-073E-4098-BBDA-C4EF3919021F}"/>
    <cellStyle name="Comma 2 3 3 2 4 3 5" xfId="54504" xr:uid="{0B7B157E-EBD1-4FCA-97B5-CA7F2628E252}"/>
    <cellStyle name="Comma 2 3 3 2 4 4" xfId="15088" xr:uid="{99DDC7B6-D9FE-48C2-8937-46E52D8FCBBC}"/>
    <cellStyle name="Comma 2 3 3 2 4 4 2" xfId="22627" xr:uid="{C8F8A66C-8A15-4C7E-9C69-0387D15832F6}"/>
    <cellStyle name="Comma 2 3 3 2 4 4 3" xfId="46477" xr:uid="{9D3B84FD-3AB7-44DB-9D3C-81270C09B018}"/>
    <cellStyle name="Comma 2 3 3 2 4 4 4" xfId="51965" xr:uid="{2B974291-0194-4CB7-82E8-7FB94C930EEB}"/>
    <cellStyle name="Comma 2 3 3 2 4 4 5" xfId="54981" xr:uid="{E1D02D94-4F95-455D-9778-337928A0012F}"/>
    <cellStyle name="Comma 2 3 3 2 4 5" xfId="15575" xr:uid="{843D7F53-CE84-4631-B382-F719627A8E94}"/>
    <cellStyle name="Comma 2 3 3 2 4 5 2" xfId="23104" xr:uid="{3C079F4E-9497-4047-AA61-BC83212AAF81}"/>
    <cellStyle name="Comma 2 3 3 2 4 5 3" xfId="46554" xr:uid="{9DD3DED6-028D-44A2-9B7C-6CA03BF9E9E2}"/>
    <cellStyle name="Comma 2 3 3 2 4 5 4" xfId="52442" xr:uid="{236243E6-D4FA-4F5A-A37F-BA57BD25AF48}"/>
    <cellStyle name="Comma 2 3 3 2 4 5 5" xfId="55458" xr:uid="{51359E5F-1A74-41FA-95A4-4A13E892477E}"/>
    <cellStyle name="Comma 2 3 3 2 4 6" xfId="12540" xr:uid="{1E67CA12-1FF6-4704-B0A0-4DCC922278E3}"/>
    <cellStyle name="Comma 2 3 3 2 4 6 2" xfId="35942" xr:uid="{22353791-0157-4BD1-A6EB-1D3996794312}"/>
    <cellStyle name="Comma 2 3 3 2 4 6 3" xfId="51011" xr:uid="{CA16BB5C-61AE-4E29-B717-FCE1288C76AA}"/>
    <cellStyle name="Comma 2 3 3 2 4 6 4" xfId="54027" xr:uid="{1BFD6DF7-D6FD-4C17-BEE9-E16CD21DB7B1}"/>
    <cellStyle name="Comma 2 3 3 2 4 7" xfId="46037" xr:uid="{8824AF6D-8B64-4614-896D-25CBB80D6985}"/>
    <cellStyle name="Comma 2 3 3 2 4 8" xfId="49905" xr:uid="{6FB4937C-E10D-4117-A696-1CD91CBBE058}"/>
    <cellStyle name="Comma 2 3 3 2 4 9" xfId="52921" xr:uid="{290B9B4B-1244-4BA1-91E6-173274B485BF}"/>
    <cellStyle name="Comma 2 3 3 2 5" xfId="10162" xr:uid="{E7024F87-8E6F-48B0-B561-BA3E462DC4B0}"/>
    <cellStyle name="Comma 2 3 3 2 5 2" xfId="10476" xr:uid="{3468BB46-4BE8-4A0F-8F75-D9D655DAE68D}"/>
    <cellStyle name="Comma 2 3 3 2 5 2 2" xfId="14868" xr:uid="{3DB62473-DF9C-4065-9E37-8B66A5C452B8}"/>
    <cellStyle name="Comma 2 3 3 2 5 2 2 2" xfId="22415" xr:uid="{E3BE7BD0-F22D-4487-A5B9-BBBE62B3C69B}"/>
    <cellStyle name="Comma 2 3 3 2 5 2 2 3" xfId="46872" xr:uid="{3F1E8EC1-642D-4FA1-B288-D3E782E329F5}"/>
    <cellStyle name="Comma 2 3 3 2 5 2 2 4" xfId="51753" xr:uid="{344536D4-9687-4D10-86BB-773E77D3DF7B}"/>
    <cellStyle name="Comma 2 3 3 2 5 2 2 5" xfId="54769" xr:uid="{23B318C3-D3E5-41D4-BDAF-1452D6B40A7A}"/>
    <cellStyle name="Comma 2 3 3 2 5 2 3" xfId="15353" xr:uid="{3F9C672C-30B5-4461-9FA9-6DDD77B742E7}"/>
    <cellStyle name="Comma 2 3 3 2 5 2 3 2" xfId="22892" xr:uid="{3FF38C40-C3B0-4155-BE95-30375ADD4AA7}"/>
    <cellStyle name="Comma 2 3 3 2 5 2 3 3" xfId="48362" xr:uid="{C5AA1C75-9F0C-4836-B69B-97A741DD8890}"/>
    <cellStyle name="Comma 2 3 3 2 5 2 3 4" xfId="52230" xr:uid="{93DC914A-D6E5-4F53-B4BA-046403B3D877}"/>
    <cellStyle name="Comma 2 3 3 2 5 2 3 5" xfId="55246" xr:uid="{AE2514D7-8835-4FF7-A4BA-288BF74E215A}"/>
    <cellStyle name="Comma 2 3 3 2 5 2 4" xfId="15840" xr:uid="{DBE64DE4-A0DE-4840-9336-2E7042896752}"/>
    <cellStyle name="Comma 2 3 3 2 5 2 4 2" xfId="23369" xr:uid="{A502E1FF-63CC-4AC7-AA65-7DDFDC927F3B}"/>
    <cellStyle name="Comma 2 3 3 2 5 2 4 3" xfId="46973" xr:uid="{974D39B1-1867-4E21-BAAA-67169546A77C}"/>
    <cellStyle name="Comma 2 3 3 2 5 2 4 4" xfId="52707" xr:uid="{AAA213DC-B704-435D-83A7-B6ED74BF8C79}"/>
    <cellStyle name="Comma 2 3 3 2 5 2 4 5" xfId="55723" xr:uid="{6436BDEB-9051-4CD4-A4B8-105221D45077}"/>
    <cellStyle name="Comma 2 3 3 2 5 2 5" xfId="12929" xr:uid="{BF782DE1-3C54-4BF3-AF29-B9888A1398A1}"/>
    <cellStyle name="Comma 2 3 3 2 5 2 5 2" xfId="46373" xr:uid="{B05F62D2-D483-44C5-91F3-16890E713B3B}"/>
    <cellStyle name="Comma 2 3 3 2 5 2 5 3" xfId="51276" xr:uid="{D9EA5F7B-615A-4E7F-8B9E-29BCAB531C96}"/>
    <cellStyle name="Comma 2 3 3 2 5 2 5 4" xfId="54292" xr:uid="{7682C313-19A1-4432-AB1E-B8208CD0B16C}"/>
    <cellStyle name="Comma 2 3 3 2 5 2 6" xfId="46126" xr:uid="{6F9275D4-E21E-4A85-8DC2-E9454E719129}"/>
    <cellStyle name="Comma 2 3 3 2 5 2 7" xfId="50170" xr:uid="{443A7F27-1223-45A2-9BC2-A20DC695289B}"/>
    <cellStyle name="Comma 2 3 3 2 5 2 8" xfId="53186" xr:uid="{5239FEA7-46CD-4616-8550-074F9CE297AF}"/>
    <cellStyle name="Comma 2 3 3 2 5 3" xfId="14656" xr:uid="{5E9C0DE6-EE2C-47B0-B592-638D7B8CC1F0}"/>
    <cellStyle name="Comma 2 3 3 2 5 3 2" xfId="22203" xr:uid="{D2242160-2F6A-492D-9E76-2DAE20F79B68}"/>
    <cellStyle name="Comma 2 3 3 2 5 3 3" xfId="46846" xr:uid="{0CEDAD65-6618-4747-ABAA-4724B6891BB4}"/>
    <cellStyle name="Comma 2 3 3 2 5 3 4" xfId="51541" xr:uid="{6DFB898B-3BEB-4B99-9A1E-6831A48AE25E}"/>
    <cellStyle name="Comma 2 3 3 2 5 3 5" xfId="54557" xr:uid="{473FFDF3-561C-40CB-BC44-F5FA39F10ED8}"/>
    <cellStyle name="Comma 2 3 3 2 5 4" xfId="15141" xr:uid="{2A38BE7D-EA49-4A40-B47B-33009EEFFF34}"/>
    <cellStyle name="Comma 2 3 3 2 5 4 2" xfId="22680" xr:uid="{8A008A0F-9D0D-40E6-A546-E6CA92F4C238}"/>
    <cellStyle name="Comma 2 3 3 2 5 4 3" xfId="48563" xr:uid="{215C975F-7170-4A6F-B2DB-A4C76AA9B104}"/>
    <cellStyle name="Comma 2 3 3 2 5 4 4" xfId="52018" xr:uid="{D3B7B443-FC66-4958-B304-BFD22E172F31}"/>
    <cellStyle name="Comma 2 3 3 2 5 4 5" xfId="55034" xr:uid="{926DF2B1-46CA-493C-BF07-01704BCE3272}"/>
    <cellStyle name="Comma 2 3 3 2 5 5" xfId="15628" xr:uid="{B0BF72A4-E770-4B16-AFC0-D54613E8EFB1}"/>
    <cellStyle name="Comma 2 3 3 2 5 5 2" xfId="23157" xr:uid="{6F519448-0C8F-4ACE-B48B-54E0D943246C}"/>
    <cellStyle name="Comma 2 3 3 2 5 5 3" xfId="47350" xr:uid="{06A3EBFB-4ACA-4962-8C73-4ABC13FD612D}"/>
    <cellStyle name="Comma 2 3 3 2 5 5 4" xfId="52495" xr:uid="{C2653AF9-ACAD-4AAB-BFCE-088927463474}"/>
    <cellStyle name="Comma 2 3 3 2 5 5 5" xfId="55511" xr:uid="{D00601C4-3E62-418B-83B1-B2CFDEE9CB4A}"/>
    <cellStyle name="Comma 2 3 3 2 5 6" xfId="12616" xr:uid="{E4E74932-088D-4C09-863B-38845BB961D2}"/>
    <cellStyle name="Comma 2 3 3 2 5 6 2" xfId="25073" xr:uid="{408A8E70-2AAF-4C68-A960-236B2DC26451}"/>
    <cellStyle name="Comma 2 3 3 2 5 6 3" xfId="51064" xr:uid="{6B8D51C3-D6CE-44F7-AADE-294422B8987F}"/>
    <cellStyle name="Comma 2 3 3 2 5 6 4" xfId="54080" xr:uid="{16121314-6DF3-4998-8CA7-6A0E9253C6E7}"/>
    <cellStyle name="Comma 2 3 3 2 5 7" xfId="32303" xr:uid="{98FF7AC0-E8CC-405F-B6DF-5535174B8C08}"/>
    <cellStyle name="Comma 2 3 3 2 5 8" xfId="49958" xr:uid="{C5B86F78-E939-42B0-9014-9107A4939934}"/>
    <cellStyle name="Comma 2 3 3 2 5 9" xfId="52974" xr:uid="{CD2085D2-3A05-441B-8A24-AF60D0F12783}"/>
    <cellStyle name="Comma 2 3 3 2 6" xfId="10242" xr:uid="{57E14E19-7BC6-4413-8C2A-6F81021873FE}"/>
    <cellStyle name="Comma 2 3 3 2 6 2" xfId="14709" xr:uid="{A9C127BD-10BA-46D5-826F-E7141B21E610}"/>
    <cellStyle name="Comma 2 3 3 2 6 2 2" xfId="22256" xr:uid="{CA4C345D-7EC1-49B8-BE1A-F5D7A4E05D46}"/>
    <cellStyle name="Comma 2 3 3 2 6 2 3" xfId="46421" xr:uid="{ECFD3D92-23BB-4BF9-ADA6-6A66B42352BA}"/>
    <cellStyle name="Comma 2 3 3 2 6 2 4" xfId="51594" xr:uid="{F2859A5E-60F1-4661-90B0-94724436DF14}"/>
    <cellStyle name="Comma 2 3 3 2 6 2 5" xfId="54610" xr:uid="{CB8B3F2B-46B3-4063-9758-7EC3D85F0BDB}"/>
    <cellStyle name="Comma 2 3 3 2 6 3" xfId="15194" xr:uid="{546E23BA-3695-418D-A4C4-6B84E5945725}"/>
    <cellStyle name="Comma 2 3 3 2 6 3 2" xfId="22733" xr:uid="{CB8C0B74-C274-4A87-A5AD-EAB9D61AD0DA}"/>
    <cellStyle name="Comma 2 3 3 2 6 3 3" xfId="48217" xr:uid="{41504EC4-1DBB-47CE-889F-6EEF6632E066}"/>
    <cellStyle name="Comma 2 3 3 2 6 3 4" xfId="52071" xr:uid="{31B5824A-7BB5-456F-9B2F-C816C96EF8D9}"/>
    <cellStyle name="Comma 2 3 3 2 6 3 5" xfId="55087" xr:uid="{4378B8D1-4CD0-48DA-9F1F-31E9223C48EC}"/>
    <cellStyle name="Comma 2 3 3 2 6 4" xfId="15681" xr:uid="{9B781461-9B36-49A0-A2D7-D0EBCCCC6C73}"/>
    <cellStyle name="Comma 2 3 3 2 6 4 2" xfId="23210" xr:uid="{E405A530-C197-4294-A33C-97B377583096}"/>
    <cellStyle name="Comma 2 3 3 2 6 4 3" xfId="46571" xr:uid="{A02FF497-AFAD-4C4C-8C52-86B22D61759A}"/>
    <cellStyle name="Comma 2 3 3 2 6 4 4" xfId="52548" xr:uid="{436FC0DC-9C40-47FB-9014-51F71592B54E}"/>
    <cellStyle name="Comma 2 3 3 2 6 4 5" xfId="55564" xr:uid="{AD97ED55-7AF2-4AC3-BD49-0820043058C1}"/>
    <cellStyle name="Comma 2 3 3 2 6 5" xfId="12695" xr:uid="{C09D8128-191F-4098-9086-0616465DFDFD}"/>
    <cellStyle name="Comma 2 3 3 2 6 5 2" xfId="47469" xr:uid="{C017EFAB-F9EA-4E8C-84C0-95EEA24D8110}"/>
    <cellStyle name="Comma 2 3 3 2 6 5 3" xfId="51117" xr:uid="{8E83F78C-66F9-439E-A33C-7F22807B2652}"/>
    <cellStyle name="Comma 2 3 3 2 6 5 4" xfId="54133" xr:uid="{E7817242-E788-44B0-A534-98A6733E36EC}"/>
    <cellStyle name="Comma 2 3 3 2 6 6" xfId="46071" xr:uid="{7FCDCCA1-C18B-407A-9485-FF67EC187F58}"/>
    <cellStyle name="Comma 2 3 3 2 6 7" xfId="50011" xr:uid="{F0EAD72A-9ED6-480F-BD0F-ADB64BB1F427}"/>
    <cellStyle name="Comma 2 3 3 2 6 8" xfId="53027" xr:uid="{DFA3DD29-B9D9-4AFF-9680-1FF533F17AEC}"/>
    <cellStyle name="Comma 2 3 3 2 7" xfId="10556" xr:uid="{F75C6B7C-92B8-4C9B-9A90-9592787C7E1F}"/>
    <cellStyle name="Comma 2 3 3 2 7 2" xfId="14921" xr:uid="{2703B21D-79ED-4636-A6B0-96674A30A3D7}"/>
    <cellStyle name="Comma 2 3 3 2 7 2 2" xfId="22468" xr:uid="{9736B68B-D5D2-49CD-AE46-0E0AC79FA7D1}"/>
    <cellStyle name="Comma 2 3 3 2 7 2 3" xfId="37456" xr:uid="{EDE33139-D983-4657-9563-3D3270856D58}"/>
    <cellStyle name="Comma 2 3 3 2 7 2 4" xfId="51806" xr:uid="{A9BBFDE0-7793-4725-8F68-35A0168AF8DF}"/>
    <cellStyle name="Comma 2 3 3 2 7 2 5" xfId="54822" xr:uid="{003F6935-6326-4E7E-A833-96614885394E}"/>
    <cellStyle name="Comma 2 3 3 2 7 3" xfId="15406" xr:uid="{926594E9-E662-4827-A5D9-0C4155438539}"/>
    <cellStyle name="Comma 2 3 3 2 7 3 2" xfId="22945" xr:uid="{E51E2856-9633-4C59-9E9F-550D33FFBF6A}"/>
    <cellStyle name="Comma 2 3 3 2 7 3 3" xfId="48515" xr:uid="{19E99B51-D79D-4678-B91B-A028D51364B9}"/>
    <cellStyle name="Comma 2 3 3 2 7 3 4" xfId="52283" xr:uid="{5816AEEF-3DD2-4298-A529-24B1238F0239}"/>
    <cellStyle name="Comma 2 3 3 2 7 3 5" xfId="55299" xr:uid="{8E39EAD8-C299-4562-B959-E2C3F51107AF}"/>
    <cellStyle name="Comma 2 3 3 2 7 4" xfId="15894" xr:uid="{B36B3C02-D451-4E1B-86F2-1E939FBEB63D}"/>
    <cellStyle name="Comma 2 3 3 2 7 4 2" xfId="23422" xr:uid="{061074A7-3097-452A-AB82-1B2B450E4671}"/>
    <cellStyle name="Comma 2 3 3 2 7 4 3" xfId="46979" xr:uid="{6F40AA5D-7C92-4AD6-A064-A4C348F2358A}"/>
    <cellStyle name="Comma 2 3 3 2 7 4 4" xfId="52760" xr:uid="{A9313B15-83DC-4BFA-A122-F66CC69F8CDC}"/>
    <cellStyle name="Comma 2 3 3 2 7 4 5" xfId="55776" xr:uid="{5297460E-E679-49A2-AB67-D9ED75F903A9}"/>
    <cellStyle name="Comma 2 3 3 2 7 5" xfId="13009" xr:uid="{8F25AB89-1E9C-40EC-A80D-522983E92B86}"/>
    <cellStyle name="Comma 2 3 3 2 7 5 2" xfId="46382" xr:uid="{4D02F96F-FF09-4FF6-994B-5D2E1F2CECDA}"/>
    <cellStyle name="Comma 2 3 3 2 7 5 3" xfId="51329" xr:uid="{53754099-FE64-40FB-9D14-F7C3F809174F}"/>
    <cellStyle name="Comma 2 3 3 2 7 5 4" xfId="54345" xr:uid="{7A738E34-054D-4D54-B9E9-F5D4D066307E}"/>
    <cellStyle name="Comma 2 3 3 2 7 6" xfId="48165" xr:uid="{6C1BCD39-A5D7-451E-A298-C0603C0AA214}"/>
    <cellStyle name="Comma 2 3 3 2 7 7" xfId="50223" xr:uid="{8B11B3B5-96E6-4764-9B0E-DF7E549FA7B3}"/>
    <cellStyle name="Comma 2 3 3 2 7 8" xfId="53239" xr:uid="{B73F50E4-7868-474C-9973-AC609FE2A44C}"/>
    <cellStyle name="Comma 2 3 3 2 8" xfId="13374" xr:uid="{3D071428-4660-47B3-A037-1CC912794E58}"/>
    <cellStyle name="Comma 2 3 3 2 9" xfId="14497" xr:uid="{ACFEEE99-C32D-4E38-8601-0F0DD88F2DD8}"/>
    <cellStyle name="Comma 2 3 3 2 9 2" xfId="22044" xr:uid="{359FA72D-ECE5-466C-B807-9D7412ED007E}"/>
    <cellStyle name="Comma 2 3 3 2 9 3" xfId="46389" xr:uid="{6F5002DF-9129-4031-96A6-8A3351861EFB}"/>
    <cellStyle name="Comma 2 3 3 2 9 4" xfId="51382" xr:uid="{55F6D1DB-DEA7-481B-A676-21D0F50A4E23}"/>
    <cellStyle name="Comma 2 3 3 2 9 5" xfId="54398" xr:uid="{4DE8A2B1-04DF-41EE-876D-E9DF76E92B03}"/>
    <cellStyle name="Comma 2 3 3 3" xfId="5812" xr:uid="{DBD09C03-6BC1-4C1A-AA8A-1B0B2DE06A38}"/>
    <cellStyle name="Comma 2 3 3 3 10" xfId="12177" xr:uid="{FA611106-D1D5-497A-B63C-53E491FCD06F}"/>
    <cellStyle name="Comma 2 3 3 3 10 2" xfId="47817" xr:uid="{F460E6C1-1AA8-4929-909B-028D883C78CB}"/>
    <cellStyle name="Comma 2 3 3 3 10 3" xfId="50934" xr:uid="{B6562F41-CEC5-414E-9181-16A49534921D}"/>
    <cellStyle name="Comma 2 3 3 3 10 4" xfId="53950" xr:uid="{547FA2F4-485C-48F0-AF66-551FDDB02D65}"/>
    <cellStyle name="Comma 2 3 3 3 11" xfId="23717" xr:uid="{7AB58172-8E1D-4419-AED2-92228FC40AC7}"/>
    <cellStyle name="Comma 2 3 3 3 12" xfId="48607" xr:uid="{026FA99C-9486-4ACA-AF7C-230AFC04519C}"/>
    <cellStyle name="Comma 2 3 3 3 13" xfId="49517" xr:uid="{DA302695-0576-4E55-89A7-BB7FC276EF9F}"/>
    <cellStyle name="Comma 2 3 3 3 14" xfId="49801" xr:uid="{C70A8D38-2596-4DA2-9F5F-DB2CA6F9A8A4}"/>
    <cellStyle name="Comma 2 3 3 3 15" xfId="52816" xr:uid="{8F1F976A-48A6-4C72-B1B9-EA55FBEFD88E}"/>
    <cellStyle name="Comma 2 3 3 3 16" xfId="8924" xr:uid="{F42D2224-A3BE-4FAC-9E3B-30E8271EAC18}"/>
    <cellStyle name="Comma 2 3 3 3 2" xfId="10011" xr:uid="{607FD3FD-7E44-4749-A943-9379F6D1F759}"/>
    <cellStyle name="Comma 2 3 3 3 2 2" xfId="10319" xr:uid="{00ED828B-11FC-4604-B37C-6BA64252DC94}"/>
    <cellStyle name="Comma 2 3 3 3 2 2 2" xfId="14764" xr:uid="{2B89DFAC-E9BB-4471-AA80-7457355B2FDB}"/>
    <cellStyle name="Comma 2 3 3 3 2 2 2 2" xfId="22311" xr:uid="{CBB6F2D0-6F31-4627-BFC2-5C1ECD13055A}"/>
    <cellStyle name="Comma 2 3 3 3 2 2 2 3" xfId="48504" xr:uid="{0DD38E2E-5CF4-46D2-9E2E-574A47107FB4}"/>
    <cellStyle name="Comma 2 3 3 3 2 2 2 4" xfId="51649" xr:uid="{73420C2C-2DD0-4578-810B-45680CBD0487}"/>
    <cellStyle name="Comma 2 3 3 3 2 2 2 5" xfId="54665" xr:uid="{206A23A2-D5FA-4041-B3E9-038A1F9A24CE}"/>
    <cellStyle name="Comma 2 3 3 3 2 2 3" xfId="15249" xr:uid="{4A6816C3-FCD2-49AE-9D39-62E918A5F24F}"/>
    <cellStyle name="Comma 2 3 3 3 2 2 3 2" xfId="22788" xr:uid="{C09C36D6-75FD-4AF9-96F5-52B0E55823A5}"/>
    <cellStyle name="Comma 2 3 3 3 2 2 3 3" xfId="47189" xr:uid="{F5B6686C-864E-48CF-A953-EAF55EF4EFDB}"/>
    <cellStyle name="Comma 2 3 3 3 2 2 3 4" xfId="52126" xr:uid="{4B6FAB7F-17AA-49F3-A9FF-199F40CD24E4}"/>
    <cellStyle name="Comma 2 3 3 3 2 2 3 5" xfId="55142" xr:uid="{5FA7C494-87E1-43AB-8539-F558B691BCD4}"/>
    <cellStyle name="Comma 2 3 3 3 2 2 4" xfId="15736" xr:uid="{99254E5D-5ABB-456D-A867-936A6E416DB4}"/>
    <cellStyle name="Comma 2 3 3 3 2 2 4 2" xfId="23265" xr:uid="{2C49CD95-6400-4E5A-B572-3CDB9390ADFB}"/>
    <cellStyle name="Comma 2 3 3 3 2 2 4 3" xfId="47970" xr:uid="{21BD8016-1A24-489F-BB81-3488C77FA3E7}"/>
    <cellStyle name="Comma 2 3 3 3 2 2 4 4" xfId="52603" xr:uid="{2D0D6500-3718-4FB1-B193-7E299CB87D15}"/>
    <cellStyle name="Comma 2 3 3 3 2 2 4 5" xfId="55619" xr:uid="{CBF7D2CA-8D82-41AE-8641-5BC0324779A1}"/>
    <cellStyle name="Comma 2 3 3 3 2 2 5" xfId="12772" xr:uid="{0ABA650F-F908-4835-87EB-711F59A670F0}"/>
    <cellStyle name="Comma 2 3 3 3 2 2 5 2" xfId="46351" xr:uid="{0FAA2A9D-87CC-4F37-BB8E-9BA76D811630}"/>
    <cellStyle name="Comma 2 3 3 3 2 2 5 3" xfId="51172" xr:uid="{C784874B-B1F2-48F9-A825-4FAE2CAF504D}"/>
    <cellStyle name="Comma 2 3 3 3 2 2 5 4" xfId="54188" xr:uid="{568AB2E6-3CFE-41A5-BAB8-9357731FB9A9}"/>
    <cellStyle name="Comma 2 3 3 3 2 2 6" xfId="24333" xr:uid="{28A494A3-FBB2-4F6E-8822-375F97AD9A38}"/>
    <cellStyle name="Comma 2 3 3 3 2 2 7" xfId="50066" xr:uid="{5F5692D2-2DBC-406E-9B3F-CC5052B1AC6D}"/>
    <cellStyle name="Comma 2 3 3 3 2 2 8" xfId="53082" xr:uid="{9042DE8F-1823-4867-8DB3-D1A2707A9C78}"/>
    <cellStyle name="Comma 2 3 3 3 2 3" xfId="14552" xr:uid="{4E3C0CD4-149A-4D6E-B2DB-C60124078D1C}"/>
    <cellStyle name="Comma 2 3 3 3 2 3 2" xfId="22099" xr:uid="{C685BED7-80E1-4293-8F97-BCFDA21A7D59}"/>
    <cellStyle name="Comma 2 3 3 3 2 3 3" xfId="46396" xr:uid="{36AA9864-31F1-420F-AE55-A1CDAE627C2B}"/>
    <cellStyle name="Comma 2 3 3 3 2 3 4" xfId="51437" xr:uid="{F11F25E3-39DC-4FD7-AA59-BA4C09DDD15A}"/>
    <cellStyle name="Comma 2 3 3 3 2 3 5" xfId="54453" xr:uid="{0A064592-D949-4724-9B20-BEF475C16734}"/>
    <cellStyle name="Comma 2 3 3 3 2 4" xfId="15036" xr:uid="{D3346C67-CEC7-478F-8378-A2E8DEA63094}"/>
    <cellStyle name="Comma 2 3 3 3 2 4 2" xfId="22576" xr:uid="{2D208AD5-06DB-4FD3-BC44-5C567BBC244F}"/>
    <cellStyle name="Comma 2 3 3 3 2 4 3" xfId="46874" xr:uid="{97DC1208-FBA6-4C4A-A8BD-98E5287063F1}"/>
    <cellStyle name="Comma 2 3 3 3 2 4 4" xfId="51914" xr:uid="{83A88AF5-3DED-4885-80DE-A826F78EA660}"/>
    <cellStyle name="Comma 2 3 3 3 2 4 5" xfId="54930" xr:uid="{09D60681-C193-487C-9BDB-D49E4EE4F09F}"/>
    <cellStyle name="Comma 2 3 3 3 2 5" xfId="15523" xr:uid="{2809D93E-5010-482B-A703-3D056A4F6803}"/>
    <cellStyle name="Comma 2 3 3 3 2 5 2" xfId="23053" xr:uid="{820F21B7-488E-4A2B-9F9B-424BD30E062A}"/>
    <cellStyle name="Comma 2 3 3 3 2 5 3" xfId="24651" xr:uid="{1E81F203-44AB-4401-A501-9096E75CE2C1}"/>
    <cellStyle name="Comma 2 3 3 3 2 5 4" xfId="52391" xr:uid="{CC3D0EDD-6AEB-4981-80E8-6A069E9E03C3}"/>
    <cellStyle name="Comma 2 3 3 3 2 5 5" xfId="55407" xr:uid="{232375CD-76D2-4AA8-8C2E-81EF1C91C2FF}"/>
    <cellStyle name="Comma 2 3 3 3 2 6" xfId="12471" xr:uid="{8C4280C6-C09F-4EC0-8A06-063E329164E3}"/>
    <cellStyle name="Comma 2 3 3 3 2 6 2" xfId="47858" xr:uid="{FB48FD94-285E-4ACA-8DEC-C087D9EB553B}"/>
    <cellStyle name="Comma 2 3 3 3 2 6 3" xfId="50960" xr:uid="{6DB3C008-FC38-41A6-990F-554845C127BF}"/>
    <cellStyle name="Comma 2 3 3 3 2 6 4" xfId="53976" xr:uid="{0A855877-258F-4DCB-AF98-553F6C24BEF5}"/>
    <cellStyle name="Comma 2 3 3 3 2 7" xfId="46021" xr:uid="{B8B756BC-90C4-4D9A-B159-4CB8526236C7}"/>
    <cellStyle name="Comma 2 3 3 3 2 8" xfId="49854" xr:uid="{A1FD478E-2C36-402F-BE69-F421CBF40D8F}"/>
    <cellStyle name="Comma 2 3 3 3 2 9" xfId="52870" xr:uid="{CABCD0B0-2D0E-40D4-BA63-F28F0C0FEA86}"/>
    <cellStyle name="Comma 2 3 3 3 3" xfId="10085" xr:uid="{3B2AB6DA-8641-4AEC-8E7A-7CC1D97EB31B}"/>
    <cellStyle name="Comma 2 3 3 3 3 2" xfId="10398" xr:uid="{C251B392-A011-43D2-9DEB-CA1223890AE8}"/>
    <cellStyle name="Comma 2 3 3 3 3 2 2" xfId="14817" xr:uid="{08991D33-48DA-44BC-A1E8-880C90272515}"/>
    <cellStyle name="Comma 2 3 3 3 3 2 2 2" xfId="22364" xr:uid="{3DF53ED3-5F59-48F1-A20F-E99B89A334F6}"/>
    <cellStyle name="Comma 2 3 3 3 3 2 2 3" xfId="32527" xr:uid="{0F43B9C8-EA9A-4C88-BC9C-101CF4FC2677}"/>
    <cellStyle name="Comma 2 3 3 3 3 2 2 4" xfId="51702" xr:uid="{D1A4D807-C1C1-42F1-9B3B-354536C3A69B}"/>
    <cellStyle name="Comma 2 3 3 3 3 2 2 5" xfId="54718" xr:uid="{5E20933D-8229-4C11-A88D-B6F894119D7B}"/>
    <cellStyle name="Comma 2 3 3 3 3 2 3" xfId="15302" xr:uid="{7E99657C-6307-4A75-BCF7-724C10A1C447}"/>
    <cellStyle name="Comma 2 3 3 3 3 2 3 2" xfId="22841" xr:uid="{11C75D43-673B-43D6-890B-48BFD970C0DE}"/>
    <cellStyle name="Comma 2 3 3 3 3 2 3 3" xfId="48019" xr:uid="{F2EC4816-0A4B-4597-96F8-0794BAF486D8}"/>
    <cellStyle name="Comma 2 3 3 3 3 2 3 4" xfId="52179" xr:uid="{27CE4F7C-0F54-4E72-B935-30E479FA04FC}"/>
    <cellStyle name="Comma 2 3 3 3 3 2 3 5" xfId="55195" xr:uid="{FC0AB2C8-A343-4068-9B4F-A1965FFA2EAB}"/>
    <cellStyle name="Comma 2 3 3 3 3 2 4" xfId="15789" xr:uid="{1861D49C-CBB4-49CC-BED1-269F1A987830}"/>
    <cellStyle name="Comma 2 3 3 3 3 2 4 2" xfId="23318" xr:uid="{F3A14F93-08F3-4FFB-B641-05580D5DFDB6}"/>
    <cellStyle name="Comma 2 3 3 3 3 2 4 3" xfId="46965" xr:uid="{82CC6C89-DF0A-4ED5-B1A5-EA2520576C22}"/>
    <cellStyle name="Comma 2 3 3 3 3 2 4 4" xfId="52656" xr:uid="{D0B27469-7449-469B-AB6E-643A5AEA70DE}"/>
    <cellStyle name="Comma 2 3 3 3 3 2 4 5" xfId="55672" xr:uid="{55524865-59F0-424F-9DA1-B38BA32034E3}"/>
    <cellStyle name="Comma 2 3 3 3 3 2 5" xfId="12851" xr:uid="{BA648AA0-42C9-4A75-B7FA-DA2564879AC1}"/>
    <cellStyle name="Comma 2 3 3 3 3 2 5 2" xfId="47565" xr:uid="{E698D502-6183-444C-9258-61988794A5A8}"/>
    <cellStyle name="Comma 2 3 3 3 3 2 5 3" xfId="51225" xr:uid="{1738B1D8-6975-48AF-9D59-7B823CB4EC6E}"/>
    <cellStyle name="Comma 2 3 3 3 3 2 5 4" xfId="54241" xr:uid="{244CD865-A533-4034-AA90-3550675BAACA}"/>
    <cellStyle name="Comma 2 3 3 3 3 2 6" xfId="46107" xr:uid="{F30B7A80-299A-4C9F-9B92-B7156FF3E852}"/>
    <cellStyle name="Comma 2 3 3 3 3 2 7" xfId="50119" xr:uid="{E00DE7A4-0666-48A4-9B3A-C90E6499EAFE}"/>
    <cellStyle name="Comma 2 3 3 3 3 2 8" xfId="53135" xr:uid="{A543840C-344A-4FB5-8E2E-AB059CA259F4}"/>
    <cellStyle name="Comma 2 3 3 3 3 3" xfId="14605" xr:uid="{5D435CD7-EEBD-4C35-AF2C-BBEDF73A80E4}"/>
    <cellStyle name="Comma 2 3 3 3 3 3 2" xfId="22152" xr:uid="{98572BD2-88D2-4DD5-A1DF-74D1200FC3D1}"/>
    <cellStyle name="Comma 2 3 3 3 3 3 3" xfId="48095" xr:uid="{8C10D0C1-EC2D-44BB-9EED-5E7053B592F5}"/>
    <cellStyle name="Comma 2 3 3 3 3 3 4" xfId="51490" xr:uid="{BFC7D369-EEE3-455D-9403-B047684BD36E}"/>
    <cellStyle name="Comma 2 3 3 3 3 3 5" xfId="54506" xr:uid="{096E0FEC-C774-4C9C-ADA3-94C5EEA997B3}"/>
    <cellStyle name="Comma 2 3 3 3 3 4" xfId="15090" xr:uid="{EB1B0DFB-85F0-4885-BB24-23B8D67B2C2B}"/>
    <cellStyle name="Comma 2 3 3 3 3 4 2" xfId="22629" xr:uid="{CF8986C8-D4F1-4D0A-8E54-A14318A8AE7D}"/>
    <cellStyle name="Comma 2 3 3 3 3 4 3" xfId="47838" xr:uid="{E5855D2A-26E1-47F5-925F-A97CB7D2BA28}"/>
    <cellStyle name="Comma 2 3 3 3 3 4 4" xfId="51967" xr:uid="{313BC715-C0CE-41F8-8237-778E7AC65BF7}"/>
    <cellStyle name="Comma 2 3 3 3 3 4 5" xfId="54983" xr:uid="{3F811ABA-68DA-42A2-9F2F-8C7E5739F979}"/>
    <cellStyle name="Comma 2 3 3 3 3 5" xfId="15577" xr:uid="{EE01A174-8582-4BB2-81BD-08422A58C1C6}"/>
    <cellStyle name="Comma 2 3 3 3 3 5 2" xfId="23106" xr:uid="{C66619C6-ABA0-43BC-ACDB-D58500841509}"/>
    <cellStyle name="Comma 2 3 3 3 3 5 3" xfId="48130" xr:uid="{1296428F-A651-4A52-AC35-EBCB9E79E5D0}"/>
    <cellStyle name="Comma 2 3 3 3 3 5 4" xfId="52444" xr:uid="{75DC60FD-4E2E-4E9F-A522-FE9E6F0EA6F3}"/>
    <cellStyle name="Comma 2 3 3 3 3 5 5" xfId="55460" xr:uid="{22170D4B-EE2B-4F13-8341-FFF0CB5828A4}"/>
    <cellStyle name="Comma 2 3 3 3 3 6" xfId="12542" xr:uid="{E24F3DD1-3E4C-4004-93FC-F8FB84536A2F}"/>
    <cellStyle name="Comma 2 3 3 3 3 6 2" xfId="25084" xr:uid="{A5B416E5-F475-424A-BD80-DB189DC19D6E}"/>
    <cellStyle name="Comma 2 3 3 3 3 6 3" xfId="51013" xr:uid="{B614EFB3-A457-42F1-A749-86D6415F0532}"/>
    <cellStyle name="Comma 2 3 3 3 3 6 4" xfId="54029" xr:uid="{4147A14F-AFFF-43B2-B3B7-C21996CD768A}"/>
    <cellStyle name="Comma 2 3 3 3 3 7" xfId="46038" xr:uid="{3607210C-A2EF-416A-8F34-17AF3B425A88}"/>
    <cellStyle name="Comma 2 3 3 3 3 8" xfId="49907" xr:uid="{A4618C85-B6EC-4198-84B3-7B250D6A90F5}"/>
    <cellStyle name="Comma 2 3 3 3 3 9" xfId="52923" xr:uid="{AFFCE54D-6C62-4A8E-B43E-9F9A302D128E}"/>
    <cellStyle name="Comma 2 3 3 3 4" xfId="10164" xr:uid="{4A2DFEB4-9345-453E-BA88-E3CDC7CC9D73}"/>
    <cellStyle name="Comma 2 3 3 3 4 2" xfId="10478" xr:uid="{68DFA0D4-0D9D-4AED-8D74-1DC1754941A5}"/>
    <cellStyle name="Comma 2 3 3 3 4 2 2" xfId="14870" xr:uid="{58F427DE-E82F-4F69-BA3F-697E035513F6}"/>
    <cellStyle name="Comma 2 3 3 3 4 2 2 2" xfId="22417" xr:uid="{4514008B-01AD-4F52-8284-FCCDDAEFB996}"/>
    <cellStyle name="Comma 2 3 3 3 4 2 2 3" xfId="48213" xr:uid="{29B6FCD9-1D07-41EF-9D51-5D608597D106}"/>
    <cellStyle name="Comma 2 3 3 3 4 2 2 4" xfId="51755" xr:uid="{658C0DEA-8F8C-4EE3-8321-FA7F4219F568}"/>
    <cellStyle name="Comma 2 3 3 3 4 2 2 5" xfId="54771" xr:uid="{A8DF7C98-9C1C-4F7C-89CA-7D6601F15B07}"/>
    <cellStyle name="Comma 2 3 3 3 4 2 3" xfId="15355" xr:uid="{6945C260-61DB-4D1F-8D35-91E638184B34}"/>
    <cellStyle name="Comma 2 3 3 3 4 2 3 2" xfId="22894" xr:uid="{8AF19A33-ACC7-4151-9A7A-600E347F014D}"/>
    <cellStyle name="Comma 2 3 3 3 4 2 3 3" xfId="46519" xr:uid="{79A1D580-F388-4B9B-9E06-F034CBAF4179}"/>
    <cellStyle name="Comma 2 3 3 3 4 2 3 4" xfId="52232" xr:uid="{DFD68A4B-91C8-45DC-BB83-5A380F3A9D21}"/>
    <cellStyle name="Comma 2 3 3 3 4 2 3 5" xfId="55248" xr:uid="{3F438BB8-A776-4972-AAC2-F64FC852052C}"/>
    <cellStyle name="Comma 2 3 3 3 4 2 4" xfId="15842" xr:uid="{7973227E-15B3-46C9-AB9D-5FFFFC0470F8}"/>
    <cellStyle name="Comma 2 3 3 3 4 2 4 2" xfId="23371" xr:uid="{91053B6C-1A21-49D0-9539-27E0BDCB36AC}"/>
    <cellStyle name="Comma 2 3 3 3 4 2 4 3" xfId="24156" xr:uid="{24FE9C03-9F6B-4F89-A85C-9E662E93FC1D}"/>
    <cellStyle name="Comma 2 3 3 3 4 2 4 4" xfId="52709" xr:uid="{76A48E35-9493-45B2-91B1-2CDD16023E6B}"/>
    <cellStyle name="Comma 2 3 3 3 4 2 4 5" xfId="55725" xr:uid="{4D393EAB-ABA8-4B29-B359-A280B27B24BD}"/>
    <cellStyle name="Comma 2 3 3 3 4 2 5" xfId="12931" xr:uid="{B5C264E7-C88F-4B1C-BEE2-F9196333B240}"/>
    <cellStyle name="Comma 2 3 3 3 4 2 5 2" xfId="32334" xr:uid="{56E92569-5CF1-4FFD-8EEB-9F74BD624329}"/>
    <cellStyle name="Comma 2 3 3 3 4 2 5 3" xfId="51278" xr:uid="{B4DB83B8-1094-42BE-A72E-FD8A729FC01B}"/>
    <cellStyle name="Comma 2 3 3 3 4 2 5 4" xfId="54294" xr:uid="{001AC309-5E41-4097-A0B9-0C0FC1EEEF75}"/>
    <cellStyle name="Comma 2 3 3 3 4 2 6" xfId="46127" xr:uid="{796FE1BA-C1A7-44D4-A7DC-A66D8F2D3F66}"/>
    <cellStyle name="Comma 2 3 3 3 4 2 7" xfId="50172" xr:uid="{98C91434-C011-48AE-94C5-C1DBFCBFF53A}"/>
    <cellStyle name="Comma 2 3 3 3 4 2 8" xfId="53188" xr:uid="{7028AD34-AB8C-438C-A8E5-F03D47FC1554}"/>
    <cellStyle name="Comma 2 3 3 3 4 3" xfId="14658" xr:uid="{7F2E80A0-E23A-4472-A6D6-C543BF359978}"/>
    <cellStyle name="Comma 2 3 3 3 4 3 2" xfId="22205" xr:uid="{605E97E0-7155-4A68-8930-4A84F5E21C3B}"/>
    <cellStyle name="Comma 2 3 3 3 4 3 3" xfId="48207" xr:uid="{1DD00369-26F2-429E-B8F8-B89AB3BAB976}"/>
    <cellStyle name="Comma 2 3 3 3 4 3 4" xfId="51543" xr:uid="{2DA81128-DDC0-4A23-A6CB-5BA4538B182B}"/>
    <cellStyle name="Comma 2 3 3 3 4 3 5" xfId="54559" xr:uid="{18D95584-1CF4-4F7B-B8A5-4DCC013D21CD}"/>
    <cellStyle name="Comma 2 3 3 3 4 4" xfId="15143" xr:uid="{1E0074AA-F52C-4210-A818-AC2F315613F1}"/>
    <cellStyle name="Comma 2 3 3 3 4 4 2" xfId="22682" xr:uid="{1CBE9C5E-F935-4AFA-A46B-ED0EF4C6D26F}"/>
    <cellStyle name="Comma 2 3 3 3 4 4 3" xfId="47039" xr:uid="{9A4A1156-1DF4-4F4E-B9F3-5E97308EAE5E}"/>
    <cellStyle name="Comma 2 3 3 3 4 4 4" xfId="52020" xr:uid="{81A42077-A0A7-42BB-80EE-3B98A6D06F7F}"/>
    <cellStyle name="Comma 2 3 3 3 4 4 5" xfId="55036" xr:uid="{C439BD23-40DE-4B80-82DA-3D1961C83F8C}"/>
    <cellStyle name="Comma 2 3 3 3 4 5" xfId="15630" xr:uid="{2C50A1F7-A445-442F-B993-0DB8E5082519}"/>
    <cellStyle name="Comma 2 3 3 3 4 5 2" xfId="23159" xr:uid="{AF65749C-6583-49A3-9D07-E8396399195E}"/>
    <cellStyle name="Comma 2 3 3 3 4 5 3" xfId="47437" xr:uid="{A7D97F41-60C7-4FD2-9051-3AAE9650587D}"/>
    <cellStyle name="Comma 2 3 3 3 4 5 4" xfId="52497" xr:uid="{11406608-C878-48E7-8A35-32BA7A96C255}"/>
    <cellStyle name="Comma 2 3 3 3 4 5 5" xfId="55513" xr:uid="{85706C9D-3B3D-4A06-980D-B055321FB457}"/>
    <cellStyle name="Comma 2 3 3 3 4 6" xfId="12618" xr:uid="{DC7D37D0-5405-4067-9684-9B2F5E396E4E}"/>
    <cellStyle name="Comma 2 3 3 3 4 6 2" xfId="46774" xr:uid="{54C2A6C3-CCE6-4067-B459-BA1A8EB1D1E4}"/>
    <cellStyle name="Comma 2 3 3 3 4 6 3" xfId="51066" xr:uid="{9A74E8CC-3E02-4857-A3AA-24F4840DA0FF}"/>
    <cellStyle name="Comma 2 3 3 3 4 6 4" xfId="54082" xr:uid="{BBFF2DAF-65E8-41AA-9535-D97890AA2A4C}"/>
    <cellStyle name="Comma 2 3 3 3 4 7" xfId="48089" xr:uid="{85AEF028-36F4-41F2-8590-D3505D576BA0}"/>
    <cellStyle name="Comma 2 3 3 3 4 8" xfId="49960" xr:uid="{2CA91E0D-C0A5-4472-80C0-54099D61A9AA}"/>
    <cellStyle name="Comma 2 3 3 3 4 9" xfId="52976" xr:uid="{39F103DE-AA92-4DEB-93A6-D56D073C8BBB}"/>
    <cellStyle name="Comma 2 3 3 3 5" xfId="10244" xr:uid="{4BADF85C-3A5A-46B5-81B5-8260580C4267}"/>
    <cellStyle name="Comma 2 3 3 3 5 2" xfId="14711" xr:uid="{C62FFDE6-F977-40FB-8389-41CBED2BD349}"/>
    <cellStyle name="Comma 2 3 3 3 5 2 2" xfId="22258" xr:uid="{FE2E7A0F-EA9A-459D-86B8-97A5FFF837CE}"/>
    <cellStyle name="Comma 2 3 3 3 5 2 3" xfId="33370" xr:uid="{BA666AAC-AABE-4604-939D-42829399E828}"/>
    <cellStyle name="Comma 2 3 3 3 5 2 4" xfId="51596" xr:uid="{4A403994-322E-4ABF-92AA-27ACC6D37A93}"/>
    <cellStyle name="Comma 2 3 3 3 5 2 5" xfId="54612" xr:uid="{AF7F6D18-6F7A-4AF8-8D2D-44378CDBF349}"/>
    <cellStyle name="Comma 2 3 3 3 5 3" xfId="15196" xr:uid="{EC539C67-D9FF-4145-A650-25353F786EBB}"/>
    <cellStyle name="Comma 2 3 3 3 5 3 2" xfId="22735" xr:uid="{88DDC486-E054-40AA-8F6F-4B70DF63FB89}"/>
    <cellStyle name="Comma 2 3 3 3 5 3 3" xfId="47394" xr:uid="{AB81FAEF-D198-42C9-850B-709CDF463DFA}"/>
    <cellStyle name="Comma 2 3 3 3 5 3 4" xfId="52073" xr:uid="{72C1907D-0DE7-4E6E-B578-C057BF9A757A}"/>
    <cellStyle name="Comma 2 3 3 3 5 3 5" xfId="55089" xr:uid="{9B978BA1-8133-4F38-AC32-25911D42C212}"/>
    <cellStyle name="Comma 2 3 3 3 5 4" xfId="15683" xr:uid="{0D5A5EC9-DAC4-4F84-A193-A4A0D97290D3}"/>
    <cellStyle name="Comma 2 3 3 3 5 4 2" xfId="23212" xr:uid="{0247D9F3-B34A-4085-8CE7-14BD87E4A0AB}"/>
    <cellStyle name="Comma 2 3 3 3 5 4 3" xfId="32324" xr:uid="{C8BBDB71-4175-4B9B-8EF9-08148388446F}"/>
    <cellStyle name="Comma 2 3 3 3 5 4 4" xfId="52550" xr:uid="{6F5A67C8-FB56-41F2-902D-6B698674D64C}"/>
    <cellStyle name="Comma 2 3 3 3 5 4 5" xfId="55566" xr:uid="{2C9C95D5-9876-4121-9C49-2A4AA1AA31F2}"/>
    <cellStyle name="Comma 2 3 3 3 5 5" xfId="12697" xr:uid="{B0C7F417-2582-4E45-8499-6613145FC030}"/>
    <cellStyle name="Comma 2 3 3 3 5 5 2" xfId="46342" xr:uid="{829FF7BE-0B92-4F27-99A5-BF3F2D4B8A7B}"/>
    <cellStyle name="Comma 2 3 3 3 5 5 3" xfId="51119" xr:uid="{1446A87C-E1B4-4850-AA69-CA5FF05260FA}"/>
    <cellStyle name="Comma 2 3 3 3 5 5 4" xfId="54135" xr:uid="{768E342D-F3B9-45A7-B2F2-9A4557D2DD9B}"/>
    <cellStyle name="Comma 2 3 3 3 5 6" xfId="46072" xr:uid="{0623919D-886F-4877-A559-FE0E0696C5EE}"/>
    <cellStyle name="Comma 2 3 3 3 5 7" xfId="50013" xr:uid="{53B00AC4-F885-4A83-BEC6-B8F6288BBE49}"/>
    <cellStyle name="Comma 2 3 3 3 5 8" xfId="53029" xr:uid="{302CDD85-F8AD-4429-B0B1-63BF8627C12F}"/>
    <cellStyle name="Comma 2 3 3 3 6" xfId="10558" xr:uid="{F94897A4-04F1-492E-B521-ECD5650CAF4D}"/>
    <cellStyle name="Comma 2 3 3 3 6 2" xfId="14923" xr:uid="{CA7CCA9A-5A4E-4197-94E2-6D5E2A5CE804}"/>
    <cellStyle name="Comma 2 3 3 3 6 2 2" xfId="22470" xr:uid="{E1D03C3F-04BB-45A3-806A-46976EACBCDE}"/>
    <cellStyle name="Comma 2 3 3 3 6 2 3" xfId="46684" xr:uid="{255E4A4E-BF2F-41E2-9302-29ABC453EF1B}"/>
    <cellStyle name="Comma 2 3 3 3 6 2 4" xfId="51808" xr:uid="{8F21B56E-C33C-4866-8761-CD5BF70BE2F9}"/>
    <cellStyle name="Comma 2 3 3 3 6 2 5" xfId="54824" xr:uid="{A89A1EB9-9691-4CF2-AC23-73965132E303}"/>
    <cellStyle name="Comma 2 3 3 3 6 3" xfId="15408" xr:uid="{19865513-10F9-4892-9364-E4E8B24AD88F}"/>
    <cellStyle name="Comma 2 3 3 3 6 3 2" xfId="22947" xr:uid="{EBD334CC-F03C-4F18-9770-2F5112484FDC}"/>
    <cellStyle name="Comma 2 3 3 3 6 3 3" xfId="34000" xr:uid="{617B09F4-6B9B-4E51-99BC-09CD7FA51AF9}"/>
    <cellStyle name="Comma 2 3 3 3 6 3 4" xfId="52285" xr:uid="{2B0DBE85-5807-47FA-98CA-73D28DAFB432}"/>
    <cellStyle name="Comma 2 3 3 3 6 3 5" xfId="55301" xr:uid="{0C5BE557-0343-48A6-AF40-DEB30832283B}"/>
    <cellStyle name="Comma 2 3 3 3 6 4" xfId="15896" xr:uid="{9F6AF2E7-BF6C-4FA6-80F3-8DB24978A366}"/>
    <cellStyle name="Comma 2 3 3 3 6 4 2" xfId="23424" xr:uid="{526083A9-B26B-44D0-9CF3-340BB0660579}"/>
    <cellStyle name="Comma 2 3 3 3 6 4 3" xfId="32280" xr:uid="{D834844D-DD9D-4083-8372-D99763AD0445}"/>
    <cellStyle name="Comma 2 3 3 3 6 4 4" xfId="52762" xr:uid="{9D72D5BE-701C-40D9-A09F-A86286EFB70F}"/>
    <cellStyle name="Comma 2 3 3 3 6 4 5" xfId="55778" xr:uid="{EA9B4EDF-7B61-441C-8CD4-20225CCD24CD}"/>
    <cellStyle name="Comma 2 3 3 3 6 5" xfId="13011" xr:uid="{8BA5BF54-71FC-4E98-AB98-ED48D9940A87}"/>
    <cellStyle name="Comma 2 3 3 3 6 5 2" xfId="47233" xr:uid="{A1F8ABE9-F15C-4D78-B137-405F7BBC8FAC}"/>
    <cellStyle name="Comma 2 3 3 3 6 5 3" xfId="51331" xr:uid="{4406E0ED-A3F9-478D-9E4C-8DF4B1FBEB1C}"/>
    <cellStyle name="Comma 2 3 3 3 6 5 4" xfId="54347" xr:uid="{AAFDF0FB-0EC6-4403-A7E3-0368B5A8C56F}"/>
    <cellStyle name="Comma 2 3 3 3 6 6" xfId="24259" xr:uid="{ABFF2311-9CED-4C89-8F04-AFE7B3FCBD61}"/>
    <cellStyle name="Comma 2 3 3 3 6 7" xfId="50225" xr:uid="{9A2D1815-6ED3-4927-82E6-C65C894EDF4E}"/>
    <cellStyle name="Comma 2 3 3 3 6 8" xfId="53241" xr:uid="{34649781-27C2-4769-9351-707329D3F1F8}"/>
    <cellStyle name="Comma 2 3 3 3 7" xfId="14499" xr:uid="{3134330D-82FA-45B3-93B1-024EC09EF4DD}"/>
    <cellStyle name="Comma 2 3 3 3 7 2" xfId="22046" xr:uid="{B13036FA-0D76-4AAE-BC3C-5F9F77720B50}"/>
    <cellStyle name="Comma 2 3 3 3 7 3" xfId="47826" xr:uid="{7D8FC8E7-8F4B-4DA7-8038-FD129CAD70D4}"/>
    <cellStyle name="Comma 2 3 3 3 7 4" xfId="51384" xr:uid="{8DE65D16-B619-49EA-9241-7F399F8F3F2A}"/>
    <cellStyle name="Comma 2 3 3 3 7 5" xfId="54400" xr:uid="{E7C0089A-2EA9-4BD9-9742-0F82BD2E440F}"/>
    <cellStyle name="Comma 2 3 3 3 8" xfId="14983" xr:uid="{51689C52-6B1D-4601-88C8-9F4D25DF9000}"/>
    <cellStyle name="Comma 2 3 3 3 8 2" xfId="22523" xr:uid="{FD30D35C-2306-42AF-9FE7-30873ACEC126}"/>
    <cellStyle name="Comma 2 3 3 3 8 3" xfId="46461" xr:uid="{47DE919F-F1AD-4924-BCBF-44DBADF9142D}"/>
    <cellStyle name="Comma 2 3 3 3 8 4" xfId="51861" xr:uid="{E573E620-FBA3-42D0-B1A8-B742BAC0CED7}"/>
    <cellStyle name="Comma 2 3 3 3 8 5" xfId="54877" xr:uid="{CF77DD6E-84B0-4258-A79B-AC68FB6E1644}"/>
    <cellStyle name="Comma 2 3 3 3 9" xfId="15470" xr:uid="{6F14ABA7-2EE0-4EC2-88C6-56B1334494C1}"/>
    <cellStyle name="Comma 2 3 3 3 9 2" xfId="23000" xr:uid="{4DB1EA38-8758-4699-B65E-4E114179135C}"/>
    <cellStyle name="Comma 2 3 3 3 9 3" xfId="48385" xr:uid="{90DB06A0-3F8D-4EA2-AFE3-3ED4BC8B043F}"/>
    <cellStyle name="Comma 2 3 3 3 9 4" xfId="52338" xr:uid="{B67D98C3-2CEE-4FAF-8810-4B2852288A92}"/>
    <cellStyle name="Comma 2 3 3 3 9 5" xfId="55354" xr:uid="{A1F37E8D-AB34-42D6-9679-776CEFCDD68F}"/>
    <cellStyle name="Comma 2 3 3 4" xfId="9600" xr:uid="{E2B60A01-B2D5-4A09-9233-5CDAEA742089}"/>
    <cellStyle name="Comma 2 3 3 5" xfId="11155" xr:uid="{C6ED8799-30B0-4A5D-A980-72BA5A6B5F1D}"/>
    <cellStyle name="Comma 2 3 3 6" xfId="11186" xr:uid="{14997A01-1840-4CBC-A7EF-946D8E8C2A3E}"/>
    <cellStyle name="Comma 2 3 3 6 2" xfId="21683" xr:uid="{970D0524-7356-461F-8698-1EBE349593D4}"/>
    <cellStyle name="Comma 2 3 3 6 3" xfId="47680" xr:uid="{0488DE54-7F81-4C32-81DC-637813DBFD5E}"/>
    <cellStyle name="Comma 2 3 3 6 4" xfId="50699" xr:uid="{B87441D8-A244-4450-A2EF-807FEBF7346D}"/>
    <cellStyle name="Comma 2 3 3 6 5" xfId="53715" xr:uid="{AE283084-088E-453D-B4AC-A288633A10C7}"/>
    <cellStyle name="Comma 2 3 3 7" xfId="19473" xr:uid="{0D7984B0-D934-410A-B899-155727F469DE}"/>
    <cellStyle name="Comma 2 3 3 8" xfId="23714" xr:uid="{BA6AF5FF-366B-4974-AE3B-492DA705C450}"/>
    <cellStyle name="Comma 2 3 3 9" xfId="48604" xr:uid="{503FBF52-515C-4FB7-9D1A-EBDC0F065E58}"/>
    <cellStyle name="Comma 2 3 4" xfId="2613" xr:uid="{41019E59-81DB-4908-B0D9-F616798FF7AD}"/>
    <cellStyle name="Comma 2 3 4 2" xfId="4532" xr:uid="{4B789FC1-6E81-4394-82CA-DEEF6D57BF65}"/>
    <cellStyle name="Comma 2 3 4 2 10" xfId="15471" xr:uid="{973C67D9-9F47-4001-8EAA-EE7A76C3B895}"/>
    <cellStyle name="Comma 2 3 4 2 10 2" xfId="23001" xr:uid="{D8FD3E7D-6272-447D-A1F0-A74391A9FCFA}"/>
    <cellStyle name="Comma 2 3 4 2 10 3" xfId="46694" xr:uid="{F11E7710-C58F-4311-825A-04A624020610}"/>
    <cellStyle name="Comma 2 3 4 2 10 4" xfId="52339" xr:uid="{C975CAE0-213D-4C0E-A605-C528AA6810EA}"/>
    <cellStyle name="Comma 2 3 4 2 10 5" xfId="55355" xr:uid="{A671DA2F-CAE9-4C08-A7B1-38015AB9374F}"/>
    <cellStyle name="Comma 2 3 4 2 11" xfId="11162" xr:uid="{64B6F6FF-0FCB-4452-997D-63D34257025C}"/>
    <cellStyle name="Comma 2 3 4 2 11 2" xfId="21677" xr:uid="{31B3D145-FF1A-48C5-A68F-1D78E3D05B4F}"/>
    <cellStyle name="Comma 2 3 4 2 11 3" xfId="46274" xr:uid="{37EB7811-3038-4722-BCDB-5041A13AE136}"/>
    <cellStyle name="Comma 2 3 4 2 11 4" xfId="50693" xr:uid="{C12A9902-94E5-4248-A51D-1760FEBE167D}"/>
    <cellStyle name="Comma 2 3 4 2 11 5" xfId="53709" xr:uid="{FB484BA0-1B38-4CBD-A585-576CD2BBA716}"/>
    <cellStyle name="Comma 2 3 4 2 12" xfId="23719" xr:uid="{A34DFF9F-7532-4EE8-829D-4D959C68022B}"/>
    <cellStyle name="Comma 2 3 4 2 13" xfId="48609" xr:uid="{1C644DD5-9B6E-4A1B-980B-40341EA770E2}"/>
    <cellStyle name="Comma 2 3 4 2 14" xfId="49519" xr:uid="{97C1874C-481A-478B-8F02-518536DD2148}"/>
    <cellStyle name="Comma 2 3 4 2 15" xfId="49802" xr:uid="{22D55E92-C958-467F-8852-F0D8B58D7519}"/>
    <cellStyle name="Comma 2 3 4 2 16" xfId="52817" xr:uid="{FE69728A-D18B-4A8A-9779-6CFDF63DB2AD}"/>
    <cellStyle name="Comma 2 3 4 2 17" xfId="8925" xr:uid="{2D65130C-4FE7-4F60-A7AD-4ACD7B9DF9F4}"/>
    <cellStyle name="Comma 2 3 4 2 2" xfId="10012" xr:uid="{9CEF64B3-7B0C-4D8D-AB0F-A02D9DD31350}"/>
    <cellStyle name="Comma 2 3 4 2 2 2" xfId="10320" xr:uid="{2839EF62-7D8B-4ED3-A4AB-22679D310824}"/>
    <cellStyle name="Comma 2 3 4 2 2 2 2" xfId="14765" xr:uid="{4EA23EF0-E642-484E-B03A-556BE975606B}"/>
    <cellStyle name="Comma 2 3 4 2 2 2 2 2" xfId="22312" xr:uid="{53E8C14F-51E3-46CF-A768-4B35D9FB445C}"/>
    <cellStyle name="Comma 2 3 4 2 2 2 2 3" xfId="25301" xr:uid="{5ABBEC66-62D5-4DBE-A876-CDCC91B432F5}"/>
    <cellStyle name="Comma 2 3 4 2 2 2 2 4" xfId="51650" xr:uid="{8ED4AEC9-AC0A-44B8-822B-CBA5685B1784}"/>
    <cellStyle name="Comma 2 3 4 2 2 2 2 5" xfId="54666" xr:uid="{3C256CC0-514B-4082-BB60-68AD6BF6413B}"/>
    <cellStyle name="Comma 2 3 4 2 2 2 3" xfId="15250" xr:uid="{30FE6953-40E8-4E77-9556-63A475A6FEB5}"/>
    <cellStyle name="Comma 2 3 4 2 2 2 3 2" xfId="22789" xr:uid="{5ECD68CA-5344-4224-B8CE-E68D1A09F6F6}"/>
    <cellStyle name="Comma 2 3 4 2 2 2 3 3" xfId="24179" xr:uid="{A42A616A-F7DB-4C60-A69B-EFE92196AB9B}"/>
    <cellStyle name="Comma 2 3 4 2 2 2 3 4" xfId="52127" xr:uid="{1C355221-4CF2-4730-8285-63824BD0D009}"/>
    <cellStyle name="Comma 2 3 4 2 2 2 3 5" xfId="55143" xr:uid="{F4B40977-1F0E-4323-9B6C-B1945D9EBDE5}"/>
    <cellStyle name="Comma 2 3 4 2 2 2 4" xfId="15737" xr:uid="{98ED245C-F942-4381-84E7-9619A4E9BBF4}"/>
    <cellStyle name="Comma 2 3 4 2 2 2 4 2" xfId="23266" xr:uid="{A2581EAE-5CE5-410F-BCA1-BC154C3358CD}"/>
    <cellStyle name="Comma 2 3 4 2 2 2 4 3" xfId="46579" xr:uid="{12F7E386-C873-4406-A397-CE25FCF43293}"/>
    <cellStyle name="Comma 2 3 4 2 2 2 4 4" xfId="52604" xr:uid="{AA58ACA2-2513-4CF1-870E-FD884349F477}"/>
    <cellStyle name="Comma 2 3 4 2 2 2 4 5" xfId="55620" xr:uid="{71D097C3-6E88-4656-8BB3-AE18DC1D2BB0}"/>
    <cellStyle name="Comma 2 3 4 2 2 2 5" xfId="12773" xr:uid="{E2B619D6-1455-48DC-A64E-09B08E1C95A7}"/>
    <cellStyle name="Comma 2 3 4 2 2 2 5 2" xfId="25056" xr:uid="{7592CA7C-627E-47E1-8A07-647792C179A7}"/>
    <cellStyle name="Comma 2 3 4 2 2 2 5 3" xfId="51173" xr:uid="{320A5600-E7C2-49C7-B2E8-8E6E7129BF1F}"/>
    <cellStyle name="Comma 2 3 4 2 2 2 5 4" xfId="54189" xr:uid="{58030C92-D073-4EFA-BBCE-ACB426115685}"/>
    <cellStyle name="Comma 2 3 4 2 2 2 6" xfId="47360" xr:uid="{B34CDA71-5E39-411C-9D3E-63316FB06E1E}"/>
    <cellStyle name="Comma 2 3 4 2 2 2 7" xfId="50067" xr:uid="{2D2634B4-3584-4F7A-8919-E33D1ADBA62C}"/>
    <cellStyle name="Comma 2 3 4 2 2 2 8" xfId="53083" xr:uid="{CF3510EC-564C-45AE-9208-EA5071AE8338}"/>
    <cellStyle name="Comma 2 3 4 2 2 3" xfId="14553" xr:uid="{8AB7FF64-D754-4FCD-8033-9E8F468E5587}"/>
    <cellStyle name="Comma 2 3 4 2 2 3 2" xfId="22100" xr:uid="{5B42144F-BDBD-4CB1-ADBA-88DF8141EEB8}"/>
    <cellStyle name="Comma 2 3 4 2 2 3 3" xfId="24979" xr:uid="{49EBC87E-53F5-48D2-ACD3-9FBB4F4EC443}"/>
    <cellStyle name="Comma 2 3 4 2 2 3 4" xfId="51438" xr:uid="{04677D73-7E77-447A-81C1-547E3737BFE2}"/>
    <cellStyle name="Comma 2 3 4 2 2 3 5" xfId="54454" xr:uid="{958995A2-A2A5-451D-A528-234C6F08E158}"/>
    <cellStyle name="Comma 2 3 4 2 2 4" xfId="15037" xr:uid="{2BAFC2B6-8F52-422D-9484-D400512657E5}"/>
    <cellStyle name="Comma 2 3 4 2 2 4 2" xfId="22577" xr:uid="{44266408-9924-47C0-A561-E91011CAD392}"/>
    <cellStyle name="Comma 2 3 4 2 2 4 3" xfId="48065" xr:uid="{3533BC2C-E27E-463A-A7F0-AAD6EC7177FD}"/>
    <cellStyle name="Comma 2 3 4 2 2 4 4" xfId="51915" xr:uid="{F14ED952-C681-4D1F-84E8-BD70E77DC9E3}"/>
    <cellStyle name="Comma 2 3 4 2 2 4 5" xfId="54931" xr:uid="{01616061-BC97-4319-8C15-2AD920B19E0B}"/>
    <cellStyle name="Comma 2 3 4 2 2 5" xfId="15524" xr:uid="{397F5BA1-8E87-478F-8850-DCD9A30ECBAA}"/>
    <cellStyle name="Comma 2 3 4 2 2 5 2" xfId="23054" xr:uid="{F0CAACBF-C31D-4A11-AADE-7B8161CDB87E}"/>
    <cellStyle name="Comma 2 3 4 2 2 5 3" xfId="48224" xr:uid="{7D11330A-07D3-4E83-9C0C-8FED23503418}"/>
    <cellStyle name="Comma 2 3 4 2 2 5 4" xfId="52392" xr:uid="{3C11777A-071D-45BB-B825-132D63BF0946}"/>
    <cellStyle name="Comma 2 3 4 2 2 5 5" xfId="55408" xr:uid="{63665518-EE44-41F7-A741-6B8000AF1887}"/>
    <cellStyle name="Comma 2 3 4 2 2 6" xfId="12472" xr:uid="{D798500C-DA41-42A0-960F-C6899B2CFAE2}"/>
    <cellStyle name="Comma 2 3 4 2 2 6 2" xfId="48584" xr:uid="{C90875FD-450D-472E-9661-B6C40B6C9A04}"/>
    <cellStyle name="Comma 2 3 4 2 2 6 3" xfId="50961" xr:uid="{B14F59A8-685C-4379-B096-95254222EFD8}"/>
    <cellStyle name="Comma 2 3 4 2 2 6 4" xfId="53977" xr:uid="{FED7D60A-4E95-435F-98F0-970CA17CABC7}"/>
    <cellStyle name="Comma 2 3 4 2 2 7" xfId="46022" xr:uid="{2FA1C153-97D7-436F-99D2-060091D3D806}"/>
    <cellStyle name="Comma 2 3 4 2 2 8" xfId="49855" xr:uid="{DF19D266-C541-4D65-BDC6-DC7C18F7A6CD}"/>
    <cellStyle name="Comma 2 3 4 2 2 9" xfId="52871" xr:uid="{2007564D-E020-4BC7-A054-53A092F69542}"/>
    <cellStyle name="Comma 2 3 4 2 3" xfId="10086" xr:uid="{B0D5279D-25D5-45DC-800D-20BF3441B5AC}"/>
    <cellStyle name="Comma 2 3 4 2 3 2" xfId="10399" xr:uid="{BED88A0B-3C2B-402F-9BEA-E769D54F32E6}"/>
    <cellStyle name="Comma 2 3 4 2 3 2 2" xfId="14818" xr:uid="{4C839779-92E5-456A-99E9-E8325646BF54}"/>
    <cellStyle name="Comma 2 3 4 2 3 2 2 2" xfId="22365" xr:uid="{C24D95C0-3539-4C0F-BECA-577954A76066}"/>
    <cellStyle name="Comma 2 3 4 2 3 2 2 3" xfId="48064" xr:uid="{B3E49431-B201-46FA-A6F3-1784832705A1}"/>
    <cellStyle name="Comma 2 3 4 2 3 2 2 4" xfId="51703" xr:uid="{80653393-5A4E-46CA-97D9-5A9A987B2259}"/>
    <cellStyle name="Comma 2 3 4 2 3 2 2 5" xfId="54719" xr:uid="{19932575-C0D1-4CAA-9CB1-9F3C41B11598}"/>
    <cellStyle name="Comma 2 3 4 2 3 2 3" xfId="15303" xr:uid="{4DEF75F7-DE44-4F89-A5B6-EEB194D9ED22}"/>
    <cellStyle name="Comma 2 3 4 2 3 2 3 2" xfId="22842" xr:uid="{BCCC6EFE-8EFC-477B-AE17-322BC5E92054}"/>
    <cellStyle name="Comma 2 3 4 2 3 2 3 3" xfId="24444" xr:uid="{9671A0B8-B532-455B-AC28-CC32059FB733}"/>
    <cellStyle name="Comma 2 3 4 2 3 2 3 4" xfId="52180" xr:uid="{4C1CD2C8-A352-443E-805D-B78CFA1E53C4}"/>
    <cellStyle name="Comma 2 3 4 2 3 2 3 5" xfId="55196" xr:uid="{2997971F-012C-4696-9E9A-694BF0E4681C}"/>
    <cellStyle name="Comma 2 3 4 2 3 2 4" xfId="15790" xr:uid="{533F5FF7-4E76-4231-AC8E-DC6978465F39}"/>
    <cellStyle name="Comma 2 3 4 2 3 2 4 2" xfId="23319" xr:uid="{AB3522C1-0C52-4D40-95D4-0D5024F6ABB5}"/>
    <cellStyle name="Comma 2 3 4 2 3 2 4 3" xfId="48083" xr:uid="{C89C2ADB-6A47-4CB5-8FAF-1BA4ED841C04}"/>
    <cellStyle name="Comma 2 3 4 2 3 2 4 4" xfId="52657" xr:uid="{062F3C55-09DB-439E-95A4-C33A765870A0}"/>
    <cellStyle name="Comma 2 3 4 2 3 2 4 5" xfId="55673" xr:uid="{C11A4F64-FC75-4F3C-A4C0-484A86540FCA}"/>
    <cellStyle name="Comma 2 3 4 2 3 2 5" xfId="12852" xr:uid="{381F75B4-087F-428B-8DEE-2F98C17F09AA}"/>
    <cellStyle name="Comma 2 3 4 2 3 2 5 2" xfId="48533" xr:uid="{9C0DB007-0269-47AC-AA28-6DE4505B8D18}"/>
    <cellStyle name="Comma 2 3 4 2 3 2 5 3" xfId="51226" xr:uid="{E6DD873E-A539-4672-96F7-FC47037BA29D}"/>
    <cellStyle name="Comma 2 3 4 2 3 2 5 4" xfId="54242" xr:uid="{3DEB45B9-4BFD-43FC-B250-D3A9E9ED4F56}"/>
    <cellStyle name="Comma 2 3 4 2 3 2 6" xfId="48456" xr:uid="{864A6F75-D148-472F-8318-96269D19D621}"/>
    <cellStyle name="Comma 2 3 4 2 3 2 7" xfId="50120" xr:uid="{8D49CE4C-36CA-4D7E-8255-8B481AF1EE3D}"/>
    <cellStyle name="Comma 2 3 4 2 3 2 8" xfId="53136" xr:uid="{0191505F-DBD4-4FD2-B007-0F571128AB9F}"/>
    <cellStyle name="Comma 2 3 4 2 3 3" xfId="14606" xr:uid="{C7403158-6A13-4F63-A65D-2B7223657587}"/>
    <cellStyle name="Comma 2 3 4 2 3 3 2" xfId="22153" xr:uid="{FDD46C1D-14D2-4D28-81BB-BEF4E8119B29}"/>
    <cellStyle name="Comma 2 3 4 2 3 3 3" xfId="46676" xr:uid="{E5A1AF95-EFAC-45BF-BA7D-29BA1E69BFD8}"/>
    <cellStyle name="Comma 2 3 4 2 3 3 4" xfId="51491" xr:uid="{9BE8C2F4-BE6E-4D23-85F2-4F21420FFCDB}"/>
    <cellStyle name="Comma 2 3 4 2 3 3 5" xfId="54507" xr:uid="{383EA049-0DF2-4D75-8BCA-57AAB93D3BCD}"/>
    <cellStyle name="Comma 2 3 4 2 3 4" xfId="15091" xr:uid="{3125982A-8F10-478E-A06D-E353337DE2AF}"/>
    <cellStyle name="Comma 2 3 4 2 3 4 2" xfId="22630" xr:uid="{C1382C9C-9613-4D8E-9633-8886DD777ED3}"/>
    <cellStyle name="Comma 2 3 4 2 3 4 3" xfId="32506" xr:uid="{F3CD20EF-2452-4155-81BA-0150C77415D5}"/>
    <cellStyle name="Comma 2 3 4 2 3 4 4" xfId="51968" xr:uid="{52E080C3-875B-47DE-AE98-8EAA33B00C35}"/>
    <cellStyle name="Comma 2 3 4 2 3 4 5" xfId="54984" xr:uid="{F7E6AD3E-B37E-46FD-BCF0-F58476ED096F}"/>
    <cellStyle name="Comma 2 3 4 2 3 5" xfId="15578" xr:uid="{7D8623F6-238F-4B0C-BBEE-1DA441214A5D}"/>
    <cellStyle name="Comma 2 3 4 2 3 5 2" xfId="23107" xr:uid="{7DE1E102-4EA1-4B7B-A134-AF0F94485735}"/>
    <cellStyle name="Comma 2 3 4 2 3 5 3" xfId="46938" xr:uid="{06650FC6-8785-4880-BB46-51C7BF2ECED5}"/>
    <cellStyle name="Comma 2 3 4 2 3 5 4" xfId="52445" xr:uid="{8A86BE3C-D43B-4123-ADE5-303772B13796}"/>
    <cellStyle name="Comma 2 3 4 2 3 5 5" xfId="55461" xr:uid="{7DF77C6C-3842-4225-90E6-02068EB39CBB}"/>
    <cellStyle name="Comma 2 3 4 2 3 6" xfId="12543" xr:uid="{9CFCEDE8-7E96-4EA4-ADD0-63F6DA48218B}"/>
    <cellStyle name="Comma 2 3 4 2 3 6 2" xfId="47397" xr:uid="{3E6ACB98-8A0D-4A5A-BA9F-B151DE5E4226}"/>
    <cellStyle name="Comma 2 3 4 2 3 6 3" xfId="51014" xr:uid="{41753606-2DD4-4300-8D8E-70A447B4E267}"/>
    <cellStyle name="Comma 2 3 4 2 3 6 4" xfId="54030" xr:uid="{D8DFA6D0-5276-42DB-AF91-AAA3D744C370}"/>
    <cellStyle name="Comma 2 3 4 2 3 7" xfId="48150" xr:uid="{8B91F4F2-53F5-4E12-9577-DD9B2D1EF6EC}"/>
    <cellStyle name="Comma 2 3 4 2 3 8" xfId="49908" xr:uid="{97E13A50-D7D7-42E0-A27A-D2E1DD0E59B2}"/>
    <cellStyle name="Comma 2 3 4 2 3 9" xfId="52924" xr:uid="{2C6F6614-F126-4619-9B29-35D1C908B2F5}"/>
    <cellStyle name="Comma 2 3 4 2 4" xfId="10165" xr:uid="{5D246DCE-6C39-4027-BAA1-12B7E11D6E22}"/>
    <cellStyle name="Comma 2 3 4 2 4 2" xfId="10479" xr:uid="{8F7A1FE6-9A29-4A18-AE3B-6D4D6C6EA3C4}"/>
    <cellStyle name="Comma 2 3 4 2 4 2 2" xfId="14871" xr:uid="{3901DDF8-BA7D-419B-956A-8DB82D575896}"/>
    <cellStyle name="Comma 2 3 4 2 4 2 2 2" xfId="22418" xr:uid="{1EE95974-01A0-4331-A943-481E8E6BB71A}"/>
    <cellStyle name="Comma 2 3 4 2 4 2 2 3" xfId="46998" xr:uid="{77854747-44AA-48DC-BB29-1321503077DE}"/>
    <cellStyle name="Comma 2 3 4 2 4 2 2 4" xfId="51756" xr:uid="{31B5E6DA-11B4-421F-8023-55A4467BF121}"/>
    <cellStyle name="Comma 2 3 4 2 4 2 2 5" xfId="54772" xr:uid="{1202CC1F-87C8-4A2E-B732-1221082102F9}"/>
    <cellStyle name="Comma 2 3 4 2 4 2 3" xfId="15356" xr:uid="{35677AEF-1843-4D22-9C2F-A81DADBB6B68}"/>
    <cellStyle name="Comma 2 3 4 2 4 2 3 2" xfId="22895" xr:uid="{4D667B85-D19F-4C11-94CF-378C15A99776}"/>
    <cellStyle name="Comma 2 3 4 2 4 2 3 3" xfId="24907" xr:uid="{9DE31FC2-FDD9-4AFB-B9B2-6B22502D6BB6}"/>
    <cellStyle name="Comma 2 3 4 2 4 2 3 4" xfId="52233" xr:uid="{DD456199-39E6-45C1-9C77-DE809565183E}"/>
    <cellStyle name="Comma 2 3 4 2 4 2 3 5" xfId="55249" xr:uid="{EDFAF2A1-FBD6-4764-9F7D-2EC25C7B62F4}"/>
    <cellStyle name="Comma 2 3 4 2 4 2 4" xfId="15843" xr:uid="{599BA92C-CD7D-4A02-B01C-FB3890F5CCE3}"/>
    <cellStyle name="Comma 2 3 4 2 4 2 4 2" xfId="23372" xr:uid="{9C1B69F8-DDB9-4004-8A65-62A184D2BBFE}"/>
    <cellStyle name="Comma 2 3 4 2 4 2 4 3" xfId="46596" xr:uid="{D03F3063-3208-4A89-956B-DAF929D61F17}"/>
    <cellStyle name="Comma 2 3 4 2 4 2 4 4" xfId="52710" xr:uid="{59F68CCE-9745-4940-9F22-D6E588B05B58}"/>
    <cellStyle name="Comma 2 3 4 2 4 2 4 5" xfId="55726" xr:uid="{2069E285-890E-42FE-ACCB-E4E2BAC32351}"/>
    <cellStyle name="Comma 2 3 4 2 4 2 5" xfId="12932" xr:uid="{F2FBE7F2-AC98-4666-BF7D-518FCE7B76F2}"/>
    <cellStyle name="Comma 2 3 4 2 4 2 5 2" xfId="46813" xr:uid="{0C08B37A-04A7-4BBE-8DA8-D59949B73D23}"/>
    <cellStyle name="Comma 2 3 4 2 4 2 5 3" xfId="51279" xr:uid="{02878AC1-F6C6-4854-86A3-6059E67DDDD5}"/>
    <cellStyle name="Comma 2 3 4 2 4 2 5 4" xfId="54295" xr:uid="{E876AA62-5C1C-4989-8CCE-20AF275B9FE8}"/>
    <cellStyle name="Comma 2 3 4 2 4 2 6" xfId="47587" xr:uid="{7409D4E5-F6E8-4FDD-8966-DBE6C8236EDE}"/>
    <cellStyle name="Comma 2 3 4 2 4 2 7" xfId="50173" xr:uid="{93A3E029-A279-40C6-A6A9-503FD3CA82C6}"/>
    <cellStyle name="Comma 2 3 4 2 4 2 8" xfId="53189" xr:uid="{D339AC9A-AC65-45FE-8EA1-CCA6F2E4CAF8}"/>
    <cellStyle name="Comma 2 3 4 2 4 3" xfId="14659" xr:uid="{8F95E271-788C-4ACB-93D7-0C6404036915}"/>
    <cellStyle name="Comma 2 3 4 2 4 3 2" xfId="22206" xr:uid="{A68CD093-70EB-490C-8E4D-6A6C82B7C945}"/>
    <cellStyle name="Comma 2 3 4 2 4 3 3" xfId="25302" xr:uid="{46F31577-B50B-4616-9597-FDBCBB63BA6B}"/>
    <cellStyle name="Comma 2 3 4 2 4 3 4" xfId="51544" xr:uid="{AF3722FC-AC7C-47A6-A13B-14C30984EE3F}"/>
    <cellStyle name="Comma 2 3 4 2 4 3 5" xfId="54560" xr:uid="{4EB77FFF-B6E5-4CC9-A8AC-C970147178B3}"/>
    <cellStyle name="Comma 2 3 4 2 4 4" xfId="15144" xr:uid="{CA103B5A-EB9A-46A5-936E-99BD1F0DE250}"/>
    <cellStyle name="Comma 2 3 4 2 4 4 2" xfId="22683" xr:uid="{F9EA030C-4820-4071-8D9D-893769131B00}"/>
    <cellStyle name="Comma 2 3 4 2 4 4 3" xfId="48294" xr:uid="{BAC5D89C-57D5-4482-893C-78F1719A4B1A}"/>
    <cellStyle name="Comma 2 3 4 2 4 4 4" xfId="52021" xr:uid="{1FB17AC0-28DD-401C-85BE-9C51D97B6A02}"/>
    <cellStyle name="Comma 2 3 4 2 4 4 5" xfId="55037" xr:uid="{11FAB90D-11B7-4D54-9E79-FE659802C50A}"/>
    <cellStyle name="Comma 2 3 4 2 4 5" xfId="15631" xr:uid="{0AC4B005-A27A-41D0-83CE-E2D8B8619370}"/>
    <cellStyle name="Comma 2 3 4 2 4 5 2" xfId="23160" xr:uid="{CB06C5B5-4932-4A9B-AF18-951FC5DE8DA2}"/>
    <cellStyle name="Comma 2 3 4 2 4 5 3" xfId="48131" xr:uid="{5FE63104-AFE8-44C8-8507-EF7868D9816C}"/>
    <cellStyle name="Comma 2 3 4 2 4 5 4" xfId="52498" xr:uid="{5EB1CBE6-C61D-4EFF-9D1F-CDF40CE84F74}"/>
    <cellStyle name="Comma 2 3 4 2 4 5 5" xfId="55514" xr:uid="{4A6381A0-3A8C-4981-A46B-0A568DB90270}"/>
    <cellStyle name="Comma 2 3 4 2 4 6" xfId="12619" xr:uid="{7E25A57F-39C6-4ED4-A997-C234680615B0}"/>
    <cellStyle name="Comma 2 3 4 2 4 6 2" xfId="48048" xr:uid="{B6774B78-B954-4EBD-80EB-80A8220F05E5}"/>
    <cellStyle name="Comma 2 3 4 2 4 6 3" xfId="51067" xr:uid="{9145F18E-40A6-4A32-A45D-B355067A4265}"/>
    <cellStyle name="Comma 2 3 4 2 4 6 4" xfId="54083" xr:uid="{2B6728AB-E8A2-42BE-9A8E-C0A016F925F1}"/>
    <cellStyle name="Comma 2 3 4 2 4 7" xfId="46617" xr:uid="{6C25B415-C1D0-4139-87AA-9BC3E43B9B6F}"/>
    <cellStyle name="Comma 2 3 4 2 4 8" xfId="49961" xr:uid="{BC2EB103-A81D-4BF9-8DA1-4A866700288B}"/>
    <cellStyle name="Comma 2 3 4 2 4 9" xfId="52977" xr:uid="{E1C7403A-EE33-472A-B3A5-85244D370A18}"/>
    <cellStyle name="Comma 2 3 4 2 5" xfId="10245" xr:uid="{C0000E45-76F0-4712-8205-D063C5431C84}"/>
    <cellStyle name="Comma 2 3 4 2 5 2" xfId="14712" xr:uid="{40615CEA-9602-4542-9831-45C7E65D3785}"/>
    <cellStyle name="Comma 2 3 4 2 5 2 2" xfId="22259" xr:uid="{23CABDE4-7FAA-4372-831B-DB4DB54C544F}"/>
    <cellStyle name="Comma 2 3 4 2 5 2 3" xfId="46852" xr:uid="{27F25384-B772-4E31-861A-B6B35C6A32F9}"/>
    <cellStyle name="Comma 2 3 4 2 5 2 4" xfId="51597" xr:uid="{30D72B1A-6EAE-42C0-B39F-17872BBA587D}"/>
    <cellStyle name="Comma 2 3 4 2 5 2 5" xfId="54613" xr:uid="{A5F70F48-9C0B-47B7-B130-80BD09A3C265}"/>
    <cellStyle name="Comma 2 3 4 2 5 3" xfId="15197" xr:uid="{2E2BCE27-193B-4D22-9549-5305834F44E0}"/>
    <cellStyle name="Comma 2 3 4 2 5 3 2" xfId="22736" xr:uid="{83C2E063-9269-43C9-B17A-F5E57C93BFD8}"/>
    <cellStyle name="Comma 2 3 4 2 5 3 3" xfId="46690" xr:uid="{9EF0F097-924A-4BE0-9BEB-9D26D9466673}"/>
    <cellStyle name="Comma 2 3 4 2 5 3 4" xfId="52074" xr:uid="{DB674279-F0AF-477D-B959-7F74396D4134}"/>
    <cellStyle name="Comma 2 3 4 2 5 3 5" xfId="55090" xr:uid="{3A9317D2-4D79-433E-8E86-E1A8AAD0527E}"/>
    <cellStyle name="Comma 2 3 4 2 5 4" xfId="15684" xr:uid="{A2377EBD-3960-4FC8-B630-17A5B5F570B2}"/>
    <cellStyle name="Comma 2 3 4 2 5 4 2" xfId="23213" xr:uid="{CCC77F15-CE3F-4943-8BD2-E1EEF7030D89}"/>
    <cellStyle name="Comma 2 3 4 2 5 4 3" xfId="46953" xr:uid="{6BFD8B11-BF33-4882-AF77-92EE4E233D11}"/>
    <cellStyle name="Comma 2 3 4 2 5 4 4" xfId="52551" xr:uid="{279F7F5B-00D0-4C5E-A1AB-1C395776D7F6}"/>
    <cellStyle name="Comma 2 3 4 2 5 4 5" xfId="55567" xr:uid="{461037AC-42EE-4E74-A45B-A8EE57378CE5}"/>
    <cellStyle name="Comma 2 3 4 2 5 5" xfId="12698" xr:uid="{DF21CEBD-46CE-439C-90C5-D8621FC14EE2}"/>
    <cellStyle name="Comma 2 3 4 2 5 5 2" xfId="46343" xr:uid="{4C5D5999-B08F-4E62-B279-1F6CE69D3F60}"/>
    <cellStyle name="Comma 2 3 4 2 5 5 3" xfId="51120" xr:uid="{D3E46E5F-1F85-4C39-9DB6-D45CA17A42CB}"/>
    <cellStyle name="Comma 2 3 4 2 5 5 4" xfId="54136" xr:uid="{44A08D2F-9AA4-403C-9758-FAA4341D396E}"/>
    <cellStyle name="Comma 2 3 4 2 5 6" xfId="47409" xr:uid="{E6D4B0DC-4D89-4C31-A45A-A5AA24F4C2D9}"/>
    <cellStyle name="Comma 2 3 4 2 5 7" xfId="50014" xr:uid="{6C95E196-C4FD-438E-8D24-FD78A69FF3EB}"/>
    <cellStyle name="Comma 2 3 4 2 5 8" xfId="53030" xr:uid="{401D6554-CF2D-4DCE-A5B2-468BA175A613}"/>
    <cellStyle name="Comma 2 3 4 2 6" xfId="10559" xr:uid="{55477357-EACE-4FA9-A4C9-B66704D34DD1}"/>
    <cellStyle name="Comma 2 3 4 2 6 2" xfId="14924" xr:uid="{1C6DB4A4-AF49-4530-A44D-5E678D09E0C8}"/>
    <cellStyle name="Comma 2 3 4 2 6 2 2" xfId="22471" xr:uid="{5D335B7F-765E-4F54-9CA5-ABE4CB82D009}"/>
    <cellStyle name="Comma 2 3 4 2 6 2 3" xfId="48323" xr:uid="{2F359B3E-8A16-43C9-B4C8-99BB43F422C9}"/>
    <cellStyle name="Comma 2 3 4 2 6 2 4" xfId="51809" xr:uid="{579754E7-D3D6-493C-80B3-A3E65F9FBB86}"/>
    <cellStyle name="Comma 2 3 4 2 6 2 5" xfId="54825" xr:uid="{A989450B-1F2A-493B-B2D6-B5654ADD6B16}"/>
    <cellStyle name="Comma 2 3 4 2 6 3" xfId="15409" xr:uid="{044C2E20-E9F0-4AF9-BADA-D6FD4E8B2BB2}"/>
    <cellStyle name="Comma 2 3 4 2 6 3 2" xfId="22948" xr:uid="{4C5B6181-33B6-43A8-879E-890B27192675}"/>
    <cellStyle name="Comma 2 3 4 2 6 3 3" xfId="47404" xr:uid="{20E855E8-963D-4239-94D4-1D57AF67453B}"/>
    <cellStyle name="Comma 2 3 4 2 6 3 4" xfId="52286" xr:uid="{D81009AB-434F-49B9-B30B-3D73A450B56E}"/>
    <cellStyle name="Comma 2 3 4 2 6 3 5" xfId="55302" xr:uid="{9D235538-A5AF-411D-B0C5-BA5CA6673B17}"/>
    <cellStyle name="Comma 2 3 4 2 6 4" xfId="15897" xr:uid="{0DBF7D2E-0D9B-4630-95E8-47EA28EBEDE5}"/>
    <cellStyle name="Comma 2 3 4 2 6 4 2" xfId="23425" xr:uid="{4FA83FED-6431-49FB-A593-C64601D14893}"/>
    <cellStyle name="Comma 2 3 4 2 6 4 3" xfId="46602" xr:uid="{65A14DDC-5046-408B-8C4B-D43356703A57}"/>
    <cellStyle name="Comma 2 3 4 2 6 4 4" xfId="52763" xr:uid="{0138A6F1-65E9-4B60-A3A4-6ADF0CC1A407}"/>
    <cellStyle name="Comma 2 3 4 2 6 4 5" xfId="55779" xr:uid="{60003B52-ADDF-4FC4-90BE-1CA77C96ECA4}"/>
    <cellStyle name="Comma 2 3 4 2 6 5" xfId="13012" xr:uid="{2A89C149-134A-4326-B2D2-DFA8E38BE0D5}"/>
    <cellStyle name="Comma 2 3 4 2 6 5 2" xfId="46821" xr:uid="{245F2F40-8135-47DA-A42F-8F6D40DC66F6}"/>
    <cellStyle name="Comma 2 3 4 2 6 5 3" xfId="51332" xr:uid="{A7868FE0-541D-4F50-8998-38A76DD8798C}"/>
    <cellStyle name="Comma 2 3 4 2 6 5 4" xfId="54348" xr:uid="{054661EB-6831-4818-97E0-CE23C37C157C}"/>
    <cellStyle name="Comma 2 3 4 2 6 6" xfId="32473" xr:uid="{18487AE0-58B6-4257-8085-5FA286BBCAC6}"/>
    <cellStyle name="Comma 2 3 4 2 6 7" xfId="50226" xr:uid="{8BBA7CE6-1E40-42D1-A37B-97AE0DA0D331}"/>
    <cellStyle name="Comma 2 3 4 2 6 8" xfId="53242" xr:uid="{04C3DDA2-644C-414D-A572-A98169EAD76F}"/>
    <cellStyle name="Comma 2 3 4 2 7" xfId="13373" xr:uid="{B8CFA68C-54EC-4406-A3CB-9C7312B72AF0}"/>
    <cellStyle name="Comma 2 3 4 2 8" xfId="14500" xr:uid="{25CFCF9B-5E7C-40B4-AE34-B29C29455218}"/>
    <cellStyle name="Comma 2 3 4 2 8 2" xfId="22047" xr:uid="{6A4C69F8-9556-4FE8-A4A2-916C3DB15AEA}"/>
    <cellStyle name="Comma 2 3 4 2 8 3" xfId="46828" xr:uid="{D84C003C-BD3C-4DEA-9180-3489B94AF63E}"/>
    <cellStyle name="Comma 2 3 4 2 8 4" xfId="51385" xr:uid="{8E8713A4-ED20-426A-B46F-FDF57A2550F4}"/>
    <cellStyle name="Comma 2 3 4 2 8 5" xfId="54401" xr:uid="{D59EDA3E-4137-442D-8410-C1A3130B21A9}"/>
    <cellStyle name="Comma 2 3 4 2 9" xfId="14984" xr:uid="{7DC9D707-1F72-435A-BED6-0BF5F4267ADE}"/>
    <cellStyle name="Comma 2 3 4 2 9 2" xfId="22524" xr:uid="{6764BA9F-52DE-4D35-AE55-23AE1FB174F2}"/>
    <cellStyle name="Comma 2 3 4 2 9 3" xfId="32402" xr:uid="{7DA90685-D286-4016-82A3-1EB96E88B059}"/>
    <cellStyle name="Comma 2 3 4 2 9 4" xfId="51862" xr:uid="{0552AD6B-564F-40B2-8E16-156DD1938044}"/>
    <cellStyle name="Comma 2 3 4 2 9 5" xfId="54878" xr:uid="{544FD741-E049-45C4-AC2C-C1302E47B433}"/>
    <cellStyle name="Comma 2 3 4 3" xfId="5813" xr:uid="{71311E5F-8844-4C6D-B2A7-3F9E1F338858}"/>
    <cellStyle name="Comma 2 3 4 3 2" xfId="12270" xr:uid="{59A692F0-4649-48AF-93DE-87A8EE2C0DE5}"/>
    <cellStyle name="Comma 2 3 4 4" xfId="11581" xr:uid="{761DBB6F-17E2-4EC5-8136-0AD151B8744F}"/>
    <cellStyle name="Comma 2 3 4 4 2" xfId="21705" xr:uid="{81E55082-0311-49B4-8E33-36D8FE31928E}"/>
    <cellStyle name="Comma 2 3 4 4 3" xfId="48390" xr:uid="{F7E1564A-C4BB-4F8E-B6D2-7EB39D2B06C3}"/>
    <cellStyle name="Comma 2 3 4 4 4" xfId="50728" xr:uid="{4293E585-CA9A-4F3D-A8C9-31DC89BE8EE2}"/>
    <cellStyle name="Comma 2 3 4 4 5" xfId="53744" xr:uid="{959C9C27-4996-4F57-AE52-FEAB552B6E84}"/>
    <cellStyle name="Comma 2 3 4 5" xfId="19474" xr:uid="{DC63F786-1A2A-4909-B065-92D05DB07035}"/>
    <cellStyle name="Comma 2 3 4 6" xfId="23718" xr:uid="{C366195C-9496-4627-B938-CFC7C4097D97}"/>
    <cellStyle name="Comma 2 3 4 7" xfId="48608" xr:uid="{36AB1D3D-2D01-4A66-99EA-F46BE923321F}"/>
    <cellStyle name="Comma 2 3 4 8" xfId="49518" xr:uid="{456699C7-E092-4954-A822-A7C65A39349F}"/>
    <cellStyle name="Comma 2 3 4 9" xfId="7227" xr:uid="{E94B720B-CFFF-4031-9FD0-70DDB37E4FF8}"/>
    <cellStyle name="Comma 2 3 5" xfId="2614" xr:uid="{80CB021D-4E8D-49A0-B08C-7ACB84E33FFB}"/>
    <cellStyle name="Comma 2 3 5 2" xfId="4533" xr:uid="{61410ED2-BE81-418B-AB28-BCC6AC907C05}"/>
    <cellStyle name="Comma 2 3 5 2 2" xfId="35064" xr:uid="{E5303C72-7508-4557-9217-3DA9C22B11F5}"/>
    <cellStyle name="Comma 2 3 5 2 2 2" xfId="40225" xr:uid="{21B99591-E13C-4E64-8EF1-D9C1E61B9B3C}"/>
    <cellStyle name="Comma 2 3 5 2 2 3" xfId="45527" xr:uid="{77412F70-D141-4945-B6EF-D9F5F3C79587}"/>
    <cellStyle name="Comma 2 3 5 2 3" xfId="37574" xr:uid="{9EA42155-A56E-41B2-8954-9563BE113DF3}"/>
    <cellStyle name="Comma 2 3 5 2 4" xfId="42876" xr:uid="{007FACC0-60BC-4AB2-991E-5AF053BD8E83}"/>
    <cellStyle name="Comma 2 3 5 2 5" xfId="12217" xr:uid="{148D5C60-D492-4753-A3C7-35631121B08F}"/>
    <cellStyle name="Comma 2 3 5 3" xfId="5814" xr:uid="{CCE30DD6-D117-4FE5-81F5-D9085349F850}"/>
    <cellStyle name="Comma 2 3 5 3 2" xfId="21717" xr:uid="{A5EFA49C-4C07-471C-9F01-1A6B56340A0A}"/>
    <cellStyle name="Comma 2 3 5 3 3" xfId="48188" xr:uid="{047496C1-43B7-4088-BCF9-8DDEE6265477}"/>
    <cellStyle name="Comma 2 3 5 3 4" xfId="50743" xr:uid="{56AEEA75-2134-491E-A7AD-24CA8F985438}"/>
    <cellStyle name="Comma 2 3 5 3 5" xfId="53759" xr:uid="{F6BA89DF-B6E7-4D04-90EE-D0346964BD46}"/>
    <cellStyle name="Comma 2 3 5 3 6" xfId="11695" xr:uid="{002F357A-E0B9-46C4-91FA-A67BF3735A1F}"/>
    <cellStyle name="Comma 2 3 5 4" xfId="19475" xr:uid="{69C28A44-EAAE-4A6B-93E0-A4E2A2B5584B}"/>
    <cellStyle name="Comma 2 3 5 5" xfId="23720" xr:uid="{3CA9308A-79EC-4C87-82B3-2344F8E29D15}"/>
    <cellStyle name="Comma 2 3 5 6" xfId="48610" xr:uid="{293D50F8-4B89-4D36-A5DD-3B1C0735C387}"/>
    <cellStyle name="Comma 2 3 5 7" xfId="49520" xr:uid="{E52C8E33-5321-4ECE-8374-50CC37A6EE0E}"/>
    <cellStyle name="Comma 2 3 5 8" xfId="8183" xr:uid="{21C81C4E-5F14-48A5-8E77-E76D5A72DC12}"/>
    <cellStyle name="Comma 2 3 6" xfId="4528" xr:uid="{7E56354E-4C7E-4689-AF31-B607BC12E24A}"/>
    <cellStyle name="Comma 2 3 6 2" xfId="11542" xr:uid="{2BE4F284-9FCF-4E4D-AF6C-E1B405688C22}"/>
    <cellStyle name="Comma 2 3 6 3" xfId="18050" xr:uid="{17BF0ADC-2825-4CE5-894B-64A485169D96}"/>
    <cellStyle name="Comma 2 3 6 3 2" xfId="21681" xr:uid="{06D266F9-9A18-47D8-907C-6A583BAB3238}"/>
    <cellStyle name="Comma 2 3 6 4" xfId="23721" xr:uid="{D420FA9A-911D-44E8-BCD0-E7FE44393567}"/>
    <cellStyle name="Comma 2 3 6 5" xfId="50697" xr:uid="{42E7E866-994A-4CE9-A3C0-816E15FF63A9}"/>
    <cellStyle name="Comma 2 3 6 6" xfId="53713" xr:uid="{B06C3A7C-C214-4E3C-97D7-C6DD40C8F5E6}"/>
    <cellStyle name="Comma 2 3 6 7" xfId="11184" xr:uid="{AECF0BD4-1318-463C-B393-4A78E9FAB334}"/>
    <cellStyle name="Comma 2 3 7" xfId="5810" xr:uid="{6D07E8E1-4FD3-4B24-98FC-825E1B37A4A0}"/>
    <cellStyle name="Comma 2 3 7 2" xfId="13056" xr:uid="{6AC41B87-FE14-4BF2-A1DF-2AB6209D3A8C}"/>
    <cellStyle name="Comma 2 3 8" xfId="2609" xr:uid="{5963EEB3-6336-485C-B87E-65C099A806BF}"/>
    <cellStyle name="Comma 2 3 8 2" xfId="19471" xr:uid="{0C28B240-2510-43C0-9A95-5233EDD28740}"/>
    <cellStyle name="Comma 2 3 9" xfId="23709" xr:uid="{3E299553-8E00-4615-BDE6-F32438CBA509}"/>
    <cellStyle name="Comma 2 4" xfId="1293" xr:uid="{00000000-0005-0000-0000-000055000000}"/>
    <cellStyle name="Comma 2 4 10" xfId="7233" xr:uid="{3F558B89-F574-4956-BDC9-A1488BD4E42D}"/>
    <cellStyle name="Comma 2 4 2" xfId="4534" xr:uid="{856E831D-F07A-4A53-994F-2E1204E7FA63}"/>
    <cellStyle name="Comma 2 4 2 10" xfId="15472" xr:uid="{337CE5CD-45CC-4C4C-9C75-EE0A5549F20C}"/>
    <cellStyle name="Comma 2 4 2 10 2" xfId="23002" xr:uid="{7FFA72FF-7415-4450-84EB-75E0FF7EAA66}"/>
    <cellStyle name="Comma 2 4 2 10 3" xfId="48037" xr:uid="{5D44AD8B-D4E2-440E-80ED-DC654ED8A771}"/>
    <cellStyle name="Comma 2 4 2 10 4" xfId="52340" xr:uid="{A180428C-B58E-48FF-A8A9-2DBB1FAB1D62}"/>
    <cellStyle name="Comma 2 4 2 10 5" xfId="55356" xr:uid="{27A7D9F1-EB1D-4820-B506-A51B5686F105}"/>
    <cellStyle name="Comma 2 4 2 11" xfId="11696" xr:uid="{1D35AB61-2B12-4D81-AB06-AB45AADB9AA4}"/>
    <cellStyle name="Comma 2 4 2 11 2" xfId="21718" xr:uid="{2800C085-0883-4C3B-A21A-D8FD904C3A13}"/>
    <cellStyle name="Comma 2 4 2 11 3" xfId="46282" xr:uid="{4CD57A30-49CA-425A-BC2B-B0DEB1A4B488}"/>
    <cellStyle name="Comma 2 4 2 11 4" xfId="50744" xr:uid="{E1EF063A-5B48-4700-A04A-8CAA71C6B2DC}"/>
    <cellStyle name="Comma 2 4 2 11 5" xfId="53760" xr:uid="{598C7F24-9A09-47CA-B372-1EDA95D1F7CD}"/>
    <cellStyle name="Comma 2 4 2 12" xfId="23723" xr:uid="{6D3164DB-076C-469D-AC39-777571A3F1CE}"/>
    <cellStyle name="Comma 2 4 2 13" xfId="48612" xr:uid="{6A217085-E5B3-4C0D-9652-018CBA483A3C}"/>
    <cellStyle name="Comma 2 4 2 14" xfId="49522" xr:uid="{7159213E-EFCF-4A23-A2B1-CAA306B8DDB0}"/>
    <cellStyle name="Comma 2 4 2 15" xfId="49803" xr:uid="{263A6E4C-75E3-4678-A3F2-9A9DC5E68744}"/>
    <cellStyle name="Comma 2 4 2 16" xfId="52818" xr:uid="{056F3268-018B-4ADD-A272-215FC486CC07}"/>
    <cellStyle name="Comma 2 4 2 17" xfId="8926" xr:uid="{CC0C97E8-8668-43D9-9804-10264AE4426D}"/>
    <cellStyle name="Comma 2 4 2 2" xfId="10013" xr:uid="{95F67B37-AA24-4E93-9906-5B76CB624148}"/>
    <cellStyle name="Comma 2 4 2 2 2" xfId="10321" xr:uid="{96C1C876-499B-4173-BB46-B24C18026FBE}"/>
    <cellStyle name="Comma 2 4 2 2 2 2" xfId="14766" xr:uid="{CFCD6282-352E-4222-8EB9-1F8851E237F0}"/>
    <cellStyle name="Comma 2 4 2 2 2 2 2" xfId="22313" xr:uid="{595D285E-2C15-4119-9DEF-30533A716335}"/>
    <cellStyle name="Comma 2 4 2 2 2 2 3" xfId="47393" xr:uid="{63498283-0E94-4BB4-983B-BB34C8468AFF}"/>
    <cellStyle name="Comma 2 4 2 2 2 2 4" xfId="51651" xr:uid="{C9C23899-4038-48C1-8957-2B3303E6CCD1}"/>
    <cellStyle name="Comma 2 4 2 2 2 2 5" xfId="54667" xr:uid="{E16D0831-02B7-448E-820C-D29B32751E10}"/>
    <cellStyle name="Comma 2 4 2 2 2 3" xfId="15251" xr:uid="{BE33BF0F-421A-408D-9374-178C9460C56D}"/>
    <cellStyle name="Comma 2 4 2 2 2 3 2" xfId="22790" xr:uid="{597E7650-D860-4728-9380-5F114205215A}"/>
    <cellStyle name="Comma 2 4 2 2 2 3 3" xfId="46503" xr:uid="{A6F85228-45BA-4F30-A2D4-4D2DDEDAECC1}"/>
    <cellStyle name="Comma 2 4 2 2 2 3 4" xfId="52128" xr:uid="{3A3A61D4-BEE4-4BBF-BDBB-CCFFA09BF3C0}"/>
    <cellStyle name="Comma 2 4 2 2 2 3 5" xfId="55144" xr:uid="{D2D5480F-858B-46BB-9B30-43C62C5857A8}"/>
    <cellStyle name="Comma 2 4 2 2 2 4" xfId="15738" xr:uid="{52D95BC7-0DFD-495D-929D-AC5DC2947889}"/>
    <cellStyle name="Comma 2 4 2 2 2 4 2" xfId="23267" xr:uid="{A858B2ED-AB99-45A4-B64F-FC69EDF5BD34}"/>
    <cellStyle name="Comma 2 4 2 2 2 4 3" xfId="48310" xr:uid="{10690667-3BA5-4215-9D55-8CD8CC1649EE}"/>
    <cellStyle name="Comma 2 4 2 2 2 4 4" xfId="52605" xr:uid="{F2EA3445-1FFA-498B-81CF-F22DA240538E}"/>
    <cellStyle name="Comma 2 4 2 2 2 4 5" xfId="55621" xr:uid="{1FAF8687-2D85-4DF5-B763-21B208D7EB67}"/>
    <cellStyle name="Comma 2 4 2 2 2 5" xfId="12774" xr:uid="{2B6DB337-5476-4EFD-A778-27241F947191}"/>
    <cellStyle name="Comma 2 4 2 2 2 5 2" xfId="47821" xr:uid="{1142D422-D1D2-4D76-9273-588C95A13E3F}"/>
    <cellStyle name="Comma 2 4 2 2 2 5 3" xfId="51174" xr:uid="{6F189493-4371-4A83-8B1F-23763073C580}"/>
    <cellStyle name="Comma 2 4 2 2 2 5 4" xfId="54190" xr:uid="{6B3EE06E-7872-4136-AABC-3D0E1EDD1D85}"/>
    <cellStyle name="Comma 2 4 2 2 2 6" xfId="46088" xr:uid="{2DBE433D-44D9-45C1-AFBE-83C484A43D35}"/>
    <cellStyle name="Comma 2 4 2 2 2 7" xfId="50068" xr:uid="{4256C48C-A91C-4285-A03C-55FE39551DA8}"/>
    <cellStyle name="Comma 2 4 2 2 2 8" xfId="53084" xr:uid="{5919BC02-4B07-4EE7-95A1-B87FA85CB967}"/>
    <cellStyle name="Comma 2 4 2 2 3" xfId="14554" xr:uid="{60FB29DB-3CC5-4DE1-9D01-5F9AF50B1433}"/>
    <cellStyle name="Comma 2 4 2 2 3 2" xfId="22101" xr:uid="{6BE345CE-9A82-45FC-9E69-DCF3C0C230C9}"/>
    <cellStyle name="Comma 2 4 2 2 3 3" xfId="47532" xr:uid="{288E7326-AF53-4166-8A02-71E1F8D26812}"/>
    <cellStyle name="Comma 2 4 2 2 3 4" xfId="51439" xr:uid="{3A5D21D3-8135-416F-B680-1602F97011D3}"/>
    <cellStyle name="Comma 2 4 2 2 3 5" xfId="54455" xr:uid="{B1EC2738-D1C6-4903-9395-02A938DB7052}"/>
    <cellStyle name="Comma 2 4 2 2 4" xfId="15038" xr:uid="{09D04F18-FA45-4765-86B0-4E167EBB440D}"/>
    <cellStyle name="Comma 2 4 2 2 4 2" xfId="22578" xr:uid="{063054EC-9F17-47EE-97A5-BB106ACC6DE7}"/>
    <cellStyle name="Comma 2 4 2 2 4 3" xfId="48008" xr:uid="{C61A9A3B-5483-4B3C-8A22-2BAD0C027EBF}"/>
    <cellStyle name="Comma 2 4 2 2 4 4" xfId="51916" xr:uid="{C251BF31-03C1-47DF-AE04-90EF85C81FBD}"/>
    <cellStyle name="Comma 2 4 2 2 4 5" xfId="54932" xr:uid="{BB1D83D0-36C5-43B8-B3C8-7D762AD094C6}"/>
    <cellStyle name="Comma 2 4 2 2 5" xfId="15525" xr:uid="{7272F2CB-7879-4939-AD88-F8C468B4E74F}"/>
    <cellStyle name="Comma 2 4 2 2 5 2" xfId="23055" xr:uid="{6120FA6B-2C1C-41CA-8D43-FEDF6E36341B}"/>
    <cellStyle name="Comma 2 4 2 2 5 3" xfId="46545" xr:uid="{EC28DAE8-90F1-4796-936E-ED9B8D0EF09D}"/>
    <cellStyle name="Comma 2 4 2 2 5 4" xfId="52393" xr:uid="{E724E70F-6DDA-4470-83F8-A89AE9DCB713}"/>
    <cellStyle name="Comma 2 4 2 2 5 5" xfId="55409" xr:uid="{72706A6A-5AFB-41D3-9B39-407D713BCD73}"/>
    <cellStyle name="Comma 2 4 2 2 6" xfId="12473" xr:uid="{B19F4004-3A70-4289-A26D-97790D6A6B52}"/>
    <cellStyle name="Comma 2 4 2 2 6 2" xfId="47716" xr:uid="{33314D03-DF6D-496D-B201-F0BE7843EC40}"/>
    <cellStyle name="Comma 2 4 2 2 6 3" xfId="50962" xr:uid="{FD1D093E-8F01-44C6-A70A-50E9842390E3}"/>
    <cellStyle name="Comma 2 4 2 2 6 4" xfId="53978" xr:uid="{09BC4457-4C64-4231-887F-1E64076B0177}"/>
    <cellStyle name="Comma 2 4 2 2 7" xfId="47866" xr:uid="{A91338B8-A502-4732-BF1A-7B551924221E}"/>
    <cellStyle name="Comma 2 4 2 2 8" xfId="49856" xr:uid="{4B449CAF-1E2A-4477-A3F4-FB21B49CB6B7}"/>
    <cellStyle name="Comma 2 4 2 2 9" xfId="52872" xr:uid="{BFE18F86-6D43-4215-AE24-5E975AF566E4}"/>
    <cellStyle name="Comma 2 4 2 3" xfId="10087" xr:uid="{220DDDC9-B054-478C-B8E4-013CE854E41C}"/>
    <cellStyle name="Comma 2 4 2 3 2" xfId="10400" xr:uid="{D9303CD9-49E9-40FE-BFBF-38625CEA02DD}"/>
    <cellStyle name="Comma 2 4 2 3 2 2" xfId="14819" xr:uid="{80A3CC5F-0DDB-4DCE-98E0-85901967793B}"/>
    <cellStyle name="Comma 2 4 2 3 2 2 2" xfId="22366" xr:uid="{EEC6A05B-6A73-4AB8-9AC7-477975084B1A}"/>
    <cellStyle name="Comma 2 4 2 3 2 2 3" xfId="48506" xr:uid="{0344DFD1-14DB-4EE3-9A8D-16DE4AC49D9C}"/>
    <cellStyle name="Comma 2 4 2 3 2 2 4" xfId="51704" xr:uid="{EF3114E7-E338-4F91-A9AA-4A0C8F5AFBF1}"/>
    <cellStyle name="Comma 2 4 2 3 2 2 5" xfId="54720" xr:uid="{A7701EAF-E6B7-4B63-88C9-5B7A77342B63}"/>
    <cellStyle name="Comma 2 4 2 3 2 3" xfId="15304" xr:uid="{D9828A40-2F41-4EB7-8AD7-BBEECA1EC5D0}"/>
    <cellStyle name="Comma 2 4 2 3 2 3 2" xfId="22843" xr:uid="{1D70E220-D1F0-4052-8A23-C17721C72FB5}"/>
    <cellStyle name="Comma 2 4 2 3 2 3 3" xfId="46905" xr:uid="{5EDE7533-09BB-40D0-8E26-AAB5668E0BCA}"/>
    <cellStyle name="Comma 2 4 2 3 2 3 4" xfId="52181" xr:uid="{9D445BAE-4B74-46B7-99CB-8E752525B5F0}"/>
    <cellStyle name="Comma 2 4 2 3 2 3 5" xfId="55197" xr:uid="{AF7F324C-3585-4727-833A-147FEF4283D6}"/>
    <cellStyle name="Comma 2 4 2 3 2 4" xfId="15791" xr:uid="{041CC5A0-AAC6-4BB2-A234-8D168018220E}"/>
    <cellStyle name="Comma 2 4 2 3 2 4 2" xfId="23320" xr:uid="{7F51EA4B-42F0-4BF1-A364-B995888F2934}"/>
    <cellStyle name="Comma 2 4 2 3 2 4 3" xfId="47648" xr:uid="{7E6F2D00-5782-4036-A670-45B76EEE65D3}"/>
    <cellStyle name="Comma 2 4 2 3 2 4 4" xfId="52658" xr:uid="{7EC2F652-D4F3-4681-A889-96C9DB044A03}"/>
    <cellStyle name="Comma 2 4 2 3 2 4 5" xfId="55674" xr:uid="{18BF4625-317A-4AF8-838E-CB7DE025194E}"/>
    <cellStyle name="Comma 2 4 2 3 2 5" xfId="12853" xr:uid="{B5D1AD6C-88F5-4BA6-91F3-8F5D902AB57A}"/>
    <cellStyle name="Comma 2 4 2 3 2 5 2" xfId="46363" xr:uid="{1F9EC336-D7AB-43DF-B4C8-97EB2F8F78F0}"/>
    <cellStyle name="Comma 2 4 2 3 2 5 3" xfId="51227" xr:uid="{762EC6D1-93AE-4768-9E25-9489A858D146}"/>
    <cellStyle name="Comma 2 4 2 3 2 5 4" xfId="54243" xr:uid="{B69B7E75-189C-454F-8050-2315340D0458}"/>
    <cellStyle name="Comma 2 4 2 3 2 6" xfId="46108" xr:uid="{951566C0-E250-447F-9213-C9E3D54934A6}"/>
    <cellStyle name="Comma 2 4 2 3 2 7" xfId="50121" xr:uid="{1B57CE2E-B025-4059-9EF0-D37D98354A7B}"/>
    <cellStyle name="Comma 2 4 2 3 2 8" xfId="53137" xr:uid="{6420BE9B-7C76-471C-8625-6028008118B1}"/>
    <cellStyle name="Comma 2 4 2 3 3" xfId="14607" xr:uid="{B11B45C3-C60B-43E3-852B-915189403297}"/>
    <cellStyle name="Comma 2 4 2 3 3 2" xfId="22154" xr:uid="{EF4DCDFD-5F29-4792-8F10-F30930A110A1}"/>
    <cellStyle name="Comma 2 4 2 3 3 3" xfId="47151" xr:uid="{0CED81BA-B146-43E3-809B-FAC7FBCDE9FB}"/>
    <cellStyle name="Comma 2 4 2 3 3 4" xfId="51492" xr:uid="{B960BBCB-2C0A-4C7A-8226-16F4E0ECC7B0}"/>
    <cellStyle name="Comma 2 4 2 3 3 5" xfId="54508" xr:uid="{FC9B8E97-D412-43FD-AA84-60B180740999}"/>
    <cellStyle name="Comma 2 4 2 3 4" xfId="15092" xr:uid="{006DEACA-0657-414F-974B-86702AD6C6E9}"/>
    <cellStyle name="Comma 2 4 2 3 4 2" xfId="22631" xr:uid="{407A70E7-A2E8-4D1D-B8BA-906D4BCC455A}"/>
    <cellStyle name="Comma 2 4 2 3 4 3" xfId="47681" xr:uid="{55C3814E-DCC5-4F03-A1D2-1D7B2F474185}"/>
    <cellStyle name="Comma 2 4 2 3 4 4" xfId="51969" xr:uid="{CB45D0FE-1C89-4FD2-95E7-BD5FFF7BD665}"/>
    <cellStyle name="Comma 2 4 2 3 4 5" xfId="54985" xr:uid="{018650D8-501F-47E6-B078-9A1050EA752D}"/>
    <cellStyle name="Comma 2 4 2 3 5" xfId="15579" xr:uid="{3CA12EFC-0D92-482D-84B1-806332DF92F7}"/>
    <cellStyle name="Comma 2 4 2 3 5 2" xfId="23108" xr:uid="{C360B4EF-A333-4426-87B3-1712F188D15D}"/>
    <cellStyle name="Comma 2 4 2 3 5 3" xfId="48366" xr:uid="{E3C97DD9-C3E3-45DA-A43C-2E1A5C8F1B3C}"/>
    <cellStyle name="Comma 2 4 2 3 5 4" xfId="52446" xr:uid="{4D1A4745-5396-43C3-9EF3-55C039525136}"/>
    <cellStyle name="Comma 2 4 2 3 5 5" xfId="55462" xr:uid="{79D7BC43-69F1-4A18-94BC-4A7EC9D568F8}"/>
    <cellStyle name="Comma 2 4 2 3 6" xfId="12544" xr:uid="{009D6A39-5003-41D4-96DE-CEC22A1792A9}"/>
    <cellStyle name="Comma 2 4 2 3 6 2" xfId="46767" xr:uid="{99E82C29-D5DC-4AB0-A959-BB51101B4199}"/>
    <cellStyle name="Comma 2 4 2 3 6 3" xfId="51015" xr:uid="{729A1172-4A1C-45CD-B0FB-650799522718}"/>
    <cellStyle name="Comma 2 4 2 3 6 4" xfId="54031" xr:uid="{AE1F530C-D736-4E1E-BB0E-96C33918FBCE}"/>
    <cellStyle name="Comma 2 4 2 3 7" xfId="46039" xr:uid="{E793EF50-6ED4-49C0-82F6-522DE2C0E839}"/>
    <cellStyle name="Comma 2 4 2 3 8" xfId="49909" xr:uid="{312E9CF2-2C9F-489E-9A51-AD0081A5F0C9}"/>
    <cellStyle name="Comma 2 4 2 3 9" xfId="52925" xr:uid="{E2C05F86-1615-4CD8-A1A4-F6387081A7FA}"/>
    <cellStyle name="Comma 2 4 2 4" xfId="10166" xr:uid="{4BD8A67B-B4EA-4E65-9E7D-767AC5739C53}"/>
    <cellStyle name="Comma 2 4 2 4 2" xfId="10480" xr:uid="{EFA9A8CE-F058-4CDD-A268-94046CAE591C}"/>
    <cellStyle name="Comma 2 4 2 4 2 2" xfId="14872" xr:uid="{85EDC283-872F-4654-BD24-664BA03AF5A5}"/>
    <cellStyle name="Comma 2 4 2 4 2 2 2" xfId="22419" xr:uid="{0A04517D-803A-4B3E-9446-B0F9FD09CE2B}"/>
    <cellStyle name="Comma 2 4 2 4 2 2 3" xfId="48553" xr:uid="{14B7C776-A202-47F3-A691-C5882D16EEBF}"/>
    <cellStyle name="Comma 2 4 2 4 2 2 4" xfId="51757" xr:uid="{9EC0599A-B812-4447-A4FF-8F325138C870}"/>
    <cellStyle name="Comma 2 4 2 4 2 2 5" xfId="54773" xr:uid="{BA1F417C-7D26-4FA5-B08D-05146613C276}"/>
    <cellStyle name="Comma 2 4 2 4 2 3" xfId="15357" xr:uid="{71C8366F-E694-4D25-9335-6D129230AE89}"/>
    <cellStyle name="Comma 2 4 2 4 2 3 2" xfId="22896" xr:uid="{0EC7BDE9-B58E-4144-91F8-89F60F8E1A73}"/>
    <cellStyle name="Comma 2 4 2 4 2 3 3" xfId="24443" xr:uid="{D137A10D-7135-4D79-A315-59ED6314920F}"/>
    <cellStyle name="Comma 2 4 2 4 2 3 4" xfId="52234" xr:uid="{8E415A8A-87D5-4ABA-AAB5-CFB558D64228}"/>
    <cellStyle name="Comma 2 4 2 4 2 3 5" xfId="55250" xr:uid="{D7421756-26AE-4FC7-931B-D5BE3906EE2C}"/>
    <cellStyle name="Comma 2 4 2 4 2 4" xfId="15844" xr:uid="{E59AC59C-5C02-4E23-8669-C8E0CB9DA95C}"/>
    <cellStyle name="Comma 2 4 2 4 2 4 2" xfId="23373" xr:uid="{42F59088-E99B-4599-AF12-E8A76FCD95B8}"/>
    <cellStyle name="Comma 2 4 2 4 2 4 3" xfId="24892" xr:uid="{0A28A9D5-D6F4-4EAE-8191-9FA4FEC79154}"/>
    <cellStyle name="Comma 2 4 2 4 2 4 4" xfId="52711" xr:uid="{1E5BC623-8AB0-4FE1-B4A7-C7A91DFC77C8}"/>
    <cellStyle name="Comma 2 4 2 4 2 4 5" xfId="55727" xr:uid="{4BC1ABAE-7553-4F3B-82ED-A46819670FCB}"/>
    <cellStyle name="Comma 2 4 2 4 2 5" xfId="12933" xr:uid="{27933EAF-168C-4314-AFD0-A47B214E0CC9}"/>
    <cellStyle name="Comma 2 4 2 4 2 5 2" xfId="33684" xr:uid="{491A8D4A-3E92-40E5-80BA-EC5C46FDCCFA}"/>
    <cellStyle name="Comma 2 4 2 4 2 5 3" xfId="51280" xr:uid="{34AD46EA-9E98-435E-8521-BCA841D8E942}"/>
    <cellStyle name="Comma 2 4 2 4 2 5 4" xfId="54296" xr:uid="{C408A5FC-E8D9-4953-9E95-5F3C7F4B15C8}"/>
    <cellStyle name="Comma 2 4 2 4 2 6" xfId="46128" xr:uid="{ABA42040-DA32-4D1F-AB80-C7517CB0EAD3}"/>
    <cellStyle name="Comma 2 4 2 4 2 7" xfId="50174" xr:uid="{B8156AEA-5A93-49FD-97C8-B12C91ACD532}"/>
    <cellStyle name="Comma 2 4 2 4 2 8" xfId="53190" xr:uid="{70C58317-F4ED-4073-9A98-9D5C1C01A129}"/>
    <cellStyle name="Comma 2 4 2 4 3" xfId="14660" xr:uid="{07A53D3E-FAF0-4EA8-AE36-FF314878CF31}"/>
    <cellStyle name="Comma 2 4 2 4 3 2" xfId="22207" xr:uid="{07D4B53A-1149-4E8C-B8A4-C3D7CD9E3130}"/>
    <cellStyle name="Comma 2 4 2 4 3 3" xfId="47044" xr:uid="{98E31DEB-F9A0-4169-B8CC-9E781B07E920}"/>
    <cellStyle name="Comma 2 4 2 4 3 4" xfId="51545" xr:uid="{DE6537BE-5F75-4B1E-8C45-F75FE36440E6}"/>
    <cellStyle name="Comma 2 4 2 4 3 5" xfId="54561" xr:uid="{BA3C666B-4CB6-45A3-ADFF-81DACCCE8B65}"/>
    <cellStyle name="Comma 2 4 2 4 4" xfId="15145" xr:uid="{4168D4AF-C659-4B75-B2AF-79DB267DA36A}"/>
    <cellStyle name="Comma 2 4 2 4 4 2" xfId="22684" xr:uid="{1733B92C-E0C4-41D4-A543-FD0AFDE318A5}"/>
    <cellStyle name="Comma 2 4 2 4 4 3" xfId="25294" xr:uid="{D6D107F8-D1FE-499B-915E-6F089E61268B}"/>
    <cellStyle name="Comma 2 4 2 4 4 4" xfId="52022" xr:uid="{C513A153-6C32-4228-A362-242602B41D17}"/>
    <cellStyle name="Comma 2 4 2 4 4 5" xfId="55038" xr:uid="{8B2EBED7-7AD8-4449-B9FB-B73DFAF7B4E7}"/>
    <cellStyle name="Comma 2 4 2 4 5" xfId="15632" xr:uid="{3787668D-4A1C-463C-AF61-AEFC1F4B47CE}"/>
    <cellStyle name="Comma 2 4 2 4 5 2" xfId="23161" xr:uid="{12A00C7C-0134-41AE-9DF7-0D801FEE0C7F}"/>
    <cellStyle name="Comma 2 4 2 4 5 3" xfId="46944" xr:uid="{10D9FF16-1325-472A-9797-E23A13D8F35C}"/>
    <cellStyle name="Comma 2 4 2 4 5 4" xfId="52499" xr:uid="{23AEF0BA-F7D3-4496-98C1-6631BEEDC1F5}"/>
    <cellStyle name="Comma 2 4 2 4 5 5" xfId="55515" xr:uid="{3350EA83-693D-4412-AC60-4DB1D9E189B3}"/>
    <cellStyle name="Comma 2 4 2 4 6" xfId="12620" xr:uid="{FE41386F-C61E-4BA9-9F4D-8163940D5049}"/>
    <cellStyle name="Comma 2 4 2 4 6 2" xfId="47615" xr:uid="{B5CBC765-772C-4360-A484-3EE95F1EEE17}"/>
    <cellStyle name="Comma 2 4 2 4 6 3" xfId="51068" xr:uid="{BC2070A5-45AC-49FE-9F62-4DFC3C9724BF}"/>
    <cellStyle name="Comma 2 4 2 4 6 4" xfId="54084" xr:uid="{C3E30A39-3F3A-47A8-B7A3-785F5CE613CA}"/>
    <cellStyle name="Comma 2 4 2 4 7" xfId="47975" xr:uid="{D87611B1-E071-444B-AAB6-0D75281802BC}"/>
    <cellStyle name="Comma 2 4 2 4 8" xfId="49962" xr:uid="{8115D37A-8147-490F-9E67-34EA3E36C44F}"/>
    <cellStyle name="Comma 2 4 2 4 9" xfId="52978" xr:uid="{5F7F86FC-2312-47EC-8BEF-AB31221EFCA4}"/>
    <cellStyle name="Comma 2 4 2 5" xfId="10246" xr:uid="{36EB3856-B0B5-4361-8E45-C77E00791B0D}"/>
    <cellStyle name="Comma 2 4 2 5 2" xfId="14713" xr:uid="{446B4EAC-A82B-4018-A6DE-0139ACBC617E}"/>
    <cellStyle name="Comma 2 4 2 5 2 2" xfId="22260" xr:uid="{3D54CCDA-1B6F-40EB-863D-1824809B17E4}"/>
    <cellStyle name="Comma 2 4 2 5 2 3" xfId="47772" xr:uid="{F7F1A659-D9A0-4438-9C79-0702159C128B}"/>
    <cellStyle name="Comma 2 4 2 5 2 4" xfId="51598" xr:uid="{A258C2AB-9660-4BFC-8684-2D7F095F23CD}"/>
    <cellStyle name="Comma 2 4 2 5 2 5" xfId="54614" xr:uid="{74C5A695-4507-46B1-AED4-DF46BC9F1FC4}"/>
    <cellStyle name="Comma 2 4 2 5 3" xfId="15198" xr:uid="{46D823BD-E62D-4BF3-ABC1-12BB11C47B2E}"/>
    <cellStyle name="Comma 2 4 2 5 3 2" xfId="22737" xr:uid="{01A5590C-2B7E-4669-B06C-BC8E88D27F6D}"/>
    <cellStyle name="Comma 2 4 2 5 3 3" xfId="48547" xr:uid="{44C9E8AD-B558-47F6-93C9-00C6E69BA4BC}"/>
    <cellStyle name="Comma 2 4 2 5 3 4" xfId="52075" xr:uid="{513FF6CA-62A2-4B3C-9D8F-6C5FE40CAF54}"/>
    <cellStyle name="Comma 2 4 2 5 3 5" xfId="55091" xr:uid="{D38A05F1-432F-4B8A-A959-A3B96BE7AF04}"/>
    <cellStyle name="Comma 2 4 2 5 4" xfId="15685" xr:uid="{C818A561-1E71-4D5E-85FC-C8B2E0E7D25F}"/>
    <cellStyle name="Comma 2 4 2 5 4 2" xfId="23214" xr:uid="{D5EB7296-6E50-4753-B069-BB9BDCDC558F}"/>
    <cellStyle name="Comma 2 4 2 5 4 3" xfId="24650" xr:uid="{4D9F53B5-8105-4CED-9FD7-BFDFBD5EE624}"/>
    <cellStyle name="Comma 2 4 2 5 4 4" xfId="52552" xr:uid="{379EE709-130B-4920-8EAD-1C746640370E}"/>
    <cellStyle name="Comma 2 4 2 5 4 5" xfId="55568" xr:uid="{B0AF4A1F-CDCA-4F06-BB87-33773EF32F23}"/>
    <cellStyle name="Comma 2 4 2 5 5" xfId="12699" xr:uid="{5D3544B5-2025-409E-BBB3-14BFA5CE9CD6}"/>
    <cellStyle name="Comma 2 4 2 5 5 2" xfId="46344" xr:uid="{84D8B59F-2BBF-41D0-A2DF-2CB48984184E}"/>
    <cellStyle name="Comma 2 4 2 5 5 3" xfId="51121" xr:uid="{CD2AEB15-E233-44CE-B27C-C1B6B611CB8E}"/>
    <cellStyle name="Comma 2 4 2 5 5 4" xfId="54137" xr:uid="{B099E87B-D427-4030-AEBA-D0DBC75A211F}"/>
    <cellStyle name="Comma 2 4 2 5 6" xfId="46073" xr:uid="{B6B77C97-CDBE-4B93-B123-A8363CAAD5CC}"/>
    <cellStyle name="Comma 2 4 2 5 7" xfId="50015" xr:uid="{C38404D9-C137-4EC6-8E4E-EF2B47E4F1FA}"/>
    <cellStyle name="Comma 2 4 2 5 8" xfId="53031" xr:uid="{C344E8A4-7771-4440-BD01-159C363570F5}"/>
    <cellStyle name="Comma 2 4 2 6" xfId="10560" xr:uid="{1400F6AD-1656-496F-A9AA-82A07E59BDEC}"/>
    <cellStyle name="Comma 2 4 2 6 2" xfId="14925" xr:uid="{17D593FB-70AE-4E82-942F-357870DEFC17}"/>
    <cellStyle name="Comma 2 4 2 6 2 2" xfId="22472" xr:uid="{AA25924D-84D9-40CD-B70A-263BA59CCCB3}"/>
    <cellStyle name="Comma 2 4 2 6 2 3" xfId="48441" xr:uid="{29FC0810-FFFC-4C50-A688-47181E1E6CCD}"/>
    <cellStyle name="Comma 2 4 2 6 2 4" xfId="51810" xr:uid="{AB1C8A68-83AE-4DA1-891B-27B0913E6D4A}"/>
    <cellStyle name="Comma 2 4 2 6 2 5" xfId="54826" xr:uid="{2180F39A-0EFC-4789-B9A4-4CA9E6A7BAF3}"/>
    <cellStyle name="Comma 2 4 2 6 3" xfId="15410" xr:uid="{055B5823-A343-44C3-8107-6C9B67DD62B4}"/>
    <cellStyle name="Comma 2 4 2 6 3 2" xfId="22949" xr:uid="{2D6ED1A6-8E0C-454B-8099-88890F8E459F}"/>
    <cellStyle name="Comma 2 4 2 6 3 3" xfId="46919" xr:uid="{A7966DC2-8891-46B5-B682-3625D8A50F8A}"/>
    <cellStyle name="Comma 2 4 2 6 3 4" xfId="52287" xr:uid="{A7C66DAF-7A0A-4308-B403-D675B3943B6C}"/>
    <cellStyle name="Comma 2 4 2 6 3 5" xfId="55303" xr:uid="{E1D9B01B-167C-467A-8405-6699119988ED}"/>
    <cellStyle name="Comma 2 4 2 6 4" xfId="15898" xr:uid="{F7A63C54-D84C-49A2-82E9-AAC624528C2E}"/>
    <cellStyle name="Comma 2 4 2 6 4 2" xfId="23426" xr:uid="{40B1A1A1-FB30-4623-A4D2-D8BFB731E374}"/>
    <cellStyle name="Comma 2 4 2 6 4 3" xfId="47135" xr:uid="{843CAF7E-93A9-4E4F-AFBF-5AECF5790BE1}"/>
    <cellStyle name="Comma 2 4 2 6 4 4" xfId="52764" xr:uid="{D0773B1E-7341-49BA-872E-72D0FDFA40C9}"/>
    <cellStyle name="Comma 2 4 2 6 4 5" xfId="55780" xr:uid="{69DD7260-4B9C-4BF8-8DE4-F58AEFFE4F76}"/>
    <cellStyle name="Comma 2 4 2 6 5" xfId="13013" xr:uid="{2CD91B77-3A25-41BD-94A3-9B0D30814E93}"/>
    <cellStyle name="Comma 2 4 2 6 5 2" xfId="47472" xr:uid="{E9F62553-4A81-4B06-82A9-0237136586D0}"/>
    <cellStyle name="Comma 2 4 2 6 5 3" xfId="51333" xr:uid="{56D1964E-DD2A-4659-858B-3A74255EE5BB}"/>
    <cellStyle name="Comma 2 4 2 6 5 4" xfId="54349" xr:uid="{0E620746-52AD-4B93-ACBB-55CB5E53A278}"/>
    <cellStyle name="Comma 2 4 2 6 6" xfId="48374" xr:uid="{171593F4-85D5-42E8-8C5E-32FB73D3CF14}"/>
    <cellStyle name="Comma 2 4 2 6 7" xfId="50227" xr:uid="{8DA5D08A-5DA5-472F-BE73-BDA69CA27FB4}"/>
    <cellStyle name="Comma 2 4 2 6 8" xfId="53243" xr:uid="{41EE6CAA-57B1-4AE4-9BDA-69BF27FA53F0}"/>
    <cellStyle name="Comma 2 4 2 7" xfId="11098" xr:uid="{FFB23523-ECB3-4821-9F07-DF63CDC7C5B1}"/>
    <cellStyle name="Comma 2 4 2 8" xfId="14501" xr:uid="{E0269445-C1C8-4C1F-BDB8-728F2FD4F068}"/>
    <cellStyle name="Comma 2 4 2 8 2" xfId="22048" xr:uid="{1E005939-AA3C-4FF5-81B8-367FFC5870AB}"/>
    <cellStyle name="Comma 2 4 2 8 3" xfId="47175" xr:uid="{7DB37FEA-51EC-46BD-B1FC-80151F3D47EE}"/>
    <cellStyle name="Comma 2 4 2 8 4" xfId="51386" xr:uid="{EA5C13D3-5767-4EC2-AD67-132AA6E0B4F7}"/>
    <cellStyle name="Comma 2 4 2 8 5" xfId="54402" xr:uid="{42C35175-1BF0-4716-9357-A8F51F4C43F9}"/>
    <cellStyle name="Comma 2 4 2 9" xfId="14985" xr:uid="{4ACDEB0D-7501-4C1D-BC0E-C3094A0A7105}"/>
    <cellStyle name="Comma 2 4 2 9 2" xfId="22525" xr:uid="{B96B551A-FAD4-4769-BA61-A473CD97CBC4}"/>
    <cellStyle name="Comma 2 4 2 9 3" xfId="32326" xr:uid="{77626ADF-D610-4DE0-B5F3-00E63FAFB2D0}"/>
    <cellStyle name="Comma 2 4 2 9 4" xfId="51863" xr:uid="{32C0DA9C-E3E5-4505-87E1-80F9AB975E42}"/>
    <cellStyle name="Comma 2 4 2 9 5" xfId="54879" xr:uid="{BF9B87A8-AF9C-4277-B2E6-0A64A3D57D64}"/>
    <cellStyle name="Comma 2 4 3" xfId="5815" xr:uid="{74C3612D-150B-4A3C-A2AA-26FF0A8E2327}"/>
    <cellStyle name="Comma 2 4 3 2" xfId="21684" xr:uid="{1D8762A4-696D-423F-83F1-3BB5FEC86D09}"/>
    <cellStyle name="Comma 2 4 3 3" xfId="23724" xr:uid="{9D0C228D-ADAF-42B0-BF57-B6511CE0B083}"/>
    <cellStyle name="Comma 2 4 3 4" xfId="50700" xr:uid="{F0B7D922-18AE-44A7-B69B-FE47A0F1EBE0}"/>
    <cellStyle name="Comma 2 4 3 5" xfId="53716" xr:uid="{6E85CEFA-A1DA-4E29-AE38-A10B43F73376}"/>
    <cellStyle name="Comma 2 4 3 6" xfId="11187" xr:uid="{850F489F-DD6D-4B62-BA1D-876AADD0D856}"/>
    <cellStyle name="Comma 2 4 4" xfId="2615" xr:uid="{4105B42B-595D-4114-8525-0D1A1D3222D0}"/>
    <cellStyle name="Comma 2 4 4 2" xfId="11090" xr:uid="{CE2BF550-4B04-429C-B80D-18317EF06409}"/>
    <cellStyle name="Comma 2 4 5" xfId="17743" xr:uid="{9970E3AB-38F5-4A9F-9379-BC072F7A55AD}"/>
    <cellStyle name="Comma 2 4 5 2" xfId="21251" xr:uid="{E2F5C460-22C9-4E06-8F90-969467571CC6}"/>
    <cellStyle name="Comma 2 4 6" xfId="19476" xr:uid="{9B7F2BFC-E491-46FC-9FE4-65FE668A771E}"/>
    <cellStyle name="Comma 2 4 7" xfId="23722" xr:uid="{5C6077D6-CAFB-4E23-9547-FC20AAC7FA8B}"/>
    <cellStyle name="Comma 2 4 8" xfId="48611" xr:uid="{D6D9FD66-6C05-4E49-90E6-61FDEE6BFA9E}"/>
    <cellStyle name="Comma 2 4 9" xfId="49521" xr:uid="{AB22CBB7-393B-48FF-BF40-E0D2151F78F6}"/>
    <cellStyle name="Comma 2 5" xfId="2616" xr:uid="{5689246B-C520-414D-A68D-3AC6BE34D6B4}"/>
    <cellStyle name="Comma 2 5 10" xfId="23725" xr:uid="{E19413B0-08AD-490E-8F48-797A901A96F6}"/>
    <cellStyle name="Comma 2 5 11" xfId="7229" xr:uid="{089D8BB1-1D47-4BB5-ACD4-B191EC77A876}"/>
    <cellStyle name="Comma 2 5 2" xfId="2617" xr:uid="{AAAE9B4A-AEF0-4CB4-8060-DC1C842F2470}"/>
    <cellStyle name="Comma 2 5 2 2" xfId="4536" xr:uid="{73B667F8-CEC9-444B-8F0C-6081965467CF}"/>
    <cellStyle name="Comma 2 5 2 2 2" xfId="23727" xr:uid="{687B7A26-95BA-4CC6-9AD4-9AF4177C9EDA}"/>
    <cellStyle name="Comma 2 5 2 2 3" xfId="48613" xr:uid="{1D5EA4E1-3182-4101-B94C-8410EB534689}"/>
    <cellStyle name="Comma 2 5 2 2 4" xfId="49523" xr:uid="{083AE715-DA75-4F09-95E1-713E9BB25450}"/>
    <cellStyle name="Comma 2 5 2 2 5" xfId="17637" xr:uid="{4440873F-AF7E-46E1-A426-2899A0F4CE66}"/>
    <cellStyle name="Comma 2 5 2 3" xfId="5817" xr:uid="{CCEAF00F-DF31-4D5F-B5D9-D6944E21B2D0}"/>
    <cellStyle name="Comma 2 5 2 3 2" xfId="38061" xr:uid="{236D4C20-4F32-45DF-8895-405FA6EE4E73}"/>
    <cellStyle name="Comma 2 5 2 3 3" xfId="43363" xr:uid="{38D881F4-9E8D-49E0-8585-E020D6690C01}"/>
    <cellStyle name="Comma 2 5 2 3 4" xfId="32687" xr:uid="{AE232031-1642-4F44-B601-D5AB429CEFA9}"/>
    <cellStyle name="Comma 2 5 2 3 5" xfId="19478" xr:uid="{F1F3EC3F-4A31-47FD-ACF2-DB19343BD6AD}"/>
    <cellStyle name="Comma 2 5 2 4" xfId="35596" xr:uid="{A513AFB8-355A-4D8E-A601-1EC2F1D5DDA3}"/>
    <cellStyle name="Comma 2 5 2 5" xfId="40712" xr:uid="{F02DB13C-687D-4F21-A543-993A21AEDAEC}"/>
    <cellStyle name="Comma 2 5 2 6" xfId="23726" xr:uid="{4F75FC89-EDD1-41BF-8D50-417E8CA07E95}"/>
    <cellStyle name="Comma 2 5 2 7" xfId="15940" xr:uid="{999598C5-9EDD-45AB-B046-B785170D3F0C}"/>
    <cellStyle name="Comma 2 5 2 8" xfId="7226" xr:uid="{986D9E34-E59C-42BB-9423-CFB1D6F28DB8}"/>
    <cellStyle name="Comma 2 5 3" xfId="4535" xr:uid="{470E6876-E4FE-4C13-98A9-E8FC185A7E1D}"/>
    <cellStyle name="Comma 2 5 3 2" xfId="23728" xr:uid="{F11D2D2F-FD01-409C-B833-711835845060}"/>
    <cellStyle name="Comma 2 5 3 3" xfId="48614" xr:uid="{3CA0E583-B207-4BA8-B58F-6E20726B780E}"/>
    <cellStyle name="Comma 2 5 3 4" xfId="49524" xr:uid="{F7FA28DF-9E6F-492C-9253-6960A5A801AF}"/>
    <cellStyle name="Comma 2 5 3 5" xfId="12436" xr:uid="{04DA9337-6C89-4FFA-90DB-260F117642C0}"/>
    <cellStyle name="Comma 2 5 4" xfId="5816" xr:uid="{F2EACDBC-3A74-435B-AEF8-294371D4A8DF}"/>
    <cellStyle name="Comma 2 5 4 2" xfId="21902" xr:uid="{151B0167-F40E-4CA8-8E78-D46C38CEFBE6}"/>
    <cellStyle name="Comma 2 5 4 2 2" xfId="38062" xr:uid="{BAE0797C-55F8-4895-B35C-6491FF7982CA}"/>
    <cellStyle name="Comma 2 5 4 2 3" xfId="43364" xr:uid="{9CEEB68C-BF4F-4461-AF82-91C521189CEB}"/>
    <cellStyle name="Comma 2 5 4 2 4" xfId="32688" xr:uid="{30E35FEA-6AC7-4C4E-9F1A-13333A824BF8}"/>
    <cellStyle name="Comma 2 5 4 3" xfId="35597" xr:uid="{404BAB69-09E1-4848-AF6B-4BD649100E73}"/>
    <cellStyle name="Comma 2 5 4 4" xfId="40713" xr:uid="{CB004F45-A1AF-49F4-A11E-621222B07475}"/>
    <cellStyle name="Comma 2 5 4 5" xfId="23729" xr:uid="{D433AE08-F3F2-49D4-9367-2755C1A05DCD}"/>
    <cellStyle name="Comma 2 5 4 6" xfId="48380" xr:uid="{FBCC0151-09A5-4D71-AB50-8B523D593F06}"/>
    <cellStyle name="Comma 2 5 4 7" xfId="50930" xr:uid="{007C05F7-FE4A-468C-B156-5A8B4915E583}"/>
    <cellStyle name="Comma 2 5 4 8" xfId="53946" xr:uid="{2925D5E2-890E-4853-AA6F-1FB2CF4176CA}"/>
    <cellStyle name="Comma 2 5 4 9" xfId="12140" xr:uid="{081D191D-BE5C-4462-B952-6605A29E87CB}"/>
    <cellStyle name="Comma 2 5 5" xfId="11188" xr:uid="{4EE1E12C-9403-4794-84A0-4DB243FA8ED3}"/>
    <cellStyle name="Comma 2 5 5 2" xfId="21685" xr:uid="{3E272959-9A3F-4DF4-A20B-1FDBE75BF91B}"/>
    <cellStyle name="Comma 2 5 5 2 2" xfId="38063" xr:uid="{23163768-C9BD-4F9D-8B66-5AC934796822}"/>
    <cellStyle name="Comma 2 5 5 2 3" xfId="43365" xr:uid="{DC956AE5-E896-4350-BFF1-32D99F1A15F3}"/>
    <cellStyle name="Comma 2 5 5 2 4" xfId="32689" xr:uid="{67BBB109-138E-4F23-9579-1C8D3AFC90F9}"/>
    <cellStyle name="Comma 2 5 5 3" xfId="35598" xr:uid="{8E9E09E8-B903-4757-9053-8A0C03896DF6}"/>
    <cellStyle name="Comma 2 5 5 4" xfId="40714" xr:uid="{AC8ABD2B-86B1-4CB8-9CB7-B933E5473CFF}"/>
    <cellStyle name="Comma 2 5 5 5" xfId="23730" xr:uid="{F46AAC8C-6E65-46F1-A305-F9B4ECC21C63}"/>
    <cellStyle name="Comma 2 5 5 6" xfId="46277" xr:uid="{8D673E28-2574-4BF0-B31E-536A2A514B4D}"/>
    <cellStyle name="Comma 2 5 5 7" xfId="48615" xr:uid="{2A380DCB-6F72-4D50-83C9-466C4624FA8E}"/>
    <cellStyle name="Comma 2 5 5 8" xfId="50701" xr:uid="{07B019E0-1B0A-4C29-B50E-8EBD4FF3BF38}"/>
    <cellStyle name="Comma 2 5 5 9" xfId="53717" xr:uid="{809AC7BF-247C-4877-B185-2F0B17A920C8}"/>
    <cellStyle name="Comma 2 5 6" xfId="19477" xr:uid="{BE8DC3C2-0EDA-4F5D-B9C6-A433629A6B88}"/>
    <cellStyle name="Comma 2 5 6 2" xfId="32690" xr:uid="{3B5B2637-A017-4675-A046-C0697DF90AB1}"/>
    <cellStyle name="Comma 2 5 6 2 2" xfId="38064" xr:uid="{99E0C977-C200-48D7-947B-229F333565F0}"/>
    <cellStyle name="Comma 2 5 6 2 3" xfId="43366" xr:uid="{28666524-714C-4A00-9232-C87B41C0DFAD}"/>
    <cellStyle name="Comma 2 5 6 3" xfId="35599" xr:uid="{087DB0E1-DEC8-4C1F-8B29-305072BA8D71}"/>
    <cellStyle name="Comma 2 5 6 4" xfId="40715" xr:uid="{587D4256-7FF6-46B9-AA31-D8456E99033B}"/>
    <cellStyle name="Comma 2 5 6 5" xfId="23731" xr:uid="{CE0694A8-07FA-4E92-9E6D-B97D68FE547F}"/>
    <cellStyle name="Comma 2 5 6 6" xfId="48616" xr:uid="{94D95250-4F29-492F-868E-5E06BD1C57D8}"/>
    <cellStyle name="Comma 2 5 7" xfId="32686" xr:uid="{541DD640-4CA2-42E5-AC94-DB4EDFBA9D51}"/>
    <cellStyle name="Comma 2 5 7 2" xfId="38060" xr:uid="{154F8C9A-DD16-497B-B350-2EA91ED79385}"/>
    <cellStyle name="Comma 2 5 7 3" xfId="43362" xr:uid="{C9C2E745-79AA-44C2-9916-4BF9B5D9AF6D}"/>
    <cellStyle name="Comma 2 5 8" xfId="35595" xr:uid="{0E47B72F-6E72-44B8-8CD7-622F8D269C31}"/>
    <cellStyle name="Comma 2 5 9" xfId="40711" xr:uid="{F6045744-9EE4-4A8C-A13B-9AD7BBE1618B}"/>
    <cellStyle name="Comma 2 6" xfId="2618" xr:uid="{501B6C15-5F98-45F8-8882-9FB8820FE96F}"/>
    <cellStyle name="Comma 2 6 2" xfId="4537" xr:uid="{3E0ED0F9-F6D5-414D-A473-9E6F426A9190}"/>
    <cellStyle name="Comma 2 6 2 2" xfId="18051" xr:uid="{B9CBB962-9D23-4295-9ADE-14FB42A9B6E2}"/>
    <cellStyle name="Comma 2 6 2 2 2" xfId="38066" xr:uid="{10733DF2-B20B-4956-8F4B-81726110BAF6}"/>
    <cellStyle name="Comma 2 6 2 2 3" xfId="43368" xr:uid="{B81FA9D6-EAD6-4B56-B116-B09B699EB369}"/>
    <cellStyle name="Comma 2 6 2 3" xfId="19480" xr:uid="{F247FB0C-87AB-4C0B-AA6F-F37163A6CB4A}"/>
    <cellStyle name="Comma 2 6 2 3 2" xfId="35601" xr:uid="{CA083AAD-E2F0-4170-AA3A-71FDFFD86C83}"/>
    <cellStyle name="Comma 2 6 2 4" xfId="40717" xr:uid="{0ED8D236-4B9E-4778-A0BE-351F3CB2495E}"/>
    <cellStyle name="Comma 2 6 2 5" xfId="15942" xr:uid="{4DE01613-B28E-4F2C-B53A-08C4C9DF1363}"/>
    <cellStyle name="Comma 2 6 2 6" xfId="8424" xr:uid="{E4DF80F3-C85E-4DAD-834C-F0A7293A51B6}"/>
    <cellStyle name="Comma 2 6 3" xfId="5818" xr:uid="{C8077B81-EC2B-4027-BDED-CB5520B38AB0}"/>
    <cellStyle name="Comma 2 6 3 2" xfId="32692" xr:uid="{517E1B4C-D8F8-401A-BD17-6D4CF31B375A}"/>
    <cellStyle name="Comma 2 6 3 2 2" xfId="38067" xr:uid="{43AD1B57-2ADA-4CD4-8FC6-9C6C444BEE99}"/>
    <cellStyle name="Comma 2 6 3 2 3" xfId="43369" xr:uid="{8653D554-CD57-4410-B7E0-A6D64639B1DF}"/>
    <cellStyle name="Comma 2 6 3 3" xfId="35602" xr:uid="{B98388C5-620B-4C39-8B95-D9BC31D7B856}"/>
    <cellStyle name="Comma 2 6 3 4" xfId="40718" xr:uid="{DB1BEA7C-9877-4C70-9069-B56B7C5184B6}"/>
    <cellStyle name="Comma 2 6 3 5" xfId="17636" xr:uid="{79D466BE-076C-4147-9012-A17DBA9D35A0}"/>
    <cellStyle name="Comma 2 6 4" xfId="19479" xr:uid="{2751E83A-DB0B-4270-AA32-145C9127AACB}"/>
    <cellStyle name="Comma 2 6 4 2" xfId="38065" xr:uid="{F99111C7-9705-47D6-B388-B07940FCD706}"/>
    <cellStyle name="Comma 2 6 4 3" xfId="43367" xr:uid="{29C3CD83-04DC-45EB-9EDB-113C985E356C}"/>
    <cellStyle name="Comma 2 6 4 4" xfId="32691" xr:uid="{FA268116-63B3-4328-973F-89563C0AB309}"/>
    <cellStyle name="Comma 2 6 5" xfId="35600" xr:uid="{ECE416BA-2C3B-452A-A733-A54F4879006D}"/>
    <cellStyle name="Comma 2 6 6" xfId="40716" xr:uid="{F4B5D2D1-EE19-4AEE-9D68-ECD4711A3970}"/>
    <cellStyle name="Comma 2 6 7" xfId="23732" xr:uid="{58C9B369-112E-4C76-AF5F-0237DEF41404}"/>
    <cellStyle name="Comma 2 6 8" xfId="15941" xr:uid="{B79E11FD-7629-4AFF-BAAD-1861188B84F2}"/>
    <cellStyle name="Comma 2 6 9" xfId="7225" xr:uid="{445F20AE-E44E-4C2D-BE53-F119B4CF430D}"/>
    <cellStyle name="Comma 2 7" xfId="2619" xr:uid="{5A4E0375-9F2A-4607-A8E8-54606C3A37A6}"/>
    <cellStyle name="Comma 2 7 2" xfId="4538" xr:uid="{576E4192-EE01-4C9A-A85D-EB20EA1D8DF7}"/>
    <cellStyle name="Comma 2 7 2 2" xfId="35065" xr:uid="{7700BE8A-A116-4A71-828E-143AB4353175}"/>
    <cellStyle name="Comma 2 7 2 2 2" xfId="40226" xr:uid="{0D2C8D0B-3852-4C3C-83D3-4DE7AAD8E2B2}"/>
    <cellStyle name="Comma 2 7 2 2 3" xfId="45528" xr:uid="{91114260-4BDA-4337-99A1-F5FAF7FF0811}"/>
    <cellStyle name="Comma 2 7 2 3" xfId="37575" xr:uid="{22E603B4-E64E-4D44-86DD-7ED2F2479F62}"/>
    <cellStyle name="Comma 2 7 2 4" xfId="42877" xr:uid="{9C7875D5-77B5-4F15-9FC2-379E4B29EE72}"/>
    <cellStyle name="Comma 2 7 2 5" xfId="12389" xr:uid="{24CF4180-9D27-4B8E-A3D2-F699649FCD39}"/>
    <cellStyle name="Comma 2 7 3" xfId="5819" xr:uid="{5CB109AD-8D4D-4AE2-9424-2240FD7348D7}"/>
    <cellStyle name="Comma 2 7 3 2" xfId="21678" xr:uid="{FECE9EA0-960F-4643-9518-DC45590A7B11}"/>
    <cellStyle name="Comma 2 7 3 2 2" xfId="38068" xr:uid="{2AB0D40A-1FF0-4E77-AF24-0CA5598B41D5}"/>
    <cellStyle name="Comma 2 7 3 3" xfId="43370" xr:uid="{E5D050ED-4474-433E-A597-62F43687DC8A}"/>
    <cellStyle name="Comma 2 7 3 4" xfId="32693" xr:uid="{B203C05C-30CC-4D3A-B957-285D2C7CCE36}"/>
    <cellStyle name="Comma 2 7 3 5" xfId="46275" xr:uid="{A587E871-D087-40EB-A461-F113AD9023D6}"/>
    <cellStyle name="Comma 2 7 3 6" xfId="50694" xr:uid="{64DF7D83-20D7-4CA1-BB02-F625AFBDDCC4}"/>
    <cellStyle name="Comma 2 7 3 7" xfId="53710" xr:uid="{BA3AE7A2-CFDF-46E3-BA9B-0336882DC45A}"/>
    <cellStyle name="Comma 2 7 3 8" xfId="11181" xr:uid="{11385883-863A-48FB-8DE8-0F08F191E8DF}"/>
    <cellStyle name="Comma 2 7 4" xfId="19481" xr:uid="{97EC4717-B026-4383-B01C-99EC761DD9CF}"/>
    <cellStyle name="Comma 2 7 4 2" xfId="35603" xr:uid="{5C3D10EF-FD67-4E53-8C85-1E35A9D6AA23}"/>
    <cellStyle name="Comma 2 7 5" xfId="40719" xr:uid="{BBE06C31-2F13-4510-9535-F359ABC4CBE9}"/>
    <cellStyle name="Comma 2 7 6" xfId="23733" xr:uid="{5F236F3E-A33E-4384-93FC-318C357F5E25}"/>
    <cellStyle name="Comma 2 7 7" xfId="8181" xr:uid="{97ACA371-2160-4DE1-B651-229AB2780A4C}"/>
    <cellStyle name="Comma 2 8" xfId="4524" xr:uid="{0D3DD6AD-F146-47DE-873E-0B55E9068F23}"/>
    <cellStyle name="Comma 2 8 2" xfId="12437" xr:uid="{B66C4490-8281-4114-8752-31128E591CE3}"/>
    <cellStyle name="Comma 2 8 3" xfId="18299" xr:uid="{CFCB3147-CB06-49FA-9399-B0A3FBEA9686}"/>
    <cellStyle name="Comma 2 8 4" xfId="23734" xr:uid="{A0A8D89A-643A-4A75-A4DD-010AAE856E49}"/>
    <cellStyle name="Comma 2 8 5" xfId="48617" xr:uid="{269C4EC3-C1F7-43AE-B56F-7AF0C2F78443}"/>
    <cellStyle name="Comma 2 8 6" xfId="49525" xr:uid="{F2C258E7-8980-4A07-9262-20B1507F6FFB}"/>
    <cellStyle name="Comma 2 8 7" xfId="17001" xr:uid="{12B66691-188B-4607-AB02-4920ECABEBE0}"/>
    <cellStyle name="Comma 2 8 8" xfId="11697" xr:uid="{6EAFC332-3DBB-40D5-A2A7-A60E3658C245}"/>
    <cellStyle name="Comma 2 9" xfId="5806" xr:uid="{DFA9DCA4-B0CE-4A21-BA24-A2958DE4C237}"/>
    <cellStyle name="Comma 2 9 2" xfId="23735" xr:uid="{31906545-09AE-42D0-BA88-B09F17937298}"/>
    <cellStyle name="Comma 2 9 3" xfId="48618" xr:uid="{5477A4FC-8488-46C1-83F6-C1BD2ED3ADAD}"/>
    <cellStyle name="Comma 2 9 4" xfId="49526" xr:uid="{E0C43F4A-1C2E-4EB1-91F6-B737F4EF43C1}"/>
    <cellStyle name="Comma 2 9 5" xfId="18041" xr:uid="{E01D0902-A9D9-4780-9DD8-616D974C380F}"/>
    <cellStyle name="Comma 2 9 6" xfId="11142" xr:uid="{13AC344B-E83A-461F-A5A7-9F7C9EF091EC}"/>
    <cellStyle name="Comma 3" xfId="51" xr:uid="{00000000-0005-0000-0000-000056000000}"/>
    <cellStyle name="Comma 3 10" xfId="23736" xr:uid="{D6A44CA0-6B23-4B66-BE51-2C810A1CF7D0}"/>
    <cellStyle name="Comma 3 11" xfId="48619" xr:uid="{9809AF90-B796-45F5-A17E-65A3A12CF11E}"/>
    <cellStyle name="Comma 3 12" xfId="49527" xr:uid="{1BE29EE5-D650-4EEC-8E46-CCB9D16CCD88}"/>
    <cellStyle name="Comma 3 13" xfId="6985" xr:uid="{570D7C33-49E7-482D-8AFA-0CBE7EC83FA2}"/>
    <cellStyle name="Comma 3 2" xfId="2621" xr:uid="{ED3A89DF-F18E-4928-A1A4-13D0CAFDF48C}"/>
    <cellStyle name="Comma 3 2 10" xfId="49528" xr:uid="{45373BD6-A14B-41E5-B4C0-27905F960BCC}"/>
    <cellStyle name="Comma 3 2 11" xfId="7234" xr:uid="{BD112E32-8A3F-49DA-AFC5-7A8198103696}"/>
    <cellStyle name="Comma 3 2 2" xfId="2622" xr:uid="{9A40CF28-859B-4133-87AA-FD64F35B9407}"/>
    <cellStyle name="Comma 3 2 2 10" xfId="15454" xr:uid="{1B109E06-AAF6-4D13-A153-303BCA51F34D}"/>
    <cellStyle name="Comma 3 2 2 10 2" xfId="22989" xr:uid="{DBDBE973-3298-4410-895C-7CBC5EB3D735}"/>
    <cellStyle name="Comma 3 2 2 10 3" xfId="46923" xr:uid="{D2850EA0-C7B4-4E32-AB34-F8A8A49DCDDB}"/>
    <cellStyle name="Comma 3 2 2 10 4" xfId="52327" xr:uid="{C7FAD2A8-5AB6-4A79-AFA0-A987A1B2943B}"/>
    <cellStyle name="Comma 3 2 2 10 5" xfId="55343" xr:uid="{F38BF1CC-C954-41FD-AB9D-517A4351455E}"/>
    <cellStyle name="Comma 3 2 2 11" xfId="11191" xr:uid="{CD1A02C1-95F9-49AE-9E0E-C7C05F9178A4}"/>
    <cellStyle name="Comma 3 2 2 11 2" xfId="21687" xr:uid="{75874064-90B9-4187-B6BC-7267503CB6B1}"/>
    <cellStyle name="Comma 3 2 2 11 3" xfId="46727" xr:uid="{FBD659C1-B4B3-47B4-9886-65CADC529CC0}"/>
    <cellStyle name="Comma 3 2 2 11 4" xfId="50704" xr:uid="{B7DBA9FC-45E2-4504-A23D-271EAAEC3A0E}"/>
    <cellStyle name="Comma 3 2 2 11 5" xfId="53720" xr:uid="{7343A92D-866A-4533-B561-672EF9A70B44}"/>
    <cellStyle name="Comma 3 2 2 12" xfId="19484" xr:uid="{9EB9FF23-9781-452D-985A-7BDC75139171}"/>
    <cellStyle name="Comma 3 2 2 13" xfId="23738" xr:uid="{5D6B2C3D-E3FD-4909-9A98-3C403489FE14}"/>
    <cellStyle name="Comma 3 2 2 14" xfId="48621" xr:uid="{954F3A3E-DD81-4B80-BC27-0FAA5CAE447B}"/>
    <cellStyle name="Comma 3 2 2 15" xfId="49529" xr:uid="{856E8312-268C-4E5E-9550-2DBB54F18A9F}"/>
    <cellStyle name="Comma 3 2 2 16" xfId="49790" xr:uid="{59849D90-8BD4-4D49-BDD1-BE9F77E6B8EB}"/>
    <cellStyle name="Comma 3 2 2 17" xfId="52805" xr:uid="{3A801849-1434-43E1-A5A5-1C0884E53814}"/>
    <cellStyle name="Comma 3 2 2 2" xfId="8927" xr:uid="{D824278B-4A79-452D-8D5A-EF654B66EFD2}"/>
    <cellStyle name="Comma 3 2 2 2 10" xfId="12198" xr:uid="{9248D0DC-31A7-4B3F-BB22-5957FE9F737B}"/>
    <cellStyle name="Comma 3 2 2 2 10 2" xfId="47365" xr:uid="{E1946003-389F-42CB-9F9F-C1FD3F329C84}"/>
    <cellStyle name="Comma 3 2 2 2 10 3" xfId="50943" xr:uid="{05F226F5-B553-486E-B28D-3C8B8EB0A041}"/>
    <cellStyle name="Comma 3 2 2 2 10 4" xfId="53959" xr:uid="{A6FAE80D-D729-48C1-ADF1-5B65B8260C9A}"/>
    <cellStyle name="Comma 3 2 2 2 11" xfId="23739" xr:uid="{087A3E5A-7FB8-40A7-82A9-FB62EE4D27F6}"/>
    <cellStyle name="Comma 3 2 2 2 12" xfId="48622" xr:uid="{DEACC0E6-D639-4827-B8B0-29E027FEE9E2}"/>
    <cellStyle name="Comma 3 2 2 2 13" xfId="49530" xr:uid="{913EB959-78F0-45DF-9321-0358B7C4EE01}"/>
    <cellStyle name="Comma 3 2 2 2 14" xfId="49804" xr:uid="{25895E02-D8E2-4714-8A0E-FF4D4C580349}"/>
    <cellStyle name="Comma 3 2 2 2 15" xfId="52819" xr:uid="{C36BAC74-DAB3-4FEF-A46E-08E8B439FDBF}"/>
    <cellStyle name="Comma 3 2 2 2 2" xfId="10014" xr:uid="{856C538B-1F12-4B95-9C09-C4BB259D0037}"/>
    <cellStyle name="Comma 3 2 2 2 2 2" xfId="10322" xr:uid="{6F51CE29-DD53-46F6-A948-E65FF20DC7F3}"/>
    <cellStyle name="Comma 3 2 2 2 2 2 2" xfId="14767" xr:uid="{602C496F-30E7-44D2-B9AC-501B771DB86A}"/>
    <cellStyle name="Comma 3 2 2 2 2 2 2 2" xfId="22314" xr:uid="{66E20A01-4C30-4BE4-855B-37C0CC8E1D41}"/>
    <cellStyle name="Comma 3 2 2 2 2 2 2 3" xfId="32547" xr:uid="{7DA7785B-11BD-4B54-9D45-32C02341EFFF}"/>
    <cellStyle name="Comma 3 2 2 2 2 2 2 4" xfId="51652" xr:uid="{0C435B74-5382-4167-A87A-E1A4F4295C67}"/>
    <cellStyle name="Comma 3 2 2 2 2 2 2 5" xfId="54668" xr:uid="{50D9B7B5-54C3-41E4-8435-26AC2123FB40}"/>
    <cellStyle name="Comma 3 2 2 2 2 2 3" xfId="15252" xr:uid="{827AB7E8-FC57-46A3-94D0-B5D938046F77}"/>
    <cellStyle name="Comma 3 2 2 2 2 2 3 2" xfId="22791" xr:uid="{A6AE5E32-605A-431C-A2B5-080CB8B14133}"/>
    <cellStyle name="Comma 3 2 2 2 2 2 3 3" xfId="48301" xr:uid="{7111A7C7-382C-4031-B2CF-50DEDBC013EE}"/>
    <cellStyle name="Comma 3 2 2 2 2 2 3 4" xfId="52129" xr:uid="{3F6D908C-7A1C-4E1B-B0C5-A8E3C058A79D}"/>
    <cellStyle name="Comma 3 2 2 2 2 2 3 5" xfId="55145" xr:uid="{8157B350-038B-4FD1-8750-A40D7E002196}"/>
    <cellStyle name="Comma 3 2 2 2 2 2 4" xfId="15739" xr:uid="{973368F5-96B5-4C61-844B-2AB4FAD8C866}"/>
    <cellStyle name="Comma 3 2 2 2 2 2 4 2" xfId="23268" xr:uid="{54FBCD37-A599-4133-BCE8-64017C0FB628}"/>
    <cellStyle name="Comma 3 2 2 2 2 2 4 3" xfId="48133" xr:uid="{D4D1DEEB-EF8A-42BC-A1BF-1E979F6E28BC}"/>
    <cellStyle name="Comma 3 2 2 2 2 2 4 4" xfId="52606" xr:uid="{600C85E6-5C6E-461A-B270-709985C09198}"/>
    <cellStyle name="Comma 3 2 2 2 2 2 4 5" xfId="55622" xr:uid="{C9B7F0F4-58C2-4B2B-AD12-216C7C57E1DC}"/>
    <cellStyle name="Comma 3 2 2 2 2 2 5" xfId="12775" xr:uid="{2E75F358-E7BE-4D13-8E1E-8390BDBFA804}"/>
    <cellStyle name="Comma 3 2 2 2 2 2 5 2" xfId="46792" xr:uid="{7FEE9054-AAC1-4D5C-AB14-34AB1A0316EB}"/>
    <cellStyle name="Comma 3 2 2 2 2 2 5 3" xfId="51175" xr:uid="{B7F3FDDA-59FB-49A0-B67C-3FC3A322A78B}"/>
    <cellStyle name="Comma 3 2 2 2 2 2 5 4" xfId="54191" xr:uid="{11DB1AFA-8364-4614-ABF0-D1417273DD59}"/>
    <cellStyle name="Comma 3 2 2 2 2 2 6" xfId="47581" xr:uid="{1A24D4CF-1055-44C3-A518-D712CE113C44}"/>
    <cellStyle name="Comma 3 2 2 2 2 2 7" xfId="50069" xr:uid="{19EEBCFA-B3D6-4144-A082-D044981E13DF}"/>
    <cellStyle name="Comma 3 2 2 2 2 2 8" xfId="53085" xr:uid="{E25E9EEA-ABAF-47D7-99DE-8E7F4315B32F}"/>
    <cellStyle name="Comma 3 2 2 2 2 3" xfId="14555" xr:uid="{991AC00C-3AA7-4A09-9158-71629605511C}"/>
    <cellStyle name="Comma 3 2 2 2 2 3 2" xfId="22102" xr:uid="{EA2C4B2F-8420-449E-9FE9-A69509B977FD}"/>
    <cellStyle name="Comma 3 2 2 2 2 3 3" xfId="46834" xr:uid="{8E855145-5D6D-4FBD-856B-3B08DD5EB43A}"/>
    <cellStyle name="Comma 3 2 2 2 2 3 4" xfId="51440" xr:uid="{97A989D0-7551-4F18-9828-5D27BA55850C}"/>
    <cellStyle name="Comma 3 2 2 2 2 3 5" xfId="54456" xr:uid="{DF41D2B2-E775-42A1-B737-38E40F30ACD8}"/>
    <cellStyle name="Comma 3 2 2 2 2 4" xfId="15039" xr:uid="{12B96A0F-ED4E-48CA-B1EA-08F289954EF0}"/>
    <cellStyle name="Comma 3 2 2 2 2 4 2" xfId="22579" xr:uid="{8EA0E190-FC1D-4D17-BE0D-352CA87C23E8}"/>
    <cellStyle name="Comma 3 2 2 2 2 4 3" xfId="25295" xr:uid="{889C05FA-76AE-495C-86E3-E1D392ED0DD3}"/>
    <cellStyle name="Comma 3 2 2 2 2 4 4" xfId="51917" xr:uid="{1277FDD3-1C09-4CB5-A463-37D81B1EC0B6}"/>
    <cellStyle name="Comma 3 2 2 2 2 4 5" xfId="54933" xr:uid="{E621CBB8-630D-4D0C-BDEC-F4D2DD535042}"/>
    <cellStyle name="Comma 3 2 2 2 2 5" xfId="15526" xr:uid="{25ED1E81-EA62-4A7B-A83A-39CB28B4F42C}"/>
    <cellStyle name="Comma 3 2 2 2 2 5 2" xfId="23056" xr:uid="{C8BA60B2-E61B-437E-B20B-0DC7021EEF87}"/>
    <cellStyle name="Comma 3 2 2 2 2 5 3" xfId="47133" xr:uid="{744A8FCF-3E53-49F1-9715-FD69E97946F1}"/>
    <cellStyle name="Comma 3 2 2 2 2 5 4" xfId="52394" xr:uid="{D6B5AF93-8620-4B7A-AF71-6389E18D1611}"/>
    <cellStyle name="Comma 3 2 2 2 2 5 5" xfId="55410" xr:uid="{B8BD1A6F-9368-4C34-B894-B539E446BF10}"/>
    <cellStyle name="Comma 3 2 2 2 2 6" xfId="12474" xr:uid="{7C5B7208-D539-4697-880B-362B6712D8B5}"/>
    <cellStyle name="Comma 3 2 2 2 2 6 2" xfId="46310" xr:uid="{FD58D5DA-0147-4584-9A62-220AD86A22EF}"/>
    <cellStyle name="Comma 3 2 2 2 2 6 3" xfId="50963" xr:uid="{847BF0A3-BE3E-4FEF-861B-27869C981343}"/>
    <cellStyle name="Comma 3 2 2 2 2 6 4" xfId="53979" xr:uid="{7120C10A-CA13-42C6-9BE5-C8C0FC27D650}"/>
    <cellStyle name="Comma 3 2 2 2 2 7" xfId="47865" xr:uid="{BA51EC8D-479B-4F79-BA3B-A4561F87F1D8}"/>
    <cellStyle name="Comma 3 2 2 2 2 8" xfId="49857" xr:uid="{D423BE80-E802-4254-A0EE-538A515E3481}"/>
    <cellStyle name="Comma 3 2 2 2 2 9" xfId="52873" xr:uid="{7DE4CA52-66D4-487C-A4E0-39C567325FA3}"/>
    <cellStyle name="Comma 3 2 2 2 3" xfId="10088" xr:uid="{66317D47-589A-409A-89E7-8879D2C4DF3D}"/>
    <cellStyle name="Comma 3 2 2 2 3 2" xfId="10401" xr:uid="{762ECFF4-5CC7-4DBA-B01C-A6EC20BB1EDA}"/>
    <cellStyle name="Comma 3 2 2 2 3 2 2" xfId="14820" xr:uid="{D5614786-1D81-4558-A7A1-6CF2C757A365}"/>
    <cellStyle name="Comma 3 2 2 2 3 2 2 2" xfId="22367" xr:uid="{2A801D4B-9D77-47E0-BC4E-3B2EBA97AB3C}"/>
    <cellStyle name="Comma 3 2 2 2 3 2 2 3" xfId="46439" xr:uid="{74A9A75F-1FB4-4A7F-BE8E-78DEB1BF1146}"/>
    <cellStyle name="Comma 3 2 2 2 3 2 2 4" xfId="51705" xr:uid="{34759F77-3A9C-49AC-BE14-C54BBA52D013}"/>
    <cellStyle name="Comma 3 2 2 2 3 2 2 5" xfId="54721" xr:uid="{B53DABAC-76A6-4AE0-9A5C-08EB634D9AA6}"/>
    <cellStyle name="Comma 3 2 2 2 3 2 3" xfId="15305" xr:uid="{EAE1C5A3-B51B-452F-B1C8-105D63742915}"/>
    <cellStyle name="Comma 3 2 2 2 3 2 3 2" xfId="22844" xr:uid="{FD2F120A-69F2-47D4-BD24-D7C0A641C5D4}"/>
    <cellStyle name="Comma 3 2 2 2 3 2 3 3" xfId="47492" xr:uid="{CE0D2C86-7A84-456F-A5A2-4AEE5ACAD6C8}"/>
    <cellStyle name="Comma 3 2 2 2 3 2 3 4" xfId="52182" xr:uid="{9FCB414F-4615-42FE-A2FC-E82B694A7435}"/>
    <cellStyle name="Comma 3 2 2 2 3 2 3 5" xfId="55198" xr:uid="{64347BB2-E0BC-43EB-9738-F21FA4AEDC44}"/>
    <cellStyle name="Comma 3 2 2 2 3 2 4" xfId="15792" xr:uid="{C5B61F20-7F4A-40DA-8E3C-51D29C8B1F43}"/>
    <cellStyle name="Comma 3 2 2 2 3 2 4 2" xfId="23321" xr:uid="{60830E0E-FA3A-4650-BA1D-F45064AD34DE}"/>
    <cellStyle name="Comma 3 2 2 2 3 2 4 3" xfId="46586" xr:uid="{7649FADF-F1AC-4EF8-BAE9-620995EA37F8}"/>
    <cellStyle name="Comma 3 2 2 2 3 2 4 4" xfId="52659" xr:uid="{1D168DFF-1277-4A03-8E71-DF21182A1A1D}"/>
    <cellStyle name="Comma 3 2 2 2 3 2 4 5" xfId="55675" xr:uid="{3CDBEC56-5F77-47C9-9FBA-95034713A285}"/>
    <cellStyle name="Comma 3 2 2 2 3 2 5" xfId="12854" xr:uid="{60E4C5C2-2136-4FF3-A2E2-D0DCDF4F9AFB}"/>
    <cellStyle name="Comma 3 2 2 2 3 2 5 2" xfId="25047" xr:uid="{B91A9D95-B10C-48FC-9A08-7DF9DB1ED55A}"/>
    <cellStyle name="Comma 3 2 2 2 3 2 5 3" xfId="51228" xr:uid="{F9CA9FA4-85E2-41A6-BA46-6B767BEB6763}"/>
    <cellStyle name="Comma 3 2 2 2 3 2 5 4" xfId="54244" xr:uid="{8F634324-FFF3-41CD-9F9F-183961FB2FC1}"/>
    <cellStyle name="Comma 3 2 2 2 3 2 6" xfId="46109" xr:uid="{0EB84B2C-2933-46B2-81EF-20324C4ACD74}"/>
    <cellStyle name="Comma 3 2 2 2 3 2 7" xfId="50122" xr:uid="{D279CBFE-8CB1-4004-B6AB-3FBDB7CFFAF7}"/>
    <cellStyle name="Comma 3 2 2 2 3 2 8" xfId="53138" xr:uid="{82B0E152-5FFD-47B9-BE45-F35119C98213}"/>
    <cellStyle name="Comma 3 2 2 2 3 3" xfId="14608" xr:uid="{E17D392E-5AFD-400C-A9A6-8B7F304CA0E7}"/>
    <cellStyle name="Comma 3 2 2 2 3 3 2" xfId="22155" xr:uid="{136701AA-81A6-4A5D-8E77-741C94B1779A}"/>
    <cellStyle name="Comma 3 2 2 2 3 3 3" xfId="24316" xr:uid="{FFEA2142-C4ED-44E5-B2CA-8203AD2EB568}"/>
    <cellStyle name="Comma 3 2 2 2 3 3 4" xfId="51493" xr:uid="{58A54225-B4F3-4BF6-AB5E-5EE91145F4D3}"/>
    <cellStyle name="Comma 3 2 2 2 3 3 5" xfId="54509" xr:uid="{7DF8D5A7-DFED-40A9-AFBD-0B6620C1E4BE}"/>
    <cellStyle name="Comma 3 2 2 2 3 4" xfId="15093" xr:uid="{F3D0F750-2EB3-4C84-89CC-9D3C2E5BC867}"/>
    <cellStyle name="Comma 3 2 2 2 3 4 2" xfId="22632" xr:uid="{D9C1E4C9-A9FE-424C-803E-9A1126DF367B}"/>
    <cellStyle name="Comma 3 2 2 2 3 4 3" xfId="47634" xr:uid="{FC016ACF-2E74-43A8-AE3B-850AC3EBE058}"/>
    <cellStyle name="Comma 3 2 2 2 3 4 4" xfId="51970" xr:uid="{0ECAADF3-5097-4E6B-8951-26C4250C21FB}"/>
    <cellStyle name="Comma 3 2 2 2 3 4 5" xfId="54986" xr:uid="{0139E49C-D85D-4970-A413-7F9D6029D9DB}"/>
    <cellStyle name="Comma 3 2 2 2 3 5" xfId="15580" xr:uid="{788F8EAB-9C15-4057-ADE1-1F0473CD5095}"/>
    <cellStyle name="Comma 3 2 2 2 3 5 2" xfId="23109" xr:uid="{4FAB8745-D912-4CB0-A884-D44791D761E5}"/>
    <cellStyle name="Comma 3 2 2 2 3 5 3" xfId="47944" xr:uid="{C98C7851-3EDB-4D5E-A781-919D437D82B9}"/>
    <cellStyle name="Comma 3 2 2 2 3 5 4" xfId="52447" xr:uid="{B8AECE73-1F79-4ABA-923E-1E827BA50B9E}"/>
    <cellStyle name="Comma 3 2 2 2 3 5 5" xfId="55463" xr:uid="{9257EA9D-BAE4-4879-874C-B1F464832F77}"/>
    <cellStyle name="Comma 3 2 2 2 3 6" xfId="12545" xr:uid="{E2FD77EA-A049-4853-A6D9-85965FEED5BE}"/>
    <cellStyle name="Comma 3 2 2 2 3 6 2" xfId="48047" xr:uid="{922FD073-C5B2-40C3-A54D-CEA6D560B226}"/>
    <cellStyle name="Comma 3 2 2 2 3 6 3" xfId="51016" xr:uid="{E7C43B71-C2FE-4A59-86FA-FCA0AAEC29BF}"/>
    <cellStyle name="Comma 3 2 2 2 3 6 4" xfId="54032" xr:uid="{88E181A5-3F5F-4A99-80A9-036D20B1FDD2}"/>
    <cellStyle name="Comma 3 2 2 2 3 7" xfId="46040" xr:uid="{7264D5BA-D8E9-4BA9-881F-2E0D513AB4FC}"/>
    <cellStyle name="Comma 3 2 2 2 3 8" xfId="49910" xr:uid="{B69D3CB4-E5D3-4498-9372-71836519AE88}"/>
    <cellStyle name="Comma 3 2 2 2 3 9" xfId="52926" xr:uid="{24816FC9-5760-40B7-BD7E-D25E626EB594}"/>
    <cellStyle name="Comma 3 2 2 2 4" xfId="10167" xr:uid="{3D4BA7AD-922D-4FE7-9969-0C458DDA4593}"/>
    <cellStyle name="Comma 3 2 2 2 4 2" xfId="10481" xr:uid="{545748B9-813C-44F2-BD67-6EDC18445C5D}"/>
    <cellStyle name="Comma 3 2 2 2 4 2 2" xfId="14873" xr:uid="{63B780DA-CA66-47ED-9AF2-D7054149E0F6}"/>
    <cellStyle name="Comma 3 2 2 2 4 2 2 2" xfId="22420" xr:uid="{24C480B5-CD9E-4994-92F5-BA65F7223A47}"/>
    <cellStyle name="Comma 3 2 2 2 4 2 2 3" xfId="46681" xr:uid="{D6B010AD-D5AF-48D2-AD21-1FF593146C6C}"/>
    <cellStyle name="Comma 3 2 2 2 4 2 2 4" xfId="51758" xr:uid="{6C6BE38B-B6EB-4B64-9CB4-F4AE8E7FBF91}"/>
    <cellStyle name="Comma 3 2 2 2 4 2 2 5" xfId="54774" xr:uid="{295FED1B-541D-4DA5-933A-1F0A393C4247}"/>
    <cellStyle name="Comma 3 2 2 2 4 2 3" xfId="15358" xr:uid="{76912D5E-EABD-4998-B544-1EF94F0AA83E}"/>
    <cellStyle name="Comma 3 2 2 2 4 2 3 2" xfId="22897" xr:uid="{A4BA92D3-E08C-442C-8396-6D025B079898}"/>
    <cellStyle name="Comma 3 2 2 2 4 2 3 3" xfId="46911" xr:uid="{E997A984-8075-429B-8DFB-45550A0E81A9}"/>
    <cellStyle name="Comma 3 2 2 2 4 2 3 4" xfId="52235" xr:uid="{546E6F98-9BAE-40D6-AE3B-7EBB554BE139}"/>
    <cellStyle name="Comma 3 2 2 2 4 2 3 5" xfId="55251" xr:uid="{6F97A27E-BA8A-49EB-8718-162126B16847}"/>
    <cellStyle name="Comma 3 2 2 2 4 2 4" xfId="15845" xr:uid="{6B501821-0509-4FE6-9E03-67EC715283F6}"/>
    <cellStyle name="Comma 3 2 2 2 4 2 4 2" xfId="23374" xr:uid="{8423DF0C-FDB4-4E41-9854-2BED36309488}"/>
    <cellStyle name="Comma 3 2 2 2 4 2 4 3" xfId="47850" xr:uid="{05584150-8C91-4A89-93D2-BB26FE9601BB}"/>
    <cellStyle name="Comma 3 2 2 2 4 2 4 4" xfId="52712" xr:uid="{35BD4801-70D0-40BF-A5EC-354A08A68D0B}"/>
    <cellStyle name="Comma 3 2 2 2 4 2 4 5" xfId="55728" xr:uid="{9F67F1F7-85E3-4656-B63D-A2E4D37EE252}"/>
    <cellStyle name="Comma 3 2 2 2 4 2 5" xfId="12934" xr:uid="{35A0D416-B6EC-4B71-8B7E-1C4E9EE65032}"/>
    <cellStyle name="Comma 3 2 2 2 4 2 5 2" xfId="48204" xr:uid="{A9D51342-446E-4F97-9207-99CA716EDF8C}"/>
    <cellStyle name="Comma 3 2 2 2 4 2 5 3" xfId="51281" xr:uid="{F7933E77-0076-4469-B245-AF0A395BCA00}"/>
    <cellStyle name="Comma 3 2 2 2 4 2 5 4" xfId="54297" xr:uid="{5E040C40-3832-421A-AD4C-4563B76F2984}"/>
    <cellStyle name="Comma 3 2 2 2 4 2 6" xfId="48161" xr:uid="{B26B23F7-4CBB-488E-BFAF-88549CAA17C1}"/>
    <cellStyle name="Comma 3 2 2 2 4 2 7" xfId="50175" xr:uid="{528435F8-7B9F-4BA4-B827-5E7A29E77C40}"/>
    <cellStyle name="Comma 3 2 2 2 4 2 8" xfId="53191" xr:uid="{15051B97-37DC-4813-844B-44492B33B547}"/>
    <cellStyle name="Comma 3 2 2 2 4 3" xfId="14661" xr:uid="{10C4C730-7FB6-45F8-936A-E0DC4C220AA0}"/>
    <cellStyle name="Comma 3 2 2 2 4 3 2" xfId="22208" xr:uid="{71DFC383-93C8-4956-A1E7-668DEE468532}"/>
    <cellStyle name="Comma 3 2 2 2 4 3 3" xfId="46679" xr:uid="{414E4F28-8611-4265-98EB-51E51524C838}"/>
    <cellStyle name="Comma 3 2 2 2 4 3 4" xfId="51546" xr:uid="{28D04ED0-BAD0-439F-AF6E-7791745C397B}"/>
    <cellStyle name="Comma 3 2 2 2 4 3 5" xfId="54562" xr:uid="{1FDC3681-7F6C-4D62-B8D8-0A51890A3A7A}"/>
    <cellStyle name="Comma 3 2 2 2 4 4" xfId="15146" xr:uid="{EDC3C2B6-2124-42E0-B1C0-9107872DE174}"/>
    <cellStyle name="Comma 3 2 2 2 4 4 2" xfId="22685" xr:uid="{ED8A8D3F-5ACD-4ADE-AAB2-5A882C811077}"/>
    <cellStyle name="Comma 3 2 2 2 4 4 3" xfId="48096" xr:uid="{0F08DE77-BC37-463D-8186-8E4B685B862D}"/>
    <cellStyle name="Comma 3 2 2 2 4 4 4" xfId="52023" xr:uid="{654B38FA-C68E-4C85-B1E4-6368E0924A2A}"/>
    <cellStyle name="Comma 3 2 2 2 4 4 5" xfId="55039" xr:uid="{EC284DF0-C491-4138-A560-C86B6683C90F}"/>
    <cellStyle name="Comma 3 2 2 2 4 5" xfId="15633" xr:uid="{9558D60C-7F7F-484C-A982-FE577CD80835}"/>
    <cellStyle name="Comma 3 2 2 2 4 5 2" xfId="23162" xr:uid="{646A4E1A-9948-42F1-90AD-2A0630D05EEC}"/>
    <cellStyle name="Comma 3 2 2 2 4 5 3" xfId="48367" xr:uid="{98D099B7-6988-4A7E-84C0-227111D74D79}"/>
    <cellStyle name="Comma 3 2 2 2 4 5 4" xfId="52500" xr:uid="{CB0D806D-1FF5-478F-9B12-07F65CBBACC2}"/>
    <cellStyle name="Comma 3 2 2 2 4 5 5" xfId="55516" xr:uid="{6AB13493-5A28-4286-8214-6D17331D7AE6}"/>
    <cellStyle name="Comma 3 2 2 2 4 6" xfId="12621" xr:uid="{9607DF36-0361-40B3-8C71-093FC2A4F354}"/>
    <cellStyle name="Comma 3 2 2 2 4 6 2" xfId="47092" xr:uid="{77A552A0-62EA-4679-8A76-D35E4C8BB95C}"/>
    <cellStyle name="Comma 3 2 2 2 4 6 3" xfId="51069" xr:uid="{8CC0EBA3-5374-41DD-85ED-785F491CCDB9}"/>
    <cellStyle name="Comma 3 2 2 2 4 6 4" xfId="54085" xr:uid="{BAB6E4D8-A0D7-41EF-82AF-083D151FBEE9}"/>
    <cellStyle name="Comma 3 2 2 2 4 7" xfId="47996" xr:uid="{5D916ED7-F554-4E5B-A728-FB37CF309B76}"/>
    <cellStyle name="Comma 3 2 2 2 4 8" xfId="49963" xr:uid="{A996FD72-A47C-482D-84E3-1F9C63FF9285}"/>
    <cellStyle name="Comma 3 2 2 2 4 9" xfId="52979" xr:uid="{8364AB6E-AF0D-4F5E-8F6A-3B797DBB8999}"/>
    <cellStyle name="Comma 3 2 2 2 5" xfId="10247" xr:uid="{FEDCCBE0-E336-4A76-A782-B5AC27F2C9DB}"/>
    <cellStyle name="Comma 3 2 2 2 5 2" xfId="14714" xr:uid="{D2BBD23F-45D1-40CD-8250-07C02ED3965B}"/>
    <cellStyle name="Comma 3 2 2 2 5 2 2" xfId="22261" xr:uid="{260A4143-5E62-4AC5-B094-7B85929BF9CC}"/>
    <cellStyle name="Comma 3 2 2 2 5 2 3" xfId="47332" xr:uid="{31F58142-CC68-4C88-BD3D-72543EFB585B}"/>
    <cellStyle name="Comma 3 2 2 2 5 2 4" xfId="51599" xr:uid="{83CA7309-9D58-4015-B316-16B1851A07AF}"/>
    <cellStyle name="Comma 3 2 2 2 5 2 5" xfId="54615" xr:uid="{5AAF10BE-070B-41F2-853A-6F64F8E5711D}"/>
    <cellStyle name="Comma 3 2 2 2 5 3" xfId="15199" xr:uid="{00245ACD-A966-4305-B19E-6880250F0F60}"/>
    <cellStyle name="Comma 3 2 2 2 5 3 2" xfId="22738" xr:uid="{3379AAD4-9D41-405E-9317-E71318E3734D}"/>
    <cellStyle name="Comma 3 2 2 2 5 3 3" xfId="47568" xr:uid="{27D7AB7D-9CC5-42D9-B294-679433F9BEC2}"/>
    <cellStyle name="Comma 3 2 2 2 5 3 4" xfId="52076" xr:uid="{C77708F1-2407-44E8-8112-2126998936F3}"/>
    <cellStyle name="Comma 3 2 2 2 5 3 5" xfId="55092" xr:uid="{7345E02F-2DC0-4D81-A9E3-6E6596EF2C46}"/>
    <cellStyle name="Comma 3 2 2 2 5 4" xfId="15686" xr:uid="{A7C310B2-DF71-4980-9FFD-5A2974DBD313}"/>
    <cellStyle name="Comma 3 2 2 2 5 4 2" xfId="23215" xr:uid="{420D01CC-AEE4-48F2-B882-42E067515D47}"/>
    <cellStyle name="Comma 3 2 2 2 5 4 3" xfId="47646" xr:uid="{32AD25B4-D402-4BEC-A855-7DDF26A2FB28}"/>
    <cellStyle name="Comma 3 2 2 2 5 4 4" xfId="52553" xr:uid="{136529C8-E5D5-4747-930D-E1147E466E21}"/>
    <cellStyle name="Comma 3 2 2 2 5 4 5" xfId="55569" xr:uid="{5FFA5F5C-6F68-4234-B05B-12FE43F97077}"/>
    <cellStyle name="Comma 3 2 2 2 5 5" xfId="12700" xr:uid="{C758D124-DCA9-42BD-8B2F-4A9FA4A62D12}"/>
    <cellStyle name="Comma 3 2 2 2 5 5 2" xfId="25061" xr:uid="{10FCF3AC-E8E2-4D47-B13B-5E6D3F11D413}"/>
    <cellStyle name="Comma 3 2 2 2 5 5 3" xfId="51122" xr:uid="{92151A28-ADEB-4149-B80E-0AAAAB340D3A}"/>
    <cellStyle name="Comma 3 2 2 2 5 5 4" xfId="54138" xr:uid="{6FB17C51-C5B8-439C-B166-CCD479E7BEEB}"/>
    <cellStyle name="Comma 3 2 2 2 5 6" xfId="48000" xr:uid="{6FB0C71F-5772-4B41-BDC3-B577052835E4}"/>
    <cellStyle name="Comma 3 2 2 2 5 7" xfId="50016" xr:uid="{24702676-4179-4969-9E60-7B02137A3C34}"/>
    <cellStyle name="Comma 3 2 2 2 5 8" xfId="53032" xr:uid="{B3CFBF58-09A1-4958-ADB4-53CB1DE96BF1}"/>
    <cellStyle name="Comma 3 2 2 2 6" xfId="10561" xr:uid="{8141ADD9-8511-4503-A969-3BAA5E8FD7A5}"/>
    <cellStyle name="Comma 3 2 2 2 6 2" xfId="14926" xr:uid="{B99E2762-168F-4BF7-A2A8-561EFF8788A7}"/>
    <cellStyle name="Comma 3 2 2 2 6 2 2" xfId="22473" xr:uid="{94BF4C70-4E5A-48A3-8443-0C1C9339FB68}"/>
    <cellStyle name="Comma 3 2 2 2 6 2 3" xfId="47371" xr:uid="{EC31F4A9-5CD4-4D6D-8215-A12B506A173C}"/>
    <cellStyle name="Comma 3 2 2 2 6 2 4" xfId="51811" xr:uid="{8E6EFDFE-535B-483C-9CBD-958A15B58006}"/>
    <cellStyle name="Comma 3 2 2 2 6 2 5" xfId="54827" xr:uid="{A98BC70E-BAAE-4A32-B59B-77016207A6B2}"/>
    <cellStyle name="Comma 3 2 2 2 6 3" xfId="15411" xr:uid="{47623028-A9C5-4FF2-8F9E-CF10D5CBECBB}"/>
    <cellStyle name="Comma 3 2 2 2 6 3 2" xfId="22950" xr:uid="{6161B99A-71ED-4943-A4BD-FECCA8E708F8}"/>
    <cellStyle name="Comma 3 2 2 2 6 3 3" xfId="48075" xr:uid="{0E78E7EE-6DF9-4C61-8E1F-91A89EDC8F40}"/>
    <cellStyle name="Comma 3 2 2 2 6 3 4" xfId="52288" xr:uid="{FEF08864-F357-4AAD-B56C-DA53F536B01C}"/>
    <cellStyle name="Comma 3 2 2 2 6 3 5" xfId="55304" xr:uid="{96BA9C4D-DB14-46AE-8795-BB15933EAC3E}"/>
    <cellStyle name="Comma 3 2 2 2 6 4" xfId="15899" xr:uid="{F73B677A-B8C2-4301-84BE-A28DF1EE6933}"/>
    <cellStyle name="Comma 3 2 2 2 6 4 2" xfId="23427" xr:uid="{5D2672AF-6924-4B32-8B3B-29C52C72BC0E}"/>
    <cellStyle name="Comma 3 2 2 2 6 4 3" xfId="47851" xr:uid="{E6265ABC-F7DB-4E43-8860-6A72BF2ECC09}"/>
    <cellStyle name="Comma 3 2 2 2 6 4 4" xfId="52765" xr:uid="{A97904BD-7193-4F76-A06D-36B0B514751C}"/>
    <cellStyle name="Comma 3 2 2 2 6 4 5" xfId="55781" xr:uid="{5192AD7F-8423-41F5-8DDF-2B891B20AAF6}"/>
    <cellStyle name="Comma 3 2 2 2 6 5" xfId="13014" xr:uid="{62141DE3-BEE1-4E9C-AC55-D0088762871F}"/>
    <cellStyle name="Comma 3 2 2 2 6 5 2" xfId="47416" xr:uid="{4A21D4B3-5E2C-47A4-A075-823689560A5B}"/>
    <cellStyle name="Comma 3 2 2 2 6 5 3" xfId="51334" xr:uid="{A47E1AD0-3CDC-4D98-876B-90FDE586D33F}"/>
    <cellStyle name="Comma 3 2 2 2 6 5 4" xfId="54350" xr:uid="{51E68D1B-D896-40EB-A9BF-DFE2A20D2C61}"/>
    <cellStyle name="Comma 3 2 2 2 6 6" xfId="46630" xr:uid="{657FAE97-931E-4BAC-BD22-3EC665E72FCB}"/>
    <cellStyle name="Comma 3 2 2 2 6 7" xfId="50228" xr:uid="{99230DBB-9302-4D6C-A533-21D8D074B67E}"/>
    <cellStyle name="Comma 3 2 2 2 6 8" xfId="53244" xr:uid="{5F0EB218-BE0B-47FB-BA60-C2F83FA81C49}"/>
    <cellStyle name="Comma 3 2 2 2 7" xfId="14502" xr:uid="{16D2382E-5AAA-4378-8F9E-D9D44A3DD86B}"/>
    <cellStyle name="Comma 3 2 2 2 7 2" xfId="22049" xr:uid="{A272928F-ABB7-4B28-B4AB-F2ECAE49F903}"/>
    <cellStyle name="Comma 3 2 2 2 7 3" xfId="33025" xr:uid="{02E59F15-486F-44B7-99D1-D76B817EFB95}"/>
    <cellStyle name="Comma 3 2 2 2 7 4" xfId="51387" xr:uid="{15F72F3D-1387-4FAB-AFB2-393C3E9F02FD}"/>
    <cellStyle name="Comma 3 2 2 2 7 5" xfId="54403" xr:uid="{E6D517D7-3B1C-46A7-B914-5223A8B54072}"/>
    <cellStyle name="Comma 3 2 2 2 8" xfId="14986" xr:uid="{9AC8FE11-A769-4050-8264-118CBCCE2CE3}"/>
    <cellStyle name="Comma 3 2 2 2 8 2" xfId="22526" xr:uid="{B0743509-4F3C-458E-A9C6-72975E7834C1}"/>
    <cellStyle name="Comma 3 2 2 2 8 3" xfId="32513" xr:uid="{4CA91C28-6381-49AC-9324-C1A3F42F2C9D}"/>
    <cellStyle name="Comma 3 2 2 2 8 4" xfId="51864" xr:uid="{6D9AE224-EABD-411B-B5EC-7F24DA8B7405}"/>
    <cellStyle name="Comma 3 2 2 2 8 5" xfId="54880" xr:uid="{3600F3A1-1194-436C-BBFE-92731F21C3AC}"/>
    <cellStyle name="Comma 3 2 2 2 9" xfId="15473" xr:uid="{3488FF39-0CC3-460F-94AB-D1A76543D331}"/>
    <cellStyle name="Comma 3 2 2 2 9 2" xfId="23003" xr:uid="{74EE8EC5-66E9-4878-A057-6F2DD29AA4C5}"/>
    <cellStyle name="Comma 3 2 2 2 9 3" xfId="48146" xr:uid="{894A4B80-922B-409D-8836-CC5B6AE0AF8E}"/>
    <cellStyle name="Comma 3 2 2 2 9 4" xfId="52341" xr:uid="{647A26B7-093D-49A8-8E0E-1CBFECABA101}"/>
    <cellStyle name="Comma 3 2 2 2 9 5" xfId="55357" xr:uid="{0844BF52-EA8C-464C-9872-3086BFAEA504}"/>
    <cellStyle name="Comma 3 2 2 3" xfId="9598" xr:uid="{09B05D12-8000-47FE-90D9-251BB24E08D2}"/>
    <cellStyle name="Comma 3 2 2 3 2" xfId="10292" xr:uid="{3DFB47BA-09F8-4D0C-BDD0-D7023C707517}"/>
    <cellStyle name="Comma 3 2 2 3 2 2" xfId="14753" xr:uid="{60111B6D-5CE3-43DE-859F-65B9FDF4280F}"/>
    <cellStyle name="Comma 3 2 2 3 2 2 2" xfId="22300" xr:uid="{7BB27D0E-2A7C-40EE-A454-6EFCB88F15FD}"/>
    <cellStyle name="Comma 3 2 2 3 2 2 3" xfId="46430" xr:uid="{49E155AE-C03C-420B-88D4-59091F8DE7E9}"/>
    <cellStyle name="Comma 3 2 2 3 2 2 4" xfId="51638" xr:uid="{4BE23321-9D8A-4609-9E82-790AF80D9931}"/>
    <cellStyle name="Comma 3 2 2 3 2 2 5" xfId="54654" xr:uid="{5DAD981F-8333-4332-A895-FA23D332F56D}"/>
    <cellStyle name="Comma 3 2 2 3 2 3" xfId="15238" xr:uid="{78CF676D-5FA2-43BA-A9AC-52840D87408D}"/>
    <cellStyle name="Comma 3 2 2 3 2 3 2" xfId="22777" xr:uid="{CCD043A5-B28E-4817-93D9-F3329E5C40E0}"/>
    <cellStyle name="Comma 3 2 2 3 2 3 3" xfId="46500" xr:uid="{F281AFB7-1D8A-4617-B122-A9339414465F}"/>
    <cellStyle name="Comma 3 2 2 3 2 3 4" xfId="52115" xr:uid="{ABD83F8A-42D3-481C-99AA-46CABF81CBAB}"/>
    <cellStyle name="Comma 3 2 2 3 2 3 5" xfId="55131" xr:uid="{188BAE42-710A-4E17-87A2-DE34C07BCE6E}"/>
    <cellStyle name="Comma 3 2 2 3 2 4" xfId="15725" xr:uid="{B6F3460B-4A48-44AB-9D2F-FC26DE30B685}"/>
    <cellStyle name="Comma 3 2 2 3 2 4 2" xfId="23254" xr:uid="{D4151D21-BE13-454A-A82C-CB4C55C76505}"/>
    <cellStyle name="Comma 3 2 2 3 2 4 3" xfId="46578" xr:uid="{6BB0C8D2-D2AB-4E5E-ABF5-CAB139086661}"/>
    <cellStyle name="Comma 3 2 2 3 2 4 4" xfId="52592" xr:uid="{A1FA2CDC-09E0-42B4-8336-2BE7CF48DA45}"/>
    <cellStyle name="Comma 3 2 2 3 2 4 5" xfId="55608" xr:uid="{5FBD222E-1088-41C4-806C-06DC3E0D05BF}"/>
    <cellStyle name="Comma 3 2 2 3 2 5" xfId="12745" xr:uid="{E0946F00-091F-450C-B9DA-D78B6082AE6D}"/>
    <cellStyle name="Comma 3 2 2 3 2 5 2" xfId="48438" xr:uid="{2B4293AF-EBD6-4545-B380-14555E1E79F1}"/>
    <cellStyle name="Comma 3 2 2 3 2 5 3" xfId="51161" xr:uid="{E2D6F0C5-05B7-426E-AD37-2924CA9328FF}"/>
    <cellStyle name="Comma 3 2 2 3 2 5 4" xfId="54177" xr:uid="{AE93DE9A-A8C4-4CCC-B294-206603752DE4}"/>
    <cellStyle name="Comma 3 2 2 3 2 6" xfId="47283" xr:uid="{ACF5DE09-7EE8-4DA7-B80B-FC5D61BC6F7E}"/>
    <cellStyle name="Comma 3 2 2 3 2 7" xfId="50055" xr:uid="{477C7DC6-87A1-47C7-BEDC-8340B1600BF7}"/>
    <cellStyle name="Comma 3 2 2 3 2 8" xfId="53071" xr:uid="{34DCEB80-C4D0-481A-A140-8E986FC3D0BD}"/>
    <cellStyle name="Comma 3 2 2 3 3" xfId="14541" xr:uid="{80010E3C-96B8-4118-99A4-5B3D5ADDCADF}"/>
    <cellStyle name="Comma 3 2 2 3 3 2" xfId="22088" xr:uid="{EC22ED08-E4B4-4B2E-890A-DA4DA485DC93}"/>
    <cellStyle name="Comma 3 2 2 3 3 3" xfId="24980" xr:uid="{AF501CD0-448B-4D47-A13A-7FBF12B0F4A7}"/>
    <cellStyle name="Comma 3 2 2 3 3 4" xfId="51426" xr:uid="{E5EE7217-61B6-4CAC-AC60-1C2ED6EA0340}"/>
    <cellStyle name="Comma 3 2 2 3 3 5" xfId="54442" xr:uid="{652B758D-4C03-4566-849A-01E48EE75D0B}"/>
    <cellStyle name="Comma 3 2 2 3 4" xfId="15025" xr:uid="{85EE1C01-67EF-4613-B477-DFBAB52B3F9D}"/>
    <cellStyle name="Comma 3 2 2 3 4 2" xfId="22565" xr:uid="{65A2A2DB-7373-42D5-9144-EA38D2B13BBD}"/>
    <cellStyle name="Comma 3 2 2 3 4 3" xfId="48353" xr:uid="{10D9CE32-BD95-433F-A6F1-5FF6ABAC1593}"/>
    <cellStyle name="Comma 3 2 2 3 4 4" xfId="51903" xr:uid="{CA79DA37-D35E-4056-BF04-A2852E19EA8D}"/>
    <cellStyle name="Comma 3 2 2 3 4 5" xfId="54919" xr:uid="{A4608EDA-A495-48D6-86E1-CEAC017010F6}"/>
    <cellStyle name="Comma 3 2 2 3 5" xfId="15512" xr:uid="{26038AA6-ADAF-46B9-8F2E-AA103CFDCCE8}"/>
    <cellStyle name="Comma 3 2 2 3 5 2" xfId="23042" xr:uid="{6B289180-3E04-403D-A912-E0E23BE74D8F}"/>
    <cellStyle name="Comma 3 2 2 3 5 3" xfId="46543" xr:uid="{88E817BA-5555-4986-B9C7-AB7A43CCE7BF}"/>
    <cellStyle name="Comma 3 2 2 3 5 4" xfId="52380" xr:uid="{08186274-DA0D-4B4B-8903-A62527F09710}"/>
    <cellStyle name="Comma 3 2 2 3 5 5" xfId="55396" xr:uid="{2D9D8B41-6634-4DA5-9388-F95C37106FA4}"/>
    <cellStyle name="Comma 3 2 2 3 6" xfId="12450" xr:uid="{DE45F256-2799-4C32-9B2C-9FFC487B7BCF}"/>
    <cellStyle name="Comma 3 2 2 3 6 2" xfId="47013" xr:uid="{450AB842-07D1-4FF3-B602-2B87772F1CEF}"/>
    <cellStyle name="Comma 3 2 2 3 6 3" xfId="50949" xr:uid="{88FC0DFB-C503-4215-B5DC-C648342C5E18}"/>
    <cellStyle name="Comma 3 2 2 3 6 4" xfId="53965" xr:uid="{A87D91CC-AF7E-4C43-95F5-E94440695BC4}"/>
    <cellStyle name="Comma 3 2 2 3 7" xfId="47114" xr:uid="{51AAF258-D21C-4127-A5A5-20D7D3BA14E4}"/>
    <cellStyle name="Comma 3 2 2 3 8" xfId="49843" xr:uid="{32DA9B56-2102-4BE2-AAEF-674C776AE0C5}"/>
    <cellStyle name="Comma 3 2 2 3 9" xfId="52859" xr:uid="{918491A9-6114-466A-8B24-318A93DFDA5E}"/>
    <cellStyle name="Comma 3 2 2 4" xfId="10058" xr:uid="{A5DF87DD-61AB-479B-BAD3-9CCAA8F8A512}"/>
    <cellStyle name="Comma 3 2 2 4 2" xfId="10366" xr:uid="{F37B2E5E-C4A3-4B89-A292-CA4636EBB9C5}"/>
    <cellStyle name="Comma 3 2 2 4 2 2" xfId="14806" xr:uid="{613DD49A-26CB-4756-9E9C-8F8635E77826}"/>
    <cellStyle name="Comma 3 2 2 4 2 2 2" xfId="22353" xr:uid="{6838C5CE-FE94-4089-9519-0FFF7B20242C}"/>
    <cellStyle name="Comma 3 2 2 4 2 2 3" xfId="32284" xr:uid="{5E9CDCFF-D8DA-4B73-9DD7-ABB21228E55D}"/>
    <cellStyle name="Comma 3 2 2 4 2 2 4" xfId="51691" xr:uid="{F3751406-2734-455A-977D-2EF2B77A489B}"/>
    <cellStyle name="Comma 3 2 2 4 2 2 5" xfId="54707" xr:uid="{78D43539-88FB-4857-BDA0-695E6DD18C24}"/>
    <cellStyle name="Comma 3 2 2 4 2 3" xfId="15291" xr:uid="{13011A58-0745-40EF-92D2-A1875CF4A641}"/>
    <cellStyle name="Comma 3 2 2 4 2 3 2" xfId="22830" xr:uid="{8E5769F0-D1B7-4487-AC43-26231844854D}"/>
    <cellStyle name="Comma 3 2 2 4 2 3 3" xfId="48126" xr:uid="{E1BB08CC-7DA7-4026-8BFB-1FA0078882CF}"/>
    <cellStyle name="Comma 3 2 2 4 2 3 4" xfId="52168" xr:uid="{6DFC8927-FE87-48EC-9964-C10176036B4B}"/>
    <cellStyle name="Comma 3 2 2 4 2 3 5" xfId="55184" xr:uid="{B516AD90-3F44-46D6-979B-0C4D71F23A4F}"/>
    <cellStyle name="Comma 3 2 2 4 2 4" xfId="15778" xr:uid="{6ECD9277-5D74-4347-9C0C-28DA23A1D144}"/>
    <cellStyle name="Comma 3 2 2 4 2 4 2" xfId="23307" xr:uid="{26ACC468-8E50-4BEF-AF2F-AD912ABACC60}"/>
    <cellStyle name="Comma 3 2 2 4 2 4 3" xfId="48370" xr:uid="{6AB63CCB-4D6A-427B-90B8-5800A6ED03E2}"/>
    <cellStyle name="Comma 3 2 2 4 2 4 4" xfId="52645" xr:uid="{5BB03434-1889-4D6E-9A4F-2E64F6790CC5}"/>
    <cellStyle name="Comma 3 2 2 4 2 4 5" xfId="55661" xr:uid="{7AB16830-6C08-4806-A4D1-9003E26CD966}"/>
    <cellStyle name="Comma 3 2 2 4 2 5" xfId="12819" xr:uid="{1AB0C3C7-B8B9-4A87-B55B-BC2BB9DA7360}"/>
    <cellStyle name="Comma 3 2 2 4 2 5 2" xfId="47764" xr:uid="{2A6CF7F0-6DC1-41AD-BBCA-42D1C54BD2F4}"/>
    <cellStyle name="Comma 3 2 2 4 2 5 3" xfId="51214" xr:uid="{5E86FE0C-7A57-4F5A-9413-A1EAE28D55EF}"/>
    <cellStyle name="Comma 3 2 2 4 2 5 4" xfId="54230" xr:uid="{7EFD7A9B-E9BD-434B-8701-C2010AB102CA}"/>
    <cellStyle name="Comma 3 2 2 4 2 6" xfId="46101" xr:uid="{F399765E-55D0-42A6-85E6-0D79356AED73}"/>
    <cellStyle name="Comma 3 2 2 4 2 7" xfId="50108" xr:uid="{BCA56EA0-68E1-4FE0-993C-651A8F30F28B}"/>
    <cellStyle name="Comma 3 2 2 4 2 8" xfId="53124" xr:uid="{1ACE6736-CF18-44D3-9558-9BBDB1FEBC20}"/>
    <cellStyle name="Comma 3 2 2 4 3" xfId="14594" xr:uid="{B0B70332-50E4-4A7C-89A7-1D6532127D6F}"/>
    <cellStyle name="Comma 3 2 2 4 3 2" xfId="22141" xr:uid="{6011F0AB-37B4-4807-B454-0C806C10CFE8}"/>
    <cellStyle name="Comma 3 2 2 4 3 3" xfId="46840" xr:uid="{2897ED8F-65C8-4BB4-9AB2-B1AEFF94FE0E}"/>
    <cellStyle name="Comma 3 2 2 4 3 4" xfId="51479" xr:uid="{C354C2C2-ACDD-4BF2-86DC-8B48C3BFC2CA}"/>
    <cellStyle name="Comma 3 2 2 4 3 5" xfId="54495" xr:uid="{A5205083-EABB-440C-B853-7CDA672B43E2}"/>
    <cellStyle name="Comma 3 2 2 4 4" xfId="15079" xr:uid="{20991A78-E846-44FD-8FE1-362359D2788B}"/>
    <cellStyle name="Comma 3 2 2 4 4 2" xfId="22618" xr:uid="{DA2D12E3-CEE5-4513-975D-55E771E3D169}"/>
    <cellStyle name="Comma 3 2 2 4 4 3" xfId="47390" xr:uid="{F23299B9-C65E-4699-A133-87DB92F2473B}"/>
    <cellStyle name="Comma 3 2 2 4 4 4" xfId="51956" xr:uid="{1A976BEC-CFB4-4D68-9129-E72A15540B9E}"/>
    <cellStyle name="Comma 3 2 2 4 4 5" xfId="54972" xr:uid="{A45F8C68-C928-4DB9-9C03-27C1BB538CC5}"/>
    <cellStyle name="Comma 3 2 2 4 5" xfId="15566" xr:uid="{592288C0-B674-44F0-ABB2-7D1AA96F56AE}"/>
    <cellStyle name="Comma 3 2 2 4 5 2" xfId="23095" xr:uid="{B9C4C428-870F-42FA-8BA1-94E7FB89C1E2}"/>
    <cellStyle name="Comma 3 2 2 4 5 3" xfId="46936" xr:uid="{EF34C682-2280-45DC-8F4D-D00FA30C9816}"/>
    <cellStyle name="Comma 3 2 2 4 5 4" xfId="52433" xr:uid="{B3320DF9-42CA-4AAB-877A-EAF2F218ED22}"/>
    <cellStyle name="Comma 3 2 2 4 5 5" xfId="55449" xr:uid="{89AC7E15-740D-422F-9F57-A8B3C73E3E72}"/>
    <cellStyle name="Comma 3 2 2 4 6" xfId="12517" xr:uid="{D8A4538D-4B84-44AE-A77C-76327B6890A4}"/>
    <cellStyle name="Comma 3 2 2 4 6 2" xfId="46317" xr:uid="{22464992-75A9-489B-B841-AD47440793E4}"/>
    <cellStyle name="Comma 3 2 2 4 6 3" xfId="51002" xr:uid="{2E8865F6-E7E7-4557-B1F4-A1E482888E4A}"/>
    <cellStyle name="Comma 3 2 2 4 6 4" xfId="54018" xr:uid="{215BEF48-F736-4CB1-BFA9-C1DFB4A6F85C}"/>
    <cellStyle name="Comma 3 2 2 4 7" xfId="25383" xr:uid="{CD7A3539-8907-4579-8B03-8BAA2841DD6E}"/>
    <cellStyle name="Comma 3 2 2 4 8" xfId="49896" xr:uid="{36C60A6E-2E70-491D-B19A-A739FBD70F20}"/>
    <cellStyle name="Comma 3 2 2 4 9" xfId="52912" xr:uid="{AFC752DD-5889-491A-846C-0A35EB9024FB}"/>
    <cellStyle name="Comma 3 2 2 5" xfId="10132" xr:uid="{6302CA91-F478-46D0-AF15-57ACCC6C2A08}"/>
    <cellStyle name="Comma 3 2 2 5 2" xfId="10446" xr:uid="{CE4D8F13-F2DC-45FE-9AD6-D1C0AF8DA731}"/>
    <cellStyle name="Comma 3 2 2 5 2 2" xfId="14859" xr:uid="{4BA676A3-2CAB-42BA-8EB4-C0844ED5E79E}"/>
    <cellStyle name="Comma 3 2 2 5 2 2 2" xfId="22406" xr:uid="{B5C5462D-75B4-40D8-8380-CFC6438CEFDB}"/>
    <cellStyle name="Comma 3 2 2 5 2 2 3" xfId="46447" xr:uid="{DC8D3F50-2505-42C1-86F3-5FFA00F8785E}"/>
    <cellStyle name="Comma 3 2 2 5 2 2 4" xfId="51744" xr:uid="{4DC8B9E5-7937-4035-93E2-CB06FCDB53F0}"/>
    <cellStyle name="Comma 3 2 2 5 2 2 5" xfId="54760" xr:uid="{0CA68980-FF68-47B5-AF54-450B0D25A4AE}"/>
    <cellStyle name="Comma 3 2 2 5 2 3" xfId="15344" xr:uid="{1C1A42E2-757C-4F9B-821D-372E8F215A84}"/>
    <cellStyle name="Comma 3 2 2 5 2 3 2" xfId="22883" xr:uid="{C799601D-F2DC-4C20-914A-05B3572E20AB}"/>
    <cellStyle name="Comma 3 2 2 5 2 3 3" xfId="47432" xr:uid="{6F0F4C78-8461-4D7E-8ACC-70F5759349B5}"/>
    <cellStyle name="Comma 3 2 2 5 2 3 4" xfId="52221" xr:uid="{407B1003-076B-475A-959F-82445DD62755}"/>
    <cellStyle name="Comma 3 2 2 5 2 3 5" xfId="55237" xr:uid="{09806E51-1B67-4874-8FDB-6A14A12B6C60}"/>
    <cellStyle name="Comma 3 2 2 5 2 4" xfId="15831" xr:uid="{FB821E0C-5CE9-4EB4-BDA4-A66616984EB2}"/>
    <cellStyle name="Comma 3 2 2 5 2 4 2" xfId="23360" xr:uid="{43912178-9449-4BEE-A102-28BF3A5FBC43}"/>
    <cellStyle name="Comma 3 2 2 5 2 4 3" xfId="24430" xr:uid="{E68B86ED-75E7-435E-8139-E25B3314FC61}"/>
    <cellStyle name="Comma 3 2 2 5 2 4 4" xfId="52698" xr:uid="{4A73EDA1-80EF-48E6-BF6D-D2ABAAC42E90}"/>
    <cellStyle name="Comma 3 2 2 5 2 4 5" xfId="55714" xr:uid="{B98E56FC-8F74-4991-B593-104EB8639E0F}"/>
    <cellStyle name="Comma 3 2 2 5 2 5" xfId="12899" xr:uid="{4229E837-75D9-4FAC-B414-A9FCC00CA74C}"/>
    <cellStyle name="Comma 3 2 2 5 2 5 2" xfId="46808" xr:uid="{580B9AE4-4A2D-4832-BA40-AB63E4FD717F}"/>
    <cellStyle name="Comma 3 2 2 5 2 5 3" xfId="51267" xr:uid="{C4794CBD-BE4B-4B15-9C19-A6A125754B3F}"/>
    <cellStyle name="Comma 3 2 2 5 2 5 4" xfId="54283" xr:uid="{A633E349-CF87-4AD3-BF7C-04E4297EDB8A}"/>
    <cellStyle name="Comma 3 2 2 5 2 6" xfId="46123" xr:uid="{B0F50DD4-BB84-4077-B4C9-468DC296ECE6}"/>
    <cellStyle name="Comma 3 2 2 5 2 7" xfId="50161" xr:uid="{3299088E-9726-4203-823C-2C6B670F5941}"/>
    <cellStyle name="Comma 3 2 2 5 2 8" xfId="53177" xr:uid="{C72DD6CA-88D3-4D82-B369-C4F23B85ECFE}"/>
    <cellStyle name="Comma 3 2 2 5 3" xfId="14647" xr:uid="{36A211E7-6A3E-4BA4-BC7D-D3F7B7275D61}"/>
    <cellStyle name="Comma 3 2 2 5 3 2" xfId="22194" xr:uid="{6B37611F-2BFA-46AD-9FB5-C2478C9772AE}"/>
    <cellStyle name="Comma 3 2 2 5 3 3" xfId="34486" xr:uid="{940E8F12-E5B2-45D5-B138-9D69AC063227}"/>
    <cellStyle name="Comma 3 2 2 5 3 4" xfId="51532" xr:uid="{6B925A6B-9819-4459-BBA2-BE26389E0472}"/>
    <cellStyle name="Comma 3 2 2 5 3 5" xfId="54548" xr:uid="{E06BA94E-53D1-4159-81A8-F7BAA9E6F20C}"/>
    <cellStyle name="Comma 3 2 2 5 4" xfId="15132" xr:uid="{21AA32D5-4363-4A34-A948-DE91C56A9381}"/>
    <cellStyle name="Comma 3 2 2 5 4 2" xfId="22671" xr:uid="{F2B8D8B5-F79B-45D2-9917-A8E90AE76AA4}"/>
    <cellStyle name="Comma 3 2 2 5 4 3" xfId="48581" xr:uid="{5F627C29-4648-484B-AF08-8A598DF28B25}"/>
    <cellStyle name="Comma 3 2 2 5 4 4" xfId="52009" xr:uid="{55E59FC4-430E-4FEA-9204-B3911B69DE1D}"/>
    <cellStyle name="Comma 3 2 2 5 4 5" xfId="55025" xr:uid="{52EF2A79-274E-474A-9C86-B9BB533DF62B}"/>
    <cellStyle name="Comma 3 2 2 5 5" xfId="15619" xr:uid="{1F6B2609-A9E1-4031-B8D2-BC8BEEC38161}"/>
    <cellStyle name="Comma 3 2 2 5 5 2" xfId="23148" xr:uid="{2FFB3B5D-4970-4C17-9E46-F5461610F18C}"/>
    <cellStyle name="Comma 3 2 2 5 5 3" xfId="48421" xr:uid="{5A608AAD-5F38-419B-AE4C-75475C34F186}"/>
    <cellStyle name="Comma 3 2 2 5 5 4" xfId="52486" xr:uid="{25F5C881-B92E-451B-B177-8A929BE3B5EF}"/>
    <cellStyle name="Comma 3 2 2 5 5 5" xfId="55502" xr:uid="{D8D79811-98B8-4CC0-A1A4-AED445716E0A}"/>
    <cellStyle name="Comma 3 2 2 5 6" xfId="12589" xr:uid="{2BC99FFA-16B6-47B9-81A6-4484FB83EFA7}"/>
    <cellStyle name="Comma 3 2 2 5 6 2" xfId="47564" xr:uid="{A2A6E88C-66BF-4334-8EB9-725C70C9D051}"/>
    <cellStyle name="Comma 3 2 2 5 6 3" xfId="51055" xr:uid="{63EC6278-341B-4235-90EB-0BBCE504825F}"/>
    <cellStyle name="Comma 3 2 2 5 6 4" xfId="54071" xr:uid="{1985DAB9-8711-49AA-8886-A701996C3162}"/>
    <cellStyle name="Comma 3 2 2 5 7" xfId="46054" xr:uid="{CFD9B3B6-5DA7-4A3A-B56A-ACA452501025}"/>
    <cellStyle name="Comma 3 2 2 5 8" xfId="49949" xr:uid="{DBCC4C5B-E7AA-463B-AB8E-26152B3B6D83}"/>
    <cellStyle name="Comma 3 2 2 5 9" xfId="52965" xr:uid="{F0EC81B5-7BFF-4D91-8EEF-68B9F98A9757}"/>
    <cellStyle name="Comma 3 2 2 6" xfId="10212" xr:uid="{5AA6C29E-0260-414B-8E69-76CEAB29E6E0}"/>
    <cellStyle name="Comma 3 2 2 6 2" xfId="14700" xr:uid="{5B54C1FE-AC7E-4659-A640-8681DD6691B1}"/>
    <cellStyle name="Comma 3 2 2 6 2 2" xfId="22247" xr:uid="{35C668AC-65AF-4368-84A8-F00526148FB8}"/>
    <cellStyle name="Comma 3 2 2 6 2 3" xfId="46850" xr:uid="{F0BC3C06-14F8-47C2-BF9B-6B97E0A405EF}"/>
    <cellStyle name="Comma 3 2 2 6 2 4" xfId="51585" xr:uid="{9EFE5A15-4F1A-47C8-BE5E-69FD10924237}"/>
    <cellStyle name="Comma 3 2 2 6 2 5" xfId="54601" xr:uid="{3CC1BA97-1B13-44C3-B4B0-6C99DC7C3C26}"/>
    <cellStyle name="Comma 3 2 2 6 3" xfId="15185" xr:uid="{27D869FD-C87B-4FC7-9D44-498E5D00E707}"/>
    <cellStyle name="Comma 3 2 2 6 3 2" xfId="22724" xr:uid="{39993D73-76D0-4CD5-895E-C747C92D15FA}"/>
    <cellStyle name="Comma 3 2 2 6 3 3" xfId="46689" xr:uid="{401880E1-242E-4054-B481-55C0D4B6CD5A}"/>
    <cellStyle name="Comma 3 2 2 6 3 4" xfId="52062" xr:uid="{D23B95F6-95AB-4555-9702-4E9901BA1BFB}"/>
    <cellStyle name="Comma 3 2 2 6 3 5" xfId="55078" xr:uid="{C27B9AB0-3BCC-4F37-A304-053F8D55E190}"/>
    <cellStyle name="Comma 3 2 2 6 4" xfId="15672" xr:uid="{D05C04A6-BC3E-45DB-A3FB-787DB18C59D0}"/>
    <cellStyle name="Comma 3 2 2 6 4 2" xfId="23201" xr:uid="{2667D363-F023-4BDC-81FF-B15C1AA24E0B}"/>
    <cellStyle name="Comma 3 2 2 6 4 3" xfId="46951" xr:uid="{479A3996-29A1-42ED-BA10-931FE200DA8B}"/>
    <cellStyle name="Comma 3 2 2 6 4 4" xfId="52539" xr:uid="{77366F69-CBF4-42F3-AB49-1E9B17C02F9A}"/>
    <cellStyle name="Comma 3 2 2 6 4 5" xfId="55555" xr:uid="{D73E957F-7B40-4712-9BD9-ADAEA97D4C68}"/>
    <cellStyle name="Comma 3 2 2 6 5" xfId="12665" xr:uid="{9A3FF69A-84AD-447C-9051-45D1F3115203}"/>
    <cellStyle name="Comma 3 2 2 6 5 2" xfId="47167" xr:uid="{27439E0D-4B4C-457A-B34C-1384FFAA14FE}"/>
    <cellStyle name="Comma 3 2 2 6 5 3" xfId="51108" xr:uid="{47185D1F-A9DD-4050-930F-8BFED5D41C80}"/>
    <cellStyle name="Comma 3 2 2 6 5 4" xfId="54124" xr:uid="{B9200481-7549-4FAE-AD28-9823E7338F3C}"/>
    <cellStyle name="Comma 3 2 2 6 6" xfId="46066" xr:uid="{0BE63BDC-66CF-4D63-9D65-6FC3566108BC}"/>
    <cellStyle name="Comma 3 2 2 6 7" xfId="50002" xr:uid="{849E24EA-D714-476F-8E2D-2E9CA67A4D53}"/>
    <cellStyle name="Comma 3 2 2 6 8" xfId="53018" xr:uid="{42D5B5EB-4E5D-48BE-8727-876535B9981D}"/>
    <cellStyle name="Comma 3 2 2 7" xfId="10526" xr:uid="{AD1181B1-ED95-45B3-9948-2EE194AD37D3}"/>
    <cellStyle name="Comma 3 2 2 7 2" xfId="14912" xr:uid="{1C9FDFE6-0957-403A-BC70-A298CDAB429F}"/>
    <cellStyle name="Comma 3 2 2 7 2 2" xfId="22459" xr:uid="{C51DAC77-E882-4583-AA1A-D8D4E282F78E}"/>
    <cellStyle name="Comma 3 2 2 7 2 3" xfId="47744" xr:uid="{2EFA336D-A853-47E6-BFB4-B2030D8CC8F0}"/>
    <cellStyle name="Comma 3 2 2 7 2 4" xfId="51797" xr:uid="{4D9255B7-3C8B-486F-B931-0F704CCE9CB0}"/>
    <cellStyle name="Comma 3 2 2 7 2 5" xfId="54813" xr:uid="{4E9FBA86-65C4-4914-8B19-524E25C92205}"/>
    <cellStyle name="Comma 3 2 2 7 3" xfId="15397" xr:uid="{1020E763-4CCD-4F3D-8C5E-615402DC2972}"/>
    <cellStyle name="Comma 3 2 2 7 3 2" xfId="22936" xr:uid="{D5531CCE-B875-4BFE-B368-C3B66FD9870C}"/>
    <cellStyle name="Comma 3 2 2 7 3 3" xfId="48128" xr:uid="{F344AD2E-7A27-458F-A9A3-6A845023D9F2}"/>
    <cellStyle name="Comma 3 2 2 7 3 4" xfId="52274" xr:uid="{3D8DB2F9-61DF-42F1-B41F-76241C75F83A}"/>
    <cellStyle name="Comma 3 2 2 7 3 5" xfId="55290" xr:uid="{1265EBD1-C71D-47AD-B60E-D4546105BA9A}"/>
    <cellStyle name="Comma 3 2 2 7 4" xfId="15884" xr:uid="{B0B99E4A-BF51-45E0-B32B-6C308C531DF3}"/>
    <cellStyle name="Comma 3 2 2 7 4 2" xfId="23413" xr:uid="{E93223FE-1EC7-42C3-B76E-5AD729F6211C}"/>
    <cellStyle name="Comma 3 2 2 7 4 3" xfId="47505" xr:uid="{4CEAEDA3-4213-47DB-BE22-2FA72C07C956}"/>
    <cellStyle name="Comma 3 2 2 7 4 4" xfId="52751" xr:uid="{62286AC6-ECED-4AC6-8B08-5F3725FFF89B}"/>
    <cellStyle name="Comma 3 2 2 7 4 5" xfId="55767" xr:uid="{B5904F77-6DC1-4A42-B29C-74B2955E2267}"/>
    <cellStyle name="Comma 3 2 2 7 5" xfId="12979" xr:uid="{3EB1070F-06A4-462A-A6B4-2E7DD99545BF}"/>
    <cellStyle name="Comma 3 2 2 7 5 2" xfId="46379" xr:uid="{274F74DE-5FC4-470C-BFA3-30AA6F49C4EA}"/>
    <cellStyle name="Comma 3 2 2 7 5 3" xfId="51320" xr:uid="{9A6AE347-E84D-4891-8772-4566EC727096}"/>
    <cellStyle name="Comma 3 2 2 7 5 4" xfId="54336" xr:uid="{2892B31F-0988-4FCC-97C0-4499A578830D}"/>
    <cellStyle name="Comma 3 2 2 7 6" xfId="35987" xr:uid="{F43F94CA-D16C-4E30-B2E5-133740B41564}"/>
    <cellStyle name="Comma 3 2 2 7 7" xfId="50214" xr:uid="{0A813C73-3CB4-4453-9F10-CD78E32759E9}"/>
    <cellStyle name="Comma 3 2 2 7 8" xfId="53230" xr:uid="{BE411CD6-A8D7-41A4-9E54-7C6743808670}"/>
    <cellStyle name="Comma 3 2 2 8" xfId="14488" xr:uid="{87FBD247-E222-44F6-85C1-A66BB4B49BFD}"/>
    <cellStyle name="Comma 3 2 2 8 2" xfId="22035" xr:uid="{EF13034B-29F1-4824-86CB-3F4790023A08}"/>
    <cellStyle name="Comma 3 2 2 8 3" xfId="46827" xr:uid="{A4470FAD-EA94-4661-94F6-759285A5FB83}"/>
    <cellStyle name="Comma 3 2 2 8 4" xfId="51373" xr:uid="{F7AF8238-4036-4DDB-8BFF-E54F9A90A7E3}"/>
    <cellStyle name="Comma 3 2 2 8 5" xfId="54389" xr:uid="{42987B15-37F7-4CBA-B508-B1BB3AA05D2F}"/>
    <cellStyle name="Comma 3 2 2 9" xfId="14968" xr:uid="{8B69CD80-8E12-416E-A143-CCB33D99CC88}"/>
    <cellStyle name="Comma 3 2 2 9 2" xfId="22512" xr:uid="{AE6C467B-4BDA-45E3-974D-0C04E56D6E3C}"/>
    <cellStyle name="Comma 3 2 2 9 3" xfId="48068" xr:uid="{544BADA6-FEC7-4A8F-AF00-DE1910B52231}"/>
    <cellStyle name="Comma 3 2 2 9 4" xfId="51850" xr:uid="{2837C514-23DB-4C40-B4FF-B9AA894BC471}"/>
    <cellStyle name="Comma 3 2 2 9 5" xfId="54866" xr:uid="{8756CF39-65A0-4400-AE7F-1E3B49EAB8D8}"/>
    <cellStyle name="Comma 3 2 3" xfId="4540" xr:uid="{E717803F-F25D-4CA2-8E0A-56246ED101EB}"/>
    <cellStyle name="Comma 3 2 3 10" xfId="15474" xr:uid="{BBD225D2-6AB7-466C-BC6F-E47CF286E085}"/>
    <cellStyle name="Comma 3 2 3 10 2" xfId="23004" xr:uid="{963C54C4-58B3-4FD5-9D3B-8FBDD5138421}"/>
    <cellStyle name="Comma 3 2 3 10 3" xfId="23837" xr:uid="{964E2F4D-EB49-4C9A-8E8D-5E86E3B063EB}"/>
    <cellStyle name="Comma 3 2 3 10 4" xfId="52342" xr:uid="{A75AE7D5-9DC6-4BB0-B148-EA5396D8B7B1}"/>
    <cellStyle name="Comma 3 2 3 10 5" xfId="55358" xr:uid="{6A3FC6B5-CD5B-424D-975A-2A39E58C557F}"/>
    <cellStyle name="Comma 3 2 3 11" xfId="11495" xr:uid="{BAC39D7A-56A8-4A8B-83A3-D5844FBD0DA9}"/>
    <cellStyle name="Comma 3 2 3 11 2" xfId="21699" xr:uid="{FEC0CE67-4E35-4AC1-B8CC-0BFF8AE07C03}"/>
    <cellStyle name="Comma 3 2 3 11 3" xfId="24760" xr:uid="{963249ED-4499-4905-8E3C-067C2E3ADB1D}"/>
    <cellStyle name="Comma 3 2 3 11 4" xfId="50719" xr:uid="{98A1F0FF-9D05-4187-8A94-128771820F6A}"/>
    <cellStyle name="Comma 3 2 3 11 5" xfId="53735" xr:uid="{7FCD745E-678B-488D-B296-7C74C1208170}"/>
    <cellStyle name="Comma 3 2 3 12" xfId="23740" xr:uid="{40F51FBD-F3FF-47F6-A6AB-3F9F4770484C}"/>
    <cellStyle name="Comma 3 2 3 13" xfId="48623" xr:uid="{CFD07B57-4BDD-45FF-8B59-D78368F05BBA}"/>
    <cellStyle name="Comma 3 2 3 14" xfId="49531" xr:uid="{BB55A240-0DCE-4D51-BAFD-106E41A16FBD}"/>
    <cellStyle name="Comma 3 2 3 15" xfId="49805" xr:uid="{9629678C-098B-4873-BAF7-13CEEE1ECC2A}"/>
    <cellStyle name="Comma 3 2 3 16" xfId="52820" xr:uid="{A67AF94C-C3CF-45DB-9E02-6D1776C8E366}"/>
    <cellStyle name="Comma 3 2 3 17" xfId="8928" xr:uid="{61B9CC70-94E9-4A6C-BB4A-184E022E91E8}"/>
    <cellStyle name="Comma 3 2 3 2" xfId="10015" xr:uid="{D612F5C7-A0D3-44C7-A693-C360C8002DBB}"/>
    <cellStyle name="Comma 3 2 3 2 2" xfId="10323" xr:uid="{1F489179-B2F8-4855-B2AC-0D5E0BF4BB5B}"/>
    <cellStyle name="Comma 3 2 3 2 2 2" xfId="14768" xr:uid="{BFCA319E-9D96-4447-A3D2-941C668704C8}"/>
    <cellStyle name="Comma 3 2 3 2 2 2 2" xfId="22315" xr:uid="{E35E0C63-B8C1-4F2C-825A-8CFF8A88DC8C}"/>
    <cellStyle name="Comma 3 2 3 2 2 2 3" xfId="48035" xr:uid="{8A1DF83E-2B7E-45FC-A099-6B3E43B04EF7}"/>
    <cellStyle name="Comma 3 2 3 2 2 2 4" xfId="51653" xr:uid="{C829E1CE-B026-40CE-82DE-AD0F8D8F5770}"/>
    <cellStyle name="Comma 3 2 3 2 2 2 5" xfId="54669" xr:uid="{9901CC78-E80C-4086-9DAC-ED32FFDAC0F1}"/>
    <cellStyle name="Comma 3 2 3 2 2 3" xfId="15253" xr:uid="{5AC23BFD-C120-4157-902D-203E8D776FB8}"/>
    <cellStyle name="Comma 3 2 3 2 2 3 2" xfId="22792" xr:uid="{E3F6F54B-71DC-4D09-977A-BFB07A82DAC7}"/>
    <cellStyle name="Comma 3 2 3 2 2 3 3" xfId="47697" xr:uid="{183BF8AD-BC98-43FE-AC4B-AE6921D03F7C}"/>
    <cellStyle name="Comma 3 2 3 2 2 3 4" xfId="52130" xr:uid="{2DD6DBAF-B50D-448A-9CDE-214158845C2D}"/>
    <cellStyle name="Comma 3 2 3 2 2 3 5" xfId="55146" xr:uid="{CB34A80F-791D-441E-A2F0-5BB088A7D471}"/>
    <cellStyle name="Comma 3 2 3 2 2 4" xfId="15740" xr:uid="{569109E6-6DBC-40C3-86F1-B143F1D12573}"/>
    <cellStyle name="Comma 3 2 3 2 2 4 2" xfId="23269" xr:uid="{F4925221-9D2E-4C1D-86CD-F66F207A7F18}"/>
    <cellStyle name="Comma 3 2 3 2 2 4 3" xfId="46959" xr:uid="{3D2BCA4E-F345-42DE-8C64-E748800AD3D3}"/>
    <cellStyle name="Comma 3 2 3 2 2 4 4" xfId="52607" xr:uid="{AE8792C2-3E89-4878-B3B8-CBA8126844AB}"/>
    <cellStyle name="Comma 3 2 3 2 2 4 5" xfId="55623" xr:uid="{B1615274-5F36-4E44-9BE7-3B87C5A52346}"/>
    <cellStyle name="Comma 3 2 3 2 2 5" xfId="12776" xr:uid="{CE6A774A-8C85-4B2E-85A9-46DD12DBD358}"/>
    <cellStyle name="Comma 3 2 3 2 2 5 2" xfId="47762" xr:uid="{A10E765E-E464-453E-B559-695A87826DAD}"/>
    <cellStyle name="Comma 3 2 3 2 2 5 3" xfId="51176" xr:uid="{BE01D3E3-D535-4B7D-AF4D-4AD24C787C2B}"/>
    <cellStyle name="Comma 3 2 3 2 2 5 4" xfId="54192" xr:uid="{64C99D11-4E33-4D55-8372-32EF0A458625}"/>
    <cellStyle name="Comma 3 2 3 2 2 6" xfId="32474" xr:uid="{0285E2A6-BAC5-424D-AD11-F7ED5AEA24F8}"/>
    <cellStyle name="Comma 3 2 3 2 2 7" xfId="50070" xr:uid="{77270C9B-4AB1-4303-B902-118984C9BD3C}"/>
    <cellStyle name="Comma 3 2 3 2 2 8" xfId="53086" xr:uid="{3609F151-BDBD-43BC-AF0F-404A0F20ABF3}"/>
    <cellStyle name="Comma 3 2 3 2 3" xfId="14556" xr:uid="{7C777A73-8D19-4DC9-9DAD-6EA0EC94DABA}"/>
    <cellStyle name="Comma 3 2 3 2 3 2" xfId="22103" xr:uid="{EB1FD2E5-A721-4EC1-9226-C7D2F9081C44}"/>
    <cellStyle name="Comma 3 2 3 2 3 3" xfId="48347" xr:uid="{E4166A18-C085-4559-A719-E06E35869582}"/>
    <cellStyle name="Comma 3 2 3 2 3 4" xfId="51441" xr:uid="{0AA9D3C1-4E5D-4779-9ACD-D19FD7F09A82}"/>
    <cellStyle name="Comma 3 2 3 2 3 5" xfId="54457" xr:uid="{16E78C2F-32D6-4501-A687-1274F4959AE3}"/>
    <cellStyle name="Comma 3 2 3 2 4" xfId="15040" xr:uid="{01A0D0C3-1F1E-403D-9AF8-1F8EFE87E5D4}"/>
    <cellStyle name="Comma 3 2 3 2 4 2" xfId="22580" xr:uid="{055E3789-B382-4FEE-A4F6-D73F77167614}"/>
    <cellStyle name="Comma 3 2 3 2 4 3" xfId="48384" xr:uid="{83909057-C7A8-4867-839F-C4D74F9F4CE7}"/>
    <cellStyle name="Comma 3 2 3 2 4 4" xfId="51918" xr:uid="{990F9980-D9DA-4764-B0CE-F8907429CB83}"/>
    <cellStyle name="Comma 3 2 3 2 4 5" xfId="54934" xr:uid="{7A540261-5C56-4AB1-87E6-5F5E46875C9B}"/>
    <cellStyle name="Comma 3 2 3 2 5" xfId="15527" xr:uid="{E256B73C-6F62-4D60-A1B8-9CBF6AACA9F6}"/>
    <cellStyle name="Comma 3 2 3 2 5 2" xfId="23057" xr:uid="{1086D8DC-8357-4A8D-82F5-73FFCAE96D78}"/>
    <cellStyle name="Comma 3 2 3 2 5 3" xfId="48419" xr:uid="{0F50829C-D3A7-460D-82A4-D3BC7EA55E2C}"/>
    <cellStyle name="Comma 3 2 3 2 5 4" xfId="52395" xr:uid="{C7CD3858-931B-4D29-92BB-1EB63D723692}"/>
    <cellStyle name="Comma 3 2 3 2 5 5" xfId="55411" xr:uid="{4A172907-F6F5-4F74-BAAF-D7772A76D3F6}"/>
    <cellStyle name="Comma 3 2 3 2 6" xfId="12475" xr:uid="{CA922D21-469F-4468-96A3-0D8F5E0D7B0C}"/>
    <cellStyle name="Comma 3 2 3 2 6 2" xfId="37143" xr:uid="{58F8F9C9-A75D-4514-B26B-0A8A07C9D6A2}"/>
    <cellStyle name="Comma 3 2 3 2 6 3" xfId="50964" xr:uid="{D4D76CAC-8A0B-4C30-B0F0-EFEF5C5DE38C}"/>
    <cellStyle name="Comma 3 2 3 2 6 4" xfId="53980" xr:uid="{AC63B3E1-0486-467B-982E-F6CF6811FFE2}"/>
    <cellStyle name="Comma 3 2 3 2 7" xfId="46023" xr:uid="{9371CD64-34EA-4AFD-8DC8-183E4A39DB99}"/>
    <cellStyle name="Comma 3 2 3 2 8" xfId="49858" xr:uid="{32461B5D-C310-43A2-9BA7-0747D8A6206F}"/>
    <cellStyle name="Comma 3 2 3 2 9" xfId="52874" xr:uid="{39B319FA-EF59-417D-BEAF-2D48BE209D49}"/>
    <cellStyle name="Comma 3 2 3 3" xfId="10089" xr:uid="{A004F6B5-DE65-440C-9952-FCBD017B6081}"/>
    <cellStyle name="Comma 3 2 3 3 2" xfId="10402" xr:uid="{EFB9EC1A-0CC0-487C-ACE1-7EF48764E754}"/>
    <cellStyle name="Comma 3 2 3 3 2 2" xfId="14821" xr:uid="{403F72EB-080E-4559-9C24-DA9EAB22A34A}"/>
    <cellStyle name="Comma 3 2 3 3 2 2 2" xfId="22368" xr:uid="{8D9ED8E6-B917-40A7-89A4-7250B764665F}"/>
    <cellStyle name="Comma 3 2 3 3 2 2 3" xfId="24943" xr:uid="{CDF66EA5-D654-485A-BE4C-740BD4D4F853}"/>
    <cellStyle name="Comma 3 2 3 3 2 2 4" xfId="51706" xr:uid="{78A14D94-5C2C-450F-8D25-59A13042520C}"/>
    <cellStyle name="Comma 3 2 3 3 2 2 5" xfId="54722" xr:uid="{40004FE7-C4FF-4AD3-84EF-DAEBC7DDBD9C}"/>
    <cellStyle name="Comma 3 2 3 3 2 3" xfId="15306" xr:uid="{E473E757-1AFD-455F-96B0-D9FE266D8074}"/>
    <cellStyle name="Comma 3 2 3 3 2 3 2" xfId="22845" xr:uid="{002AC47A-09B5-40AC-8D9E-432E9296AB28}"/>
    <cellStyle name="Comma 3 2 3 3 2 3 3" xfId="48513" xr:uid="{DCB71E38-66B8-4D52-A094-E2B134D0BDDE}"/>
    <cellStyle name="Comma 3 2 3 3 2 3 4" xfId="52183" xr:uid="{45835DB1-3486-43C1-B644-3A49C4005DAE}"/>
    <cellStyle name="Comma 3 2 3 3 2 3 5" xfId="55199" xr:uid="{31D5A442-DFA3-410F-8A3E-0726A56DCE10}"/>
    <cellStyle name="Comma 3 2 3 3 2 4" xfId="15793" xr:uid="{7837ED4C-BCF7-4AE5-96A8-0F1CD303A6A9}"/>
    <cellStyle name="Comma 3 2 3 3 2 4 2" xfId="23322" xr:uid="{8D62821B-0662-4AEC-9832-B217CEB9B01C}"/>
    <cellStyle name="Comma 3 2 3 3 2 4 3" xfId="46587" xr:uid="{C86BB467-83E1-4355-B10C-77207E581FAA}"/>
    <cellStyle name="Comma 3 2 3 3 2 4 4" xfId="52660" xr:uid="{FB630A0F-19F1-437C-B640-B840CC511BC2}"/>
    <cellStyle name="Comma 3 2 3 3 2 4 5" xfId="55676" xr:uid="{1529DFFA-EBB2-4841-983E-20B8430FA200}"/>
    <cellStyle name="Comma 3 2 3 3 2 5" xfId="12855" xr:uid="{BE4B34A4-CB40-4DC9-B129-E0F8AA98CB7E}"/>
    <cellStyle name="Comma 3 2 3 3 2 5 2" xfId="47232" xr:uid="{9EEDABCF-3B90-4C87-85AB-5607F4371DCD}"/>
    <cellStyle name="Comma 3 2 3 3 2 5 3" xfId="51229" xr:uid="{83C164F7-ED84-44CC-9C30-CD3C4A666729}"/>
    <cellStyle name="Comma 3 2 3 3 2 5 4" xfId="54245" xr:uid="{B435CCCE-A8C6-41E9-B816-33DF7919B869}"/>
    <cellStyle name="Comma 3 2 3 3 2 6" xfId="48159" xr:uid="{40712BFF-820F-4A9E-9843-6AEAF336BD89}"/>
    <cellStyle name="Comma 3 2 3 3 2 7" xfId="50123" xr:uid="{A77572A9-3C6E-4F3F-9CCF-BFFE8F89AB07}"/>
    <cellStyle name="Comma 3 2 3 3 2 8" xfId="53139" xr:uid="{2C76ABB3-AFAC-4699-838F-F838F86D28DF}"/>
    <cellStyle name="Comma 3 2 3 3 3" xfId="14609" xr:uid="{FD8863E1-E802-435E-A8A4-BAF8BD1F3877}"/>
    <cellStyle name="Comma 3 2 3 3 3 2" xfId="22156" xr:uid="{93931BB0-A523-4273-9A44-86724A78688E}"/>
    <cellStyle name="Comma 3 2 3 3 3 3" xfId="47964" xr:uid="{4528B5DD-3D18-47D1-864C-284D8A0E8D5A}"/>
    <cellStyle name="Comma 3 2 3 3 3 4" xfId="51494" xr:uid="{A2545EE6-10C7-43FE-B738-42F77A018D63}"/>
    <cellStyle name="Comma 3 2 3 3 3 5" xfId="54510" xr:uid="{18A25AD1-E0FE-460B-BE8B-5CEF8ACD5B1B}"/>
    <cellStyle name="Comma 3 2 3 3 4" xfId="15094" xr:uid="{DD056D46-9A5D-416B-B4B1-EF1492477D6E}"/>
    <cellStyle name="Comma 3 2 3 3 4 2" xfId="22633" xr:uid="{85652F55-E76C-4D92-AE5A-9A10174C3E96}"/>
    <cellStyle name="Comma 3 2 3 3 4 3" xfId="46478" xr:uid="{0F705069-3B8B-4954-A649-AD974A2221F3}"/>
    <cellStyle name="Comma 3 2 3 3 4 4" xfId="51971" xr:uid="{D767C2DA-7FAA-4C15-B797-A4F32183E318}"/>
    <cellStyle name="Comma 3 2 3 3 4 5" xfId="54987" xr:uid="{7941934B-08BF-498E-9967-F236CECB18B5}"/>
    <cellStyle name="Comma 3 2 3 3 5" xfId="15581" xr:uid="{595B8A97-4E95-43BB-956E-C99165C9A235}"/>
    <cellStyle name="Comma 3 2 3 3 5 2" xfId="23110" xr:uid="{A4182278-7E55-4B99-BC05-2ECEBD2DA72B}"/>
    <cellStyle name="Comma 3 2 3 3 5 3" xfId="46555" xr:uid="{CD3C231A-D8BE-48F1-85C0-C5DFB04396A8}"/>
    <cellStyle name="Comma 3 2 3 3 5 4" xfId="52448" xr:uid="{345632FA-A4A9-43F7-8929-646F19124B83}"/>
    <cellStyle name="Comma 3 2 3 3 5 5" xfId="55464" xr:uid="{826D99CC-E301-426C-9B8C-4BB3824FEDE0}"/>
    <cellStyle name="Comma 3 2 3 3 6" xfId="12546" xr:uid="{F2619BE4-FAD1-4007-9F36-9D56C6FD3253}"/>
    <cellStyle name="Comma 3 2 3 3 6 2" xfId="47317" xr:uid="{95760035-80C5-40A3-B033-E0F5B33D45A0}"/>
    <cellStyle name="Comma 3 2 3 3 6 3" xfId="51017" xr:uid="{478B945B-F425-4257-9D7D-8DF2965ACFF1}"/>
    <cellStyle name="Comma 3 2 3 3 6 4" xfId="54033" xr:uid="{359EE8D2-8184-450C-9F00-D971040C88CB}"/>
    <cellStyle name="Comma 3 2 3 3 7" xfId="48449" xr:uid="{BDE2212F-8213-4BFB-B832-F731FCB62FE7}"/>
    <cellStyle name="Comma 3 2 3 3 8" xfId="49911" xr:uid="{F15B3F5F-B45D-4859-9D12-E4599ABC7E55}"/>
    <cellStyle name="Comma 3 2 3 3 9" xfId="52927" xr:uid="{5E5A298C-12F5-4F7A-BC11-5BB3F15CFA31}"/>
    <cellStyle name="Comma 3 2 3 4" xfId="10168" xr:uid="{22BC432B-08A9-444F-A5BF-AEC6367B1ACD}"/>
    <cellStyle name="Comma 3 2 3 4 2" xfId="10482" xr:uid="{4C281CAF-0ABC-426D-A8D0-88FE10B80961}"/>
    <cellStyle name="Comma 3 2 3 4 2 2" xfId="14874" xr:uid="{BF995FA5-2FC2-4000-A7C7-D4586F211B60}"/>
    <cellStyle name="Comma 3 2 3 4 2 2 2" xfId="22421" xr:uid="{C5DE893F-CCEA-42DD-9937-948271DAED8E}"/>
    <cellStyle name="Comma 3 2 3 4 2 2 3" xfId="32377" xr:uid="{A70A19C1-54C0-4CA5-B29D-0E85D9F1A85E}"/>
    <cellStyle name="Comma 3 2 3 4 2 2 4" xfId="51759" xr:uid="{886A14FE-C53B-48DC-B4E0-17DB79C93305}"/>
    <cellStyle name="Comma 3 2 3 4 2 2 5" xfId="54775" xr:uid="{752997BF-B488-495C-9224-7D15898453C8}"/>
    <cellStyle name="Comma 3 2 3 4 2 3" xfId="15359" xr:uid="{C20E1B98-5E6B-4CFF-8775-26F13DD3E268}"/>
    <cellStyle name="Comma 3 2 3 4 2 3 2" xfId="22898" xr:uid="{85912014-87FA-4AFA-815C-E4F2308B888B}"/>
    <cellStyle name="Comma 3 2 3 4 2 3 3" xfId="47493" xr:uid="{10096C6F-BBD3-419F-8074-576DDA145A44}"/>
    <cellStyle name="Comma 3 2 3 4 2 3 4" xfId="52236" xr:uid="{BDC486A7-5358-4323-85E8-B9F28F7C9368}"/>
    <cellStyle name="Comma 3 2 3 4 2 3 5" xfId="55252" xr:uid="{EC26F03A-6FCD-4C65-AAE5-B88835143501}"/>
    <cellStyle name="Comma 3 2 3 4 2 4" xfId="15846" xr:uid="{BA94AB76-49FB-45DC-BE23-993A90F4FD28}"/>
    <cellStyle name="Comma 3 2 3 4 2 4 2" xfId="23375" xr:uid="{A17C927F-75E7-465B-BEBF-A1A6A3091714}"/>
    <cellStyle name="Comma 3 2 3 4 2 4 3" xfId="46974" xr:uid="{EC70F2EC-19FA-439C-872B-AF28ABB0B7F2}"/>
    <cellStyle name="Comma 3 2 3 4 2 4 4" xfId="52713" xr:uid="{3622E87F-D29B-4310-AA0F-1C72EE46E4D6}"/>
    <cellStyle name="Comma 3 2 3 4 2 4 5" xfId="55729" xr:uid="{470C88BA-BC6A-4D09-A45D-133CD8E00EE1}"/>
    <cellStyle name="Comma 3 2 3 4 2 5" xfId="12935" xr:uid="{0ED1E747-62AC-42D9-9D4E-8E5C3FEC325C}"/>
    <cellStyle name="Comma 3 2 3 4 2 5 2" xfId="46374" xr:uid="{59E7B989-240F-4560-842B-7CA4770090FD}"/>
    <cellStyle name="Comma 3 2 3 4 2 5 3" xfId="51282" xr:uid="{3E7D98FE-C60E-4B3F-A77F-2C09C72B1C96}"/>
    <cellStyle name="Comma 3 2 3 4 2 5 4" xfId="54298" xr:uid="{A488F365-9615-4CB7-BD72-12A47B147199}"/>
    <cellStyle name="Comma 3 2 3 4 2 6" xfId="46129" xr:uid="{F3FD7FA5-3F4E-4A0F-8D9C-8CEEE168EDA3}"/>
    <cellStyle name="Comma 3 2 3 4 2 7" xfId="50176" xr:uid="{FFDF9576-DE7C-4D38-8040-31F8613F884F}"/>
    <cellStyle name="Comma 3 2 3 4 2 8" xfId="53192" xr:uid="{D6043647-8C87-40E7-8124-1731B24C197F}"/>
    <cellStyle name="Comma 3 2 3 4 3" xfId="14662" xr:uid="{7534C9F9-7D42-40C3-98B2-E14952D1D5B2}"/>
    <cellStyle name="Comma 3 2 3 4 3 2" xfId="22209" xr:uid="{83A397EB-9B80-4228-A74A-54565DCD9B9C}"/>
    <cellStyle name="Comma 3 2 3 4 3 3" xfId="47453" xr:uid="{E20C8F67-0130-46BB-A8BF-D0FFF379DB24}"/>
    <cellStyle name="Comma 3 2 3 4 3 4" xfId="51547" xr:uid="{5CD77785-6CA4-402B-A050-142E899C3FBD}"/>
    <cellStyle name="Comma 3 2 3 4 3 5" xfId="54563" xr:uid="{AEA4B17A-C49F-4FA4-813C-89D411322F46}"/>
    <cellStyle name="Comma 3 2 3 4 4" xfId="15147" xr:uid="{990E03F9-3B75-4C2B-8DD5-25C0829D58A1}"/>
    <cellStyle name="Comma 3 2 3 4 4 2" xfId="22686" xr:uid="{980E06D7-EA0B-4163-A1BB-7A97FBEDBB3E}"/>
    <cellStyle name="Comma 3 2 3 4 4 3" xfId="32546" xr:uid="{AB316849-F68B-4406-B8EE-C63C18355AEB}"/>
    <cellStyle name="Comma 3 2 3 4 4 4" xfId="52024" xr:uid="{69367B77-6D72-4955-813C-4EDF914D849A}"/>
    <cellStyle name="Comma 3 2 3 4 4 5" xfId="55040" xr:uid="{4FBEF40F-3D73-4307-8426-43AD4DA607BC}"/>
    <cellStyle name="Comma 3 2 3 4 5" xfId="15634" xr:uid="{C1CF8C1F-997E-4FBD-8D73-A5D9B662B7CB}"/>
    <cellStyle name="Comma 3 2 3 4 5 2" xfId="23163" xr:uid="{F020D323-6B78-4BBE-8917-27604A8D2872}"/>
    <cellStyle name="Comma 3 2 3 4 5 3" xfId="47945" xr:uid="{2658DAC0-8992-4505-9EEA-D8A2764C5DCA}"/>
    <cellStyle name="Comma 3 2 3 4 5 4" xfId="52501" xr:uid="{00AAE9A3-B1EB-4DDD-A4DE-1DF1EC25079B}"/>
    <cellStyle name="Comma 3 2 3 4 5 5" xfId="55517" xr:uid="{3AF3CADC-68E1-4435-A93E-F9F3C4BF3DE3}"/>
    <cellStyle name="Comma 3 2 3 4 6" xfId="12622" xr:uid="{CE6997E8-103F-4F3A-91C1-3CE8DE27836D}"/>
    <cellStyle name="Comma 3 2 3 4 6 2" xfId="46331" xr:uid="{57942BDC-7AC6-46F6-A7D4-4F460F09490E}"/>
    <cellStyle name="Comma 3 2 3 4 6 3" xfId="51070" xr:uid="{3A4F07CD-4A5B-4B53-A89D-25A03DD2CBF7}"/>
    <cellStyle name="Comma 3 2 3 4 6 4" xfId="54086" xr:uid="{591CFF52-F314-4D5C-966F-080B854F8A9A}"/>
    <cellStyle name="Comma 3 2 3 4 7" xfId="47651" xr:uid="{2D93665F-AF7D-4B62-95A5-FB416CFE7589}"/>
    <cellStyle name="Comma 3 2 3 4 8" xfId="49964" xr:uid="{17F2787D-DF61-4835-AF28-462574B1B86E}"/>
    <cellStyle name="Comma 3 2 3 4 9" xfId="52980" xr:uid="{01CD9B73-E3FF-4FCE-9B47-EA6014C25FB3}"/>
    <cellStyle name="Comma 3 2 3 5" xfId="10248" xr:uid="{34EB9378-EA75-429F-97A5-4F1102DF898B}"/>
    <cellStyle name="Comma 3 2 3 5 2" xfId="14715" xr:uid="{5530813D-EC4D-4B12-97C9-FC67F1A86D68}"/>
    <cellStyle name="Comma 3 2 3 5 2 2" xfId="22262" xr:uid="{C0F895C2-48B4-48A3-9872-5B39B55B3837}"/>
    <cellStyle name="Comma 3 2 3 5 2 3" xfId="46422" xr:uid="{61A81332-45B5-4DD8-BAA5-C2310F11EB48}"/>
    <cellStyle name="Comma 3 2 3 5 2 4" xfId="51600" xr:uid="{35418A30-A2ED-40D4-B8FE-29783858B18C}"/>
    <cellStyle name="Comma 3 2 3 5 2 5" xfId="54616" xr:uid="{11091EB4-8CE4-401C-9C00-F212C5CE41BD}"/>
    <cellStyle name="Comma 3 2 3 5 3" xfId="15200" xr:uid="{D465A659-0AEE-4E4D-8F62-D5BFB34AC3C7}"/>
    <cellStyle name="Comma 3 2 3 5 3 2" xfId="22739" xr:uid="{697BE84C-5697-40CB-9A08-DBA2034B22CD}"/>
    <cellStyle name="Comma 3 2 3 5 3 3" xfId="47669" xr:uid="{7C254756-2C7C-410B-B550-84B0905CE1BE}"/>
    <cellStyle name="Comma 3 2 3 5 3 4" xfId="52077" xr:uid="{6E285BF6-12FF-497F-9127-A008E240346C}"/>
    <cellStyle name="Comma 3 2 3 5 3 5" xfId="55093" xr:uid="{D68E7011-9BF2-401E-8FA7-CADFA97D699E}"/>
    <cellStyle name="Comma 3 2 3 5 4" xfId="15687" xr:uid="{3D14508F-2E1E-4C1C-B980-6EE85F24F371}"/>
    <cellStyle name="Comma 3 2 3 5 4 2" xfId="23216" xr:uid="{913DA3B6-094C-4726-A8D3-596537F956AF}"/>
    <cellStyle name="Comma 3 2 3 5 4 3" xfId="46572" xr:uid="{20411759-CE82-45CD-8F69-6D84C170E5A4}"/>
    <cellStyle name="Comma 3 2 3 5 4 4" xfId="52554" xr:uid="{B9CAAA57-1327-48D3-8D30-D017C2C06581}"/>
    <cellStyle name="Comma 3 2 3 5 4 5" xfId="55570" xr:uid="{DE9BCC26-BF39-4706-91EA-0C0A97782C99}"/>
    <cellStyle name="Comma 3 2 3 5 5" xfId="12701" xr:uid="{3DF11F05-1C36-4018-93BA-EBFC76AED16E}"/>
    <cellStyle name="Comma 3 2 3 5 5 2" xfId="48106" xr:uid="{7EF61BA2-401D-40F3-A435-B48FD45E1554}"/>
    <cellStyle name="Comma 3 2 3 5 5 3" xfId="51123" xr:uid="{9A68410C-EA27-4E02-B4FF-D26DF2720A0E}"/>
    <cellStyle name="Comma 3 2 3 5 5 4" xfId="54139" xr:uid="{F06666A9-749C-4D7C-BC2C-B01ADB8BEF99}"/>
    <cellStyle name="Comma 3 2 3 5 6" xfId="37545" xr:uid="{1549EC9E-FD41-436C-AC07-CD9845E51946}"/>
    <cellStyle name="Comma 3 2 3 5 7" xfId="50017" xr:uid="{AAE31E02-E2A0-46A3-8855-9A38968F2945}"/>
    <cellStyle name="Comma 3 2 3 5 8" xfId="53033" xr:uid="{34EB9EC9-D9C2-4A90-887F-0C58B5BD2576}"/>
    <cellStyle name="Comma 3 2 3 6" xfId="10562" xr:uid="{800627E8-5732-490E-8021-29AFAD87A1B8}"/>
    <cellStyle name="Comma 3 2 3 6 2" xfId="14927" xr:uid="{F70E2DC1-965D-4BCC-A7EA-E2E442CDF333}"/>
    <cellStyle name="Comma 3 2 3 6 2 2" xfId="22474" xr:uid="{0B73E834-82D6-4FAC-A94E-C1E0A4D72A9E}"/>
    <cellStyle name="Comma 3 2 3 6 2 3" xfId="46456" xr:uid="{F926B426-5A6D-437E-8DF3-036A023DEE9F}"/>
    <cellStyle name="Comma 3 2 3 6 2 4" xfId="51812" xr:uid="{5133882B-93C3-41F1-89D0-8B64E30BB85A}"/>
    <cellStyle name="Comma 3 2 3 6 2 5" xfId="54828" xr:uid="{5F01FB1A-B12C-4D0F-B75C-34F81291757C}"/>
    <cellStyle name="Comma 3 2 3 6 3" xfId="15412" xr:uid="{5E2A6DF0-D190-49EC-B4D7-200493BA0399}"/>
    <cellStyle name="Comma 3 2 3 6 3 2" xfId="22951" xr:uid="{21853A90-1C34-4713-BB3E-38D4115C5AB2}"/>
    <cellStyle name="Comma 3 2 3 6 3 3" xfId="47640" xr:uid="{EA9105AD-5D82-47FD-9EB5-4BD52B38FE95}"/>
    <cellStyle name="Comma 3 2 3 6 3 4" xfId="52289" xr:uid="{1D7C76B9-03C7-41C1-A843-B4E7F76386BF}"/>
    <cellStyle name="Comma 3 2 3 6 3 5" xfId="55305" xr:uid="{6EB60C08-2D25-4B96-8530-3ADB868F30D9}"/>
    <cellStyle name="Comma 3 2 3 6 4" xfId="15900" xr:uid="{CE3E66B1-EA07-41C1-8FEF-A07615A8EC77}"/>
    <cellStyle name="Comma 3 2 3 6 4 2" xfId="23428" xr:uid="{FAF4F11A-2D6C-477D-9B74-CA4087ECC34A}"/>
    <cellStyle name="Comma 3 2 3 6 4 3" xfId="46980" xr:uid="{4DC72FCE-ACD1-4E63-BEDF-E1A6D1CD781F}"/>
    <cellStyle name="Comma 3 2 3 6 4 4" xfId="52766" xr:uid="{F6CA5F1D-A35E-4AA5-A640-83A7E96967FB}"/>
    <cellStyle name="Comma 3 2 3 6 4 5" xfId="55782" xr:uid="{703E6DBD-588D-4978-9C75-042995F1A302}"/>
    <cellStyle name="Comma 3 2 3 6 5" xfId="13015" xr:uid="{B764B081-EE0D-444E-9D8E-64FDC4B89D0A}"/>
    <cellStyle name="Comma 3 2 3 6 5 2" xfId="25319" xr:uid="{0852CFC7-80EC-4EFE-B766-6E72E7983CAD}"/>
    <cellStyle name="Comma 3 2 3 6 5 3" xfId="51335" xr:uid="{395B5E87-C51D-44AF-B61E-A0B5DBE3DD41}"/>
    <cellStyle name="Comma 3 2 3 6 5 4" xfId="54351" xr:uid="{FA1D4836-DAED-4B42-9BA4-244726368D8E}"/>
    <cellStyle name="Comma 3 2 3 6 6" xfId="24766" xr:uid="{CF83F286-32BD-493C-8E3B-33882F74A866}"/>
    <cellStyle name="Comma 3 2 3 6 7" xfId="50229" xr:uid="{18C6AA5F-6D61-439D-8DC2-71C968BA7C46}"/>
    <cellStyle name="Comma 3 2 3 6 8" xfId="53245" xr:uid="{2640BB0C-E8D6-45D1-995B-3E096B51C2AB}"/>
    <cellStyle name="Comma 3 2 3 7" xfId="12310" xr:uid="{E9019799-1759-4A01-9F27-EC49AA823B43}"/>
    <cellStyle name="Comma 3 2 3 8" xfId="14503" xr:uid="{4281A846-3FC4-4570-8D4A-0F893104419C}"/>
    <cellStyle name="Comma 3 2 3 8 2" xfId="22050" xr:uid="{7CEA0B3E-7961-44FA-8DEF-195E4325E94A}"/>
    <cellStyle name="Comma 3 2 3 8 3" xfId="34491" xr:uid="{7935185F-BF2C-4359-9C5F-15430C9E486F}"/>
    <cellStyle name="Comma 3 2 3 8 4" xfId="51388" xr:uid="{B23AA5FE-DDE6-4935-98E7-A66560A26E64}"/>
    <cellStyle name="Comma 3 2 3 8 5" xfId="54404" xr:uid="{4723A9AC-03ED-4AE9-961D-C1371734414E}"/>
    <cellStyle name="Comma 3 2 3 9" xfId="14987" xr:uid="{7AB4B4DA-FB24-4617-A28D-DF346A9E4AF7}"/>
    <cellStyle name="Comma 3 2 3 9 2" xfId="22527" xr:uid="{629A8EAD-18E9-40B5-BE43-DBA31D5E5960}"/>
    <cellStyle name="Comma 3 2 3 9 3" xfId="47779" xr:uid="{8B3EE6D0-6234-4122-B406-209527AD417E}"/>
    <cellStyle name="Comma 3 2 3 9 4" xfId="51865" xr:uid="{EB31DD0E-0A7F-4AD0-A327-6A0D9B811D71}"/>
    <cellStyle name="Comma 3 2 3 9 5" xfId="54881" xr:uid="{1E237DED-69CF-41D6-BE11-77C82D97C69E}"/>
    <cellStyle name="Comma 3 2 4" xfId="5821" xr:uid="{CEF8F8EC-EFB8-4F42-ABE7-10A67FE7BF1B}"/>
    <cellStyle name="Comma 3 2 4 2" xfId="23741" xr:uid="{B9F4635A-EAEB-475E-9C78-EFFE9591201F}"/>
    <cellStyle name="Comma 3 2 4 3" xfId="48624" xr:uid="{4DB344AB-5736-4C29-A899-C4E22F4DFEE1}"/>
    <cellStyle name="Comma 3 2 4 4" xfId="49532" xr:uid="{E9FCC0ED-2FE6-4D6C-8DB5-1C864DC12BE0}"/>
    <cellStyle name="Comma 3 2 4 5" xfId="11167" xr:uid="{BFA3CFD9-B849-42EA-B55F-DEC12F7142A4}"/>
    <cellStyle name="Comma 3 2 5" xfId="12424" xr:uid="{D42B46DC-B4A9-4EE1-AA7A-B5873E395B53}"/>
    <cellStyle name="Comma 3 2 5 2" xfId="21909" xr:uid="{54674185-1B60-40EF-A010-DA20FB27882E}"/>
    <cellStyle name="Comma 3 2 5 3" xfId="23742" xr:uid="{7158B6FF-C275-4F98-A44B-35D4E585D390}"/>
    <cellStyle name="Comma 3 2 5 4" xfId="46307" xr:uid="{1F61A455-5C1D-4CAE-97A1-32D62FDE9580}"/>
    <cellStyle name="Comma 3 2 5 5" xfId="48625" xr:uid="{5797B5B2-0926-454F-8557-103514BC354C}"/>
    <cellStyle name="Comma 3 2 5 6" xfId="49533" xr:uid="{7A782119-91E9-4A0C-9DF2-72E9DE3933C2}"/>
    <cellStyle name="Comma 3 2 5 7" xfId="50947" xr:uid="{1E2CDCB5-38B9-4EF6-B365-B15F6BC42DB4}"/>
    <cellStyle name="Comma 3 2 5 8" xfId="53963" xr:uid="{0163032C-9B5B-446A-A163-312F52CA6F37}"/>
    <cellStyle name="Comma 3 2 6" xfId="11190" xr:uid="{08685A17-DCA4-4E35-B332-4DFD2E288134}"/>
    <cellStyle name="Comma 3 2 6 2" xfId="21686" xr:uid="{D4362A92-CA5B-4CC2-8F05-F1BCA9D993FB}"/>
    <cellStyle name="Comma 3 2 6 3" xfId="24499" xr:uid="{FBB0A694-8811-4E32-BDA2-BB9D450B3F49}"/>
    <cellStyle name="Comma 3 2 6 4" xfId="50703" xr:uid="{67434015-74BA-4F74-97F6-8A6D888595C1}"/>
    <cellStyle name="Comma 3 2 6 5" xfId="53719" xr:uid="{45C8F6A7-3968-4BB4-8567-A98B51C9C1E4}"/>
    <cellStyle name="Comma 3 2 7" xfId="19483" xr:uid="{E5F5948A-FDE0-4BA1-819C-8B3F3B6EEA66}"/>
    <cellStyle name="Comma 3 2 8" xfId="23737" xr:uid="{B6AF80AE-B51E-4006-BABE-D6A1B3C3E331}"/>
    <cellStyle name="Comma 3 2 9" xfId="48620" xr:uid="{33F449F5-B4D4-43F6-ACE1-D956AA96A52D}"/>
    <cellStyle name="Comma 3 3" xfId="2623" xr:uid="{B1AB9893-6890-4D1D-BAF6-2C57967D9D53}"/>
    <cellStyle name="Comma 3 3 10" xfId="15943" xr:uid="{AA38FC86-5CA5-45B5-97B1-E23AAC095E15}"/>
    <cellStyle name="Comma 3 3 11" xfId="8184" xr:uid="{A5EA7E93-3CA5-448F-97B5-50CD66B8F844}"/>
    <cellStyle name="Comma 3 3 2" xfId="4541" xr:uid="{0E4346B9-A856-4532-A686-99B776FF2BAF}"/>
    <cellStyle name="Comma 3 3 2 10" xfId="14988" xr:uid="{83CBBAD0-10A3-4AC4-9CB8-FC6B3AFB85F3}"/>
    <cellStyle name="Comma 3 3 2 10 2" xfId="22528" xr:uid="{22BE963D-04C0-4F03-8864-E711BB767342}"/>
    <cellStyle name="Comma 3 3 2 10 3" xfId="47930" xr:uid="{C2E64E2E-673C-44BF-8F3D-75D90E067182}"/>
    <cellStyle name="Comma 3 3 2 10 4" xfId="51866" xr:uid="{A357516D-4B94-4D09-9A2B-0F56F5A30FB5}"/>
    <cellStyle name="Comma 3 3 2 10 5" xfId="54882" xr:uid="{F3F03764-5ED5-4095-8ACC-5ACA82F201B9}"/>
    <cellStyle name="Comma 3 3 2 10 6" xfId="19184" xr:uid="{4AFADD6F-E4CC-43E7-BC26-D99ED5EB7F61}"/>
    <cellStyle name="Comma 3 3 2 11" xfId="15475" xr:uid="{EE40EC4A-34AE-467D-89DA-645BEA87B8A6}"/>
    <cellStyle name="Comma 3 3 2 11 2" xfId="23005" xr:uid="{A7164320-9B99-48E3-868B-B9083173882E}"/>
    <cellStyle name="Comma 3 3 2 11 3" xfId="46538" xr:uid="{BD29CD10-EE3E-4CA6-AB25-3AFD70C4B25E}"/>
    <cellStyle name="Comma 3 3 2 11 4" xfId="52343" xr:uid="{CD29027F-B395-4DDB-BB16-0A0C97045205}"/>
    <cellStyle name="Comma 3 3 2 11 5" xfId="55359" xr:uid="{E822CAFF-5C7F-4085-8832-5E343F4BA68A}"/>
    <cellStyle name="Comma 3 3 2 11 6" xfId="19329" xr:uid="{24BF0245-B736-4249-8552-4C5EF4A8E54A}"/>
    <cellStyle name="Comma 3 3 2 12" xfId="11584" xr:uid="{950659FB-FAFE-45F7-BBBA-AFE4620C4EE2}"/>
    <cellStyle name="Comma 3 3 2 12 2" xfId="21708" xr:uid="{D4241C79-DCB9-4D73-AA7D-7ED3E236CE2E}"/>
    <cellStyle name="Comma 3 3 2 12 3" xfId="48187" xr:uid="{69F53440-ACC2-477E-A550-9B1A5484C563}"/>
    <cellStyle name="Comma 3 3 2 12 4" xfId="50731" xr:uid="{6A9FAB04-A2A3-4A89-9D03-9F91C88622C5}"/>
    <cellStyle name="Comma 3 3 2 12 5" xfId="53747" xr:uid="{A54E2F7F-0E6D-412D-ADC2-BBAC6C858156}"/>
    <cellStyle name="Comma 3 3 2 12 6" xfId="18160" xr:uid="{FAAA4F64-A6EB-4D96-8390-E81A4D74D496}"/>
    <cellStyle name="Comma 3 3 2 13" xfId="23744" xr:uid="{7106DBE0-980C-4D0E-8C7D-D1A4D2F457FC}"/>
    <cellStyle name="Comma 3 3 2 14" xfId="32279" xr:uid="{2885E86A-83ED-40CF-BEBA-9621152578E8}"/>
    <cellStyle name="Comma 3 3 2 15" xfId="48627" xr:uid="{A3F229C4-530A-4423-8F43-9C67E82587CF}"/>
    <cellStyle name="Comma 3 3 2 16" xfId="49535" xr:uid="{AD1DB6AF-82A8-44D2-AFDC-724493A42A0F}"/>
    <cellStyle name="Comma 3 3 2 17" xfId="49806" xr:uid="{3AD3DF7A-F6D0-4044-AE48-25CCA239CDA3}"/>
    <cellStyle name="Comma 3 3 2 18" xfId="52821" xr:uid="{8B1BA82E-CF53-47EE-866D-048C03D391D7}"/>
    <cellStyle name="Comma 3 3 2 19" xfId="8929" xr:uid="{5E8A6EC9-20A4-4069-BBC0-10D760D04816}"/>
    <cellStyle name="Comma 3 3 2 2" xfId="8930" xr:uid="{549EF77B-AE01-4CA5-B074-3277546B3DC0}"/>
    <cellStyle name="Comma 3 3 2 2 10" xfId="12196" xr:uid="{12F92076-2DAB-4073-9DE4-6499D44B8006}"/>
    <cellStyle name="Comma 3 3 2 2 10 2" xfId="48258" xr:uid="{8B80FEE0-11D2-4C25-9192-8792E84669D5}"/>
    <cellStyle name="Comma 3 3 2 2 10 3" xfId="50941" xr:uid="{B68CD165-DAE3-4862-9DCC-8C03A6520E3B}"/>
    <cellStyle name="Comma 3 3 2 2 10 4" xfId="53957" xr:uid="{C738B07D-6E16-4458-BD5E-10F82A51DFD7}"/>
    <cellStyle name="Comma 3 3 2 2 10 5" xfId="21906" xr:uid="{75DD4DAA-54DC-4520-803A-B1578931B1D6}"/>
    <cellStyle name="Comma 3 3 2 2 11" xfId="23745" xr:uid="{7357528C-57FF-44AB-863A-FD0921375654}"/>
    <cellStyle name="Comma 3 3 2 2 12" xfId="47379" xr:uid="{BFD40ED3-A3CD-462D-A7EA-D115966A670E}"/>
    <cellStyle name="Comma 3 3 2 2 13" xfId="48628" xr:uid="{D42509EE-2E35-49CC-93A4-23F542C2CCD3}"/>
    <cellStyle name="Comma 3 3 2 2 14" xfId="49536" xr:uid="{272CD3E1-D795-4B74-86A7-51D9AC87ADF3}"/>
    <cellStyle name="Comma 3 3 2 2 15" xfId="49807" xr:uid="{C94A6755-7D21-4537-A30E-5665F1C59DDB}"/>
    <cellStyle name="Comma 3 3 2 2 16" xfId="52822" xr:uid="{4DF4B157-66E3-4E4F-8763-34142DAC0CBA}"/>
    <cellStyle name="Comma 3 3 2 2 17" xfId="18570" xr:uid="{FDA7775E-963A-4ABC-A68A-098DF326BBD4}"/>
    <cellStyle name="Comma 3 3 2 2 2" xfId="10017" xr:uid="{F67B855F-EEA3-48FC-8863-8EDDD0BAD4CC}"/>
    <cellStyle name="Comma 3 3 2 2 2 10" xfId="18748" xr:uid="{DBFDCE65-93D7-4ACB-B4C7-08D8F4C843EF}"/>
    <cellStyle name="Comma 3 3 2 2 2 2" xfId="10325" xr:uid="{36C63269-736A-4B16-B64A-2F56C0244132}"/>
    <cellStyle name="Comma 3 3 2 2 2 2 2" xfId="14770" xr:uid="{F0A03771-04FC-4C1B-B794-E21E7914CDA5}"/>
    <cellStyle name="Comma 3 3 2 2 2 2 2 2" xfId="22317" xr:uid="{F08CCFDD-BEC7-4F95-8466-3D29687055F7}"/>
    <cellStyle name="Comma 3 3 2 2 2 2 2 3" xfId="47370" xr:uid="{2419239B-6E9F-4F12-90C6-2AA6C3B4F83C}"/>
    <cellStyle name="Comma 3 3 2 2 2 2 2 4" xfId="51655" xr:uid="{55BB18DB-69A7-4C99-BC4B-238BE5A09D01}"/>
    <cellStyle name="Comma 3 3 2 2 2 2 2 5" xfId="54671" xr:uid="{45617F0B-0D4A-4554-8BD7-667A25EB9381}"/>
    <cellStyle name="Comma 3 3 2 2 2 2 2 6" xfId="19118" xr:uid="{33012C11-C93C-4469-9DD9-6F8D16570751}"/>
    <cellStyle name="Comma 3 3 2 2 2 2 3" xfId="15255" xr:uid="{DF92F60F-CD5E-43A1-8283-C92A9C59A444}"/>
    <cellStyle name="Comma 3 3 2 2 2 2 3 2" xfId="22794" xr:uid="{8AC318F9-3120-4343-B1BE-34F43E1F82CD}"/>
    <cellStyle name="Comma 3 3 2 2 2 2 3 3" xfId="47782" xr:uid="{A775B4A7-4984-47C0-9E62-B8000FEC5548}"/>
    <cellStyle name="Comma 3 3 2 2 2 2 3 4" xfId="52132" xr:uid="{D6B8A95D-CC53-463D-AFBF-C98396FF0164}"/>
    <cellStyle name="Comma 3 3 2 2 2 2 3 5" xfId="55148" xr:uid="{279F862D-BC8C-4E7D-9193-9C3672C7DC71}"/>
    <cellStyle name="Comma 3 3 2 2 2 2 3 6" xfId="19261" xr:uid="{2625543B-66B5-44F2-A41D-9718B439AE55}"/>
    <cellStyle name="Comma 3 3 2 2 2 2 4" xfId="15742" xr:uid="{E798E00E-00A5-4C2B-A7BB-737D32DCA0C4}"/>
    <cellStyle name="Comma 3 3 2 2 2 2 4 2" xfId="23271" xr:uid="{5268E7F6-3196-4C08-8BD6-1CD77B9B06FE}"/>
    <cellStyle name="Comma 3 3 2 2 2 2 4 3" xfId="47647" xr:uid="{A188A8D8-BF2C-445A-A83C-3C79A7B21A93}"/>
    <cellStyle name="Comma 3 3 2 2 2 2 4 4" xfId="52609" xr:uid="{E08F9F36-E9D3-4CD3-8182-5BB7D1F6DCBD}"/>
    <cellStyle name="Comma 3 3 2 2 2 2 4 5" xfId="55625" xr:uid="{0BE168F5-0BC3-4211-8514-9DEE53D2A431}"/>
    <cellStyle name="Comma 3 3 2 2 2 2 4 6" xfId="19406" xr:uid="{B9938502-FB95-4F1D-86A9-4FD850953D02}"/>
    <cellStyle name="Comma 3 3 2 2 2 2 5" xfId="12778" xr:uid="{4EFC4504-FD37-43A7-A247-2775979DF9AC}"/>
    <cellStyle name="Comma 3 3 2 2 2 2 5 2" xfId="47096" xr:uid="{7E3B1605-6681-4614-A31F-A23DCD543DA3}"/>
    <cellStyle name="Comma 3 3 2 2 2 2 5 3" xfId="51178" xr:uid="{12394768-B278-45E1-8C98-8A4DEC9EC8A0}"/>
    <cellStyle name="Comma 3 3 2 2 2 2 5 4" xfId="54194" xr:uid="{D0E7E456-6BA8-428E-A393-EE36289E0A9F}"/>
    <cellStyle name="Comma 3 3 2 2 2 2 5 5" xfId="21976" xr:uid="{F87BCE5E-3281-4338-B843-1FD5350B7A33}"/>
    <cellStyle name="Comma 3 3 2 2 2 2 6" xfId="46623" xr:uid="{89E2568B-FE81-4BCE-A632-87F0B5B09603}"/>
    <cellStyle name="Comma 3 3 2 2 2 2 7" xfId="50072" xr:uid="{FBC50167-C6C2-441B-AA34-EEF028E716F8}"/>
    <cellStyle name="Comma 3 3 2 2 2 2 8" xfId="53088" xr:uid="{4A843D2E-D42A-4AF9-B882-522FD8402D05}"/>
    <cellStyle name="Comma 3 3 2 2 2 2 9" xfId="18897" xr:uid="{6F9CDC8D-0C05-440C-A5A7-237906258786}"/>
    <cellStyle name="Comma 3 3 2 2 2 3" xfId="14558" xr:uid="{C638265C-949A-4A21-B4BA-FAFDA306287F}"/>
    <cellStyle name="Comma 3 3 2 2 2 3 2" xfId="22105" xr:uid="{332C9C46-5052-434A-946E-6848BFC2DE48}"/>
    <cellStyle name="Comma 3 3 2 2 2 3 3" xfId="46397" xr:uid="{CF6326AF-8029-4AA6-BF64-A9DFCE3D5CDB}"/>
    <cellStyle name="Comma 3 3 2 2 2 3 4" xfId="51443" xr:uid="{23C45729-5750-447D-B2AD-936DEF98F5E8}"/>
    <cellStyle name="Comma 3 3 2 2 2 3 5" xfId="54459" xr:uid="{ADC4436C-0A28-4779-8992-FDE331166F37}"/>
    <cellStyle name="Comma 3 3 2 2 2 3 6" xfId="19058" xr:uid="{98566550-F6E4-4492-B744-21B893130AA7}"/>
    <cellStyle name="Comma 3 3 2 2 2 4" xfId="15042" xr:uid="{F618BB84-D02A-4249-80FA-79BB3D7C57CB}"/>
    <cellStyle name="Comma 3 3 2 2 2 4 2" xfId="22582" xr:uid="{77C6B4AF-FCAE-4738-A3B2-BE50EAA85E2D}"/>
    <cellStyle name="Comma 3 3 2 2 2 4 3" xfId="48036" xr:uid="{B73AC690-0C74-49CF-AB25-29C637661021}"/>
    <cellStyle name="Comma 3 3 2 2 2 4 4" xfId="51920" xr:uid="{1CA63C38-B0E5-47C2-83F0-C7F705FA59E2}"/>
    <cellStyle name="Comma 3 3 2 2 2 4 5" xfId="54936" xr:uid="{946262A2-C6B6-44A2-8C95-61E7CDC08008}"/>
    <cellStyle name="Comma 3 3 2 2 2 4 6" xfId="19200" xr:uid="{E259F6F2-6ED9-4425-83AF-BB842588E0B9}"/>
    <cellStyle name="Comma 3 3 2 2 2 5" xfId="15529" xr:uid="{56B8DBD9-5987-466F-93FF-E3F4E027A364}"/>
    <cellStyle name="Comma 3 3 2 2 2 5 2" xfId="23059" xr:uid="{BE861CFD-CEDB-4117-B331-E6688C3133BC}"/>
    <cellStyle name="Comma 3 3 2 2 2 5 3" xfId="47195" xr:uid="{F0F049BF-8B9E-464E-AEA1-2457524913D4}"/>
    <cellStyle name="Comma 3 3 2 2 2 5 4" xfId="52397" xr:uid="{C0E4D41B-AFA9-4344-BEC9-D18E430923D2}"/>
    <cellStyle name="Comma 3 3 2 2 2 5 5" xfId="55413" xr:uid="{50693469-5CED-469C-94D8-7A7C6C40AF88}"/>
    <cellStyle name="Comma 3 3 2 2 2 5 6" xfId="19345" xr:uid="{2348ECA8-D247-45B0-8496-2312F638CD4D}"/>
    <cellStyle name="Comma 3 3 2 2 2 6" xfId="12477" xr:uid="{51A9C7A6-DF9A-4818-B988-DD69C7713355}"/>
    <cellStyle name="Comma 3 3 2 2 2 6 2" xfId="46757" xr:uid="{64CF7C70-FD16-4562-9476-5F0344DD2D3E}"/>
    <cellStyle name="Comma 3 3 2 2 2 6 3" xfId="50966" xr:uid="{C320B5EE-8837-4A93-A4E5-2892A5D5F33B}"/>
    <cellStyle name="Comma 3 3 2 2 2 6 4" xfId="53982" xr:uid="{A5CA67AC-B28C-419B-BA6D-164C468F627D}"/>
    <cellStyle name="Comma 3 3 2 2 2 6 5" xfId="21915" xr:uid="{EFD271DD-A8FC-4C93-9CBC-31243EB585EF}"/>
    <cellStyle name="Comma 3 3 2 2 2 7" xfId="46024" xr:uid="{4E0B95C0-FD0A-4783-99B2-FC7129162FA5}"/>
    <cellStyle name="Comma 3 3 2 2 2 8" xfId="49860" xr:uid="{4B38AFCB-E1C3-4C68-94BD-E96FB3AD9C9F}"/>
    <cellStyle name="Comma 3 3 2 2 2 9" xfId="52876" xr:uid="{D12A6F8A-6A8A-4928-8B68-5E8A362A7851}"/>
    <cellStyle name="Comma 3 3 2 2 3" xfId="10091" xr:uid="{7506356B-B3A8-4CF0-9732-01D3C54918E7}"/>
    <cellStyle name="Comma 3 3 2 2 3 10" xfId="18781" xr:uid="{AB75EEDB-773D-4FAA-8F66-761C1EF4AD1C}"/>
    <cellStyle name="Comma 3 3 2 2 3 2" xfId="10404" xr:uid="{8B434A9C-F9C6-4B7F-9D58-BBC106DE4DF7}"/>
    <cellStyle name="Comma 3 3 2 2 3 2 2" xfId="14823" xr:uid="{50DFF364-E123-4246-94D5-4E3A3562676A}"/>
    <cellStyle name="Comma 3 3 2 2 3 2 2 2" xfId="22370" xr:uid="{0B97EF36-5E92-41A5-BDB0-12CD34390E7C}"/>
    <cellStyle name="Comma 3 3 2 2 3 2 2 3" xfId="46865" xr:uid="{34676346-4619-4BEB-9723-C7CC269A5ED9}"/>
    <cellStyle name="Comma 3 3 2 2 3 2 2 4" xfId="51708" xr:uid="{564F278F-FD8D-4873-AB74-BFCC7FEBE500}"/>
    <cellStyle name="Comma 3 3 2 2 3 2 2 5" xfId="54724" xr:uid="{A3DC3387-9AA8-46C7-892D-BEFB69075638}"/>
    <cellStyle name="Comma 3 3 2 2 3 2 2 6" xfId="19133" xr:uid="{0877C82B-9E2B-4C9B-861F-35D0EF992A11}"/>
    <cellStyle name="Comma 3 3 2 2 3 2 3" xfId="15308" xr:uid="{9779757B-E772-470C-ABDF-6F436210AD0D}"/>
    <cellStyle name="Comma 3 3 2 2 3 2 3 2" xfId="22847" xr:uid="{DF867C1A-A9C9-4CCE-83F9-192D921AA499}"/>
    <cellStyle name="Comma 3 3 2 2 3 2 3 3" xfId="47125" xr:uid="{6E0E22DA-3403-4AEE-AFF4-FC6CF876C91C}"/>
    <cellStyle name="Comma 3 3 2 2 3 2 3 4" xfId="52185" xr:uid="{20281962-50F7-4951-B010-D7B86EC3A9C6}"/>
    <cellStyle name="Comma 3 3 2 2 3 2 3 5" xfId="55201" xr:uid="{A01BD316-B9B3-4296-8C35-7DB3C9958554}"/>
    <cellStyle name="Comma 3 3 2 2 3 2 3 6" xfId="19276" xr:uid="{D6CAC46A-885C-4051-B829-A2CA2D753635}"/>
    <cellStyle name="Comma 3 3 2 2 3 2 4" xfId="15795" xr:uid="{0193C7AA-6B86-4763-82F1-150FAAFD42C3}"/>
    <cellStyle name="Comma 3 3 2 2 3 2 4 2" xfId="23324" xr:uid="{7E374974-CEAC-4429-9B13-B2840C807F65}"/>
    <cellStyle name="Comma 3 3 2 2 3 2 4 3" xfId="24433" xr:uid="{3A2B911F-F5C8-4BA4-AF6A-61EC7E35DED5}"/>
    <cellStyle name="Comma 3 3 2 2 3 2 4 4" xfId="52662" xr:uid="{1E2AE6CC-1CF1-4F66-B32C-12D8D2D56CA6}"/>
    <cellStyle name="Comma 3 3 2 2 3 2 4 5" xfId="55678" xr:uid="{95C1D923-DC9F-48CC-A8EA-02A4376514CB}"/>
    <cellStyle name="Comma 3 3 2 2 3 2 4 6" xfId="19421" xr:uid="{1EAB8ACF-0E86-4D6E-9634-51268C469CAF}"/>
    <cellStyle name="Comma 3 3 2 2 3 2 5" xfId="12857" xr:uid="{D202CC3F-03AD-4B55-9DA3-82BF007B0A55}"/>
    <cellStyle name="Comma 3 3 2 2 3 2 5 2" xfId="47172" xr:uid="{E74C7C32-7D7F-485D-B2F0-BD1FCF1A08E8}"/>
    <cellStyle name="Comma 3 3 2 2 3 2 5 3" xfId="51231" xr:uid="{496CC16A-C1B8-4857-B7F9-8461B8CA62BB}"/>
    <cellStyle name="Comma 3 3 2 2 3 2 5 4" xfId="54247" xr:uid="{B73C217A-7543-46DA-BA02-DFF7C59F5B2E}"/>
    <cellStyle name="Comma 3 3 2 2 3 2 5 5" xfId="21991" xr:uid="{9F2D1917-06DC-47DE-89E1-11D3A011B7FE}"/>
    <cellStyle name="Comma 3 3 2 2 3 2 6" xfId="46110" xr:uid="{0F3DCED0-CE50-4B11-B2CF-9DC54ED69D29}"/>
    <cellStyle name="Comma 3 3 2 2 3 2 7" xfId="50125" xr:uid="{37FED224-B42F-49C5-ACB8-0CFCBE444FCA}"/>
    <cellStyle name="Comma 3 3 2 2 3 2 8" xfId="53141" xr:uid="{A5ED7CAE-9C95-4C81-993E-640B29D71864}"/>
    <cellStyle name="Comma 3 3 2 2 3 2 9" xfId="18938" xr:uid="{22D6B26B-F77B-4102-8C4E-A0E18FFD5CCC}"/>
    <cellStyle name="Comma 3 3 2 2 3 3" xfId="14611" xr:uid="{E6EC4925-F4BC-4E74-A4FE-5D42AEB1CB2C}"/>
    <cellStyle name="Comma 3 3 2 2 3 3 2" xfId="22158" xr:uid="{3A68F25B-1116-4AD0-8DB6-E0A5C9357465}"/>
    <cellStyle name="Comma 3 3 2 2 3 3 3" xfId="48114" xr:uid="{0416081F-A6B5-4EC5-ABF8-643CF150A961}"/>
    <cellStyle name="Comma 3 3 2 2 3 3 4" xfId="51496" xr:uid="{32D1583E-91E8-4754-AC5C-95F79AE42046}"/>
    <cellStyle name="Comma 3 3 2 2 3 3 5" xfId="54512" xr:uid="{DF6E451A-AF40-4A7C-80A9-5AD2196A13DC}"/>
    <cellStyle name="Comma 3 3 2 2 3 3 6" xfId="19073" xr:uid="{DB4E17C9-A5AC-4549-BC4A-6C39C2375CDF}"/>
    <cellStyle name="Comma 3 3 2 2 3 4" xfId="15096" xr:uid="{FCCCD56D-14AA-4595-9CE7-9734A9A2EA6A}"/>
    <cellStyle name="Comma 3 3 2 2 3 4 2" xfId="22635" xr:uid="{A7B3920B-5B00-4876-9314-B7A5D467F48E}"/>
    <cellStyle name="Comma 3 3 2 2 3 4 3" xfId="48414" xr:uid="{6B31ABD8-4FE7-4CED-859F-E58091B311EE}"/>
    <cellStyle name="Comma 3 3 2 2 3 4 4" xfId="51973" xr:uid="{A7FD81B9-CFEC-4995-A87A-DC9E8274F85A}"/>
    <cellStyle name="Comma 3 3 2 2 3 4 5" xfId="54989" xr:uid="{4E774B2C-F5E2-4CAA-A239-6CAEC7A1291F}"/>
    <cellStyle name="Comma 3 3 2 2 3 4 6" xfId="19216" xr:uid="{2BF9B76A-C151-4AE4-8D9B-C926ECB13578}"/>
    <cellStyle name="Comma 3 3 2 2 3 5" xfId="15583" xr:uid="{9858AE68-BDAF-4CCC-B52C-14FC097CF138}"/>
    <cellStyle name="Comma 3 3 2 2 3 5 2" xfId="23112" xr:uid="{5A9B5582-52C7-488E-993A-C2A65A0F7722}"/>
    <cellStyle name="Comma 3 3 2 2 3 5 3" xfId="24436" xr:uid="{46EB2520-0822-4209-B0DE-8530521C82F0}"/>
    <cellStyle name="Comma 3 3 2 2 3 5 4" xfId="52450" xr:uid="{5D245104-7849-4973-BD05-1312C9F793E3}"/>
    <cellStyle name="Comma 3 3 2 2 3 5 5" xfId="55466" xr:uid="{36F25A09-ABCA-462F-A313-3FC0277CD728}"/>
    <cellStyle name="Comma 3 3 2 2 3 5 6" xfId="19361" xr:uid="{F2E23B75-0E7A-4235-9B7E-BD064DA24D5E}"/>
    <cellStyle name="Comma 3 3 2 2 3 6" xfId="12548" xr:uid="{B14253FB-C3A7-4447-A27C-AA91CF2D028A}"/>
    <cellStyle name="Comma 3 3 2 2 3 6 2" xfId="46323" xr:uid="{2FDF292B-E41A-43FA-88BD-922DB1BDECE7}"/>
    <cellStyle name="Comma 3 3 2 2 3 6 3" xfId="51019" xr:uid="{95E41BE2-BD78-4B2A-908E-61271EE677FA}"/>
    <cellStyle name="Comma 3 3 2 2 3 6 4" xfId="54035" xr:uid="{436CCDAD-E4B5-4CE7-BE4A-D4D68AC355D3}"/>
    <cellStyle name="Comma 3 3 2 2 3 6 5" xfId="21931" xr:uid="{0599D99F-9517-42F1-A04A-AEFB3DA9A2C7}"/>
    <cellStyle name="Comma 3 3 2 2 3 7" xfId="46041" xr:uid="{6D32CF88-9BE9-45DF-855C-432922244C25}"/>
    <cellStyle name="Comma 3 3 2 2 3 8" xfId="49913" xr:uid="{C1BDF783-DC88-4F4F-95DF-E3BC08BA80AA}"/>
    <cellStyle name="Comma 3 3 2 2 3 9" xfId="52929" xr:uid="{8E3B032B-105E-4AFF-895E-CCF54AC4155D}"/>
    <cellStyle name="Comma 3 3 2 2 4" xfId="10170" xr:uid="{34B3D3A9-0CE6-4782-9FE1-8B5BA81BE60E}"/>
    <cellStyle name="Comma 3 3 2 2 4 10" xfId="18819" xr:uid="{697554CA-C5DF-469C-AEF7-30E44F0268C1}"/>
    <cellStyle name="Comma 3 3 2 2 4 2" xfId="10484" xr:uid="{C824E401-ECA1-4D75-9D06-BB454C003676}"/>
    <cellStyle name="Comma 3 3 2 2 4 2 2" xfId="14876" xr:uid="{F9C3EB91-ED24-4036-AB88-9C50B797CFB4}"/>
    <cellStyle name="Comma 3 3 2 2 4 2 2 2" xfId="22423" xr:uid="{7601A2FE-AEC5-4D2E-9CB7-9549F1EA1A31}"/>
    <cellStyle name="Comma 3 3 2 2 4 2 2 3" xfId="47667" xr:uid="{11E02FB1-839A-4DBC-A0F6-D0B32250190B}"/>
    <cellStyle name="Comma 3 3 2 2 4 2 2 4" xfId="51761" xr:uid="{A3AEA99B-F892-4BF9-9A48-B00E55F7C00D}"/>
    <cellStyle name="Comma 3 3 2 2 4 2 2 5" xfId="54777" xr:uid="{CD3EDF07-8666-4D4A-BA65-E8A138882953}"/>
    <cellStyle name="Comma 3 3 2 2 4 2 2 6" xfId="19148" xr:uid="{B7F4B667-CCB9-4B7F-A608-BCFFAC7496D4}"/>
    <cellStyle name="Comma 3 3 2 2 4 2 3" xfId="15361" xr:uid="{4CCF2278-5E7F-4419-8224-86C5070DB9B9}"/>
    <cellStyle name="Comma 3 3 2 2 4 2 3 2" xfId="22900" xr:uid="{97F3CC11-8E40-4774-A785-61743B13F266}"/>
    <cellStyle name="Comma 3 3 2 2 4 2 3 3" xfId="47110" xr:uid="{9DCE3C17-1872-4FDA-A19B-E68B0524E29D}"/>
    <cellStyle name="Comma 3 3 2 2 4 2 3 4" xfId="52238" xr:uid="{207B8005-1C38-4F5F-B7A3-0284B25BBA4B}"/>
    <cellStyle name="Comma 3 3 2 2 4 2 3 5" xfId="55254" xr:uid="{51ACE392-BA0A-4798-A188-E1EEEA64120B}"/>
    <cellStyle name="Comma 3 3 2 2 4 2 3 6" xfId="19291" xr:uid="{A8683BA8-EB5B-4BAC-98EE-AA7CCED9BFA3}"/>
    <cellStyle name="Comma 3 3 2 2 4 2 4" xfId="15848" xr:uid="{66B87698-D898-48D1-BC35-62E6A3FE25A0}"/>
    <cellStyle name="Comma 3 3 2 2 4 2 4 2" xfId="23377" xr:uid="{D922E64A-69C9-4709-810F-024ED8B1F320}"/>
    <cellStyle name="Comma 3 3 2 2 4 2 4 3" xfId="47355" xr:uid="{EFB4819C-9B59-495E-A774-9C99E64DD6FE}"/>
    <cellStyle name="Comma 3 3 2 2 4 2 4 4" xfId="52715" xr:uid="{E9FC62E5-0B10-40BD-A3D5-F055636DCA49}"/>
    <cellStyle name="Comma 3 3 2 2 4 2 4 5" xfId="55731" xr:uid="{0A773F04-F964-458B-879D-CC1F3A3EF438}"/>
    <cellStyle name="Comma 3 3 2 2 4 2 4 6" xfId="19436" xr:uid="{E164D8B8-546C-4E1C-8CF6-FB41C2F8BFE0}"/>
    <cellStyle name="Comma 3 3 2 2 4 2 5" xfId="12937" xr:uid="{6357A216-E4D8-4DEF-8678-41CC0F14BCA3}"/>
    <cellStyle name="Comma 3 3 2 2 4 2 5 2" xfId="24477" xr:uid="{9E1CB38F-C9EA-4DDF-A33E-778E0FA13770}"/>
    <cellStyle name="Comma 3 3 2 2 4 2 5 3" xfId="51284" xr:uid="{E85DC153-BCFC-4C6B-A952-0749661BC7C1}"/>
    <cellStyle name="Comma 3 3 2 2 4 2 5 4" xfId="54300" xr:uid="{C3BA20AE-6C54-4C03-804A-25C6B3007C3A}"/>
    <cellStyle name="Comma 3 3 2 2 4 2 5 5" xfId="22006" xr:uid="{4ACDE3E6-5A88-4A01-B150-8EA95C4AC5E5}"/>
    <cellStyle name="Comma 3 3 2 2 4 2 6" xfId="47885" xr:uid="{C1047794-1D99-4E27-92AA-17EEAA188EF0}"/>
    <cellStyle name="Comma 3 3 2 2 4 2 7" xfId="50178" xr:uid="{133BB624-C239-4FBF-BC01-970B6EDD0E74}"/>
    <cellStyle name="Comma 3 3 2 2 4 2 8" xfId="53194" xr:uid="{2D6AB77C-2139-44A1-99AC-9D151EAC8F67}"/>
    <cellStyle name="Comma 3 3 2 2 4 2 9" xfId="18980" xr:uid="{F7089A33-712E-4074-A90B-D79DD3F9844E}"/>
    <cellStyle name="Comma 3 3 2 2 4 3" xfId="14664" xr:uid="{0E3EBD98-420A-41AE-848A-AEA9363D9D85}"/>
    <cellStyle name="Comma 3 3 2 2 4 3 2" xfId="22211" xr:uid="{B54FA7CB-D226-4925-BD45-DD0AE6ECBC62}"/>
    <cellStyle name="Comma 3 3 2 2 4 3 3" xfId="48243" xr:uid="{926DA584-9324-4D5B-A749-409E09929BD3}"/>
    <cellStyle name="Comma 3 3 2 2 4 3 4" xfId="51549" xr:uid="{765852DD-0A4D-41B4-8473-96733A374F55}"/>
    <cellStyle name="Comma 3 3 2 2 4 3 5" xfId="54565" xr:uid="{EBAC977C-E165-4E32-AA3F-3BA0701398D8}"/>
    <cellStyle name="Comma 3 3 2 2 4 3 6" xfId="19088" xr:uid="{F80852E2-925B-4CE5-8D8D-DF9362264221}"/>
    <cellStyle name="Comma 3 3 2 2 4 4" xfId="15149" xr:uid="{E2B8A7A9-81B8-4B2E-A88A-9973EA23041A}"/>
    <cellStyle name="Comma 3 3 2 2 4 4 2" xfId="22688" xr:uid="{33FF66F6-CCD5-47FF-ACFA-FE00D1F28BF5}"/>
    <cellStyle name="Comma 3 3 2 2 4 4 3" xfId="47269" xr:uid="{7E60BCB5-F43B-48B4-B19D-7A50540F5CEF}"/>
    <cellStyle name="Comma 3 3 2 2 4 4 4" xfId="52026" xr:uid="{AB2FEEA3-E729-42AE-90EA-6F4DEDF9A146}"/>
    <cellStyle name="Comma 3 3 2 2 4 4 5" xfId="55042" xr:uid="{4F0014C0-24F4-4380-A7CD-16652E37B2B6}"/>
    <cellStyle name="Comma 3 3 2 2 4 4 6" xfId="19231" xr:uid="{1AE329BA-A4C6-498A-8308-D4BDD86D124D}"/>
    <cellStyle name="Comma 3 3 2 2 4 5" xfId="15636" xr:uid="{7C403774-BB2C-439E-88F8-6185F9CF49E4}"/>
    <cellStyle name="Comma 3 3 2 2 4 5 2" xfId="23165" xr:uid="{6B5F6F4E-CF15-46C2-BED1-73297F04802C}"/>
    <cellStyle name="Comma 3 3 2 2 4 5 3" xfId="46562" xr:uid="{9B6B908B-41EF-4647-8D6D-D81F38586B20}"/>
    <cellStyle name="Comma 3 3 2 2 4 5 4" xfId="52503" xr:uid="{21ACECF3-A5C6-457C-9A5A-2054D14FE7E1}"/>
    <cellStyle name="Comma 3 3 2 2 4 5 5" xfId="55519" xr:uid="{E7EAD8BA-4CBE-4578-B152-8C0895265A0B}"/>
    <cellStyle name="Comma 3 3 2 2 4 5 6" xfId="19376" xr:uid="{3EFA5BE1-D17D-48A8-ABAB-2CEF17B42FB0}"/>
    <cellStyle name="Comma 3 3 2 2 4 6" xfId="12624" xr:uid="{04C77342-F455-4FF9-8ACE-9A26C7445884}"/>
    <cellStyle name="Comma 3 3 2 2 4 6 2" xfId="47050" xr:uid="{F3B8115F-DDB2-439D-8592-00030FE25651}"/>
    <cellStyle name="Comma 3 3 2 2 4 6 3" xfId="51072" xr:uid="{0BFF2684-718B-4D95-BA80-6E332D9AB7A9}"/>
    <cellStyle name="Comma 3 3 2 2 4 6 4" xfId="54088" xr:uid="{584C78CE-522C-4136-84AF-4C544FC02BDE}"/>
    <cellStyle name="Comma 3 3 2 2 4 6 5" xfId="21946" xr:uid="{94640B1E-C635-4A50-A29C-95617FBDC143}"/>
    <cellStyle name="Comma 3 3 2 2 4 7" xfId="47874" xr:uid="{9271AD17-2652-4217-89AE-0285A31873F7}"/>
    <cellStyle name="Comma 3 3 2 2 4 8" xfId="49966" xr:uid="{B2D55D78-FEF6-4A63-8294-DEAFBF1FC741}"/>
    <cellStyle name="Comma 3 3 2 2 4 9" xfId="52982" xr:uid="{E5D9C3B6-48CF-472F-9012-A0BB28A29162}"/>
    <cellStyle name="Comma 3 3 2 2 5" xfId="10250" xr:uid="{167DB3A2-9585-464A-87D2-C610A693E802}"/>
    <cellStyle name="Comma 3 3 2 2 5 2" xfId="14717" xr:uid="{5D3CD295-5E7E-491C-AB14-290BE6D9B4EC}"/>
    <cellStyle name="Comma 3 3 2 2 5 2 2" xfId="22264" xr:uid="{56A34516-39E9-4469-84CA-139F8AD6369F}"/>
    <cellStyle name="Comma 3 3 2 2 5 2 3" xfId="47239" xr:uid="{5DECFDB9-BA0D-47C5-B895-46AF21ABC797}"/>
    <cellStyle name="Comma 3 3 2 2 5 2 4" xfId="51602" xr:uid="{3086D0A8-6C7A-42B1-B551-F49599BD888A}"/>
    <cellStyle name="Comma 3 3 2 2 5 2 5" xfId="54618" xr:uid="{4CE0D671-AD44-4B64-B1EC-94E168B755DF}"/>
    <cellStyle name="Comma 3 3 2 2 5 2 6" xfId="19103" xr:uid="{16D325E9-B23A-4679-9145-20252914F4EF}"/>
    <cellStyle name="Comma 3 3 2 2 5 3" xfId="15202" xr:uid="{43A64320-D8B5-48ED-B67C-9FC856A8E7C7}"/>
    <cellStyle name="Comma 3 3 2 2 5 3 2" xfId="22741" xr:uid="{345DF0E9-51D4-4849-9423-7F2A1B411DC3}"/>
    <cellStyle name="Comma 3 3 2 2 5 3 3" xfId="47383" xr:uid="{EC0F5A93-D754-4CC7-B680-6EB625C62755}"/>
    <cellStyle name="Comma 3 3 2 2 5 3 4" xfId="52079" xr:uid="{8796E43D-FE45-45E8-97E3-AA31AEF6060D}"/>
    <cellStyle name="Comma 3 3 2 2 5 3 5" xfId="55095" xr:uid="{E955041F-188F-4066-8ACC-64B2EBD63C0C}"/>
    <cellStyle name="Comma 3 3 2 2 5 3 6" xfId="19246" xr:uid="{6E78F9B0-BD5E-4554-B1BC-2F13FFD87BD1}"/>
    <cellStyle name="Comma 3 3 2 2 5 4" xfId="15689" xr:uid="{3ACCEED7-91B6-4BBA-9A44-6D355C2FA216}"/>
    <cellStyle name="Comma 3 3 2 2 5 4 2" xfId="23218" xr:uid="{AFEBA153-7599-4B98-B9A3-D576CAF9E4C2}"/>
    <cellStyle name="Comma 3 3 2 2 5 4 3" xfId="24434" xr:uid="{E42DB1FC-8C53-41EE-993A-12F36C324F9B}"/>
    <cellStyle name="Comma 3 3 2 2 5 4 4" xfId="52556" xr:uid="{C3A2F0E3-8E72-4AC4-97B2-6986B22F9BFE}"/>
    <cellStyle name="Comma 3 3 2 2 5 4 5" xfId="55572" xr:uid="{24D4EDC8-E3D4-4AC3-8663-D662A9A49EA8}"/>
    <cellStyle name="Comma 3 3 2 2 5 4 6" xfId="19391" xr:uid="{CB45B9F1-2D78-48C6-9E09-62BA58195D6F}"/>
    <cellStyle name="Comma 3 3 2 2 5 5" xfId="12703" xr:uid="{4272E9FC-78BD-4857-A896-AB1D984A9BDF}"/>
    <cellStyle name="Comma 3 3 2 2 5 5 2" xfId="48050" xr:uid="{5E415C7D-0AF5-4B9B-ACA7-3858CD3058D2}"/>
    <cellStyle name="Comma 3 3 2 2 5 5 3" xfId="51125" xr:uid="{6D2E83CE-D2F2-4E66-87A5-13C31896822E}"/>
    <cellStyle name="Comma 3 3 2 2 5 5 4" xfId="54141" xr:uid="{BBEAB586-4D14-47EA-931D-94CCD8B17507}"/>
    <cellStyle name="Comma 3 3 2 2 5 5 5" xfId="21961" xr:uid="{322EE1E8-82AF-41A2-A60E-136608065BF1}"/>
    <cellStyle name="Comma 3 3 2 2 5 6" xfId="46621" xr:uid="{13937503-B5F3-49CE-9AC7-D4EE51E8BE2D}"/>
    <cellStyle name="Comma 3 3 2 2 5 7" xfId="50019" xr:uid="{99EAD003-78B2-4B32-8100-D3D4C3B0A400}"/>
    <cellStyle name="Comma 3 3 2 2 5 8" xfId="53035" xr:uid="{C43C7671-E88C-4285-9A23-E1C2FED5AE54}"/>
    <cellStyle name="Comma 3 3 2 2 5 9" xfId="18860" xr:uid="{51DFE3F9-0B3C-402C-AC15-D6C6221BC7A6}"/>
    <cellStyle name="Comma 3 3 2 2 6" xfId="10564" xr:uid="{603FB061-626C-4707-BBAB-FCC271611E93}"/>
    <cellStyle name="Comma 3 3 2 2 6 2" xfId="14929" xr:uid="{5347687F-C5A0-4792-9F9C-1B479A879F4E}"/>
    <cellStyle name="Comma 3 3 2 2 6 2 2" xfId="22476" xr:uid="{53B54F3E-2225-4CBE-A8F3-D623D875B10B}"/>
    <cellStyle name="Comma 3 3 2 2 6 2 3" xfId="47540" xr:uid="{3A81C107-4F14-4B29-B5A9-91C7A8FD590D}"/>
    <cellStyle name="Comma 3 3 2 2 6 2 4" xfId="51814" xr:uid="{9C8DF9D8-2BDD-41E9-9C2E-54C144E149E0}"/>
    <cellStyle name="Comma 3 3 2 2 6 2 5" xfId="54830" xr:uid="{82B87A2E-DDD4-458D-B1CA-935F06BBFE0E}"/>
    <cellStyle name="Comma 3 3 2 2 6 2 6" xfId="19163" xr:uid="{8B3D0990-E046-41C6-86D2-774C168306AA}"/>
    <cellStyle name="Comma 3 3 2 2 6 3" xfId="15414" xr:uid="{4534C6C1-F808-495C-91E7-0414A114256F}"/>
    <cellStyle name="Comma 3 3 2 2 6 3 2" xfId="22953" xr:uid="{AD05786E-F4E5-4AD9-8E43-68933B65FDA2}"/>
    <cellStyle name="Comma 3 3 2 2 6 3 3" xfId="24901" xr:uid="{83C5D732-BE69-486C-A654-170092413A61}"/>
    <cellStyle name="Comma 3 3 2 2 6 3 4" xfId="52291" xr:uid="{DC9373D3-83DB-45A3-8C35-B8CDBC556C2C}"/>
    <cellStyle name="Comma 3 3 2 2 6 3 5" xfId="55307" xr:uid="{5C957E35-B442-431F-905C-4A89412FDB95}"/>
    <cellStyle name="Comma 3 3 2 2 6 3 6" xfId="19306" xr:uid="{61D46606-8990-45E4-B237-9827105FB17C}"/>
    <cellStyle name="Comma 3 3 2 2 6 4" xfId="15902" xr:uid="{275C3E65-FCB5-4F78-AA46-D35C4CB2BC37}"/>
    <cellStyle name="Comma 3 3 2 2 6 4 2" xfId="23430" xr:uid="{47F9E802-5E4C-4BCC-A04B-B31A9C5DD213}"/>
    <cellStyle name="Comma 3 3 2 2 6 4 3" xfId="47083" xr:uid="{34ED4C92-4849-436E-9445-4495B1D11AA7}"/>
    <cellStyle name="Comma 3 3 2 2 6 4 4" xfId="52768" xr:uid="{23803C54-4058-4CA6-A418-A18AE3639265}"/>
    <cellStyle name="Comma 3 3 2 2 6 4 5" xfId="55784" xr:uid="{5E58897A-2452-42C3-8615-247EDD2203E3}"/>
    <cellStyle name="Comma 3 3 2 2 6 4 6" xfId="19452" xr:uid="{08B6026E-43B4-4E30-896E-88811CEC7215}"/>
    <cellStyle name="Comma 3 3 2 2 6 5" xfId="13017" xr:uid="{6F4DAD38-1A0E-4C97-A7CF-6D151A8352E7}"/>
    <cellStyle name="Comma 3 3 2 2 6 5 2" xfId="32550" xr:uid="{D78D4EC1-5BF6-4585-BC10-24A63F3AEBA2}"/>
    <cellStyle name="Comma 3 3 2 2 6 5 3" xfId="51337" xr:uid="{4762E3D2-A96E-4455-B0D4-1347CFFAA6E5}"/>
    <cellStyle name="Comma 3 3 2 2 6 5 4" xfId="54353" xr:uid="{0188E51A-A6CD-4359-9A8D-55482DB35A95}"/>
    <cellStyle name="Comma 3 3 2 2 6 5 5" xfId="22021" xr:uid="{72D9F5FC-5BCB-4B26-AF60-49BE2AA72EBC}"/>
    <cellStyle name="Comma 3 3 2 2 6 6" xfId="48235" xr:uid="{09EF5354-B0F6-4170-B76B-BF243DA3E828}"/>
    <cellStyle name="Comma 3 3 2 2 6 7" xfId="50231" xr:uid="{BCA97CF8-4BE8-48FE-8B2D-3BB59070699E}"/>
    <cellStyle name="Comma 3 3 2 2 6 8" xfId="53247" xr:uid="{DCB6C015-921D-4840-A8D0-60AA487E5B85}"/>
    <cellStyle name="Comma 3 3 2 2 6 9" xfId="19022" xr:uid="{5E3B02FF-9A2A-4319-86DB-0860318F3234}"/>
    <cellStyle name="Comma 3 3 2 2 7" xfId="14505" xr:uid="{B7C3C0A5-7429-4F59-8679-71A6C6CFCD88}"/>
    <cellStyle name="Comma 3 3 2 2 7 2" xfId="22052" xr:uid="{D7389CE7-EDA7-4EBE-845B-8B3271DFB1ED}"/>
    <cellStyle name="Comma 3 3 2 2 7 3" xfId="32549" xr:uid="{70D70712-7B41-4810-8137-76E6B526536B}"/>
    <cellStyle name="Comma 3 3 2 2 7 4" xfId="51390" xr:uid="{E62057ED-84FD-44D0-B051-DA39620FE1DD}"/>
    <cellStyle name="Comma 3 3 2 2 7 5" xfId="54406" xr:uid="{8907CF41-E2F4-4D80-B1E1-1E5E4D2A8589}"/>
    <cellStyle name="Comma 3 3 2 2 7 6" xfId="19043" xr:uid="{BFD3D89B-8B14-4519-9D96-3AD2F7A13CB6}"/>
    <cellStyle name="Comma 3 3 2 2 8" xfId="14989" xr:uid="{477BAE71-6675-41B9-BF41-AC4327AAFFC0}"/>
    <cellStyle name="Comma 3 3 2 2 8 2" xfId="22529" xr:uid="{28AEAA75-D425-48BE-8A8C-32C30AC92E82}"/>
    <cellStyle name="Comma 3 3 2 2 8 3" xfId="46462" xr:uid="{08DA489B-E598-429B-8AD1-122375D49B9B}"/>
    <cellStyle name="Comma 3 3 2 2 8 4" xfId="51867" xr:uid="{A0314253-272D-43DA-A617-62C07DA6EABE}"/>
    <cellStyle name="Comma 3 3 2 2 8 5" xfId="54883" xr:uid="{A1A96467-00D4-48DA-A84D-4F3265D3B430}"/>
    <cellStyle name="Comma 3 3 2 2 8 6" xfId="19185" xr:uid="{AB49FADF-6F2E-4C31-8D19-1C1B224F2AD5}"/>
    <cellStyle name="Comma 3 3 2 2 9" xfId="15476" xr:uid="{B8006023-2C6B-446D-80B8-5EA610025CD8}"/>
    <cellStyle name="Comma 3 3 2 2 9 2" xfId="23006" xr:uid="{65FF21B1-68C0-4850-9098-9788B769D733}"/>
    <cellStyle name="Comma 3 3 2 2 9 3" xfId="32397" xr:uid="{2A1400CB-DC4B-4B7E-9FFC-D657843494E4}"/>
    <cellStyle name="Comma 3 3 2 2 9 4" xfId="52344" xr:uid="{18BF7CA9-2221-4F8A-8FB1-4E47509A7A3C}"/>
    <cellStyle name="Comma 3 3 2 2 9 5" xfId="55360" xr:uid="{59F4170F-AF01-4245-A977-B89818787D4D}"/>
    <cellStyle name="Comma 3 3 2 2 9 6" xfId="19330" xr:uid="{628ED4CC-7C9F-492C-A12F-053158B2178B}"/>
    <cellStyle name="Comma 3 3 2 3" xfId="10016" xr:uid="{C8978A96-B6ED-486D-9544-8B313B7F461B}"/>
    <cellStyle name="Comma 3 3 2 3 10" xfId="18747" xr:uid="{1AE98A55-0FBB-4099-9050-9AA30A96D5E2}"/>
    <cellStyle name="Comma 3 3 2 3 2" xfId="10324" xr:uid="{BAE18317-6844-4FEF-A15D-D6B332A76043}"/>
    <cellStyle name="Comma 3 3 2 3 2 2" xfId="14769" xr:uid="{48DE4AA1-47A6-4242-92D8-5A21DFF82E47}"/>
    <cellStyle name="Comma 3 3 2 3 2 2 2" xfId="22316" xr:uid="{6C649CDC-0BF9-43F6-A193-4B996E99D617}"/>
    <cellStyle name="Comma 3 3 2 3 2 2 3" xfId="48570" xr:uid="{9C15A1DB-E90A-4B64-AC6A-EB2077816CD0}"/>
    <cellStyle name="Comma 3 3 2 3 2 2 4" xfId="51654" xr:uid="{78BC5CC2-AEE7-4E25-B018-CEF2653FDA3A}"/>
    <cellStyle name="Comma 3 3 2 3 2 2 5" xfId="54670" xr:uid="{1E232DC9-A6A5-4B90-BB83-459684F249A9}"/>
    <cellStyle name="Comma 3 3 2 3 2 2 6" xfId="19117" xr:uid="{6BC6EE93-1A49-4E1B-A29C-01E65F60EA12}"/>
    <cellStyle name="Comma 3 3 2 3 2 3" xfId="15254" xr:uid="{FC2479F1-6F6E-42F3-9715-1DCF10EB4425}"/>
    <cellStyle name="Comma 3 3 2 3 2 3 2" xfId="22793" xr:uid="{D0B452A0-4293-4F74-8C81-01FFFF84378F}"/>
    <cellStyle name="Comma 3 3 2 3 2 3 3" xfId="46897" xr:uid="{AEF15A94-9877-4004-8449-6A143FEF7E36}"/>
    <cellStyle name="Comma 3 3 2 3 2 3 4" xfId="52131" xr:uid="{B1701092-AF13-4598-B97E-E3E1521AF3A5}"/>
    <cellStyle name="Comma 3 3 2 3 2 3 5" xfId="55147" xr:uid="{DE1ED104-9037-47C8-9DF1-11ADDEBF4863}"/>
    <cellStyle name="Comma 3 3 2 3 2 3 6" xfId="19260" xr:uid="{97D8C614-276B-4EBD-8107-A2BA9BF7F47A}"/>
    <cellStyle name="Comma 3 3 2 3 2 4" xfId="15741" xr:uid="{FAA809FD-8CBB-471A-9A25-69B23A22C790}"/>
    <cellStyle name="Comma 3 3 2 3 2 4 2" xfId="23270" xr:uid="{FE769534-F687-495C-B5E5-394D7099F276}"/>
    <cellStyle name="Comma 3 3 2 3 2 4 3" xfId="48082" xr:uid="{41E31879-7BFA-41D4-9D07-97908CA8BA8F}"/>
    <cellStyle name="Comma 3 3 2 3 2 4 4" xfId="52608" xr:uid="{1F6235D2-016B-4374-AC2B-372A75934D5C}"/>
    <cellStyle name="Comma 3 3 2 3 2 4 5" xfId="55624" xr:uid="{03F2168A-413A-4726-9BC3-9D7B99E677B8}"/>
    <cellStyle name="Comma 3 3 2 3 2 4 6" xfId="19405" xr:uid="{A89F605D-540E-4CB7-96E5-3FC16B1E54E3}"/>
    <cellStyle name="Comma 3 3 2 3 2 5" xfId="12777" xr:uid="{215B8A4D-75B6-4A46-B5C2-0EAC5150DC2B}"/>
    <cellStyle name="Comma 3 3 2 3 2 5 2" xfId="24213" xr:uid="{FD4E68BE-8816-4B1A-8888-EFAAEBA9AC21}"/>
    <cellStyle name="Comma 3 3 2 3 2 5 3" xfId="51177" xr:uid="{D9562295-2AA8-46D5-957A-105BC67D1874}"/>
    <cellStyle name="Comma 3 3 2 3 2 5 4" xfId="54193" xr:uid="{03ED0AC0-3968-4B42-9BC5-35F5D9875F9D}"/>
    <cellStyle name="Comma 3 3 2 3 2 5 5" xfId="21975" xr:uid="{4C553271-39CA-422A-9F74-3D7876205710}"/>
    <cellStyle name="Comma 3 3 2 3 2 6" xfId="48377" xr:uid="{32D6D3E8-77F1-4E9E-83CE-F10120D26D6A}"/>
    <cellStyle name="Comma 3 3 2 3 2 7" xfId="50071" xr:uid="{E9482CEA-707C-4196-BEAB-2E87824540ED}"/>
    <cellStyle name="Comma 3 3 2 3 2 8" xfId="53087" xr:uid="{50BBE4C5-F085-4693-99AE-0CA4FF9D677D}"/>
    <cellStyle name="Comma 3 3 2 3 2 9" xfId="18896" xr:uid="{9718A623-2CB2-445F-AD21-B16989B58E9B}"/>
    <cellStyle name="Comma 3 3 2 3 3" xfId="14557" xr:uid="{FF6B17F1-3F94-494C-AECF-C2B8E8712CBC}"/>
    <cellStyle name="Comma 3 3 2 3 3 2" xfId="22104" xr:uid="{98BAD240-854A-432D-A790-BCB558646FDD}"/>
    <cellStyle name="Comma 3 3 2 3 3 3" xfId="24193" xr:uid="{BBBEDB98-E6D0-490C-89D8-DA84E781C1A4}"/>
    <cellStyle name="Comma 3 3 2 3 3 4" xfId="51442" xr:uid="{32E37B56-0EB5-48C1-AFD0-3BBA815856B0}"/>
    <cellStyle name="Comma 3 3 2 3 3 5" xfId="54458" xr:uid="{A5B9A645-D6CA-43F7-9AC7-5F549411B656}"/>
    <cellStyle name="Comma 3 3 2 3 3 6" xfId="19057" xr:uid="{8619168E-E38A-40B7-9207-028422D556F1}"/>
    <cellStyle name="Comma 3 3 2 3 4" xfId="15041" xr:uid="{AA8CC1D9-62B3-47D7-80CE-50B1E1F323E0}"/>
    <cellStyle name="Comma 3 3 2 3 4 2" xfId="22581" xr:uid="{6BD827E8-30F7-40EC-9EF1-5F1D817E593D}"/>
    <cellStyle name="Comma 3 3 2 3 4 3" xfId="46686" xr:uid="{FF03155E-7FAB-4BF1-81F6-35F07202804A}"/>
    <cellStyle name="Comma 3 3 2 3 4 4" xfId="51919" xr:uid="{FB095A81-9250-4EFC-BAD0-83CD2AE455AA}"/>
    <cellStyle name="Comma 3 3 2 3 4 5" xfId="54935" xr:uid="{64CA5A7B-529B-4AA4-AD8E-8EED8D826650}"/>
    <cellStyle name="Comma 3 3 2 3 4 6" xfId="19199" xr:uid="{47DE50E2-57AE-4EF5-A5B8-1614E1DC997B}"/>
    <cellStyle name="Comma 3 3 2 3 5" xfId="15528" xr:uid="{7E618F79-AB1F-4BAA-BC7F-29C5D0560978}"/>
    <cellStyle name="Comma 3 3 2 3 5 2" xfId="23058" xr:uid="{FA7FB2E4-B914-4D2F-8BD8-2ECFE63804DE}"/>
    <cellStyle name="Comma 3 3 2 3 5 3" xfId="46930" xr:uid="{A312F77E-642E-431D-9D68-774A7602B7CA}"/>
    <cellStyle name="Comma 3 3 2 3 5 4" xfId="52396" xr:uid="{7C79E681-D950-4A73-B92E-83B21A25DC0C}"/>
    <cellStyle name="Comma 3 3 2 3 5 5" xfId="55412" xr:uid="{487D0F3C-6E99-479D-B2CE-8BFAA460A3B8}"/>
    <cellStyle name="Comma 3 3 2 3 5 6" xfId="19344" xr:uid="{FB164A49-F237-477D-82EB-5493A1FBE696}"/>
    <cellStyle name="Comma 3 3 2 3 6" xfId="12476" xr:uid="{3312385D-7FC1-4C97-99A2-5C4431714704}"/>
    <cellStyle name="Comma 3 3 2 3 6 2" xfId="47523" xr:uid="{E68E3929-BB70-432D-8AC1-DCD3A90F1A35}"/>
    <cellStyle name="Comma 3 3 2 3 6 3" xfId="50965" xr:uid="{32B3E02E-DCD5-4D92-A16B-8B92730F6253}"/>
    <cellStyle name="Comma 3 3 2 3 6 4" xfId="53981" xr:uid="{B4663765-CDF7-48FA-A1BE-318EBE6935C4}"/>
    <cellStyle name="Comma 3 3 2 3 6 5" xfId="21914" xr:uid="{E6632E8D-49B9-4F43-A9C4-9257B49E6CEF}"/>
    <cellStyle name="Comma 3 3 2 3 7" xfId="48445" xr:uid="{8723D09B-6864-4EFB-9547-B65B90DAB38B}"/>
    <cellStyle name="Comma 3 3 2 3 8" xfId="49859" xr:uid="{9B17A866-2595-4762-B112-253D5745B698}"/>
    <cellStyle name="Comma 3 3 2 3 9" xfId="52875" xr:uid="{93304566-5322-4DC9-ADD9-2875A96BE1AE}"/>
    <cellStyle name="Comma 3 3 2 4" xfId="10090" xr:uid="{B6F96063-E1EB-4BDA-97B2-82B36C055FF4}"/>
    <cellStyle name="Comma 3 3 2 4 10" xfId="18780" xr:uid="{C5F7AE6C-6B2B-425E-8907-089F80F2EC82}"/>
    <cellStyle name="Comma 3 3 2 4 2" xfId="10403" xr:uid="{C3B496AF-5841-48E5-9BC6-F4C3D6D2624D}"/>
    <cellStyle name="Comma 3 3 2 4 2 2" xfId="14822" xr:uid="{5FC0CB54-0C5C-4BA4-A777-112676564F6E}"/>
    <cellStyle name="Comma 3 3 2 4 2 2 2" xfId="22369" xr:uid="{3C86717D-7AC0-49DF-88D3-07987FF6E9F9}"/>
    <cellStyle name="Comma 3 3 2 4 2 2 3" xfId="48409" xr:uid="{7D8A3A17-80CA-45F6-AB7E-A287EFDFA5AF}"/>
    <cellStyle name="Comma 3 3 2 4 2 2 4" xfId="51707" xr:uid="{A63FDEA2-8EF6-4088-9102-E4EC6FC15C67}"/>
    <cellStyle name="Comma 3 3 2 4 2 2 5" xfId="54723" xr:uid="{42624D33-D5F3-4139-BEDD-65D1B3A0E7B4}"/>
    <cellStyle name="Comma 3 3 2 4 2 2 6" xfId="19132" xr:uid="{FD4C34EF-3B79-4EAE-ACC2-89CEC52A38B2}"/>
    <cellStyle name="Comma 3 3 2 4 2 3" xfId="15307" xr:uid="{1BA243E0-8D39-4BFF-A10B-08262D1F60F4}"/>
    <cellStyle name="Comma 3 3 2 4 2 3 2" xfId="22846" xr:uid="{D4C52E0C-9791-4E12-83D0-69D90DD8C55E}"/>
    <cellStyle name="Comma 3 3 2 4 2 3 3" xfId="46514" xr:uid="{6A465D51-040B-4B42-ADC5-457790723669}"/>
    <cellStyle name="Comma 3 3 2 4 2 3 4" xfId="52184" xr:uid="{552EFB68-7B33-42E4-9924-40D651AD86A1}"/>
    <cellStyle name="Comma 3 3 2 4 2 3 5" xfId="55200" xr:uid="{79D83715-AB6B-4671-9FED-0F13AE72624B}"/>
    <cellStyle name="Comma 3 3 2 4 2 3 6" xfId="19275" xr:uid="{4C2B7263-5724-4696-9364-32CBE800B6F7}"/>
    <cellStyle name="Comma 3 3 2 4 2 4" xfId="15794" xr:uid="{39FC0849-3752-4473-8345-46581B45D9F5}"/>
    <cellStyle name="Comma 3 3 2 4 2 4 2" xfId="23323" xr:uid="{B9437E33-76A9-4308-B6F6-49EF283F9C2D}"/>
    <cellStyle name="Comma 3 3 2 4 2 4 3" xfId="48544" xr:uid="{FB7DC876-DC56-4942-98DE-FAFA7D334157}"/>
    <cellStyle name="Comma 3 3 2 4 2 4 4" xfId="52661" xr:uid="{BED6EEE3-A048-4B8C-BB2C-6061838D0695}"/>
    <cellStyle name="Comma 3 3 2 4 2 4 5" xfId="55677" xr:uid="{5D69C59E-3DE2-4061-B05F-80F04BD83119}"/>
    <cellStyle name="Comma 3 3 2 4 2 4 6" xfId="19420" xr:uid="{D826B784-CB4A-42F0-8FEE-0D12F3AC9A2E}"/>
    <cellStyle name="Comma 3 3 2 4 2 5" xfId="12856" xr:uid="{73C81A1A-E340-4E79-84CC-F6C8D0E2A4A4}"/>
    <cellStyle name="Comma 3 3 2 4 2 5 2" xfId="46802" xr:uid="{59F753DA-B325-4F8B-87E7-7A3500D4921C}"/>
    <cellStyle name="Comma 3 3 2 4 2 5 3" xfId="51230" xr:uid="{6AF496B5-7063-4F57-B48F-CAC82AAFB8AF}"/>
    <cellStyle name="Comma 3 3 2 4 2 5 4" xfId="54246" xr:uid="{C71DC756-37E8-4E58-AFFC-EDC0C75E7149}"/>
    <cellStyle name="Comma 3 3 2 4 2 5 5" xfId="21990" xr:uid="{ED021C19-B80A-41F0-9393-A076E95F7B9B}"/>
    <cellStyle name="Comma 3 3 2 4 2 6" xfId="48158" xr:uid="{336D626F-DAF1-44EE-BCC1-9ED1DBCF9BF8}"/>
    <cellStyle name="Comma 3 3 2 4 2 7" xfId="50124" xr:uid="{C23FA528-9A7E-4C69-88CA-2C722FA187AB}"/>
    <cellStyle name="Comma 3 3 2 4 2 8" xfId="53140" xr:uid="{EB8E5CA4-125D-4E9F-BC27-C1983B9E98A1}"/>
    <cellStyle name="Comma 3 3 2 4 2 9" xfId="18937" xr:uid="{92C64FF9-FAE2-4B49-A3E3-3AC9F8D1F4CC}"/>
    <cellStyle name="Comma 3 3 2 4 3" xfId="14610" xr:uid="{BE6D4057-A144-46E1-8B14-49D3C4B0B79D}"/>
    <cellStyle name="Comma 3 3 2 4 3 2" xfId="22157" xr:uid="{E47D4199-87EA-4243-A835-64A2DD38777C}"/>
    <cellStyle name="Comma 3 3 2 4 3 3" xfId="24971" xr:uid="{A1F8EDD3-ED15-410F-8D82-41E1978207F1}"/>
    <cellStyle name="Comma 3 3 2 4 3 4" xfId="51495" xr:uid="{3B6F4D2B-E8D5-4324-BEDC-D26EAB62D653}"/>
    <cellStyle name="Comma 3 3 2 4 3 5" xfId="54511" xr:uid="{D6F20E56-DC0F-4905-BCAF-01194A4A8157}"/>
    <cellStyle name="Comma 3 3 2 4 3 6" xfId="19072" xr:uid="{0386C4B4-448E-41CF-BE22-3350E744D579}"/>
    <cellStyle name="Comma 3 3 2 4 4" xfId="15095" xr:uid="{66C00D13-18B8-4D85-B085-D4FDE680087C}"/>
    <cellStyle name="Comma 3 3 2 4 4 2" xfId="22634" xr:uid="{E55EEE7A-9066-4BF3-869B-EE350DDF116C}"/>
    <cellStyle name="Comma 3 3 2 4 4 3" xfId="47718" xr:uid="{4B1A58B2-752D-4989-BF8C-95E22D2D18B2}"/>
    <cellStyle name="Comma 3 3 2 4 4 4" xfId="51972" xr:uid="{1AFF8444-EA70-40C9-B509-4F4C47A424B7}"/>
    <cellStyle name="Comma 3 3 2 4 4 5" xfId="54988" xr:uid="{8FD43A0E-906D-41A1-A501-2414C1933A4F}"/>
    <cellStyle name="Comma 3 3 2 4 4 6" xfId="19215" xr:uid="{D608CC67-4DFE-43FD-9BEE-CA5B68243B7D}"/>
    <cellStyle name="Comma 3 3 2 4 5" xfId="15582" xr:uid="{191A2C2C-14B7-4429-A563-6249DFB195D3}"/>
    <cellStyle name="Comma 3 3 2 4 5 2" xfId="23111" xr:uid="{E1CB4F67-20F1-4B37-8862-1B64B18A680C}"/>
    <cellStyle name="Comma 3 3 2 4 5 3" xfId="47441" xr:uid="{B214EC48-46AC-4C9D-A399-3C3ED167840C}"/>
    <cellStyle name="Comma 3 3 2 4 5 4" xfId="52449" xr:uid="{5F475952-8B23-46A7-AECD-9ED894ADA108}"/>
    <cellStyle name="Comma 3 3 2 4 5 5" xfId="55465" xr:uid="{6ABD0371-08D9-482B-9E5D-65779348DF5D}"/>
    <cellStyle name="Comma 3 3 2 4 5 6" xfId="19360" xr:uid="{0812989F-60F8-4C42-91EA-252270D52DE6}"/>
    <cellStyle name="Comma 3 3 2 4 6" xfId="12547" xr:uid="{954D466F-E79E-4CB2-A962-66D3F0253FEA}"/>
    <cellStyle name="Comma 3 3 2 4 6 2" xfId="46322" xr:uid="{8D671D36-029A-4EF6-88E0-5254A4635814}"/>
    <cellStyle name="Comma 3 3 2 4 6 3" xfId="51018" xr:uid="{4988A37C-E59F-4982-9591-3CE3CB2D22AB}"/>
    <cellStyle name="Comma 3 3 2 4 6 4" xfId="54034" xr:uid="{E7453D4E-7962-4491-8136-980DDCC15A6C}"/>
    <cellStyle name="Comma 3 3 2 4 6 5" xfId="21930" xr:uid="{DD598FCB-E8EB-42B5-B412-E5EE9AE339EF}"/>
    <cellStyle name="Comma 3 3 2 4 7" xfId="47275" xr:uid="{406440F7-2A64-4722-947E-7C78FF15B982}"/>
    <cellStyle name="Comma 3 3 2 4 8" xfId="49912" xr:uid="{4EC4AE59-8FBF-42B6-AA6D-F4C0AD83DAD3}"/>
    <cellStyle name="Comma 3 3 2 4 9" xfId="52928" xr:uid="{9B26CF90-8653-45B6-8D2D-A02DA7A3789B}"/>
    <cellStyle name="Comma 3 3 2 5" xfId="10169" xr:uid="{37DCB192-7C95-4317-8205-63DCA815F937}"/>
    <cellStyle name="Comma 3 3 2 5 10" xfId="18818" xr:uid="{890D5489-5F50-4D26-B805-717478C05438}"/>
    <cellStyle name="Comma 3 3 2 5 2" xfId="10483" xr:uid="{5B1076D5-22DB-4EED-84AF-7CF0AC6F3E90}"/>
    <cellStyle name="Comma 3 3 2 5 2 2" xfId="14875" xr:uid="{A31170F0-1D37-45E8-B529-60A234C114C5}"/>
    <cellStyle name="Comma 3 3 2 5 2 2 2" xfId="22422" xr:uid="{A3254F7C-9DA1-4E77-A0BB-125958610B2F}"/>
    <cellStyle name="Comma 3 3 2 5 2 2 3" xfId="48283" xr:uid="{DFF575F4-7E60-4AD5-AF04-3088C8ACADAB}"/>
    <cellStyle name="Comma 3 3 2 5 2 2 4" xfId="51760" xr:uid="{40D1D752-3F04-4429-B53F-2ED430E8B540}"/>
    <cellStyle name="Comma 3 3 2 5 2 2 5" xfId="54776" xr:uid="{B2B6BFF5-57B3-4AC9-B5C6-B9A2619FDBBD}"/>
    <cellStyle name="Comma 3 3 2 5 2 2 6" xfId="19147" xr:uid="{4939471A-9CD8-4AA9-AD2F-17FECEAF7596}"/>
    <cellStyle name="Comma 3 3 2 5 2 3" xfId="15360" xr:uid="{FD769FDE-71ED-425B-AD85-EC4F7D9A6CEF}"/>
    <cellStyle name="Comma 3 3 2 5 2 3 2" xfId="22899" xr:uid="{EB269841-0C21-4C18-A5EF-1CDC333BFD53}"/>
    <cellStyle name="Comma 3 3 2 5 2 3 3" xfId="47344" xr:uid="{9952C88B-768B-49F8-9748-C46DBD8E4D24}"/>
    <cellStyle name="Comma 3 3 2 5 2 3 4" xfId="52237" xr:uid="{7670538D-C49B-4652-BC33-FBD15DB2C7C6}"/>
    <cellStyle name="Comma 3 3 2 5 2 3 5" xfId="55253" xr:uid="{1DBBEFBB-0BBE-48B1-A4B4-4FAD177F5189}"/>
    <cellStyle name="Comma 3 3 2 5 2 3 6" xfId="19290" xr:uid="{C061C30E-A357-4C31-B161-FC27A93086A1}"/>
    <cellStyle name="Comma 3 3 2 5 2 4" xfId="15847" xr:uid="{7B5EEC47-35DB-44B2-BDA4-DD4A5865AF03}"/>
    <cellStyle name="Comma 3 3 2 5 2 4 2" xfId="23376" xr:uid="{39EB5CFD-409A-4DF6-99C0-C52AB75EFF2A}"/>
    <cellStyle name="Comma 3 3 2 5 2 4 3" xfId="47795" xr:uid="{5B558D55-2038-43D9-9FD8-6A8C548DB9C9}"/>
    <cellStyle name="Comma 3 3 2 5 2 4 4" xfId="52714" xr:uid="{2E077B4F-0D80-4D6A-AE71-B44F22600E97}"/>
    <cellStyle name="Comma 3 3 2 5 2 4 5" xfId="55730" xr:uid="{8F9C0691-462C-4FD9-A428-B4CBC391A0FA}"/>
    <cellStyle name="Comma 3 3 2 5 2 4 6" xfId="19435" xr:uid="{1B58B9A6-141D-4AC5-947E-EAE260D17C3B}"/>
    <cellStyle name="Comma 3 3 2 5 2 5" xfId="12936" xr:uid="{770389D4-519F-4858-9924-A2C33FB83DBD}"/>
    <cellStyle name="Comma 3 3 2 5 2 5 2" xfId="32420" xr:uid="{63FD7FCE-2F21-4697-B4E2-746E1D5297DD}"/>
    <cellStyle name="Comma 3 3 2 5 2 5 3" xfId="51283" xr:uid="{75D74D6D-BF0E-4730-ABDE-BEE3169BC234}"/>
    <cellStyle name="Comma 3 3 2 5 2 5 4" xfId="54299" xr:uid="{F4E4B87F-FFB4-4A38-85D0-05B9F3E4FB15}"/>
    <cellStyle name="Comma 3 3 2 5 2 5 5" xfId="22005" xr:uid="{00D12900-F431-4113-ABA7-A29AD622E5A2}"/>
    <cellStyle name="Comma 3 3 2 5 2 6" xfId="46130" xr:uid="{214DED0F-836C-4F8E-A6DA-EE60D5F3B720}"/>
    <cellStyle name="Comma 3 3 2 5 2 7" xfId="50177" xr:uid="{CCC93663-1FAD-48DB-8A8F-BA8BEA039A97}"/>
    <cellStyle name="Comma 3 3 2 5 2 8" xfId="53193" xr:uid="{3E3EB044-3E95-4119-A5D6-7FBAC84662F3}"/>
    <cellStyle name="Comma 3 3 2 5 2 9" xfId="18979" xr:uid="{5B267DD9-9660-4887-92C0-055AB7DE0C15}"/>
    <cellStyle name="Comma 3 3 2 5 3" xfId="14663" xr:uid="{E4C8901A-EFE0-40EC-8DAA-687C1D2E0E27}"/>
    <cellStyle name="Comma 3 3 2 5 3 2" xfId="22210" xr:uid="{219942F9-9FD0-4DA1-9AFB-D2A875607D09}"/>
    <cellStyle name="Comma 3 3 2 5 3 3" xfId="47999" xr:uid="{AEC7AD62-1485-4C45-87AC-B21346EF0A85}"/>
    <cellStyle name="Comma 3 3 2 5 3 4" xfId="51548" xr:uid="{FE24DADC-D8A2-499D-BDE8-3A1C29926FB8}"/>
    <cellStyle name="Comma 3 3 2 5 3 5" xfId="54564" xr:uid="{367612CB-70A8-403E-B30C-19E4619DFD22}"/>
    <cellStyle name="Comma 3 3 2 5 3 6" xfId="19087" xr:uid="{121FE77F-F027-41AF-97F7-304640898789}"/>
    <cellStyle name="Comma 3 3 2 5 4" xfId="15148" xr:uid="{96EC06A4-CDDC-4702-8264-961D0D31CE8E}"/>
    <cellStyle name="Comma 3 3 2 5 4 2" xfId="22687" xr:uid="{B8FB7815-9427-4DAB-A066-5241A0591547}"/>
    <cellStyle name="Comma 3 3 2 5 4 3" xfId="47033" xr:uid="{BF3A1AE4-B7A5-4408-89B0-51498B2324DF}"/>
    <cellStyle name="Comma 3 3 2 5 4 4" xfId="52025" xr:uid="{AB5167F6-1200-4F7D-889F-BCB356EE045F}"/>
    <cellStyle name="Comma 3 3 2 5 4 5" xfId="55041" xr:uid="{C72F0699-93B6-4D33-A276-F717703C9E55}"/>
    <cellStyle name="Comma 3 3 2 5 4 6" xfId="19230" xr:uid="{08527E1B-45AC-4BB5-B1A3-C123F8E40D19}"/>
    <cellStyle name="Comma 3 3 2 5 5" xfId="15635" xr:uid="{EA2D3262-B569-4136-86E6-8AE095977985}"/>
    <cellStyle name="Comma 3 3 2 5 5 2" xfId="23164" xr:uid="{04C8947F-393A-4031-BBC7-27F0AB128941}"/>
    <cellStyle name="Comma 3 3 2 5 5 3" xfId="46561" xr:uid="{8648BEE0-658B-47DC-9B21-B787409E1C2F}"/>
    <cellStyle name="Comma 3 3 2 5 5 4" xfId="52502" xr:uid="{3F96DD4C-8F82-43F5-BF3E-5287192460BE}"/>
    <cellStyle name="Comma 3 3 2 5 5 5" xfId="55518" xr:uid="{9B49E5AF-18E0-4D4B-AA83-14CBC6F47646}"/>
    <cellStyle name="Comma 3 3 2 5 5 6" xfId="19375" xr:uid="{E2239542-4E05-4801-8A5E-8FAACF7779B3}"/>
    <cellStyle name="Comma 3 3 2 5 6" xfId="12623" xr:uid="{582FC185-9A7F-4A3C-AC19-8B7897235367}"/>
    <cellStyle name="Comma 3 3 2 5 6 2" xfId="25071" xr:uid="{1C9BB8D5-B5CB-4A8E-B28F-3919060B3840}"/>
    <cellStyle name="Comma 3 3 2 5 6 3" xfId="51071" xr:uid="{53C5AB0C-D4CD-405F-9C11-8E539868CFF6}"/>
    <cellStyle name="Comma 3 3 2 5 6 4" xfId="54087" xr:uid="{3A9793A7-EB9E-4858-9868-B27E29A36421}"/>
    <cellStyle name="Comma 3 3 2 5 6 5" xfId="21945" xr:uid="{4B7B4C19-1AD5-47BB-BA59-72F48DB25FFE}"/>
    <cellStyle name="Comma 3 3 2 5 7" xfId="46058" xr:uid="{E69EA298-68FC-4A77-81AC-513BE55D97F8}"/>
    <cellStyle name="Comma 3 3 2 5 8" xfId="49965" xr:uid="{DAD5836C-3A9A-493E-997A-6025A4826C55}"/>
    <cellStyle name="Comma 3 3 2 5 9" xfId="52981" xr:uid="{9E628EF7-1647-41F2-ACEB-436351AAFBDA}"/>
    <cellStyle name="Comma 3 3 2 6" xfId="10249" xr:uid="{748AA784-FDE6-40E5-8318-816F2BF7DFE6}"/>
    <cellStyle name="Comma 3 3 2 6 2" xfId="14716" xr:uid="{3FE92B42-A6CB-4520-9503-F37142F8C83B}"/>
    <cellStyle name="Comma 3 3 2 6 2 2" xfId="22263" xr:uid="{11E205E2-129A-43C5-9298-6D7435992B8D}"/>
    <cellStyle name="Comma 3 3 2 6 2 3" xfId="24962" xr:uid="{EE86B2FC-12C6-4771-A40B-67EDC4B7855F}"/>
    <cellStyle name="Comma 3 3 2 6 2 4" xfId="51601" xr:uid="{519B322F-698E-40C7-8F32-96626AFDD5B9}"/>
    <cellStyle name="Comma 3 3 2 6 2 5" xfId="54617" xr:uid="{74C68AC5-77FB-46AB-9ECF-7ECA2A0EA050}"/>
    <cellStyle name="Comma 3 3 2 6 2 6" xfId="19102" xr:uid="{312F1BAD-F782-4E65-B4F1-D9082E074BC5}"/>
    <cellStyle name="Comma 3 3 2 6 3" xfId="15201" xr:uid="{DA76362B-1667-41B6-B49D-CD429CF38B80}"/>
    <cellStyle name="Comma 3 3 2 6 3 2" xfId="22740" xr:uid="{5FBDDAD4-3E9C-44B8-8EFB-E8DEE81B8F5B}"/>
    <cellStyle name="Comma 3 3 2 6 3 3" xfId="46495" xr:uid="{C5EF95FE-D965-49A2-A10A-A1568BA3A4AF}"/>
    <cellStyle name="Comma 3 3 2 6 3 4" xfId="52078" xr:uid="{687D4703-D10F-4382-A9D8-1889164A3200}"/>
    <cellStyle name="Comma 3 3 2 6 3 5" xfId="55094" xr:uid="{8117EEEB-AABF-451A-98C5-43204327F37B}"/>
    <cellStyle name="Comma 3 3 2 6 3 6" xfId="19245" xr:uid="{12BFF9D5-1EA9-42C1-BAA8-0092F280BE43}"/>
    <cellStyle name="Comma 3 3 2 6 4" xfId="15688" xr:uid="{799C2FE5-C5DD-4076-A397-8A9DC5594EA5}"/>
    <cellStyle name="Comma 3 3 2 6 4 2" xfId="23217" xr:uid="{157C2DBC-C9CB-467F-897A-96E71B86D86C}"/>
    <cellStyle name="Comma 3 3 2 6 4 3" xfId="48025" xr:uid="{6CF3B88B-1F60-4244-8FD2-F87C257A8FDC}"/>
    <cellStyle name="Comma 3 3 2 6 4 4" xfId="52555" xr:uid="{AB1CB882-576F-45AC-944F-7F1E2172D59A}"/>
    <cellStyle name="Comma 3 3 2 6 4 5" xfId="55571" xr:uid="{19290A79-A0FA-4281-B5E0-6DFEAF170A84}"/>
    <cellStyle name="Comma 3 3 2 6 4 6" xfId="19390" xr:uid="{70F4AD32-C361-416C-8A5D-AF6F55EFD826}"/>
    <cellStyle name="Comma 3 3 2 6 5" xfId="12702" xr:uid="{7AC468C7-B7EA-4A6D-AD57-EB6FD2848E80}"/>
    <cellStyle name="Comma 3 3 2 6 5 2" xfId="32536" xr:uid="{19F114C5-A7FE-4CED-9C8F-FB21E03CD87D}"/>
    <cellStyle name="Comma 3 3 2 6 5 3" xfId="51124" xr:uid="{6ACDDC83-EA13-48FC-8AB2-659DEC25E6F9}"/>
    <cellStyle name="Comma 3 3 2 6 5 4" xfId="54140" xr:uid="{511468AC-29FE-4318-85AC-9C6EC3FAEDA9}"/>
    <cellStyle name="Comma 3 3 2 6 5 5" xfId="21960" xr:uid="{288BF5BD-E684-48ED-8558-C17998DF5E23}"/>
    <cellStyle name="Comma 3 3 2 6 6" xfId="47508" xr:uid="{5EBC3DD8-B8FB-45B8-9C7A-68C0C3E3CBE9}"/>
    <cellStyle name="Comma 3 3 2 6 7" xfId="50018" xr:uid="{2A9005A2-68E6-4E06-A791-9A37B8C98D80}"/>
    <cellStyle name="Comma 3 3 2 6 8" xfId="53034" xr:uid="{DD3E8BAA-F741-41FE-9AF9-70616F09177A}"/>
    <cellStyle name="Comma 3 3 2 6 9" xfId="18859" xr:uid="{D35C90F7-DECE-44B8-83DE-5F26A444D314}"/>
    <cellStyle name="Comma 3 3 2 7" xfId="10563" xr:uid="{18942CE9-6714-494E-B2BB-7D9F92778E13}"/>
    <cellStyle name="Comma 3 3 2 7 2" xfId="14928" xr:uid="{9D2C4C55-7EE6-40B5-B18F-B8DA7D1D843E}"/>
    <cellStyle name="Comma 3 3 2 7 2 2" xfId="22475" xr:uid="{765901C5-298F-47B0-9C7F-18FFBA5A08D2}"/>
    <cellStyle name="Comma 3 3 2 7 2 3" xfId="24932" xr:uid="{E88B3BCD-4DFE-486C-B793-5D0E1DA4C552}"/>
    <cellStyle name="Comma 3 3 2 7 2 4" xfId="51813" xr:uid="{025162AC-0695-4E8B-A11E-E11CED431F73}"/>
    <cellStyle name="Comma 3 3 2 7 2 5" xfId="54829" xr:uid="{00D0610D-26F5-4719-9C0B-17DF62C8CF95}"/>
    <cellStyle name="Comma 3 3 2 7 2 6" xfId="19162" xr:uid="{8EC72687-63A0-4CE2-9E62-C407F57FF058}"/>
    <cellStyle name="Comma 3 3 2 7 3" xfId="15413" xr:uid="{FDAC9BEA-F453-451B-AE2D-AE3A85C3F006}"/>
    <cellStyle name="Comma 3 3 2 7 3 2" xfId="22952" xr:uid="{31C67B67-7844-4C5D-945A-0BB78EEA4922}"/>
    <cellStyle name="Comma 3 3 2 7 3 3" xfId="46531" xr:uid="{480FF38B-443E-41EA-A8A6-5A4E311CE28B}"/>
    <cellStyle name="Comma 3 3 2 7 3 4" xfId="52290" xr:uid="{2A5093D7-5065-47C6-803F-E9EC96278636}"/>
    <cellStyle name="Comma 3 3 2 7 3 5" xfId="55306" xr:uid="{C1EE5C66-7FA9-42F3-957A-BCE52E1B4BE8}"/>
    <cellStyle name="Comma 3 3 2 7 3 6" xfId="19305" xr:uid="{9BF3E6EF-3DA3-44C9-8641-E7F0F1AAF943}"/>
    <cellStyle name="Comma 3 3 2 7 4" xfId="15901" xr:uid="{7146AD1F-81AB-43D0-89CF-2F804761BC76}"/>
    <cellStyle name="Comma 3 3 2 7 4 2" xfId="23429" xr:uid="{D7AF459E-A3FE-4C63-9732-361416E74A08}"/>
    <cellStyle name="Comma 3 3 2 7 4 3" xfId="47796" xr:uid="{9E2A0E93-0545-430B-853E-69FF35C39FB4}"/>
    <cellStyle name="Comma 3 3 2 7 4 4" xfId="52767" xr:uid="{72DD35F8-43F1-4C8A-9B67-F166A123C098}"/>
    <cellStyle name="Comma 3 3 2 7 4 5" xfId="55783" xr:uid="{520F1ECE-7551-400A-9FF3-BBABF40BEC6E}"/>
    <cellStyle name="Comma 3 3 2 7 4 6" xfId="19451" xr:uid="{5D298437-FE44-44BE-B596-621C50C476B4}"/>
    <cellStyle name="Comma 3 3 2 7 5" xfId="13016" xr:uid="{1FBD7097-21EC-4B0F-8BEF-AAFB0B9F9350}"/>
    <cellStyle name="Comma 3 3 2 7 5 2" xfId="48382" xr:uid="{A8F52109-7DB7-4753-A82E-6CEEBFD97CFE}"/>
    <cellStyle name="Comma 3 3 2 7 5 3" xfId="51336" xr:uid="{FAF15B05-20B7-4ADA-8E29-8902AB39822D}"/>
    <cellStyle name="Comma 3 3 2 7 5 4" xfId="54352" xr:uid="{A3F8B6D4-17B9-4B9F-8E03-858B5D874C7C}"/>
    <cellStyle name="Comma 3 3 2 7 5 5" xfId="22020" xr:uid="{2E6770FD-992C-487B-9E53-1B9ABDDE41A8}"/>
    <cellStyle name="Comma 3 3 2 7 6" xfId="36079" xr:uid="{CDCCC0B1-E8B8-44A3-94AD-5C5F4B303F97}"/>
    <cellStyle name="Comma 3 3 2 7 7" xfId="50230" xr:uid="{2B99BCEA-FB3D-4462-8D53-6E04AE350CD9}"/>
    <cellStyle name="Comma 3 3 2 7 8" xfId="53246" xr:uid="{32D5F674-4DBB-47CD-9604-07F18E251264}"/>
    <cellStyle name="Comma 3 3 2 7 9" xfId="19021" xr:uid="{5A4FB60E-E3FE-45E6-B47D-E0E08526BB0A}"/>
    <cellStyle name="Comma 3 3 2 8" xfId="14180" xr:uid="{94D95277-C2C8-442E-B952-0A1FC1FEA88C}"/>
    <cellStyle name="Comma 3 3 2 9" xfId="14504" xr:uid="{D608074D-2265-416E-AADE-B3D10F36CE66}"/>
    <cellStyle name="Comma 3 3 2 9 2" xfId="22051" xr:uid="{453665CF-2AAE-4934-BF87-D519F2A64743}"/>
    <cellStyle name="Comma 3 3 2 9 3" xfId="48383" xr:uid="{7AC1DD1F-AFEE-4C65-BF8A-C19AFE1B5FB3}"/>
    <cellStyle name="Comma 3 3 2 9 4" xfId="51389" xr:uid="{8DB68434-E2E7-4606-894E-13C367C5FDA2}"/>
    <cellStyle name="Comma 3 3 2 9 5" xfId="54405" xr:uid="{576EEFC5-E284-4C97-B2BE-E87681C09027}"/>
    <cellStyle name="Comma 3 3 2 9 6" xfId="19042" xr:uid="{C35DAC05-5EC3-4BBF-98B2-6A9CEB89C029}"/>
    <cellStyle name="Comma 3 3 3" xfId="5822" xr:uid="{6ED8C6AF-174F-4D72-BCD3-30B1FC434DFE}"/>
    <cellStyle name="Comma 3 3 3 10" xfId="12197" xr:uid="{1D210365-AC07-43AE-ADF1-FCA721D9D599}"/>
    <cellStyle name="Comma 3 3 3 10 2" xfId="47265" xr:uid="{0662A8DF-F493-4A68-8771-69EF7EB9ACDA}"/>
    <cellStyle name="Comma 3 3 3 10 3" xfId="50942" xr:uid="{8240EDA0-88AD-4FB0-BF2B-43C1913146C3}"/>
    <cellStyle name="Comma 3 3 3 10 4" xfId="53958" xr:uid="{44720AF1-C26A-435D-B0C7-60EF7F0F6AE7}"/>
    <cellStyle name="Comma 3 3 3 10 5" xfId="21907" xr:uid="{1CBAA469-3C72-4FFF-96F7-4FAF3F3D727E}"/>
    <cellStyle name="Comma 3 3 3 11" xfId="23746" xr:uid="{79F5242B-512D-4800-A887-82FE3A2838EB}"/>
    <cellStyle name="Comma 3 3 3 12" xfId="48428" xr:uid="{BBDDED57-65EB-416B-BB53-0963B4C689A3}"/>
    <cellStyle name="Comma 3 3 3 13" xfId="48629" xr:uid="{9BDFFBFD-651C-40A2-B923-54A0B4CCB332}"/>
    <cellStyle name="Comma 3 3 3 14" xfId="49537" xr:uid="{A9B47305-7C39-4EBD-B08A-517847E8094E}"/>
    <cellStyle name="Comma 3 3 3 15" xfId="49808" xr:uid="{9BBCF7C4-D1DC-4DB3-8E71-6F5E2036B4C8}"/>
    <cellStyle name="Comma 3 3 3 16" xfId="52823" xr:uid="{369D2EC5-D962-485F-AE31-BB909F3054B7}"/>
    <cellStyle name="Comma 3 3 3 17" xfId="18571" xr:uid="{31066460-E7D0-492C-AEE9-93BA9DB252B8}"/>
    <cellStyle name="Comma 3 3 3 18" xfId="8931" xr:uid="{D1496341-0F91-4993-B31E-E864C3D07C62}"/>
    <cellStyle name="Comma 3 3 3 2" xfId="10018" xr:uid="{1C4EA1FC-806F-4AC6-AA5F-E07CC28FC79C}"/>
    <cellStyle name="Comma 3 3 3 2 10" xfId="18749" xr:uid="{627929DF-8B3B-44BB-8A17-799CD36F374D}"/>
    <cellStyle name="Comma 3 3 3 2 2" xfId="10326" xr:uid="{9ACF86A5-0FBE-4B2D-AF03-649E0E5D9AED}"/>
    <cellStyle name="Comma 3 3 3 2 2 2" xfId="14771" xr:uid="{874BD130-684D-4F59-A421-D65863393FD9}"/>
    <cellStyle name="Comma 3 3 3 2 2 2 2" xfId="22318" xr:uid="{FFA9554A-84FB-476C-90C4-30BDB8FEEA9A}"/>
    <cellStyle name="Comma 3 3 3 2 2 2 3" xfId="46432" xr:uid="{A618765A-1777-4305-8005-4843E40C2D13}"/>
    <cellStyle name="Comma 3 3 3 2 2 2 4" xfId="51656" xr:uid="{5EE53903-964F-4914-B938-2F5BBC10D3E8}"/>
    <cellStyle name="Comma 3 3 3 2 2 2 5" xfId="54672" xr:uid="{D3B6B0E9-F8FD-4C0B-B3AF-6BA984AC62E1}"/>
    <cellStyle name="Comma 3 3 3 2 2 2 6" xfId="19119" xr:uid="{8E64020C-7E00-401E-AA1F-AAD1E8128238}"/>
    <cellStyle name="Comma 3 3 3 2 2 3" xfId="15256" xr:uid="{F079CBBA-7B2F-435B-81FF-3AF78E38D324}"/>
    <cellStyle name="Comma 3 3 3 2 2 3 2" xfId="22795" xr:uid="{F243E7B0-9767-45BC-A991-776F50F59183}"/>
    <cellStyle name="Comma 3 3 3 2 2 3 3" xfId="47342" xr:uid="{587B2206-C249-4E47-B66F-705BA4C989AD}"/>
    <cellStyle name="Comma 3 3 3 2 2 3 4" xfId="52133" xr:uid="{A61F112F-53A4-453A-96DD-B0C5A5FA2786}"/>
    <cellStyle name="Comma 3 3 3 2 2 3 5" xfId="55149" xr:uid="{F3C19701-643A-4A4D-96F3-3B24F50A3C21}"/>
    <cellStyle name="Comma 3 3 3 2 2 3 6" xfId="19262" xr:uid="{36DA31C5-0909-4EC8-B175-AD6AE6369181}"/>
    <cellStyle name="Comma 3 3 3 2 2 4" xfId="15743" xr:uid="{5D6CE50B-1695-4478-80CD-062DCD0D1DCA}"/>
    <cellStyle name="Comma 3 3 3 2 2 4 2" xfId="23272" xr:uid="{3E4BB629-2CFB-4314-A4A9-F6D9B78CA34C}"/>
    <cellStyle name="Comma 3 3 3 2 2 4 3" xfId="25279" xr:uid="{9262FCE3-3C7E-40A5-A8CF-1968941182C2}"/>
    <cellStyle name="Comma 3 3 3 2 2 4 4" xfId="52610" xr:uid="{5BE4A86B-4B20-4153-B4A6-40957B28B318}"/>
    <cellStyle name="Comma 3 3 3 2 2 4 5" xfId="55626" xr:uid="{E27738CF-5525-46FB-9A0B-A31F1CF3D5B6}"/>
    <cellStyle name="Comma 3 3 3 2 2 4 6" xfId="19407" xr:uid="{A9B7DAAC-0BB0-4FB9-9924-7E00022BDD5F}"/>
    <cellStyle name="Comma 3 3 3 2 2 5" xfId="12779" xr:uid="{8CBEAB8C-F255-4997-A614-66747E57FF66}"/>
    <cellStyle name="Comma 3 3 3 2 2 5 2" xfId="47097" xr:uid="{D08163D6-4794-4742-A5EE-6E7EFC58E5E2}"/>
    <cellStyle name="Comma 3 3 3 2 2 5 3" xfId="51179" xr:uid="{AD9254DD-ED03-4A09-B779-1B485A57BF37}"/>
    <cellStyle name="Comma 3 3 3 2 2 5 4" xfId="54195" xr:uid="{FB3B4804-6BB1-4DFB-BCA3-52FFE7218799}"/>
    <cellStyle name="Comma 3 3 3 2 2 5 5" xfId="21977" xr:uid="{A2692491-6EAC-41BD-A698-A01444E915AE}"/>
    <cellStyle name="Comma 3 3 3 2 2 6" xfId="47141" xr:uid="{EEA04D7B-5F51-4529-83DB-8AB049948A9A}"/>
    <cellStyle name="Comma 3 3 3 2 2 7" xfId="50073" xr:uid="{1B88515B-C783-46CF-B2B4-F98DB1544BB1}"/>
    <cellStyle name="Comma 3 3 3 2 2 8" xfId="53089" xr:uid="{769770C7-57B9-4A12-98A8-E4F2AEDA3B38}"/>
    <cellStyle name="Comma 3 3 3 2 2 9" xfId="18898" xr:uid="{C5088E96-D7CA-4574-8265-19474B597F20}"/>
    <cellStyle name="Comma 3 3 3 2 3" xfId="14559" xr:uid="{D44AE0FA-AEB1-47C1-8AFD-D1503339D004}"/>
    <cellStyle name="Comma 3 3 3 2 3 2" xfId="22106" xr:uid="{D2CB31B0-1820-435D-8A40-AA4A9C96795E}"/>
    <cellStyle name="Comma 3 3 3 2 3 3" xfId="37012" xr:uid="{00859175-244D-4C0E-BDEC-47739944F9B4}"/>
    <cellStyle name="Comma 3 3 3 2 3 4" xfId="51444" xr:uid="{9F256CE0-23EF-4E22-8CCA-ED5DFB8C9EA0}"/>
    <cellStyle name="Comma 3 3 3 2 3 5" xfId="54460" xr:uid="{F60A9FAA-2D89-452D-93C8-35F9BEE35844}"/>
    <cellStyle name="Comma 3 3 3 2 3 6" xfId="19059" xr:uid="{B84C2761-3948-41D6-8735-EEEA87516557}"/>
    <cellStyle name="Comma 3 3 3 2 4" xfId="15043" xr:uid="{E7F2C40E-95D9-40A5-B906-3BD7036415C8}"/>
    <cellStyle name="Comma 3 3 3 2 4 2" xfId="22583" xr:uid="{5E2CB88D-F9F0-4E86-972A-2F6B02D62A08}"/>
    <cellStyle name="Comma 3 3 3 2 4 3" xfId="48144" xr:uid="{FA186A72-97CB-4CE4-9901-C26C2133C29F}"/>
    <cellStyle name="Comma 3 3 3 2 4 4" xfId="51921" xr:uid="{F51A61D8-D957-47DD-B814-5889E0C491B3}"/>
    <cellStyle name="Comma 3 3 3 2 4 5" xfId="54937" xr:uid="{48177970-F442-44CE-8EA1-7756C812E240}"/>
    <cellStyle name="Comma 3 3 3 2 4 6" xfId="19201" xr:uid="{101A2C6C-30AF-460F-825F-6F7A4B323CD2}"/>
    <cellStyle name="Comma 3 3 3 2 5" xfId="15530" xr:uid="{EC5A4667-8239-41C8-A9D1-6E37BCCEDA52}"/>
    <cellStyle name="Comma 3 3 3 2 5 2" xfId="23060" xr:uid="{F10BB151-7BAC-4EC5-A4FE-BFD240DFF626}"/>
    <cellStyle name="Comma 3 3 3 2 5 3" xfId="24168" xr:uid="{63067E03-2433-4ECE-BB7E-D8540B750D07}"/>
    <cellStyle name="Comma 3 3 3 2 5 4" xfId="52398" xr:uid="{F88A41D1-D1F0-4325-8873-27417CDB9ABA}"/>
    <cellStyle name="Comma 3 3 3 2 5 5" xfId="55414" xr:uid="{4FD90824-0892-418C-9FE0-37C8966338DC}"/>
    <cellStyle name="Comma 3 3 3 2 5 6" xfId="19346" xr:uid="{ED90C72D-F331-4D7F-B7FC-DA50AF8134FE}"/>
    <cellStyle name="Comma 3 3 3 2 6" xfId="12478" xr:uid="{2CC2D54D-F9C1-4209-8BE9-92D1415C9BE2}"/>
    <cellStyle name="Comma 3 3 3 2 6 2" xfId="24698" xr:uid="{69DA670A-F772-4D77-970D-CF0D677CE6D6}"/>
    <cellStyle name="Comma 3 3 3 2 6 3" xfId="50967" xr:uid="{6B84FF08-C17E-4A4E-9C8C-04898F59B5D3}"/>
    <cellStyle name="Comma 3 3 3 2 6 4" xfId="53983" xr:uid="{7445F37F-EBC0-4212-83AC-3AD7B4C00A7A}"/>
    <cellStyle name="Comma 3 3 3 2 6 5" xfId="21916" xr:uid="{EBBA7EA7-72CA-4642-8EB5-7B34A9CB5C8C}"/>
    <cellStyle name="Comma 3 3 3 2 7" xfId="47572" xr:uid="{8D8D45E3-74D8-463C-B453-DFD92128EABE}"/>
    <cellStyle name="Comma 3 3 3 2 8" xfId="49861" xr:uid="{EF899CB5-C12A-4E6D-919C-9487D88D2274}"/>
    <cellStyle name="Comma 3 3 3 2 9" xfId="52877" xr:uid="{624B3F56-26C6-4FB7-90AE-DFADE06AF18C}"/>
    <cellStyle name="Comma 3 3 3 3" xfId="10092" xr:uid="{FFF99439-F0E6-4AB6-8C09-E2CA7D69C6A3}"/>
    <cellStyle name="Comma 3 3 3 3 10" xfId="18782" xr:uid="{3C2A15D2-3628-46A6-A24F-E04C45FC4277}"/>
    <cellStyle name="Comma 3 3 3 3 2" xfId="10405" xr:uid="{72CE2735-E9F0-4C47-8BE9-B59779E9CCE0}"/>
    <cellStyle name="Comma 3 3 3 3 2 2" xfId="14824" xr:uid="{30E3762E-8369-4D84-BA6B-D23C586AB6C4}"/>
    <cellStyle name="Comma 3 3 3 3 2 2 2" xfId="22371" xr:uid="{69738F43-403C-487B-BB1B-F820A398B4E8}"/>
    <cellStyle name="Comma 3 3 3 3 2 2 3" xfId="36584" xr:uid="{E6A12E35-2FA5-4852-B372-64743C76250B}"/>
    <cellStyle name="Comma 3 3 3 3 2 2 4" xfId="51709" xr:uid="{9E06C3F3-F5F7-4C45-87EB-FAA19C30B453}"/>
    <cellStyle name="Comma 3 3 3 3 2 2 5" xfId="54725" xr:uid="{B94FD960-7FBF-4A44-B98F-A518F70A5A91}"/>
    <cellStyle name="Comma 3 3 3 3 2 2 6" xfId="19134" xr:uid="{8FDF6F1A-DB48-478A-8FD5-A60CF8E10F4F}"/>
    <cellStyle name="Comma 3 3 3 3 2 3" xfId="15309" xr:uid="{42EC01F4-B045-4492-9125-D0A2785CDDB4}"/>
    <cellStyle name="Comma 3 3 3 3 2 3 2" xfId="22848" xr:uid="{A2FA202B-A001-4A26-9FFD-FC334F9381B6}"/>
    <cellStyle name="Comma 3 3 3 3 2 3 3" xfId="47249" xr:uid="{E78C546F-A137-46D2-B28B-413EF7383D6B}"/>
    <cellStyle name="Comma 3 3 3 3 2 3 4" xfId="52186" xr:uid="{14086F11-1B5F-4965-8DF8-6D91D1DBD06E}"/>
    <cellStyle name="Comma 3 3 3 3 2 3 5" xfId="55202" xr:uid="{960E86BF-E855-4DAE-9FE8-D96C9CDE62E1}"/>
    <cellStyle name="Comma 3 3 3 3 2 3 6" xfId="19277" xr:uid="{2B550DDA-CB50-43AE-9021-6A4598DDEB67}"/>
    <cellStyle name="Comma 3 3 3 3 2 4" xfId="15796" xr:uid="{A750C18B-4F50-488D-9373-13ECD448A3D7}"/>
    <cellStyle name="Comma 3 3 3 3 2 4 2" xfId="23325" xr:uid="{F8E13142-CB4B-4B51-B2F9-DFAFE55E0F8B}"/>
    <cellStyle name="Comma 3 3 3 3 2 4 3" xfId="46966" xr:uid="{59A3184F-23A3-4E14-B9C7-1543A203FD92}"/>
    <cellStyle name="Comma 3 3 3 3 2 4 4" xfId="52663" xr:uid="{645B6346-5769-4581-9732-2BFDA91F190A}"/>
    <cellStyle name="Comma 3 3 3 3 2 4 5" xfId="55679" xr:uid="{B9FE8C69-8691-475B-97BF-9CFC29EA4FEC}"/>
    <cellStyle name="Comma 3 3 3 3 2 4 6" xfId="19422" xr:uid="{583A66BB-C0CB-4068-9B97-E8208AA55C1C}"/>
    <cellStyle name="Comma 3 3 3 3 2 5" xfId="12858" xr:uid="{A8299F17-17AE-4FC3-A583-99196AA6239B}"/>
    <cellStyle name="Comma 3 3 3 3 2 5 2" xfId="24212" xr:uid="{67DD6A6C-D749-4821-83D1-40EEBD83686D}"/>
    <cellStyle name="Comma 3 3 3 3 2 5 3" xfId="51232" xr:uid="{EBC04B23-1C08-4D5C-A982-6C92120C7B4B}"/>
    <cellStyle name="Comma 3 3 3 3 2 5 4" xfId="54248" xr:uid="{B71F6735-A465-48CD-BE51-9C660DF7EC89}"/>
    <cellStyle name="Comma 3 3 3 3 2 5 5" xfId="21992" xr:uid="{8C86BE34-06E3-4F4B-9BB3-DD92C78111AF}"/>
    <cellStyle name="Comma 3 3 3 3 2 6" xfId="35993" xr:uid="{2DAEFCF8-CA26-47E1-9935-B8318BD2B6BD}"/>
    <cellStyle name="Comma 3 3 3 3 2 7" xfId="50126" xr:uid="{64E10F44-50A5-42B5-81CD-8B0AA241D6A9}"/>
    <cellStyle name="Comma 3 3 3 3 2 8" xfId="53142" xr:uid="{12604BC9-C118-4729-A539-6B9344A5A2D1}"/>
    <cellStyle name="Comma 3 3 3 3 2 9" xfId="18939" xr:uid="{3315AC0B-0BE3-453B-A51A-CD3E569EEB07}"/>
    <cellStyle name="Comma 3 3 3 3 3" xfId="14612" xr:uid="{51F33D36-D97F-406C-9725-7AE3546306FD}"/>
    <cellStyle name="Comma 3 3 3 3 3 2" xfId="22159" xr:uid="{F3C9389C-2CEC-43BB-9DE8-C83DCA8A8CE8}"/>
    <cellStyle name="Comma 3 3 3 3 3 3" xfId="46841" xr:uid="{F8C8AB42-6C00-44B0-BFC5-94DD9481B7DD}"/>
    <cellStyle name="Comma 3 3 3 3 3 4" xfId="51497" xr:uid="{7D3359AA-B21E-44DC-8BDB-1420FE8FE1CF}"/>
    <cellStyle name="Comma 3 3 3 3 3 5" xfId="54513" xr:uid="{4C2763E4-0E9D-41E7-A6E0-F11B543ACA4D}"/>
    <cellStyle name="Comma 3 3 3 3 3 6" xfId="19074" xr:uid="{EC4E5827-D403-4E53-B2F7-5DF472859E20}"/>
    <cellStyle name="Comma 3 3 3 3 4" xfId="15097" xr:uid="{A45D62F2-9BD8-4C5E-8C8B-4F70305FB63A}"/>
    <cellStyle name="Comma 3 3 3 3 4 2" xfId="22636" xr:uid="{E7C3D5D5-4B54-4868-B7ED-C8725DD6C064}"/>
    <cellStyle name="Comma 3 3 3 3 4 3" xfId="32505" xr:uid="{F19394C2-77D1-4B1B-A4E6-DCC5CFF03E0B}"/>
    <cellStyle name="Comma 3 3 3 3 4 4" xfId="51974" xr:uid="{02389A8C-33E0-4E19-B322-3F4FF7CFAAB4}"/>
    <cellStyle name="Comma 3 3 3 3 4 5" xfId="54990" xr:uid="{8196F5CD-8E35-42D2-9B3E-35C38E61F986}"/>
    <cellStyle name="Comma 3 3 3 3 4 6" xfId="19217" xr:uid="{33475515-7360-433E-AA94-025D7A59F085}"/>
    <cellStyle name="Comma 3 3 3 3 5" xfId="15584" xr:uid="{4FF74D37-3E9A-44C8-9A05-CE8F8BBFBCFD}"/>
    <cellStyle name="Comma 3 3 3 3 5 2" xfId="23113" xr:uid="{70554AFE-BB0C-43F0-BDB4-B9489AD4507C}"/>
    <cellStyle name="Comma 3 3 3 3 5 3" xfId="46939" xr:uid="{86892071-C417-4143-966B-78F092B24000}"/>
    <cellStyle name="Comma 3 3 3 3 5 4" xfId="52451" xr:uid="{FFDEAE7C-16FD-4025-AEF6-6A713BEE15AA}"/>
    <cellStyle name="Comma 3 3 3 3 5 5" xfId="55467" xr:uid="{9A52C6B8-E627-4F85-9829-8C513238610A}"/>
    <cellStyle name="Comma 3 3 3 3 5 6" xfId="19362" xr:uid="{5B59EE30-DC70-4DBB-B0D4-F1E68A835ED1}"/>
    <cellStyle name="Comma 3 3 3 3 6" xfId="12549" xr:uid="{F5EE87EB-5867-467A-9BD7-A797C9D3B4CA}"/>
    <cellStyle name="Comma 3 3 3 3 6 2" xfId="46324" xr:uid="{ED8B38D1-DEB4-4F5F-A7CD-F59EF08258E6}"/>
    <cellStyle name="Comma 3 3 3 3 6 3" xfId="51020" xr:uid="{077D34FE-2161-4E1F-99B6-84290F3A80B1}"/>
    <cellStyle name="Comma 3 3 3 3 6 4" xfId="54036" xr:uid="{EA837008-9DBE-4DCA-8A9F-E1798A20F0F2}"/>
    <cellStyle name="Comma 3 3 3 3 6 5" xfId="21932" xr:uid="{DB11A8D2-441E-463A-ABE4-9319F49E72C9}"/>
    <cellStyle name="Comma 3 3 3 3 7" xfId="47869" xr:uid="{2935F4B1-278D-41FC-9CFC-A32CF40BE2D6}"/>
    <cellStyle name="Comma 3 3 3 3 8" xfId="49914" xr:uid="{00E46405-E484-4750-8DB8-27E8A8522930}"/>
    <cellStyle name="Comma 3 3 3 3 9" xfId="52930" xr:uid="{55543812-C580-4471-AF9A-C7BF6349F2C5}"/>
    <cellStyle name="Comma 3 3 3 4" xfId="10171" xr:uid="{519D1D0A-D20B-4284-82B4-36A8A471F165}"/>
    <cellStyle name="Comma 3 3 3 4 10" xfId="18820" xr:uid="{1D29D07C-299F-4757-9B2B-02672D53A734}"/>
    <cellStyle name="Comma 3 3 3 4 2" xfId="10485" xr:uid="{0A1FE9C9-8FA3-47A9-B3F6-3C4E05987FEA}"/>
    <cellStyle name="Comma 3 3 3 4 2 2" xfId="14877" xr:uid="{63E49543-96F0-4A01-9554-E94032E58C3A}"/>
    <cellStyle name="Comma 3 3 3 4 2 2 2" xfId="22424" xr:uid="{4B5CB1C1-5AB4-4A2D-9AEC-E06FD9AE6EBA}"/>
    <cellStyle name="Comma 3 3 3 4 2 2 3" xfId="46449" xr:uid="{EEFD709A-1D59-4FF0-9D49-663F4B8C9EA9}"/>
    <cellStyle name="Comma 3 3 3 4 2 2 4" xfId="51762" xr:uid="{6DD991BD-7EE6-4215-945F-D166E4A44684}"/>
    <cellStyle name="Comma 3 3 3 4 2 2 5" xfId="54778" xr:uid="{D6D83353-D2E9-4E68-913D-A9EB61637AFE}"/>
    <cellStyle name="Comma 3 3 3 4 2 2 6" xfId="19149" xr:uid="{9154A210-9A62-47E8-AC76-8CBF90363380}"/>
    <cellStyle name="Comma 3 3 3 4 2 3" xfId="15362" xr:uid="{3E944BFD-A191-417E-92D2-E5EAFEA23CF5}"/>
    <cellStyle name="Comma 3 3 3 4 2 3 2" xfId="22901" xr:uid="{C475425F-D1F8-4969-8461-DBD4C7B9B60D}"/>
    <cellStyle name="Comma 3 3 3 4 2 3 3" xfId="46520" xr:uid="{E95D0537-4EFF-46E6-8272-583884D35008}"/>
    <cellStyle name="Comma 3 3 3 4 2 3 4" xfId="52239" xr:uid="{E44BC77C-C6BE-4DDC-B4CD-2F3426499483}"/>
    <cellStyle name="Comma 3 3 3 4 2 3 5" xfId="55255" xr:uid="{0A7E138C-EBE5-43A9-BD34-EB3EF6E1FCF7}"/>
    <cellStyle name="Comma 3 3 3 4 2 3 6" xfId="19292" xr:uid="{7F8E20DC-85CB-48D4-B86B-AC83D92189C8}"/>
    <cellStyle name="Comma 3 3 3 4 2 4" xfId="15849" xr:uid="{3A484F2F-2C0D-46EA-82B6-BC5043C90E5F}"/>
    <cellStyle name="Comma 3 3 3 4 2 4 2" xfId="23378" xr:uid="{9F59C3B7-4032-4BE8-9DED-988654B7F85F}"/>
    <cellStyle name="Comma 3 3 3 4 2 4 3" xfId="46597" xr:uid="{E6961D91-516A-4CAB-8D51-6DB5F98905B1}"/>
    <cellStyle name="Comma 3 3 3 4 2 4 4" xfId="52716" xr:uid="{B36C8F5A-1418-418B-A7D2-E6DBF48D36F5}"/>
    <cellStyle name="Comma 3 3 3 4 2 4 5" xfId="55732" xr:uid="{1651F4B6-2B1E-442E-B951-B5704B9D40CD}"/>
    <cellStyle name="Comma 3 3 3 4 2 4 6" xfId="19437" xr:uid="{5A770981-536F-449F-93D7-50574D119794}"/>
    <cellStyle name="Comma 3 3 3 4 2 5" xfId="12938" xr:uid="{6134380C-9894-403D-A558-517F98DDD4AD}"/>
    <cellStyle name="Comma 3 3 3 4 2 5 2" xfId="46814" xr:uid="{0D3D9E62-99D5-40E0-B768-06FE7E0ECA04}"/>
    <cellStyle name="Comma 3 3 3 4 2 5 3" xfId="51285" xr:uid="{EB6905AB-7755-4A6D-A292-12C1DC4A371D}"/>
    <cellStyle name="Comma 3 3 3 4 2 5 4" xfId="54301" xr:uid="{F20BEB53-039F-4199-A48F-1E5343DA0374}"/>
    <cellStyle name="Comma 3 3 3 4 2 5 5" xfId="22007" xr:uid="{32488AD2-6B2F-47D4-8C81-FAFFF7D4DE1F}"/>
    <cellStyle name="Comma 3 3 3 4 2 6" xfId="47291" xr:uid="{56928CAA-DD9B-44A7-9B83-AF26A7E964F4}"/>
    <cellStyle name="Comma 3 3 3 4 2 7" xfId="50179" xr:uid="{410A016E-AAED-4581-A144-656D9DD3ED31}"/>
    <cellStyle name="Comma 3 3 3 4 2 8" xfId="53195" xr:uid="{FFF60DB4-26D5-44A6-859B-90E2558BCFC3}"/>
    <cellStyle name="Comma 3 3 3 4 2 9" xfId="18981" xr:uid="{D00307AA-3CDB-44AA-A89D-122CAB91D733}"/>
    <cellStyle name="Comma 3 3 3 4 3" xfId="14665" xr:uid="{23E7388B-EF1E-4C49-A2BF-DC1161B4E76E}"/>
    <cellStyle name="Comma 3 3 3 4 3 2" xfId="22212" xr:uid="{8BD478B4-94F7-4E7B-A18E-B745C5E79EBB}"/>
    <cellStyle name="Comma 3 3 3 4 3 3" xfId="32276" xr:uid="{628C8F75-57CF-4B54-8435-579AC5A5B4B4}"/>
    <cellStyle name="Comma 3 3 3 4 3 4" xfId="51550" xr:uid="{3A56EB70-862D-4C2F-9C13-57C1ED03C02B}"/>
    <cellStyle name="Comma 3 3 3 4 3 5" xfId="54566" xr:uid="{2C92B94A-DFDB-4B0E-B313-711B30E462D4}"/>
    <cellStyle name="Comma 3 3 3 4 3 6" xfId="19089" xr:uid="{C13315B3-FDCC-40BB-9949-C45F3D1A6621}"/>
    <cellStyle name="Comma 3 3 3 4 4" xfId="15150" xr:uid="{4C97DD00-FFB1-4F0D-BC0B-8DA2846A4A31}"/>
    <cellStyle name="Comma 3 3 3 4 4 2" xfId="22689" xr:uid="{97D024E0-B4A2-4508-BDF6-D4326F0E9FCE}"/>
    <cellStyle name="Comma 3 3 3 4 4 3" xfId="47372" xr:uid="{9947F672-5502-4869-87BD-759AB096BBFF}"/>
    <cellStyle name="Comma 3 3 3 4 4 4" xfId="52027" xr:uid="{93C166A9-52F4-4335-A8BA-A19D7E527DDE}"/>
    <cellStyle name="Comma 3 3 3 4 4 5" xfId="55043" xr:uid="{6F50F758-1E80-48CB-98F0-CB532F4854E1}"/>
    <cellStyle name="Comma 3 3 3 4 4 6" xfId="19232" xr:uid="{BF0D5BA6-4C92-48E2-879C-CDD5DC25D2AC}"/>
    <cellStyle name="Comma 3 3 3 4 5" xfId="15637" xr:uid="{80EB10B0-07F4-4341-B610-967C5F98B4B9}"/>
    <cellStyle name="Comma 3 3 3 4 5 2" xfId="23166" xr:uid="{EB377420-965A-4596-A2B1-537EBFCC141F}"/>
    <cellStyle name="Comma 3 3 3 4 5 3" xfId="32396" xr:uid="{79C3C115-408D-4D45-94FB-E3263D11AB26}"/>
    <cellStyle name="Comma 3 3 3 4 5 4" xfId="52504" xr:uid="{7FB91A3D-5013-439E-A2DC-4114468E7752}"/>
    <cellStyle name="Comma 3 3 3 4 5 5" xfId="55520" xr:uid="{2C69F65C-40AE-4D87-AD4E-AF62CF9AC2A3}"/>
    <cellStyle name="Comma 3 3 3 4 5 6" xfId="19377" xr:uid="{AFC5B608-15C6-4D0F-B7BD-2DCE409DF865}"/>
    <cellStyle name="Comma 3 3 3 4 6" xfId="12625" xr:uid="{E475214C-57CF-4A2A-B7DD-2BF2D0AD2F79}"/>
    <cellStyle name="Comma 3 3 3 4 6 2" xfId="46776" xr:uid="{F2B2179F-71C4-4EC0-AF04-FC2F0F209E34}"/>
    <cellStyle name="Comma 3 3 3 4 6 3" xfId="51073" xr:uid="{A1FD9FCE-9880-49C9-B552-EFF250AA1666}"/>
    <cellStyle name="Comma 3 3 3 4 6 4" xfId="54089" xr:uid="{D324F563-D866-48CD-BAC8-BF9D47B7301F}"/>
    <cellStyle name="Comma 3 3 3 4 6 5" xfId="21947" xr:uid="{8AC27C98-F874-4723-B8BC-614C2EAC8EAF}"/>
    <cellStyle name="Comma 3 3 3 4 7" xfId="25379" xr:uid="{34911D76-26B9-47B1-921E-FDA30C90840D}"/>
    <cellStyle name="Comma 3 3 3 4 8" xfId="49967" xr:uid="{140DC617-DBD5-4194-8644-189B3B27CDF9}"/>
    <cellStyle name="Comma 3 3 3 4 9" xfId="52983" xr:uid="{5B85B110-4FC5-4A52-9ADE-E7312683A232}"/>
    <cellStyle name="Comma 3 3 3 5" xfId="10251" xr:uid="{D5442291-C2A5-44A4-BAD8-3813CE42C83B}"/>
    <cellStyle name="Comma 3 3 3 5 2" xfId="14718" xr:uid="{A387DF98-A6ED-4B65-B8C2-219FBAED5492}"/>
    <cellStyle name="Comma 3 3 3 5 2 2" xfId="22265" xr:uid="{35DBB265-B37D-4760-8F4D-BC0C56933AC6}"/>
    <cellStyle name="Comma 3 3 3 5 2 3" xfId="46853" xr:uid="{D2DEE166-CB0E-4665-81D4-DE59FA714A87}"/>
    <cellStyle name="Comma 3 3 3 5 2 4" xfId="51603" xr:uid="{B14A0F9C-455B-47FC-B5DF-6F6839721A6A}"/>
    <cellStyle name="Comma 3 3 3 5 2 5" xfId="54619" xr:uid="{A0CBDC9C-589C-4F39-8BB8-60442D28AD86}"/>
    <cellStyle name="Comma 3 3 3 5 2 6" xfId="19104" xr:uid="{9CA57AB6-1414-4A78-A807-DEC0DBA684BB}"/>
    <cellStyle name="Comma 3 3 3 5 3" xfId="15203" xr:uid="{C4290716-90AC-4DA6-AE7F-9E29B08E17BF}"/>
    <cellStyle name="Comma 3 3 3 5 3 2" xfId="22742" xr:uid="{80AA4D86-C076-4862-92E2-7E83804F8721}"/>
    <cellStyle name="Comma 3 3 3 5 3 3" xfId="47544" xr:uid="{0E99D3B7-0DD6-4BE0-AFFA-AE8AE9157310}"/>
    <cellStyle name="Comma 3 3 3 5 3 4" xfId="52080" xr:uid="{50938C50-F9A5-44FC-BC1F-0FAAB1C34213}"/>
    <cellStyle name="Comma 3 3 3 5 3 5" xfId="55096" xr:uid="{56D540AD-FB23-4176-B1FD-6EFB84E1315F}"/>
    <cellStyle name="Comma 3 3 3 5 3 6" xfId="19247" xr:uid="{89DB8ACD-AA9B-4EA2-B4FD-43EA2F16B751}"/>
    <cellStyle name="Comma 3 3 3 5 4" xfId="15690" xr:uid="{433D1893-9676-4ED0-AA9D-3FF2FA3A471B}"/>
    <cellStyle name="Comma 3 3 3 5 4 2" xfId="23219" xr:uid="{9230A7EB-7A6A-4019-9754-0AE4B9A0783E}"/>
    <cellStyle name="Comma 3 3 3 5 4 3" xfId="46954" xr:uid="{E8D3422B-EBA6-418E-8889-9E4639E2CA00}"/>
    <cellStyle name="Comma 3 3 3 5 4 4" xfId="52557" xr:uid="{0A31EC00-E719-4F00-9182-0F4F07195F15}"/>
    <cellStyle name="Comma 3 3 3 5 4 5" xfId="55573" xr:uid="{91C3F377-E8B3-4699-A91E-7E84AA94093D}"/>
    <cellStyle name="Comma 3 3 3 5 4 6" xfId="19392" xr:uid="{C6587A60-C0EB-4208-8FB7-14EED4EE3A0B}"/>
    <cellStyle name="Comma 3 3 3 5 5" xfId="12704" xr:uid="{0E54D281-7AE3-47CF-9F2F-4B2A1228D0C7}"/>
    <cellStyle name="Comma 3 3 3 5 5 2" xfId="47617" xr:uid="{8FB9884F-BBC8-4868-8CC1-1C08ECC03C8C}"/>
    <cellStyle name="Comma 3 3 3 5 5 3" xfId="51126" xr:uid="{AC72FB1C-9D6F-4568-AA16-A26A9196CE1F}"/>
    <cellStyle name="Comma 3 3 3 5 5 4" xfId="54142" xr:uid="{152AB72E-DD0B-4D3A-BB7E-4AD492FDAF59}"/>
    <cellStyle name="Comma 3 3 3 5 5 5" xfId="21962" xr:uid="{FA0CA9B3-769F-460C-AAD8-EDD60DE13F3D}"/>
    <cellStyle name="Comma 3 3 3 5 6" xfId="47733" xr:uid="{D09EFA21-387E-4799-91EA-9705BE6020EC}"/>
    <cellStyle name="Comma 3 3 3 5 7" xfId="50020" xr:uid="{273E0CF8-43A9-4609-A144-3C137FA872AA}"/>
    <cellStyle name="Comma 3 3 3 5 8" xfId="53036" xr:uid="{222A0293-2E87-45EE-8118-C32DFA2C9D61}"/>
    <cellStyle name="Comma 3 3 3 5 9" xfId="18861" xr:uid="{D59A4335-AD78-4F97-A683-E75D93ADBDE6}"/>
    <cellStyle name="Comma 3 3 3 6" xfId="10565" xr:uid="{6485B72D-226C-4E85-95A9-574B4AF8D7E6}"/>
    <cellStyle name="Comma 3 3 3 6 2" xfId="14930" xr:uid="{FC93FEFF-8C62-4DD6-B03E-3149BDF3BC4D}"/>
    <cellStyle name="Comma 3 3 3 6 2 2" xfId="22477" xr:uid="{8B8D1E7C-D447-4860-91A5-F8ABFDC06FE1}"/>
    <cellStyle name="Comma 3 3 3 6 2 3" xfId="32521" xr:uid="{C0368285-EA30-4882-84ED-5E67BA9374F3}"/>
    <cellStyle name="Comma 3 3 3 6 2 4" xfId="51815" xr:uid="{2BCF4515-0846-4490-9B73-DCEA7CC08A52}"/>
    <cellStyle name="Comma 3 3 3 6 2 5" xfId="54831" xr:uid="{33FF3AE4-B238-4F90-BBC5-6508D21AFDB9}"/>
    <cellStyle name="Comma 3 3 3 6 2 6" xfId="19164" xr:uid="{2B3E4240-2BF1-4D84-828E-81414443D398}"/>
    <cellStyle name="Comma 3 3 3 6 3" xfId="15415" xr:uid="{37BAC104-EF3C-48AD-9940-6C5CA8E2BCF8}"/>
    <cellStyle name="Comma 3 3 3 6 3 2" xfId="22954" xr:uid="{F375C57F-D8D2-4623-B85C-3BDA3F77934E}"/>
    <cellStyle name="Comma 3 3 3 6 3 3" xfId="47994" xr:uid="{FC5390B0-3DF9-43E6-8CC6-3925BEE8975E}"/>
    <cellStyle name="Comma 3 3 3 6 3 4" xfId="52292" xr:uid="{F55F2048-C12F-46CA-A679-350360BE84CA}"/>
    <cellStyle name="Comma 3 3 3 6 3 5" xfId="55308" xr:uid="{EF6FAEC1-87E7-4426-B55B-4B734C13F3A6}"/>
    <cellStyle name="Comma 3 3 3 6 3 6" xfId="19307" xr:uid="{2CF74936-E77F-473C-8A38-695F11A06BE2}"/>
    <cellStyle name="Comma 3 3 3 6 4" xfId="15903" xr:uid="{27B211FF-78B5-41A3-8E28-67C154A0329A}"/>
    <cellStyle name="Comma 3 3 3 6 4 2" xfId="23431" xr:uid="{34059942-2EA1-46BA-A174-798C7980C347}"/>
    <cellStyle name="Comma 3 3 3 6 4 3" xfId="46603" xr:uid="{D555B147-DF03-47D8-8CDA-7BFD029AD103}"/>
    <cellStyle name="Comma 3 3 3 6 4 4" xfId="52769" xr:uid="{385ECD1C-DE04-4431-B73A-14853E7435CB}"/>
    <cellStyle name="Comma 3 3 3 6 4 5" xfId="55785" xr:uid="{BB9AE658-C3F3-4891-B50E-D3B536A9BE52}"/>
    <cellStyle name="Comma 3 3 3 6 4 6" xfId="19453" xr:uid="{47ECC57C-7F94-44E3-ABD4-832EE8C9D3A9}"/>
    <cellStyle name="Comma 3 3 3 6 5" xfId="13018" xr:uid="{CBED4B7B-3B0B-43E3-AEA9-E572888DB735}"/>
    <cellStyle name="Comma 3 3 3 6 5 2" xfId="47149" xr:uid="{5D596B3F-01FE-4D63-BA32-6B2A73749E28}"/>
    <cellStyle name="Comma 3 3 3 6 5 3" xfId="51338" xr:uid="{64A1478C-4CCA-4E49-9B6F-A902FA536E25}"/>
    <cellStyle name="Comma 3 3 3 6 5 4" xfId="54354" xr:uid="{D7480236-6649-4E24-956F-915884E70180}"/>
    <cellStyle name="Comma 3 3 3 6 5 5" xfId="22022" xr:uid="{06622FFD-7B6D-4EF9-9EDD-A52E4FFAD44C}"/>
    <cellStyle name="Comma 3 3 3 6 6" xfId="46150" xr:uid="{8C1B44F3-2C26-4611-9D3B-4FE2D67D9900}"/>
    <cellStyle name="Comma 3 3 3 6 7" xfId="50232" xr:uid="{EC5FBAB5-22BC-4ED9-B80E-689DCD72AE63}"/>
    <cellStyle name="Comma 3 3 3 6 8" xfId="53248" xr:uid="{B6B1074C-1522-47B4-829C-8FA6099D2025}"/>
    <cellStyle name="Comma 3 3 3 6 9" xfId="19023" xr:uid="{D28070CD-0479-4B10-9E60-C889DCC1FB64}"/>
    <cellStyle name="Comma 3 3 3 7" xfId="14506" xr:uid="{7405EDE2-7371-4DB5-BE2F-3DB023596673}"/>
    <cellStyle name="Comma 3 3 3 7 2" xfId="22053" xr:uid="{300549FE-E8C2-4387-A9D1-A298CB517107}"/>
    <cellStyle name="Comma 3 3 3 7 3" xfId="24750" xr:uid="{17FA16E2-6322-49BD-897B-C00FA2E1684B}"/>
    <cellStyle name="Comma 3 3 3 7 4" xfId="51391" xr:uid="{99455F11-896B-423A-919A-681D27C4C54A}"/>
    <cellStyle name="Comma 3 3 3 7 5" xfId="54407" xr:uid="{2F0B5A14-5567-40D3-AAC1-14AA91D76AA3}"/>
    <cellStyle name="Comma 3 3 3 7 6" xfId="19044" xr:uid="{D7A1B955-A73D-4B86-B532-0325CD189E90}"/>
    <cellStyle name="Comma 3 3 3 8" xfId="14990" xr:uid="{41225DB7-ABFF-4DEE-A45A-7FF91F140B2B}"/>
    <cellStyle name="Comma 3 3 3 8 2" xfId="22530" xr:uid="{D9568C7E-F684-4256-9EED-431E99A95EC9}"/>
    <cellStyle name="Comma 3 3 3 8 3" xfId="36969" xr:uid="{FC1EAB32-4043-4F3A-8769-1862AE470B3C}"/>
    <cellStyle name="Comma 3 3 3 8 4" xfId="51868" xr:uid="{793B9113-83D9-4682-8140-BAD935B0BFE0}"/>
    <cellStyle name="Comma 3 3 3 8 5" xfId="54884" xr:uid="{5EEBC82E-8D69-4E71-86B4-521A54DEF979}"/>
    <cellStyle name="Comma 3 3 3 8 6" xfId="19186" xr:uid="{8EA46138-49A8-40E7-B6E3-DC4B612850D7}"/>
    <cellStyle name="Comma 3 3 3 9" xfId="15477" xr:uid="{66E9418F-F785-4A45-A73D-33E518FCBD22}"/>
    <cellStyle name="Comma 3 3 3 9 2" xfId="23007" xr:uid="{D75E41EC-19FC-45AF-949D-B86CC4B431F4}"/>
    <cellStyle name="Comma 3 3 3 9 3" xfId="47405" xr:uid="{E3FD8366-ECEC-4120-9CEC-B23342D54BB0}"/>
    <cellStyle name="Comma 3 3 3 9 4" xfId="52345" xr:uid="{D8BE0392-760C-44B0-B915-DDE5BC3E05D8}"/>
    <cellStyle name="Comma 3 3 3 9 5" xfId="55361" xr:uid="{9C5266A7-563D-4629-997C-19260FA42D5E}"/>
    <cellStyle name="Comma 3 3 3 9 6" xfId="19331" xr:uid="{A698ED39-8208-4416-AFDB-7D28E581CEEA}"/>
    <cellStyle name="Comma 3 3 4" xfId="11112" xr:uid="{DFCD2D05-3DAC-432E-9152-9D8BA570DB5B}"/>
    <cellStyle name="Comma 3 3 4 2" xfId="23747" xr:uid="{6E611245-FBFD-4D91-981F-ED6B08059DDC}"/>
    <cellStyle name="Comma 3 3 4 3" xfId="48630" xr:uid="{2A0961AF-738E-4687-98BF-97EDBF150428}"/>
    <cellStyle name="Comma 3 3 4 4" xfId="49538" xr:uid="{BCDE7195-5CBD-42C1-923A-598089813C56}"/>
    <cellStyle name="Comma 3 3 5" xfId="11192" xr:uid="{256FC43C-32AD-42FA-99A7-C192B2270913}"/>
    <cellStyle name="Comma 3 3 5 2" xfId="21688" xr:uid="{4C6436F3-F4FA-422B-B084-77D1012DF2B6}"/>
    <cellStyle name="Comma 3 3 5 2 2" xfId="32694" xr:uid="{46333BDC-03D0-4871-9F21-4CFA692EF596}"/>
    <cellStyle name="Comma 3 3 5 3" xfId="23748" xr:uid="{36842305-2662-49BF-AC6D-A65284A22E41}"/>
    <cellStyle name="Comma 3 3 5 4" xfId="48261" xr:uid="{6893E750-3913-40D0-A442-FBEA1395EA7C}"/>
    <cellStyle name="Comma 3 3 5 5" xfId="48631" xr:uid="{7A293959-53A6-4882-92BC-104425526E3A}"/>
    <cellStyle name="Comma 3 3 5 6" xfId="49539" xr:uid="{B57615E7-8677-4BE8-986C-C79AA8D0D793}"/>
    <cellStyle name="Comma 3 3 5 7" xfId="50705" xr:uid="{C39EE896-E6AF-4F62-AC9D-B596BA9ECA41}"/>
    <cellStyle name="Comma 3 3 5 8" xfId="53721" xr:uid="{BB9611B1-A5B8-4641-A0B9-C1DDF65A6933}"/>
    <cellStyle name="Comma 3 3 5 9" xfId="18052" xr:uid="{0C935752-2376-4595-BA82-3A89F8780843}"/>
    <cellStyle name="Comma 3 3 6" xfId="19485" xr:uid="{20A56775-E6ED-4ED0-A51A-E6CA5AC7DE70}"/>
    <cellStyle name="Comma 3 3 7" xfId="23743" xr:uid="{46D3B892-8321-4AD1-BCF3-258CDA314819}"/>
    <cellStyle name="Comma 3 3 8" xfId="48626" xr:uid="{55A48823-B91D-43EA-A12F-7252F8E004B6}"/>
    <cellStyle name="Comma 3 3 9" xfId="49534" xr:uid="{7C8BFF26-FFD5-44B0-881E-01F228DC722E}"/>
    <cellStyle name="Comma 3 4" xfId="4539" xr:uid="{71A932D2-D02C-488C-BB3C-BCD87EF333E9}"/>
    <cellStyle name="Comma 3 4 10" xfId="14991" xr:uid="{ED2A4FBC-9561-452F-A573-5D1D6EB0D787}"/>
    <cellStyle name="Comma 3 4 10 2" xfId="22531" xr:uid="{E1737E73-179B-4AC2-97F5-C487036F9C01}"/>
    <cellStyle name="Comma 3 4 10 3" xfId="47245" xr:uid="{F5CBF516-FAF7-420A-8E76-B4D6E396F04B}"/>
    <cellStyle name="Comma 3 4 10 4" xfId="51869" xr:uid="{40B9539C-161C-436A-92B1-EC8120AAA55C}"/>
    <cellStyle name="Comma 3 4 10 5" xfId="54885" xr:uid="{C458F09E-CF4B-4A5A-9953-B03C7120DC28}"/>
    <cellStyle name="Comma 3 4 11" xfId="15478" xr:uid="{9C3B7B86-88CC-4442-8A22-2C0FABE52A41}"/>
    <cellStyle name="Comma 3 4 11 2" xfId="23008" xr:uid="{AEA62A68-97F5-4D53-92E9-5CC5A3A0B95F}"/>
    <cellStyle name="Comma 3 4 11 3" xfId="46925" xr:uid="{F2B9DC96-9904-4B12-984D-1A9BAC4808FF}"/>
    <cellStyle name="Comma 3 4 11 4" xfId="52346" xr:uid="{030F6FC9-5542-4A2F-BEF6-C56DD5F1F2AD}"/>
    <cellStyle name="Comma 3 4 11 5" xfId="55362" xr:uid="{7D00AA2C-D034-45A9-8B8C-FD5F4FC04AE5}"/>
    <cellStyle name="Comma 3 4 12" xfId="11583" xr:uid="{622F648B-AF3B-4146-9A29-70F6FA94756B}"/>
    <cellStyle name="Comma 3 4 12 2" xfId="21707" xr:uid="{EB87296F-A595-4FF4-8A63-03348BF0CC6A}"/>
    <cellStyle name="Comma 3 4 12 3" xfId="47460" xr:uid="{B01BC2D8-7C45-43F8-B273-7C66B3B8A593}"/>
    <cellStyle name="Comma 3 4 12 4" xfId="50730" xr:uid="{60BFEB3C-BC3D-4A99-9BA8-876D36C1D510}"/>
    <cellStyle name="Comma 3 4 12 5" xfId="53746" xr:uid="{FC8B1F32-DEC0-49E5-80A4-EBAD2BD064D5}"/>
    <cellStyle name="Comma 3 4 13" xfId="23749" xr:uid="{D3A9EAA0-99AD-4BAC-8040-95CFDE185E85}"/>
    <cellStyle name="Comma 3 4 14" xfId="48632" xr:uid="{FB648E90-5919-4003-B0A9-29D9570C3FAD}"/>
    <cellStyle name="Comma 3 4 15" xfId="49540" xr:uid="{0A9B0C9A-C632-49FF-BE0D-FA7A448E924A}"/>
    <cellStyle name="Comma 3 4 16" xfId="49809" xr:uid="{57127994-A601-4D83-A9A2-9A3E66323EEE}"/>
    <cellStyle name="Comma 3 4 17" xfId="52824" xr:uid="{F1FCE6CA-18CB-44B9-B617-9694D1C41B9A}"/>
    <cellStyle name="Comma 3 4 18" xfId="8932" xr:uid="{1FA12F2A-AC65-4DA7-8143-36D2E28ADE59}"/>
    <cellStyle name="Comma 3 4 2" xfId="8933" xr:uid="{763287C9-5089-44C3-97A8-317092DD2B7D}"/>
    <cellStyle name="Comma 3 4 2 10" xfId="12315" xr:uid="{ED489027-2A7E-4F81-B945-E49D4A0679EB}"/>
    <cellStyle name="Comma 3 4 2 10 2" xfId="48436" xr:uid="{21ACA085-A838-41AE-B7FF-9A4C2F1F5999}"/>
    <cellStyle name="Comma 3 4 2 10 3" xfId="50944" xr:uid="{CB4C31AE-2044-4BEC-8925-845C01DD1071}"/>
    <cellStyle name="Comma 3 4 2 10 4" xfId="53960" xr:uid="{223D77EC-8BCE-4CEE-BE7F-E4294A562449}"/>
    <cellStyle name="Comma 3 4 2 11" xfId="23750" xr:uid="{9DF17000-BC21-4F75-B0E4-84A13C44C4A9}"/>
    <cellStyle name="Comma 3 4 2 12" xfId="48633" xr:uid="{47F55BB3-5476-4A71-A535-AD631402A134}"/>
    <cellStyle name="Comma 3 4 2 13" xfId="49541" xr:uid="{D44C9EDA-6FBE-48E4-BB64-408E8B05968C}"/>
    <cellStyle name="Comma 3 4 2 14" xfId="49810" xr:uid="{57B2AA74-93B9-4761-BCC5-0D9CF74F596B}"/>
    <cellStyle name="Comma 3 4 2 15" xfId="52825" xr:uid="{088E5F18-4D56-4A6A-A769-C0982E6D24DA}"/>
    <cellStyle name="Comma 3 4 2 2" xfId="10020" xr:uid="{22C206C7-3E86-4218-AA9F-358F8B2A9D1D}"/>
    <cellStyle name="Comma 3 4 2 2 2" xfId="10328" xr:uid="{2BFA08FD-3C20-4F44-BA96-7C1EADA7E1B4}"/>
    <cellStyle name="Comma 3 4 2 2 2 2" xfId="14773" xr:uid="{77EAFF02-B3E5-42E7-BC87-711187C05A45}"/>
    <cellStyle name="Comma 3 4 2 2 2 2 2" xfId="22320" xr:uid="{B583A9FA-ED78-4945-9046-1F4455352D76}"/>
    <cellStyle name="Comma 3 4 2 2 2 2 3" xfId="48408" xr:uid="{CAD28C93-1020-4E15-A8A7-8F20C139EB76}"/>
    <cellStyle name="Comma 3 4 2 2 2 2 4" xfId="51658" xr:uid="{14DABCB8-33C9-4B87-ABCF-60BD2243F058}"/>
    <cellStyle name="Comma 3 4 2 2 2 2 5" xfId="54674" xr:uid="{0A3E34AB-5983-4C19-841C-C5320EA746F5}"/>
    <cellStyle name="Comma 3 4 2 2 2 3" xfId="15258" xr:uid="{1E7CA7EA-1ED3-4F0B-B5A3-8945B90DE5C1}"/>
    <cellStyle name="Comma 3 4 2 2 2 3 2" xfId="22797" xr:uid="{70F83976-AD8D-43AC-861F-41EEA0C7D1E2}"/>
    <cellStyle name="Comma 3 4 2 2 2 3 3" xfId="47435" xr:uid="{36693BDB-F706-4B60-89C1-14914BE94970}"/>
    <cellStyle name="Comma 3 4 2 2 2 3 4" xfId="52135" xr:uid="{AFCC18FC-60AD-4223-A8A6-A648EEF9ACD2}"/>
    <cellStyle name="Comma 3 4 2 2 2 3 5" xfId="55151" xr:uid="{000AA5B4-865F-4868-A089-1A22EED26944}"/>
    <cellStyle name="Comma 3 4 2 2 2 4" xfId="15745" xr:uid="{E89B912C-2584-4863-9F3A-A8F4132C4C34}"/>
    <cellStyle name="Comma 3 4 2 2 2 4 2" xfId="23274" xr:uid="{38899316-593A-413B-8E05-ED241485478E}"/>
    <cellStyle name="Comma 3 4 2 2 2 4 3" xfId="46701" xr:uid="{16A32DAD-F199-4C29-85D5-4BE9CDAE29C8}"/>
    <cellStyle name="Comma 3 4 2 2 2 4 4" xfId="52612" xr:uid="{542AD63B-9400-49BF-85DD-89F2DA2366C1}"/>
    <cellStyle name="Comma 3 4 2 2 2 4 5" xfId="55628" xr:uid="{0452861F-9C68-48B9-BD87-62AC7BD53C2C}"/>
    <cellStyle name="Comma 3 4 2 2 2 5" xfId="12781" xr:uid="{54A2CFBB-2205-4EE1-ADDE-D1AFB8E55A6E}"/>
    <cellStyle name="Comma 3 4 2 2 2 5 2" xfId="48397" xr:uid="{C54B33B3-F6D9-4644-80E9-211D52A95F89}"/>
    <cellStyle name="Comma 3 4 2 2 2 5 3" xfId="51181" xr:uid="{38DDCDA8-68C8-4209-AF23-0EE74E565F4E}"/>
    <cellStyle name="Comma 3 4 2 2 2 5 4" xfId="54197" xr:uid="{C7A34ADB-AE74-420F-A4A5-97F122D8A6F6}"/>
    <cellStyle name="Comma 3 4 2 2 2 6" xfId="47952" xr:uid="{00F7ED25-4A61-4D4A-B86D-3512D6CF3F80}"/>
    <cellStyle name="Comma 3 4 2 2 2 7" xfId="50075" xr:uid="{41B58AEC-B1F0-4125-8D39-09F27EA33863}"/>
    <cellStyle name="Comma 3 4 2 2 2 8" xfId="53091" xr:uid="{EF793822-58F6-4498-B359-9CFFC6B9AB1F}"/>
    <cellStyle name="Comma 3 4 2 2 3" xfId="14561" xr:uid="{8DFF658C-56B3-4944-9EAD-C5CB41EDD714}"/>
    <cellStyle name="Comma 3 4 2 2 3 2" xfId="22108" xr:uid="{022C4634-2258-4755-9ABA-150F792A7DAA}"/>
    <cellStyle name="Comma 3 4 2 2 3 3" xfId="46835" xr:uid="{15110B1E-5A51-4616-B6AB-D921C421BF2C}"/>
    <cellStyle name="Comma 3 4 2 2 3 4" xfId="51446" xr:uid="{AD08008D-9BFB-4058-94A1-ED6D9067D983}"/>
    <cellStyle name="Comma 3 4 2 2 3 5" xfId="54462" xr:uid="{A64FFAEC-3457-4FC2-8196-0FCBF88A6958}"/>
    <cellStyle name="Comma 3 4 2 2 4" xfId="15045" xr:uid="{7DAC3872-1050-44CC-B33A-E2843F475F6A}"/>
    <cellStyle name="Comma 3 4 2 2 4 2" xfId="22585" xr:uid="{3CBAE5A8-AE99-473F-9D89-9F6CCED6539C}"/>
    <cellStyle name="Comma 3 4 2 2 4 3" xfId="46471" xr:uid="{2B0D166D-401A-40CB-B06D-8C8A87A63800}"/>
    <cellStyle name="Comma 3 4 2 2 4 4" xfId="51923" xr:uid="{1BB49252-5F71-414C-9C55-3CC84E475508}"/>
    <cellStyle name="Comma 3 4 2 2 4 5" xfId="54939" xr:uid="{E1CAC50D-94E5-4437-9D7E-1E22208B385C}"/>
    <cellStyle name="Comma 3 4 2 2 5" xfId="15532" xr:uid="{092B7C0F-7EFD-49E8-8492-397D28025518}"/>
    <cellStyle name="Comma 3 4 2 2 5 2" xfId="23062" xr:uid="{A537EF94-B5A2-45B6-8690-4319C2488515}"/>
    <cellStyle name="Comma 3 4 2 2 5 3" xfId="47725" xr:uid="{56A69840-C500-4631-9583-BFFED830B74C}"/>
    <cellStyle name="Comma 3 4 2 2 5 4" xfId="52400" xr:uid="{8F65917C-F532-4942-AA57-FDFB9179FD92}"/>
    <cellStyle name="Comma 3 4 2 2 5 5" xfId="55416" xr:uid="{E26D1D1A-974A-497A-BA02-F59EE7A4BD55}"/>
    <cellStyle name="Comma 3 4 2 2 6" xfId="12480" xr:uid="{22100769-F68F-4534-8C9C-9F4674845A44}"/>
    <cellStyle name="Comma 3 4 2 2 6 2" xfId="46311" xr:uid="{04F5EEF7-EBD0-48A4-B71A-2A492E736DC4}"/>
    <cellStyle name="Comma 3 4 2 2 6 3" xfId="50969" xr:uid="{0E009CC3-DB98-42A9-A629-45DE10385FD3}"/>
    <cellStyle name="Comma 3 4 2 2 6 4" xfId="53985" xr:uid="{CE1B6A0F-2749-49DC-A9A5-A2C66643E94B}"/>
    <cellStyle name="Comma 3 4 2 2 7" xfId="48148" xr:uid="{8410D68E-D908-45E2-B2CC-FBFD3CF0D0FC}"/>
    <cellStyle name="Comma 3 4 2 2 8" xfId="49863" xr:uid="{3A6D7A21-87ED-492C-9082-1A5B3206F856}"/>
    <cellStyle name="Comma 3 4 2 2 9" xfId="52879" xr:uid="{9A9D9236-D8D6-4C15-A0F4-38D69C5B4212}"/>
    <cellStyle name="Comma 3 4 2 3" xfId="10094" xr:uid="{E3F43E40-7BE2-46B4-90C2-490E5692FE10}"/>
    <cellStyle name="Comma 3 4 2 3 2" xfId="10407" xr:uid="{00A1894E-BCF6-43F4-9632-36F69051AA9A}"/>
    <cellStyle name="Comma 3 4 2 3 2 2" xfId="14826" xr:uid="{D7FABABA-EF5F-41EE-9876-278F45B33253}"/>
    <cellStyle name="Comma 3 4 2 3 2 2 2" xfId="22373" xr:uid="{005A0D2D-679E-4504-B2AA-1A5B4B7853C1}"/>
    <cellStyle name="Comma 3 4 2 3 2 2 3" xfId="46440" xr:uid="{DE675E33-E446-4941-865E-FE2683B4E4E4}"/>
    <cellStyle name="Comma 3 4 2 3 2 2 4" xfId="51711" xr:uid="{1A42DA7A-9D15-4F8D-8857-584DB81DC6E8}"/>
    <cellStyle name="Comma 3 4 2 3 2 2 5" xfId="54727" xr:uid="{B6282C08-4387-4085-BAB2-08C89B7FB1AE}"/>
    <cellStyle name="Comma 3 4 2 3 2 3" xfId="15311" xr:uid="{FAAA0338-5E0D-4C90-A901-2A56D15FC102}"/>
    <cellStyle name="Comma 3 4 2 3 2 3 2" xfId="22850" xr:uid="{DBDB2B93-C9D3-441E-840A-2549AEFFB5E8}"/>
    <cellStyle name="Comma 3 4 2 3 2 3 3" xfId="48073" xr:uid="{FDC7FF67-8B07-45A5-921B-6CB12B7C74E4}"/>
    <cellStyle name="Comma 3 4 2 3 2 3 4" xfId="52188" xr:uid="{1066BBB8-343A-4E1A-86C7-8F2A806100AD}"/>
    <cellStyle name="Comma 3 4 2 3 2 3 5" xfId="55204" xr:uid="{F33103DF-462F-4813-8E91-467B162FC51F}"/>
    <cellStyle name="Comma 3 4 2 3 2 4" xfId="15798" xr:uid="{BB549376-ADD3-4AEC-969F-BEDCB1897F2E}"/>
    <cellStyle name="Comma 3 4 2 3 2 4 2" xfId="23327" xr:uid="{4AB43199-5B7C-45A5-9234-5074F1529E25}"/>
    <cellStyle name="Comma 3 4 2 3 2 4 3" xfId="48230" xr:uid="{64B1EEB2-2D02-4F4D-96CB-6FA9889F7EB2}"/>
    <cellStyle name="Comma 3 4 2 3 2 4 4" xfId="52665" xr:uid="{917119F2-AFAF-459F-AF0C-2A1C6BE8511A}"/>
    <cellStyle name="Comma 3 4 2 3 2 4 5" xfId="55681" xr:uid="{E9464B4B-F236-4261-B389-CFFE0F687684}"/>
    <cellStyle name="Comma 3 4 2 3 2 5" xfId="12860" xr:uid="{2F0C3088-39E9-4750-9FC6-07B3973E4955}"/>
    <cellStyle name="Comma 3 4 2 3 2 5 2" xfId="47511" xr:uid="{BB565BDD-1438-424A-BC4B-58BAAE663B34}"/>
    <cellStyle name="Comma 3 4 2 3 2 5 3" xfId="51234" xr:uid="{A616629A-AFD7-4AD4-9D7E-B8C6343DD9FB}"/>
    <cellStyle name="Comma 3 4 2 3 2 5 4" xfId="54250" xr:uid="{43E4964D-836B-4972-A418-4D09DC774E02}"/>
    <cellStyle name="Comma 3 4 2 3 2 6" xfId="47287" xr:uid="{43BC7F5A-EC16-4EB0-9418-CA3E47B4573B}"/>
    <cellStyle name="Comma 3 4 2 3 2 7" xfId="50128" xr:uid="{6A25B6A9-A5FF-40F2-957A-8D604D19A91D}"/>
    <cellStyle name="Comma 3 4 2 3 2 8" xfId="53144" xr:uid="{A93C4B74-1212-4E30-B732-37597EED8734}"/>
    <cellStyle name="Comma 3 4 2 3 3" xfId="14614" xr:uid="{E3EC9CF1-47AF-4062-8182-429E77B8FB29}"/>
    <cellStyle name="Comma 3 4 2 3 3 2" xfId="22161" xr:uid="{A781ABB8-A824-47F9-A924-CA0C3351A02D}"/>
    <cellStyle name="Comma 3 4 2 3 3 3" xfId="35909" xr:uid="{2F478657-22EF-4153-A6F9-6F60B2F47511}"/>
    <cellStyle name="Comma 3 4 2 3 3 4" xfId="51499" xr:uid="{D5BF9141-D9EE-42D6-A9CF-CDE8563DD769}"/>
    <cellStyle name="Comma 3 4 2 3 3 5" xfId="54515" xr:uid="{2DC4D28A-E4D8-416A-84B0-8198D66BD78D}"/>
    <cellStyle name="Comma 3 4 2 3 4" xfId="15099" xr:uid="{6CF69834-4755-4EA6-A4C7-6303742772B9}"/>
    <cellStyle name="Comma 3 4 2 3 4 2" xfId="22638" xr:uid="{2EDC0881-28CF-4551-B7B4-48F9D57B0B16}"/>
    <cellStyle name="Comma 3 4 2 3 4 3" xfId="48216" xr:uid="{74783FCF-98F8-404F-AB5C-DCEEBDD890E1}"/>
    <cellStyle name="Comma 3 4 2 3 4 4" xfId="51976" xr:uid="{2B2438DB-0910-49D3-B74F-EB6B1DC143A0}"/>
    <cellStyle name="Comma 3 4 2 3 4 5" xfId="54992" xr:uid="{BDF0D875-44CC-46D1-A77C-9DF848224421}"/>
    <cellStyle name="Comma 3 4 2 3 5" xfId="15586" xr:uid="{9422CEBA-AAB6-4895-BB0A-31A2214CD982}"/>
    <cellStyle name="Comma 3 4 2 3 5 2" xfId="23115" xr:uid="{8D7D5DA0-8EBB-4B20-927E-3FBEA4A069F0}"/>
    <cellStyle name="Comma 3 4 2 3 5 3" xfId="48518" xr:uid="{5F8A0403-4716-4457-AE58-86AB2399655C}"/>
    <cellStyle name="Comma 3 4 2 3 5 4" xfId="52453" xr:uid="{09E57278-93B5-4871-AEB4-AEA8C72928B2}"/>
    <cellStyle name="Comma 3 4 2 3 5 5" xfId="55469" xr:uid="{CC017268-4D31-42AA-AC7A-F38FFB4161AF}"/>
    <cellStyle name="Comma 3 4 2 3 6" xfId="12551" xr:uid="{12BE0BB4-E11D-4FB2-9FC2-033C3044AE75}"/>
    <cellStyle name="Comma 3 4 2 3 6 2" xfId="47987" xr:uid="{C350E50D-B24D-4427-8E1D-D8D58007C22D}"/>
    <cellStyle name="Comma 3 4 2 3 6 3" xfId="51022" xr:uid="{04082AD6-B32B-4A64-8B48-0A045BBED257}"/>
    <cellStyle name="Comma 3 4 2 3 6 4" xfId="54038" xr:uid="{40860471-8E5B-4052-A59F-3E0F20F89E3E}"/>
    <cellStyle name="Comma 3 4 2 3 7" xfId="48448" xr:uid="{2D8D9ABF-1644-4B3C-918D-B0D2DF464661}"/>
    <cellStyle name="Comma 3 4 2 3 8" xfId="49916" xr:uid="{F4F45E2C-C11C-4492-A082-63A24E3C65C9}"/>
    <cellStyle name="Comma 3 4 2 3 9" xfId="52932" xr:uid="{1D68E62C-2082-4792-AB7B-1FF93CE1B4BD}"/>
    <cellStyle name="Comma 3 4 2 4" xfId="10173" xr:uid="{B988B487-4C71-4B24-AE35-DB78DACC9F10}"/>
    <cellStyle name="Comma 3 4 2 4 2" xfId="10487" xr:uid="{1B853E01-E080-467C-88C0-A050949F5FDB}"/>
    <cellStyle name="Comma 3 4 2 4 2 2" xfId="14879" xr:uid="{F0B731D9-C96A-4E11-A131-0E2E372CC6D0}"/>
    <cellStyle name="Comma 3 4 2 4 2 2 2" xfId="22426" xr:uid="{FB2DEFE3-789E-447C-9C04-37B8AA804E24}"/>
    <cellStyle name="Comma 3 4 2 4 2 2 3" xfId="47685" xr:uid="{92B94288-C5BD-4924-85FA-F14A7C2F6EF8}"/>
    <cellStyle name="Comma 3 4 2 4 2 2 4" xfId="51764" xr:uid="{C52A2B03-29D9-424A-9464-406879B62D97}"/>
    <cellStyle name="Comma 3 4 2 4 2 2 5" xfId="54780" xr:uid="{B6134BD0-F4E4-4886-9318-31879E9E36F9}"/>
    <cellStyle name="Comma 3 4 2 4 2 3" xfId="15364" xr:uid="{1E6FD6D4-A70E-4E69-917E-D77413500FD2}"/>
    <cellStyle name="Comma 3 4 2 4 2 3 2" xfId="22903" xr:uid="{72C1DBD5-6214-4BC0-A5B8-8365AFDE1B03}"/>
    <cellStyle name="Comma 3 4 2 4 2 3 3" xfId="24442" xr:uid="{DC442453-F5B5-413E-9C43-4FE49F06601A}"/>
    <cellStyle name="Comma 3 4 2 4 2 3 4" xfId="52241" xr:uid="{43BF755D-FAE7-4688-8D3D-A09B7C75E8CF}"/>
    <cellStyle name="Comma 3 4 2 4 2 3 5" xfId="55257" xr:uid="{3BABC451-7370-4FD7-9486-8BD1C8230499}"/>
    <cellStyle name="Comma 3 4 2 4 2 4" xfId="15851" xr:uid="{F2107B36-FC40-4031-8E43-53F82F6C45C3}"/>
    <cellStyle name="Comma 3 4 2 4 2 4 2" xfId="23380" xr:uid="{B8316DA2-7162-4D35-9303-6F3DCE9A01C7}"/>
    <cellStyle name="Comma 3 4 2 4 2 4 3" xfId="48426" xr:uid="{C9DF58C5-FE4D-4A9E-8676-2F0F8B6C5252}"/>
    <cellStyle name="Comma 3 4 2 4 2 4 4" xfId="52718" xr:uid="{64913401-596B-45E5-B322-3643E41AF489}"/>
    <cellStyle name="Comma 3 4 2 4 2 4 5" xfId="55734" xr:uid="{B5B9F3DA-23CA-410E-A3E5-D961E8340373}"/>
    <cellStyle name="Comma 3 4 2 4 2 5" xfId="12940" xr:uid="{30BFD096-A5CD-442B-B5B5-5675B1C74D27}"/>
    <cellStyle name="Comma 3 4 2 4 2 5 2" xfId="47322" xr:uid="{E15DE384-35AD-4652-8418-D402DDCE12B3}"/>
    <cellStyle name="Comma 3 4 2 4 2 5 3" xfId="51287" xr:uid="{C0E0C46E-5959-4B5C-85CE-CD9D6BB85D9C}"/>
    <cellStyle name="Comma 3 4 2 4 2 5 4" xfId="54303" xr:uid="{D1642799-CE07-41EE-88E1-EEF0E735708D}"/>
    <cellStyle name="Comma 3 4 2 4 2 6" xfId="47884" xr:uid="{7088CB32-C4F7-4890-8608-1ADFA0E51B0E}"/>
    <cellStyle name="Comma 3 4 2 4 2 7" xfId="50181" xr:uid="{33E1B00B-06BA-4B85-BA02-B4257D823EE7}"/>
    <cellStyle name="Comma 3 4 2 4 2 8" xfId="53197" xr:uid="{DC9F8712-2D87-46A0-8E66-C77775557E17}"/>
    <cellStyle name="Comma 3 4 2 4 3" xfId="14667" xr:uid="{C8EC1A0F-9F20-47FF-B617-A3D662953C3C}"/>
    <cellStyle name="Comma 3 4 2 4 3 2" xfId="22214" xr:uid="{0DFFA565-A118-408B-8B00-B8A8DB6B7142}"/>
    <cellStyle name="Comma 3 4 2 4 3 3" xfId="24969" xr:uid="{50A8FE8A-661D-4FBD-913D-6410C8F4A4C4}"/>
    <cellStyle name="Comma 3 4 2 4 3 4" xfId="51552" xr:uid="{6131EF78-6754-4C59-9F8A-E7785FA7E3BF}"/>
    <cellStyle name="Comma 3 4 2 4 3 5" xfId="54568" xr:uid="{4FDDD19A-E374-4697-A196-BB99D0578C38}"/>
    <cellStyle name="Comma 3 4 2 4 4" xfId="15152" xr:uid="{395FF5B8-BB7F-4FA1-BFF9-3744E2A6A200}"/>
    <cellStyle name="Comma 3 4 2 4 4 2" xfId="22691" xr:uid="{A03AEB87-E0C8-4EB3-AE64-CC91A5C2BD0E}"/>
    <cellStyle name="Comma 3 4 2 4 4 3" xfId="47000" xr:uid="{0CB87BD3-3A7F-482F-9F66-0E35CB9080F5}"/>
    <cellStyle name="Comma 3 4 2 4 4 4" xfId="52029" xr:uid="{4BE751E7-7490-4224-87AC-D0CA28180CBE}"/>
    <cellStyle name="Comma 3 4 2 4 4 5" xfId="55045" xr:uid="{9484023F-C030-4B70-B097-718A396412D9}"/>
    <cellStyle name="Comma 3 4 2 4 5" xfId="15639" xr:uid="{9188268A-EDFD-43A7-A745-28DD7C9C5FD0}"/>
    <cellStyle name="Comma 3 4 2 4 5 2" xfId="23168" xr:uid="{B655AF50-BCE0-401B-B38B-7EB53B9C8D44}"/>
    <cellStyle name="Comma 3 4 2 4 5 3" xfId="46946" xr:uid="{574A5DAD-2122-43F4-966E-488C64B19A71}"/>
    <cellStyle name="Comma 3 4 2 4 5 4" xfId="52506" xr:uid="{07AAA794-6CDF-46C6-A542-92E27A41F97E}"/>
    <cellStyle name="Comma 3 4 2 4 5 5" xfId="55522" xr:uid="{EA1D5CB7-0383-4823-8994-D35DC7B6081D}"/>
    <cellStyle name="Comma 3 4 2 4 6" xfId="12627" xr:uid="{A075063C-2878-45FA-8FF7-FFE648053552}"/>
    <cellStyle name="Comma 3 4 2 4 6 2" xfId="24218" xr:uid="{EED03E5F-ADF9-4AD2-8205-4857364C5CC0}"/>
    <cellStyle name="Comma 3 4 2 4 6 3" xfId="51075" xr:uid="{D58EFAC4-9DBF-47B0-81AE-933FDC7BCE38}"/>
    <cellStyle name="Comma 3 4 2 4 6 4" xfId="54091" xr:uid="{3E20C538-F0AB-4A29-BFA5-97CDC5AF27E1}"/>
    <cellStyle name="Comma 3 4 2 4 7" xfId="46618" xr:uid="{CFF8252C-8688-4DAA-851A-325928E0A53F}"/>
    <cellStyle name="Comma 3 4 2 4 8" xfId="49969" xr:uid="{182050B6-47A8-4AAE-B062-DD4D6093BBA7}"/>
    <cellStyle name="Comma 3 4 2 4 9" xfId="52985" xr:uid="{C3EA2787-708D-4CA4-B2B1-A937FC29C4B0}"/>
    <cellStyle name="Comma 3 4 2 5" xfId="10253" xr:uid="{003E0F50-FBF6-4108-9608-03D8429D153D}"/>
    <cellStyle name="Comma 3 4 2 5 2" xfId="14720" xr:uid="{0C17E6A7-9F04-424B-BD53-2D605A16F193}"/>
    <cellStyle name="Comma 3 4 2 5 2 2" xfId="22267" xr:uid="{7F208E57-EEBF-4A96-98E8-84B9DFFC5667}"/>
    <cellStyle name="Comma 3 4 2 5 2 3" xfId="47928" xr:uid="{21BCE69C-D6F0-44E4-B24D-24EECC4F08E0}"/>
    <cellStyle name="Comma 3 4 2 5 2 4" xfId="51605" xr:uid="{B2E0AB0A-6E97-4F7D-976E-100064A4F01F}"/>
    <cellStyle name="Comma 3 4 2 5 2 5" xfId="54621" xr:uid="{054BD65A-8474-465A-8E2F-70D33E2D1781}"/>
    <cellStyle name="Comma 3 4 2 5 3" xfId="15205" xr:uid="{F2F22ABB-F7DD-4243-9964-0B7D75DE04D7}"/>
    <cellStyle name="Comma 3 4 2 5 3 2" xfId="22744" xr:uid="{36E635D3-3EEF-4358-8E09-0E319F5810CE}"/>
    <cellStyle name="Comma 3 4 2 5 3 3" xfId="47188" xr:uid="{0651E763-EB47-494C-B0C8-F66E8E8634BC}"/>
    <cellStyle name="Comma 3 4 2 5 3 4" xfId="52082" xr:uid="{67B79392-AE86-4192-8961-2318F99C0E9F}"/>
    <cellStyle name="Comma 3 4 2 5 3 5" xfId="55098" xr:uid="{246BC0A7-8031-46D6-9E4C-6011436F7689}"/>
    <cellStyle name="Comma 3 4 2 5 4" xfId="15692" xr:uid="{5E5106EA-7752-41A8-A411-29B59E83A506}"/>
    <cellStyle name="Comma 3 4 2 5 4 2" xfId="23221" xr:uid="{75D0DAFB-2626-4669-9E99-B4BBAADFB98A}"/>
    <cellStyle name="Comma 3 4 2 5 4 3" xfId="48228" xr:uid="{9A49520A-9D36-4BA5-BD9D-9FCE9F280A44}"/>
    <cellStyle name="Comma 3 4 2 5 4 4" xfId="52559" xr:uid="{78CA92C0-4FEF-43BD-9487-E2C41A87EAED}"/>
    <cellStyle name="Comma 3 4 2 5 4 5" xfId="55575" xr:uid="{5898402B-B8FD-46D7-8FF5-2E9E87928ADC}"/>
    <cellStyle name="Comma 3 4 2 5 5" xfId="12706" xr:uid="{45B44248-4623-4B2A-A99F-D32E13613F59}"/>
    <cellStyle name="Comma 3 4 2 5 5 2" xfId="37117" xr:uid="{3EB81B4E-8C97-4AA6-B916-E64BC85970EF}"/>
    <cellStyle name="Comma 3 4 2 5 5 3" xfId="51128" xr:uid="{C427FA1A-BFBE-4EE5-B735-9B3ED4428784}"/>
    <cellStyle name="Comma 3 4 2 5 5 4" xfId="54144" xr:uid="{66386A7E-50C0-40B7-81F1-4E1827DE7E47}"/>
    <cellStyle name="Comma 3 4 2 5 6" xfId="47652" xr:uid="{98C17139-D122-48FA-B306-A550E7502259}"/>
    <cellStyle name="Comma 3 4 2 5 7" xfId="50022" xr:uid="{2DE2183F-18A4-4D78-A36F-263525B80EE9}"/>
    <cellStyle name="Comma 3 4 2 5 8" xfId="53038" xr:uid="{983C5CD4-88B9-42C5-BA8B-AD6038ABBE64}"/>
    <cellStyle name="Comma 3 4 2 6" xfId="10567" xr:uid="{650074EA-C58E-47D2-9FED-4D7B2CB198C3}"/>
    <cellStyle name="Comma 3 4 2 6 2" xfId="14932" xr:uid="{E1406AE9-A11F-4BD5-A5E6-2DCB7C6CB4B5}"/>
    <cellStyle name="Comma 3 4 2 6 2 2" xfId="22479" xr:uid="{9D924A89-3A1F-4C70-87FA-BA20171E452A}"/>
    <cellStyle name="Comma 3 4 2 6 2 3" xfId="48214" xr:uid="{F70DE013-7B25-40CA-AA87-2A9012E50023}"/>
    <cellStyle name="Comma 3 4 2 6 2 4" xfId="51817" xr:uid="{0B0C35BC-71EE-4D03-941F-0884529411FC}"/>
    <cellStyle name="Comma 3 4 2 6 2 5" xfId="54833" xr:uid="{375BECD5-9710-4D35-B158-E0DA0247E2F4}"/>
    <cellStyle name="Comma 3 4 2 6 3" xfId="15417" xr:uid="{5D2BFD6E-B81E-46C2-82B9-31F468EB48EF}"/>
    <cellStyle name="Comma 3 4 2 6 3 2" xfId="22956" xr:uid="{16A47B9F-CA21-48CA-A621-B369427F5104}"/>
    <cellStyle name="Comma 3 4 2 6 3 3" xfId="24652" xr:uid="{880F425A-DF04-4C5D-AD35-04304CB8BFEB}"/>
    <cellStyle name="Comma 3 4 2 6 3 4" xfId="52294" xr:uid="{89D66B87-03E1-46D8-9401-76E96F3ED558}"/>
    <cellStyle name="Comma 3 4 2 6 3 5" xfId="55310" xr:uid="{02521796-F0F7-4439-BA12-BDF07D2FCE7D}"/>
    <cellStyle name="Comma 3 4 2 6 4" xfId="15905" xr:uid="{D80CFE34-8832-4883-B3D5-677065337DDB}"/>
    <cellStyle name="Comma 3 4 2 6 4 2" xfId="23433" xr:uid="{7E4D1C47-B1DE-4804-9521-B440E7A5A88B}"/>
    <cellStyle name="Comma 3 4 2 6 4 3" xfId="48427" xr:uid="{A30F224A-CAF5-4847-9125-D3525CA81F1B}"/>
    <cellStyle name="Comma 3 4 2 6 4 4" xfId="52771" xr:uid="{7CB83CA1-9AC1-4992-9A76-6AC32DB392C1}"/>
    <cellStyle name="Comma 3 4 2 6 4 5" xfId="55787" xr:uid="{8354946B-FF94-4FDF-9800-B2C5582D5E0B}"/>
    <cellStyle name="Comma 3 4 2 6 5" xfId="13020" xr:uid="{A39599A3-E16B-4E57-801B-80C970551F79}"/>
    <cellStyle name="Comma 3 4 2 6 5 2" xfId="47665" xr:uid="{C5DA2A40-E8C3-4694-8B12-4AED7A936394}"/>
    <cellStyle name="Comma 3 4 2 6 5 3" xfId="51340" xr:uid="{0A2E7A12-6931-4B2A-826F-1A0A163D3318}"/>
    <cellStyle name="Comma 3 4 2 6 5 4" xfId="54356" xr:uid="{1FADABBC-87DD-4F93-A9D5-AF39EFCA1C14}"/>
    <cellStyle name="Comma 3 4 2 6 6" xfId="25368" xr:uid="{9651B73A-D1EA-4F04-9F6D-12A3BBC48B1E}"/>
    <cellStyle name="Comma 3 4 2 6 7" xfId="50234" xr:uid="{9BC468ED-2D54-4CA7-A3A9-BD35F2400EAD}"/>
    <cellStyle name="Comma 3 4 2 6 8" xfId="53250" xr:uid="{33DDE9E1-541C-4538-B5D3-8D1263E536C7}"/>
    <cellStyle name="Comma 3 4 2 7" xfId="14508" xr:uid="{D63988EB-2A5B-4EE2-970D-A9EAAA95BF6B}"/>
    <cellStyle name="Comma 3 4 2 7 2" xfId="22055" xr:uid="{64B46941-54E6-470F-A117-5AA0BDF64AFF}"/>
    <cellStyle name="Comma 3 4 2 7 3" xfId="23977" xr:uid="{F748C02A-D00D-44FB-87D7-9C43804768E4}"/>
    <cellStyle name="Comma 3 4 2 7 4" xfId="51393" xr:uid="{797BB4BD-4A66-41C3-9FFD-E9B933FAC193}"/>
    <cellStyle name="Comma 3 4 2 7 5" xfId="54409" xr:uid="{09AABB1A-0110-488D-A7E1-6F1F172747C2}"/>
    <cellStyle name="Comma 3 4 2 8" xfId="14992" xr:uid="{11AE9B90-9D85-44A9-9D43-D96E253DCFFB}"/>
    <cellStyle name="Comma 3 4 2 8 2" xfId="22532" xr:uid="{10C4876E-C018-49A8-9920-759D66AD5AA0}"/>
    <cellStyle name="Comma 3 4 2 8 3" xfId="32512" xr:uid="{6B2961EC-44DD-438C-AD22-540CCA321A7C}"/>
    <cellStyle name="Comma 3 4 2 8 4" xfId="51870" xr:uid="{B0212375-C226-4CAC-B730-345D5AA1389B}"/>
    <cellStyle name="Comma 3 4 2 8 5" xfId="54886" xr:uid="{3CFD3184-FD6D-4874-81E9-2DFB980A0083}"/>
    <cellStyle name="Comma 3 4 2 9" xfId="15479" xr:uid="{7CF6A657-DB43-4C90-91DE-3499FD2A21D3}"/>
    <cellStyle name="Comma 3 4 2 9 2" xfId="23009" xr:uid="{EB3C9B89-7E65-49A6-90E1-A2B78DF5DB97}"/>
    <cellStyle name="Comma 3 4 2 9 3" xfId="32360" xr:uid="{FBEB1FF8-3DFB-4D99-8D59-B74DF2F176F7}"/>
    <cellStyle name="Comma 3 4 2 9 4" xfId="52347" xr:uid="{D2925376-6676-4C2B-9AFB-938562625A1A}"/>
    <cellStyle name="Comma 3 4 2 9 5" xfId="55363" xr:uid="{14D5754D-A5E3-437F-A59E-D26D108BF853}"/>
    <cellStyle name="Comma 3 4 3" xfId="10019" xr:uid="{40F33166-2725-4B77-9784-0BE8E48E9B9A}"/>
    <cellStyle name="Comma 3 4 3 2" xfId="10327" xr:uid="{8178249F-5511-4C31-BE2E-08AC7136EC19}"/>
    <cellStyle name="Comma 3 4 3 2 2" xfId="14772" xr:uid="{10C07447-2B96-4332-A74C-7FCEA1F7E75E}"/>
    <cellStyle name="Comma 3 4 3 2 2 2" xfId="22319" xr:uid="{BCAAE701-9EBC-4EF7-92D8-015450B65CCD}"/>
    <cellStyle name="Comma 3 4 3 2 2 3" xfId="24950" xr:uid="{A8D8E010-271F-42FC-9C30-1FE41EB77727}"/>
    <cellStyle name="Comma 3 4 3 2 2 4" xfId="51657" xr:uid="{DE64484E-8A94-4792-A439-13F7A62DDB31}"/>
    <cellStyle name="Comma 3 4 3 2 2 5" xfId="54673" xr:uid="{2F6CAEE0-1D7E-4A7A-BC32-1F308B4CBE71}"/>
    <cellStyle name="Comma 3 4 3 2 3" xfId="15257" xr:uid="{833DC5F6-F77D-4B1F-B88A-BEFBC018752A}"/>
    <cellStyle name="Comma 3 4 3 2 3 2" xfId="22796" xr:uid="{C43A9075-DF41-4050-AAFC-84479A3DFCE9}"/>
    <cellStyle name="Comma 3 4 3 2 3 3" xfId="46504" xr:uid="{E35AAE81-331B-49A3-9A27-9F5C15DA30B7}"/>
    <cellStyle name="Comma 3 4 3 2 3 4" xfId="52134" xr:uid="{A9A9F0D2-9438-4900-8709-23F9073116D5}"/>
    <cellStyle name="Comma 3 4 3 2 3 5" xfId="55150" xr:uid="{A98F4AA4-D412-40F2-925A-574523FB509F}"/>
    <cellStyle name="Comma 3 4 3 2 4" xfId="15744" xr:uid="{881FDB7D-E855-442C-AC7C-9DB3AD0A70B5}"/>
    <cellStyle name="Comma 3 4 3 2 4 2" xfId="23273" xr:uid="{FDA601EC-EBE3-4E46-AF45-7E490FC48CE9}"/>
    <cellStyle name="Comma 3 4 3 2 4 3" xfId="48555" xr:uid="{89CF6514-D9F6-4BBA-82F1-DF0B4A56FC57}"/>
    <cellStyle name="Comma 3 4 3 2 4 4" xfId="52611" xr:uid="{4CAB16E1-0AA4-42CF-A44C-0F53AD24CC32}"/>
    <cellStyle name="Comma 3 4 3 2 4 5" xfId="55627" xr:uid="{858D78CF-0958-4AC6-99A4-45406C6B92B0}"/>
    <cellStyle name="Comma 3 4 3 2 5" xfId="12780" xr:uid="{86B6E24A-4667-4B07-B54D-CD5221494F9E}"/>
    <cellStyle name="Comma 3 4 3 2 5 2" xfId="47020" xr:uid="{931D20B6-8BA6-4D85-ADF2-0E953C596E59}"/>
    <cellStyle name="Comma 3 4 3 2 5 3" xfId="51180" xr:uid="{4A24F3E2-C608-47B0-A53F-FFDD42ECFF08}"/>
    <cellStyle name="Comma 3 4 3 2 5 4" xfId="54196" xr:uid="{C535EBEF-998F-4EAE-B5EB-DF43C63C2C91}"/>
    <cellStyle name="Comma 3 4 3 2 6" xfId="47261" xr:uid="{C21346B4-9496-45B1-852D-4CF96C0D5D77}"/>
    <cellStyle name="Comma 3 4 3 2 7" xfId="50074" xr:uid="{1879CBAF-94A8-4D2F-BB07-F09D05F41BA4}"/>
    <cellStyle name="Comma 3 4 3 2 8" xfId="53090" xr:uid="{300A9D01-09F6-44E8-BA9D-5EEA5F8ED9BE}"/>
    <cellStyle name="Comma 3 4 3 3" xfId="14560" xr:uid="{FC94C98E-F3F2-4382-ACA1-E7B2A98E8EFC}"/>
    <cellStyle name="Comma 3 4 3 3 2" xfId="22107" xr:uid="{FD76690D-CB61-47D4-BE99-FF9E8289CB29}"/>
    <cellStyle name="Comma 3 4 3 3 3" xfId="48113" xr:uid="{4BF93D33-C9E5-40D3-9399-6E425A647ABA}"/>
    <cellStyle name="Comma 3 4 3 3 4" xfId="51445" xr:uid="{F1AA3A0B-7428-4FB1-BE12-8B729738F238}"/>
    <cellStyle name="Comma 3 4 3 3 5" xfId="54461" xr:uid="{B2273B46-B22E-4BAC-8529-29A27675F5BA}"/>
    <cellStyle name="Comma 3 4 3 4" xfId="15044" xr:uid="{CC9A5252-6107-44FB-A97A-AAC9B45F04DE}"/>
    <cellStyle name="Comma 3 4 3 4 2" xfId="22584" xr:uid="{2B580EAE-8978-423E-A054-1257AB6C6F12}"/>
    <cellStyle name="Comma 3 4 3 4 3" xfId="47668" xr:uid="{847502D5-DCA6-4E2F-97D8-8E385AEE0661}"/>
    <cellStyle name="Comma 3 4 3 4 4" xfId="51922" xr:uid="{9B778145-A9DE-4915-982B-82FFA9B10842}"/>
    <cellStyle name="Comma 3 4 3 4 5" xfId="54938" xr:uid="{6365DBFD-8E4A-4008-97E7-CB8BEA4F2509}"/>
    <cellStyle name="Comma 3 4 3 5" xfId="15531" xr:uid="{DA49F85A-332E-4615-AB46-2E3765CC9788}"/>
    <cellStyle name="Comma 3 4 3 5 2" xfId="23061" xr:uid="{2FE409F4-4B35-4601-B3F0-441DFA8F50EC}"/>
    <cellStyle name="Comma 3 4 3 5 3" xfId="46546" xr:uid="{637A1B0C-AEE3-4E30-A42C-A4C469A8C538}"/>
    <cellStyle name="Comma 3 4 3 5 4" xfId="52399" xr:uid="{C5140633-2D96-4ECC-9D74-2A3EC7CC68B7}"/>
    <cellStyle name="Comma 3 4 3 5 5" xfId="55415" xr:uid="{03953638-9837-406D-BAE6-7A0F198B68D4}"/>
    <cellStyle name="Comma 3 4 3 6" xfId="12479" xr:uid="{E91C110E-9F57-4D44-A062-AF9A935CD295}"/>
    <cellStyle name="Comma 3 4 3 6 2" xfId="48194" xr:uid="{3F2665A2-66D4-4C9C-A74D-62DA8219A6A4}"/>
    <cellStyle name="Comma 3 4 3 6 3" xfId="50968" xr:uid="{93964051-7681-4792-8680-5A932FC627AD}"/>
    <cellStyle name="Comma 3 4 3 6 4" xfId="53984" xr:uid="{EA753F26-695C-4508-B3C2-3B14B76E3FBD}"/>
    <cellStyle name="Comma 3 4 3 7" xfId="46025" xr:uid="{E2A419AC-F26C-432B-BE49-13FB6513FB79}"/>
    <cellStyle name="Comma 3 4 3 8" xfId="49862" xr:uid="{06B038AF-754B-4DEC-80BB-B6C9C1B1F8E0}"/>
    <cellStyle name="Comma 3 4 3 9" xfId="52878" xr:uid="{D863717D-47AA-464D-9962-65C8D600CFE7}"/>
    <cellStyle name="Comma 3 4 4" xfId="10093" xr:uid="{DDBAABA2-D921-461E-A5D8-884BAE968452}"/>
    <cellStyle name="Comma 3 4 4 2" xfId="10406" xr:uid="{EE2B9EAF-B23D-4F13-A666-F7F892C041FC}"/>
    <cellStyle name="Comma 3 4 4 2 2" xfId="14825" xr:uid="{3C5E81AB-FF2B-414F-95C0-D96A40BCE879}"/>
    <cellStyle name="Comma 3 4 4 2 2 2" xfId="22372" xr:uid="{AAC7A977-879C-4542-B124-5CAC34FBA820}"/>
    <cellStyle name="Comma 3 4 4 2 2 3" xfId="47630" xr:uid="{300DC469-B0FD-4C6D-811D-2C780F53FF73}"/>
    <cellStyle name="Comma 3 4 4 2 2 4" xfId="51710" xr:uid="{6F6FCBA5-68ED-4474-BCD6-555C4D37476B}"/>
    <cellStyle name="Comma 3 4 4 2 2 5" xfId="54726" xr:uid="{41DB8A51-9C9F-4882-96CF-38B1D44C539E}"/>
    <cellStyle name="Comma 3 4 4 2 3" xfId="15310" xr:uid="{C082ABE6-389F-43A2-B055-5A447CDD80BD}"/>
    <cellStyle name="Comma 3 4 4 2 3 2" xfId="22849" xr:uid="{7E3BF5CD-D2B4-415D-9BED-7659A77B1086}"/>
    <cellStyle name="Comma 3 4 4 2 3 3" xfId="46906" xr:uid="{FD90B646-DEDB-4D8B-8114-5A9AA7369899}"/>
    <cellStyle name="Comma 3 4 4 2 3 4" xfId="52187" xr:uid="{980C9FAE-7814-4712-AE08-343B610DB155}"/>
    <cellStyle name="Comma 3 4 4 2 3 5" xfId="55203" xr:uid="{49696943-CA76-4155-953F-7DDA11B03BD9}"/>
    <cellStyle name="Comma 3 4 4 2 4" xfId="15797" xr:uid="{EC60D4BE-BE8C-41F3-A814-35310E0A58DD}"/>
    <cellStyle name="Comma 3 4 4 2 4 2" xfId="23326" xr:uid="{4A53BD3F-A986-4681-A64B-8B3D39F4BC01}"/>
    <cellStyle name="Comma 3 4 4 2 4 3" xfId="32358" xr:uid="{1152FD04-6860-4176-A330-D19B7F992D80}"/>
    <cellStyle name="Comma 3 4 4 2 4 4" xfId="52664" xr:uid="{6A23CA87-2E7F-45C0-A387-D0DBF2B0D6C7}"/>
    <cellStyle name="Comma 3 4 4 2 4 5" xfId="55680" xr:uid="{1CA31F34-7717-4B17-8458-6319BC0DC5EA}"/>
    <cellStyle name="Comma 3 4 4 2 5" xfId="12859" xr:uid="{679C3CDA-C57B-4C50-B9F4-334F5CFC1A53}"/>
    <cellStyle name="Comma 3 4 4 2 5 2" xfId="46996" xr:uid="{3160FF7F-03F7-4DC0-83C9-46C22C36F166}"/>
    <cellStyle name="Comma 3 4 4 2 5 3" xfId="51233" xr:uid="{71CC360B-39DC-4F94-90CD-A0CC1B361F73}"/>
    <cellStyle name="Comma 3 4 4 2 5 4" xfId="54249" xr:uid="{16EECDCC-2F4D-4732-A081-045CDE8E037F}"/>
    <cellStyle name="Comma 3 4 4 2 6" xfId="46111" xr:uid="{80B46524-F193-4A13-AD70-7455021F5EAD}"/>
    <cellStyle name="Comma 3 4 4 2 7" xfId="50127" xr:uid="{D690FECC-03D8-4D21-8649-035AB6DAEF77}"/>
    <cellStyle name="Comma 3 4 4 2 8" xfId="53143" xr:uid="{88EA8A3A-4FF3-4A6F-9B13-0098A871163E}"/>
    <cellStyle name="Comma 3 4 4 3" xfId="14613" xr:uid="{2369CFA5-1830-40F6-8127-3220796E6A0E}"/>
    <cellStyle name="Comma 3 4 4 3 2" xfId="22160" xr:uid="{F4AA83A7-BB41-44B0-9FA4-4012D991CC81}"/>
    <cellStyle name="Comma 3 4 4 3 3" xfId="47177" xr:uid="{C73464C8-1891-4849-98FE-36623B6E357C}"/>
    <cellStyle name="Comma 3 4 4 3 4" xfId="51498" xr:uid="{E45C4434-7A32-465C-953A-39A40358823D}"/>
    <cellStyle name="Comma 3 4 4 3 5" xfId="54514" xr:uid="{A614D597-50D4-4207-B522-52B4ED741FA1}"/>
    <cellStyle name="Comma 3 4 4 4" xfId="15098" xr:uid="{867E9E00-F682-46FA-881A-630C0E938423}"/>
    <cellStyle name="Comma 3 4 4 4 2" xfId="22637" xr:uid="{3EE1FCE5-2045-4C73-8157-0B94F6512144}"/>
    <cellStyle name="Comma 3 4 4 4 3" xfId="48262" xr:uid="{1B3719B4-0331-4175-8CF9-BE35FE72C3D8}"/>
    <cellStyle name="Comma 3 4 4 4 4" xfId="51975" xr:uid="{D3A2A2E1-1ED8-4BED-9848-E6B578AF7905}"/>
    <cellStyle name="Comma 3 4 4 4 5" xfId="54991" xr:uid="{A43DC3DD-5E7C-4110-95FC-32CC54ACCFE9}"/>
    <cellStyle name="Comma 3 4 4 5" xfId="15585" xr:uid="{504AE22C-D267-474F-81C7-AF2738365850}"/>
    <cellStyle name="Comma 3 4 4 5 2" xfId="23114" xr:uid="{6DF4A82B-744D-46E4-B8A4-E35FF24A5EF0}"/>
    <cellStyle name="Comma 3 4 4 5 3" xfId="47498" xr:uid="{2D67084B-2552-4157-AE93-C018CF12F747}"/>
    <cellStyle name="Comma 3 4 4 5 4" xfId="52452" xr:uid="{1E28409F-ADFA-4053-B4F7-FD1C727CFD77}"/>
    <cellStyle name="Comma 3 4 4 5 5" xfId="55468" xr:uid="{186A1546-5CEE-4978-9CD9-6D1A2F7BF8FB}"/>
    <cellStyle name="Comma 3 4 4 6" xfId="12550" xr:uid="{B05F39BC-D108-417F-AD30-2DAE8E9DA3D8}"/>
    <cellStyle name="Comma 3 4 4 6 2" xfId="25080" xr:uid="{60D18A11-A25B-4DB5-9A9B-0524022C0E36}"/>
    <cellStyle name="Comma 3 4 4 6 3" xfId="51021" xr:uid="{54BE8F69-4C2F-4211-9733-4E7F2E0C70D4}"/>
    <cellStyle name="Comma 3 4 4 6 4" xfId="54037" xr:uid="{D6B99BCC-6BA0-462A-8280-D381C1B99741}"/>
    <cellStyle name="Comma 3 4 4 7" xfId="46042" xr:uid="{644AF3C4-EA87-4CE3-A2B3-2F163EDB266F}"/>
    <cellStyle name="Comma 3 4 4 8" xfId="49915" xr:uid="{338B784D-87C7-4148-9256-964D92933607}"/>
    <cellStyle name="Comma 3 4 4 9" xfId="52931" xr:uid="{C6C8E4FF-5AEF-42EB-9694-E0AC864DC95B}"/>
    <cellStyle name="Comma 3 4 5" xfId="10172" xr:uid="{E0C8E572-78DF-4BC0-B93C-9640B9640E9A}"/>
    <cellStyle name="Comma 3 4 5 2" xfId="10486" xr:uid="{C85A060F-697D-458B-A470-6B39D9446BBF}"/>
    <cellStyle name="Comma 3 4 5 2 2" xfId="14878" xr:uid="{9DB66DFE-DB21-4D0E-A138-74B6C89686AB}"/>
    <cellStyle name="Comma 3 4 5 2 2 2" xfId="22425" xr:uid="{A2FA21AD-A094-428C-9ECA-6425AD3CF72A}"/>
    <cellStyle name="Comma 3 4 5 2 2 3" xfId="46999" xr:uid="{1B714C83-A7BC-4424-81D7-8EE5CA73693F}"/>
    <cellStyle name="Comma 3 4 5 2 2 4" xfId="51763" xr:uid="{FEA40FD1-FAC0-48D7-9931-2F223A22DFDB}"/>
    <cellStyle name="Comma 3 4 5 2 2 5" xfId="54779" xr:uid="{BEA9EDC4-1E67-4C76-AC2C-CF9E2C50059A}"/>
    <cellStyle name="Comma 3 4 5 2 3" xfId="15363" xr:uid="{7F543CF1-92BB-4942-8647-51899B33692E}"/>
    <cellStyle name="Comma 3 4 5 2 3 2" xfId="22902" xr:uid="{0F14E56F-EE12-4B7A-91CD-5B5484968E12}"/>
    <cellStyle name="Comma 3 4 5 2 3 3" xfId="24902" xr:uid="{D24ECC76-5B19-49A1-841D-9299C75D2446}"/>
    <cellStyle name="Comma 3 4 5 2 3 4" xfId="52240" xr:uid="{18593D62-7B2C-49E6-B710-CD2F2816CC91}"/>
    <cellStyle name="Comma 3 4 5 2 3 5" xfId="55256" xr:uid="{AB112437-DB95-4B47-A3D4-142C32301938}"/>
    <cellStyle name="Comma 3 4 5 2 4" xfId="15850" xr:uid="{A82F2540-65F3-4460-B575-21D030C6852E}"/>
    <cellStyle name="Comma 3 4 5 2 4 2" xfId="23379" xr:uid="{6442E9E6-4406-47A1-8E23-E86E0CC1C2DD}"/>
    <cellStyle name="Comma 3 4 5 2 4 3" xfId="47139" xr:uid="{0A3AD9E7-297E-4726-A8FC-8BF2D5A7084C}"/>
    <cellStyle name="Comma 3 4 5 2 4 4" xfId="52717" xr:uid="{1A7E5ED2-A84B-4972-9B89-49AC55518A4E}"/>
    <cellStyle name="Comma 3 4 5 2 4 5" xfId="55733" xr:uid="{65170946-A79E-422C-8988-8418C05C4A68}"/>
    <cellStyle name="Comma 3 4 5 2 5" xfId="12939" xr:uid="{38377238-CF20-41DF-92A7-B502275727EA}"/>
    <cellStyle name="Comma 3 4 5 2 5 2" xfId="47174" xr:uid="{323E7FB9-3969-4816-B3D6-2F9F3C201DF5}"/>
    <cellStyle name="Comma 3 4 5 2 5 3" xfId="51286" xr:uid="{F8336177-A46C-4FE0-B53B-81171D4F2CE8}"/>
    <cellStyle name="Comma 3 4 5 2 5 4" xfId="54302" xr:uid="{DFDAD541-DA6D-4124-B0E7-826EA5A37C6E}"/>
    <cellStyle name="Comma 3 4 5 2 6" xfId="46131" xr:uid="{3E883E95-66D4-4719-A296-8402A4BE9C15}"/>
    <cellStyle name="Comma 3 4 5 2 7" xfId="50180" xr:uid="{38A7D7F5-CBF9-4721-ADA9-D0B59E147407}"/>
    <cellStyle name="Comma 3 4 5 2 8" xfId="53196" xr:uid="{1FE3842F-1454-443D-9C4B-A687E2385C81}"/>
    <cellStyle name="Comma 3 4 5 3" xfId="14666" xr:uid="{5C38BE85-0699-4435-9DF9-94A6E185946F}"/>
    <cellStyle name="Comma 3 4 5 3 2" xfId="22213" xr:uid="{84C30086-FC89-4075-8215-0CC352387538}"/>
    <cellStyle name="Comma 3 4 5 3 3" xfId="46414" xr:uid="{11461E09-1641-4986-A653-FBC11A34B738}"/>
    <cellStyle name="Comma 3 4 5 3 4" xfId="51551" xr:uid="{D59AC8F6-F11A-46F5-AAB2-C4DA1AA6B9DA}"/>
    <cellStyle name="Comma 3 4 5 3 5" xfId="54567" xr:uid="{04F620A6-43EF-4551-97B0-78CAE61354FA}"/>
    <cellStyle name="Comma 3 4 5 4" xfId="15151" xr:uid="{68090511-61D5-4707-8C16-4259DFFA9853}"/>
    <cellStyle name="Comma 3 4 5 4 2" xfId="22690" xr:uid="{AFFE96E7-78DF-443E-AC5F-DD5966966996}"/>
    <cellStyle name="Comma 3 4 5 4 3" xfId="46489" xr:uid="{57B214F1-7554-4822-BDB9-6763E46E3A9E}"/>
    <cellStyle name="Comma 3 4 5 4 4" xfId="52028" xr:uid="{3067B262-DBA2-49A0-AB08-31022DD22350}"/>
    <cellStyle name="Comma 3 4 5 4 5" xfId="55044" xr:uid="{D45F391A-077F-4C9F-9554-D599D8ADF72C}"/>
    <cellStyle name="Comma 3 4 5 5" xfId="15638" xr:uid="{FFC96304-A873-4676-B6A5-19747FC21584}"/>
    <cellStyle name="Comma 3 4 5 5 2" xfId="23167" xr:uid="{EA759152-5465-4B38-9B90-B6BE74CEA70C}"/>
    <cellStyle name="Comma 3 4 5 5 3" xfId="47254" xr:uid="{96593EE5-3E8E-4DF7-B975-642BCE17160D}"/>
    <cellStyle name="Comma 3 4 5 5 4" xfId="52505" xr:uid="{583F9580-B3AC-4002-9515-9F83A37595D2}"/>
    <cellStyle name="Comma 3 4 5 5 5" xfId="55521" xr:uid="{2E5540B9-B4D6-4E8B-9D4A-CF5C112D1EA2}"/>
    <cellStyle name="Comma 3 4 5 6" xfId="12626" xr:uid="{210EBFD5-E69A-46C2-B3B2-85DA7D188241}"/>
    <cellStyle name="Comma 3 4 5 6 2" xfId="47166" xr:uid="{32C488FC-7FD0-44AA-A6D9-A875AF52FA24}"/>
    <cellStyle name="Comma 3 4 5 6 3" xfId="51074" xr:uid="{5640A20F-1A0C-4874-BC9F-4582264E58B1}"/>
    <cellStyle name="Comma 3 4 5 6 4" xfId="54090" xr:uid="{47E0422A-8933-4D2C-8C9C-55A21E2D0256}"/>
    <cellStyle name="Comma 3 4 5 7" xfId="24543" xr:uid="{587D8717-72FB-4B8C-A06F-19289E8C308D}"/>
    <cellStyle name="Comma 3 4 5 8" xfId="49968" xr:uid="{B168C31C-0A19-4F81-B61C-F58325A27F90}"/>
    <cellStyle name="Comma 3 4 5 9" xfId="52984" xr:uid="{4C28A8E5-F773-4F64-B58B-F93B389DD26C}"/>
    <cellStyle name="Comma 3 4 6" xfId="10252" xr:uid="{C21FA648-67B7-4116-BD23-ECD391810503}"/>
    <cellStyle name="Comma 3 4 6 2" xfId="14719" xr:uid="{A3D621E9-5A79-48C5-B7B0-FEAE0570761A}"/>
    <cellStyle name="Comma 3 4 6 2 2" xfId="22266" xr:uid="{68B8F708-7F9A-46F4-8A31-146ECFF564C6}"/>
    <cellStyle name="Comma 3 4 6 2 3" xfId="48350" xr:uid="{92E736D1-DA45-4800-949A-1455CAEF8BD3}"/>
    <cellStyle name="Comma 3 4 6 2 4" xfId="51604" xr:uid="{511774D0-4371-4B58-8D2D-A9BFB77B232E}"/>
    <cellStyle name="Comma 3 4 6 2 5" xfId="54620" xr:uid="{26643803-08D0-44EC-8D72-B59756BC7D4D}"/>
    <cellStyle name="Comma 3 4 6 3" xfId="15204" xr:uid="{E08A6764-E892-4446-82D1-BBC55D2D27B8}"/>
    <cellStyle name="Comma 3 4 6 3 2" xfId="22743" xr:uid="{48606050-A9A1-4BB4-90F4-446E1DAD2280}"/>
    <cellStyle name="Comma 3 4 6 3 3" xfId="46892" xr:uid="{5EEB3372-B63C-4404-B702-B64CC78CB3E4}"/>
    <cellStyle name="Comma 3 4 6 3 4" xfId="52081" xr:uid="{572BC5ED-6158-43CD-AB0F-D7C0E6F1010C}"/>
    <cellStyle name="Comma 3 4 6 3 5" xfId="55097" xr:uid="{A6EC8CF7-141A-4759-A587-0CC21CCE380D}"/>
    <cellStyle name="Comma 3 4 6 4" xfId="15691" xr:uid="{9B8886B7-0BC2-4E99-812E-FF53E83CB6BF}"/>
    <cellStyle name="Comma 3 4 6 4 2" xfId="23220" xr:uid="{5AC5D802-1337-477B-8231-222DCD398AB8}"/>
    <cellStyle name="Comma 3 4 6 4 3" xfId="24647" xr:uid="{D4F162DC-364E-4DE5-8EAD-208AF72B7FCF}"/>
    <cellStyle name="Comma 3 4 6 4 4" xfId="52558" xr:uid="{9485919C-E74F-4AFA-8887-CA9CA3FADB4A}"/>
    <cellStyle name="Comma 3 4 6 4 5" xfId="55574" xr:uid="{4B8116ED-CA92-465D-A026-472C275B0AA8}"/>
    <cellStyle name="Comma 3 4 6 5" xfId="12705" xr:uid="{3DF6B8F1-6B42-4789-A0BF-9DACAAB3CFFA}"/>
    <cellStyle name="Comma 3 4 6 5 2" xfId="47095" xr:uid="{60EF9270-1842-4355-BF6E-DFA711B87BEF}"/>
    <cellStyle name="Comma 3 4 6 5 3" xfId="51127" xr:uid="{57E1D6A8-AB20-4223-BB2E-4323D861EB36}"/>
    <cellStyle name="Comma 3 4 6 5 4" xfId="54143" xr:uid="{FB0B18B0-3B17-453B-86EF-4FEA5F56AE86}"/>
    <cellStyle name="Comma 3 4 6 6" xfId="47853" xr:uid="{6E9F4687-C8BB-4642-969D-8AD5EA065636}"/>
    <cellStyle name="Comma 3 4 6 7" xfId="50021" xr:uid="{31C3C501-4EB8-4AEC-A9BC-5CC953CA1AD3}"/>
    <cellStyle name="Comma 3 4 6 8" xfId="53037" xr:uid="{B1881EF6-22DC-49E3-BF1C-4EE8A8070CC4}"/>
    <cellStyle name="Comma 3 4 7" xfId="10566" xr:uid="{5C3D138D-80C6-4DF5-97DE-E96D3E502251}"/>
    <cellStyle name="Comma 3 4 7 2" xfId="14931" xr:uid="{0BA3322B-66BA-4D52-A527-E41EF67B6B6B}"/>
    <cellStyle name="Comma 3 4 7 2 2" xfId="22478" xr:uid="{C8389658-1C37-4094-8F94-433B66520F87}"/>
    <cellStyle name="Comma 3 4 7 2 3" xfId="24662" xr:uid="{BD75C5EC-AB7D-4276-BC16-643328A82D52}"/>
    <cellStyle name="Comma 3 4 7 2 4" xfId="51816" xr:uid="{0BA217CC-EC7D-48EB-BB7E-D8D4CC6912B9}"/>
    <cellStyle name="Comma 3 4 7 2 5" xfId="54832" xr:uid="{D1F15969-400A-4D37-9FB0-D7BBD78F8234}"/>
    <cellStyle name="Comma 3 4 7 3" xfId="15416" xr:uid="{786C329E-A623-408B-8370-1A20BC1B1B0E}"/>
    <cellStyle name="Comma 3 4 7 3 2" xfId="22955" xr:uid="{D2C1D9BE-4019-4BDF-A272-F608B6174864}"/>
    <cellStyle name="Comma 3 4 7 3 3" xfId="46920" xr:uid="{6AA6B9B3-351B-48A1-9C0D-B1BB9C45837A}"/>
    <cellStyle name="Comma 3 4 7 3 4" xfId="52293" xr:uid="{0C793749-83B0-481C-AE23-98F8CD041DED}"/>
    <cellStyle name="Comma 3 4 7 3 5" xfId="55309" xr:uid="{D49CC1C6-D2CA-4506-B12D-F4A7DB38E4A1}"/>
    <cellStyle name="Comma 3 4 7 4" xfId="15904" xr:uid="{52AF5DEC-5D15-4897-A948-940ADD3C27F8}"/>
    <cellStyle name="Comma 3 4 7 4 2" xfId="23432" xr:uid="{470E9DED-DD63-405A-AF4E-67F326BC00FE}"/>
    <cellStyle name="Comma 3 4 7 4 3" xfId="47727" xr:uid="{175B66DF-EE7D-4591-98C4-748CB561EA6A}"/>
    <cellStyle name="Comma 3 4 7 4 4" xfId="52770" xr:uid="{3C259763-DF44-4A8D-B693-36A1CF6E9E33}"/>
    <cellStyle name="Comma 3 4 7 4 5" xfId="55786" xr:uid="{4AF37FC8-F5DD-4F4A-9C14-D6CB62D4C1D5}"/>
    <cellStyle name="Comma 3 4 7 5" xfId="13019" xr:uid="{DAB7B2EE-D673-4953-9B7F-30A559C78D2C}"/>
    <cellStyle name="Comma 3 4 7 5 2" xfId="48439" xr:uid="{F05455FC-0C2C-49AD-B06E-D420E63BAC24}"/>
    <cellStyle name="Comma 3 4 7 5 3" xfId="51339" xr:uid="{A3B462BA-73F1-4425-9E0D-D5A2316CDCB3}"/>
    <cellStyle name="Comma 3 4 7 5 4" xfId="54355" xr:uid="{9792B2EA-3104-4F88-B9BE-E1F7E7E09E2E}"/>
    <cellStyle name="Comma 3 4 7 6" xfId="47888" xr:uid="{14196412-AC28-4C2D-9653-311B6495CE32}"/>
    <cellStyle name="Comma 3 4 7 7" xfId="50233" xr:uid="{8AB8F84E-73A6-4492-B7E2-C728C9C6681A}"/>
    <cellStyle name="Comma 3 4 7 8" xfId="53249" xr:uid="{6F38A14F-AC55-48D9-BC6E-80D16A8BA298}"/>
    <cellStyle name="Comma 3 4 8" xfId="12312" xr:uid="{61E493CA-DC3F-47EC-A88B-44CAF12C1A9D}"/>
    <cellStyle name="Comma 3 4 9" xfId="14507" xr:uid="{37E13803-3DE7-48B1-A4C6-AA5B4545A40B}"/>
    <cellStyle name="Comma 3 4 9 2" xfId="22054" xr:uid="{808FC117-D32B-427D-8EC7-D7C104D6BB4B}"/>
    <cellStyle name="Comma 3 4 9 3" xfId="47566" xr:uid="{0CBAB543-D2A6-478F-8BA4-FA23B4A6506C}"/>
    <cellStyle name="Comma 3 4 9 4" xfId="51392" xr:uid="{3822D0CB-AC27-48E0-A63E-8026BF63727C}"/>
    <cellStyle name="Comma 3 4 9 5" xfId="54408" xr:uid="{A030DE62-C166-4FF6-B860-197773AA18ED}"/>
    <cellStyle name="Comma 3 5" xfId="5820" xr:uid="{E2E39F79-8306-4F43-9740-CA87C94F9859}"/>
    <cellStyle name="Comma 3 5 10" xfId="15480" xr:uid="{384EB734-D4DE-4CF0-8A70-04C4B6F862EC}"/>
    <cellStyle name="Comma 3 5 10 2" xfId="23010" xr:uid="{81C252B9-E201-4ACA-9EBB-F87C7D2DE377}"/>
    <cellStyle name="Comma 3 5 10 3" xfId="48223" xr:uid="{CBA55AA5-16F2-4B0E-80EB-C029CCC972A8}"/>
    <cellStyle name="Comma 3 5 10 4" xfId="52348" xr:uid="{E2AA9B68-5013-447A-82FF-53FB12FF6CAA}"/>
    <cellStyle name="Comma 3 5 10 5" xfId="55364" xr:uid="{3A414D5A-C17E-4AF1-8D89-60E097BA19B7}"/>
    <cellStyle name="Comma 3 5 11" xfId="11189" xr:uid="{5AE44BA8-6AD9-4027-8DB2-9A75A9D77861}"/>
    <cellStyle name="Comma 3 5 11 2" xfId="25159" xr:uid="{39F8115C-93E6-40B0-BA18-AAA179B6A922}"/>
    <cellStyle name="Comma 3 5 11 3" xfId="50702" xr:uid="{EACB858E-C07E-4478-9E8B-B6EE378AC7B5}"/>
    <cellStyle name="Comma 3 5 11 4" xfId="53718" xr:uid="{FAFB3FFF-BA02-4943-9CAB-9DE2343256E0}"/>
    <cellStyle name="Comma 3 5 12" xfId="23751" xr:uid="{3A0F3DF4-C7F3-4879-821C-5F7AC81DA535}"/>
    <cellStyle name="Comma 3 5 13" xfId="47557" xr:uid="{723103B6-04F2-4F9B-B3A0-F826A4FAA14F}"/>
    <cellStyle name="Comma 3 5 14" xfId="48634" xr:uid="{38C270B0-49FA-45E8-A3C4-E8B4A96EAAF4}"/>
    <cellStyle name="Comma 3 5 15" xfId="49542" xr:uid="{45475B4B-7B30-4D02-9C56-19375100A7F1}"/>
    <cellStyle name="Comma 3 5 16" xfId="49811" xr:uid="{149FAEDE-2D8C-4EF0-84A9-C6FBE473B245}"/>
    <cellStyle name="Comma 3 5 17" xfId="52826" xr:uid="{EE21F7F0-CC93-4D9D-936F-3F7A7C4C6D6D}"/>
    <cellStyle name="Comma 3 5 18" xfId="8934" xr:uid="{8F91BC6F-E292-4D03-B5E6-C6D7CEEA1B31}"/>
    <cellStyle name="Comma 3 5 2" xfId="10021" xr:uid="{63AB16F0-F339-49E1-960B-B18856DD1C88}"/>
    <cellStyle name="Comma 3 5 2 2" xfId="10329" xr:uid="{179E5D46-BE87-49A5-9E6C-7F6B5F813DDD}"/>
    <cellStyle name="Comma 3 5 2 2 2" xfId="14774" xr:uid="{9F49AF8A-56C8-4F41-94E8-7AFC30D37BDE}"/>
    <cellStyle name="Comma 3 5 2 2 2 2" xfId="22321" xr:uid="{0E519149-A88C-468E-9BA8-DC8F6C5CA3C3}"/>
    <cellStyle name="Comma 3 5 2 2 2 3" xfId="46861" xr:uid="{D7E8FF06-2B68-4356-8E0F-4C24007B947A}"/>
    <cellStyle name="Comma 3 5 2 2 2 4" xfId="51659" xr:uid="{B6EA4303-AE5E-4658-8495-453E1082C52C}"/>
    <cellStyle name="Comma 3 5 2 2 2 5" xfId="54675" xr:uid="{1D2DDA28-B0B6-4253-BEA1-B4C114B988B1}"/>
    <cellStyle name="Comma 3 5 2 2 3" xfId="15259" xr:uid="{E62F5AFD-3084-4CB4-84A6-F10F4A5C0E43}"/>
    <cellStyle name="Comma 3 5 2 2 3 2" xfId="22798" xr:uid="{138B6F07-DB0C-4E48-8259-9C37C9FD7AB2}"/>
    <cellStyle name="Comma 3 5 2 2 3 3" xfId="48277" xr:uid="{21027E91-5FF7-4D47-9635-1DBCDD8F0741}"/>
    <cellStyle name="Comma 3 5 2 2 3 4" xfId="52136" xr:uid="{B806664D-D134-49A4-8E20-CB1C647FF5CE}"/>
    <cellStyle name="Comma 3 5 2 2 3 5" xfId="55152" xr:uid="{3E498AE7-8399-43DD-B614-487B6B22DF49}"/>
    <cellStyle name="Comma 3 5 2 2 4" xfId="15746" xr:uid="{CDCDABF3-D0A7-457B-81A0-6047E54C0E61}"/>
    <cellStyle name="Comma 3 5 2 2 4 2" xfId="23275" xr:uid="{4CD54F01-05C9-47D7-9D73-81F58CE71064}"/>
    <cellStyle name="Comma 3 5 2 2 4 3" xfId="47150" xr:uid="{A42C1E84-8DF3-4E21-A59C-686E096EC406}"/>
    <cellStyle name="Comma 3 5 2 2 4 4" xfId="52613" xr:uid="{837C4FE0-6EBA-425B-AA66-1B687F8B02A5}"/>
    <cellStyle name="Comma 3 5 2 2 4 5" xfId="55629" xr:uid="{094C059B-F978-4867-A0CE-103BC9A3A64E}"/>
    <cellStyle name="Comma 3 5 2 2 5" xfId="12782" xr:uid="{8DBB2EE8-A4CA-483D-881B-B188E6E9EDC5}"/>
    <cellStyle name="Comma 3 5 2 2 5 2" xfId="46793" xr:uid="{A1580903-7D5B-411F-9AF5-C4CDBD4EF74D}"/>
    <cellStyle name="Comma 3 5 2 2 5 3" xfId="51182" xr:uid="{45CEA1DE-5544-4220-B89F-CD34ED74F344}"/>
    <cellStyle name="Comma 3 5 2 2 5 4" xfId="54198" xr:uid="{3B8F63F8-57FC-4254-B3A8-B57C81A676B8}"/>
    <cellStyle name="Comma 3 5 2 2 6" xfId="46089" xr:uid="{AEB517FE-72F7-4AFE-B5FE-D431BA50394C}"/>
    <cellStyle name="Comma 3 5 2 2 7" xfId="50076" xr:uid="{7785D545-9887-4C74-A782-CAA72986169C}"/>
    <cellStyle name="Comma 3 5 2 2 8" xfId="53092" xr:uid="{E88AE765-ED90-4D20-84A7-73CC9DC5E658}"/>
    <cellStyle name="Comma 3 5 2 3" xfId="14562" xr:uid="{E57D84C1-E632-47D1-91D1-A847943A9856}"/>
    <cellStyle name="Comma 3 5 2 3 2" xfId="22109" xr:uid="{7E97A453-E878-4BD8-AB87-AE81228165E5}"/>
    <cellStyle name="Comma 3 5 2 3 3" xfId="47478" xr:uid="{E8C861A2-DDC7-4368-A439-63491E397AF0}"/>
    <cellStyle name="Comma 3 5 2 3 4" xfId="51447" xr:uid="{1DDC8422-E241-49D6-9ADD-A35427DFFD91}"/>
    <cellStyle name="Comma 3 5 2 3 5" xfId="54463" xr:uid="{BD36A29C-13CA-4789-8F35-FAB17ADDFB8C}"/>
    <cellStyle name="Comma 3 5 2 4" xfId="15046" xr:uid="{C2DFA87A-FBB6-447C-A523-DC233DA1525D}"/>
    <cellStyle name="Comma 3 5 2 4 2" xfId="22586" xr:uid="{01121138-D7C3-4F51-871E-FAB3A02D27B3}"/>
    <cellStyle name="Comma 3 5 2 4 3" xfId="24919" xr:uid="{F35B0F82-4256-4AEF-9897-511F57B4B638}"/>
    <cellStyle name="Comma 3 5 2 4 4" xfId="51924" xr:uid="{5BD4820B-A147-405F-B81F-C67F82273055}"/>
    <cellStyle name="Comma 3 5 2 4 5" xfId="54940" xr:uid="{DA0C873F-0107-41C5-9CD0-DA906F8AFF26}"/>
    <cellStyle name="Comma 3 5 2 5" xfId="15533" xr:uid="{34C8146A-D3C5-4CD2-9BCC-262C860716B6}"/>
    <cellStyle name="Comma 3 5 2 5 2" xfId="23063" xr:uid="{32CD9851-8951-43A3-85D7-CB5E99DCCE32}"/>
    <cellStyle name="Comma 3 5 2 5 3" xfId="47548" xr:uid="{D12E4690-4419-4163-B752-E4B7103C1E6E}"/>
    <cellStyle name="Comma 3 5 2 5 4" xfId="52401" xr:uid="{ADF3A67D-BF3E-404C-8D27-6422F40D2ADB}"/>
    <cellStyle name="Comma 3 5 2 5 5" xfId="55417" xr:uid="{7C3B7913-5B14-4D7C-BB42-731DE20E3A69}"/>
    <cellStyle name="Comma 3 5 2 6" xfId="12481" xr:uid="{3EE582AA-8D00-486E-A817-AE3E945F8A62}"/>
    <cellStyle name="Comma 3 5 2 6 2" xfId="34189" xr:uid="{6F14706E-68F2-4B3D-972F-F7B0EEE53B06}"/>
    <cellStyle name="Comma 3 5 2 6 3" xfId="50970" xr:uid="{166DA854-C889-4A54-A43F-5F85011629B9}"/>
    <cellStyle name="Comma 3 5 2 6 4" xfId="53986" xr:uid="{8538C386-9399-41FA-A298-ABDAE85F571E}"/>
    <cellStyle name="Comma 3 5 2 7" xfId="46026" xr:uid="{7726035A-6CBE-4BD5-99E0-2B7AB4F87742}"/>
    <cellStyle name="Comma 3 5 2 8" xfId="49864" xr:uid="{F51C19DD-3A6B-4055-8425-462113221325}"/>
    <cellStyle name="Comma 3 5 2 9" xfId="52880" xr:uid="{F7291614-4ADE-435F-A6B3-E27F3FC1696E}"/>
    <cellStyle name="Comma 3 5 3" xfId="10095" xr:uid="{53C2B361-4DFA-4DFD-8A9D-24759323F02B}"/>
    <cellStyle name="Comma 3 5 3 2" xfId="10408" xr:uid="{43579D34-9FC2-40B0-A207-713ED2662E18}"/>
    <cellStyle name="Comma 3 5 3 2 2" xfId="14827" xr:uid="{E0DEF1A6-F0DC-4E92-B60A-B9C94D89CE7D}"/>
    <cellStyle name="Comma 3 5 3 2 2 2" xfId="22374" xr:uid="{EB86F7BE-E68F-42EF-A64F-257006FE1136}"/>
    <cellStyle name="Comma 3 5 3 2 2 3" xfId="32405" xr:uid="{557C98DF-53C8-40CA-BB0C-0EAA92E1E935}"/>
    <cellStyle name="Comma 3 5 3 2 2 4" xfId="51712" xr:uid="{B063473B-AD93-4882-84BF-D8276B8A03E8}"/>
    <cellStyle name="Comma 3 5 3 2 2 5" xfId="54728" xr:uid="{D7ED7F84-EBFE-4FC7-BD79-A07F43F55CED}"/>
    <cellStyle name="Comma 3 5 3 2 3" xfId="15312" xr:uid="{8F894543-1FB8-4742-B1C4-A51528C07DDD}"/>
    <cellStyle name="Comma 3 5 3 2 3 2" xfId="22851" xr:uid="{5AC92AB4-5ED9-4FEB-A78E-31910B51FD9D}"/>
    <cellStyle name="Comma 3 5 3 2 3 3" xfId="47638" xr:uid="{072559AB-E6AD-4B76-960D-0F689811F762}"/>
    <cellStyle name="Comma 3 5 3 2 3 4" xfId="52189" xr:uid="{612325C0-4E66-4009-B180-A0AAC3AEAA31}"/>
    <cellStyle name="Comma 3 5 3 2 3 5" xfId="55205" xr:uid="{053CEED3-18D5-451B-96E8-EDB1C756A73D}"/>
    <cellStyle name="Comma 3 5 3 2 4" xfId="15799" xr:uid="{2C95F1B8-B0F1-4E6B-9A38-0345EEEE30DA}"/>
    <cellStyle name="Comma 3 5 3 2 4 2" xfId="23328" xr:uid="{E091FBC0-FF45-4B47-B386-64C46770FC74}"/>
    <cellStyle name="Comma 3 5 3 2 4 3" xfId="46588" xr:uid="{25FE947A-DC4F-4285-9C54-9035ABD3D79A}"/>
    <cellStyle name="Comma 3 5 3 2 4 4" xfId="52666" xr:uid="{08E697A0-0D4D-49A9-93BD-662A9E3D77EB}"/>
    <cellStyle name="Comma 3 5 3 2 4 5" xfId="55682" xr:uid="{83109A30-1EA7-4D0C-95AD-B299D664D5F8}"/>
    <cellStyle name="Comma 3 5 3 2 5" xfId="12861" xr:uid="{15DAE56E-3614-496A-B40A-71F19039CA10}"/>
    <cellStyle name="Comma 3 5 3 2 5 2" xfId="46671" xr:uid="{D27321B4-A3A6-4322-9764-AB1E0B031E10}"/>
    <cellStyle name="Comma 3 5 3 2 5 3" xfId="51235" xr:uid="{D9D07385-13A8-4903-923B-201B5A948116}"/>
    <cellStyle name="Comma 3 5 3 2 5 4" xfId="54251" xr:uid="{2DA0EFBB-3D8B-4A62-AFF7-0B246564F5F8}"/>
    <cellStyle name="Comma 3 5 3 2 6" xfId="46112" xr:uid="{A65B0084-6C98-462B-BDEE-9D6D7C85B681}"/>
    <cellStyle name="Comma 3 5 3 2 7" xfId="50129" xr:uid="{45669F24-13E4-4252-A527-9E8F4F0C4E62}"/>
    <cellStyle name="Comma 3 5 3 2 8" xfId="53145" xr:uid="{83B4AFD1-E37F-42D3-BE00-16FBEE9DC644}"/>
    <cellStyle name="Comma 3 5 3 3" xfId="14615" xr:uid="{C4E32260-5FE8-4187-AC41-9ECB2D7A9DCF}"/>
    <cellStyle name="Comma 3 5 3 3 2" xfId="22162" xr:uid="{F32B0EAD-E0A1-4159-B8CC-AC009B3C0732}"/>
    <cellStyle name="Comma 3 5 3 3 3" xfId="46407" xr:uid="{5B2C2001-85D3-42E0-8E93-D82E0FAD241E}"/>
    <cellStyle name="Comma 3 5 3 3 4" xfId="51500" xr:uid="{B60E1D68-3AEE-49AA-A88D-90D1F4ED63F4}"/>
    <cellStyle name="Comma 3 5 3 3 5" xfId="54516" xr:uid="{5E0C4085-0DF5-4E42-963B-799905572FD5}"/>
    <cellStyle name="Comma 3 5 3 4" xfId="15100" xr:uid="{54AA5CB9-1015-48F9-A702-99FD8D5BC522}"/>
    <cellStyle name="Comma 3 5 3 4 2" xfId="22639" xr:uid="{87DD1350-14CC-448D-A1EF-67A0E7D2B04D}"/>
    <cellStyle name="Comma 3 5 3 4 3" xfId="46479" xr:uid="{6AB76AE2-55FE-4736-8559-068665FF7923}"/>
    <cellStyle name="Comma 3 5 3 4 4" xfId="51977" xr:uid="{F51394EA-CD1E-4F0E-8900-57EFF5F29154}"/>
    <cellStyle name="Comma 3 5 3 4 5" xfId="54993" xr:uid="{60A312BF-9ADC-4205-8B37-C32DD43F1D80}"/>
    <cellStyle name="Comma 3 5 3 5" xfId="15587" xr:uid="{69EB88A0-F547-4C93-BF89-80881865AE16}"/>
    <cellStyle name="Comma 3 5 3 5 2" xfId="23116" xr:uid="{C810D9FF-1E8C-4BB3-95BF-3873314F0202}"/>
    <cellStyle name="Comma 3 5 3 5 3" xfId="34471" xr:uid="{64D69966-D12B-42C4-A12B-50AF5DF410E9}"/>
    <cellStyle name="Comma 3 5 3 5 4" xfId="52454" xr:uid="{89C8750C-2B7E-4F18-A809-A9A46695B01D}"/>
    <cellStyle name="Comma 3 5 3 5 5" xfId="55470" xr:uid="{1EA388DE-65A3-432C-A33A-E8F62F59DF0A}"/>
    <cellStyle name="Comma 3 5 3 6" xfId="12552" xr:uid="{37AD2D44-CF37-463D-A40B-4734CB7857FB}"/>
    <cellStyle name="Comma 3 5 3 6 2" xfId="46768" xr:uid="{DD320B06-1E91-42CD-8C9A-0DB0E2DE0AEE}"/>
    <cellStyle name="Comma 3 5 3 6 3" xfId="51023" xr:uid="{C6EE8BAC-1081-4001-87E9-A229BC913121}"/>
    <cellStyle name="Comma 3 5 3 6 4" xfId="54039" xr:uid="{1AC0C79E-C789-4CC8-9CFD-7C083B51B794}"/>
    <cellStyle name="Comma 3 5 3 7" xfId="46043" xr:uid="{EF6AE7AB-FA2D-4BCB-8E65-D0477272B764}"/>
    <cellStyle name="Comma 3 5 3 8" xfId="49917" xr:uid="{A82B02F6-8FB5-46FB-83DF-CF25F19767C0}"/>
    <cellStyle name="Comma 3 5 3 9" xfId="52933" xr:uid="{7D15AA20-342A-4658-9D70-62855468FE49}"/>
    <cellStyle name="Comma 3 5 4" xfId="10174" xr:uid="{0565F344-C35A-4D08-BB20-60D05276CFCA}"/>
    <cellStyle name="Comma 3 5 4 2" xfId="10488" xr:uid="{5A09005C-03A3-4A3F-98EC-2E615755C3CC}"/>
    <cellStyle name="Comma 3 5 4 2 2" xfId="14880" xr:uid="{1F1D3DBA-B272-4474-A79D-707DEA979B5B}"/>
    <cellStyle name="Comma 3 5 4 2 2 2" xfId="22427" xr:uid="{04588450-26E4-434D-8697-35A25D2E39D7}"/>
    <cellStyle name="Comma 3 5 4 2 2 3" xfId="46682" xr:uid="{50E75BC4-03B0-41E4-A0CB-52CD273E828A}"/>
    <cellStyle name="Comma 3 5 4 2 2 4" xfId="51765" xr:uid="{A3CB9661-4F92-4472-AF6B-2F9702A6ACDD}"/>
    <cellStyle name="Comma 3 5 4 2 2 5" xfId="54781" xr:uid="{4378991D-2CA8-48A9-A32C-78F5818623D9}"/>
    <cellStyle name="Comma 3 5 4 2 3" xfId="15365" xr:uid="{E124B64F-354B-4A1D-8D1D-61465EDBD9A1}"/>
    <cellStyle name="Comma 3 5 4 2 3 2" xfId="22904" xr:uid="{595E6E7A-1CA8-445D-9381-B0D262391E5D}"/>
    <cellStyle name="Comma 3 5 4 2 3 3" xfId="46913" xr:uid="{15A069B8-9691-4366-A68C-0D0E71C26ACC}"/>
    <cellStyle name="Comma 3 5 4 2 3 4" xfId="52242" xr:uid="{84D99B19-11DF-4927-A5BA-F1D9FE08AA13}"/>
    <cellStyle name="Comma 3 5 4 2 3 5" xfId="55258" xr:uid="{C35DC0CE-0574-441E-97D6-BF66DCCA8691}"/>
    <cellStyle name="Comma 3 5 4 2 4" xfId="15852" xr:uid="{970A60B3-81F5-407C-8AD5-43E92497CD12}"/>
    <cellStyle name="Comma 3 5 4 2 4 2" xfId="23381" xr:uid="{3576EABD-F4A6-4B68-BFE4-712EA8656F2D}"/>
    <cellStyle name="Comma 3 5 4 2 4 3" xfId="46975" xr:uid="{FD86955F-D9C0-422E-A578-AD75A5996B9A}"/>
    <cellStyle name="Comma 3 5 4 2 4 4" xfId="52719" xr:uid="{7AE0DA2D-8F03-4D0D-AB00-6ACBE61517B4}"/>
    <cellStyle name="Comma 3 5 4 2 4 5" xfId="55735" xr:uid="{5503BCF3-55C0-4B1B-B1B8-66945564129B}"/>
    <cellStyle name="Comma 3 5 4 2 5" xfId="12941" xr:uid="{718C6B1E-05FE-4152-B2B2-DC2EF71A8CB9}"/>
    <cellStyle name="Comma 3 5 4 2 5 2" xfId="46375" xr:uid="{17F2E8C5-4F02-47C9-B93E-50E2767186CD}"/>
    <cellStyle name="Comma 3 5 4 2 5 3" xfId="51288" xr:uid="{B81BF6D3-1F5F-4F8F-A429-D1F627F7F869}"/>
    <cellStyle name="Comma 3 5 4 2 5 4" xfId="54304" xr:uid="{35F0068C-7426-4533-90DF-94E326B4792C}"/>
    <cellStyle name="Comma 3 5 4 2 6" xfId="46132" xr:uid="{1F448BDF-7F7C-4C5A-81BA-B3C0C9261B90}"/>
    <cellStyle name="Comma 3 5 4 2 7" xfId="50182" xr:uid="{ABD6BF86-E59B-46B4-8040-4DA17772A995}"/>
    <cellStyle name="Comma 3 5 4 2 8" xfId="53198" xr:uid="{7FA1C536-3EBE-48B1-83DF-4BBEF39801E7}"/>
    <cellStyle name="Comma 3 5 4 3" xfId="14668" xr:uid="{A609D752-1CA5-4DE1-AC35-D348D8B0A965}"/>
    <cellStyle name="Comma 3 5 4 3 2" xfId="22215" xr:uid="{7C76903A-DF01-4845-846A-1B8822C753FE}"/>
    <cellStyle name="Comma 3 5 4 3 3" xfId="48115" xr:uid="{4B162194-0845-4536-A155-C0A7AE03C9CD}"/>
    <cellStyle name="Comma 3 5 4 3 4" xfId="51553" xr:uid="{C645E0C0-E41E-4289-ACEF-2735E7926293}"/>
    <cellStyle name="Comma 3 5 4 3 5" xfId="54569" xr:uid="{D6A004F6-01B7-470D-A90E-1D20AD65C4B8}"/>
    <cellStyle name="Comma 3 5 4 4" xfId="15153" xr:uid="{7305F3B4-4990-4271-A54C-43009411B556}"/>
    <cellStyle name="Comma 3 5 4 4 2" xfId="22692" xr:uid="{F713F183-34F6-4919-9269-DE318CB282DC}"/>
    <cellStyle name="Comma 3 5 4 4 3" xfId="24528" xr:uid="{363AA313-5EEB-45C3-8683-0B4EB03AEAE3}"/>
    <cellStyle name="Comma 3 5 4 4 4" xfId="52030" xr:uid="{589F3DFD-6FAE-4EE0-B6F7-9D3E5A293E60}"/>
    <cellStyle name="Comma 3 5 4 4 5" xfId="55046" xr:uid="{20302563-0146-4F53-A896-77AB4E7BE448}"/>
    <cellStyle name="Comma 3 5 4 5" xfId="15640" xr:uid="{749C1592-E571-4E11-B57D-E75C90909C91}"/>
    <cellStyle name="Comma 3 5 4 5 2" xfId="23169" xr:uid="{B51B4624-F48A-4EDD-86AE-8203855D0A82}"/>
    <cellStyle name="Comma 3 5 4 5 3" xfId="48080" xr:uid="{3BBE2236-E5B6-4731-AE9B-9C4AD4150514}"/>
    <cellStyle name="Comma 3 5 4 5 4" xfId="52507" xr:uid="{5D6DDEE8-FE20-46C7-A789-209718AEA5EA}"/>
    <cellStyle name="Comma 3 5 4 5 5" xfId="55523" xr:uid="{40ECB727-85D3-434D-BC99-381156F1BF77}"/>
    <cellStyle name="Comma 3 5 4 6" xfId="12628" xr:uid="{C5F55502-57C0-4344-8984-DD222882EEDB}"/>
    <cellStyle name="Comma 3 5 4 6 2" xfId="46332" xr:uid="{6D279629-B5EB-4DF0-88D8-1869FD7BAD80}"/>
    <cellStyle name="Comma 3 5 4 6 3" xfId="51076" xr:uid="{90086704-7A6D-45B3-8DDD-BB45B51B8D0C}"/>
    <cellStyle name="Comma 3 5 4 6 4" xfId="54092" xr:uid="{6DBEE36A-03FB-467B-A641-17F4E0424ABC}"/>
    <cellStyle name="Comma 3 5 4 7" xfId="48545" xr:uid="{ACEE94E5-7667-4F32-829C-0EEEAFDD702D}"/>
    <cellStyle name="Comma 3 5 4 8" xfId="49970" xr:uid="{384090E7-AC9D-4373-B66A-3C69B959FBA2}"/>
    <cellStyle name="Comma 3 5 4 9" xfId="52986" xr:uid="{538A6A7D-2C7E-4281-97CC-C51532AE7AB9}"/>
    <cellStyle name="Comma 3 5 5" xfId="10254" xr:uid="{C404F435-4E61-4BAF-BCC9-9A25D7722ED6}"/>
    <cellStyle name="Comma 3 5 5 2" xfId="14721" xr:uid="{C5C99448-9A8E-46B0-B659-60D7DD570732}"/>
    <cellStyle name="Comma 3 5 5 2 2" xfId="22268" xr:uid="{1B18C5E2-F0D4-403F-9042-83D136EC502D}"/>
    <cellStyle name="Comma 3 5 5 2 3" xfId="46423" xr:uid="{D35D19ED-318F-49DC-9FC0-DD96427FC451}"/>
    <cellStyle name="Comma 3 5 5 2 4" xfId="51606" xr:uid="{26A115D1-C29E-4B30-B6C0-C26FBB98175F}"/>
    <cellStyle name="Comma 3 5 5 2 5" xfId="54622" xr:uid="{799961CE-A02E-44AD-B157-3FFF0DCF8773}"/>
    <cellStyle name="Comma 3 5 5 3" xfId="15206" xr:uid="{469089D4-DA9B-4D4B-86D9-F0745C1ABDE2}"/>
    <cellStyle name="Comma 3 5 5 3 2" xfId="22745" xr:uid="{0A1D59CD-C081-42D9-A250-D7B64AFC530B}"/>
    <cellStyle name="Comma 3 5 5 3 3" xfId="32283" xr:uid="{5358B8A8-1D73-4C69-8026-7F9D43153CD2}"/>
    <cellStyle name="Comma 3 5 5 3 4" xfId="52083" xr:uid="{15679631-4B39-4A3F-B45C-366B844F2ADA}"/>
    <cellStyle name="Comma 3 5 5 3 5" xfId="55099" xr:uid="{3660422C-E865-4935-8CBF-74ECD64F5701}"/>
    <cellStyle name="Comma 3 5 5 4" xfId="15693" xr:uid="{5DD9A7A3-5CB6-4F6E-A3D4-AA77CBF4E152}"/>
    <cellStyle name="Comma 3 5 5 4 2" xfId="23222" xr:uid="{EB1D8800-047F-4B7C-B8BC-41870C50F72D}"/>
    <cellStyle name="Comma 3 5 5 4 3" xfId="37445" xr:uid="{D1F1AA06-D58C-4513-8095-C43543AFCF58}"/>
    <cellStyle name="Comma 3 5 5 4 4" xfId="52560" xr:uid="{A06AFCD3-960C-4746-BA41-DC6EE7120B87}"/>
    <cellStyle name="Comma 3 5 5 4 5" xfId="55576" xr:uid="{37B04AB1-E0F4-465B-A707-133C39EBCAED}"/>
    <cellStyle name="Comma 3 5 5 5" xfId="12707" xr:uid="{2F6EF749-D247-4D83-9F62-E86746CB8700}"/>
    <cellStyle name="Comma 3 5 5 5 2" xfId="24483" xr:uid="{FEA138D2-F918-407C-9DB1-CAD36D900C38}"/>
    <cellStyle name="Comma 3 5 5 5 3" xfId="51129" xr:uid="{275DABED-12D6-4897-B54D-7DE9477D6983}"/>
    <cellStyle name="Comma 3 5 5 5 4" xfId="54145" xr:uid="{107CFF99-50F1-4CEC-AA05-B5EB2B47629B}"/>
    <cellStyle name="Comma 3 5 5 6" xfId="46074" xr:uid="{F782409D-C0DD-41D5-B78C-259E5C731ADF}"/>
    <cellStyle name="Comma 3 5 5 7" xfId="50023" xr:uid="{39868D89-D010-4DAF-ADD4-FC26BC720D09}"/>
    <cellStyle name="Comma 3 5 5 8" xfId="53039" xr:uid="{9181E09E-4967-4506-9FC1-FA609E528953}"/>
    <cellStyle name="Comma 3 5 6" xfId="10568" xr:uid="{FB3FD1FA-D1A7-42AC-B112-9214944ED9FC}"/>
    <cellStyle name="Comma 3 5 6 2" xfId="14933" xr:uid="{83E4A53D-28DB-43E2-8407-13B7384223CF}"/>
    <cellStyle name="Comma 3 5 6 2 2" xfId="22480" xr:uid="{98602EB2-797A-4AE0-B46B-F605F3DE43A4}"/>
    <cellStyle name="Comma 3 5 6 2 3" xfId="34481" xr:uid="{2A3F90A4-64E0-4129-8382-E3608F5BAFFA}"/>
    <cellStyle name="Comma 3 5 6 2 4" xfId="51818" xr:uid="{789C0479-01F0-4EFA-9793-19CC9365A4C7}"/>
    <cellStyle name="Comma 3 5 6 2 5" xfId="54834" xr:uid="{FBEE6628-D72E-4058-B974-521736E7D612}"/>
    <cellStyle name="Comma 3 5 6 3" xfId="15418" xr:uid="{54523CCC-8022-4B10-89D4-E2C58409112F}"/>
    <cellStyle name="Comma 3 5 6 3 2" xfId="22957" xr:uid="{C9A58A7D-35B3-4642-9DD1-6AEBE9B30DAD}"/>
    <cellStyle name="Comma 3 5 6 3 3" xfId="48222" xr:uid="{43C9DFAA-A81A-4C28-ADFE-8CFD5AFA1158}"/>
    <cellStyle name="Comma 3 5 6 3 4" xfId="52295" xr:uid="{5EA0630E-6550-4687-AFE1-EAA3A2BFEDC3}"/>
    <cellStyle name="Comma 3 5 6 3 5" xfId="55311" xr:uid="{8CA18D0B-28F4-4A79-B7FF-504E0C49360F}"/>
    <cellStyle name="Comma 3 5 6 4" xfId="15906" xr:uid="{24512794-803C-4453-A369-E7EDF357953A}"/>
    <cellStyle name="Comma 3 5 6 4 2" xfId="23434" xr:uid="{2B7AE044-1198-4662-87A7-FF75B074EBCE}"/>
    <cellStyle name="Comma 3 5 6 4 3" xfId="46981" xr:uid="{CCD90820-4B65-4899-9731-DFE900184108}"/>
    <cellStyle name="Comma 3 5 6 4 4" xfId="52772" xr:uid="{3BCB02AC-F4A2-4034-8768-9BA302734E8B}"/>
    <cellStyle name="Comma 3 5 6 4 5" xfId="55788" xr:uid="{5E24D6E2-6603-4629-9B90-757165399D4C}"/>
    <cellStyle name="Comma 3 5 6 5" xfId="13021" xr:uid="{A7713C00-4BF5-4FCF-8DFF-27B711282676}"/>
    <cellStyle name="Comma 3 5 6 5 2" xfId="48242" xr:uid="{73BA84EF-A7CC-4683-B045-D1C9F52E86B6}"/>
    <cellStyle name="Comma 3 5 6 5 3" xfId="51341" xr:uid="{04949415-1F4E-46A6-BA5E-41EFC03FC16A}"/>
    <cellStyle name="Comma 3 5 6 5 4" xfId="54357" xr:uid="{11CC6087-465B-4EEE-8CBC-0BD719C89781}"/>
    <cellStyle name="Comma 3 5 6 6" xfId="47506" xr:uid="{6FD21EFD-CC19-4261-ACFA-2522D046F9A2}"/>
    <cellStyle name="Comma 3 5 6 7" xfId="50235" xr:uid="{71C9271E-6D81-43A0-92D2-F84187E2FBF8}"/>
    <cellStyle name="Comma 3 5 6 8" xfId="53251" xr:uid="{CC50262E-F3AF-4271-816F-C04AA3492B94}"/>
    <cellStyle name="Comma 3 5 7" xfId="13057" xr:uid="{82D1E5CD-BEFB-4454-9EA0-500A1BB2506F}"/>
    <cellStyle name="Comma 3 5 8" xfId="14509" xr:uid="{2DB08D61-6F67-4049-B7AC-929AD3567476}"/>
    <cellStyle name="Comma 3 5 8 2" xfId="22056" xr:uid="{04B34C96-9577-46C9-BCB8-595F59D535F1}"/>
    <cellStyle name="Comma 3 5 8 3" xfId="23972" xr:uid="{BEA3CB0A-E051-4DB0-8A67-F2C3AEC5E228}"/>
    <cellStyle name="Comma 3 5 8 4" xfId="51394" xr:uid="{B9A9369C-4597-4934-9F29-685E51AE3587}"/>
    <cellStyle name="Comma 3 5 8 5" xfId="54410" xr:uid="{FBA50A02-CBAA-4B33-8876-0487E2843B3E}"/>
    <cellStyle name="Comma 3 5 9" xfId="14993" xr:uid="{DDEE88D2-E56D-4D30-B1CD-6A34D32FED13}"/>
    <cellStyle name="Comma 3 5 9 2" xfId="22533" xr:uid="{74C76FEE-03AF-4F0B-B5C5-1E2A70AFC534}"/>
    <cellStyle name="Comma 3 5 9 3" xfId="48357" xr:uid="{68A34AFE-CFA8-4D5F-B0D3-F6D43F1D0EA0}"/>
    <cellStyle name="Comma 3 5 9 4" xfId="51871" xr:uid="{B3590B47-66BC-4C74-83D6-736E6A2844EE}"/>
    <cellStyle name="Comma 3 5 9 5" xfId="54887" xr:uid="{8EDBB010-99BB-4774-94B0-5536EFB341E8}"/>
    <cellStyle name="Comma 3 6" xfId="2620" xr:uid="{BC5D62CA-284C-4700-9CEF-B54EA5668EDA}"/>
    <cellStyle name="Comma 3 6 10" xfId="11698" xr:uid="{704AC47E-8F28-4539-8F92-85BCA64CAC14}"/>
    <cellStyle name="Comma 3 6 2" xfId="21719" xr:uid="{5C7F3F8C-5C1C-4888-A39C-1DDB3EA2F120}"/>
    <cellStyle name="Comma 3 6 3" xfId="23752" xr:uid="{001EA479-F706-4717-A0A0-2265298FEE27}"/>
    <cellStyle name="Comma 3 6 4" xfId="47690" xr:uid="{2D52126E-2882-4F82-A67B-EAD8461FED19}"/>
    <cellStyle name="Comma 3 6 5" xfId="48635" xr:uid="{B3559B9A-A146-4D5E-AC3A-FD898BF28269}"/>
    <cellStyle name="Comma 3 6 6" xfId="49543" xr:uid="{937ABE65-74BC-43C0-AE2C-22DB362AABD8}"/>
    <cellStyle name="Comma 3 6 7" xfId="50745" xr:uid="{E78F47AE-CF00-4AC3-B716-6BDC56A6BF0F}"/>
    <cellStyle name="Comma 3 6 8" xfId="53761" xr:uid="{2B616AA9-729F-4695-80C9-C07A5ECE25C3}"/>
    <cellStyle name="Comma 3 6 9" xfId="18300" xr:uid="{0325DFD7-F4C8-4198-AFD2-937475F402AE}"/>
    <cellStyle name="Comma 3 7" xfId="11143" xr:uid="{E9986791-D064-4907-B109-592C5B0A0F12}"/>
    <cellStyle name="Comma 3 7 2" xfId="21675" xr:uid="{EEC8E58C-D24B-451F-940B-133C11E48AD0}"/>
    <cellStyle name="Comma 3 7 3" xfId="23753" xr:uid="{ADB26CBE-3308-4AC9-85A4-112A8DF5D69A}"/>
    <cellStyle name="Comma 3 7 4" xfId="48184" xr:uid="{C02CB15E-2859-4EED-8F27-ABC491FB2A0E}"/>
    <cellStyle name="Comma 3 7 5" xfId="48636" xr:uid="{13D54808-4829-467D-8711-BCB0C7F846A3}"/>
    <cellStyle name="Comma 3 7 6" xfId="49544" xr:uid="{E0152E26-68EA-44A7-B0FE-57F0726A7846}"/>
    <cellStyle name="Comma 3 7 7" xfId="50691" xr:uid="{7F3DAACD-3DFB-437A-89F3-99F6DDD05568}"/>
    <cellStyle name="Comma 3 7 8" xfId="53707" xr:uid="{FFD321BC-288E-466B-BDB0-08C42FA0978D}"/>
    <cellStyle name="Comma 3 7 9" xfId="18042" xr:uid="{3504DA0D-CE71-4131-9538-8A53FE763A05}"/>
    <cellStyle name="Comma 3 8" xfId="19482" xr:uid="{ED568B13-7262-4C21-869C-6EB8C4285925}"/>
    <cellStyle name="Comma 3 8 2" xfId="23754" xr:uid="{38C4B00F-C241-495C-BE52-D8B8CB49C438}"/>
    <cellStyle name="Comma 3 8 3" xfId="48637" xr:uid="{DB6D3B11-DA77-4AEB-8A3B-B6A17C282D0D}"/>
    <cellStyle name="Comma 3 8 4" xfId="49545" xr:uid="{9977340F-9BDB-49D0-9866-77A24E47DCE9}"/>
    <cellStyle name="Comma 3 9" xfId="23755" xr:uid="{C0340107-E71C-4520-B80E-8AFDE908090A}"/>
    <cellStyle name="Comma 4" xfId="52" xr:uid="{00000000-0005-0000-0000-000057000000}"/>
    <cellStyle name="Comma 4 10" xfId="23756" xr:uid="{A0FF8F0D-6D56-4DF7-8F1E-5B1170B0899E}"/>
    <cellStyle name="Comma 4 11" xfId="48638" xr:uid="{3909D852-3258-41F8-A1D6-8E23EAEF5881}"/>
    <cellStyle name="Comma 4 12" xfId="49546" xr:uid="{4113EF31-5E15-4F02-913D-E5874C6E5A97}"/>
    <cellStyle name="Comma 4 13" xfId="7235" xr:uid="{17054520-F74E-4576-9557-182960003C86}"/>
    <cellStyle name="Comma 4 2" xfId="53" xr:uid="{00000000-0005-0000-0000-000058000000}"/>
    <cellStyle name="Comma 4 2 10" xfId="14967" xr:uid="{FE0568D5-A9D5-4F6B-8E17-9505112F55F4}"/>
    <cellStyle name="Comma 4 2 10 2" xfId="22511" xr:uid="{7B76FC37-D751-4CF9-9931-B8C7B5F25391}"/>
    <cellStyle name="Comma 4 2 10 3" xfId="32516" xr:uid="{A28444EA-A780-4153-A9F2-D0E3C5A75DC0}"/>
    <cellStyle name="Comma 4 2 10 4" xfId="51849" xr:uid="{A091004E-CD26-4A49-A1DD-811E1CD7F9DD}"/>
    <cellStyle name="Comma 4 2 10 5" xfId="54865" xr:uid="{3369E10A-AA0B-42B0-B827-58BBC163471C}"/>
    <cellStyle name="Comma 4 2 11" xfId="15453" xr:uid="{2FB5551B-4AC8-4403-B114-A6310E062EA0}"/>
    <cellStyle name="Comma 4 2 11 2" xfId="22988" xr:uid="{75B8ECA9-441A-437D-B490-51E00EC9D9A6}"/>
    <cellStyle name="Comma 4 2 11 3" xfId="24441" xr:uid="{8C49ADF0-D0AD-4A19-8B04-71869C65A774}"/>
    <cellStyle name="Comma 4 2 11 4" xfId="52326" xr:uid="{8028F5A6-C292-42EC-B713-0204703DBCA3}"/>
    <cellStyle name="Comma 4 2 11 5" xfId="55342" xr:uid="{01B12497-911B-4919-BE75-5100A6412600}"/>
    <cellStyle name="Comma 4 2 12" xfId="19487" xr:uid="{F2DF3937-ECB8-4515-8F91-1C6B8D3042D6}"/>
    <cellStyle name="Comma 4 2 13" xfId="23757" xr:uid="{118E7343-4D2C-4ACE-AF38-3018E8D950AE}"/>
    <cellStyle name="Comma 4 2 14" xfId="48639" xr:uid="{75A2017B-10C5-4664-88C9-9F510871A374}"/>
    <cellStyle name="Comma 4 2 15" xfId="49547" xr:uid="{D830AF1B-0731-461A-8F9B-FDEE535432F3}"/>
    <cellStyle name="Comma 4 2 16" xfId="49789" xr:uid="{74F2F79A-929F-46D3-957D-866C2C1E05B7}"/>
    <cellStyle name="Comma 4 2 17" xfId="52804" xr:uid="{9EA5BD4F-535A-48E5-9F82-9A1E55FB2B68}"/>
    <cellStyle name="Comma 4 2 2" xfId="2626" xr:uid="{4E33E8F0-E4ED-4400-89CC-A7E578BA790C}"/>
    <cellStyle name="Comma 4 2 2 10" xfId="15463" xr:uid="{3F9B12CB-9657-436B-ABE3-F78A1525FF84}"/>
    <cellStyle name="Comma 4 2 2 10 2" xfId="22994" xr:uid="{B0284BE2-7EA2-4278-A8D0-639CD5944194}"/>
    <cellStyle name="Comma 4 2 2 10 3" xfId="46537" xr:uid="{C465FF42-F352-45CB-A7CE-B39BF0A8B1AC}"/>
    <cellStyle name="Comma 4 2 2 10 4" xfId="52332" xr:uid="{8FBA93D8-D350-4C20-A03A-459B1A527A9A}"/>
    <cellStyle name="Comma 4 2 2 10 5" xfId="55348" xr:uid="{D6826BB3-7A13-4397-9C01-9DFE14EBB202}"/>
    <cellStyle name="Comma 4 2 2 11" xfId="11195" xr:uid="{2E063EFC-EF9F-4B71-A702-6819EDDD0B49}"/>
    <cellStyle name="Comma 4 2 2 11 2" xfId="21691" xr:uid="{DC88CC13-6A1F-4E66-85EA-90E9E9CCCD83}"/>
    <cellStyle name="Comma 4 2 2 11 3" xfId="32442" xr:uid="{3250589C-BCE5-48FC-BFD7-0FAEA41D7372}"/>
    <cellStyle name="Comma 4 2 2 11 4" xfId="50708" xr:uid="{78BEBFAB-E490-4BBC-927F-7893DE4EE180}"/>
    <cellStyle name="Comma 4 2 2 11 5" xfId="53724" xr:uid="{26495475-9CDE-48BB-B69B-5E0F75682A97}"/>
    <cellStyle name="Comma 4 2 2 12" xfId="19488" xr:uid="{77139A38-BCB9-442B-8047-46040F23191C}"/>
    <cellStyle name="Comma 4 2 2 13" xfId="23758" xr:uid="{D0FC65DC-205E-4146-A23A-999DA148777D}"/>
    <cellStyle name="Comma 4 2 2 14" xfId="48640" xr:uid="{E36E3872-677E-4208-AC15-17026DC7EDA9}"/>
    <cellStyle name="Comma 4 2 2 15" xfId="49548" xr:uid="{AE7B0E44-DDC6-4EB2-ADAC-1101B807B9FB}"/>
    <cellStyle name="Comma 4 2 2 16" xfId="49795" xr:uid="{E2F46900-1297-4835-B0F4-E69C34C62193}"/>
    <cellStyle name="Comma 4 2 2 17" xfId="52810" xr:uid="{F6733F57-C024-4B48-8BF2-A0E18D6BEB7A}"/>
    <cellStyle name="Comma 4 2 2 2" xfId="8935" xr:uid="{2CD568C4-117A-41C6-BE9D-C02F3F057E22}"/>
    <cellStyle name="Comma 4 2 2 2 10" xfId="11496" xr:uid="{A72208B0-C885-43ED-BE67-3847478FD7AD}"/>
    <cellStyle name="Comma 4 2 2 2 10 2" xfId="48434" xr:uid="{D5FC4AED-F186-4E78-AF06-FD6506435424}"/>
    <cellStyle name="Comma 4 2 2 2 10 3" xfId="50720" xr:uid="{56FE3937-CDE7-4E19-83C9-DBE949F4E02D}"/>
    <cellStyle name="Comma 4 2 2 2 10 4" xfId="53736" xr:uid="{852B4754-5D23-43DA-B317-5A36942F2232}"/>
    <cellStyle name="Comma 4 2 2 2 11" xfId="23759" xr:uid="{E391D560-3C22-44F6-BB28-769296FAAA8A}"/>
    <cellStyle name="Comma 4 2 2 2 12" xfId="48641" xr:uid="{7E4D6C23-F852-415C-9CFA-4C2C135560A7}"/>
    <cellStyle name="Comma 4 2 2 2 13" xfId="49549" xr:uid="{D0635CBE-5CD7-44DC-B6BF-E388D7B1B09F}"/>
    <cellStyle name="Comma 4 2 2 2 14" xfId="49812" xr:uid="{8645314B-5CE6-410D-AB42-91B290819CE8}"/>
    <cellStyle name="Comma 4 2 2 2 15" xfId="52827" xr:uid="{F8535001-2C70-4190-A1DC-95AEA1CBA421}"/>
    <cellStyle name="Comma 4 2 2 2 2" xfId="10022" xr:uid="{50999523-92B5-4470-B6F4-51DD79D1E88E}"/>
    <cellStyle name="Comma 4 2 2 2 2 2" xfId="10330" xr:uid="{2CAB4E6E-6261-4B9A-A763-8FD3A6A85998}"/>
    <cellStyle name="Comma 4 2 2 2 2 2 2" xfId="14775" xr:uid="{EA1B98EB-803D-40B1-BFEB-EA0867E36864}"/>
    <cellStyle name="Comma 4 2 2 2 2 2 2 2" xfId="22322" xr:uid="{5A2BF512-598A-42B3-8DB6-20375D091556}"/>
    <cellStyle name="Comma 4 2 2 2 2 2 2 3" xfId="48063" xr:uid="{0B0DD3C6-29F6-4F4D-9DAC-3AD18EFAF114}"/>
    <cellStyle name="Comma 4 2 2 2 2 2 2 4" xfId="51660" xr:uid="{D83F529D-38F2-4502-9D6C-1FCB45B8AA0E}"/>
    <cellStyle name="Comma 4 2 2 2 2 2 2 5" xfId="54676" xr:uid="{1127FCC6-DF59-49BB-A78F-57894F60DE90}"/>
    <cellStyle name="Comma 4 2 2 2 2 2 3" xfId="15260" xr:uid="{B391A9B3-2B26-4124-ACAA-3E480B1C381C}"/>
    <cellStyle name="Comma 4 2 2 2 2 2 3 2" xfId="22799" xr:uid="{3D0F5E62-002A-476B-9F50-BF49DF9943EF}"/>
    <cellStyle name="Comma 4 2 2 2 2 2 3 3" xfId="46898" xr:uid="{453354AB-A39E-4AE9-910C-81720E3238E2}"/>
    <cellStyle name="Comma 4 2 2 2 2 2 3 4" xfId="52137" xr:uid="{FA995DC9-BAB9-4ADF-B59B-72B8D119CF63}"/>
    <cellStyle name="Comma 4 2 2 2 2 2 3 5" xfId="55153" xr:uid="{AF8177AE-503E-4394-9850-4489A6876241}"/>
    <cellStyle name="Comma 4 2 2 2 2 2 4" xfId="15747" xr:uid="{D36D1BD2-734E-45F1-8864-42AF03B274A8}"/>
    <cellStyle name="Comma 4 2 2 2 2 2 4 2" xfId="23276" xr:uid="{46B91EDB-1580-4029-A315-468F7369010D}"/>
    <cellStyle name="Comma 4 2 2 2 2 2 4 3" xfId="24313" xr:uid="{FEF94231-C6B6-4DB8-82E3-FB110964DE10}"/>
    <cellStyle name="Comma 4 2 2 2 2 2 4 4" xfId="52614" xr:uid="{C7586628-62F8-4C49-84E7-7228AFAFB850}"/>
    <cellStyle name="Comma 4 2 2 2 2 2 4 5" xfId="55630" xr:uid="{4049A647-6E5A-46F9-9010-E17E3F83BF23}"/>
    <cellStyle name="Comma 4 2 2 2 2 2 5" xfId="12783" xr:uid="{706B9783-210C-41EF-B2BE-5C253DA389A6}"/>
    <cellStyle name="Comma 4 2 2 2 2 2 5 2" xfId="48340" xr:uid="{DF8FF4FF-4378-4F82-8E9E-E7AB8161FCC2}"/>
    <cellStyle name="Comma 4 2 2 2 2 2 5 3" xfId="51183" xr:uid="{12A435A3-077E-46F8-BC9B-04FEE63EE9F8}"/>
    <cellStyle name="Comma 4 2 2 2 2 2 5 4" xfId="54199" xr:uid="{73C94A4F-B805-417E-884E-F5A3E589A673}"/>
    <cellStyle name="Comma 4 2 2 2 2 2 6" xfId="48156" xr:uid="{76C37BA5-1C4C-4C0D-8096-045E1FBA49FD}"/>
    <cellStyle name="Comma 4 2 2 2 2 2 7" xfId="50077" xr:uid="{6AB06342-8CD4-465C-AA00-ECBED47D9C32}"/>
    <cellStyle name="Comma 4 2 2 2 2 2 8" xfId="53093" xr:uid="{94A2438D-D4BE-421B-9174-A3C5498BB0D3}"/>
    <cellStyle name="Comma 4 2 2 2 2 3" xfId="14563" xr:uid="{51DF93D9-EECA-4E3D-B1D0-5D1DE1064208}"/>
    <cellStyle name="Comma 4 2 2 2 2 3 2" xfId="22110" xr:uid="{2259559B-0F63-4BE6-8FDB-A8F09CD5DD91}"/>
    <cellStyle name="Comma 4 2 2 2 2 3 3" xfId="32285" xr:uid="{9509ABF8-F925-4CB4-8C4A-E01A127921B3}"/>
    <cellStyle name="Comma 4 2 2 2 2 3 4" xfId="51448" xr:uid="{13577C1F-B59A-4484-AEA0-733F2003851A}"/>
    <cellStyle name="Comma 4 2 2 2 2 3 5" xfId="54464" xr:uid="{F6BF4BAA-42E0-4A90-AF6D-6F37F5D74F52}"/>
    <cellStyle name="Comma 4 2 2 2 2 4" xfId="15047" xr:uid="{C2D51C2C-850F-4341-994A-026B39800E46}"/>
    <cellStyle name="Comma 4 2 2 2 2 4 2" xfId="22587" xr:uid="{53F2BC39-146B-406A-8042-4451866765FC}"/>
    <cellStyle name="Comma 4 2 2 2 2 4 3" xfId="47401" xr:uid="{37F9D228-426C-4CEC-937F-2DEC4D7DB4CA}"/>
    <cellStyle name="Comma 4 2 2 2 2 4 4" xfId="51925" xr:uid="{2C408AB6-135A-4D20-95C1-FFC733754209}"/>
    <cellStyle name="Comma 4 2 2 2 2 4 5" xfId="54941" xr:uid="{09AEDBC5-A61F-48D0-BCED-C2D9BAB1F3D2}"/>
    <cellStyle name="Comma 4 2 2 2 2 5" xfId="15534" xr:uid="{0A838AA2-B9AD-4DFE-A25C-69A29B4CB85D}"/>
    <cellStyle name="Comma 4 2 2 2 2 5 2" xfId="23064" xr:uid="{90057737-DD68-4921-8D1E-223B5CAC2CD2}"/>
    <cellStyle name="Comma 4 2 2 2 2 5 3" xfId="46931" xr:uid="{6B0AB393-D411-4F9E-B5F9-4D6896FED87D}"/>
    <cellStyle name="Comma 4 2 2 2 2 5 4" xfId="52402" xr:uid="{1B263F25-FC81-4BA5-B2E5-7F7A43088668}"/>
    <cellStyle name="Comma 4 2 2 2 2 5 5" xfId="55418" xr:uid="{371F4EE9-499E-4C38-9598-58FE5750D66A}"/>
    <cellStyle name="Comma 4 2 2 2 2 6" xfId="12482" xr:uid="{79EFA828-3B9C-4955-8FA3-7827CF0D49F7}"/>
    <cellStyle name="Comma 4 2 2 2 2 6 2" xfId="48103" xr:uid="{D188DEC4-19B5-414E-9D23-1499DAB45CEF}"/>
    <cellStyle name="Comma 4 2 2 2 2 6 3" xfId="50971" xr:uid="{A5047B6B-5175-4428-B49F-C7607C7A7E3D}"/>
    <cellStyle name="Comma 4 2 2 2 2 6 4" xfId="53987" xr:uid="{422D7360-0287-4F96-805B-ABFA8F100EDF}"/>
    <cellStyle name="Comma 4 2 2 2 2 7" xfId="47273" xr:uid="{81293BB7-5F73-4FBA-8156-C0D50E93E3A4}"/>
    <cellStyle name="Comma 4 2 2 2 2 8" xfId="49865" xr:uid="{0AAAB8F3-8F08-4CEE-911A-1D00431C703F}"/>
    <cellStyle name="Comma 4 2 2 2 2 9" xfId="52881" xr:uid="{3CE76BEF-6ACE-4323-A868-576131670820}"/>
    <cellStyle name="Comma 4 2 2 2 3" xfId="10096" xr:uid="{9588EF84-79F6-45A0-BF7E-F9D1DD68CB2B}"/>
    <cellStyle name="Comma 4 2 2 2 3 2" xfId="10409" xr:uid="{523EB08C-133D-4DE8-961E-342B385F483D}"/>
    <cellStyle name="Comma 4 2 2 2 3 2 2" xfId="14828" xr:uid="{5162C214-1816-4161-B31A-F0E22E1AC71E}"/>
    <cellStyle name="Comma 4 2 2 2 3 2 2 2" xfId="22375" xr:uid="{0D87ACD5-C0F3-4DDA-ADF5-B38B53B31CCA}"/>
    <cellStyle name="Comma 4 2 2 2 3 2 2 3" xfId="47538" xr:uid="{8CC7ABF4-39CC-41EF-9927-300BC5C8F9D4}"/>
    <cellStyle name="Comma 4 2 2 2 3 2 2 4" xfId="51713" xr:uid="{4E393B9F-F6C5-4B47-83B1-B1D4F48176E3}"/>
    <cellStyle name="Comma 4 2 2 2 3 2 2 5" xfId="54729" xr:uid="{DE1C9277-11E9-4961-8FD3-E0B86D84348B}"/>
    <cellStyle name="Comma 4 2 2 2 3 2 3" xfId="15313" xr:uid="{B997A293-676B-4C71-AB39-1EFBBEF2DA40}"/>
    <cellStyle name="Comma 4 2 2 2 3 2 3 2" xfId="22852" xr:uid="{CEB81563-16BC-415E-A41C-D16A2E5BB283}"/>
    <cellStyle name="Comma 4 2 2 2 3 2 3 3" xfId="37450" xr:uid="{054EF586-AC9F-407A-82FC-434856723F42}"/>
    <cellStyle name="Comma 4 2 2 2 3 2 3 4" xfId="52190" xr:uid="{72606EF9-C5C5-4FF6-93C0-3F6521684E6B}"/>
    <cellStyle name="Comma 4 2 2 2 3 2 3 5" xfId="55206" xr:uid="{3431C7E3-78DE-4793-83BE-07FFE8FB19BF}"/>
    <cellStyle name="Comma 4 2 2 2 3 2 4" xfId="15800" xr:uid="{E0527B7C-7BA6-4253-89E7-4F351E68080D}"/>
    <cellStyle name="Comma 4 2 2 2 3 2 4 2" xfId="23329" xr:uid="{2EE68582-EB40-4B4F-84E1-235823FEE5F6}"/>
    <cellStyle name="Comma 4 2 2 2 3 2 4 3" xfId="47675" xr:uid="{6C926606-88BB-4E85-8E73-9CBB09457BA6}"/>
    <cellStyle name="Comma 4 2 2 2 3 2 4 4" xfId="52667" xr:uid="{0F9779E1-831B-4E8A-9831-8ACE288CF4E3}"/>
    <cellStyle name="Comma 4 2 2 2 3 2 4 5" xfId="55683" xr:uid="{CDFDD415-8D39-45A0-8E14-E78E987AB8DE}"/>
    <cellStyle name="Comma 4 2 2 2 3 2 5" xfId="12862" xr:uid="{BC6B0FFB-A4D6-43A7-B5D2-44F45EE9B886}"/>
    <cellStyle name="Comma 4 2 2 2 3 2 5 2" xfId="48033" xr:uid="{2E823FBE-3016-4FF5-AB6D-5E5D865FBB15}"/>
    <cellStyle name="Comma 4 2 2 2 3 2 5 3" xfId="51236" xr:uid="{82D27989-A8B2-4FDD-9194-C4842C2811BC}"/>
    <cellStyle name="Comma 4 2 2 2 3 2 5 4" xfId="54252" xr:uid="{F09BE016-3B2C-4958-A64F-F88DDD449AF4}"/>
    <cellStyle name="Comma 4 2 2 2 3 2 6" xfId="47881" xr:uid="{04BA8EB2-810B-4602-A3EF-396B5FBCC211}"/>
    <cellStyle name="Comma 4 2 2 2 3 2 7" xfId="50130" xr:uid="{FF18A10F-8FDA-4E79-82B1-CB88AF92C7CF}"/>
    <cellStyle name="Comma 4 2 2 2 3 2 8" xfId="53146" xr:uid="{2E1C2C7E-1637-4295-9062-10FC0C5F2A75}"/>
    <cellStyle name="Comma 4 2 2 2 3 3" xfId="14616" xr:uid="{475E0735-5909-46EF-9E1C-EF635871D100}"/>
    <cellStyle name="Comma 4 2 2 2 3 3 2" xfId="22163" xr:uid="{6A48A2EF-3ADE-40BE-A483-E3D34677E670}"/>
    <cellStyle name="Comma 4 2 2 2 3 3 3" xfId="46408" xr:uid="{06587E28-A060-43C1-975B-343EE1A404FD}"/>
    <cellStyle name="Comma 4 2 2 2 3 3 4" xfId="51501" xr:uid="{C038BF19-41C4-4C48-A8A3-885F686E469F}"/>
    <cellStyle name="Comma 4 2 2 2 3 3 5" xfId="54517" xr:uid="{A80C7558-7B9B-42DE-BEAD-CBE4A79FE942}"/>
    <cellStyle name="Comma 4 2 2 2 3 4" xfId="15101" xr:uid="{61026538-ABA7-41A8-B6D2-A479B02379FF}"/>
    <cellStyle name="Comma 4 2 2 2 3 4 2" xfId="22640" xr:uid="{26ECE728-D2BE-43A6-A0E5-FFF6E7BD50FA}"/>
    <cellStyle name="Comma 4 2 2 2 3 4 3" xfId="48299" xr:uid="{0A2A1CC4-2F29-46E4-948F-D17E2D7A0E1C}"/>
    <cellStyle name="Comma 4 2 2 2 3 4 4" xfId="51978" xr:uid="{0CFE6C4C-33AC-49A0-8B40-B76C695A76F7}"/>
    <cellStyle name="Comma 4 2 2 2 3 4 5" xfId="54994" xr:uid="{C9C5F22E-6634-4C51-A334-31284BDF8CD6}"/>
    <cellStyle name="Comma 4 2 2 2 3 5" xfId="15588" xr:uid="{4EC4614B-0670-47D4-89EA-49B479BE6F1A}"/>
    <cellStyle name="Comma 4 2 2 2 3 5 2" xfId="23117" xr:uid="{9909A567-9932-49E0-AC53-0B5F5E682793}"/>
    <cellStyle name="Comma 4 2 2 2 3 5 3" xfId="48097" xr:uid="{1C9B1276-A3F0-4EA0-A908-239E95BF3E3B}"/>
    <cellStyle name="Comma 4 2 2 2 3 5 4" xfId="52455" xr:uid="{92BF4ABD-4C8E-4F44-827D-11636C3188A5}"/>
    <cellStyle name="Comma 4 2 2 2 3 5 5" xfId="55471" xr:uid="{9E5DE173-C5E8-4813-8FD4-E93BADD4593D}"/>
    <cellStyle name="Comma 4 2 2 2 3 6" xfId="12553" xr:uid="{1A266978-A0F9-4889-8479-A67C93B49DA1}"/>
    <cellStyle name="Comma 4 2 2 2 3 6 2" xfId="33694" xr:uid="{A1820E59-946D-4B0E-A219-DE881AB615AA}"/>
    <cellStyle name="Comma 4 2 2 2 3 6 3" xfId="51024" xr:uid="{E924EEA0-8340-4420-94FF-EE6DA3379145}"/>
    <cellStyle name="Comma 4 2 2 2 3 6 4" xfId="54040" xr:uid="{DD78D59A-A766-479D-824E-1AD7ED65C242}"/>
    <cellStyle name="Comma 4 2 2 2 3 7" xfId="47576" xr:uid="{BC4A610C-136C-44B7-AB81-C020D4C0C0E9}"/>
    <cellStyle name="Comma 4 2 2 2 3 8" xfId="49918" xr:uid="{5E865982-A89D-49BC-9E26-F8F34495C5CF}"/>
    <cellStyle name="Comma 4 2 2 2 3 9" xfId="52934" xr:uid="{2ABFCE2A-C570-4562-BB00-D177B3D508B0}"/>
    <cellStyle name="Comma 4 2 2 2 4" xfId="10175" xr:uid="{2A953DD4-47A7-4B58-940D-DCDE702650E9}"/>
    <cellStyle name="Comma 4 2 2 2 4 2" xfId="10489" xr:uid="{C8919942-095D-455C-B27A-CA0F505A4CFA}"/>
    <cellStyle name="Comma 4 2 2 2 4 2 2" xfId="14881" xr:uid="{0647C2E8-BEFB-4586-B33D-E57FBCB757FA}"/>
    <cellStyle name="Comma 4 2 2 2 4 2 2 2" xfId="22428" xr:uid="{89922D48-666D-4DC3-AE95-903289B67BC5}"/>
    <cellStyle name="Comma 4 2 2 2 4 2 2 3" xfId="47152" xr:uid="{8814370B-8596-45B2-BB69-EA68A4C49BBC}"/>
    <cellStyle name="Comma 4 2 2 2 4 2 2 4" xfId="51766" xr:uid="{CBA25C7E-9D76-4E0F-A86E-B223A6042BC0}"/>
    <cellStyle name="Comma 4 2 2 2 4 2 2 5" xfId="54782" xr:uid="{BFFE8456-B7A3-4FEE-A047-31F0EA1F7EF1}"/>
    <cellStyle name="Comma 4 2 2 2 4 2 3" xfId="15366" xr:uid="{6A60E5D0-9696-485E-A798-1DC4DC436FB1}"/>
    <cellStyle name="Comma 4 2 2 2 4 2 3 2" xfId="22905" xr:uid="{5FA8411C-0962-43D3-9893-C6D217F7F552}"/>
    <cellStyle name="Comma 4 2 2 2 4 2 3 3" xfId="24653" xr:uid="{52A07B42-FAE0-4CEA-91D4-F7AE6C6FC1BA}"/>
    <cellStyle name="Comma 4 2 2 2 4 2 3 4" xfId="52243" xr:uid="{E80C314F-24B2-460B-8DE3-DCFC9429272E}"/>
    <cellStyle name="Comma 4 2 2 2 4 2 3 5" xfId="55259" xr:uid="{7FD79832-DE03-4531-849A-3A7FBE4FAB49}"/>
    <cellStyle name="Comma 4 2 2 2 4 2 4" xfId="15853" xr:uid="{7EF65420-1F05-4029-A6A8-D633D021EEBB}"/>
    <cellStyle name="Comma 4 2 2 2 4 2 4 2" xfId="23382" xr:uid="{3E476B1F-C650-41DE-877D-20752EBC6FD0}"/>
    <cellStyle name="Comma 4 2 2 2 4 2 4 3" xfId="48372" xr:uid="{0BFE78E7-13EC-41FC-ABEF-BF624BDE6071}"/>
    <cellStyle name="Comma 4 2 2 2 4 2 4 4" xfId="52720" xr:uid="{A0BB74B5-5EC0-4819-AB92-8C3E0410284A}"/>
    <cellStyle name="Comma 4 2 2 2 4 2 4 5" xfId="55736" xr:uid="{307F5829-F990-4101-97FD-582AC97BC300}"/>
    <cellStyle name="Comma 4 2 2 2 4 2 5" xfId="12942" xr:uid="{0FE74331-6080-4B80-B870-E5A6A07DF5A0}"/>
    <cellStyle name="Comma 4 2 2 2 4 2 5 2" xfId="25039" xr:uid="{1457B4E1-548C-49C9-801F-1172D8841622}"/>
    <cellStyle name="Comma 4 2 2 2 4 2 5 3" xfId="51289" xr:uid="{BF632A13-F6B6-4EA8-B7D1-C71598B201FF}"/>
    <cellStyle name="Comma 4 2 2 2 4 2 5 4" xfId="54305" xr:uid="{79B28F69-E645-44EC-B9CE-2A3E065B6B22}"/>
    <cellStyle name="Comma 4 2 2 2 4 2 6" xfId="48461" xr:uid="{F29C05E8-0E02-4821-9E94-523A448DBEF8}"/>
    <cellStyle name="Comma 4 2 2 2 4 2 7" xfId="50183" xr:uid="{1E510569-1454-4347-BCA5-26B6401BBC00}"/>
    <cellStyle name="Comma 4 2 2 2 4 2 8" xfId="53199" xr:uid="{A95FD999-A9A5-4E8A-850C-139C1E53D215}"/>
    <cellStyle name="Comma 4 2 2 2 4 3" xfId="14669" xr:uid="{8649FF89-167A-4CCF-8D7E-96A05F0C8326}"/>
    <cellStyle name="Comma 4 2 2 2 4 3 2" xfId="22216" xr:uid="{7743DB67-08BA-48CF-AF08-3DFFD8684119}"/>
    <cellStyle name="Comma 4 2 2 2 4 3 3" xfId="32531" xr:uid="{6505468A-0C6B-435D-B537-40A4C420EA75}"/>
    <cellStyle name="Comma 4 2 2 2 4 3 4" xfId="51554" xr:uid="{DB1CA5D2-C187-4D9B-857E-2DA6768AE18F}"/>
    <cellStyle name="Comma 4 2 2 2 4 3 5" xfId="54570" xr:uid="{F54141A5-DE7A-4147-BDCA-D5C8B339CE3A}"/>
    <cellStyle name="Comma 4 2 2 2 4 4" xfId="15154" xr:uid="{193D9A93-16EF-484B-A1CC-227B97B879ED}"/>
    <cellStyle name="Comma 4 2 2 2 4 4 2" xfId="22693" xr:uid="{9FA73BF9-D74D-4A75-813A-37C2FA9B040D}"/>
    <cellStyle name="Comma 4 2 2 2 4 4 3" xfId="46688" xr:uid="{54C34351-BD5D-4F43-935D-17491BC629AE}"/>
    <cellStyle name="Comma 4 2 2 2 4 4 4" xfId="52031" xr:uid="{9E398518-7A7C-401E-8065-6793580C0741}"/>
    <cellStyle name="Comma 4 2 2 2 4 4 5" xfId="55047" xr:uid="{72C2728B-C971-44E2-A52B-3713002AA00A}"/>
    <cellStyle name="Comma 4 2 2 2 4 5" xfId="15641" xr:uid="{19E78A9A-6CFE-4626-9653-3643483E172F}"/>
    <cellStyle name="Comma 4 2 2 2 4 5 2" xfId="23170" xr:uid="{BFEB5972-ECAF-4E1A-9600-63E43B1C9837}"/>
    <cellStyle name="Comma 4 2 2 2 4 5 3" xfId="47645" xr:uid="{99E5B4EB-F60C-47C2-B19D-6B2FA40BA7CC}"/>
    <cellStyle name="Comma 4 2 2 2 4 5 4" xfId="52508" xr:uid="{8DEA956D-ED1E-4660-901D-DE7732B58BB0}"/>
    <cellStyle name="Comma 4 2 2 2 4 5 5" xfId="55524" xr:uid="{43D64282-F851-4256-8003-132A8CA97D20}"/>
    <cellStyle name="Comma 4 2 2 2 4 6" xfId="12629" xr:uid="{7E669B50-FD66-47B8-9473-1DE2331FCF13}"/>
    <cellStyle name="Comma 4 2 2 2 4 6 2" xfId="25067" xr:uid="{557F86B9-9CD6-4809-BE96-68AF82A2248D}"/>
    <cellStyle name="Comma 4 2 2 2 4 6 3" xfId="51077" xr:uid="{210D2564-958C-4D69-ADA9-CBD4F8863536}"/>
    <cellStyle name="Comma 4 2 2 2 4 6 4" xfId="54093" xr:uid="{B3D9D95D-D650-4811-AF04-EBCE7308EA6A}"/>
    <cellStyle name="Comma 4 2 2 2 4 7" xfId="48567" xr:uid="{81AA3731-3758-44FE-BA09-26D5C2130CDD}"/>
    <cellStyle name="Comma 4 2 2 2 4 8" xfId="49971" xr:uid="{5A0098C4-BEF2-4903-9A8D-1F0F58320F2E}"/>
    <cellStyle name="Comma 4 2 2 2 4 9" xfId="52987" xr:uid="{443FC37C-B98A-40BC-B57C-B5128A6625C0}"/>
    <cellStyle name="Comma 4 2 2 2 5" xfId="10255" xr:uid="{A3D9511C-E17C-4993-97C0-B90C1CD436C9}"/>
    <cellStyle name="Comma 4 2 2 2 5 2" xfId="14722" xr:uid="{00C254AB-333A-44BF-819D-DB32F7A6B6EA}"/>
    <cellStyle name="Comma 4 2 2 2 5 2 2" xfId="22269" xr:uid="{BA7E8DC4-4B53-4579-B50E-53EB5294AA01}"/>
    <cellStyle name="Comma 4 2 2 2 5 2 3" xfId="24958" xr:uid="{3EC2BA95-E3B7-4281-AD93-C72622488B81}"/>
    <cellStyle name="Comma 4 2 2 2 5 2 4" xfId="51607" xr:uid="{9BF761E4-BFED-4735-AE12-697807714152}"/>
    <cellStyle name="Comma 4 2 2 2 5 2 5" xfId="54623" xr:uid="{496484F1-FDD0-475C-AD1E-0C26B3C67469}"/>
    <cellStyle name="Comma 4 2 2 2 5 3" xfId="15207" xr:uid="{A4282865-F7F3-460E-BFF5-BBC837D8D652}"/>
    <cellStyle name="Comma 4 2 2 2 5 3 2" xfId="22746" xr:uid="{FA626783-CBF8-4DA5-8080-17424E1AC0CD}"/>
    <cellStyle name="Comma 4 2 2 2 5 3 3" xfId="25290" xr:uid="{3BF8CD1F-107D-48FC-9091-A8D636168817}"/>
    <cellStyle name="Comma 4 2 2 2 5 3 4" xfId="52084" xr:uid="{35544964-5359-4984-A745-F01DD129D8C3}"/>
    <cellStyle name="Comma 4 2 2 2 5 3 5" xfId="55100" xr:uid="{08A4870F-0E6E-4944-B47C-12999A6B4006}"/>
    <cellStyle name="Comma 4 2 2 2 5 4" xfId="15694" xr:uid="{BB06D06A-60E5-4641-A39F-52D8A3F30003}"/>
    <cellStyle name="Comma 4 2 2 2 5 4 2" xfId="23223" xr:uid="{C0245534-87AF-45C9-B598-78A4AF625583}"/>
    <cellStyle name="Comma 4 2 2 2 5 4 3" xfId="47046" xr:uid="{45AA604D-7232-4D5D-9BEF-471BFA33BD9B}"/>
    <cellStyle name="Comma 4 2 2 2 5 4 4" xfId="52561" xr:uid="{B37FE9B3-DCEB-4497-BCCC-6B75B8FF9418}"/>
    <cellStyle name="Comma 4 2 2 2 5 4 5" xfId="55577" xr:uid="{60508820-CF01-4BA1-8168-0EF7C0A0E2C2}"/>
    <cellStyle name="Comma 4 2 2 2 5 5" xfId="12708" xr:uid="{F5DFF033-1404-40A9-8468-CC1DED0F6438}"/>
    <cellStyle name="Comma 4 2 2 2 5 5 2" xfId="46784" xr:uid="{12BC527E-F2FB-4055-BCC6-8893D751542A}"/>
    <cellStyle name="Comma 4 2 2 2 5 5 3" xfId="51130" xr:uid="{24FD95A0-D4D7-410E-B3D7-A5DFDF17F973}"/>
    <cellStyle name="Comma 4 2 2 2 5 5 4" xfId="54146" xr:uid="{C0038CED-AA11-41B8-8DE0-B02F2D6FF59C}"/>
    <cellStyle name="Comma 4 2 2 2 5 6" xfId="48571" xr:uid="{4DE57BA0-F87B-4807-B96E-C46A8397628F}"/>
    <cellStyle name="Comma 4 2 2 2 5 7" xfId="50024" xr:uid="{05E717FB-461D-48A2-B0CA-9F99F39B0929}"/>
    <cellStyle name="Comma 4 2 2 2 5 8" xfId="53040" xr:uid="{5A26B573-7B10-421B-85C3-8355F49A56A8}"/>
    <cellStyle name="Comma 4 2 2 2 6" xfId="10569" xr:uid="{C610AC1C-285B-4EA2-8008-EE7176DF5382}"/>
    <cellStyle name="Comma 4 2 2 2 6 2" xfId="14934" xr:uid="{DB8B258E-FB00-423E-97B7-CBEC8042651A}"/>
    <cellStyle name="Comma 4 2 2 2 6 2 2" xfId="22481" xr:uid="{3A4EAA77-3AAC-491B-B5C0-48B6566E1AA5}"/>
    <cellStyle name="Comma 4 2 2 2 6 2 3" xfId="47808" xr:uid="{17540EAB-1DF4-48B6-97DC-88F305D6BB43}"/>
    <cellStyle name="Comma 4 2 2 2 6 2 4" xfId="51819" xr:uid="{7B088D38-44E8-4C8F-8C95-B7A4E90AC518}"/>
    <cellStyle name="Comma 4 2 2 2 6 2 5" xfId="54835" xr:uid="{32771F30-D65B-4A97-90C1-370577254C23}"/>
    <cellStyle name="Comma 4 2 2 2 6 3" xfId="15419" xr:uid="{909C810D-EAFC-4AA9-B7D0-B8B940A56E11}"/>
    <cellStyle name="Comma 4 2 2 2 6 3 2" xfId="22958" xr:uid="{7CD68EE6-70E6-4193-A7A8-F4DEFBEFFE2B}"/>
    <cellStyle name="Comma 4 2 2 2 6 3 3" xfId="25289" xr:uid="{E6C363F4-9EA3-4D70-AA77-EFAB061945EC}"/>
    <cellStyle name="Comma 4 2 2 2 6 3 4" xfId="52296" xr:uid="{7F6766F9-938E-4485-BA49-71565AB5ABF0}"/>
    <cellStyle name="Comma 4 2 2 2 6 3 5" xfId="55312" xr:uid="{E8168C2F-A386-4EA4-B80A-BF818F2CD3D0}"/>
    <cellStyle name="Comma 4 2 2 2 6 4" xfId="15907" xr:uid="{24A11498-7F5F-4450-A1BA-3437EB1E03FE}"/>
    <cellStyle name="Comma 4 2 2 2 6 4 2" xfId="23435" xr:uid="{59763D23-F6C4-433A-83E6-EDDE7E57EA09}"/>
    <cellStyle name="Comma 4 2 2 2 6 4 3" xfId="48373" xr:uid="{65F54DFA-BE74-4F55-95BE-E9978E8AAA7F}"/>
    <cellStyle name="Comma 4 2 2 2 6 4 4" xfId="52773" xr:uid="{71C636FA-1ABB-4267-BF93-37E55286F2F3}"/>
    <cellStyle name="Comma 4 2 2 2 6 4 5" xfId="55789" xr:uid="{6A42DA53-0A0C-4D1C-8F63-5ED670EEEE3F}"/>
    <cellStyle name="Comma 4 2 2 2 6 5" xfId="13022" xr:uid="{4685F4F1-B851-420F-878E-AA83E9B15EE1}"/>
    <cellStyle name="Comma 4 2 2 2 6 5 2" xfId="46383" xr:uid="{B401D835-1D0B-4419-8B8A-4C2E5DFDE79C}"/>
    <cellStyle name="Comma 4 2 2 2 6 5 3" xfId="51342" xr:uid="{B3CE7835-B6C6-4F84-BD8D-A1D55D4DB980}"/>
    <cellStyle name="Comma 4 2 2 2 6 5 4" xfId="54358" xr:uid="{FBC49978-C680-4F97-B546-61F612D95613}"/>
    <cellStyle name="Comma 4 2 2 2 6 6" xfId="46631" xr:uid="{8C797DBF-6CF9-421C-8A02-74604FCB4542}"/>
    <cellStyle name="Comma 4 2 2 2 6 7" xfId="50236" xr:uid="{26E88B0A-5DFD-4556-8147-A0DF756B7C95}"/>
    <cellStyle name="Comma 4 2 2 2 6 8" xfId="53252" xr:uid="{3AF590EE-5EFD-4F73-BD13-EA46E094F220}"/>
    <cellStyle name="Comma 4 2 2 2 7" xfId="14510" xr:uid="{1169AD73-A99C-4211-89C3-12897CCFD73B}"/>
    <cellStyle name="Comma 4 2 2 2 7 2" xfId="22057" xr:uid="{657502F4-2B3B-4831-8036-B0F5FD8E2CD2}"/>
    <cellStyle name="Comma 4 2 2 2 7 3" xfId="46390" xr:uid="{25F60FA5-7521-4264-9E9F-5A9F0E236BFA}"/>
    <cellStyle name="Comma 4 2 2 2 7 4" xfId="51395" xr:uid="{5CE579B9-4645-4F80-9776-2439D20433C5}"/>
    <cellStyle name="Comma 4 2 2 2 7 5" xfId="54411" xr:uid="{42C89B99-F346-49B0-985B-A518153529C8}"/>
    <cellStyle name="Comma 4 2 2 2 8" xfId="14994" xr:uid="{E111C3BA-098C-4AD7-BAE7-9F21AB8A288F}"/>
    <cellStyle name="Comma 4 2 2 2 8 2" xfId="22534" xr:uid="{8DDFFEDA-BB43-4286-8816-72E0C1279A58}"/>
    <cellStyle name="Comma 4 2 2 2 8 3" xfId="48505" xr:uid="{D8F1D0C0-5886-458D-A60A-48111807BE5E}"/>
    <cellStyle name="Comma 4 2 2 2 8 4" xfId="51872" xr:uid="{809E9101-AF54-46E5-AC7E-FD4D68FF248E}"/>
    <cellStyle name="Comma 4 2 2 2 8 5" xfId="54888" xr:uid="{1FA63331-6D8B-470F-A241-397E1F1FC0D0}"/>
    <cellStyle name="Comma 4 2 2 2 9" xfId="15481" xr:uid="{536422BC-C581-4D24-979D-7CF80518783D}"/>
    <cellStyle name="Comma 4 2 2 2 9 2" xfId="23011" xr:uid="{05BEC4F4-DE02-4D7C-A309-DFE9BA9DAC18}"/>
    <cellStyle name="Comma 4 2 2 2 9 3" xfId="47002" xr:uid="{6D66FD8D-42EE-4D84-B3CB-5FD2E5F642CE}"/>
    <cellStyle name="Comma 4 2 2 2 9 4" xfId="52349" xr:uid="{7903B9F6-B5D5-4766-8C1B-05234CEABBDC}"/>
    <cellStyle name="Comma 4 2 2 2 9 5" xfId="55365" xr:uid="{FBCBF40B-C9E4-4849-9164-241C95DDB4FD}"/>
    <cellStyle name="Comma 4 2 2 3" xfId="9881" xr:uid="{776888D6-A15E-47B6-BBEF-57260F59E5DD}"/>
    <cellStyle name="Comma 4 2 2 3 2" xfId="10307" xr:uid="{52D99890-3B7D-4F2D-A58B-31B56A4E266F}"/>
    <cellStyle name="Comma 4 2 2 3 2 2" xfId="14758" xr:uid="{9AA7BAE4-5613-4F73-AA09-47097F3BA74A}"/>
    <cellStyle name="Comma 4 2 2 3 2 2 2" xfId="22305" xr:uid="{22CE889F-72FC-4A17-9A0E-B2F897A3CD49}"/>
    <cellStyle name="Comma 4 2 2 3 2 2 3" xfId="47929" xr:uid="{CDB73852-C6E6-465E-A974-FF1C6DD05009}"/>
    <cellStyle name="Comma 4 2 2 3 2 2 4" xfId="51643" xr:uid="{DFFA4A1B-D989-417C-8ABA-48C38B72CC41}"/>
    <cellStyle name="Comma 4 2 2 3 2 2 5" xfId="54659" xr:uid="{FB08C81A-4D75-4C68-96E1-9B688429AAC8}"/>
    <cellStyle name="Comma 4 2 2 3 2 3" xfId="15243" xr:uid="{04FC28B3-4873-435E-BCEB-16EC9D0D1AA9}"/>
    <cellStyle name="Comma 4 2 2 3 2 3 2" xfId="22782" xr:uid="{E003D8F9-6B8A-4479-B212-8BA54A0D8B54}"/>
    <cellStyle name="Comma 4 2 2 3 2 3 3" xfId="48218" xr:uid="{AAB372B7-823A-437C-BDC2-91E37261D950}"/>
    <cellStyle name="Comma 4 2 2 3 2 3 4" xfId="52120" xr:uid="{5C8B295A-41F9-4D5B-99CB-14D9528371E5}"/>
    <cellStyle name="Comma 4 2 2 3 2 3 5" xfId="55136" xr:uid="{4B99DD05-D6CB-4049-836D-B1D37EF026C0}"/>
    <cellStyle name="Comma 4 2 2 3 2 4" xfId="15730" xr:uid="{36E5CC05-3C1B-48AC-80B9-0B37379B7B38}"/>
    <cellStyle name="Comma 4 2 2 3 2 4 2" xfId="23259" xr:uid="{9898C1F6-1D4A-447C-B2FA-54075ADC5190}"/>
    <cellStyle name="Comma 4 2 2 3 2 4 3" xfId="48521" xr:uid="{76B1EEC7-D787-48C9-8641-39416A37A11D}"/>
    <cellStyle name="Comma 4 2 2 3 2 4 4" xfId="52597" xr:uid="{92A3CB1F-E990-4484-85EA-D2A933D1883C}"/>
    <cellStyle name="Comma 4 2 2 3 2 4 5" xfId="55613" xr:uid="{2758842D-A75B-4F38-814C-5D834AC49AFA}"/>
    <cellStyle name="Comma 4 2 2 3 2 5" xfId="12760" xr:uid="{4EF479D2-1421-4B0A-B7C0-ACC71D291288}"/>
    <cellStyle name="Comma 4 2 2 3 2 5 2" xfId="46349" xr:uid="{1B9C3C82-1EF5-4779-86AE-7A58FB790F68}"/>
    <cellStyle name="Comma 4 2 2 3 2 5 3" xfId="51166" xr:uid="{D0A1D49A-7C2A-4CB4-B932-D6EB01A30C62}"/>
    <cellStyle name="Comma 4 2 2 3 2 5 4" xfId="54182" xr:uid="{6CD5A4C5-6F0C-455D-8E47-FD75B15D9753}"/>
    <cellStyle name="Comma 4 2 2 3 2 6" xfId="46087" xr:uid="{351E9561-4DF5-4FE8-B8CB-ABA23063984E}"/>
    <cellStyle name="Comma 4 2 2 3 2 7" xfId="50060" xr:uid="{2C0F9231-5F95-4687-B187-2477AF5D22F2}"/>
    <cellStyle name="Comma 4 2 2 3 2 8" xfId="53076" xr:uid="{B8B31684-723C-4BC0-9D6B-6914F3094C48}"/>
    <cellStyle name="Comma 4 2 2 3 3" xfId="14546" xr:uid="{E6D6F166-FBF6-4777-8FCB-B1DE9C9DEDC5}"/>
    <cellStyle name="Comma 4 2 2 3 3 2" xfId="22093" xr:uid="{C37C8A91-6A84-4811-AC0C-485A2F4B89C8}"/>
    <cellStyle name="Comma 4 2 2 3 3 3" xfId="46395" xr:uid="{CE3F6536-0B5A-40B1-8F9B-889CD154C52A}"/>
    <cellStyle name="Comma 4 2 2 3 3 4" xfId="51431" xr:uid="{D10F2AE3-31FD-40B6-8FCA-5A3294FCA532}"/>
    <cellStyle name="Comma 4 2 2 3 3 5" xfId="54447" xr:uid="{71F2028F-BD56-46BD-AD5B-7FB788CFA818}"/>
    <cellStyle name="Comma 4 2 2 3 4" xfId="15030" xr:uid="{9347DA35-23B1-4CD4-87C1-5CC3F794800F}"/>
    <cellStyle name="Comma 4 2 2 3 4 2" xfId="22570" xr:uid="{AD528072-D567-43D5-B8A2-894BA6B9C56C}"/>
    <cellStyle name="Comma 4 2 2 3 4 3" xfId="46873" xr:uid="{9A479039-719E-4F64-9C97-6BDE1055EBBF}"/>
    <cellStyle name="Comma 4 2 2 3 4 4" xfId="51908" xr:uid="{C9FA320E-977A-4DEC-9D2D-397788286586}"/>
    <cellStyle name="Comma 4 2 2 3 4 5" xfId="54924" xr:uid="{4D63986D-B43D-43C4-A294-2E566C73D770}"/>
    <cellStyle name="Comma 4 2 2 3 5" xfId="15517" xr:uid="{7506F375-82AD-4CD0-B93A-8B9565369910}"/>
    <cellStyle name="Comma 4 2 2 3 5 2" xfId="23047" xr:uid="{623948F7-142C-4611-977F-05679270A853}"/>
    <cellStyle name="Comma 4 2 2 3 5 3" xfId="47642" xr:uid="{46CC2EDE-27F0-4CBF-B83C-1DFA32D769C6}"/>
    <cellStyle name="Comma 4 2 2 3 5 4" xfId="52385" xr:uid="{FF5EE1FB-5190-426E-88C5-7D8F8ADA0738}"/>
    <cellStyle name="Comma 4 2 2 3 5 5" xfId="55401" xr:uid="{5D602908-8CFA-4EDC-97E1-5DDC011592AE}"/>
    <cellStyle name="Comma 4 2 2 3 6" xfId="12459" xr:uid="{AEEE59D1-8E9B-491B-91DF-EE04AEDBAB8D}"/>
    <cellStyle name="Comma 4 2 2 3 6 2" xfId="47266" xr:uid="{F854AC64-DF24-4DD6-AFB9-28C5264DF5ED}"/>
    <cellStyle name="Comma 4 2 2 3 6 3" xfId="50954" xr:uid="{015D238A-1E7A-4F93-A856-910617578D6D}"/>
    <cellStyle name="Comma 4 2 2 3 6 4" xfId="53970" xr:uid="{DC0FFB87-807D-46E0-87FF-C9A1B1056E0D}"/>
    <cellStyle name="Comma 4 2 2 3 7" xfId="46018" xr:uid="{DC0FE377-0F53-42F7-90CD-CCDBDECF4C00}"/>
    <cellStyle name="Comma 4 2 2 3 8" xfId="49848" xr:uid="{3A26AF69-7C27-4F43-AC84-6F9E3817EDC6}"/>
    <cellStyle name="Comma 4 2 2 3 9" xfId="52864" xr:uid="{DAE30816-6CD6-4207-91F1-D1DEC52A2A81}"/>
    <cellStyle name="Comma 4 2 2 4" xfId="10074" xr:uid="{922C55AB-F850-402D-8822-61CB44E21F2F}"/>
    <cellStyle name="Comma 4 2 2 4 2" xfId="10386" xr:uid="{F41BDCDC-CB0E-4DCC-9B32-2155728E58CD}"/>
    <cellStyle name="Comma 4 2 2 4 2 2" xfId="14811" xr:uid="{C722941B-B6D5-400F-9979-F43DDD7C30A6}"/>
    <cellStyle name="Comma 4 2 2 4 2 2 2" xfId="22358" xr:uid="{957D489F-14CF-4D44-9BCC-85F49534A3E7}"/>
    <cellStyle name="Comma 4 2 2 4 2 2 3" xfId="48352" xr:uid="{03FC2483-248B-4AE0-AF3B-5D458E204976}"/>
    <cellStyle name="Comma 4 2 2 4 2 2 4" xfId="51696" xr:uid="{F98C0D57-65C1-4605-8842-BA4EDE7C016F}"/>
    <cellStyle name="Comma 4 2 2 4 2 2 5" xfId="54712" xr:uid="{AEC59E1A-E1D8-4138-9E7A-56ED521F1DE0}"/>
    <cellStyle name="Comma 4 2 2 4 2 3" xfId="15296" xr:uid="{B2E63FAE-92F9-4DB8-8B46-AB94E54B01EC}"/>
    <cellStyle name="Comma 4 2 2 4 2 3 2" xfId="22835" xr:uid="{40C650DE-450A-4F46-8035-E5F7CEF2E00F}"/>
    <cellStyle name="Comma 4 2 2 4 2 3 3" xfId="47436" xr:uid="{5BE4486E-9945-4C2C-ABB0-12915A175380}"/>
    <cellStyle name="Comma 4 2 2 4 2 3 4" xfId="52173" xr:uid="{CB48C37A-2BFC-4134-9F82-2D51B7F28E57}"/>
    <cellStyle name="Comma 4 2 2 4 2 3 5" xfId="55189" xr:uid="{B9DD6443-71AB-4A39-8AD2-F1DEDEEF8BD2}"/>
    <cellStyle name="Comma 4 2 2 4 2 4" xfId="15783" xr:uid="{D9091783-6120-47E7-921E-F71B60714175}"/>
    <cellStyle name="Comma 4 2 2 4 2 4 2" xfId="23312" xr:uid="{FE68BD4E-D8B6-4744-BB05-B4A909611220}"/>
    <cellStyle name="Comma 4 2 2 4 2 4 3" xfId="46964" xr:uid="{8BDF228F-9D90-4051-988E-7D40F719DFFF}"/>
    <cellStyle name="Comma 4 2 2 4 2 4 4" xfId="52650" xr:uid="{44B93255-D8F3-4F65-9DE6-61015FB3F0CA}"/>
    <cellStyle name="Comma 4 2 2 4 2 4 5" xfId="55666" xr:uid="{F7124A73-5ACB-4282-8FA9-DE6774A0251D}"/>
    <cellStyle name="Comma 4 2 2 4 2 5" xfId="12839" xr:uid="{319615BF-60DB-4558-A192-E33114EEE3FD}"/>
    <cellStyle name="Comma 4 2 2 4 2 5 2" xfId="48054" xr:uid="{B3CD8747-CBEC-4277-A408-F84B2BA7D2A8}"/>
    <cellStyle name="Comma 4 2 2 4 2 5 3" xfId="51219" xr:uid="{42EEB986-8416-474F-97E0-D04A94F7F354}"/>
    <cellStyle name="Comma 4 2 2 4 2 5 4" xfId="54235" xr:uid="{E0818217-AFDD-42E7-B299-33E86BC6C145}"/>
    <cellStyle name="Comma 4 2 2 4 2 6" xfId="46625" xr:uid="{4F8BBA10-3391-4AF2-80FC-6889AB5D7583}"/>
    <cellStyle name="Comma 4 2 2 4 2 7" xfId="50113" xr:uid="{4EBAE781-1C9C-4A53-ACD2-A06556874455}"/>
    <cellStyle name="Comma 4 2 2 4 2 8" xfId="53129" xr:uid="{49AA4C74-506F-4BB7-87C2-BC40771000D3}"/>
    <cellStyle name="Comma 4 2 2 4 3" xfId="14599" xr:uid="{7B41A150-93C2-4E87-8225-575D99228FCA}"/>
    <cellStyle name="Comma 4 2 2 4 3 2" xfId="22146" xr:uid="{5F89263B-34A9-4C1E-B5CB-0C9FDD12EA2C}"/>
    <cellStyle name="Comma 4 2 2 4 3 3" xfId="32548" xr:uid="{57F8AAE6-58BA-4633-B5AC-4311957B182C}"/>
    <cellStyle name="Comma 4 2 2 4 3 4" xfId="51484" xr:uid="{3F14BC6F-9B65-4D43-A501-6258CC277836}"/>
    <cellStyle name="Comma 4 2 2 4 3 5" xfId="54500" xr:uid="{174C66B7-BE10-4D82-9A29-D495F6BB2E3C}"/>
    <cellStyle name="Comma 4 2 2 4 4" xfId="15084" xr:uid="{371C8518-1B25-4B61-949D-A620F2D505FB}"/>
    <cellStyle name="Comma 4 2 2 4 4 2" xfId="22623" xr:uid="{444B2754-D541-40FB-84C0-6C7CD55AD7D7}"/>
    <cellStyle name="Comma 4 2 2 4 4 3" xfId="32507" xr:uid="{10C29628-E5D2-4362-B51B-981859488C0A}"/>
    <cellStyle name="Comma 4 2 2 4 4 4" xfId="51961" xr:uid="{F3634094-8A0B-450F-898D-EDCB43681985}"/>
    <cellStyle name="Comma 4 2 2 4 4 5" xfId="54977" xr:uid="{07FEDEE3-26C5-41FD-86FB-452A5F542B7A}"/>
    <cellStyle name="Comma 4 2 2 4 5" xfId="15571" xr:uid="{94F03EC8-1BB8-46AA-955B-2FD17F3F3FD8}"/>
    <cellStyle name="Comma 4 2 2 4 5 2" xfId="23100" xr:uid="{92BD4F51-B2F8-4C0A-BB36-E6F71809A20B}"/>
    <cellStyle name="Comma 4 2 2 4 5 3" xfId="47549" xr:uid="{6B7F8D39-CF2C-4E6C-9ABA-8B95761A4832}"/>
    <cellStyle name="Comma 4 2 2 4 5 4" xfId="52438" xr:uid="{0ADC6444-2B04-4402-94A2-928365D21D17}"/>
    <cellStyle name="Comma 4 2 2 4 5 5" xfId="55454" xr:uid="{8C35F0DA-4972-44B7-B426-90EB1C5B9F16}"/>
    <cellStyle name="Comma 4 2 2 4 6" xfId="12531" xr:uid="{78187511-8FA5-4AB0-B55B-FC4237613606}"/>
    <cellStyle name="Comma 4 2 2 4 6 2" xfId="47048" xr:uid="{6A28FE16-D5DD-46E1-9F29-E53F6166E249}"/>
    <cellStyle name="Comma 4 2 2 4 6 3" xfId="51007" xr:uid="{9A768A7D-9BDD-455A-AB8B-DA7942BA2E12}"/>
    <cellStyle name="Comma 4 2 2 4 6 4" xfId="54023" xr:uid="{5889DB2E-5A74-43C8-A7BF-593FF814677C}"/>
    <cellStyle name="Comma 4 2 2 4 7" xfId="24334" xr:uid="{5339A963-EDE7-47CD-AA39-75BFB9D23F2D}"/>
    <cellStyle name="Comma 4 2 2 4 8" xfId="49901" xr:uid="{6A3A7345-6D0A-4F9F-9290-0A066A4E7E36}"/>
    <cellStyle name="Comma 4 2 2 4 9" xfId="52917" xr:uid="{C9F0B022-46CE-4688-9258-5FAB75DAA94F}"/>
    <cellStyle name="Comma 4 2 2 5" xfId="10152" xr:uid="{59A98D67-F598-45D1-B6EE-28CB7C6FF8B7}"/>
    <cellStyle name="Comma 4 2 2 5 2" xfId="10466" xr:uid="{2BACD893-42DD-49A3-A422-DEA286DDAE23}"/>
    <cellStyle name="Comma 4 2 2 5 2 2" xfId="14864" xr:uid="{E67C85F0-213A-46C5-B54C-138E817827E2}"/>
    <cellStyle name="Comma 4 2 2 5 2 2 2" xfId="22411" xr:uid="{EAF8CFC9-9D26-47CE-BC66-B1B403B5A34E}"/>
    <cellStyle name="Comma 4 2 2 5 2 2 3" xfId="47631" xr:uid="{7294D90F-871E-4323-A6A5-8CEC9AB7400C}"/>
    <cellStyle name="Comma 4 2 2 5 2 2 4" xfId="51749" xr:uid="{CAC325F8-1C28-449A-AE31-AF399E09BEDB}"/>
    <cellStyle name="Comma 4 2 2 5 2 2 5" xfId="54765" xr:uid="{777D4974-C0E8-4FF9-9AD2-5DEF3E6BEDC1}"/>
    <cellStyle name="Comma 4 2 2 5 2 3" xfId="15349" xr:uid="{CAB293D8-BA9D-4684-B49C-65CC07BD8AD2}"/>
    <cellStyle name="Comma 4 2 2 5 2 3 2" xfId="22888" xr:uid="{E474D5EB-E32F-43EF-9FF1-652B3EFF3E8F}"/>
    <cellStyle name="Comma 4 2 2 5 2 3 3" xfId="46518" xr:uid="{5E6A7DE5-5D44-45EE-9F39-1F160442C270}"/>
    <cellStyle name="Comma 4 2 2 5 2 3 4" xfId="52226" xr:uid="{D1841252-82BE-4F33-864C-BABF0F7B0CB2}"/>
    <cellStyle name="Comma 4 2 2 5 2 3 5" xfId="55242" xr:uid="{65543951-F242-4E9E-8AD4-EBAE4B1BFBBD}"/>
    <cellStyle name="Comma 4 2 2 5 2 4" xfId="15836" xr:uid="{8280341F-64C5-495F-A9B4-81150B3845AF}"/>
    <cellStyle name="Comma 4 2 2 5 2 4 2" xfId="23365" xr:uid="{A289CF77-71CE-4C0E-8CED-1EF4D170C431}"/>
    <cellStyle name="Comma 4 2 2 5 2 4 3" xfId="46595" xr:uid="{7D96342E-7E31-4A1C-852E-D64486F37B5C}"/>
    <cellStyle name="Comma 4 2 2 5 2 4 4" xfId="52703" xr:uid="{925BCB74-215A-4D53-BA7F-F07B1894C38F}"/>
    <cellStyle name="Comma 4 2 2 5 2 4 5" xfId="55719" xr:uid="{8DB50FDA-7CF8-43FB-B789-B9C7A2BA3496}"/>
    <cellStyle name="Comma 4 2 2 5 2 5" xfId="12919" xr:uid="{63072B40-0322-461A-93EA-FC557B556C75}"/>
    <cellStyle name="Comma 4 2 2 5 2 5 2" xfId="48498" xr:uid="{D94690B4-E921-4140-A55A-F9626F8D2521}"/>
    <cellStyle name="Comma 4 2 2 5 2 5 3" xfId="51272" xr:uid="{462C4DB6-2CDD-4596-AEFD-C202B993D7A7}"/>
    <cellStyle name="Comma 4 2 2 5 2 5 4" xfId="54288" xr:uid="{A1007B9F-A82B-47AA-9F18-D26DFBD9CE3A}"/>
    <cellStyle name="Comma 4 2 2 5 2 6" xfId="46628" xr:uid="{D76B22DF-8CB9-400C-BE7E-CF2AF52BBDE4}"/>
    <cellStyle name="Comma 4 2 2 5 2 7" xfId="50166" xr:uid="{58EA247B-BEF0-46E9-A366-7DD589D45193}"/>
    <cellStyle name="Comma 4 2 2 5 2 8" xfId="53182" xr:uid="{08936D6D-CA00-4137-9324-96BACD79758A}"/>
    <cellStyle name="Comma 4 2 2 5 3" xfId="14652" xr:uid="{4F2C7429-8287-40BE-B050-88B5ED9CCF40}"/>
    <cellStyle name="Comma 4 2 2 5 3 2" xfId="22199" xr:uid="{FF04BF71-7DE1-4856-860F-384F2782AC64}"/>
    <cellStyle name="Comma 4 2 2 5 3 3" xfId="47666" xr:uid="{E34D2E5F-AB30-4016-AE79-7796BF714EB9}"/>
    <cellStyle name="Comma 4 2 2 5 3 4" xfId="51537" xr:uid="{39DD471E-BEF0-427E-ABE0-D692766A9318}"/>
    <cellStyle name="Comma 4 2 2 5 3 5" xfId="54553" xr:uid="{C9771C2F-880A-48DA-9664-A26B27F203EB}"/>
    <cellStyle name="Comma 4 2 2 5 4" xfId="15137" xr:uid="{D5D498C7-4E75-4EA5-A35C-A96C1494AC38}"/>
    <cellStyle name="Comma 4 2 2 5 4 2" xfId="22676" xr:uid="{C070348C-F3E7-4C13-888D-14C9FAB1C67B}"/>
    <cellStyle name="Comma 4 2 2 5 4 3" xfId="24660" xr:uid="{BB7C5B0E-3242-4FD9-88A9-2CC8D1159A5C}"/>
    <cellStyle name="Comma 4 2 2 5 4 4" xfId="52014" xr:uid="{E8259E8A-F6D1-4D44-96C6-BD5A6651D006}"/>
    <cellStyle name="Comma 4 2 2 5 4 5" xfId="55030" xr:uid="{80C078B3-3F59-4FA4-A44F-8198738A8506}"/>
    <cellStyle name="Comma 4 2 2 5 5" xfId="15624" xr:uid="{DB2E0659-EB21-4DEC-A611-E3B5BDBD70BB}"/>
    <cellStyle name="Comma 4 2 2 5 5 2" xfId="23153" xr:uid="{0120B655-D609-4590-BC13-00745CA802C3}"/>
    <cellStyle name="Comma 4 2 2 5 5 3" xfId="48303" xr:uid="{5750EA41-0EB8-4A46-A00F-5E4819A07E9D}"/>
    <cellStyle name="Comma 4 2 2 5 5 4" xfId="52491" xr:uid="{DC8674B9-5DFE-431C-8063-5D64DB3B7350}"/>
    <cellStyle name="Comma 4 2 2 5 5 5" xfId="55507" xr:uid="{4EA84522-AEF3-4A5E-86ED-DEBB8AB8FEE7}"/>
    <cellStyle name="Comma 4 2 2 5 6" xfId="12606" xr:uid="{3A0D5D00-D948-44CF-B6F1-7F667EEB3C8E}"/>
    <cellStyle name="Comma 4 2 2 5 6 2" xfId="46772" xr:uid="{8D669CDB-6382-46E4-950F-B41F1A4E9349}"/>
    <cellStyle name="Comma 4 2 2 5 6 3" xfId="51060" xr:uid="{9DF8DBCA-BCB6-425E-B0FF-DEA5607FCD66}"/>
    <cellStyle name="Comma 4 2 2 5 6 4" xfId="54076" xr:uid="{7093F8D3-8ED5-49FA-9298-D78874707FCF}"/>
    <cellStyle name="Comma 4 2 2 5 7" xfId="46055" xr:uid="{F0C7C83D-09E2-481B-8D62-B126E908C45D}"/>
    <cellStyle name="Comma 4 2 2 5 8" xfId="49954" xr:uid="{9B70F32D-0FD7-4C48-A1AF-1F1B8339DEB6}"/>
    <cellStyle name="Comma 4 2 2 5 9" xfId="52970" xr:uid="{3F86544F-DD8D-4FF4-BB29-7C4C46E20289}"/>
    <cellStyle name="Comma 4 2 2 6" xfId="10232" xr:uid="{3DF8D0C7-94EC-42BE-998D-C3632DFB4491}"/>
    <cellStyle name="Comma 4 2 2 6 2" xfId="14705" xr:uid="{4919CCC3-6431-484E-B332-10D8719FE63C}"/>
    <cellStyle name="Comma 4 2 2 6 2 2" xfId="22252" xr:uid="{35103446-5317-45DD-BEAA-881E2B911642}"/>
    <cellStyle name="Comma 4 2 2 6 2 3" xfId="48116" xr:uid="{9D1AC880-85E3-42A4-8DAA-D422B83ECB5B}"/>
    <cellStyle name="Comma 4 2 2 6 2 4" xfId="51590" xr:uid="{93AEBC25-B8FE-495E-92E8-DEC3F7F26547}"/>
    <cellStyle name="Comma 4 2 2 6 2 5" xfId="54606" xr:uid="{E6665E18-77AD-48D9-80A0-367270F9AFCA}"/>
    <cellStyle name="Comma 4 2 2 6 3" xfId="15190" xr:uid="{98D01B2E-3825-4E4E-9880-0D974F9C6E9D}"/>
    <cellStyle name="Comma 4 2 2 6 3 2" xfId="22729" xr:uid="{7D0608C6-FBF9-4CF7-9EC2-7A1D1ACF8369}"/>
    <cellStyle name="Comma 4 2 2 6 3 3" xfId="47028" xr:uid="{C3DB01D0-959C-4942-AC5A-CA1AAE3302B5}"/>
    <cellStyle name="Comma 4 2 2 6 3 4" xfId="52067" xr:uid="{5DF4C07C-5AB7-49A4-A959-E699FA986B54}"/>
    <cellStyle name="Comma 4 2 2 6 3 5" xfId="55083" xr:uid="{77598DBF-C31A-40C7-A834-9F60BA72E26A}"/>
    <cellStyle name="Comma 4 2 2 6 4" xfId="15677" xr:uid="{4B8F86BE-E914-4BB6-8B12-51A4B55BC942}"/>
    <cellStyle name="Comma 4 2 2 6 4 2" xfId="23206" xr:uid="{34966013-91D1-4EF1-A759-5D4697DFFFC0}"/>
    <cellStyle name="Comma 4 2 2 6 4 3" xfId="24435" xr:uid="{1B274339-8667-49DD-BF86-2EC492EB828B}"/>
    <cellStyle name="Comma 4 2 2 6 4 4" xfId="52544" xr:uid="{21D7F608-5675-4A59-8BC2-17ECAD7181E4}"/>
    <cellStyle name="Comma 4 2 2 6 4 5" xfId="55560" xr:uid="{1C11B435-C2C6-4DAE-84AF-717F9C0EF122}"/>
    <cellStyle name="Comma 4 2 2 6 5" xfId="12685" xr:uid="{2898BB5B-D982-4A7E-84D1-65539E9A623C}"/>
    <cellStyle name="Comma 4 2 2 6 5 2" xfId="46341" xr:uid="{1145B9E8-5E7C-4390-89B9-551ECC2F1E13}"/>
    <cellStyle name="Comma 4 2 2 6 5 3" xfId="51113" xr:uid="{127C31A3-205E-4932-8E5A-73CFA104C1B8}"/>
    <cellStyle name="Comma 4 2 2 6 5 4" xfId="54129" xr:uid="{43895B30-3205-4113-8954-438CA3E9FB3B}"/>
    <cellStyle name="Comma 4 2 2 6 6" xfId="46069" xr:uid="{B6DB8D2B-7D66-4FFB-A41F-2C9E553D3411}"/>
    <cellStyle name="Comma 4 2 2 6 7" xfId="50007" xr:uid="{9D5DE319-5DDB-4BBC-86D9-28D087618467}"/>
    <cellStyle name="Comma 4 2 2 6 8" xfId="53023" xr:uid="{4A800C79-F201-4FDB-B22B-3B1D5ACAEB8A}"/>
    <cellStyle name="Comma 4 2 2 7" xfId="10546" xr:uid="{4FC9B64F-B37C-4CEC-8F50-D57280BF0CA5}"/>
    <cellStyle name="Comma 4 2 2 7 2" xfId="14917" xr:uid="{E77D1869-55BE-4EDF-84F6-E7C4049F7912}"/>
    <cellStyle name="Comma 4 2 2 7 2 2" xfId="22464" xr:uid="{26B55723-FF2A-4113-A624-D2A80E6EB6D6}"/>
    <cellStyle name="Comma 4 2 2 7 2 3" xfId="48411" xr:uid="{BDBA62DC-C5ED-4055-85AD-1042D8E40618}"/>
    <cellStyle name="Comma 4 2 2 7 2 4" xfId="51802" xr:uid="{405DCD2C-504A-40D1-8192-44DD7E20D1AB}"/>
    <cellStyle name="Comma 4 2 2 7 2 5" xfId="54818" xr:uid="{FAB93402-41B6-4434-A5AC-9613A6CA6A1A}"/>
    <cellStyle name="Comma 4 2 2 7 3" xfId="15402" xr:uid="{AEE8053D-1B77-4687-B86D-F764A881D5D8}"/>
    <cellStyle name="Comma 4 2 2 7 3 2" xfId="22941" xr:uid="{3D054CFA-EF1A-4FAC-BF47-0D31459A6BC8}"/>
    <cellStyle name="Comma 4 2 2 7 3 3" xfId="48021" xr:uid="{817DEC6A-1471-4F24-8600-4F85DFC321F4}"/>
    <cellStyle name="Comma 4 2 2 7 3 4" xfId="52279" xr:uid="{C1AB2795-596F-494A-BC81-7A570C70ED87}"/>
    <cellStyle name="Comma 4 2 2 7 3 5" xfId="55295" xr:uid="{662A0DB2-A763-42CA-8BD6-D171FDB757A9}"/>
    <cellStyle name="Comma 4 2 2 7 4" xfId="15890" xr:uid="{404E2208-6CC3-4D63-86DF-37A8827DE873}"/>
    <cellStyle name="Comma 4 2 2 7 4 2" xfId="23418" xr:uid="{08EE1F6B-8540-4EBF-A028-11459E1C37A6}"/>
    <cellStyle name="Comma 4 2 2 7 4 3" xfId="48232" xr:uid="{51FC9BCB-86E0-4985-A998-6FDF5F9ED983}"/>
    <cellStyle name="Comma 4 2 2 7 4 4" xfId="52756" xr:uid="{9E35AD6E-1A2C-4877-B74E-01FFA14F53BB}"/>
    <cellStyle name="Comma 4 2 2 7 4 5" xfId="55772" xr:uid="{95D91002-D336-4396-9A73-5B25A04DC7DF}"/>
    <cellStyle name="Comma 4 2 2 7 5" xfId="12999" xr:uid="{75D2705C-D095-4AF4-9F0E-BD5A9CC7E014}"/>
    <cellStyle name="Comma 4 2 2 7 5 2" xfId="32333" xr:uid="{92BC2A47-4D9A-46E0-A456-29757FA94775}"/>
    <cellStyle name="Comma 4 2 2 7 5 3" xfId="51325" xr:uid="{77CF89E9-B728-4748-B9D5-0E0D2537B38A}"/>
    <cellStyle name="Comma 4 2 2 7 5 4" xfId="54341" xr:uid="{C9048CCA-FAF2-4720-9FF5-D9F10394D790}"/>
    <cellStyle name="Comma 4 2 2 7 6" xfId="48164" xr:uid="{9F41B963-6AE2-4F4E-B7EF-EA8232065158}"/>
    <cellStyle name="Comma 4 2 2 7 7" xfId="50219" xr:uid="{409D12BC-4B39-4D6A-9F72-BE5DF8ADED68}"/>
    <cellStyle name="Comma 4 2 2 7 8" xfId="53235" xr:uid="{74C8F35E-FCD8-4E9A-A915-F3FCDE91CE0A}"/>
    <cellStyle name="Comma 4 2 2 8" xfId="14493" xr:uid="{E11756AC-84C1-46C0-B066-2C978DE43726}"/>
    <cellStyle name="Comma 4 2 2 8 2" xfId="22040" xr:uid="{6BFC5E49-5E86-489D-9502-685A24EF9414}"/>
    <cellStyle name="Comma 4 2 2 8 3" xfId="46675" xr:uid="{2C664ADE-EDA8-4976-B822-F8692656E706}"/>
    <cellStyle name="Comma 4 2 2 8 4" xfId="51378" xr:uid="{750209FB-0BAF-40CD-9DAE-36C69347504F}"/>
    <cellStyle name="Comma 4 2 2 8 5" xfId="54394" xr:uid="{C8568C61-4406-495E-BC16-BC5BFAA160CF}"/>
    <cellStyle name="Comma 4 2 2 9" xfId="14976" xr:uid="{6E438A5B-6597-4C2B-B770-BFDE3AC61692}"/>
    <cellStyle name="Comma 4 2 2 9 2" xfId="22517" xr:uid="{BA20D014-681B-4309-A4C5-EE6621958146}"/>
    <cellStyle name="Comma 4 2 2 9 3" xfId="48215" xr:uid="{8F343102-1961-4306-B302-083C641965B8}"/>
    <cellStyle name="Comma 4 2 2 9 4" xfId="51855" xr:uid="{8D2FB434-FA05-41DA-AA1A-D8123F1A5653}"/>
    <cellStyle name="Comma 4 2 2 9 5" xfId="54871" xr:uid="{B0EC2389-F91C-4F03-8F42-296B94CEA1E4}"/>
    <cellStyle name="Comma 4 2 3" xfId="4543" xr:uid="{66EC1B8C-4ECE-4DDB-93BD-E6B2C77065F0}"/>
    <cellStyle name="Comma 4 2 3 2" xfId="11653" xr:uid="{8048BF50-B958-4028-9613-1CC83F95736B}"/>
    <cellStyle name="Comma 4 2 3 3" xfId="11699" xr:uid="{24CF73F8-EBA3-4752-B846-66DA3134DB72}"/>
    <cellStyle name="Comma 4 2 3 3 2" xfId="21720" xr:uid="{9326983C-AB40-4407-A62C-00E768A9B2C8}"/>
    <cellStyle name="Comma 4 2 3 3 3" xfId="46733" xr:uid="{F246A94C-25D5-4DC6-A6E8-96377852493C}"/>
    <cellStyle name="Comma 4 2 3 3 4" xfId="50746" xr:uid="{76CFEDD7-955E-400C-910E-F0D6E65E5B42}"/>
    <cellStyle name="Comma 4 2 3 3 5" xfId="53762" xr:uid="{6929B113-DA3D-4A1A-948D-C35C765D6DF8}"/>
    <cellStyle name="Comma 4 2 3 4" xfId="19489" xr:uid="{A434E83E-3877-4A8A-A66C-16D32E3CAABF}"/>
    <cellStyle name="Comma 4 2 3 5" xfId="23760" xr:uid="{5A9561CF-EEC6-4591-B02F-750C72F9E7A5}"/>
    <cellStyle name="Comma 4 2 3 6" xfId="48642" xr:uid="{D444B259-08BC-4376-9EC1-51D38064438B}"/>
    <cellStyle name="Comma 4 2 3 7" xfId="49550" xr:uid="{7579312D-60DE-43E8-A81F-AB34F978DC33}"/>
    <cellStyle name="Comma 4 2 3 8" xfId="15944" xr:uid="{571D7462-47DF-46E1-AEB7-94FF6F69041B}"/>
    <cellStyle name="Comma 4 2 3 9" xfId="7718" xr:uid="{35F6D429-B54C-4E4C-9CB0-7E94131BE86C}"/>
    <cellStyle name="Comma 4 2 4" xfId="5824" xr:uid="{DB7FDAC5-F994-4AC8-AF91-425B7FBDC5E7}"/>
    <cellStyle name="Comma 4 2 4 10" xfId="49551" xr:uid="{8AE24AF6-54D6-4858-B662-7AF45A18D360}"/>
    <cellStyle name="Comma 4 2 4 11" xfId="49842" xr:uid="{7895DC9C-ADBF-4560-9614-3101583F2107}"/>
    <cellStyle name="Comma 4 2 4 12" xfId="52858" xr:uid="{F798D1A8-39FA-4AFC-8D88-10921E59F734}"/>
    <cellStyle name="Comma 4 2 4 13" xfId="17002" xr:uid="{B922EFDD-79B5-4646-BCD4-90FCC7C641EE}"/>
    <cellStyle name="Comma 4 2 4 14" xfId="9597" xr:uid="{A0CB8F87-D319-4DA5-8113-FEF47F214A2F}"/>
    <cellStyle name="Comma 4 2 4 2" xfId="10291" xr:uid="{CB1DDEA0-7CA9-41FA-AC49-23266CF4A684}"/>
    <cellStyle name="Comma 4 2 4 2 2" xfId="14752" xr:uid="{41ED6AF9-8A70-46D3-9705-F7E1BC69C0D6}"/>
    <cellStyle name="Comma 4 2 4 2 2 2" xfId="22299" xr:uid="{26409402-4AD8-4607-8CE7-3C7192EC8D33}"/>
    <cellStyle name="Comma 4 2 4 2 2 3" xfId="47333" xr:uid="{09F5C7F6-BD82-4805-A8B7-4AA25D5709CA}"/>
    <cellStyle name="Comma 4 2 4 2 2 4" xfId="51637" xr:uid="{AD1F9AA2-C830-44C4-90B0-413E06E58539}"/>
    <cellStyle name="Comma 4 2 4 2 2 5" xfId="54653" xr:uid="{20224F56-6A2F-43AF-90FA-E785392DA26B}"/>
    <cellStyle name="Comma 4 2 4 2 3" xfId="15237" xr:uid="{BDDD1DA6-EBB5-4D69-8143-9B33375A97F0}"/>
    <cellStyle name="Comma 4 2 4 2 3 2" xfId="22776" xr:uid="{F36AB80E-30AD-4688-97C9-68ACCF137C15}"/>
    <cellStyle name="Comma 4 2 4 2 3 3" xfId="47636" xr:uid="{AFC64032-F62F-4CBC-AF7B-B964281CDCED}"/>
    <cellStyle name="Comma 4 2 4 2 3 4" xfId="52114" xr:uid="{769187B1-7B3B-4083-8BF4-C891E2818DF1}"/>
    <cellStyle name="Comma 4 2 4 2 3 5" xfId="55130" xr:uid="{4A46498F-6A59-4961-A350-0A8DE2756BC2}"/>
    <cellStyle name="Comma 4 2 4 2 4" xfId="15724" xr:uid="{E45A5BC8-F9B5-4EDF-A61E-903ED9E3EB6B}"/>
    <cellStyle name="Comma 4 2 4 2 4 2" xfId="23253" xr:uid="{946F0FE2-894E-4223-B4DB-FAFBC32E9CCA}"/>
    <cellStyle name="Comma 4 2 4 2 4 3" xfId="47947" xr:uid="{187E9C81-436E-494E-9591-A55DBFC6E522}"/>
    <cellStyle name="Comma 4 2 4 2 4 4" xfId="52591" xr:uid="{86DB5E4C-6F70-4672-B097-6248EE8DD7B2}"/>
    <cellStyle name="Comma 4 2 4 2 4 5" xfId="55607" xr:uid="{BDB497FE-20D2-48B2-BE34-D3CF7118FE38}"/>
    <cellStyle name="Comma 4 2 4 2 5" xfId="12744" xr:uid="{671EAE8E-CDA2-40DD-8ECF-0C7BB8A10FB3}"/>
    <cellStyle name="Comma 4 2 4 2 5 2" xfId="48318" xr:uid="{D946B3F6-C9CA-4062-B84C-6AAE49A11296}"/>
    <cellStyle name="Comma 4 2 4 2 5 3" xfId="51160" xr:uid="{7AC7B4F4-5A4B-4725-B6B4-A40295C5B697}"/>
    <cellStyle name="Comma 4 2 4 2 5 4" xfId="54176" xr:uid="{0DCD7589-6204-487A-9572-DBE3CA3A1474}"/>
    <cellStyle name="Comma 4 2 4 2 6" xfId="46085" xr:uid="{79B9430B-E0EC-4E50-A210-D12DAC845A2E}"/>
    <cellStyle name="Comma 4 2 4 2 7" xfId="50054" xr:uid="{3166C465-7C10-49C1-AB6B-C9F958FF436E}"/>
    <cellStyle name="Comma 4 2 4 2 8" xfId="53070" xr:uid="{DAA9B876-1239-451C-9915-4AE9E9ED4F58}"/>
    <cellStyle name="Comma 4 2 4 3" xfId="14540" xr:uid="{A2DCDA0F-C955-4128-821B-A1D002D4A505}"/>
    <cellStyle name="Comma 4 2 4 3 2" xfId="22087" xr:uid="{95D38271-4790-45C7-9FB8-F96A320F651D}"/>
    <cellStyle name="Comma 4 2 4 3 3" xfId="46394" xr:uid="{C6263E96-C3A0-4E42-8D4A-8857D6B5D839}"/>
    <cellStyle name="Comma 4 2 4 3 4" xfId="51425" xr:uid="{CD67E22C-83BA-453E-BB10-066CF033D38C}"/>
    <cellStyle name="Comma 4 2 4 3 5" xfId="54441" xr:uid="{B365389D-1B03-42A8-AA04-15E8CAE95BBC}"/>
    <cellStyle name="Comma 4 2 4 4" xfId="15024" xr:uid="{38FCCA86-3AF4-42EC-9117-48E63D96B8E7}"/>
    <cellStyle name="Comma 4 2 4 4 2" xfId="22564" xr:uid="{C41EDD24-7969-4439-A0DA-76D67BE71328}"/>
    <cellStyle name="Comma 4 2 4 4 3" xfId="32508" xr:uid="{DD274069-B2B6-480F-A292-DBACA855FCB6}"/>
    <cellStyle name="Comma 4 2 4 4 4" xfId="51902" xr:uid="{9C76C6F4-E4FB-41BE-94B0-B49E6667B2F6}"/>
    <cellStyle name="Comma 4 2 4 4 5" xfId="54918" xr:uid="{C3AA15C9-B857-4313-9AF4-3AC3705F18B6}"/>
    <cellStyle name="Comma 4 2 4 5" xfId="15511" xr:uid="{1742A520-BCC0-4876-AEF6-F32200698019}"/>
    <cellStyle name="Comma 4 2 4 5 2" xfId="23041" xr:uid="{1AE72778-598C-41E3-8510-4635F659FB30}"/>
    <cellStyle name="Comma 4 2 4 5 3" xfId="48516" xr:uid="{4A1ED392-E33D-4EA4-9860-776EB5391C30}"/>
    <cellStyle name="Comma 4 2 4 5 4" xfId="52379" xr:uid="{6EFE5E48-8978-49B9-9F5B-0BF49D4A9F44}"/>
    <cellStyle name="Comma 4 2 4 5 5" xfId="55395" xr:uid="{34C29895-FD2D-4715-A824-7E37B9BFFEB9}"/>
    <cellStyle name="Comma 4 2 4 6" xfId="11194" xr:uid="{D29060A9-07D9-4D58-9E07-308FB6F02C6B}"/>
    <cellStyle name="Comma 4 2 4 6 2" xfId="21690" xr:uid="{C00D45DA-308E-4CAA-AD0D-3B846E7FBE8A}"/>
    <cellStyle name="Comma 4 2 4 6 3" xfId="46278" xr:uid="{EFD76ED2-EB79-4D66-9220-39C6FF672E82}"/>
    <cellStyle name="Comma 4 2 4 6 4" xfId="50707" xr:uid="{5CABD87C-D8BB-4F16-B41E-0AE609A22397}"/>
    <cellStyle name="Comma 4 2 4 6 5" xfId="53723" xr:uid="{7648B5BC-7829-44E3-BFD7-6EA970BEC7D7}"/>
    <cellStyle name="Comma 4 2 4 7" xfId="23761" xr:uid="{1B59A968-4F2A-4514-B194-0DEDF3A64AC9}"/>
    <cellStyle name="Comma 4 2 4 8" xfId="46016" xr:uid="{22AE8AA8-62C5-432B-926D-38CF33EE28F4}"/>
    <cellStyle name="Comma 4 2 4 9" xfId="48643" xr:uid="{6E7BFAA3-A96C-4E90-9C36-1DAB709E0E27}"/>
    <cellStyle name="Comma 4 2 5" xfId="2625" xr:uid="{D11EF1B6-E3B4-4F75-B7EB-CACBFEC5BCAC}"/>
    <cellStyle name="Comma 4 2 5 10" xfId="49895" xr:uid="{77EC478D-B431-49EF-9B52-E9D21BCE9A8B}"/>
    <cellStyle name="Comma 4 2 5 11" xfId="52911" xr:uid="{92850EFC-203D-49E6-9D71-11221CFCA44F}"/>
    <cellStyle name="Comma 4 2 5 12" xfId="10057" xr:uid="{E723124A-7004-4266-8482-99F47D89FDFB}"/>
    <cellStyle name="Comma 4 2 5 2" xfId="10365" xr:uid="{98D0A3F8-C039-4663-A518-E0779CA86EA5}"/>
    <cellStyle name="Comma 4 2 5 2 2" xfId="14805" xr:uid="{CC234735-EB3D-4978-8257-602360B6E60C}"/>
    <cellStyle name="Comma 4 2 5 2 2 2" xfId="22352" xr:uid="{7936CE91-8DB4-47E5-AC2F-F7539590FA8D}"/>
    <cellStyle name="Comma 4 2 5 2 2 3" xfId="47774" xr:uid="{0B7B64CF-2BD4-44CB-9F5C-2431AA1EF9FB}"/>
    <cellStyle name="Comma 4 2 5 2 2 4" xfId="51690" xr:uid="{2917A878-523F-490E-860D-19308A936242}"/>
    <cellStyle name="Comma 4 2 5 2 2 5" xfId="54706" xr:uid="{98809E6A-BB72-44B2-B50E-0F6D1D670099}"/>
    <cellStyle name="Comma 4 2 5 2 3" xfId="15290" xr:uid="{45707318-EDAD-4F6D-9B27-19579DACACD5}"/>
    <cellStyle name="Comma 4 2 5 2 3 2" xfId="22829" xr:uid="{21841E82-43EB-4075-8B61-4F2D36A8D00A}"/>
    <cellStyle name="Comma 4 2 5 2 3 3" xfId="48302" xr:uid="{D498E376-B0D4-4C9F-BCAC-ABDA96F14FAB}"/>
    <cellStyle name="Comma 4 2 5 2 3 4" xfId="52167" xr:uid="{ACE118C7-51BF-4A5B-B6EB-3B52BECCE269}"/>
    <cellStyle name="Comma 4 2 5 2 3 5" xfId="55183" xr:uid="{532AF844-3CE7-4FFC-B974-5A7D6F661544}"/>
    <cellStyle name="Comma 4 2 5 2 4" xfId="15777" xr:uid="{E03531EF-4DBA-42A3-8143-D3548097B5CF}"/>
    <cellStyle name="Comma 4 2 5 2 4 2" xfId="23306" xr:uid="{EA8604BB-1B25-4E87-8808-8886D5A0E609}"/>
    <cellStyle name="Comma 4 2 5 2 4 3" xfId="46963" xr:uid="{73DD9C51-C699-4AE0-B5D6-5A08FDEB3BC9}"/>
    <cellStyle name="Comma 4 2 5 2 4 4" xfId="52644" xr:uid="{B286C88C-16A4-41EA-B01C-34B3A76E3D54}"/>
    <cellStyle name="Comma 4 2 5 2 4 5" xfId="55660" xr:uid="{1CF4539E-91D7-4090-A1F6-6260A1E75732}"/>
    <cellStyle name="Comma 4 2 5 2 5" xfId="12818" xr:uid="{51414851-894C-4692-A891-48492740E979}"/>
    <cellStyle name="Comma 4 2 5 2 5 2" xfId="46799" xr:uid="{4F60350D-3640-4B9E-90BC-2F75AD29C9F8}"/>
    <cellStyle name="Comma 4 2 5 2 5 3" xfId="51213" xr:uid="{6B4FBB9B-9D11-4CBC-8F5D-5DD4FEA8D3B4}"/>
    <cellStyle name="Comma 4 2 5 2 5 4" xfId="54229" xr:uid="{E4BEA675-3C3F-4416-9B37-43F75D40711F}"/>
    <cellStyle name="Comma 4 2 5 2 6" xfId="46100" xr:uid="{AB7845A7-F775-4FB3-A741-D5876380BD1C}"/>
    <cellStyle name="Comma 4 2 5 2 7" xfId="50107" xr:uid="{0CDBFEE8-8FE9-4B03-BD3D-C468D72D04BF}"/>
    <cellStyle name="Comma 4 2 5 2 8" xfId="53123" xr:uid="{CEAEB8F0-FF70-4C1E-B3DB-6BFCFFC57E87}"/>
    <cellStyle name="Comma 4 2 5 3" xfId="14593" xr:uid="{885C7440-FE83-48B2-9B85-14D89EB8994A}"/>
    <cellStyle name="Comma 4 2 5 3 2" xfId="22140" xr:uid="{7FD18BA8-06BF-4B3E-8B09-009D8DA2AFF0}"/>
    <cellStyle name="Comma 4 2 5 3 3" xfId="47533" xr:uid="{610093EA-F752-4569-A2D7-6E01F5FC77CE}"/>
    <cellStyle name="Comma 4 2 5 3 4" xfId="51478" xr:uid="{AB0CE928-E95E-4481-B737-4B3C22A01AF3}"/>
    <cellStyle name="Comma 4 2 5 3 5" xfId="54494" xr:uid="{881133B4-1661-48DE-8891-845D6F72EF0A}"/>
    <cellStyle name="Comma 4 2 5 4" xfId="15078" xr:uid="{7B6C5647-E610-49EE-9C42-54A447896D85}"/>
    <cellStyle name="Comma 4 2 5 4 2" xfId="22617" xr:uid="{BF9A62C2-899A-41D7-B90E-61B87DA17414}"/>
    <cellStyle name="Comma 4 2 5 4 3" xfId="46878" xr:uid="{B99F11B4-EFF4-4EFB-860A-17A7BAAF6603}"/>
    <cellStyle name="Comma 4 2 5 4 4" xfId="51955" xr:uid="{FA14D708-7956-40CE-923E-1AB1BC25CE2D}"/>
    <cellStyle name="Comma 4 2 5 4 5" xfId="54971" xr:uid="{66B21303-2EBB-43F4-AFEC-AC59A6FE0662}"/>
    <cellStyle name="Comma 4 2 5 5" xfId="15565" xr:uid="{704414F1-936E-4348-A211-13E05A811A56}"/>
    <cellStyle name="Comma 4 2 5 5 2" xfId="23094" xr:uid="{75EC63D4-9568-4C08-B3C8-D3A57279112C}"/>
    <cellStyle name="Comma 4 2 5 5 3" xfId="48420" xr:uid="{24575761-165A-405C-B2E5-23BD9D857FD6}"/>
    <cellStyle name="Comma 4 2 5 5 4" xfId="52432" xr:uid="{CB6EF3DE-3DB8-44F7-82C1-E78620DA738E}"/>
    <cellStyle name="Comma 4 2 5 5 5" xfId="55448" xr:uid="{A45D0746-F290-420C-A33E-E81F3623C786}"/>
    <cellStyle name="Comma 4 2 5 6" xfId="12516" xr:uid="{8D54E31A-60EF-4D8C-AEE5-4BF7C059F945}"/>
    <cellStyle name="Comma 4 2 5 6 2" xfId="48195" xr:uid="{2F429F1F-C2EF-4918-B701-37D3AAC328CD}"/>
    <cellStyle name="Comma 4 2 5 6 3" xfId="51001" xr:uid="{294A8A93-8923-42D5-A247-EA9330720079}"/>
    <cellStyle name="Comma 4 2 5 6 4" xfId="54017" xr:uid="{C4723913-F15F-4CF4-AE84-F5CB9DCE1AA3}"/>
    <cellStyle name="Comma 4 2 5 7" xfId="23762" xr:uid="{2CF555DC-F591-441E-93B4-3F49AA4D23B1}"/>
    <cellStyle name="Comma 4 2 5 8" xfId="48644" xr:uid="{32B8E2A7-0D17-4A1C-8E47-3EC294DB1033}"/>
    <cellStyle name="Comma 4 2 5 9" xfId="49552" xr:uid="{AE3A7372-D628-43D4-BF8E-BC2A5F086815}"/>
    <cellStyle name="Comma 4 2 6" xfId="10131" xr:uid="{05253BF7-B032-4C6A-9B94-AC51536BCD10}"/>
    <cellStyle name="Comma 4 2 6 10" xfId="52964" xr:uid="{480D07B9-6B22-48B8-839B-B4010BE40B31}"/>
    <cellStyle name="Comma 4 2 6 2" xfId="10445" xr:uid="{F457E600-7DA0-41D7-987B-4DAAAA74B812}"/>
    <cellStyle name="Comma 4 2 6 2 2" xfId="14858" xr:uid="{091E70A7-2592-48B0-94F1-FE38DC6BE1C1}"/>
    <cellStyle name="Comma 4 2 6 2 2 2" xfId="22405" xr:uid="{EBC6B9D8-3AF5-4CDE-BD3C-84FAB477C73F}"/>
    <cellStyle name="Comma 4 2 6 2 2 3" xfId="48507" xr:uid="{7BA7A750-F131-476D-896D-4325DDFCB662}"/>
    <cellStyle name="Comma 4 2 6 2 2 4" xfId="51743" xr:uid="{AE0601F5-E2A6-456F-AA3B-6010C228C495}"/>
    <cellStyle name="Comma 4 2 6 2 2 5" xfId="54759" xr:uid="{4D8BF9FD-538B-4B5D-BD40-63BC5B0A3F3F}"/>
    <cellStyle name="Comma 4 2 6 2 3" xfId="15343" xr:uid="{BE380F3C-BA67-472B-B808-CED4952C848F}"/>
    <cellStyle name="Comma 4 2 6 2 3 2" xfId="22882" xr:uid="{A91D6951-48FE-45C0-BE20-1B696C97CEE6}"/>
    <cellStyle name="Comma 4 2 6 2 3 3" xfId="46517" xr:uid="{D9FB22CF-1336-4DE7-9FD9-389131AF4FCB}"/>
    <cellStyle name="Comma 4 2 6 2 3 4" xfId="52220" xr:uid="{F02AC406-4AB4-4645-9106-5B2A74F7F3B0}"/>
    <cellStyle name="Comma 4 2 6 2 3 5" xfId="55236" xr:uid="{7C46660E-06A9-4762-A283-A5C8160E6B0A}"/>
    <cellStyle name="Comma 4 2 6 2 4" xfId="15830" xr:uid="{B2A1CCEB-4CAC-4800-B0F5-F3AC2A0AF9F4}"/>
    <cellStyle name="Comma 4 2 6 2 4 2" xfId="23359" xr:uid="{BAEDD323-21F1-4EC1-9D3A-F0B7AFA122A4}"/>
    <cellStyle name="Comma 4 2 6 2 4 3" xfId="47445" xr:uid="{1711DAB3-7D6C-47CC-B258-AD23199A031E}"/>
    <cellStyle name="Comma 4 2 6 2 4 4" xfId="52697" xr:uid="{5A3BC324-D258-423E-ACA2-BD5AD4217290}"/>
    <cellStyle name="Comma 4 2 6 2 4 5" xfId="55713" xr:uid="{E5A9179E-64CA-47BA-B222-951060500645}"/>
    <cellStyle name="Comma 4 2 6 2 5" xfId="12898" xr:uid="{7C136951-E484-4FA5-AF5E-F6EDB74327C0}"/>
    <cellStyle name="Comma 4 2 6 2 5 2" xfId="47823" xr:uid="{CDA0F8C9-E7FA-48DC-A9B0-AFBEA2CD5195}"/>
    <cellStyle name="Comma 4 2 6 2 5 3" xfId="51266" xr:uid="{A6DC448D-AC57-4701-A9C4-2E439092DF92}"/>
    <cellStyle name="Comma 4 2 6 2 5 4" xfId="54282" xr:uid="{3B754D9C-34E1-4F20-8505-AFD7F5AD9E49}"/>
    <cellStyle name="Comma 4 2 6 2 6" xfId="48459" xr:uid="{C2853FD8-9C75-4FDF-A820-7C3E3828F481}"/>
    <cellStyle name="Comma 4 2 6 2 7" xfId="50160" xr:uid="{888AD07B-B087-4B19-8620-C5C34A2BDBF2}"/>
    <cellStyle name="Comma 4 2 6 2 8" xfId="53176" xr:uid="{233FA00C-E846-450A-B420-E1FFA1604F00}"/>
    <cellStyle name="Comma 4 2 6 3" xfId="14646" xr:uid="{9AA89697-533C-4B13-9594-BBAEA11D4FA8}"/>
    <cellStyle name="Comma 4 2 6 3 2" xfId="22193" xr:uid="{9ADEF9AB-9864-4EF7-AF9E-7BECCDDBAFC2}"/>
    <cellStyle name="Comma 4 2 6 3 3" xfId="47625" xr:uid="{B6FC6552-F22F-44C6-B96C-7F60BAB45C8D}"/>
    <cellStyle name="Comma 4 2 6 3 4" xfId="51531" xr:uid="{AF0E0067-9780-4D79-8C08-DF9F865921AB}"/>
    <cellStyle name="Comma 4 2 6 3 5" xfId="54547" xr:uid="{1FB14E2A-26B1-4A51-82B7-EB7B705A6512}"/>
    <cellStyle name="Comma 4 2 6 4" xfId="15131" xr:uid="{A0086F86-D7BF-45A2-9557-AAAACC14E8E5}"/>
    <cellStyle name="Comma 4 2 6 4 2" xfId="22670" xr:uid="{6207F07D-0656-47FD-BD4E-B6E1D942E605}"/>
    <cellStyle name="Comma 4 2 6 4 3" xfId="48070" xr:uid="{25C748B9-F6D8-41FC-9A06-36372888C852}"/>
    <cellStyle name="Comma 4 2 6 4 4" xfId="52008" xr:uid="{5F921B62-7530-4E9E-96F1-CE0D90721BF7}"/>
    <cellStyle name="Comma 4 2 6 4 5" xfId="55024" xr:uid="{65504CC1-9C11-47C9-82C7-C0CB4677F845}"/>
    <cellStyle name="Comma 4 2 6 5" xfId="15618" xr:uid="{3FBD99B6-AE6B-4D78-8581-B4AF7CE64B44}"/>
    <cellStyle name="Comma 4 2 6 5 2" xfId="23147" xr:uid="{42B1353D-6CDC-4F72-829A-EB61CE63292C}"/>
    <cellStyle name="Comma 4 2 6 5 3" xfId="47722" xr:uid="{7968D110-B4AD-4B02-A621-65DF95B30BEB}"/>
    <cellStyle name="Comma 4 2 6 5 4" xfId="52485" xr:uid="{218B4C69-5958-4D1F-9C7F-C86793D427BE}"/>
    <cellStyle name="Comma 4 2 6 5 5" xfId="55501" xr:uid="{398573A1-929C-40FC-A206-427E4D7A160E}"/>
    <cellStyle name="Comma 4 2 6 6" xfId="12588" xr:uid="{5BA88549-FECD-43DE-9D01-CD211E20C1C9}"/>
    <cellStyle name="Comma 4 2 6 6 2" xfId="48320" xr:uid="{1A1E45AC-DBF3-44D2-AEE4-A725EBAACB35}"/>
    <cellStyle name="Comma 4 2 6 6 3" xfId="51054" xr:uid="{EA593C51-75BB-41DC-80C4-EBBDDDDA8064}"/>
    <cellStyle name="Comma 4 2 6 6 4" xfId="54070" xr:uid="{B9415A2E-6DEF-4C5F-8391-91D8A0F0F46A}"/>
    <cellStyle name="Comma 4 2 6 7" xfId="23763" xr:uid="{C1DFBDBE-64D4-4D9B-A8BE-A6135C94B40F}"/>
    <cellStyle name="Comma 4 2 6 8" xfId="48450" xr:uid="{1C83C4E6-4991-46F9-A740-632284894693}"/>
    <cellStyle name="Comma 4 2 6 9" xfId="49948" xr:uid="{CF87D87F-21CE-4511-9BAA-E86E8DF2E342}"/>
    <cellStyle name="Comma 4 2 7" xfId="10211" xr:uid="{6FEE7F81-A49D-49C6-9C93-A73F2D0DEF3C}"/>
    <cellStyle name="Comma 4 2 7 2" xfId="14699" xr:uid="{4533AF81-6C23-46F2-AA47-70C4A8F4B61C}"/>
    <cellStyle name="Comma 4 2 7 2 2" xfId="22246" xr:uid="{ACCCAAC9-0E94-458D-9C82-7B5241B72298}"/>
    <cellStyle name="Comma 4 2 7 2 3" xfId="47535" xr:uid="{D4FAE1AC-81DB-41A6-AED6-FEB5EBB6059B}"/>
    <cellStyle name="Comma 4 2 7 2 4" xfId="51584" xr:uid="{51AC84D2-9EA4-46C9-B7A7-8D88CFA9CAF3}"/>
    <cellStyle name="Comma 4 2 7 2 5" xfId="54600" xr:uid="{6100D65E-41BA-4B0F-AF7B-4CC085A387AD}"/>
    <cellStyle name="Comma 4 2 7 3" xfId="15184" xr:uid="{34183A10-7E9F-4774-94F2-1E371C670BBD}"/>
    <cellStyle name="Comma 4 2 7 3 2" xfId="22723" xr:uid="{024C74F6-F8B1-4C8D-A33C-15DD4CBB942D}"/>
    <cellStyle name="Comma 4 2 7 3 3" xfId="47045" xr:uid="{48D53E4C-5102-4967-AF05-DF1CEDDB1A2C}"/>
    <cellStyle name="Comma 4 2 7 3 4" xfId="52061" xr:uid="{E6F8B157-4B3F-4685-BE3F-7307EB911017}"/>
    <cellStyle name="Comma 4 2 7 3 5" xfId="55077" xr:uid="{17A31996-8C13-40B5-870D-AC805C82D4CC}"/>
    <cellStyle name="Comma 4 2 7 4" xfId="15671" xr:uid="{37C2C7BF-F72F-4A68-8D41-E98A22CEC083}"/>
    <cellStyle name="Comma 4 2 7 4 2" xfId="23200" xr:uid="{2436A133-6DE4-4D7B-B644-3DD4DCFDC411}"/>
    <cellStyle name="Comma 4 2 7 4 3" xfId="33351" xr:uid="{6EFE584A-6B3D-45CE-8A57-4347C26AEC41}"/>
    <cellStyle name="Comma 4 2 7 4 4" xfId="52538" xr:uid="{E00B6038-0F01-4088-8E1E-141D52C72B18}"/>
    <cellStyle name="Comma 4 2 7 4 5" xfId="55554" xr:uid="{4F36636F-3A05-46CB-BA77-A096F65C96F2}"/>
    <cellStyle name="Comma 4 2 7 5" xfId="12664" xr:uid="{EE00686B-5AA4-4839-B734-FCB14F8C589B}"/>
    <cellStyle name="Comma 4 2 7 5 2" xfId="46782" xr:uid="{9582DA65-A3C5-448E-BE43-3555CCBA8F60}"/>
    <cellStyle name="Comma 4 2 7 5 3" xfId="51107" xr:uid="{194B4C0C-9B2F-4C76-9C8B-13A08992BF98}"/>
    <cellStyle name="Comma 4 2 7 5 4" xfId="54123" xr:uid="{A4C0667F-1FC1-489D-B800-063BBDF4C8D1}"/>
    <cellStyle name="Comma 4 2 7 6" xfId="48451" xr:uid="{778DB4DE-4428-4BE7-9FA8-1BF8B239BDBC}"/>
    <cellStyle name="Comma 4 2 7 7" xfId="50001" xr:uid="{FD8A64AF-0234-44C9-86B5-7D4A8D0D8F77}"/>
    <cellStyle name="Comma 4 2 7 8" xfId="53017" xr:uid="{5F067F98-DE3B-4286-BADA-5A284D49FDD7}"/>
    <cellStyle name="Comma 4 2 8" xfId="10525" xr:uid="{B8D75ACE-74DB-45A3-A733-949F9E368390}"/>
    <cellStyle name="Comma 4 2 8 2" xfId="14911" xr:uid="{AC3FDFE0-8433-4DB1-95DD-5A51D9CDF15E}"/>
    <cellStyle name="Comma 4 2 8 2 2" xfId="22458" xr:uid="{94560D60-C266-4F96-AE19-AFA2FF4AAB23}"/>
    <cellStyle name="Comma 4 2 8 2 3" xfId="46683" xr:uid="{48E1AB5E-F17C-49F9-B3BA-DFCF37D1FA12}"/>
    <cellStyle name="Comma 4 2 8 2 4" xfId="51796" xr:uid="{A9A49FB2-4182-4B14-926B-D0A8DA940FE1}"/>
    <cellStyle name="Comma 4 2 8 2 5" xfId="54812" xr:uid="{13D419BE-F423-44A7-B55F-2D4927904783}"/>
    <cellStyle name="Comma 4 2 8 3" xfId="15396" xr:uid="{6EDCF36D-4911-443A-A663-31944190C44F}"/>
    <cellStyle name="Comma 4 2 8 3 2" xfId="22935" xr:uid="{07077310-32DA-4A4C-AE50-4170B9EC16D7}"/>
    <cellStyle name="Comma 4 2 8 3 3" xfId="47438" xr:uid="{FD7E08CD-EDBF-4B51-A444-8AF0DFDEF06D}"/>
    <cellStyle name="Comma 4 2 8 3 4" xfId="52273" xr:uid="{54F3CD16-72B0-4415-B57F-21B876FFDA98}"/>
    <cellStyle name="Comma 4 2 8 3 5" xfId="55289" xr:uid="{A2D279BA-54AB-4CE8-946B-06633F4332EE}"/>
    <cellStyle name="Comma 4 2 8 4" xfId="15883" xr:uid="{E9910856-B02A-4355-BE62-C53C1B5037BC}"/>
    <cellStyle name="Comma 4 2 8 4 2" xfId="23412" xr:uid="{A82A02DE-C627-432A-B9B2-590638B26707}"/>
    <cellStyle name="Comma 4 2 8 4 3" xfId="46982" xr:uid="{2212D0EC-2F1C-4655-BB46-279B243ADFD4}"/>
    <cellStyle name="Comma 4 2 8 4 4" xfId="52750" xr:uid="{BDC586D7-55DB-4C95-98E5-C3A4259C5E4B}"/>
    <cellStyle name="Comma 4 2 8 4 5" xfId="55766" xr:uid="{0697CCDC-1ED3-42EC-A3F2-6AB762D8ACF2}"/>
    <cellStyle name="Comma 4 2 8 5" xfId="12978" xr:uid="{8394FA50-1CF6-4C4F-B9BE-259171D82719}"/>
    <cellStyle name="Comma 4 2 8 5 2" xfId="48200" xr:uid="{477203A1-009E-4A3F-9287-7826A3311A21}"/>
    <cellStyle name="Comma 4 2 8 5 3" xfId="51319" xr:uid="{A9A5B306-CAD1-4E08-8664-28249AE9B989}"/>
    <cellStyle name="Comma 4 2 8 5 4" xfId="54335" xr:uid="{852F321A-9DE4-43BB-84A7-FA29FCCA2C2A}"/>
    <cellStyle name="Comma 4 2 8 6" xfId="46144" xr:uid="{2E4F20DF-E2F4-4FA1-8E65-287186E5134E}"/>
    <cellStyle name="Comma 4 2 8 7" xfId="50213" xr:uid="{9DC2DFD3-CC02-4650-A5C8-E7E4970C4CF8}"/>
    <cellStyle name="Comma 4 2 8 8" xfId="53229" xr:uid="{0FDE3D2D-7C67-427E-9DDE-B4E208C1ACBE}"/>
    <cellStyle name="Comma 4 2 9" xfId="14487" xr:uid="{1255646F-146A-436B-9D74-02435F3CDA77}"/>
    <cellStyle name="Comma 4 2 9 2" xfId="22034" xr:uid="{ACD55665-43AE-4249-8FFA-7B38102A0507}"/>
    <cellStyle name="Comma 4 2 9 3" xfId="47234" xr:uid="{EB4298A7-81E4-4CF8-9FF9-F4511251D2EF}"/>
    <cellStyle name="Comma 4 2 9 4" xfId="51372" xr:uid="{411E5529-DEB8-4896-821C-11513E3BB25B}"/>
    <cellStyle name="Comma 4 2 9 5" xfId="54388" xr:uid="{E380E380-8322-496B-8862-8259C30B07C9}"/>
    <cellStyle name="Comma 4 3" xfId="2627" xr:uid="{A4A07A48-1355-4B9B-B954-D1F94C9D8007}"/>
    <cellStyle name="Comma 4 3 10" xfId="15945" xr:uid="{EFA0AB3B-9971-42F5-B3C9-B88971B1812D}"/>
    <cellStyle name="Comma 4 3 11" xfId="8426" xr:uid="{467F8B55-300C-4CFD-A30A-9E1341CA2D4A}"/>
    <cellStyle name="Comma 4 3 2" xfId="4544" xr:uid="{71FA2AD0-CF4E-4AA4-81F8-B766697CAF59}"/>
    <cellStyle name="Comma 4 3 2 10" xfId="14995" xr:uid="{76B57A83-8FAC-46F5-9A37-99C26B0A5785}"/>
    <cellStyle name="Comma 4 3 2 10 2" xfId="22535" xr:uid="{85C97FAB-A68F-49A4-BA68-6AAAA8C8F3C2}"/>
    <cellStyle name="Comma 4 3 2 10 3" xfId="46463" xr:uid="{BD631D9C-6B1B-4505-BEC6-2EC652678C45}"/>
    <cellStyle name="Comma 4 3 2 10 4" xfId="51873" xr:uid="{326F1ADB-3370-4FED-AD86-167DDF99F9D7}"/>
    <cellStyle name="Comma 4 3 2 10 5" xfId="54889" xr:uid="{E530F812-D536-4067-8B35-BF105EE90E8B}"/>
    <cellStyle name="Comma 4 3 2 10 6" xfId="19187" xr:uid="{A394DF2F-D798-4E55-8C9C-4DA206CD3871}"/>
    <cellStyle name="Comma 4 3 2 11" xfId="15482" xr:uid="{687FA590-3C4B-4493-926D-B9F541EECE60}"/>
    <cellStyle name="Comma 4 3 2 11 2" xfId="23012" xr:uid="{26F5BF03-3795-44BC-A419-3E1231EDDA42}"/>
    <cellStyle name="Comma 4 3 2 11 3" xfId="47514" xr:uid="{72F137E2-46D0-483F-ACB8-12C96C2AD025}"/>
    <cellStyle name="Comma 4 3 2 11 4" xfId="52350" xr:uid="{B3828DBD-975E-4188-99D6-57F5110F03CB}"/>
    <cellStyle name="Comma 4 3 2 11 5" xfId="55366" xr:uid="{FA4DBDA6-49DA-4A93-9420-202ED42D52F7}"/>
    <cellStyle name="Comma 4 3 2 11 6" xfId="19332" xr:uid="{99396C1A-70B6-4BA7-853C-74AF5CF78BBA}"/>
    <cellStyle name="Comma 4 3 2 12" xfId="11586" xr:uid="{3DCA4E3C-EAD0-4854-A6D0-37A6191CFF0D}"/>
    <cellStyle name="Comma 4 3 2 12 2" xfId="21710" xr:uid="{61000D1D-568E-4A13-A918-530BD2BCD00E}"/>
    <cellStyle name="Comma 4 3 2 12 3" xfId="47803" xr:uid="{ED565C73-99BC-4C3B-83EA-7757897C8C14}"/>
    <cellStyle name="Comma 4 3 2 12 4" xfId="50733" xr:uid="{776C22B3-2781-40CD-BCBC-58F72C78F858}"/>
    <cellStyle name="Comma 4 3 2 12 5" xfId="53749" xr:uid="{50C845B3-3A26-4A42-8B8B-0BC8E2B15A09}"/>
    <cellStyle name="Comma 4 3 2 12 6" xfId="18161" xr:uid="{0C2604C6-2ADF-4D5D-9B8B-D9D15703C918}"/>
    <cellStyle name="Comma 4 3 2 13" xfId="23765" xr:uid="{566732E1-3D5D-4555-933A-331C81163B41}"/>
    <cellStyle name="Comma 4 3 2 14" xfId="46012" xr:uid="{902D6823-C05E-439A-8D93-81CE63C7D131}"/>
    <cellStyle name="Comma 4 3 2 15" xfId="48646" xr:uid="{44A5B0EB-0B07-4F0C-BFB1-051A5F436459}"/>
    <cellStyle name="Comma 4 3 2 16" xfId="49554" xr:uid="{3E65B514-6221-4854-A1EB-0620E801F172}"/>
    <cellStyle name="Comma 4 3 2 17" xfId="49813" xr:uid="{A0A19047-79F5-44EF-B181-03360B4AD43B}"/>
    <cellStyle name="Comma 4 3 2 18" xfId="52828" xr:uid="{83314CF0-9D96-4863-AFB2-B548A4E8E889}"/>
    <cellStyle name="Comma 4 3 2 19" xfId="8936" xr:uid="{CC4A186F-32BC-4CBB-B129-3EC1B1686F13}"/>
    <cellStyle name="Comma 4 3 2 2" xfId="8937" xr:uid="{E9B98368-9AC8-484E-823F-365784DD0A1D}"/>
    <cellStyle name="Comma 4 3 2 2 10" xfId="11514" xr:uid="{637EAA8B-0139-49FF-B4FE-7C3F101EF301}"/>
    <cellStyle name="Comma 4 3 2 2 10 2" xfId="48330" xr:uid="{90969603-85B2-4572-97DE-765B94CA65D2}"/>
    <cellStyle name="Comma 4 3 2 2 10 3" xfId="50724" xr:uid="{8CB3D945-BE91-4902-B5FB-45A8ED194D86}"/>
    <cellStyle name="Comma 4 3 2 2 10 4" xfId="53740" xr:uid="{51F6C158-4A12-4F69-BFD9-8B8F1E387ADF}"/>
    <cellStyle name="Comma 4 3 2 2 10 5" xfId="21701" xr:uid="{611020BA-2B28-40A2-9A59-1DB932EE2FC3}"/>
    <cellStyle name="Comma 4 3 2 2 11" xfId="23766" xr:uid="{9146F0DA-C951-4674-AD96-5EB57015DC56}"/>
    <cellStyle name="Comma 4 3 2 2 12" xfId="47060" xr:uid="{7D71C805-9D47-43B3-A475-CAEF16D8C243}"/>
    <cellStyle name="Comma 4 3 2 2 13" xfId="48647" xr:uid="{C617B631-D236-4B5E-A8D0-4DAFF08AAC6E}"/>
    <cellStyle name="Comma 4 3 2 2 14" xfId="49555" xr:uid="{ACB51944-6860-4329-8AA3-F0D811216C13}"/>
    <cellStyle name="Comma 4 3 2 2 15" xfId="49814" xr:uid="{F9681ACD-42F9-4184-85A6-73579AB9B839}"/>
    <cellStyle name="Comma 4 3 2 2 16" xfId="52829" xr:uid="{B3407916-6C1C-4DA8-96A2-B4824628E434}"/>
    <cellStyle name="Comma 4 3 2 2 17" xfId="18147" xr:uid="{82AB5FCB-D0FE-4973-8EF9-465EC1FA93B5}"/>
    <cellStyle name="Comma 4 3 2 2 2" xfId="10024" xr:uid="{885FF5C4-B5BC-4CAA-A6CA-F08F96899795}"/>
    <cellStyle name="Comma 4 3 2 2 2 10" xfId="18751" xr:uid="{5F111756-17A0-4543-A4B8-409F2FF5C266}"/>
    <cellStyle name="Comma 4 3 2 2 2 2" xfId="10332" xr:uid="{D22619E9-6298-4519-9CD2-D4545E94E200}"/>
    <cellStyle name="Comma 4 3 2 2 2 2 2" xfId="14777" xr:uid="{AC53E4CF-4CFB-4FB9-8F9E-2C080A35961B}"/>
    <cellStyle name="Comma 4 3 2 2 2 2 2 2" xfId="22324" xr:uid="{A01066EF-F4F0-4039-99C4-9EF6BC44127D}"/>
    <cellStyle name="Comma 4 3 2 2 2 2 2 3" xfId="25300" xr:uid="{C13D31A5-2850-4695-B56F-1069715D6747}"/>
    <cellStyle name="Comma 4 3 2 2 2 2 2 4" xfId="51662" xr:uid="{CA6B18B9-7F30-4ABF-8ABF-F9350410F914}"/>
    <cellStyle name="Comma 4 3 2 2 2 2 2 5" xfId="54678" xr:uid="{78C07F77-6A96-4564-BC67-0EABB43A7454}"/>
    <cellStyle name="Comma 4 3 2 2 2 2 2 6" xfId="19121" xr:uid="{B5EFD4D8-8C45-4A82-9A22-DFFD2EAF8E75}"/>
    <cellStyle name="Comma 4 3 2 2 2 2 3" xfId="15262" xr:uid="{1D3A1D7F-4F62-443B-B049-5C34C651B064}"/>
    <cellStyle name="Comma 4 3 2 2 2 2 3 2" xfId="22801" xr:uid="{8D1BBEF2-B507-49E1-A3AE-C9774EE54DA8}"/>
    <cellStyle name="Comma 4 3 2 2 2 2 3 3" xfId="47938" xr:uid="{3B09300B-DFFC-4993-A5C1-031E98C09154}"/>
    <cellStyle name="Comma 4 3 2 2 2 2 3 4" xfId="52139" xr:uid="{5D22C636-0C7A-4724-9D21-2FF9CBD0F572}"/>
    <cellStyle name="Comma 4 3 2 2 2 2 3 5" xfId="55155" xr:uid="{020743F3-09DE-4DD8-9C57-C7E841D94C6E}"/>
    <cellStyle name="Comma 4 3 2 2 2 2 3 6" xfId="19264" xr:uid="{55756B1C-AC19-4FFE-954B-297381BD1A7A}"/>
    <cellStyle name="Comma 4 3 2 2 2 2 4" xfId="15749" xr:uid="{81FB5FCE-6B41-403C-A96F-112A3DB4CB47}"/>
    <cellStyle name="Comma 4 3 2 2 2 2 4 2" xfId="23278" xr:uid="{5DDD59E1-2866-4D39-ADED-54AA6CAA8E12}"/>
    <cellStyle name="Comma 4 3 2 2 2 2 4 3" xfId="46580" xr:uid="{24ADF181-70EA-48AF-BE74-0A8AA8A92AB6}"/>
    <cellStyle name="Comma 4 3 2 2 2 2 4 4" xfId="52616" xr:uid="{F0637ABD-906B-4AB7-A331-14D85862F9D9}"/>
    <cellStyle name="Comma 4 3 2 2 2 2 4 5" xfId="55632" xr:uid="{525DE5E3-55EB-4682-A4D1-8264B74366C0}"/>
    <cellStyle name="Comma 4 3 2 2 2 2 4 6" xfId="19409" xr:uid="{0BD64964-0BF6-445E-B95E-1EF7C0663B1D}"/>
    <cellStyle name="Comma 4 3 2 2 2 2 5" xfId="12785" xr:uid="{6DF08EF8-D47E-401A-8980-5227C589A6C1}"/>
    <cellStyle name="Comma 4 3 2 2 2 2 5 2" xfId="46352" xr:uid="{992571A3-307A-4372-A214-52C0FA6F67FA}"/>
    <cellStyle name="Comma 4 3 2 2 2 2 5 3" xfId="51185" xr:uid="{1CD792A7-B434-46A2-A7CF-4552A69FBFA5}"/>
    <cellStyle name="Comma 4 3 2 2 2 2 5 4" xfId="54201" xr:uid="{42882535-ADE6-438D-8A7F-131315E9E8B3}"/>
    <cellStyle name="Comma 4 3 2 2 2 2 5 5" xfId="21979" xr:uid="{A5E2AD9C-656F-4E39-BAE9-17A21C571AF9}"/>
    <cellStyle name="Comma 4 3 2 2 2 2 6" xfId="47509" xr:uid="{CDEDFC42-A79F-47B6-B9E5-373D85B0B2A2}"/>
    <cellStyle name="Comma 4 3 2 2 2 2 7" xfId="50079" xr:uid="{F5762ADF-5AAF-49D6-9F4F-EAC37A789638}"/>
    <cellStyle name="Comma 4 3 2 2 2 2 8" xfId="53095" xr:uid="{5EF10E93-99F2-43A0-B343-179AEBBBF03E}"/>
    <cellStyle name="Comma 4 3 2 2 2 2 9" xfId="18900" xr:uid="{066141C6-158F-4956-A51A-C028773D0A4B}"/>
    <cellStyle name="Comma 4 3 2 2 2 3" xfId="14565" xr:uid="{340F07DD-AD01-4209-99A9-37EA638041ED}"/>
    <cellStyle name="Comma 4 3 2 2 2 3 2" xfId="22112" xr:uid="{4552CA8F-DA6C-4952-ADA4-8089DEE72B80}"/>
    <cellStyle name="Comma 4 3 2 2 2 3 3" xfId="24978" xr:uid="{FAFC41F8-1C73-46A3-A2DE-104695650E38}"/>
    <cellStyle name="Comma 4 3 2 2 2 3 4" xfId="51450" xr:uid="{99BF1622-576A-4FDD-8AF6-41D17448DDF3}"/>
    <cellStyle name="Comma 4 3 2 2 2 3 5" xfId="54466" xr:uid="{4F83BD80-89B3-4E68-81CF-0966407FB132}"/>
    <cellStyle name="Comma 4 3 2 2 2 3 6" xfId="19061" xr:uid="{14CB050E-38CC-4551-95B4-EEFEE8766421}"/>
    <cellStyle name="Comma 4 3 2 2 2 4" xfId="15049" xr:uid="{C1DDB320-6535-4283-847C-8FF16197EA90}"/>
    <cellStyle name="Comma 4 3 2 2 2 4 2" xfId="22589" xr:uid="{F1846ED4-53FF-47CA-AF50-4520A960851C}"/>
    <cellStyle name="Comma 4 3 2 2 2 4 3" xfId="33651" xr:uid="{7BCD93D3-DFEC-46E5-80FA-339B90636879}"/>
    <cellStyle name="Comma 4 3 2 2 2 4 4" xfId="51927" xr:uid="{F95C8ED1-6CCB-4C07-B835-D1B0194B6CC3}"/>
    <cellStyle name="Comma 4 3 2 2 2 4 5" xfId="54943" xr:uid="{8BA6A2BC-4026-41CA-AB3C-90F032E0AEC8}"/>
    <cellStyle name="Comma 4 3 2 2 2 4 6" xfId="19203" xr:uid="{F6CBE129-833F-402A-B0E3-F48A95D66387}"/>
    <cellStyle name="Comma 4 3 2 2 2 5" xfId="15536" xr:uid="{64A3C6E8-ADAA-4CF0-A8E9-74BCC7E8AF77}"/>
    <cellStyle name="Comma 4 3 2 2 2 5 2" xfId="23066" xr:uid="{5850A964-6358-4A54-B661-05DBF0D608A1}"/>
    <cellStyle name="Comma 4 3 2 2 2 5 3" xfId="47348" xr:uid="{3C0E3DFA-9D15-4129-8071-A892EBE7A0FF}"/>
    <cellStyle name="Comma 4 3 2 2 2 5 4" xfId="52404" xr:uid="{4B514EB5-08E3-416C-A6DC-5759696E8738}"/>
    <cellStyle name="Comma 4 3 2 2 2 5 5" xfId="55420" xr:uid="{682952B2-3C66-4A1C-817E-CFF497AF8B89}"/>
    <cellStyle name="Comma 4 3 2 2 2 5 6" xfId="19348" xr:uid="{48146377-72DF-4376-97A5-ED82452F7122}"/>
    <cellStyle name="Comma 4 3 2 2 2 6" xfId="12484" xr:uid="{5E8AC7A5-C0F0-43B4-BC3F-9D3D4CB74FF4}"/>
    <cellStyle name="Comma 4 3 2 2 2 6 2" xfId="47163" xr:uid="{ECDB7DA5-793C-4FF3-8807-2525F7132067}"/>
    <cellStyle name="Comma 4 3 2 2 2 6 3" xfId="50973" xr:uid="{B9DDCF22-4720-4859-A74B-7EEC0F625636}"/>
    <cellStyle name="Comma 4 3 2 2 2 6 4" xfId="53989" xr:uid="{7A78D91B-72EE-4FB9-B37A-E87CB38B6FF5}"/>
    <cellStyle name="Comma 4 3 2 2 2 6 5" xfId="21918" xr:uid="{BC7BB02E-38F6-4409-83E7-4F8957E3AE2C}"/>
    <cellStyle name="Comma 4 3 2 2 2 7" xfId="46027" xr:uid="{072C7362-E0D2-44A5-8E3F-F78D557C9947}"/>
    <cellStyle name="Comma 4 3 2 2 2 8" xfId="49867" xr:uid="{6DB3BFE2-0C83-4F21-A69B-3F2238B7DD07}"/>
    <cellStyle name="Comma 4 3 2 2 2 9" xfId="52883" xr:uid="{35ED37D3-7634-4336-8995-CC7C8A7A4BC9}"/>
    <cellStyle name="Comma 4 3 2 2 3" xfId="10098" xr:uid="{BFA4E8CB-7A8F-4B0D-A275-DAB133293018}"/>
    <cellStyle name="Comma 4 3 2 2 3 10" xfId="18784" xr:uid="{748E908F-D481-4DA7-9DE4-C4BC4FFA7BEB}"/>
    <cellStyle name="Comma 4 3 2 2 3 2" xfId="10411" xr:uid="{77F55A90-8F19-4ED6-AF27-808FD5D0981B}"/>
    <cellStyle name="Comma 4 3 2 2 3 2 2" xfId="14830" xr:uid="{E64F83CA-279F-4386-8B77-BC087946CA63}"/>
    <cellStyle name="Comma 4 3 2 2 3 2 2 2" xfId="22377" xr:uid="{9B10062F-522A-4C3A-8AE5-2063D6CC630D}"/>
    <cellStyle name="Comma 4 3 2 2 3 2 2 3" xfId="33655" xr:uid="{DF040551-BB62-404D-AFF1-F5108F6913F8}"/>
    <cellStyle name="Comma 4 3 2 2 3 2 2 4" xfId="51715" xr:uid="{E9BA7427-8DDA-4532-AFD0-DFD08DF8BFF6}"/>
    <cellStyle name="Comma 4 3 2 2 3 2 2 5" xfId="54731" xr:uid="{6D5395BA-84C8-4793-8185-ECD562EF9221}"/>
    <cellStyle name="Comma 4 3 2 2 3 2 2 6" xfId="19136" xr:uid="{A9F11B7C-6A0F-4C8B-AB19-5D6752428E4D}"/>
    <cellStyle name="Comma 4 3 2 2 3 2 3" xfId="15315" xr:uid="{17CDA836-9C57-4F8E-82A1-8C61DDD468FC}"/>
    <cellStyle name="Comma 4 3 2 2 3 2 3 2" xfId="22854" xr:uid="{1A909658-1204-4C7C-BD77-50AE065EE16C}"/>
    <cellStyle name="Comma 4 3 2 2 3 2 3 3" xfId="46691" xr:uid="{A5F49F0C-869A-4643-A222-F10191500FCA}"/>
    <cellStyle name="Comma 4 3 2 2 3 2 3 4" xfId="52192" xr:uid="{2053613D-9D9E-4258-824A-9FA02B6E7C5E}"/>
    <cellStyle name="Comma 4 3 2 2 3 2 3 5" xfId="55208" xr:uid="{8E4C0B28-9A97-4B73-BC91-A4363AA4209B}"/>
    <cellStyle name="Comma 4 3 2 2 3 2 3 6" xfId="19279" xr:uid="{5DC755EC-5A6D-4AC4-BBFC-E1F14C4E7162}"/>
    <cellStyle name="Comma 4 3 2 2 3 2 4" xfId="15802" xr:uid="{1F9D1504-2953-4E88-8830-82457BD231EA}"/>
    <cellStyle name="Comma 4 3 2 2 3 2 4 2" xfId="23331" xr:uid="{B793838C-9180-4BA9-B514-4A4482FFD53F}"/>
    <cellStyle name="Comma 4 3 2 2 3 2 4 3" xfId="46967" xr:uid="{40EFAE31-9AB0-414A-B69D-61E33987E9EA}"/>
    <cellStyle name="Comma 4 3 2 2 3 2 4 4" xfId="52669" xr:uid="{759DC047-A4EA-4161-A2CB-C521D506C013}"/>
    <cellStyle name="Comma 4 3 2 2 3 2 4 5" xfId="55685" xr:uid="{4DE1DC6E-C1FD-49C9-BC8E-84AF13C7AED5}"/>
    <cellStyle name="Comma 4 3 2 2 3 2 4 6" xfId="19424" xr:uid="{92EF0A7F-E9C0-44D9-93A3-AF335A6B5905}"/>
    <cellStyle name="Comma 4 3 2 2 3 2 5" xfId="12864" xr:uid="{F0FF4473-3A88-4393-B56B-FC79F8F04AA1}"/>
    <cellStyle name="Comma 4 3 2 2 3 2 5 2" xfId="47664" xr:uid="{7B296A36-4AAD-4F81-99B3-DF43784F2719}"/>
    <cellStyle name="Comma 4 3 2 2 3 2 5 3" xfId="51238" xr:uid="{A2482F26-DEE2-4103-8790-712F5B519112}"/>
    <cellStyle name="Comma 4 3 2 2 3 2 5 4" xfId="54254" xr:uid="{E95FF8E6-465F-48A3-A8C1-1D2E61AB9877}"/>
    <cellStyle name="Comma 4 3 2 2 3 2 5 5" xfId="21994" xr:uid="{677C1EE6-3470-4BD8-8486-F3E53C9F72AF}"/>
    <cellStyle name="Comma 4 3 2 2 3 2 6" xfId="47584" xr:uid="{7EC4F173-1212-4626-8CAF-4FD331F02218}"/>
    <cellStyle name="Comma 4 3 2 2 3 2 7" xfId="50132" xr:uid="{3DD7A596-30BE-41C9-AD34-80E19C74CB07}"/>
    <cellStyle name="Comma 4 3 2 2 3 2 8" xfId="53148" xr:uid="{BD6B4BF0-3AC9-4515-BD4E-12DDCACB749A}"/>
    <cellStyle name="Comma 4 3 2 2 3 2 9" xfId="18941" xr:uid="{C1BED072-967C-44BD-A037-F698A5476197}"/>
    <cellStyle name="Comma 4 3 2 2 3 3" xfId="14618" xr:uid="{C21FCC84-D4FA-4943-A5AE-BA6E81BA6B7A}"/>
    <cellStyle name="Comma 4 3 2 2 3 3 2" xfId="22165" xr:uid="{B2EADA70-E2B9-48F5-9551-5A03EBDC5E3E}"/>
    <cellStyle name="Comma 4 3 2 2 3 3 3" xfId="32412" xr:uid="{251FBBC7-31EC-4589-88B8-63B8F9FA6F2D}"/>
    <cellStyle name="Comma 4 3 2 2 3 3 4" xfId="51503" xr:uid="{D8DB42F4-40D3-4750-8E84-EA2FA57F74EF}"/>
    <cellStyle name="Comma 4 3 2 2 3 3 5" xfId="54519" xr:uid="{B1805C8D-F1E6-4FFF-AB58-4F44DADB8B2E}"/>
    <cellStyle name="Comma 4 3 2 2 3 3 6" xfId="19076" xr:uid="{EFF7CAB1-8B81-454C-BD94-125638408C63}"/>
    <cellStyle name="Comma 4 3 2 2 3 4" xfId="15103" xr:uid="{69924AF0-5A63-4375-938D-62CB833F7F05}"/>
    <cellStyle name="Comma 4 3 2 2 3 4 2" xfId="22642" xr:uid="{57E129E7-F4F3-436C-B80E-6C26619FE5EA}"/>
    <cellStyle name="Comma 4 3 2 2 3 4 3" xfId="46880" xr:uid="{C96A54DA-8B19-4691-BCD0-594709A70002}"/>
    <cellStyle name="Comma 4 3 2 2 3 4 4" xfId="51980" xr:uid="{578B92A9-C444-4A6D-9D12-E824CDC266E1}"/>
    <cellStyle name="Comma 4 3 2 2 3 4 5" xfId="54996" xr:uid="{79D2164B-B8BC-46A6-89AD-B8B80C975DE1}"/>
    <cellStyle name="Comma 4 3 2 2 3 4 6" xfId="19219" xr:uid="{4B77C906-08FB-49A2-96A9-9584F2DBB771}"/>
    <cellStyle name="Comma 4 3 2 2 3 5" xfId="15590" xr:uid="{D506C5E4-ACDD-461F-B120-93D81095AB84}"/>
    <cellStyle name="Comma 4 3 2 2 3 5 2" xfId="23119" xr:uid="{D172085B-61D0-40A0-B3DF-47253FA742DE}"/>
    <cellStyle name="Comma 4 3 2 2 3 5 3" xfId="47154" xr:uid="{B64251D1-0480-4186-BD45-3569D6E70F9B}"/>
    <cellStyle name="Comma 4 3 2 2 3 5 4" xfId="52457" xr:uid="{F4A45B49-3643-4526-875E-F541522749B9}"/>
    <cellStyle name="Comma 4 3 2 2 3 5 5" xfId="55473" xr:uid="{E45B5FCB-264D-4534-8B48-ACFEFE61EB44}"/>
    <cellStyle name="Comma 4 3 2 2 3 5 6" xfId="19364" xr:uid="{9B297162-6202-4F70-B3C2-0CA6F26B7DD7}"/>
    <cellStyle name="Comma 4 3 2 2 3 6" xfId="12555" xr:uid="{D4154C0D-2AB7-4377-AAE5-85E8AA550EF5}"/>
    <cellStyle name="Comma 4 3 2 2 3 6 2" xfId="47090" xr:uid="{15BEB855-455E-403A-A5D6-63FF02CA0B6D}"/>
    <cellStyle name="Comma 4 3 2 2 3 6 3" xfId="51026" xr:uid="{7A720C36-1F49-4175-A6DA-A66BEA212E6E}"/>
    <cellStyle name="Comma 4 3 2 2 3 6 4" xfId="54042" xr:uid="{0A1BF684-896D-4DD2-A5F1-EFDB65A498CC}"/>
    <cellStyle name="Comma 4 3 2 2 3 6 5" xfId="21934" xr:uid="{A59B4FDB-8839-4A49-A17D-E469CC089576}"/>
    <cellStyle name="Comma 4 3 2 2 3 7" xfId="48151" xr:uid="{EA7A3285-DA21-4BD6-AC00-64BABD87F35B}"/>
    <cellStyle name="Comma 4 3 2 2 3 8" xfId="49920" xr:uid="{C8C3EFC0-9FCE-45CB-97C5-01CC67C59F7C}"/>
    <cellStyle name="Comma 4 3 2 2 3 9" xfId="52936" xr:uid="{A33827E1-393C-4A70-B5CA-2598B7430C38}"/>
    <cellStyle name="Comma 4 3 2 2 4" xfId="10177" xr:uid="{DB547C1F-6594-4CAF-AFBA-C4BCB461024F}"/>
    <cellStyle name="Comma 4 3 2 2 4 10" xfId="18822" xr:uid="{DC5D483F-F7CD-40A5-A71C-B27EBFB3A372}"/>
    <cellStyle name="Comma 4 3 2 2 4 2" xfId="10491" xr:uid="{5E0BC2A3-4162-41DB-9FD6-6DFC89120FBF}"/>
    <cellStyle name="Comma 4 3 2 2 4 2 2" xfId="14883" xr:uid="{D0B54C7B-1500-40C4-8D15-2AAC37E318D7}"/>
    <cellStyle name="Comma 4 3 2 2 4 2 2 2" xfId="22430" xr:uid="{4C8BEE23-B2EE-47BF-9DAF-F59184261398}"/>
    <cellStyle name="Comma 4 3 2 2 4 2 2 3" xfId="48244" xr:uid="{98C6C667-4D95-4160-91CC-1CC6EDBA2A63}"/>
    <cellStyle name="Comma 4 3 2 2 4 2 2 4" xfId="51768" xr:uid="{DE9FE2B2-B612-469F-A4AC-B6999BB30522}"/>
    <cellStyle name="Comma 4 3 2 2 4 2 2 5" xfId="54784" xr:uid="{A212D468-99A2-451E-9664-DDE8DA669A8F}"/>
    <cellStyle name="Comma 4 3 2 2 4 2 2 6" xfId="19151" xr:uid="{FFC2918C-E9A8-4779-9C75-AA5BC1E94EA7}"/>
    <cellStyle name="Comma 4 3 2 2 4 2 3" xfId="15368" xr:uid="{7A08C2A7-5C36-443E-8873-BBE948641339}"/>
    <cellStyle name="Comma 4 3 2 2 4 2 3 2" xfId="22907" xr:uid="{39F2DF8B-A6C2-42E2-9BBF-E9FD0F9B35C1}"/>
    <cellStyle name="Comma 4 3 2 2 4 2 3 3" xfId="46521" xr:uid="{3A2BB5CF-02BD-4DEC-97C1-2A7BA88B7B2C}"/>
    <cellStyle name="Comma 4 3 2 2 4 2 3 4" xfId="52245" xr:uid="{2D9882E5-D854-45DD-9E2F-A2FDC56054A2}"/>
    <cellStyle name="Comma 4 3 2 2 4 2 3 5" xfId="55261" xr:uid="{D2D94DB1-D4DA-45F4-902F-1A790D2C66CD}"/>
    <cellStyle name="Comma 4 3 2 2 4 2 3 6" xfId="19294" xr:uid="{6616CF04-B1AF-4CC7-BCB6-5BC6931DEBA7}"/>
    <cellStyle name="Comma 4 3 2 2 4 2 4" xfId="15855" xr:uid="{28D996F9-B7CE-4A2E-9F50-C42A26D61CB4}"/>
    <cellStyle name="Comma 4 3 2 2 4 2 4 2" xfId="23384" xr:uid="{0FEA7BDD-673F-4D5D-8583-2CDA2913DFF0}"/>
    <cellStyle name="Comma 4 3 2 2 4 2 4 3" xfId="46598" xr:uid="{1F961E16-333F-4F60-8549-6A2DBDF93251}"/>
    <cellStyle name="Comma 4 3 2 2 4 2 4 4" xfId="52722" xr:uid="{7A51720B-0F6E-430C-99CA-493BD8959B51}"/>
    <cellStyle name="Comma 4 3 2 2 4 2 4 5" xfId="55738" xr:uid="{839804E4-F47F-4BE8-A7BE-791684025639}"/>
    <cellStyle name="Comma 4 3 2 2 4 2 4 6" xfId="19439" xr:uid="{AC2CAFD8-0356-4133-9B15-F2A00A024D4B}"/>
    <cellStyle name="Comma 4 3 2 2 4 2 5" xfId="12944" xr:uid="{8C33DF91-94C3-4EEF-B492-06F2B00FF174}"/>
    <cellStyle name="Comma 4 3 2 2 4 2 5 2" xfId="46815" xr:uid="{38EEF577-0F24-427F-8C21-09D80355AD21}"/>
    <cellStyle name="Comma 4 3 2 2 4 2 5 3" xfId="51291" xr:uid="{E41811CF-9EC7-48AD-A592-C98055AB4CE9}"/>
    <cellStyle name="Comma 4 3 2 2 4 2 5 4" xfId="54307" xr:uid="{F757FC02-F7F0-42A2-8055-FE65FC90B283}"/>
    <cellStyle name="Comma 4 3 2 2 4 2 5 5" xfId="22009" xr:uid="{596DA9C7-7A48-48F6-A28A-9ECA793A99F8}"/>
    <cellStyle name="Comma 4 3 2 2 4 2 6" xfId="47588" xr:uid="{111F401F-747A-4F70-AFD9-19FC9A49DB70}"/>
    <cellStyle name="Comma 4 3 2 2 4 2 7" xfId="50185" xr:uid="{1AEA35AB-167C-4E13-AEFC-304C46FFE0EA}"/>
    <cellStyle name="Comma 4 3 2 2 4 2 8" xfId="53201" xr:uid="{055A13B3-3968-4BB7-BF6B-361F6378F86A}"/>
    <cellStyle name="Comma 4 3 2 2 4 2 9" xfId="18983" xr:uid="{683196CA-7B30-49A0-8DB6-E655A1C76A9F}"/>
    <cellStyle name="Comma 4 3 2 2 4 3" xfId="14671" xr:uid="{F1EA42A5-0AA0-49D4-ACB8-26CAE2EE502D}"/>
    <cellStyle name="Comma 4 3 2 2 4 3 2" xfId="22218" xr:uid="{3E4A17B8-9EFE-4F96-AD2D-1778E64CA51B}"/>
    <cellStyle name="Comma 4 3 2 2 4 3 3" xfId="33023" xr:uid="{DC9E070A-185E-4577-BCC6-C8CB96963411}"/>
    <cellStyle name="Comma 4 3 2 2 4 3 4" xfId="51556" xr:uid="{9581297E-52DA-48C3-AED2-D15CEB428235}"/>
    <cellStyle name="Comma 4 3 2 2 4 3 5" xfId="54572" xr:uid="{CB660FE7-4179-40A2-8997-65EBAB3C99B2}"/>
    <cellStyle name="Comma 4 3 2 2 4 3 6" xfId="19091" xr:uid="{209F8B97-9A8C-4C12-973F-40E49906EE58}"/>
    <cellStyle name="Comma 4 3 2 2 4 4" xfId="15156" xr:uid="{42C9FB71-B66F-4F3D-8BFC-FB03A994D988}"/>
    <cellStyle name="Comma 4 3 2 2 4 4 2" xfId="22695" xr:uid="{E6A71A41-F468-472A-B236-F2145DA89DB3}"/>
    <cellStyle name="Comma 4 3 2 2 4 4 3" xfId="47862" xr:uid="{9A86CEE4-5407-4E92-AD68-FB75E8859C73}"/>
    <cellStyle name="Comma 4 3 2 2 4 4 4" xfId="52033" xr:uid="{D8F36316-A1AA-4A56-B678-457B5DDFF409}"/>
    <cellStyle name="Comma 4 3 2 2 4 4 5" xfId="55049" xr:uid="{BB0A7C90-3BE2-4F7A-B174-AA5F83E37572}"/>
    <cellStyle name="Comma 4 3 2 2 4 4 6" xfId="19234" xr:uid="{C769F813-9B77-4CD4-AE87-2D7549439AAE}"/>
    <cellStyle name="Comma 4 3 2 2 4 5" xfId="15643" xr:uid="{07B398E4-FC09-4AD4-9A3E-4D20B292F383}"/>
    <cellStyle name="Comma 4 3 2 2 4 5 2" xfId="23172" xr:uid="{3F843C6A-8C78-4D44-A05A-5612BA5956DB}"/>
    <cellStyle name="Comma 4 3 2 2 4 5 3" xfId="24899" xr:uid="{308D2895-7906-4E04-9E5F-9135D1A03C28}"/>
    <cellStyle name="Comma 4 3 2 2 4 5 4" xfId="52510" xr:uid="{BAF73E8C-A106-47FE-BB18-1B05ED95027A}"/>
    <cellStyle name="Comma 4 3 2 2 4 5 5" xfId="55526" xr:uid="{FFEC1918-E714-4222-8A6C-F8305B44ADD8}"/>
    <cellStyle name="Comma 4 3 2 2 4 5 6" xfId="19379" xr:uid="{968A85F9-CBE1-4A74-9570-D3BB98350B1A}"/>
    <cellStyle name="Comma 4 3 2 2 4 6" xfId="12631" xr:uid="{EA798609-7B1C-4A99-A28F-932413955062}"/>
    <cellStyle name="Comma 4 3 2 2 4 6 2" xfId="46777" xr:uid="{9226D44F-7B50-44CA-A284-DA750FAD0722}"/>
    <cellStyle name="Comma 4 3 2 2 4 6 3" xfId="51079" xr:uid="{D1E76EB2-5AEE-45C0-800D-0B993884F9F5}"/>
    <cellStyle name="Comma 4 3 2 2 4 6 4" xfId="54095" xr:uid="{D38C8D49-FF65-4B78-BEC9-D39B40C41569}"/>
    <cellStyle name="Comma 4 3 2 2 4 6 5" xfId="21949" xr:uid="{2C3446A0-3ED8-4550-954E-B33F63FE9374}"/>
    <cellStyle name="Comma 4 3 2 2 4 7" xfId="47280" xr:uid="{3DE8E870-F068-4FB8-8879-2F9B01146354}"/>
    <cellStyle name="Comma 4 3 2 2 4 8" xfId="49973" xr:uid="{37FB7104-6EBC-44E8-B2D1-CCC8EBDF5997}"/>
    <cellStyle name="Comma 4 3 2 2 4 9" xfId="52989" xr:uid="{D4430F6F-6BE0-4031-A960-2776D7EA7500}"/>
    <cellStyle name="Comma 4 3 2 2 5" xfId="10257" xr:uid="{B03471CA-16A6-4958-8782-AFC483AC112B}"/>
    <cellStyle name="Comma 4 3 2 2 5 2" xfId="14724" xr:uid="{2BA78B4D-1327-48DB-A940-9EBB6FB4C51C}"/>
    <cellStyle name="Comma 4 3 2 2 5 2 2" xfId="22271" xr:uid="{98D4679C-4F37-49A1-9721-CE8DDBD5A362}"/>
    <cellStyle name="Comma 4 3 2 2 5 2 3" xfId="46854" xr:uid="{1F46F15A-C1E4-4ED5-A3E8-614ADC057473}"/>
    <cellStyle name="Comma 4 3 2 2 5 2 4" xfId="51609" xr:uid="{410E3248-305B-470D-8CF2-3E443F865FD6}"/>
    <cellStyle name="Comma 4 3 2 2 5 2 5" xfId="54625" xr:uid="{F92B535E-B745-49C0-8043-7A561C6D9225}"/>
    <cellStyle name="Comma 4 3 2 2 5 2 6" xfId="19106" xr:uid="{1E0BEE40-00DF-4BD9-8220-B8052DD80FEC}"/>
    <cellStyle name="Comma 4 3 2 2 5 3" xfId="15209" xr:uid="{6DEFCEE3-F0EC-4A05-A80A-D0633C4D90BC}"/>
    <cellStyle name="Comma 4 3 2 2 5 3 2" xfId="22748" xr:uid="{378B1390-7B1C-4943-9A0E-A271F48B41F1}"/>
    <cellStyle name="Comma 4 3 2 2 5 3 3" xfId="32545" xr:uid="{7CCAEF29-9E9F-49B6-963A-5451BB77397B}"/>
    <cellStyle name="Comma 4 3 2 2 5 3 4" xfId="52086" xr:uid="{6CEC63A6-AA7E-4E97-BB3A-A29065553D09}"/>
    <cellStyle name="Comma 4 3 2 2 5 3 5" xfId="55102" xr:uid="{D00D13D1-F5D2-43DE-927B-83046DEA41FB}"/>
    <cellStyle name="Comma 4 3 2 2 5 3 6" xfId="19249" xr:uid="{510BA469-2FB8-4790-B23F-975F6EBD0424}"/>
    <cellStyle name="Comma 4 3 2 2 5 4" xfId="15696" xr:uid="{B5F5516E-71A0-4713-BCAF-17047E34CB85}"/>
    <cellStyle name="Comma 4 3 2 2 5 4 2" xfId="23225" xr:uid="{6C124B20-DCED-44AC-B06F-3FB9B06F1785}"/>
    <cellStyle name="Comma 4 3 2 2 5 4 3" xfId="48325" xr:uid="{F0CC3894-90B0-430A-AFD3-91E37ABC209B}"/>
    <cellStyle name="Comma 4 3 2 2 5 4 4" xfId="52563" xr:uid="{5C61EC2F-8F3F-4EC0-B6F1-8059477C1801}"/>
    <cellStyle name="Comma 4 3 2 2 5 4 5" xfId="55579" xr:uid="{F8754D95-A971-4EF4-94F0-0C91189B7551}"/>
    <cellStyle name="Comma 4 3 2 2 5 4 6" xfId="19394" xr:uid="{46F5BE88-0231-4640-A86D-B719FF36A991}"/>
    <cellStyle name="Comma 4 3 2 2 5 5" xfId="12710" xr:uid="{0579E9BB-183C-4D72-91EE-EC7D43F6DBC9}"/>
    <cellStyle name="Comma 4 3 2 2 5 5 2" xfId="48198" xr:uid="{0A6008C6-2A48-459A-AF08-482018C87E86}"/>
    <cellStyle name="Comma 4 3 2 2 5 5 3" xfId="51132" xr:uid="{2EEF9ADA-0B9D-4FB5-A987-1F8E1F538548}"/>
    <cellStyle name="Comma 4 3 2 2 5 5 4" xfId="54148" xr:uid="{15CB14EC-AA86-4935-8BE3-D4981318B407}"/>
    <cellStyle name="Comma 4 3 2 2 5 5 5" xfId="21964" xr:uid="{BEDA1F5B-A096-46C9-AE41-9CACE97D8F20}"/>
    <cellStyle name="Comma 4 3 2 2 5 6" xfId="48090" xr:uid="{AE807A1B-8C72-4426-BE5D-B6A77B6E3132}"/>
    <cellStyle name="Comma 4 3 2 2 5 7" xfId="50026" xr:uid="{CC94E42C-FD6C-40C9-9B0D-F410DA22A873}"/>
    <cellStyle name="Comma 4 3 2 2 5 8" xfId="53042" xr:uid="{6C24A3BD-90A3-485E-BD46-0D65CE7514A6}"/>
    <cellStyle name="Comma 4 3 2 2 5 9" xfId="18863" xr:uid="{0809007A-8AB8-498B-8015-AED612651379}"/>
    <cellStyle name="Comma 4 3 2 2 6" xfId="10571" xr:uid="{7273569A-CC5E-4012-996F-88B1B0403895}"/>
    <cellStyle name="Comma 4 3 2 2 6 2" xfId="14936" xr:uid="{E798D4F1-5341-4A2F-A67B-F96BDB2F10FF}"/>
    <cellStyle name="Comma 4 3 2 2 6 2 2" xfId="22483" xr:uid="{62F5723E-4872-4453-B03D-1AD24F767A7A}"/>
    <cellStyle name="Comma 4 3 2 2 6 2 3" xfId="47454" xr:uid="{C1AF5875-4383-4B13-B4CC-A1DF7BCD8730}"/>
    <cellStyle name="Comma 4 3 2 2 6 2 4" xfId="51821" xr:uid="{DE7C993A-D0FE-4DD3-882C-81121C2905B1}"/>
    <cellStyle name="Comma 4 3 2 2 6 2 5" xfId="54837" xr:uid="{ABCD1ACD-FC55-4EE6-8D0E-FE226135DA9D}"/>
    <cellStyle name="Comma 4 3 2 2 6 2 6" xfId="19166" xr:uid="{B8C9ACF6-8CF8-44C1-AC83-9F7E15419C32}"/>
    <cellStyle name="Comma 4 3 2 2 6 3" xfId="15421" xr:uid="{BF8E8712-8D09-442B-82FA-C7DCAB534F3F}"/>
    <cellStyle name="Comma 4 3 2 2 6 3 2" xfId="22960" xr:uid="{84E8A9FD-CC52-4637-9529-653BC7F55C1B}"/>
    <cellStyle name="Comma 4 3 2 2 6 3 3" xfId="32543" xr:uid="{B07F6669-BE13-4D05-A4E6-5DB44AC94D18}"/>
    <cellStyle name="Comma 4 3 2 2 6 3 4" xfId="52298" xr:uid="{884AA4DA-A7C4-4175-AE4D-B26BD04EADD3}"/>
    <cellStyle name="Comma 4 3 2 2 6 3 5" xfId="55314" xr:uid="{D72A6F21-2905-4B68-BCBB-2FE319F0351D}"/>
    <cellStyle name="Comma 4 3 2 2 6 3 6" xfId="19309" xr:uid="{6CFB9CCC-9547-4DBC-9CB5-BBC8D4105FED}"/>
    <cellStyle name="Comma 4 3 2 2 6 4" xfId="15909" xr:uid="{6DE86A20-A3B2-4766-8C37-B6B99D07CF47}"/>
    <cellStyle name="Comma 4 3 2 2 6 4 2" xfId="23437" xr:uid="{25B9757F-5988-4EE3-849D-CB93BFED2C60}"/>
    <cellStyle name="Comma 4 3 2 2 6 4 3" xfId="46604" xr:uid="{DA5549C0-6431-4BD3-9953-E4134098B481}"/>
    <cellStyle name="Comma 4 3 2 2 6 4 4" xfId="52775" xr:uid="{6C81D899-6CD3-4AB2-90BE-89695E9009E8}"/>
    <cellStyle name="Comma 4 3 2 2 6 4 5" xfId="55791" xr:uid="{E6AAAFBE-2AC7-49B0-B690-7ADDB08CB317}"/>
    <cellStyle name="Comma 4 3 2 2 6 4 6" xfId="19455" xr:uid="{1774E98C-C0B5-4764-8410-6B34ADF7D98D}"/>
    <cellStyle name="Comma 4 3 2 2 6 5" xfId="13024" xr:uid="{99147DD6-B131-4AAA-B4E0-17C2AF56C53E}"/>
    <cellStyle name="Comma 4 3 2 2 6 5 2" xfId="47825" xr:uid="{BAB0022D-74E1-4025-B531-7999CE41DFBF}"/>
    <cellStyle name="Comma 4 3 2 2 6 5 3" xfId="51344" xr:uid="{0285EE25-3027-4486-9E51-040395A115BD}"/>
    <cellStyle name="Comma 4 3 2 2 6 5 4" xfId="54360" xr:uid="{EBEFB0BA-C83E-4632-AB5D-9B9EFEDB0564}"/>
    <cellStyle name="Comma 4 3 2 2 6 5 5" xfId="22024" xr:uid="{0CFF3796-8E09-4BC7-BBB3-EDD1D41C0AAF}"/>
    <cellStyle name="Comma 4 3 2 2 6 6" xfId="33183" xr:uid="{49B2F5B2-6894-4119-B327-08BC1DDC8148}"/>
    <cellStyle name="Comma 4 3 2 2 6 7" xfId="50238" xr:uid="{15D5D3D3-9269-4BE6-BAEE-6135B3A639C3}"/>
    <cellStyle name="Comma 4 3 2 2 6 8" xfId="53254" xr:uid="{7DB3EB1B-E1FE-4985-94B9-E9B0AB892237}"/>
    <cellStyle name="Comma 4 3 2 2 6 9" xfId="19025" xr:uid="{D2CD08A6-6671-4CBC-A4C3-64B7B67DE76F}"/>
    <cellStyle name="Comma 4 3 2 2 7" xfId="14512" xr:uid="{E088D9A7-9DBB-408D-8648-957A2D9F4B86}"/>
    <cellStyle name="Comma 4 3 2 2 7 2" xfId="22059" xr:uid="{1CDD473D-7058-4391-A6D6-47E3131DCFA1}"/>
    <cellStyle name="Comma 4 3 2 2 7 3" xfId="47235" xr:uid="{8389CC6A-B1E3-4B6E-837B-E1841728C598}"/>
    <cellStyle name="Comma 4 3 2 2 7 4" xfId="51397" xr:uid="{518CABC0-AA34-410A-9707-60A20A68248E}"/>
    <cellStyle name="Comma 4 3 2 2 7 5" xfId="54413" xr:uid="{E9E70FDA-826C-430C-AFE6-023647753BF8}"/>
    <cellStyle name="Comma 4 3 2 2 7 6" xfId="19046" xr:uid="{35DA42F0-DAB8-406D-B079-9E93B37A7B69}"/>
    <cellStyle name="Comma 4 3 2 2 8" xfId="14996" xr:uid="{82C02D60-E4DF-4A7C-BA29-275840B19C12}"/>
    <cellStyle name="Comma 4 3 2 2 8 2" xfId="22536" xr:uid="{9121F473-30A6-4EBD-9433-0BEED5C1DD5D}"/>
    <cellStyle name="Comma 4 3 2 2 8 3" xfId="34020" xr:uid="{BB97EB22-C70A-4120-920F-CA1980A79115}"/>
    <cellStyle name="Comma 4 3 2 2 8 4" xfId="51874" xr:uid="{C1DDA922-62A6-4D54-9F06-96E54FC52863}"/>
    <cellStyle name="Comma 4 3 2 2 8 5" xfId="54890" xr:uid="{9D50E836-E182-4B76-BDB6-2A96817EA3F2}"/>
    <cellStyle name="Comma 4 3 2 2 8 6" xfId="19188" xr:uid="{1C31CDAD-FD27-44C8-B9A3-966399C67F7B}"/>
    <cellStyle name="Comma 4 3 2 2 9" xfId="15483" xr:uid="{BB482687-5970-4CEF-8E48-C2679F511301}"/>
    <cellStyle name="Comma 4 3 2 2 9 2" xfId="23013" xr:uid="{794D0028-2786-478D-B5D9-DED89EFA4E1D}"/>
    <cellStyle name="Comma 4 3 2 2 9 3" xfId="46695" xr:uid="{D9E7C4F5-E519-41C1-B445-C1F8B5E2D5BD}"/>
    <cellStyle name="Comma 4 3 2 2 9 4" xfId="52351" xr:uid="{8CB6B48A-C93E-4420-A27D-18C5D95098C0}"/>
    <cellStyle name="Comma 4 3 2 2 9 5" xfId="55367" xr:uid="{9E145608-331C-4814-8231-439F4876F997}"/>
    <cellStyle name="Comma 4 3 2 2 9 6" xfId="19333" xr:uid="{EB6D486B-85FE-445B-AD2F-684DD64864D4}"/>
    <cellStyle name="Comma 4 3 2 3" xfId="10023" xr:uid="{14CEF182-D2F3-4885-B54C-07ECDF296154}"/>
    <cellStyle name="Comma 4 3 2 3 10" xfId="18750" xr:uid="{96ACC0DC-D39A-4883-BA59-03B26B11C676}"/>
    <cellStyle name="Comma 4 3 2 3 2" xfId="10331" xr:uid="{539CCFB4-73E8-4C80-A02F-C3C597FEA250}"/>
    <cellStyle name="Comma 4 3 2 3 2 2" xfId="14776" xr:uid="{43ECB922-3320-4032-AC0B-06500950BED5}"/>
    <cellStyle name="Comma 4 3 2 3 2 2 2" xfId="22323" xr:uid="{F7C33D95-07E4-44C9-8473-37DBF90C2AB1}"/>
    <cellStyle name="Comma 4 3 2 3 2 2 3" xfId="47628" xr:uid="{E1571EB9-761B-4678-A23C-2CF8845E2C8C}"/>
    <cellStyle name="Comma 4 3 2 3 2 2 4" xfId="51661" xr:uid="{5F1A2D87-A119-4B35-A182-DE4EB7EED261}"/>
    <cellStyle name="Comma 4 3 2 3 2 2 5" xfId="54677" xr:uid="{78B94543-B896-4BCC-B9D6-CF2FC3C5FC07}"/>
    <cellStyle name="Comma 4 3 2 3 2 2 6" xfId="19120" xr:uid="{525B0F3B-DC51-42FC-A81F-59D23E668AE7}"/>
    <cellStyle name="Comma 4 3 2 3 2 3" xfId="15261" xr:uid="{B6219140-2954-4DC1-915E-154A7B636218}"/>
    <cellStyle name="Comma 4 3 2 3 2 3 2" xfId="22800" xr:uid="{EE4ED4D9-B34F-4B5C-A050-185D50278517}"/>
    <cellStyle name="Comma 4 3 2 3 2 3 3" xfId="48360" xr:uid="{2C8F1C8F-940C-4F9D-A6C1-2FD80328E432}"/>
    <cellStyle name="Comma 4 3 2 3 2 3 4" xfId="52138" xr:uid="{3EEF6CEA-725B-4DF5-A0C8-E4AEBE75658B}"/>
    <cellStyle name="Comma 4 3 2 3 2 3 5" xfId="55154" xr:uid="{30964FE2-5338-4947-A9DD-AE415A1E9418}"/>
    <cellStyle name="Comma 4 3 2 3 2 3 6" xfId="19263" xr:uid="{80AAB4CA-A63B-4084-8CB4-E6C9157DB5C9}"/>
    <cellStyle name="Comma 4 3 2 3 2 4" xfId="15748" xr:uid="{63F0C5E0-1959-4F93-AB5B-6536C042A1DC}"/>
    <cellStyle name="Comma 4 3 2 3 2 4 2" xfId="23277" xr:uid="{06153933-38C4-4E6D-B699-D7EA0FD7D580}"/>
    <cellStyle name="Comma 4 3 2 3 2 4 3" xfId="48541" xr:uid="{0841C078-CAFB-40E6-B1B1-F91F44E577D4}"/>
    <cellStyle name="Comma 4 3 2 3 2 4 4" xfId="52615" xr:uid="{EB07FE4C-BD71-41A7-886F-0AA9FD9DBF93}"/>
    <cellStyle name="Comma 4 3 2 3 2 4 5" xfId="55631" xr:uid="{716D2D96-E127-4148-AD5F-42D813EEAE2C}"/>
    <cellStyle name="Comma 4 3 2 3 2 4 6" xfId="19408" xr:uid="{19ABE45B-8178-4484-8BC3-EAFA7F006DE7}"/>
    <cellStyle name="Comma 4 3 2 3 2 5" xfId="12784" xr:uid="{537CE599-C9B3-49BF-B1DD-C544C841DC58}"/>
    <cellStyle name="Comma 4 3 2 3 2 5 2" xfId="47323" xr:uid="{D116F6C2-2251-4E0F-8CA3-93E09877845D}"/>
    <cellStyle name="Comma 4 3 2 3 2 5 3" xfId="51184" xr:uid="{708E09D9-D57F-46C7-8433-47BADAB26989}"/>
    <cellStyle name="Comma 4 3 2 3 2 5 4" xfId="54200" xr:uid="{CAA766EA-03A1-4E0B-9174-DBC5EAD43915}"/>
    <cellStyle name="Comma 4 3 2 3 2 5 5" xfId="21978" xr:uid="{8038469B-7419-4B46-B21A-9F252DD87419}"/>
    <cellStyle name="Comma 4 3 2 3 2 6" xfId="46986" xr:uid="{E7523D2D-85C8-461C-BD43-CDFBD9825F4F}"/>
    <cellStyle name="Comma 4 3 2 3 2 7" xfId="50078" xr:uid="{BDCD5B4D-999C-4E1A-B2FF-F8681A4A7BDD}"/>
    <cellStyle name="Comma 4 3 2 3 2 8" xfId="53094" xr:uid="{2E61F2DD-6DB0-4B27-90A0-0206D5309127}"/>
    <cellStyle name="Comma 4 3 2 3 2 9" xfId="18899" xr:uid="{E281ABBE-67E6-4280-B98E-0D528A3621DC}"/>
    <cellStyle name="Comma 4 3 2 3 3" xfId="14564" xr:uid="{52B9F2F1-5C41-4B68-A96D-3CCB64704EB8}"/>
    <cellStyle name="Comma 4 3 2 3 3 2" xfId="22111" xr:uid="{8C808E6E-4BAC-4C61-85D0-D2958A043299}"/>
    <cellStyle name="Comma 4 3 2 3 3 3" xfId="46398" xr:uid="{4F501408-5CA3-49B3-93ED-D8465050A758}"/>
    <cellStyle name="Comma 4 3 2 3 3 4" xfId="51449" xr:uid="{2289DD71-AC9F-4C88-8260-7B99ACA838AD}"/>
    <cellStyle name="Comma 4 3 2 3 3 5" xfId="54465" xr:uid="{39F37398-E306-4DDF-995E-B5A51EF5E9EA}"/>
    <cellStyle name="Comma 4 3 2 3 3 6" xfId="19060" xr:uid="{CA633690-8879-4448-A5A7-B77BC002EB2A}"/>
    <cellStyle name="Comma 4 3 2 3 4" xfId="15048" xr:uid="{8D6D78B9-2E8A-454D-B9D2-BBC8BD3D3ACF}"/>
    <cellStyle name="Comma 4 3 2 3 4 2" xfId="22588" xr:uid="{0E72B123-5C25-4487-9885-F6147FCB3967}"/>
    <cellStyle name="Comma 4 3 2 3 4 3" xfId="46875" xr:uid="{6AEEB412-2DF9-4B5B-8601-6D79F34A79EC}"/>
    <cellStyle name="Comma 4 3 2 3 4 4" xfId="51926" xr:uid="{88DB1564-A573-4C3C-AF6A-DB5C930D7F0D}"/>
    <cellStyle name="Comma 4 3 2 3 4 5" xfId="54942" xr:uid="{77B0265F-ABCF-4A45-AF9B-9C47B3FC390A}"/>
    <cellStyle name="Comma 4 3 2 3 4 6" xfId="19202" xr:uid="{0F199403-48B8-47D9-A310-D8E4A601EF47}"/>
    <cellStyle name="Comma 4 3 2 3 5" xfId="15535" xr:uid="{B7716B77-5509-49FA-BB93-EB05AA96DD2E}"/>
    <cellStyle name="Comma 4 3 2 3 5 2" xfId="23065" xr:uid="{F0DA2BE7-0F1F-4BBA-BEBB-21DBD312EC20}"/>
    <cellStyle name="Comma 4 3 2 3 5 3" xfId="47788" xr:uid="{D05659F3-39DD-47AF-A2FA-39F22ED27B26}"/>
    <cellStyle name="Comma 4 3 2 3 5 4" xfId="52403" xr:uid="{1C8F25D2-6F74-4B8C-A194-A2E0D282AF1D}"/>
    <cellStyle name="Comma 4 3 2 3 5 5" xfId="55419" xr:uid="{9641DC73-EC7C-4AB6-9601-F3428B52214E}"/>
    <cellStyle name="Comma 4 3 2 3 5 6" xfId="19347" xr:uid="{2C93DCDB-CAC8-48BB-9817-99CCC2477330}"/>
    <cellStyle name="Comma 4 3 2 3 6" xfId="12483" xr:uid="{F091AF7D-594A-414C-B609-3C6BA77748CC}"/>
    <cellStyle name="Comma 4 3 2 3 6 2" xfId="46758" xr:uid="{9ECAD6BF-9E8C-4A46-B340-F3898EED7EDF}"/>
    <cellStyle name="Comma 4 3 2 3 6 3" xfId="50972" xr:uid="{0C39AE62-6E8F-46B2-BFC2-24BC38F4D6AC}"/>
    <cellStyle name="Comma 4 3 2 3 6 4" xfId="53988" xr:uid="{259A69A9-6675-4677-B854-891565AE43D4}"/>
    <cellStyle name="Comma 4 3 2 3 6 5" xfId="21917" xr:uid="{B77B9532-F3D8-4A24-A15A-5D1443120B1A}"/>
    <cellStyle name="Comma 4 3 2 3 7" xfId="32305" xr:uid="{3412C76D-FF24-47A1-B064-18B2E4442012}"/>
    <cellStyle name="Comma 4 3 2 3 8" xfId="49866" xr:uid="{763D3028-7C66-4556-81F4-033A997499B7}"/>
    <cellStyle name="Comma 4 3 2 3 9" xfId="52882" xr:uid="{03AAB184-67A7-4F32-BD81-7FAE3D453EEC}"/>
    <cellStyle name="Comma 4 3 2 4" xfId="10097" xr:uid="{EDA4E2F0-6194-4983-8BD7-655C6D07A3F1}"/>
    <cellStyle name="Comma 4 3 2 4 10" xfId="18783" xr:uid="{448BECD9-75FE-493D-87B8-082A13D4E47B}"/>
    <cellStyle name="Comma 4 3 2 4 2" xfId="10410" xr:uid="{7C849462-5580-4381-A752-5354548F2CCD}"/>
    <cellStyle name="Comma 4 3 2 4 2 2" xfId="14829" xr:uid="{B0104600-7069-413C-B12B-1690480B24A4}"/>
    <cellStyle name="Comma 4 3 2 4 2 2 2" xfId="22376" xr:uid="{7571C2AE-1673-43F4-891E-F540FB8B5E34}"/>
    <cellStyle name="Comma 4 3 2 4 2 2 3" xfId="46866" xr:uid="{681F1138-F8D9-4BB7-9377-EE9920300CC1}"/>
    <cellStyle name="Comma 4 3 2 4 2 2 4" xfId="51714" xr:uid="{5B0641D8-F146-447C-9EB8-182533BFFF09}"/>
    <cellStyle name="Comma 4 3 2 4 2 2 5" xfId="54730" xr:uid="{8039C748-7F36-4E14-A04C-B6E0DE80BD70}"/>
    <cellStyle name="Comma 4 3 2 4 2 2 6" xfId="19135" xr:uid="{8E92BC52-4076-4299-A9DA-DA7DAF38F74C}"/>
    <cellStyle name="Comma 4 3 2 4 2 3" xfId="15314" xr:uid="{2DB74977-1072-42A0-8E80-7A88B83C5CDB}"/>
    <cellStyle name="Comma 4 3 2 4 2 3 2" xfId="22853" xr:uid="{04F9DD49-DED7-46BD-91A3-6757D19DA2E7}"/>
    <cellStyle name="Comma 4 3 2 4 2 3 3" xfId="48554" xr:uid="{8CFE9926-05C2-4378-9CFA-D40C4C06BF49}"/>
    <cellStyle name="Comma 4 3 2 4 2 3 4" xfId="52191" xr:uid="{AFCA13F2-5451-4F70-BE89-DC97FB11098D}"/>
    <cellStyle name="Comma 4 3 2 4 2 3 5" xfId="55207" xr:uid="{E0DA817C-5A5A-4FC4-8BEF-2AA54A66113E}"/>
    <cellStyle name="Comma 4 3 2 4 2 3 6" xfId="19278" xr:uid="{C65AED5B-7AEA-49E3-AB13-163A433C88BF}"/>
    <cellStyle name="Comma 4 3 2 4 2 4" xfId="15801" xr:uid="{C2AE0339-2D3A-40A8-883F-085EBACE4E40}"/>
    <cellStyle name="Comma 4 3 2 4 2 4 2" xfId="23330" xr:uid="{5A71A0B5-E65D-436B-A367-77BA6D049067}"/>
    <cellStyle name="Comma 4 3 2 4 2 4 3" xfId="47257" xr:uid="{623AB560-5BFD-41BD-A6B9-80E67D7E050D}"/>
    <cellStyle name="Comma 4 3 2 4 2 4 4" xfId="52668" xr:uid="{72043A9E-FF69-4270-A99E-05634C287145}"/>
    <cellStyle name="Comma 4 3 2 4 2 4 5" xfId="55684" xr:uid="{D31B31E8-60DC-442A-B02C-E9E5BE29C462}"/>
    <cellStyle name="Comma 4 3 2 4 2 4 6" xfId="19423" xr:uid="{C40E6B5B-3671-4D3E-90F5-30194715F73B}"/>
    <cellStyle name="Comma 4 3 2 4 2 5" xfId="12863" xr:uid="{9AD40D98-FD4A-4444-AD83-E1C46B0F9813}"/>
    <cellStyle name="Comma 4 3 2 4 2 5 2" xfId="48142" xr:uid="{88F2C081-E151-4055-8941-CA986A8D7B22}"/>
    <cellStyle name="Comma 4 3 2 4 2 5 3" xfId="51237" xr:uid="{F0D20FE9-8AC6-4EF6-B360-77E9405C5BB3}"/>
    <cellStyle name="Comma 4 3 2 4 2 5 4" xfId="54253" xr:uid="{E346B2F7-4E34-44CA-8574-6985116AE9ED}"/>
    <cellStyle name="Comma 4 3 2 4 2 5 5" xfId="21993" xr:uid="{6D8F3ACD-3561-44AB-9D10-D859593D0AC3}"/>
    <cellStyle name="Comma 4 3 2 4 2 6" xfId="46113" xr:uid="{26783784-9D17-4360-882F-54338F377BF8}"/>
    <cellStyle name="Comma 4 3 2 4 2 7" xfId="50131" xr:uid="{06A0FD1B-3ACB-432C-B262-D4C4FD442049}"/>
    <cellStyle name="Comma 4 3 2 4 2 8" xfId="53147" xr:uid="{628F0AFA-7E77-472A-A3E4-E55D3D06119F}"/>
    <cellStyle name="Comma 4 3 2 4 2 9" xfId="18940" xr:uid="{427A3DCD-D965-45EA-995B-34CFB1D59EAD}"/>
    <cellStyle name="Comma 4 3 2 4 3" xfId="14617" xr:uid="{B35ED04B-B754-4FC5-AD9F-5B06F2454365}"/>
    <cellStyle name="Comma 4 3 2 4 3 2" xfId="22164" xr:uid="{D31E6E84-5BFE-456C-A2AE-43B8FDB83B8E}"/>
    <cellStyle name="Comma 4 3 2 4 3 3" xfId="46409" xr:uid="{0892A9B7-0217-471F-A88D-B924AD514973}"/>
    <cellStyle name="Comma 4 3 2 4 3 4" xfId="51502" xr:uid="{56C98AC3-C64C-4349-AC0C-6FF685BF14E3}"/>
    <cellStyle name="Comma 4 3 2 4 3 5" xfId="54518" xr:uid="{2B039AFE-9A5F-4176-B942-8A59AF9C4518}"/>
    <cellStyle name="Comma 4 3 2 4 3 6" xfId="19075" xr:uid="{B6A82651-FD30-434C-AA51-B226F6F87625}"/>
    <cellStyle name="Comma 4 3 2 4 4" xfId="15102" xr:uid="{5EAD7F44-D0DC-416A-8807-B7E55ADF8365}"/>
    <cellStyle name="Comma 4 3 2 4 4 2" xfId="22641" xr:uid="{055C905B-8A10-401A-8C64-39605CBE4F8C}"/>
    <cellStyle name="Comma 4 3 2 4 4 3" xfId="47543" xr:uid="{85809CFB-DFBC-4805-B36B-8775012E9123}"/>
    <cellStyle name="Comma 4 3 2 4 4 4" xfId="51979" xr:uid="{C3250168-5A02-46DF-9258-A2DCFBAD7054}"/>
    <cellStyle name="Comma 4 3 2 4 4 5" xfId="54995" xr:uid="{2ABA27B2-13E6-4E76-9BA2-DC4A5B36543F}"/>
    <cellStyle name="Comma 4 3 2 4 4 6" xfId="19218" xr:uid="{69101717-2FDC-48E6-8095-736249438B01}"/>
    <cellStyle name="Comma 4 3 2 4 5" xfId="15589" xr:uid="{D768D121-4496-423C-9591-225D85C2C084}"/>
    <cellStyle name="Comma 4 3 2 4 5 2" xfId="23118" xr:uid="{F5A3C499-604D-43B9-98A8-6A00CE1157B4}"/>
    <cellStyle name="Comma 4 3 2 4 5 3" xfId="46696" xr:uid="{80BA26C8-CD2E-4216-9A60-FC5C23F4775A}"/>
    <cellStyle name="Comma 4 3 2 4 5 4" xfId="52456" xr:uid="{1F68793F-5A87-4B9F-8C89-E843A9BADB82}"/>
    <cellStyle name="Comma 4 3 2 4 5 5" xfId="55472" xr:uid="{8126719C-6223-48AF-8800-2FF10CA53DCB}"/>
    <cellStyle name="Comma 4 3 2 4 5 6" xfId="19363" xr:uid="{13C3F130-6DA4-4A84-989F-7892A93DE681}"/>
    <cellStyle name="Comma 4 3 2 4 6" xfId="12554" xr:uid="{19616FA7-3D06-4566-8B31-56572068A7B1}"/>
    <cellStyle name="Comma 4 3 2 4 6 2" xfId="47915" xr:uid="{66103C8A-1985-4F61-A09C-95F64CDD4FBA}"/>
    <cellStyle name="Comma 4 3 2 4 6 3" xfId="51025" xr:uid="{51C2BC56-3CAB-441B-9F57-C355C3C8B39E}"/>
    <cellStyle name="Comma 4 3 2 4 6 4" xfId="54041" xr:uid="{05FFBF85-B98C-43F0-9A26-F24F9DC3F18A}"/>
    <cellStyle name="Comma 4 3 2 4 6 5" xfId="21933" xr:uid="{C36CC95C-624B-4ECE-A6F0-792BB65AF6C8}"/>
    <cellStyle name="Comma 4 3 2 4 7" xfId="46044" xr:uid="{B6772C1A-DB61-4D8E-9334-C191D5F1DEB4}"/>
    <cellStyle name="Comma 4 3 2 4 8" xfId="49919" xr:uid="{276F0CEC-0D01-4D1D-9A62-A2B75F0581D9}"/>
    <cellStyle name="Comma 4 3 2 4 9" xfId="52935" xr:uid="{81ACFDDD-E263-4347-9C57-2E55AFF63304}"/>
    <cellStyle name="Comma 4 3 2 5" xfId="10176" xr:uid="{79B87EF2-3B93-47E2-B967-EC8208A4E31C}"/>
    <cellStyle name="Comma 4 3 2 5 10" xfId="18821" xr:uid="{DE850140-BCD9-4FEA-895E-851A51D0D940}"/>
    <cellStyle name="Comma 4 3 2 5 2" xfId="10490" xr:uid="{287A6C8D-E93F-4170-8C29-A100216A4A83}"/>
    <cellStyle name="Comma 4 3 2 5 2 2" xfId="14882" xr:uid="{94F9E76F-E716-4DF7-A27E-3C0067F58F27}"/>
    <cellStyle name="Comma 4 3 2 5 2 2 2" xfId="22429" xr:uid="{0B34CB94-200D-4D05-A3E8-9DA14FE38B36}"/>
    <cellStyle name="Comma 4 3 2 5 2 2 3" xfId="47268" xr:uid="{C66F1D03-A3DC-47FF-88B1-7B0FFA603088}"/>
    <cellStyle name="Comma 4 3 2 5 2 2 4" xfId="51767" xr:uid="{B5BBEB95-A9D9-4730-A888-D4FC444B7CAB}"/>
    <cellStyle name="Comma 4 3 2 5 2 2 5" xfId="54783" xr:uid="{4DDC39E5-2139-4BB9-BA6F-2337EBD26E9D}"/>
    <cellStyle name="Comma 4 3 2 5 2 2 6" xfId="19150" xr:uid="{0D6D0E43-3B10-474F-A2BE-4D1BF3672BF3}"/>
    <cellStyle name="Comma 4 3 2 5 2 3" xfId="15367" xr:uid="{9F8B7D67-7419-4FF4-ABFF-113D4E5B828E}"/>
    <cellStyle name="Comma 4 3 2 5 2 3 2" xfId="22906" xr:uid="{28A83C0C-24A1-41FA-B33A-8DCB6BBFF424}"/>
    <cellStyle name="Comma 4 3 2 5 2 3 3" xfId="48514" xr:uid="{357B2941-6754-4CD4-A081-AEE93118AE56}"/>
    <cellStyle name="Comma 4 3 2 5 2 3 4" xfId="52244" xr:uid="{9556412E-7724-44E3-AB93-BF4B9DEC9771}"/>
    <cellStyle name="Comma 4 3 2 5 2 3 5" xfId="55260" xr:uid="{E3FE1952-0D96-4534-A633-0845233FFB09}"/>
    <cellStyle name="Comma 4 3 2 5 2 3 6" xfId="19293" xr:uid="{D618FE97-ABB7-47FE-A459-160157BB9649}"/>
    <cellStyle name="Comma 4 3 2 5 2 4" xfId="15854" xr:uid="{30A17212-7269-4A72-903C-C519AAB711DD}"/>
    <cellStyle name="Comma 4 3 2 5 2 4 2" xfId="23383" xr:uid="{8CCD038D-4B45-44EE-B66C-A0C2B19CD88C}"/>
    <cellStyle name="Comma 4 3 2 5 2 4 3" xfId="47950" xr:uid="{7A680DDD-7B96-424B-9A06-AFA0121E618A}"/>
    <cellStyle name="Comma 4 3 2 5 2 4 4" xfId="52721" xr:uid="{A71EB0AB-4AC7-4E2C-816B-96B9531F4989}"/>
    <cellStyle name="Comma 4 3 2 5 2 4 5" xfId="55737" xr:uid="{A13322DF-0A9F-4BC4-B4F5-A5AFF62F02ED}"/>
    <cellStyle name="Comma 4 3 2 5 2 4 6" xfId="19438" xr:uid="{3F4442A6-3539-43AE-8217-5DBE15A9BED4}"/>
    <cellStyle name="Comma 4 3 2 5 2 5" xfId="12943" xr:uid="{DB903E98-D1AC-4F1A-8ADC-38DFF23F94E6}"/>
    <cellStyle name="Comma 4 3 2 5 2 5 2" xfId="47052" xr:uid="{341A1544-54E1-4D9C-BF4C-A86C1A4C3EF9}"/>
    <cellStyle name="Comma 4 3 2 5 2 5 3" xfId="51290" xr:uid="{94A7A8E1-625B-42DC-A46D-B1C5412F73A7}"/>
    <cellStyle name="Comma 4 3 2 5 2 5 4" xfId="54306" xr:uid="{F3D38361-8B18-4C2F-B372-B1CAE3F61243}"/>
    <cellStyle name="Comma 4 3 2 5 2 5 5" xfId="22008" xr:uid="{1866DDE1-2A12-4E01-AB7F-29E577CE6651}"/>
    <cellStyle name="Comma 4 3 2 5 2 6" xfId="46133" xr:uid="{8341A6EC-C021-4408-B608-3FD1B1407C83}"/>
    <cellStyle name="Comma 4 3 2 5 2 7" xfId="50184" xr:uid="{742D8C1C-86D5-41DD-A6D3-B3A264F437FF}"/>
    <cellStyle name="Comma 4 3 2 5 2 8" xfId="53200" xr:uid="{E3D20998-08F4-4FA6-AB1C-6C674B5B5CE9}"/>
    <cellStyle name="Comma 4 3 2 5 2 9" xfId="18982" xr:uid="{CA33E2C4-C75D-42F0-945D-77DD3B0E7E75}"/>
    <cellStyle name="Comma 4 3 2 5 3" xfId="14670" xr:uid="{489ECFD5-3F90-4ADB-BCD8-BD9AB877FD48}"/>
    <cellStyle name="Comma 4 3 2 5 3 2" xfId="22217" xr:uid="{A7F56B01-3011-41DC-9FA3-BA4B33171221}"/>
    <cellStyle name="Comma 4 3 2 5 3 3" xfId="47178" xr:uid="{3CA047A0-992D-4686-BB49-0E1A38FBD8BB}"/>
    <cellStyle name="Comma 4 3 2 5 3 4" xfId="51555" xr:uid="{BD9175BD-8E96-4B53-A859-385BBAE07FFA}"/>
    <cellStyle name="Comma 4 3 2 5 3 5" xfId="54571" xr:uid="{64422B49-562E-4010-9953-DCE4D078ABD6}"/>
    <cellStyle name="Comma 4 3 2 5 3 6" xfId="19090" xr:uid="{45C6AEFE-4484-494B-A5D7-B13600EBB09D}"/>
    <cellStyle name="Comma 4 3 2 5 4" xfId="15155" xr:uid="{006CBAAF-442E-49A7-879D-60B5B467FEF8}"/>
    <cellStyle name="Comma 4 3 2 5 4 2" xfId="22694" xr:uid="{73F5B7D6-C109-430D-A9B7-AA29CCA1E6AD}"/>
    <cellStyle name="Comma 4 3 2 5 4 3" xfId="47387" xr:uid="{BCB557A0-8415-4927-ABE3-3275CBE4763B}"/>
    <cellStyle name="Comma 4 3 2 5 4 4" xfId="52032" xr:uid="{FC55F71C-5890-4F46-918E-9EA87D3AF6D6}"/>
    <cellStyle name="Comma 4 3 2 5 4 5" xfId="55048" xr:uid="{E0BDC0CE-8680-495C-8F5A-942FFCA531BE}"/>
    <cellStyle name="Comma 4 3 2 5 4 6" xfId="19233" xr:uid="{90B2F0E2-406A-4491-910C-246297C420C0}"/>
    <cellStyle name="Comma 4 3 2 5 5" xfId="15642" xr:uid="{00117C76-0B60-4C0B-BBEF-782B01D6D894}"/>
    <cellStyle name="Comma 4 3 2 5 5 2" xfId="23171" xr:uid="{C3BC20D6-B57E-4A2A-BDF6-EF7C536E6252}"/>
    <cellStyle name="Comma 4 3 2 5 5 3" xfId="46563" xr:uid="{12BB0F57-02FA-47D6-BDDD-3FDD87C7132D}"/>
    <cellStyle name="Comma 4 3 2 5 5 4" xfId="52509" xr:uid="{A2E43D14-E4E5-4FDE-8595-6B7432F17EA1}"/>
    <cellStyle name="Comma 4 3 2 5 5 5" xfId="55525" xr:uid="{80246592-3CF5-426D-B786-609F2BBA1563}"/>
    <cellStyle name="Comma 4 3 2 5 5 6" xfId="19378" xr:uid="{37D043FB-BA68-4456-94CC-91601CFFD100}"/>
    <cellStyle name="Comma 4 3 2 5 6" xfId="12630" xr:uid="{2C12342B-5B17-4D23-9896-A4C8733205C1}"/>
    <cellStyle name="Comma 4 3 2 5 6 2" xfId="47398" xr:uid="{AE0CD992-262D-4A97-B202-B21E2CD79B02}"/>
    <cellStyle name="Comma 4 3 2 5 6 3" xfId="51078" xr:uid="{274494E4-E2E0-48CC-9BC6-57DCF6ACDF40}"/>
    <cellStyle name="Comma 4 3 2 5 6 4" xfId="54094" xr:uid="{6DB43078-5193-4F42-BB6A-204AC9518600}"/>
    <cellStyle name="Comma 4 3 2 5 6 5" xfId="21948" xr:uid="{015583E9-9997-4CD8-A225-BD7688D894CB}"/>
    <cellStyle name="Comma 4 3 2 5 7" xfId="48233" xr:uid="{BF9777A5-35A3-4735-8973-6964FEA9D4EE}"/>
    <cellStyle name="Comma 4 3 2 5 8" xfId="49972" xr:uid="{EDD8A712-E536-4DDC-B5DD-2D37EBFE417A}"/>
    <cellStyle name="Comma 4 3 2 5 9" xfId="52988" xr:uid="{24F2BB2C-61B1-46D6-85A8-8A26959644DD}"/>
    <cellStyle name="Comma 4 3 2 6" xfId="10256" xr:uid="{D3DF042C-815D-41EE-AAF7-B66FE7E22513}"/>
    <cellStyle name="Comma 4 3 2 6 2" xfId="14723" xr:uid="{2788F80C-EE08-4435-ACA2-B56654F50D8F}"/>
    <cellStyle name="Comma 4 3 2 6 2 2" xfId="22270" xr:uid="{CEF4584A-118B-4C1A-8BC0-BED28523D21D}"/>
    <cellStyle name="Comma 4 3 2 6 2 3" xfId="47831" xr:uid="{E4C246D4-AD61-49D0-9A70-0689437A2B14}"/>
    <cellStyle name="Comma 4 3 2 6 2 4" xfId="51608" xr:uid="{40B7F50B-4C40-4853-9187-63AB9EA10DA9}"/>
    <cellStyle name="Comma 4 3 2 6 2 5" xfId="54624" xr:uid="{2B401F1A-3D43-4D74-99EF-0503CCEBD98A}"/>
    <cellStyle name="Comma 4 3 2 6 2 6" xfId="19105" xr:uid="{FA77366E-5602-4C73-9F8D-68FC70AFEE7F}"/>
    <cellStyle name="Comma 4 3 2 6 3" xfId="15208" xr:uid="{FD75E04A-5438-4FCA-B402-2DF4025BDBD9}"/>
    <cellStyle name="Comma 4 3 2 6 3 2" xfId="22747" xr:uid="{5473F598-9145-4029-83BB-37C8F06B98DA}"/>
    <cellStyle name="Comma 4 3 2 6 3 3" xfId="47984" xr:uid="{5C298295-E525-40DA-B230-6E2A00B6987C}"/>
    <cellStyle name="Comma 4 3 2 6 3 4" xfId="52085" xr:uid="{04B1B760-BDEC-4848-BAA7-24DA76A8EFE8}"/>
    <cellStyle name="Comma 4 3 2 6 3 5" xfId="55101" xr:uid="{7B7D2FA5-2F50-412C-8577-0494C82F24D5}"/>
    <cellStyle name="Comma 4 3 2 6 3 6" xfId="19248" xr:uid="{3DDF3F13-8AC9-41F2-B791-9E678745DB0E}"/>
    <cellStyle name="Comma 4 3 2 6 4" xfId="15695" xr:uid="{C0D206E5-07A8-43BF-A6C1-1186A9EA51FC}"/>
    <cellStyle name="Comma 4 3 2 6 4 2" xfId="23224" xr:uid="{913A5979-46BA-4803-903F-B0589A5E8277}"/>
    <cellStyle name="Comma 4 3 2 6 4 3" xfId="46698" xr:uid="{7388D550-2AEA-422B-8158-783FC380A71C}"/>
    <cellStyle name="Comma 4 3 2 6 4 4" xfId="52562" xr:uid="{3CE18874-672E-4262-A57B-E6288C93FE86}"/>
    <cellStyle name="Comma 4 3 2 6 4 5" xfId="55578" xr:uid="{B77F5A85-7CDC-4278-AA4F-C3F25EC98AB9}"/>
    <cellStyle name="Comma 4 3 2 6 4 6" xfId="19393" xr:uid="{0F10FECC-9E5F-4DB0-83F5-15D4DA050133}"/>
    <cellStyle name="Comma 4 3 2 6 5" xfId="12709" xr:uid="{F87FAE4A-04B2-413D-BC9A-EDECEDE6DC96}"/>
    <cellStyle name="Comma 4 3 2 6 5 2" xfId="24692" xr:uid="{C245A16C-EAFB-4494-966F-A9137CB6457A}"/>
    <cellStyle name="Comma 4 3 2 6 5 3" xfId="51131" xr:uid="{7BFC8180-C30A-4C17-A9BF-4B3B3FFF192A}"/>
    <cellStyle name="Comma 4 3 2 6 5 4" xfId="54147" xr:uid="{C3355F88-4537-414D-B059-41499EBDE91C}"/>
    <cellStyle name="Comma 4 3 2 6 5 5" xfId="21963" xr:uid="{FF05E23E-CC60-4003-A859-CEB750A56655}"/>
    <cellStyle name="Comma 4 3 2 6 6" xfId="34569" xr:uid="{071AF9D6-374B-47DE-866F-1B0D6FFEA20C}"/>
    <cellStyle name="Comma 4 3 2 6 7" xfId="50025" xr:uid="{53D23AB9-C646-44CE-9909-92844DF630FD}"/>
    <cellStyle name="Comma 4 3 2 6 8" xfId="53041" xr:uid="{962E909A-04FE-4E22-8A48-FE5020DE78C3}"/>
    <cellStyle name="Comma 4 3 2 6 9" xfId="18862" xr:uid="{D4B4A801-269D-433C-B172-EA51B6A7DA2B}"/>
    <cellStyle name="Comma 4 3 2 7" xfId="10570" xr:uid="{8817C75D-FBBF-42C5-A035-1801676CF32D}"/>
    <cellStyle name="Comma 4 3 2 7 2" xfId="14935" xr:uid="{383D9273-732D-47CF-A41D-AA6523AFFAB3}"/>
    <cellStyle name="Comma 4 3 2 7 2 2" xfId="22482" xr:uid="{4880CE25-8AEB-468E-88BF-C92A28531237}"/>
    <cellStyle name="Comma 4 3 2 7 2 3" xfId="46685" xr:uid="{5BDCB59E-9ED1-4F96-9795-8F41C08FDCF1}"/>
    <cellStyle name="Comma 4 3 2 7 2 4" xfId="51820" xr:uid="{8AF9C19E-A957-4883-B088-1063760DE213}"/>
    <cellStyle name="Comma 4 3 2 7 2 5" xfId="54836" xr:uid="{64EFED59-6884-4387-BBC1-7D274990B723}"/>
    <cellStyle name="Comma 4 3 2 7 2 6" xfId="19165" xr:uid="{8DCB0EE6-5C55-41A0-B74C-6A62691B3BC1}"/>
    <cellStyle name="Comma 4 3 2 7 3" xfId="15420" xr:uid="{759FA83D-30B6-4608-846F-4ADA1B374B3D}"/>
    <cellStyle name="Comma 4 3 2 7 3 2" xfId="22959" xr:uid="{B3B48F41-31AC-492E-9DBD-CEE0009F0D99}"/>
    <cellStyle name="Comma 4 3 2 7 3 3" xfId="48267" xr:uid="{F7030B6C-01EF-46D8-A51E-B45A83F44E86}"/>
    <cellStyle name="Comma 4 3 2 7 3 4" xfId="52297" xr:uid="{377DEC11-B47A-48B3-9E80-2347E99127DC}"/>
    <cellStyle name="Comma 4 3 2 7 3 5" xfId="55313" xr:uid="{4355391D-021B-440F-982F-EBB7249CB091}"/>
    <cellStyle name="Comma 4 3 2 7 3 6" xfId="19308" xr:uid="{8DFFD457-107D-4A40-AF83-9DB4699C4453}"/>
    <cellStyle name="Comma 4 3 2 7 4" xfId="15908" xr:uid="{2BB0C9C7-CD3C-48D3-8521-56CBF673BBD5}"/>
    <cellStyle name="Comma 4 3 2 7 4 2" xfId="23436" xr:uid="{D96FBB54-3F73-4BEB-A9D5-EEF1473567F8}"/>
    <cellStyle name="Comma 4 3 2 7 4 3" xfId="47084" xr:uid="{E6B756ED-1A9E-40FF-B48F-724F4D7F7A85}"/>
    <cellStyle name="Comma 4 3 2 7 4 4" xfId="52774" xr:uid="{4E10821F-65CD-4701-9876-368E86E3AAE1}"/>
    <cellStyle name="Comma 4 3 2 7 4 5" xfId="55790" xr:uid="{1E504EF0-66F8-4424-9473-173D218699F7}"/>
    <cellStyle name="Comma 4 3 2 7 4 6" xfId="19454" xr:uid="{06DE0C8F-2BBF-49D9-835D-2753860124F4}"/>
    <cellStyle name="Comma 4 3 2 7 5" xfId="13023" xr:uid="{33786343-51B8-4B44-A8E4-2D11B3C3BFD8}"/>
    <cellStyle name="Comma 4 3 2 7 5 2" xfId="25029" xr:uid="{DE6F336F-4AA3-4390-8643-1849B313999F}"/>
    <cellStyle name="Comma 4 3 2 7 5 3" xfId="51343" xr:uid="{680C1A71-032A-4F71-9612-9D6C24CC1520}"/>
    <cellStyle name="Comma 4 3 2 7 5 4" xfId="54359" xr:uid="{033243B5-7FD8-4FC5-B133-9753E22732CB}"/>
    <cellStyle name="Comma 4 3 2 7 5 5" xfId="22023" xr:uid="{F95FDC7E-5D8D-4BF3-8821-393C5D7D368A}"/>
    <cellStyle name="Comma 4 3 2 7 6" xfId="32381" xr:uid="{C1A2E9C6-D250-4A3C-8505-C8A6DDE2525D}"/>
    <cellStyle name="Comma 4 3 2 7 7" xfId="50237" xr:uid="{D2E81E68-2545-43E2-ACB7-A8E83C07B67F}"/>
    <cellStyle name="Comma 4 3 2 7 8" xfId="53253" xr:uid="{8ACD27DD-0239-4B09-B5B8-49C4B35647E7}"/>
    <cellStyle name="Comma 4 3 2 7 9" xfId="19024" xr:uid="{3970AF85-2111-4678-900B-4295C801894A}"/>
    <cellStyle name="Comma 4 3 2 8" xfId="14362" xr:uid="{6945D96D-F212-49CD-934E-727ED0E7BF40}"/>
    <cellStyle name="Comma 4 3 2 9" xfId="14511" xr:uid="{956116EE-8A48-48F6-9D9A-04AD4AEFE1C5}"/>
    <cellStyle name="Comma 4 3 2 9 2" xfId="22058" xr:uid="{AF97D799-EACC-40D7-AB18-2435581F0333}"/>
    <cellStyle name="Comma 4 3 2 9 3" xfId="24982" xr:uid="{F33B98EC-C100-4FE9-B026-7B37E3C67A9B}"/>
    <cellStyle name="Comma 4 3 2 9 4" xfId="51396" xr:uid="{0146A5A1-58F7-4150-9605-E87D451A3617}"/>
    <cellStyle name="Comma 4 3 2 9 5" xfId="54412" xr:uid="{04C93632-AF45-48A1-957B-11988FAC857A}"/>
    <cellStyle name="Comma 4 3 2 9 6" xfId="19045" xr:uid="{C26D05E0-AD71-48D8-BF81-3AC61EC9D6DD}"/>
    <cellStyle name="Comma 4 3 3" xfId="5825" xr:uid="{AAC923BD-FF0F-44E5-B686-610834EE5178}"/>
    <cellStyle name="Comma 4 3 3 10" xfId="12178" xr:uid="{0FF787A1-D7B6-4C77-A700-0F3FD860E0D1}"/>
    <cellStyle name="Comma 4 3 3 10 2" xfId="46755" xr:uid="{7296DD35-46C3-42D5-8C89-2571B381D65C}"/>
    <cellStyle name="Comma 4 3 3 10 3" xfId="50935" xr:uid="{F629FE6E-EF40-483A-A709-F247C13FFB6C}"/>
    <cellStyle name="Comma 4 3 3 10 4" xfId="53951" xr:uid="{0360482C-747D-4CE3-A00B-CDDEDDD56978}"/>
    <cellStyle name="Comma 4 3 3 10 5" xfId="21903" xr:uid="{4AF2EB3C-6797-4CC8-92A9-40BFB79192C3}"/>
    <cellStyle name="Comma 4 3 3 11" xfId="23767" xr:uid="{5737778B-A013-4005-B514-DC1B343A7A7A}"/>
    <cellStyle name="Comma 4 3 3 12" xfId="24008" xr:uid="{A9AEBC24-1C71-4884-9382-7F89AFD26460}"/>
    <cellStyle name="Comma 4 3 3 13" xfId="48648" xr:uid="{ECBD7348-0B26-433F-AD89-6C5C71842DE7}"/>
    <cellStyle name="Comma 4 3 3 14" xfId="49556" xr:uid="{B1429C54-F11D-4F92-A662-0352153AEDBA}"/>
    <cellStyle name="Comma 4 3 3 15" xfId="49815" xr:uid="{75C4D75C-F5C7-40EA-BEBD-D58BD2B95808}"/>
    <cellStyle name="Comma 4 3 3 16" xfId="52830" xr:uid="{232E548D-C2CD-4DCE-B44B-1428F7FACF9C}"/>
    <cellStyle name="Comma 4 3 3 17" xfId="18565" xr:uid="{68714CF1-B55A-4700-B091-B0738B64150E}"/>
    <cellStyle name="Comma 4 3 3 18" xfId="8938" xr:uid="{A95E16CA-A0ED-4E5C-8B47-31E9B35119DD}"/>
    <cellStyle name="Comma 4 3 3 2" xfId="10025" xr:uid="{E5208D61-D020-4F96-AF0A-B8CA79798572}"/>
    <cellStyle name="Comma 4 3 3 2 10" xfId="18752" xr:uid="{545C4E9A-1951-4B23-AF72-C8A8BC85BC02}"/>
    <cellStyle name="Comma 4 3 3 2 2" xfId="10333" xr:uid="{24DFD327-58B1-404F-8B07-2797BEA82839}"/>
    <cellStyle name="Comma 4 3 3 2 2 2" xfId="14778" xr:uid="{22D506E9-15D5-4FF7-935B-852F3E30678F}"/>
    <cellStyle name="Comma 4 3 3 2 2 2 2" xfId="22325" xr:uid="{5BA4F8A6-4486-4530-BBCD-EC7C9F19DF5B}"/>
    <cellStyle name="Comma 4 3 3 2 2 2 3" xfId="47983" xr:uid="{856AD813-A5D3-4B98-BA5C-2DBDE296E006}"/>
    <cellStyle name="Comma 4 3 3 2 2 2 4" xfId="51663" xr:uid="{35E3E91F-6285-4142-A707-6FBCBEC5C53D}"/>
    <cellStyle name="Comma 4 3 3 2 2 2 5" xfId="54679" xr:uid="{2BC5E2C8-FBE1-47F3-93A9-D69DB6F23524}"/>
    <cellStyle name="Comma 4 3 3 2 2 2 6" xfId="19122" xr:uid="{B32268CF-E4CF-40E5-B3AD-F576F45B59C0}"/>
    <cellStyle name="Comma 4 3 3 2 2 3" xfId="15263" xr:uid="{AAA9731E-8B4C-4066-9F64-7E2DE5BB6C1E}"/>
    <cellStyle name="Comma 4 3 3 2 2 3 2" xfId="22802" xr:uid="{DBDEA4B1-8D49-4A78-95F0-5356DCE4FF9F}"/>
    <cellStyle name="Comma 4 3 3 2 2 3 3" xfId="46505" xr:uid="{82F30BA7-519F-41B1-87C6-AB38E9F6074E}"/>
    <cellStyle name="Comma 4 3 3 2 2 3 4" xfId="52140" xr:uid="{8D89EDDF-BB36-413F-BBB7-2012BB7E4954}"/>
    <cellStyle name="Comma 4 3 3 2 2 3 5" xfId="55156" xr:uid="{C0F04AFA-8824-42C7-9DF7-AF0A1CE17C02}"/>
    <cellStyle name="Comma 4 3 3 2 2 3 6" xfId="19265" xr:uid="{3FE4A7EC-DEAA-4C7A-9815-74EACD722CE1}"/>
    <cellStyle name="Comma 4 3 3 2 2 4" xfId="15750" xr:uid="{92F5A496-6E65-4AB9-B262-1D67629813E2}"/>
    <cellStyle name="Comma 4 3 3 2 2 4 2" xfId="23279" xr:uid="{EF76FF73-3A28-419D-A421-F1AC6DAD717C}"/>
    <cellStyle name="Comma 4 3 3 2 2 4 3" xfId="47444" xr:uid="{99A559BE-FD0E-4136-B4ED-D0F707F6CE8D}"/>
    <cellStyle name="Comma 4 3 3 2 2 4 4" xfId="52617" xr:uid="{1202C505-277F-493E-82C6-4D6EC4A6A82E}"/>
    <cellStyle name="Comma 4 3 3 2 2 4 5" xfId="55633" xr:uid="{193CC1A4-B9A5-4D88-863A-95779871859C}"/>
    <cellStyle name="Comma 4 3 3 2 2 4 6" xfId="19410" xr:uid="{AD6E4271-3B2B-4224-AA18-C359E0228495}"/>
    <cellStyle name="Comma 4 3 3 2 2 5" xfId="12786" xr:uid="{5E38E33B-8088-45F9-94FA-70935CE18A45}"/>
    <cellStyle name="Comma 4 3 3 2 2 5 2" xfId="37112" xr:uid="{EFE56304-EFE9-4CD8-972E-0C84E61238F4}"/>
    <cellStyle name="Comma 4 3 3 2 2 5 3" xfId="51186" xr:uid="{31C0CA65-2284-4B74-900B-A61F2736D41E}"/>
    <cellStyle name="Comma 4 3 3 2 2 5 4" xfId="54202" xr:uid="{5E1AF882-D76D-47E8-91F6-0A4BA972AE51}"/>
    <cellStyle name="Comma 4 3 3 2 2 5 5" xfId="21980" xr:uid="{4A85FB29-8667-4792-BF34-5E792C777D27}"/>
    <cellStyle name="Comma 4 3 3 2 2 6" xfId="46624" xr:uid="{207D3B31-CA83-45EB-8AE2-EC5BEDF402F6}"/>
    <cellStyle name="Comma 4 3 3 2 2 7" xfId="50080" xr:uid="{2EE1C467-32B7-42BE-97F9-B1DAA6256261}"/>
    <cellStyle name="Comma 4 3 3 2 2 8" xfId="53096" xr:uid="{DE2AD215-2A4A-40CA-BDC0-61A7777302F2}"/>
    <cellStyle name="Comma 4 3 3 2 2 9" xfId="18901" xr:uid="{6EBBC870-90FC-44D0-9509-B8BBC1620F32}"/>
    <cellStyle name="Comma 4 3 3 2 3" xfId="14566" xr:uid="{3DF24314-4FAF-4DB9-9B62-ACA9E28FA004}"/>
    <cellStyle name="Comma 4 3 3 2 3 2" xfId="22113" xr:uid="{DB73BF25-0834-42FB-8F87-85C2A554B709}"/>
    <cellStyle name="Comma 4 3 3 2 3 3" xfId="24460" xr:uid="{D5231FA4-BC17-4C77-AFA2-94FEBC5D274B}"/>
    <cellStyle name="Comma 4 3 3 2 3 4" xfId="51451" xr:uid="{94014DAD-56F7-4E91-8B5A-125DA5C6331F}"/>
    <cellStyle name="Comma 4 3 3 2 3 5" xfId="54467" xr:uid="{8E600163-2BE7-47CF-9F5B-7201DC1D894E}"/>
    <cellStyle name="Comma 4 3 3 2 3 6" xfId="19062" xr:uid="{4AACCDC8-149C-4AC8-BBC1-581F1F7F7B5F}"/>
    <cellStyle name="Comma 4 3 3 2 4" xfId="15050" xr:uid="{E9D73A7F-4020-45F3-AEAF-BA7EC03D3E9F}"/>
    <cellStyle name="Comma 4 3 3 2 4 2" xfId="22590" xr:uid="{718D65CA-321F-4307-9AD7-7BA6DF36A753}"/>
    <cellStyle name="Comma 4 3 3 2 4 3" xfId="48580" xr:uid="{0A6E4A4B-9E5F-4541-A7D2-835714DE4901}"/>
    <cellStyle name="Comma 4 3 3 2 4 4" xfId="51928" xr:uid="{2D84F878-9306-42DE-B4F3-76458DA797CD}"/>
    <cellStyle name="Comma 4 3 3 2 4 5" xfId="54944" xr:uid="{1C8858F2-120B-4B6E-8FAD-E5FEFA4AC9B2}"/>
    <cellStyle name="Comma 4 3 3 2 4 6" xfId="19204" xr:uid="{0EC8520E-0448-4829-935C-B4C50FBB63C1}"/>
    <cellStyle name="Comma 4 3 3 2 5" xfId="15537" xr:uid="{BCA64536-1DDB-49EE-8E30-92C15F4704DD}"/>
    <cellStyle name="Comma 4 3 3 2 5 2" xfId="23067" xr:uid="{0C7561F8-4A89-4B2B-8728-6B069BCDB0E2}"/>
    <cellStyle name="Comma 4 3 3 2 5 3" xfId="46547" xr:uid="{F4AAFC39-3CC7-4D94-BE55-FF9B192A9C9C}"/>
    <cellStyle name="Comma 4 3 3 2 5 4" xfId="52405" xr:uid="{6A6F7CE2-C646-4E98-B830-6DAF2C2AE1C8}"/>
    <cellStyle name="Comma 4 3 3 2 5 5" xfId="55421" xr:uid="{C7BDC3CF-31FA-4BD0-964C-0532D5EC493B}"/>
    <cellStyle name="Comma 4 3 3 2 5 6" xfId="19349" xr:uid="{79495C81-BC4B-4C3B-89C9-7ADD25B9739E}"/>
    <cellStyle name="Comma 4 3 3 2 6" xfId="12485" xr:uid="{E0A397E8-8DFC-4267-AFE2-1F14476A69CF}"/>
    <cellStyle name="Comma 4 3 3 2 6 2" xfId="24220" xr:uid="{56FC2B46-D9ED-4030-8577-E8F4A1900985}"/>
    <cellStyle name="Comma 4 3 3 2 6 3" xfId="50974" xr:uid="{C1371277-8E71-432A-9703-35CEA73DE50D}"/>
    <cellStyle name="Comma 4 3 3 2 6 4" xfId="53990" xr:uid="{36BC7F30-6A3D-4356-88E2-3D1B301EDFF4}"/>
    <cellStyle name="Comma 4 3 3 2 6 5" xfId="21919" xr:uid="{4F62F6FF-04AD-48D0-AC9D-09F16161195B}"/>
    <cellStyle name="Comma 4 3 3 2 7" xfId="46028" xr:uid="{4B70039A-1DF7-4868-8D6F-496F3433F191}"/>
    <cellStyle name="Comma 4 3 3 2 8" xfId="49868" xr:uid="{F4487F61-A92D-44A4-AFC0-B3CB4B0AA3F8}"/>
    <cellStyle name="Comma 4 3 3 2 9" xfId="52884" xr:uid="{0F22F171-3788-4725-A504-FB64093CB2BD}"/>
    <cellStyle name="Comma 4 3 3 3" xfId="10099" xr:uid="{A52EBC29-482C-4970-A2C6-EFB48655F4B8}"/>
    <cellStyle name="Comma 4 3 3 3 10" xfId="18785" xr:uid="{191152E2-C601-454B-8F0A-9EBEF777D85D}"/>
    <cellStyle name="Comma 4 3 3 3 2" xfId="10412" xr:uid="{EB8C591A-6FC9-451A-A6D7-FE178F525351}"/>
    <cellStyle name="Comma 4 3 3 3 2 2" xfId="14831" xr:uid="{AB7C42C3-3954-42D0-ADDE-552F5D360990}"/>
    <cellStyle name="Comma 4 3 3 3 2 2 2" xfId="22378" xr:uid="{97642B87-02A7-49CC-B68B-70D4BD48909B}"/>
    <cellStyle name="Comma 4 3 3 3 2 2 3" xfId="48212" xr:uid="{AA95D9D1-83AE-4B2F-B52F-0C950069F50C}"/>
    <cellStyle name="Comma 4 3 3 3 2 2 4" xfId="51716" xr:uid="{2BCE0159-7422-42AC-8EC2-2707C104B6CD}"/>
    <cellStyle name="Comma 4 3 3 3 2 2 5" xfId="54732" xr:uid="{C2D392AD-34F3-45B3-A7DD-9291CB39DCA6}"/>
    <cellStyle name="Comma 4 3 3 3 2 2 6" xfId="19137" xr:uid="{72668DC6-7209-4479-8EFE-EBAB89C5D3A6}"/>
    <cellStyle name="Comma 4 3 3 3 2 3" xfId="15316" xr:uid="{B50114B7-65E3-4747-BEF1-47A0E591BE53}"/>
    <cellStyle name="Comma 4 3 3 3 2 3 2" xfId="22855" xr:uid="{6A068FDB-3CD7-48B3-9254-48D95EE1BF9A}"/>
    <cellStyle name="Comma 4 3 3 3 2 3 3" xfId="48259" xr:uid="{7424B50E-D908-4D54-8308-D22298D24834}"/>
    <cellStyle name="Comma 4 3 3 3 2 3 4" xfId="52193" xr:uid="{5FDD07D9-CA4A-4F5A-AC52-0478EC112A25}"/>
    <cellStyle name="Comma 4 3 3 3 2 3 5" xfId="55209" xr:uid="{AFF7233B-9A3B-48A5-B1EB-F46D608F6364}"/>
    <cellStyle name="Comma 4 3 3 3 2 3 6" xfId="19280" xr:uid="{5312D679-81AB-4F52-A95C-40850EC08B9F}"/>
    <cellStyle name="Comma 4 3 3 3 2 4" xfId="15803" xr:uid="{C73F6A55-6B17-4E50-AD79-07DC61142A4C}"/>
    <cellStyle name="Comma 4 3 3 3 2 4 2" xfId="23332" xr:uid="{91135001-5DBB-4E0B-9F76-C7FB08C47C83}"/>
    <cellStyle name="Comma 4 3 3 3 2 4 3" xfId="47201" xr:uid="{E84788AB-8F77-4C43-828E-3DE8A69FEA23}"/>
    <cellStyle name="Comma 4 3 3 3 2 4 4" xfId="52670" xr:uid="{517DDCB5-5D51-405F-A9EC-C54F7D351B37}"/>
    <cellStyle name="Comma 4 3 3 3 2 4 5" xfId="55686" xr:uid="{297CEB3B-5F96-4333-BA76-DF3D09C38B66}"/>
    <cellStyle name="Comma 4 3 3 3 2 4 6" xfId="19425" xr:uid="{A9D8D176-FA40-4C25-A564-9EAFA31C5FD9}"/>
    <cellStyle name="Comma 4 3 3 3 2 5" xfId="12865" xr:uid="{A28EC080-BC0D-4434-807D-CA1526951D7C}"/>
    <cellStyle name="Comma 4 3 3 3 2 5 2" xfId="48241" xr:uid="{453BC3C6-5294-4205-8517-3792FB2FB289}"/>
    <cellStyle name="Comma 4 3 3 3 2 5 3" xfId="51239" xr:uid="{D29D4062-A073-4833-8FC4-92C931AC80F0}"/>
    <cellStyle name="Comma 4 3 3 3 2 5 4" xfId="54255" xr:uid="{67FADF20-85AA-4594-99D0-C18879B75B18}"/>
    <cellStyle name="Comma 4 3 3 3 2 5 5" xfId="21995" xr:uid="{02FCD7DF-D847-43B3-BC37-87FC013647FA}"/>
    <cellStyle name="Comma 4 3 3 3 2 6" xfId="48457" xr:uid="{FD6FF5DE-5033-434B-A4D4-AD1D5355DB92}"/>
    <cellStyle name="Comma 4 3 3 3 2 7" xfId="50133" xr:uid="{2047D648-5CF7-4DAB-81CF-AC34583CA0D9}"/>
    <cellStyle name="Comma 4 3 3 3 2 8" xfId="53149" xr:uid="{7486EA61-838D-4501-B4BD-AD690FE02FB4}"/>
    <cellStyle name="Comma 4 3 3 3 2 9" xfId="18942" xr:uid="{AE6BE60E-7B92-4668-B3CD-FF27FF073994}"/>
    <cellStyle name="Comma 4 3 3 3 3" xfId="14619" xr:uid="{5CE4B612-DDEF-4C89-9272-3376EE0EAD0C}"/>
    <cellStyle name="Comma 4 3 3 3 3 2" xfId="22166" xr:uid="{2AFFEC86-7B9D-483E-8ACB-A1A2F960C459}"/>
    <cellStyle name="Comma 4 3 3 3 3 3" xfId="32329" xr:uid="{89E7EA1F-C2E5-4E4E-8D12-5EBEDA5F508A}"/>
    <cellStyle name="Comma 4 3 3 3 3 4" xfId="51504" xr:uid="{0B82106E-A41A-4724-9B91-10AAE92BB579}"/>
    <cellStyle name="Comma 4 3 3 3 3 5" xfId="54520" xr:uid="{219E0E41-9881-4725-A618-8D511A356464}"/>
    <cellStyle name="Comma 4 3 3 3 3 6" xfId="19077" xr:uid="{716FD446-9722-4131-9DE5-D62A4B008ACA}"/>
    <cellStyle name="Comma 4 3 3 3 4" xfId="15104" xr:uid="{8FE8C6AA-315B-47C9-A655-BCB7146715C1}"/>
    <cellStyle name="Comma 4 3 3 3 4 2" xfId="22643" xr:uid="{DF1F77BC-58DB-431E-994B-4382E13AE8D1}"/>
    <cellStyle name="Comma 4 3 3 3 4 3" xfId="47187" xr:uid="{96D6C237-C9D3-4B1A-AD36-38194B2FFD1C}"/>
    <cellStyle name="Comma 4 3 3 3 4 4" xfId="51981" xr:uid="{5DB48D9D-82D3-46EF-87C7-09337DE0214F}"/>
    <cellStyle name="Comma 4 3 3 3 4 5" xfId="54997" xr:uid="{FAD19E91-C98B-4942-A063-ADA2F6695F21}"/>
    <cellStyle name="Comma 4 3 3 3 4 6" xfId="19220" xr:uid="{F367C4C3-710B-4E1A-A0CA-2898B3ACF2F2}"/>
    <cellStyle name="Comma 4 3 3 3 5" xfId="15591" xr:uid="{2D355153-0BB9-47B6-8A34-B5BB68C82034}"/>
    <cellStyle name="Comma 4 3 3 3 5 2" xfId="23120" xr:uid="{099E81B7-C840-4F7E-812A-5EFFEE388B7A}"/>
    <cellStyle name="Comma 4 3 3 3 5 3" xfId="47271" xr:uid="{23CEDC79-9E71-430A-BF04-EF23ED35552D}"/>
    <cellStyle name="Comma 4 3 3 3 5 4" xfId="52458" xr:uid="{64E91A3B-5FB0-4546-BD9D-FF3CB8C7FC39}"/>
    <cellStyle name="Comma 4 3 3 3 5 5" xfId="55474" xr:uid="{ACE9ED8F-F109-47CA-955E-DC0DAA9F95D0}"/>
    <cellStyle name="Comma 4 3 3 3 5 6" xfId="19365" xr:uid="{2957B40F-06DA-413C-87ED-4B1F4B4ED5D3}"/>
    <cellStyle name="Comma 4 3 3 3 6" xfId="12556" xr:uid="{8E324FCC-FC8F-432F-A2BB-C54671FC3A3E}"/>
    <cellStyle name="Comma 4 3 3 3 6 2" xfId="34179" xr:uid="{61BE6814-155A-4D53-9C63-A84E91463B05}"/>
    <cellStyle name="Comma 4 3 3 3 6 3" xfId="51027" xr:uid="{5E84AEE2-6E0A-4E5A-9FD4-4DA7A76730CE}"/>
    <cellStyle name="Comma 4 3 3 3 6 4" xfId="54043" xr:uid="{B40ECAD1-C1DD-417F-AB31-7068F0181397}"/>
    <cellStyle name="Comma 4 3 3 3 6 5" xfId="21935" xr:uid="{4C0BAB0A-18F0-4324-929F-9187AD909404}"/>
    <cellStyle name="Comma 4 3 3 3 7" xfId="46045" xr:uid="{2A87F752-AD4A-48FF-A84E-AEE5C1C07123}"/>
    <cellStyle name="Comma 4 3 3 3 8" xfId="49921" xr:uid="{85E6489D-2443-4A6C-B688-262FFA36D512}"/>
    <cellStyle name="Comma 4 3 3 3 9" xfId="52937" xr:uid="{87876313-4D84-4B70-8E37-99B7CDAD70FC}"/>
    <cellStyle name="Comma 4 3 3 4" xfId="10178" xr:uid="{31EC6E6C-8D66-429F-BC09-8CC355217B14}"/>
    <cellStyle name="Comma 4 3 3 4 10" xfId="18823" xr:uid="{B24981A7-375D-4A82-9253-2D80E725BE3B}"/>
    <cellStyle name="Comma 4 3 3 4 2" xfId="10492" xr:uid="{F5AF2CDA-2E11-4BEC-AA71-DCF55E1257D4}"/>
    <cellStyle name="Comma 4 3 3 4 2 2" xfId="14884" xr:uid="{12BB3AAD-E7D8-4219-A0D1-46794916DB2E}"/>
    <cellStyle name="Comma 4 3 3 4 2 2 2" xfId="22431" xr:uid="{B5EE462E-2FA9-4736-BDF0-47B676A57A2A}"/>
    <cellStyle name="Comma 4 3 3 4 2 2 3" xfId="24935" xr:uid="{DB186557-E9E7-4DE8-BC3A-479ED47C6A50}"/>
    <cellStyle name="Comma 4 3 3 4 2 2 4" xfId="51769" xr:uid="{C99687FD-5B31-4311-B45A-2EC7B9198C7D}"/>
    <cellStyle name="Comma 4 3 3 4 2 2 5" xfId="54785" xr:uid="{ADED3512-4E81-427C-BFAE-A0D083CC141C}"/>
    <cellStyle name="Comma 4 3 3 4 2 2 6" xfId="19152" xr:uid="{73AA6AD7-A014-475A-BADC-2BB2761B0101}"/>
    <cellStyle name="Comma 4 3 3 4 2 3" xfId="15369" xr:uid="{E3C7E800-B06C-4952-A395-DF743D9D6900}"/>
    <cellStyle name="Comma 4 3 3 4 2 3 2" xfId="22908" xr:uid="{D56E48CD-BAEB-486D-86D9-FC9AE2509B71}"/>
    <cellStyle name="Comma 4 3 3 4 2 3 3" xfId="36949" xr:uid="{527E4EF4-BD6C-4BE8-8489-B32976D1D36E}"/>
    <cellStyle name="Comma 4 3 3 4 2 3 4" xfId="52246" xr:uid="{E6398552-5468-4A87-9D82-52889BA63E3D}"/>
    <cellStyle name="Comma 4 3 3 4 2 3 5" xfId="55262" xr:uid="{F5F37AE5-C685-447D-9D73-6318A9EFAF10}"/>
    <cellStyle name="Comma 4 3 3 4 2 3 6" xfId="19295" xr:uid="{47F1C6C2-042E-478B-A70C-857A9660BA32}"/>
    <cellStyle name="Comma 4 3 3 4 2 4" xfId="15856" xr:uid="{75B3EE79-C122-43B9-B759-F36E81D34CFB}"/>
    <cellStyle name="Comma 4 3 3 4 2 4 2" xfId="23385" xr:uid="{BED4328D-83C0-4722-9609-634039E931A5}"/>
    <cellStyle name="Comma 4 3 3 4 2 4 3" xfId="47731" xr:uid="{4FA51AA5-9693-489A-AD16-ADF47162B16A}"/>
    <cellStyle name="Comma 4 3 3 4 2 4 4" xfId="52723" xr:uid="{7A5745C0-D722-4B93-9B71-1EA70914286B}"/>
    <cellStyle name="Comma 4 3 3 4 2 4 5" xfId="55739" xr:uid="{37A6EECF-3BD9-4631-ACCE-93EB8C2D591D}"/>
    <cellStyle name="Comma 4 3 3 4 2 4 6" xfId="19440" xr:uid="{28E209C6-E5CD-4F45-99AE-983A17C1296F}"/>
    <cellStyle name="Comma 4 3 3 4 2 5" xfId="12945" xr:uid="{C38068D8-5784-400C-AE75-E0D3DECB0801}"/>
    <cellStyle name="Comma 4 3 3 4 2 5 2" xfId="47767" xr:uid="{0DE97760-03A3-4213-95E7-89A17E632928}"/>
    <cellStyle name="Comma 4 3 3 4 2 5 3" xfId="51292" xr:uid="{F6780526-2F8C-41A6-951E-EC15D2AF3963}"/>
    <cellStyle name="Comma 4 3 3 4 2 5 4" xfId="54308" xr:uid="{33BC3A08-6DF5-498A-95D0-FB8FAFC61C20}"/>
    <cellStyle name="Comma 4 3 3 4 2 5 5" xfId="22010" xr:uid="{8D7E36AE-C38C-4FE3-9F77-8C56FDC458A8}"/>
    <cellStyle name="Comma 4 3 3 4 2 6" xfId="46134" xr:uid="{2BDC7247-B949-43B6-9458-332AFE0E2259}"/>
    <cellStyle name="Comma 4 3 3 4 2 7" xfId="50186" xr:uid="{EA67106B-4407-41BA-A9CC-1D06CF9630EA}"/>
    <cellStyle name="Comma 4 3 3 4 2 8" xfId="53202" xr:uid="{11318701-74F0-40B7-8801-69F0B856274E}"/>
    <cellStyle name="Comma 4 3 3 4 2 9" xfId="18984" xr:uid="{37AADE41-AFCE-4FC1-A617-034B44AFDC1F}"/>
    <cellStyle name="Comma 4 3 3 4 3" xfId="14672" xr:uid="{548876C8-0CC8-42F4-B4B5-9F44909C2C7F}"/>
    <cellStyle name="Comma 4 3 3 4 3 2" xfId="22219" xr:uid="{A1E0417E-C82A-47BE-90DC-F0024337A71F}"/>
    <cellStyle name="Comma 4 3 3 4 3 3" xfId="46415" xr:uid="{ABC8D48D-5ECD-40BC-BC16-EA9AB445D0A2}"/>
    <cellStyle name="Comma 4 3 3 4 3 4" xfId="51557" xr:uid="{300FB2AB-E50F-47C4-91F6-33D9890F93E8}"/>
    <cellStyle name="Comma 4 3 3 4 3 5" xfId="54573" xr:uid="{A49150E7-8B7F-4085-9916-654F542161C0}"/>
    <cellStyle name="Comma 4 3 3 4 3 6" xfId="19092" xr:uid="{4ED82CC6-7061-41F2-8DA7-B49FAC9536F9}"/>
    <cellStyle name="Comma 4 3 3 4 4" xfId="15157" xr:uid="{E5345B0E-08A8-491C-BE20-0515FEE17A89}"/>
    <cellStyle name="Comma 4 3 3 4 4 2" xfId="22696" xr:uid="{F54C7593-5E7A-4299-AC81-6D282D7B67C4}"/>
    <cellStyle name="Comma 4 3 3 4 4 3" xfId="47967" xr:uid="{91FF49D5-E23E-4E7D-B096-92711CE61F63}"/>
    <cellStyle name="Comma 4 3 3 4 4 4" xfId="52034" xr:uid="{C92E9BD5-5B45-43A3-9DF6-693D802F510D}"/>
    <cellStyle name="Comma 4 3 3 4 4 5" xfId="55050" xr:uid="{C3C28081-1FF4-4F17-AB2D-C26FE5203890}"/>
    <cellStyle name="Comma 4 3 3 4 4 6" xfId="19235" xr:uid="{F9265A43-AC12-4D3D-BD6D-45AE7D2D3222}"/>
    <cellStyle name="Comma 4 3 3 4 5" xfId="15644" xr:uid="{F5A14C0B-188E-4379-ACCA-23AF1FBCC20C}"/>
    <cellStyle name="Comma 4 3 3 4 5 2" xfId="23173" xr:uid="{9487E24F-88D5-420B-8BC3-7DAA5E0FFA8C}"/>
    <cellStyle name="Comma 4 3 3 4 5 3" xfId="47846" xr:uid="{059C61A0-88C2-4AB1-8E09-B9D763369F51}"/>
    <cellStyle name="Comma 4 3 3 4 5 4" xfId="52511" xr:uid="{9BDAAB25-B9DB-4917-855B-A20F9F074C00}"/>
    <cellStyle name="Comma 4 3 3 4 5 5" xfId="55527" xr:uid="{DD04A8FD-3F0B-4A1A-BF41-7D7605D8330F}"/>
    <cellStyle name="Comma 4 3 3 4 5 6" xfId="19380" xr:uid="{C6491123-E8DB-4165-8219-CAEDEB030AC3}"/>
    <cellStyle name="Comma 4 3 3 4 6" xfId="12632" xr:uid="{053BB17A-FDCD-4342-88CC-49EB7D7A8A24}"/>
    <cellStyle name="Comma 4 3 3 4 6 2" xfId="47759" xr:uid="{8EEE2F45-391B-4B3B-AAEA-E63E2CF0C3B7}"/>
    <cellStyle name="Comma 4 3 3 4 6 3" xfId="51080" xr:uid="{10D99ED4-1CBE-46DF-87BF-0968D43F63A7}"/>
    <cellStyle name="Comma 4 3 3 4 6 4" xfId="54096" xr:uid="{A913CB97-C15C-4B63-B871-33081E81682B}"/>
    <cellStyle name="Comma 4 3 3 4 6 5" xfId="21950" xr:uid="{FC5D3858-1D82-4648-8D84-090F5EBF7863}"/>
    <cellStyle name="Comma 4 3 3 4 7" xfId="46059" xr:uid="{7B856C5F-C684-449B-8DB0-BFCEA671DF52}"/>
    <cellStyle name="Comma 4 3 3 4 8" xfId="49974" xr:uid="{28438A6B-90B5-4CC3-BF95-D16251096484}"/>
    <cellStyle name="Comma 4 3 3 4 9" xfId="52990" xr:uid="{6935475D-31C4-4376-A160-244B9C147C6E}"/>
    <cellStyle name="Comma 4 3 3 5" xfId="10258" xr:uid="{BB8BCB58-EEB8-4DCC-977E-6E0BFFFEA68A}"/>
    <cellStyle name="Comma 4 3 3 5 2" xfId="14725" xr:uid="{41617BD8-D48C-4C8F-935E-38D5E57C8820}"/>
    <cellStyle name="Comma 4 3 3 5 2 2" xfId="22272" xr:uid="{CC881D9E-A4E5-448B-AAA2-B65344CDD634}"/>
    <cellStyle name="Comma 4 3 3 5 2 3" xfId="47481" xr:uid="{44E5CA86-8D6D-46E3-9B7C-B7CA606C4DB0}"/>
    <cellStyle name="Comma 4 3 3 5 2 4" xfId="51610" xr:uid="{61288DF5-161B-44E2-BDD2-2D3A467E1432}"/>
    <cellStyle name="Comma 4 3 3 5 2 5" xfId="54626" xr:uid="{C4F805FE-45A3-45C4-9FC9-F7E65CDFA340}"/>
    <cellStyle name="Comma 4 3 3 5 2 6" xfId="19107" xr:uid="{E43F14B6-05EC-4C99-A035-700D9176D471}"/>
    <cellStyle name="Comma 4 3 3 5 3" xfId="15210" xr:uid="{B5545A4B-C833-4C7F-B3E1-754C678D7EAC}"/>
    <cellStyle name="Comma 4 3 3 5 3 2" xfId="22749" xr:uid="{E5071D20-ED15-4D4F-8765-AC9AFA68871B}"/>
    <cellStyle name="Comma 4 3 3 5 3 3" xfId="47678" xr:uid="{F10D0560-C8F9-47D5-BB26-7D3671433399}"/>
    <cellStyle name="Comma 4 3 3 5 3 4" xfId="52087" xr:uid="{63D2AC51-677F-43AC-B752-76F792243A38}"/>
    <cellStyle name="Comma 4 3 3 5 3 5" xfId="55103" xr:uid="{3B50E18C-CA73-4317-9E3B-71EB01F81382}"/>
    <cellStyle name="Comma 4 3 3 5 3 6" xfId="19250" xr:uid="{C7C6F3BC-B4C3-4C15-951C-3F31477FCE8D}"/>
    <cellStyle name="Comma 4 3 3 5 4" xfId="15697" xr:uid="{69F1A6D9-04A3-4DA5-9FB2-FE6AB3ACCEBE}"/>
    <cellStyle name="Comma 4 3 3 5 4 2" xfId="23226" xr:uid="{BAEDE9A6-2E31-4BD6-82BD-E53D1235B4E9}"/>
    <cellStyle name="Comma 4 3 3 5 4 3" xfId="48444" xr:uid="{2AFFC927-5926-41A4-AC82-ADA6E54C1410}"/>
    <cellStyle name="Comma 4 3 3 5 4 4" xfId="52564" xr:uid="{08B9D16C-9585-4A90-BE85-F33311B44E2B}"/>
    <cellStyle name="Comma 4 3 3 5 4 5" xfId="55580" xr:uid="{D9A3A7C9-4C9F-4D2D-AC3E-1775B928A9F1}"/>
    <cellStyle name="Comma 4 3 3 5 4 6" xfId="19395" xr:uid="{B823B7C1-5861-4BF8-958F-1EF3406E52E2}"/>
    <cellStyle name="Comma 4 3 3 5 5" xfId="12711" xr:uid="{C632632A-7431-4C28-A688-2DE80485554D}"/>
    <cellStyle name="Comma 4 3 3 5 5 2" xfId="46345" xr:uid="{F88292B1-1B2A-435C-A3F6-AB926B3BF913}"/>
    <cellStyle name="Comma 4 3 3 5 5 3" xfId="51133" xr:uid="{415505AA-F908-42A1-A029-258272709B4E}"/>
    <cellStyle name="Comma 4 3 3 5 5 4" xfId="54149" xr:uid="{3D783021-D143-4EFA-9B37-2AFB9E1246FB}"/>
    <cellStyle name="Comma 4 3 3 5 5 5" xfId="21965" xr:uid="{A4E0DDC4-ADB9-41D8-946F-17F72C00FC38}"/>
    <cellStyle name="Comma 4 3 3 5 6" xfId="46622" xr:uid="{585696B3-FE07-40BF-9F36-02A2E980C6DD}"/>
    <cellStyle name="Comma 4 3 3 5 7" xfId="50027" xr:uid="{EDC46CE6-E05F-46EC-AB44-1B746A26FDA5}"/>
    <cellStyle name="Comma 4 3 3 5 8" xfId="53043" xr:uid="{E676FB30-1628-42F3-81AB-D62246219789}"/>
    <cellStyle name="Comma 4 3 3 5 9" xfId="18864" xr:uid="{76271DBE-612C-48BE-B96A-42EB928478DE}"/>
    <cellStyle name="Comma 4 3 3 6" xfId="10572" xr:uid="{A417E2CA-CDB8-40A3-9357-569052A28724}"/>
    <cellStyle name="Comma 4 3 3 6 2" xfId="14937" xr:uid="{1B6DB3ED-FB61-467B-AEFE-645C439B9B86}"/>
    <cellStyle name="Comma 4 3 3 6 2 2" xfId="22484" xr:uid="{EA4825E7-F1ED-4729-AD97-EBC8CC174D02}"/>
    <cellStyle name="Comma 4 3 3 6 2 3" xfId="47567" xr:uid="{C0D59FBB-F4F9-49CA-8EBF-9E409127B313}"/>
    <cellStyle name="Comma 4 3 3 6 2 4" xfId="51822" xr:uid="{9C2DBF06-22E4-4F89-ADA7-7B7648925DD9}"/>
    <cellStyle name="Comma 4 3 3 6 2 5" xfId="54838" xr:uid="{729BE6E6-9E84-4C5C-AFC4-0F316CC82130}"/>
    <cellStyle name="Comma 4 3 3 6 2 6" xfId="19167" xr:uid="{A7DF1BE8-2817-468A-AF8F-D9AFF74EBA37}"/>
    <cellStyle name="Comma 4 3 3 6 3" xfId="15422" xr:uid="{E6926934-1285-4A72-8EEF-810A4C0961E6}"/>
    <cellStyle name="Comma 4 3 3 6 3 2" xfId="22961" xr:uid="{4C4E30AE-B815-436A-82D0-2CF659A95FE9}"/>
    <cellStyle name="Comma 4 3 3 6 3 3" xfId="47745" xr:uid="{AF489683-1FF9-4825-B123-349C836119C0}"/>
    <cellStyle name="Comma 4 3 3 6 3 4" xfId="52299" xr:uid="{B575585B-BA1F-4D82-AF00-B89F739F05E2}"/>
    <cellStyle name="Comma 4 3 3 6 3 5" xfId="55315" xr:uid="{D3396500-3818-480D-8B9B-399E52002805}"/>
    <cellStyle name="Comma 4 3 3 6 3 6" xfId="19310" xr:uid="{E44C1A72-321E-494F-9257-53672CA3AB5A}"/>
    <cellStyle name="Comma 4 3 3 6 4" xfId="15910" xr:uid="{4501014F-ADF8-4CA0-A074-1370C0C24153}"/>
    <cellStyle name="Comma 4 3 3 6 4 2" xfId="23438" xr:uid="{C581511A-3133-4147-860B-8D5664AC81E7}"/>
    <cellStyle name="Comma 4 3 3 6 4 3" xfId="46605" xr:uid="{5D172BA0-8098-4670-816F-EADCE59FA470}"/>
    <cellStyle name="Comma 4 3 3 6 4 4" xfId="52776" xr:uid="{49FFAA30-8EC1-4E64-8509-943D278A875E}"/>
    <cellStyle name="Comma 4 3 3 6 4 5" xfId="55792" xr:uid="{FE3E4EA1-7EA3-444C-A880-BFCD60A6B997}"/>
    <cellStyle name="Comma 4 3 3 6 4 6" xfId="19456" xr:uid="{A9BA4797-0090-4027-BABA-72967DB2002F}"/>
    <cellStyle name="Comma 4 3 3 6 5" xfId="13025" xr:uid="{71143711-D248-47CD-8D4D-A27C5C665E6F}"/>
    <cellStyle name="Comma 4 3 3 6 5 2" xfId="46822" xr:uid="{29BADEC4-6037-44ED-BD83-682BDE6043FE}"/>
    <cellStyle name="Comma 4 3 3 6 5 3" xfId="51345" xr:uid="{23C079DD-FF1E-4E1F-899E-7FF95D07F6F0}"/>
    <cellStyle name="Comma 4 3 3 6 5 4" xfId="54361" xr:uid="{ACEBAEA0-870F-4154-80B9-88FEBB2B5F38}"/>
    <cellStyle name="Comma 4 3 3 6 5 5" xfId="22025" xr:uid="{02821437-F890-4001-A321-FA97E70B4DB4}"/>
    <cellStyle name="Comma 4 3 3 6 6" xfId="24000" xr:uid="{6BA0FCD0-BD8A-4CCB-8F25-DD23CDC99993}"/>
    <cellStyle name="Comma 4 3 3 6 7" xfId="50239" xr:uid="{FDDF2DDF-B9DA-4F39-AC2C-D2BE14CFD18B}"/>
    <cellStyle name="Comma 4 3 3 6 8" xfId="53255" xr:uid="{A16B6262-51A0-4E4F-A91B-3B910B9B25C0}"/>
    <cellStyle name="Comma 4 3 3 6 9" xfId="19026" xr:uid="{F8B8267B-FCCF-4169-A157-9910A81BE46B}"/>
    <cellStyle name="Comma 4 3 3 7" xfId="14513" xr:uid="{17F1F513-D058-41BD-858A-10E872E4791E}"/>
    <cellStyle name="Comma 4 3 3 7 2" xfId="22060" xr:uid="{F65AC67A-B86F-4B16-88A5-296B3C54B5BD}"/>
    <cellStyle name="Comma 4 3 3 7 3" xfId="46831" xr:uid="{3F179E0B-0603-46FB-A236-775A5C9EAFB6}"/>
    <cellStyle name="Comma 4 3 3 7 4" xfId="51398" xr:uid="{EB36518A-F081-46A9-8EC4-01F451F7B5AB}"/>
    <cellStyle name="Comma 4 3 3 7 5" xfId="54414" xr:uid="{9179C4DC-6112-4320-9F14-71F944AC4BE9}"/>
    <cellStyle name="Comma 4 3 3 7 6" xfId="19047" xr:uid="{6DDAE52A-4BB8-4944-96C5-5E57DEF44D3F}"/>
    <cellStyle name="Comma 4 3 3 8" xfId="14997" xr:uid="{E3FA9BE4-6ED7-4788-BFE6-6229CD1C4FBF}"/>
    <cellStyle name="Comma 4 3 3 8 2" xfId="22537" xr:uid="{2B431BEC-19AD-4DF4-8EE1-F902F0C7BFCC}"/>
    <cellStyle name="Comma 4 3 3 8 3" xfId="47837" xr:uid="{59568EF8-7CBC-4260-BAE1-95E4EBD92513}"/>
    <cellStyle name="Comma 4 3 3 8 4" xfId="51875" xr:uid="{CD07911A-B28E-422E-AE69-CF94DA82F3B8}"/>
    <cellStyle name="Comma 4 3 3 8 5" xfId="54891" xr:uid="{55A21B4E-C216-4FA4-947C-40F25378DB5F}"/>
    <cellStyle name="Comma 4 3 3 8 6" xfId="19189" xr:uid="{3D8450C9-D4C2-4508-849A-104EE904CAA3}"/>
    <cellStyle name="Comma 4 3 3 9" xfId="15484" xr:uid="{A962BCD6-5EB1-4BA8-88CB-97CE0C4A9BD7}"/>
    <cellStyle name="Comma 4 3 3 9 2" xfId="23014" xr:uid="{B7D0F3F8-9937-491E-BCBB-0B765587D3D8}"/>
    <cellStyle name="Comma 4 3 3 9 3" xfId="32376" xr:uid="{0250143C-1B90-43CF-AAE9-D5FD03B165E8}"/>
    <cellStyle name="Comma 4 3 3 9 4" xfId="52352" xr:uid="{221D34C3-9C56-4AE3-8E99-04611AF5E596}"/>
    <cellStyle name="Comma 4 3 3 9 5" xfId="55368" xr:uid="{5A8D50C9-1B82-49F3-8E01-B445CF7319D3}"/>
    <cellStyle name="Comma 4 3 3 9 6" xfId="19334" xr:uid="{0D81A96E-EAF2-493F-84E1-09ED562D2E0C}"/>
    <cellStyle name="Comma 4 3 4" xfId="12205" xr:uid="{235C87AA-649B-4A6D-AE19-AC9FB7423FDC}"/>
    <cellStyle name="Comma 4 3 5" xfId="11196" xr:uid="{D1F92E81-E49C-4DF7-919E-312BF02B5EE6}"/>
    <cellStyle name="Comma 4 3 5 2" xfId="21692" xr:uid="{4D01CE80-901C-4E7A-B203-E8DDBAEC84D4}"/>
    <cellStyle name="Comma 4 3 5 3" xfId="24498" xr:uid="{D98A4B14-E2C7-4EBD-9898-7C79E6FA09AE}"/>
    <cellStyle name="Comma 4 3 5 4" xfId="50709" xr:uid="{8B0323AC-B3F1-41B6-9BE6-D65A529B6053}"/>
    <cellStyle name="Comma 4 3 5 5" xfId="53725" xr:uid="{F0958013-E993-401A-996F-857F1D78E410}"/>
    <cellStyle name="Comma 4 3 5 6" xfId="18053" xr:uid="{D31BBEDC-04ED-4EDC-8B84-4F81D109CD8E}"/>
    <cellStyle name="Comma 4 3 6" xfId="19490" xr:uid="{A7ACE864-3416-4B79-9A4C-7B807F6F45A4}"/>
    <cellStyle name="Comma 4 3 7" xfId="23764" xr:uid="{4CCB9779-5607-4375-A0D3-90AEA676895A}"/>
    <cellStyle name="Comma 4 3 8" xfId="48645" xr:uid="{AF323F2D-5C40-49A5-BD6B-50E0BF8B51D0}"/>
    <cellStyle name="Comma 4 3 9" xfId="49553" xr:uid="{F9792B02-636B-4F93-8CF3-51E269F51C0D}"/>
    <cellStyle name="Comma 4 4" xfId="4542" xr:uid="{31C9F786-CDA7-44A3-93C0-280AA9989D7D}"/>
    <cellStyle name="Comma 4 4 10" xfId="14514" xr:uid="{BA0EA8B8-B8BB-4433-B43C-1A4760821B32}"/>
    <cellStyle name="Comma 4 4 10 2" xfId="22061" xr:uid="{9478C751-9808-43F2-B8F2-455302281016}"/>
    <cellStyle name="Comma 4 4 10 3" xfId="24670" xr:uid="{CEFB2336-2B86-416B-BD85-04972C1D9B39}"/>
    <cellStyle name="Comma 4 4 10 4" xfId="51399" xr:uid="{755F5207-47D3-4E6D-A519-C811797907AE}"/>
    <cellStyle name="Comma 4 4 10 5" xfId="54415" xr:uid="{88375AFA-45CD-43C7-9290-00F18B89CF9F}"/>
    <cellStyle name="Comma 4 4 11" xfId="14998" xr:uid="{CDF4F84A-4D39-42F9-9EB1-756233DEA104}"/>
    <cellStyle name="Comma 4 4 11 2" xfId="22538" xr:uid="{5B9D30D2-F4FC-41BE-B9DF-213D7ED6E18D}"/>
    <cellStyle name="Comma 4 4 11 3" xfId="32511" xr:uid="{E59F27DF-66D8-4BBA-BBE9-51A445759D57}"/>
    <cellStyle name="Comma 4 4 11 4" xfId="51876" xr:uid="{2480BFB5-7A01-433B-9B4F-4DB12FA4700B}"/>
    <cellStyle name="Comma 4 4 11 5" xfId="54892" xr:uid="{C8DBEFDD-87A0-44DB-A58A-A4754750E4F2}"/>
    <cellStyle name="Comma 4 4 12" xfId="15485" xr:uid="{A993CF39-44A2-40EA-841C-E229FD39C194}"/>
    <cellStyle name="Comma 4 4 12 2" xfId="23015" xr:uid="{9A376E4C-4738-4DB8-879C-32BB5D54136A}"/>
    <cellStyle name="Comma 4 4 12 3" xfId="24314" xr:uid="{8516179A-1735-436B-AF0D-CAA7992B9526}"/>
    <cellStyle name="Comma 4 4 12 4" xfId="52353" xr:uid="{5578FCAE-2B4F-47B7-82EA-14E4FB45AA4D}"/>
    <cellStyle name="Comma 4 4 12 5" xfId="55369" xr:uid="{AB47B173-35BB-4187-A210-3AA296AF0ED8}"/>
    <cellStyle name="Comma 4 4 13" xfId="11197" xr:uid="{466C9D31-7609-475E-8508-1E622E456448}"/>
    <cellStyle name="Comma 4 4 13 2" xfId="21693" xr:uid="{D891D9A2-E870-4491-8FE9-94520C2AF920}"/>
    <cellStyle name="Comma 4 4 13 3" xfId="46728" xr:uid="{B1B94B99-ED76-478F-AF6F-21963E1F8E86}"/>
    <cellStyle name="Comma 4 4 13 4" xfId="50710" xr:uid="{0BE2E731-6867-4CFB-8CE4-C34DAC6EBCA3}"/>
    <cellStyle name="Comma 4 4 13 5" xfId="53726" xr:uid="{388731C0-5414-431D-B3AD-E45955F1BC9F}"/>
    <cellStyle name="Comma 4 4 14" xfId="23768" xr:uid="{5ACFE279-FD80-4376-A567-C5E341DE93EB}"/>
    <cellStyle name="Comma 4 4 15" xfId="48649" xr:uid="{B3DA1F0D-5C22-40ED-BE6A-9E2D4DADD751}"/>
    <cellStyle name="Comma 4 4 16" xfId="49557" xr:uid="{BB81A932-7E01-441F-958A-AC07ABA62F52}"/>
    <cellStyle name="Comma 4 4 17" xfId="49816" xr:uid="{3C80EA9A-FDDF-430B-8207-CD6A9F6FC427}"/>
    <cellStyle name="Comma 4 4 18" xfId="52831" xr:uid="{02AF9BE7-4C01-483E-BBA1-8B9132F5F9D7}"/>
    <cellStyle name="Comma 4 4 19" xfId="8939" xr:uid="{F47B11E0-D607-43E1-A259-26A9D5E5CDA5}"/>
    <cellStyle name="Comma 4 4 2" xfId="8940" xr:uid="{CDA2453A-CEA0-47BE-9A42-89DCC04F6C13}"/>
    <cellStyle name="Comma 4 4 2 10" xfId="15486" xr:uid="{4B75982B-958E-402C-BC96-4CA75D78EC05}"/>
    <cellStyle name="Comma 4 4 2 10 2" xfId="23016" xr:uid="{60806C20-2E8E-4729-B80C-FFBE07F34FCE}"/>
    <cellStyle name="Comma 4 4 2 10 3" xfId="47374" xr:uid="{113BF89F-37DD-42C3-A211-2EAC40FA1340}"/>
    <cellStyle name="Comma 4 4 2 10 4" xfId="52354" xr:uid="{D9C50F37-42A0-476A-AC5F-7A9784645123}"/>
    <cellStyle name="Comma 4 4 2 10 5" xfId="55370" xr:uid="{DEE06679-48E9-421E-8614-596CC72439F0}"/>
    <cellStyle name="Comma 4 4 2 11" xfId="11587" xr:uid="{D0562230-1D6A-4168-B712-18AADC80C124}"/>
    <cellStyle name="Comma 4 4 2 11 2" xfId="46655" xr:uid="{10469F7E-BDF7-4BF4-AFB0-7E7D6CA1B602}"/>
    <cellStyle name="Comma 4 4 2 11 3" xfId="50734" xr:uid="{CDF1247A-21FA-4FA5-A96A-A107611FA5CE}"/>
    <cellStyle name="Comma 4 4 2 11 4" xfId="53750" xr:uid="{CC4ACB0E-9312-42E6-BB5A-C917E9AAEE71}"/>
    <cellStyle name="Comma 4 4 2 12" xfId="23769" xr:uid="{AF34D036-AA8D-4BAF-A4FB-27A136B482DA}"/>
    <cellStyle name="Comma 4 4 2 13" xfId="48650" xr:uid="{E5D8E936-2012-4389-BC4E-FE6B2227FF57}"/>
    <cellStyle name="Comma 4 4 2 14" xfId="49558" xr:uid="{23BD50B2-24DB-43D2-840D-810ADEE3ACDC}"/>
    <cellStyle name="Comma 4 4 2 15" xfId="49817" xr:uid="{BE8626DC-4472-4AF6-BE9A-E4E8E72DF1B9}"/>
    <cellStyle name="Comma 4 4 2 16" xfId="52832" xr:uid="{F9C9484E-1C32-47DF-9460-3244899EA1F0}"/>
    <cellStyle name="Comma 4 4 2 2" xfId="8941" xr:uid="{EDB54567-7F70-49E9-970D-D99C12E846CE}"/>
    <cellStyle name="Comma 4 4 2 2 10" xfId="12195" xr:uid="{809CA0F1-2B65-47B3-BAB1-16C22527CE61}"/>
    <cellStyle name="Comma 4 4 2 2 10 2" xfId="46661" xr:uid="{3F3245D9-59F0-4B33-A662-D612A7CD9FFB}"/>
    <cellStyle name="Comma 4 4 2 2 10 3" xfId="50940" xr:uid="{6490337F-0A45-4C16-A8AB-0BB200F7D2D9}"/>
    <cellStyle name="Comma 4 4 2 2 10 4" xfId="53956" xr:uid="{32CEDE47-5BFA-4A64-899A-12BD29C22BD4}"/>
    <cellStyle name="Comma 4 4 2 2 11" xfId="23770" xr:uid="{73DA5705-4B9D-4B9B-B647-6F76065296BB}"/>
    <cellStyle name="Comma 4 4 2 2 12" xfId="48651" xr:uid="{BDBA9A6C-F6DB-40D7-987D-0CAFCA1E8812}"/>
    <cellStyle name="Comma 4 4 2 2 13" xfId="49559" xr:uid="{3C269184-9918-4DC0-B0BD-FB957CBB1E7E}"/>
    <cellStyle name="Comma 4 4 2 2 14" xfId="49818" xr:uid="{A696EC28-AC55-4280-AA87-FBAE29A74987}"/>
    <cellStyle name="Comma 4 4 2 2 15" xfId="52833" xr:uid="{6A7FD264-577A-4AFA-A8AB-E10B7A5FAE04}"/>
    <cellStyle name="Comma 4 4 2 2 2" xfId="10028" xr:uid="{4B431327-F706-4E4F-B802-3E4FB321DB5A}"/>
    <cellStyle name="Comma 4 4 2 2 2 2" xfId="10336" xr:uid="{B84449F9-60B8-441F-BE40-260C719DA3A0}"/>
    <cellStyle name="Comma 4 4 2 2 2 2 2" xfId="14781" xr:uid="{38E19A2F-07B9-4945-BA5F-C23ECD5AD6EB}"/>
    <cellStyle name="Comma 4 4 2 2 2 2 2 2" xfId="22328" xr:uid="{CD4B9E5F-CE22-4007-A348-0ACF3B8A80EC}"/>
    <cellStyle name="Comma 4 4 2 2 2 2 2 3" xfId="47703" xr:uid="{8348D14D-5526-4DE5-93C7-47770B974384}"/>
    <cellStyle name="Comma 4 4 2 2 2 2 2 4" xfId="51666" xr:uid="{BE83F182-950B-493A-9487-FF24571794DB}"/>
    <cellStyle name="Comma 4 4 2 2 2 2 2 5" xfId="54682" xr:uid="{872262EC-E3A4-4FB1-8F8C-306A8CF03C85}"/>
    <cellStyle name="Comma 4 4 2 2 2 2 3" xfId="15266" xr:uid="{E64E9059-B77F-42D2-8408-FCD0A043087B}"/>
    <cellStyle name="Comma 4 4 2 2 2 2 3 2" xfId="22805" xr:uid="{4891430E-2A91-4A2A-ADB2-082E3F8251B2}"/>
    <cellStyle name="Comma 4 4 2 2 2 2 3 3" xfId="46899" xr:uid="{D441314A-9342-48B1-8141-FC213BF0F837}"/>
    <cellStyle name="Comma 4 4 2 2 2 2 3 4" xfId="52143" xr:uid="{0FEEBB7C-8912-412F-97B9-BCBBFCEF71F8}"/>
    <cellStyle name="Comma 4 4 2 2 2 2 3 5" xfId="55159" xr:uid="{EE8F3510-A299-48CC-A1A6-4CA1F6F0C46C}"/>
    <cellStyle name="Comma 4 4 2 2 2 2 4" xfId="15753" xr:uid="{0C5498CF-4AE3-46F6-996B-D6D01E37C9F9}"/>
    <cellStyle name="Comma 4 4 2 2 2 2 4 2" xfId="23282" xr:uid="{2379C3E7-6B6E-4D8B-8DA4-DE612329763D}"/>
    <cellStyle name="Comma 4 4 2 2 2 2 4 3" xfId="24646" xr:uid="{FC9866C2-1442-4EAB-A159-B0A91E58FB83}"/>
    <cellStyle name="Comma 4 4 2 2 2 2 4 4" xfId="52620" xr:uid="{EABAC306-A605-4709-869D-343405AF57D7}"/>
    <cellStyle name="Comma 4 4 2 2 2 2 4 5" xfId="55636" xr:uid="{70312552-922C-49B9-9F4F-05EBA381EBFE}"/>
    <cellStyle name="Comma 4 4 2 2 2 2 5" xfId="12789" xr:uid="{B2C6E13D-385C-4578-9A21-AC4E5E62060C}"/>
    <cellStyle name="Comma 4 4 2 2 2 2 5 2" xfId="47471" xr:uid="{EF75C260-06F9-48FB-9AC6-FED7D7C48397}"/>
    <cellStyle name="Comma 4 4 2 2 2 2 5 3" xfId="51189" xr:uid="{2969273D-4ACB-4467-92EC-6B9D7977616A}"/>
    <cellStyle name="Comma 4 4 2 2 2 2 5 4" xfId="54205" xr:uid="{720183AA-BCC2-4830-A7DA-E09281E5C64A}"/>
    <cellStyle name="Comma 4 4 2 2 2 2 6" xfId="48525" xr:uid="{CBAA172A-6DD3-4169-8BE7-3B0EE7A23C02}"/>
    <cellStyle name="Comma 4 4 2 2 2 2 7" xfId="50083" xr:uid="{3F14C358-F550-4B12-B1A5-127B09F2030C}"/>
    <cellStyle name="Comma 4 4 2 2 2 2 8" xfId="53099" xr:uid="{13486852-7041-4A64-BF84-9C41A83D86B2}"/>
    <cellStyle name="Comma 4 4 2 2 2 3" xfId="14569" xr:uid="{F13FEA65-1E3D-4103-AC10-A733E8A511CF}"/>
    <cellStyle name="Comma 4 4 2 2 2 3 2" xfId="22116" xr:uid="{8A8ADCB8-E1F4-4496-91AA-AFF6F23CC791}"/>
    <cellStyle name="Comma 4 4 2 2 2 3 3" xfId="47329" xr:uid="{EC5F2BB2-5672-4F6B-9D23-20B087AD0190}"/>
    <cellStyle name="Comma 4 4 2 2 2 3 4" xfId="51454" xr:uid="{E755B1F1-A706-4E6C-85D4-94E9C989F847}"/>
    <cellStyle name="Comma 4 4 2 2 2 3 5" xfId="54470" xr:uid="{CD6CA9C5-8663-40D2-8CAD-6420E360E835}"/>
    <cellStyle name="Comma 4 4 2 2 2 4" xfId="15053" xr:uid="{0A128F22-C881-4EB9-A09A-E269726C8C41}"/>
    <cellStyle name="Comma 4 4 2 2 2 4 2" xfId="22593" xr:uid="{9A5BCBD6-F075-4301-BD6F-C3936AE77BD5}"/>
    <cellStyle name="Comma 4 4 2 2 2 4 3" xfId="46687" xr:uid="{4898D143-1C4E-4590-81D2-3BCE07781E7E}"/>
    <cellStyle name="Comma 4 4 2 2 2 4 4" xfId="51931" xr:uid="{4E33107D-1AC2-4F79-9A72-FBC82C3AC249}"/>
    <cellStyle name="Comma 4 4 2 2 2 4 5" xfId="54947" xr:uid="{4CAA8190-3AC8-477A-B186-4C5DCA0B2BA3}"/>
    <cellStyle name="Comma 4 4 2 2 2 5" xfId="15540" xr:uid="{82CD912C-2CAE-4BAF-9304-876E533B0D84}"/>
    <cellStyle name="Comma 4 4 2 2 2 5 2" xfId="23070" xr:uid="{2AAEAF0E-8602-4D34-B4E2-D86F4B0A4DEE}"/>
    <cellStyle name="Comma 4 4 2 2 2 5 3" xfId="46932" xr:uid="{B42F1BB2-6A7B-4E37-8E7F-92D8DF039E0E}"/>
    <cellStyle name="Comma 4 4 2 2 2 5 4" xfId="52408" xr:uid="{5D60C632-C23F-4CAB-9D1C-A8E935A061B8}"/>
    <cellStyle name="Comma 4 4 2 2 2 5 5" xfId="55424" xr:uid="{AD377503-3699-4EC2-9BF0-32EBBB970176}"/>
    <cellStyle name="Comma 4 4 2 2 2 6" xfId="12488" xr:uid="{706BBBED-13B5-434F-A09A-A743F8642EC0}"/>
    <cellStyle name="Comma 4 4 2 2 2 6 2" xfId="32336" xr:uid="{5AB28DB9-5DDA-41A3-BC09-0A0B194C8097}"/>
    <cellStyle name="Comma 4 4 2 2 2 6 3" xfId="50977" xr:uid="{38A8CABA-F2C3-473D-A4FC-11456EB9C5C4}"/>
    <cellStyle name="Comma 4 4 2 2 2 6 4" xfId="53993" xr:uid="{B0C0D9A9-8A54-4EB5-AA7C-E038B44B4A2B}"/>
    <cellStyle name="Comma 4 4 2 2 2 7" xfId="47574" xr:uid="{C235A80B-9E59-46DB-B4F9-D8AD35CBF112}"/>
    <cellStyle name="Comma 4 4 2 2 2 8" xfId="49871" xr:uid="{1E6A4401-D549-4FE9-BA4B-2E3A6761DB32}"/>
    <cellStyle name="Comma 4 4 2 2 2 9" xfId="52887" xr:uid="{280ADA00-15B1-4A2C-9BB1-C4D26BD9338C}"/>
    <cellStyle name="Comma 4 4 2 2 3" xfId="10102" xr:uid="{69BF9FAF-EB56-451A-B886-379F7ECC0D9D}"/>
    <cellStyle name="Comma 4 4 2 2 3 2" xfId="10415" xr:uid="{B6E96F19-90DA-4CE6-8B56-0E5571F8B10C}"/>
    <cellStyle name="Comma 4 4 2 2 3 2 2" xfId="14834" xr:uid="{01AE65B9-4E62-4A06-B509-966EF956CCBF}"/>
    <cellStyle name="Comma 4 4 2 2 3 2 2 2" xfId="22381" xr:uid="{A7A3F765-1429-4AE0-9B5C-BAC65AA4DAD0}"/>
    <cellStyle name="Comma 4 4 2 2 3 2 2 3" xfId="48119" xr:uid="{9D295981-9438-4A66-9B0D-EF46AC14C25B}"/>
    <cellStyle name="Comma 4 4 2 2 3 2 2 4" xfId="51719" xr:uid="{75F9C4B4-9749-4E3B-8FAF-8C8074FE2E89}"/>
    <cellStyle name="Comma 4 4 2 2 3 2 2 5" xfId="54735" xr:uid="{E46F663E-4A3C-4142-BF5B-98DF212DB071}"/>
    <cellStyle name="Comma 4 4 2 2 3 2 3" xfId="15319" xr:uid="{7CDD0870-0C33-4CF6-B87A-A7661B270FC0}"/>
    <cellStyle name="Comma 4 4 2 2 3 2 3 2" xfId="22858" xr:uid="{98F0472B-132D-41E7-B3F9-EA6081D40CEF}"/>
    <cellStyle name="Comma 4 4 2 2 3 2 3 3" xfId="46515" xr:uid="{586C0728-A859-4C25-BCD5-F96303CDF8E7}"/>
    <cellStyle name="Comma 4 4 2 2 3 2 3 4" xfId="52196" xr:uid="{DF75626E-6CDD-4021-BD68-B961DB07CEEB}"/>
    <cellStyle name="Comma 4 4 2 2 3 2 3 5" xfId="55212" xr:uid="{EAA7BB46-2051-4E14-9CC8-46F67C2816D7}"/>
    <cellStyle name="Comma 4 4 2 2 3 2 4" xfId="15806" xr:uid="{8C7C835F-E283-470C-BE4A-1A574815CB07}"/>
    <cellStyle name="Comma 4 4 2 2 3 2 4 2" xfId="23335" xr:uid="{EB4F958E-4457-4AF3-9DCB-3131EAE2A216}"/>
    <cellStyle name="Comma 4 4 2 2 3 2 4 3" xfId="48255" xr:uid="{B7DE2E86-8ABE-46FF-96A4-7BCE515D6FA1}"/>
    <cellStyle name="Comma 4 4 2 2 3 2 4 4" xfId="52673" xr:uid="{53521863-D6B5-4DA5-A6A9-14B11F8BFB9F}"/>
    <cellStyle name="Comma 4 4 2 2 3 2 4 5" xfId="55689" xr:uid="{6271BF86-270F-4B66-AA26-DF85AD74E825}"/>
    <cellStyle name="Comma 4 4 2 2 3 2 5" xfId="12868" xr:uid="{68F5EDF2-2357-4428-A72B-DAE180170278}"/>
    <cellStyle name="Comma 4 4 2 2 3 2 5 2" xfId="47231" xr:uid="{9CC510B3-6BF4-4990-BF8F-6A07C3482DD9}"/>
    <cellStyle name="Comma 4 4 2 2 3 2 5 3" xfId="51242" xr:uid="{5F09F36C-A81D-405E-B11A-3074A970A95E}"/>
    <cellStyle name="Comma 4 4 2 2 3 2 5 4" xfId="54258" xr:uid="{280F487B-FE85-4574-B0F9-D716E9A8192E}"/>
    <cellStyle name="Comma 4 4 2 2 3 2 6" xfId="46116" xr:uid="{27F51875-8D3F-4C88-93D3-E93668FF9975}"/>
    <cellStyle name="Comma 4 4 2 2 3 2 7" xfId="50136" xr:uid="{8D1B68AB-92C9-47FB-B9A0-ED68457DE9AB}"/>
    <cellStyle name="Comma 4 4 2 2 3 2 8" xfId="53152" xr:uid="{9C1F80D0-660A-4274-99B3-52D797E14211}"/>
    <cellStyle name="Comma 4 4 2 2 3 3" xfId="14622" xr:uid="{AE89EF82-50E1-4EAE-8899-BD638F25FA64}"/>
    <cellStyle name="Comma 4 4 2 2 3 3 2" xfId="22169" xr:uid="{4C502A27-EEB9-493B-9A01-0C85AFB4366A}"/>
    <cellStyle name="Comma 4 4 2 2 3 3 3" xfId="47330" xr:uid="{6B8D67CC-C60B-4A25-938C-A32C234C250B}"/>
    <cellStyle name="Comma 4 4 2 2 3 3 4" xfId="51507" xr:uid="{186B21E9-F527-4B01-AA1D-B53E90479D28}"/>
    <cellStyle name="Comma 4 4 2 2 3 3 5" xfId="54523" xr:uid="{77D29B15-59D5-4E80-9BA6-F476C69E5F89}"/>
    <cellStyle name="Comma 4 4 2 2 3 4" xfId="15107" xr:uid="{BF32F2AB-35F6-4817-BA64-C49DE7C8ACDD}"/>
    <cellStyle name="Comma 4 4 2 2 3 4 2" xfId="22646" xr:uid="{44B436E7-1FF3-4AC7-B2BB-B8C9660903E9}"/>
    <cellStyle name="Comma 4 4 2 2 3 4 3" xfId="47433" xr:uid="{F5BCF7BD-5D16-47B4-9855-D2D163D51BD8}"/>
    <cellStyle name="Comma 4 4 2 2 3 4 4" xfId="51984" xr:uid="{D6C0C994-9024-48EA-BCB3-636BF16E332F}"/>
    <cellStyle name="Comma 4 4 2 2 3 4 5" xfId="55000" xr:uid="{1F52C6FE-7F81-4A6E-8B94-0D39E859A8C5}"/>
    <cellStyle name="Comma 4 4 2 2 3 5" xfId="15594" xr:uid="{332D389B-AF3E-402E-AC45-5A5C051275C6}"/>
    <cellStyle name="Comma 4 4 2 2 3 5 2" xfId="23123" xr:uid="{713BE005-9F27-421D-BAF1-177C8E652B60}"/>
    <cellStyle name="Comma 4 4 2 2 3 5 3" xfId="48023" xr:uid="{00B1A6C6-5249-492C-8C30-FB96B2E46D45}"/>
    <cellStyle name="Comma 4 4 2 2 3 5 4" xfId="52461" xr:uid="{B7D0FFBF-4810-41B4-9244-DBF2937652C0}"/>
    <cellStyle name="Comma 4 4 2 2 3 5 5" xfId="55477" xr:uid="{16EB717F-9D1E-419C-8C79-C59B3B188454}"/>
    <cellStyle name="Comma 4 4 2 2 3 6" xfId="12559" xr:uid="{2B51EF98-A126-406B-8436-4A8B95DE075B}"/>
    <cellStyle name="Comma 4 4 2 2 3 6 2" xfId="24697" xr:uid="{8DA23EFA-7D0C-4198-BF11-A330DADBE55A}"/>
    <cellStyle name="Comma 4 4 2 2 3 6 3" xfId="51030" xr:uid="{1C5FAD59-4DCC-4081-88AE-4B38A1B359D5}"/>
    <cellStyle name="Comma 4 4 2 2 3 6 4" xfId="54046" xr:uid="{147AC97D-0868-44C4-9094-4BD6B80AD079}"/>
    <cellStyle name="Comma 4 4 2 2 3 7" xfId="46046" xr:uid="{6D51E31C-9B9A-468E-B49F-4FD2144FD1D9}"/>
    <cellStyle name="Comma 4 4 2 2 3 8" xfId="49924" xr:uid="{8AA5402E-BE59-4D41-9D27-F1735EC233DD}"/>
    <cellStyle name="Comma 4 4 2 2 3 9" xfId="52940" xr:uid="{788185FE-5FF1-4894-A2C6-7F20F80725A9}"/>
    <cellStyle name="Comma 4 4 2 2 4" xfId="10181" xr:uid="{C9BA60B8-FAED-42C2-8618-633948B47517}"/>
    <cellStyle name="Comma 4 4 2 2 4 2" xfId="10495" xr:uid="{7F82ED67-8D4D-47C4-A58D-8735B53F3D21}"/>
    <cellStyle name="Comma 4 4 2 2 4 2 2" xfId="14887" xr:uid="{C1B9406E-EC10-4AD7-A194-DA492634A2B0}"/>
    <cellStyle name="Comma 4 4 2 2 4 2 2 2" xfId="22434" xr:uid="{DE0412AB-BB9C-4721-B72A-421960CF1E3D}"/>
    <cellStyle name="Comma 4 4 2 2 4 2 2 3" xfId="47184" xr:uid="{55A0F226-5C1A-40EF-A299-CBC60D8DA366}"/>
    <cellStyle name="Comma 4 4 2 2 4 2 2 4" xfId="51772" xr:uid="{BAE79F36-8E8E-40D7-9B05-B4BE0D474A6E}"/>
    <cellStyle name="Comma 4 4 2 2 4 2 2 5" xfId="54788" xr:uid="{15F0E8D6-9A5F-4947-8E89-42BF4898F6FA}"/>
    <cellStyle name="Comma 4 4 2 2 4 2 3" xfId="15372" xr:uid="{53F61FDB-F465-4D84-9F70-F1DC326AE92A}"/>
    <cellStyle name="Comma 4 4 2 2 4 2 3 2" xfId="22911" xr:uid="{2CCB143A-3831-4C60-8AED-D6B718534D3E}"/>
    <cellStyle name="Comma 4 4 2 2 4 2 3 3" xfId="36575" xr:uid="{F4E4A1B9-73F0-45A6-992D-3EB940AF5DAA}"/>
    <cellStyle name="Comma 4 4 2 2 4 2 3 4" xfId="52249" xr:uid="{28C4ED90-25C6-4C3A-A6CD-04869DF40570}"/>
    <cellStyle name="Comma 4 4 2 2 4 2 3 5" xfId="55265" xr:uid="{9D78581C-EE39-470D-BD2D-6387983C327D}"/>
    <cellStyle name="Comma 4 4 2 2 4 2 4" xfId="15859" xr:uid="{94D2C3CD-7871-49D7-A62F-84070316E61D}"/>
    <cellStyle name="Comma 4 4 2 2 4 2 4 2" xfId="23388" xr:uid="{E9631718-F603-47B3-BF93-24DF824EE198}"/>
    <cellStyle name="Comma 4 4 2 2 4 2 4 3" xfId="47504" xr:uid="{EC0B9956-4C5B-40FD-A265-8759DA376BEB}"/>
    <cellStyle name="Comma 4 4 2 2 4 2 4 4" xfId="52726" xr:uid="{C8ABAA70-086C-4CFE-B68E-C5DBFD7444DF}"/>
    <cellStyle name="Comma 4 4 2 2 4 2 4 5" xfId="55742" xr:uid="{DF7AD0B7-15F5-45A7-8033-7C89F511EEA4}"/>
    <cellStyle name="Comma 4 4 2 2 4 2 5" xfId="12948" xr:uid="{FBD31DC5-371D-49C2-8E19-A5A115FAA87D}"/>
    <cellStyle name="Comma 4 4 2 2 4 2 5 2" xfId="25035" xr:uid="{51F63E95-CB86-458E-A54A-BEA97CBFA5DA}"/>
    <cellStyle name="Comma 4 4 2 2 4 2 5 3" xfId="51295" xr:uid="{83A29340-46AE-4F39-8676-615E4C25DAEE}"/>
    <cellStyle name="Comma 4 4 2 2 4 2 5 4" xfId="54311" xr:uid="{E02491FD-1D8A-41DC-9691-9472BE996B5B}"/>
    <cellStyle name="Comma 4 4 2 2 4 2 6" xfId="47292" xr:uid="{FE854A25-06E4-451D-8D63-ECE133E36620}"/>
    <cellStyle name="Comma 4 4 2 2 4 2 7" xfId="50189" xr:uid="{D7E96E23-1E57-4816-BFB9-3DB952B13871}"/>
    <cellStyle name="Comma 4 4 2 2 4 2 8" xfId="53205" xr:uid="{8E6EC9E8-BE56-42C5-9C2F-3703CCB4B555}"/>
    <cellStyle name="Comma 4 4 2 2 4 3" xfId="14675" xr:uid="{F817DA18-51FA-4A0E-9BC6-5700DCD79C6B}"/>
    <cellStyle name="Comma 4 4 2 2 4 3 2" xfId="22222" xr:uid="{8EFA0B9D-025D-43E0-B7E6-CDDD10B3A7FD}"/>
    <cellStyle name="Comma 4 4 2 2 4 3 3" xfId="32530" xr:uid="{613787C1-39D7-4F3D-9BD1-51B8B47FAD47}"/>
    <cellStyle name="Comma 4 4 2 2 4 3 4" xfId="51560" xr:uid="{1417EB62-9AF9-452D-89DD-9E50A036DD27}"/>
    <cellStyle name="Comma 4 4 2 2 4 3 5" xfId="54576" xr:uid="{E16C5E0A-1E4C-4321-928E-5B1296826D74}"/>
    <cellStyle name="Comma 4 4 2 2 4 4" xfId="15160" xr:uid="{A471D176-54A2-4459-B41B-1331BB763AB7}"/>
    <cellStyle name="Comma 4 4 2 2 4 4 2" xfId="22699" xr:uid="{AE689DA3-7E9A-4C23-B777-0DE12218CC95}"/>
    <cellStyle name="Comma 4 4 2 2 4 4 3" xfId="46887" xr:uid="{2CA471C2-90B2-4371-B318-7E07B12D0E39}"/>
    <cellStyle name="Comma 4 4 2 2 4 4 4" xfId="52037" xr:uid="{131DBD30-50C8-4E7A-AB79-CFFFCD97AEDF}"/>
    <cellStyle name="Comma 4 4 2 2 4 4 5" xfId="55053" xr:uid="{FE3A3584-9EF6-427C-81DA-0750465176F2}"/>
    <cellStyle name="Comma 4 4 2 2 4 5" xfId="15647" xr:uid="{4C69B0DB-B80E-4273-A68D-B1B1B19EBB36}"/>
    <cellStyle name="Comma 4 4 2 2 4 5 2" xfId="23176" xr:uid="{E30A9FC4-7545-4689-A3CD-55F5537A8A87}"/>
    <cellStyle name="Comma 4 4 2 2 4 5 3" xfId="48227" xr:uid="{C4285BE4-41AB-4D15-8F65-4D48EB4B083F}"/>
    <cellStyle name="Comma 4 4 2 2 4 5 4" xfId="52514" xr:uid="{5457C0D2-EE64-4A3F-BF6B-8173DFAD875B}"/>
    <cellStyle name="Comma 4 4 2 2 4 5 5" xfId="55530" xr:uid="{CD84F4A7-87A0-4228-B72D-5B35B5354690}"/>
    <cellStyle name="Comma 4 4 2 2 4 6" xfId="12635" xr:uid="{78BBF9B6-7BCC-4A72-9F69-1AA7C0E6743C}"/>
    <cellStyle name="Comma 4 4 2 2 4 6 2" xfId="37123" xr:uid="{420B7484-2E55-44F8-8A3E-3DBFD5E87240}"/>
    <cellStyle name="Comma 4 4 2 2 4 6 3" xfId="51083" xr:uid="{F768A4C9-84A7-4EF7-8839-06A86933CFC2}"/>
    <cellStyle name="Comma 4 4 2 2 4 6 4" xfId="54099" xr:uid="{AAA96DD3-E86F-4E32-A28D-F76FA24B85F8}"/>
    <cellStyle name="Comma 4 4 2 2 4 7" xfId="47578" xr:uid="{5511E4D4-3E37-4DF4-A787-094AC2E3CEC8}"/>
    <cellStyle name="Comma 4 4 2 2 4 8" xfId="49977" xr:uid="{B8430F04-F9A2-48B3-9766-9521580D61F3}"/>
    <cellStyle name="Comma 4 4 2 2 4 9" xfId="52993" xr:uid="{B5BBF02D-B284-4A5F-817D-9150658F4186}"/>
    <cellStyle name="Comma 4 4 2 2 5" xfId="10261" xr:uid="{B1E397D0-752D-4DAA-9D21-3D924700B535}"/>
    <cellStyle name="Comma 4 4 2 2 5 2" xfId="14728" xr:uid="{0D297DF5-06BC-484B-BF95-E8A4D3C7A6E2}"/>
    <cellStyle name="Comma 4 4 2 2 5 2 2" xfId="22275" xr:uid="{8E7997D1-ED04-4DE5-ADC8-CBFC2E9378AA}"/>
    <cellStyle name="Comma 4 4 2 2 5 2 3" xfId="34047" xr:uid="{C8380934-0616-425E-8131-349907AD2B2D}"/>
    <cellStyle name="Comma 4 4 2 2 5 2 4" xfId="51613" xr:uid="{1C936D85-A30A-4BC5-9484-7F18845FD95D}"/>
    <cellStyle name="Comma 4 4 2 2 5 2 5" xfId="54629" xr:uid="{8E17FE92-56A9-4E61-BADC-18F3F9590AC0}"/>
    <cellStyle name="Comma 4 4 2 2 5 3" xfId="15213" xr:uid="{78B85D58-1D6A-4028-A6DC-3761D8BC0CDA}"/>
    <cellStyle name="Comma 4 4 2 2 5 3 2" xfId="22752" xr:uid="{4374EC88-D5C7-4388-B8B1-155BCB1A7056}"/>
    <cellStyle name="Comma 4 4 2 2 5 3 3" xfId="23838" xr:uid="{0F3E8910-469E-4D20-B9B3-C1217ADE0A6D}"/>
    <cellStyle name="Comma 4 4 2 2 5 3 4" xfId="52090" xr:uid="{3F141A57-3FE2-477D-8F3C-27BD395A1BE1}"/>
    <cellStyle name="Comma 4 4 2 2 5 3 5" xfId="55106" xr:uid="{66E251C7-E7AF-4697-8FBD-BF11E81A5FB1}"/>
    <cellStyle name="Comma 4 4 2 2 5 4" xfId="15700" xr:uid="{340C15D6-3662-4C87-A101-425F83BC3363}"/>
    <cellStyle name="Comma 4 4 2 2 5 4 2" xfId="23229" xr:uid="{1A0ED14B-DAE7-4D1F-A4FE-FB3E31447E32}"/>
    <cellStyle name="Comma 4 4 2 2 5 4 3" xfId="25285" xr:uid="{0DC95726-14A2-4E8D-B6C8-9778E997E935}"/>
    <cellStyle name="Comma 4 4 2 2 5 4 4" xfId="52567" xr:uid="{4B988500-C43B-462C-A4C1-3154EF07BE57}"/>
    <cellStyle name="Comma 4 4 2 2 5 4 5" xfId="55583" xr:uid="{ACC825B7-58CA-4509-9EC1-7E3789A9383F}"/>
    <cellStyle name="Comma 4 4 2 2 5 5" xfId="12714" xr:uid="{C844D848-6A21-4B66-83DC-D27606EA43E3}"/>
    <cellStyle name="Comma 4 4 2 2 5 5 2" xfId="46785" xr:uid="{DFE5AED6-4B16-426D-AED0-DA182721338B}"/>
    <cellStyle name="Comma 4 4 2 2 5 5 3" xfId="51136" xr:uid="{2EF18879-D80A-4C8C-B032-E4BD8DEF9DAD}"/>
    <cellStyle name="Comma 4 4 2 2 5 5 4" xfId="54152" xr:uid="{020D28E5-0BB6-4414-8C34-5B5BD1B486AC}"/>
    <cellStyle name="Comma 4 4 2 2 5 6" xfId="48234" xr:uid="{E708EA1B-51CD-49DF-89AB-D8AAC15F0340}"/>
    <cellStyle name="Comma 4 4 2 2 5 7" xfId="50030" xr:uid="{37811045-C85B-4B57-91A1-FDAE827D6164}"/>
    <cellStyle name="Comma 4 4 2 2 5 8" xfId="53046" xr:uid="{750710D6-D16C-4544-9496-C99109D57918}"/>
    <cellStyle name="Comma 4 4 2 2 6" xfId="10575" xr:uid="{EB7205E7-ED92-44C0-95DD-8A4172E4669E}"/>
    <cellStyle name="Comma 4 4 2 2 6 2" xfId="14940" xr:uid="{E8A1628A-F77F-4B43-A4C4-49631CE18ACE}"/>
    <cellStyle name="Comma 4 4 2 2 6 2 2" xfId="22487" xr:uid="{A0A4B0E9-A047-48DE-B9AC-1B18C0E451B4}"/>
    <cellStyle name="Comma 4 4 2 2 6 2 3" xfId="46457" xr:uid="{4051F9B6-A373-419B-9D17-44265368680A}"/>
    <cellStyle name="Comma 4 4 2 2 6 2 4" xfId="51825" xr:uid="{50D5B4E3-2FD1-4327-B25F-615F10B3CB1E}"/>
    <cellStyle name="Comma 4 4 2 2 6 2 5" xfId="54841" xr:uid="{925049DF-B29F-40BE-8BF0-0D01A15374CB}"/>
    <cellStyle name="Comma 4 4 2 2 6 3" xfId="15425" xr:uid="{3D82575D-E312-4B98-BA65-42970AFC2408}"/>
    <cellStyle name="Comma 4 4 2 2 6 3 2" xfId="22964" xr:uid="{BFCA43A4-DB3B-4822-AE31-3C028DF0C148}"/>
    <cellStyle name="Comma 4 4 2 2 6 3 3" xfId="46532" xr:uid="{8B7E939F-76E8-4903-B53E-2F4391340388}"/>
    <cellStyle name="Comma 4 4 2 2 6 3 4" xfId="52302" xr:uid="{4193450A-AB38-4A3D-BD2D-8F1909739680}"/>
    <cellStyle name="Comma 4 4 2 2 6 3 5" xfId="55318" xr:uid="{21F8CF66-2D14-4B82-BE70-E056A6494587}"/>
    <cellStyle name="Comma 4 4 2 2 6 4" xfId="15913" xr:uid="{89C7ABC1-DDA6-4CAD-AEF9-A6E90B942DFC}"/>
    <cellStyle name="Comma 4 4 2 2 6 4 2" xfId="23441" xr:uid="{D91DBC63-9D51-4F58-9E67-A9685B3C54EC}"/>
    <cellStyle name="Comma 4 4 2 2 6 4 3" xfId="46983" xr:uid="{4BFE805A-7A0A-406F-AAC7-1708AAF6B0EA}"/>
    <cellStyle name="Comma 4 4 2 2 6 4 4" xfId="52779" xr:uid="{D74318EF-0DEE-4937-8685-665FD1A89A95}"/>
    <cellStyle name="Comma 4 4 2 2 6 4 5" xfId="55795" xr:uid="{660373B9-D3D2-46F7-B83A-F9CA45B10C07}"/>
    <cellStyle name="Comma 4 4 2 2 6 5" xfId="13028" xr:uid="{62FDDF5C-EE4C-40DE-B806-B2AB559DB6A3}"/>
    <cellStyle name="Comma 4 4 2 2 6 5 2" xfId="46384" xr:uid="{22E308E3-6013-4A3A-8AE2-685699D780D0}"/>
    <cellStyle name="Comma 4 4 2 2 6 5 3" xfId="51348" xr:uid="{FCD59B85-D98F-4F74-BC1C-C6B84449811A}"/>
    <cellStyle name="Comma 4 4 2 2 6 5 4" xfId="54364" xr:uid="{681B7990-E6E4-4C9A-B80B-649E1CDC0088}"/>
    <cellStyle name="Comma 4 4 2 2 6 6" xfId="46152" xr:uid="{582185E1-59F0-4193-8FF4-3034D6AA50DC}"/>
    <cellStyle name="Comma 4 4 2 2 6 7" xfId="50242" xr:uid="{F3D9C43A-FD99-4C02-B27E-F9528F245521}"/>
    <cellStyle name="Comma 4 4 2 2 6 8" xfId="53258" xr:uid="{ABEFA7F5-CC2C-41B8-8806-7441892E6A0C}"/>
    <cellStyle name="Comma 4 4 2 2 7" xfId="14516" xr:uid="{9B8D924B-03CE-4841-9985-AEC12FC0297A}"/>
    <cellStyle name="Comma 4 4 2 2 7 2" xfId="22063" xr:uid="{F8C1883E-494B-46F4-9F87-F51BDF5C9586}"/>
    <cellStyle name="Comma 4 4 2 2 7 3" xfId="24984" xr:uid="{EF279192-B08D-4B56-9191-97778A78A0B9}"/>
    <cellStyle name="Comma 4 4 2 2 7 4" xfId="51401" xr:uid="{8B2B1C77-58C9-413A-B649-F6BE67315458}"/>
    <cellStyle name="Comma 4 4 2 2 7 5" xfId="54417" xr:uid="{9A28CE74-BB71-4BF5-A5C1-82FB2BC79B79}"/>
    <cellStyle name="Comma 4 4 2 2 8" xfId="15000" xr:uid="{3BC28816-21AC-4A94-A40B-7751F4808ED7}"/>
    <cellStyle name="Comma 4 4 2 2 8 2" xfId="22540" xr:uid="{484309F2-FEC1-41A8-958C-F48CDAAF7161}"/>
    <cellStyle name="Comma 4 4 2 2 8 3" xfId="47629" xr:uid="{0AD1FB63-0EE6-4D08-8968-4C17D88E257F}"/>
    <cellStyle name="Comma 4 4 2 2 8 4" xfId="51878" xr:uid="{DF00EF65-72E2-4D92-A15F-B86F34BBD5FB}"/>
    <cellStyle name="Comma 4 4 2 2 8 5" xfId="54894" xr:uid="{D6A4891B-FDEF-42B1-8D23-5656509C402F}"/>
    <cellStyle name="Comma 4 4 2 2 9" xfId="15487" xr:uid="{072FFAF9-A08F-49C4-914E-DE9659F92BCC}"/>
    <cellStyle name="Comma 4 4 2 2 9 2" xfId="23017" xr:uid="{F83436CC-5D95-4C0E-B0C2-C0898592C2AF}"/>
    <cellStyle name="Comma 4 4 2 2 9 3" xfId="47969" xr:uid="{F02DE274-10A7-4CED-90C6-94BAD85D3698}"/>
    <cellStyle name="Comma 4 4 2 2 9 4" xfId="52355" xr:uid="{49F7C54F-6F35-46C7-8FB4-6E26299D9F6D}"/>
    <cellStyle name="Comma 4 4 2 2 9 5" xfId="55371" xr:uid="{B4CC275E-7561-4A28-AB4D-78D13936AE28}"/>
    <cellStyle name="Comma 4 4 2 3" xfId="10027" xr:uid="{AFDBAF20-F48E-4BFC-BC47-43B88E275366}"/>
    <cellStyle name="Comma 4 4 2 3 2" xfId="10335" xr:uid="{2995823E-E624-48CC-B96F-AAC8AEA33F2E}"/>
    <cellStyle name="Comma 4 4 2 3 2 2" xfId="14780" xr:uid="{874EADBF-8565-45DA-8C45-122C9D1368C9}"/>
    <cellStyle name="Comma 4 4 2 3 2 2 2" xfId="22327" xr:uid="{0967632E-548F-4147-9B08-E7A99F6E0CE1}"/>
    <cellStyle name="Comma 4 4 2 3 2 2 3" xfId="24749" xr:uid="{6D627007-F6CF-49CE-956D-27D8E8458BC9}"/>
    <cellStyle name="Comma 4 4 2 3 2 2 4" xfId="51665" xr:uid="{A93EE1CF-0C46-41D1-A732-B99A832606BD}"/>
    <cellStyle name="Comma 4 4 2 3 2 2 5" xfId="54681" xr:uid="{22EDA6C9-8BA2-4D91-9760-8B3BC51579BE}"/>
    <cellStyle name="Comma 4 4 2 3 2 3" xfId="15265" xr:uid="{7C021963-085B-4ACF-9A14-CA13F2C43500}"/>
    <cellStyle name="Comma 4 4 2 3 2 3 2" xfId="22804" xr:uid="{2ACD88DC-87C4-4B6C-AF79-13A021BB5E5F}"/>
    <cellStyle name="Comma 4 4 2 3 2 3 3" xfId="47248" xr:uid="{E96237C6-D80B-43EA-B91F-5CD154C6963E}"/>
    <cellStyle name="Comma 4 4 2 3 2 3 4" xfId="52142" xr:uid="{FF930A3D-51AC-498A-875D-DD27E9C1797A}"/>
    <cellStyle name="Comma 4 4 2 3 2 3 5" xfId="55158" xr:uid="{ED4BC553-17B5-4CEC-A0C5-495AFB68C2B7}"/>
    <cellStyle name="Comma 4 4 2 3 2 4" xfId="15752" xr:uid="{C4B9E670-64D4-49EE-A72D-88290DFE9749}"/>
    <cellStyle name="Comma 4 4 2 3 2 4 2" xfId="23281" xr:uid="{4AC15EF2-F4DF-4B23-91B9-2751F9FBA2AF}"/>
    <cellStyle name="Comma 4 4 2 3 2 4 3" xfId="46960" xr:uid="{91F0290F-1EC6-4B84-B333-AFA67BE52290}"/>
    <cellStyle name="Comma 4 4 2 3 2 4 4" xfId="52619" xr:uid="{2F743766-CFB9-495F-90AD-22EAE56818EA}"/>
    <cellStyle name="Comma 4 4 2 3 2 4 5" xfId="55635" xr:uid="{CB8E158B-ECEB-431D-8B9B-DE46FFF1851A}"/>
    <cellStyle name="Comma 4 4 2 3 2 5" xfId="12788" xr:uid="{50881AF3-D939-421B-B3C2-8D6F5AB4099C}"/>
    <cellStyle name="Comma 4 4 2 3 2 5 2" xfId="46794" xr:uid="{CC9A9CB7-EDE1-4E2B-BBB4-18663FB8B617}"/>
    <cellStyle name="Comma 4 4 2 3 2 5 3" xfId="51188" xr:uid="{96E36122-6C0A-4D8A-8053-C5D60DD28155}"/>
    <cellStyle name="Comma 4 4 2 3 2 5 4" xfId="54204" xr:uid="{D46A6777-927E-4B8D-9C88-3BBD30C40AB5}"/>
    <cellStyle name="Comma 4 4 2 3 2 6" xfId="47854" xr:uid="{6151E786-E8C1-4468-9985-338280F28AB2}"/>
    <cellStyle name="Comma 4 4 2 3 2 7" xfId="50082" xr:uid="{6876A0EF-C453-49C8-96A1-90F45D82CEED}"/>
    <cellStyle name="Comma 4 4 2 3 2 8" xfId="53098" xr:uid="{8803CA2C-8E1B-42EB-A449-E110E7C2F72C}"/>
    <cellStyle name="Comma 4 4 2 3 3" xfId="14568" xr:uid="{B8B546F5-FDFF-4A11-A162-C6EB685DB8AE}"/>
    <cellStyle name="Comma 4 4 2 3 3 2" xfId="22115" xr:uid="{ACF3CABC-705E-48AE-B7E0-69676A822956}"/>
    <cellStyle name="Comma 4 4 2 3 3 3" xfId="48059" xr:uid="{D0E2DE2D-754C-4FA4-AEE0-F95DDFCEAADC}"/>
    <cellStyle name="Comma 4 4 2 3 3 4" xfId="51453" xr:uid="{43E46645-5CA0-47DE-936F-FBBA939A2716}"/>
    <cellStyle name="Comma 4 4 2 3 3 5" xfId="54469" xr:uid="{DC33F25E-D65D-4E1A-A430-683767BBC6D7}"/>
    <cellStyle name="Comma 4 4 2 3 4" xfId="15052" xr:uid="{7BF75FEB-AE90-46ED-B34F-B650BC6F8292}"/>
    <cellStyle name="Comma 4 4 2 3 4 2" xfId="22592" xr:uid="{80A2BDF6-7B7F-4047-B863-B72A8D22A143}"/>
    <cellStyle name="Comma 4 4 2 3 4 3" xfId="47513" xr:uid="{6BF8B8AF-F22C-47A5-A2FB-8C271A40949F}"/>
    <cellStyle name="Comma 4 4 2 3 4 4" xfId="51930" xr:uid="{FBB7C26F-2127-4E96-93A6-EBAB11B46322}"/>
    <cellStyle name="Comma 4 4 2 3 4 5" xfId="54946" xr:uid="{E8986CD0-88B8-4DA0-BA96-AF9544DF9488}"/>
    <cellStyle name="Comma 4 4 2 3 5" xfId="15539" xr:uid="{96DBD6D9-A942-42C3-9CCB-14B7CAE7ABF7}"/>
    <cellStyle name="Comma 4 4 2 3 5 2" xfId="23069" xr:uid="{2C6D05CF-F6F4-45C4-81C8-8A2C52654ADD}"/>
    <cellStyle name="Comma 4 4 2 3 5 3" xfId="48129" xr:uid="{605A6487-9AAF-49D5-AEA0-7B3F3DB6662D}"/>
    <cellStyle name="Comma 4 4 2 3 5 4" xfId="52407" xr:uid="{3E766B28-5C35-48D0-ADFA-AFBDC27EE89D}"/>
    <cellStyle name="Comma 4 4 2 3 5 5" xfId="55423" xr:uid="{50F60C9E-810C-43A7-87B6-AA0D02211007}"/>
    <cellStyle name="Comma 4 4 2 3 6" xfId="12487" xr:uid="{685B9176-22A9-473A-AA39-DD1D84DBD4E5}"/>
    <cellStyle name="Comma 4 4 2 3 6 2" xfId="25091" xr:uid="{C315E806-C639-4954-915A-E2818A17A85E}"/>
    <cellStyle name="Comma 4 4 2 3 6 3" xfId="50976" xr:uid="{01C86025-DD17-40EB-BA98-0E23DE366FE8}"/>
    <cellStyle name="Comma 4 4 2 3 6 4" xfId="53992" xr:uid="{4A3EBC9D-A18A-4232-929F-86CBA8AD15E3}"/>
    <cellStyle name="Comma 4 4 2 3 7" xfId="46030" xr:uid="{91DEF12E-64DB-43F2-A543-F4EBBCBA4141}"/>
    <cellStyle name="Comma 4 4 2 3 8" xfId="49870" xr:uid="{AC73A692-665B-4935-BE69-A15483FFED48}"/>
    <cellStyle name="Comma 4 4 2 3 9" xfId="52886" xr:uid="{80BFA0EB-FEEF-47F4-8DFA-1F3958B96ACD}"/>
    <cellStyle name="Comma 4 4 2 4" xfId="10101" xr:uid="{254F870A-F6BA-4413-B171-B4AF892CB8F3}"/>
    <cellStyle name="Comma 4 4 2 4 2" xfId="10414" xr:uid="{20512995-2767-431A-A6A6-06577DD1A32A}"/>
    <cellStyle name="Comma 4 4 2 4 2 2" xfId="14833" xr:uid="{BFAFCFFB-D773-4BDB-A817-853E7C1C5A93}"/>
    <cellStyle name="Comma 4 4 2 4 2 2 2" xfId="22380" xr:uid="{02B97522-2D28-4066-83E1-F04F60C1A141}"/>
    <cellStyle name="Comma 4 4 2 4 2 2 3" xfId="24942" xr:uid="{DFF3CE45-6C50-46E5-B580-172D93122792}"/>
    <cellStyle name="Comma 4 4 2 4 2 2 4" xfId="51718" xr:uid="{DC7C8E76-5B9E-483F-8A07-815D859668F8}"/>
    <cellStyle name="Comma 4 4 2 4 2 2 5" xfId="54734" xr:uid="{0B73D644-E47D-41CB-B153-DDCA5066AE6E}"/>
    <cellStyle name="Comma 4 4 2 4 2 3" xfId="15318" xr:uid="{42954614-71CB-4AFA-A4F2-98DD72F892F5}"/>
    <cellStyle name="Comma 4 4 2 4 2 3 2" xfId="22857" xr:uid="{9BEF5F1F-F2DE-43F4-9424-2562B3393E61}"/>
    <cellStyle name="Comma 4 4 2 4 2 3 3" xfId="47373" xr:uid="{47022840-03EB-4307-AF5B-9C450FEF5066}"/>
    <cellStyle name="Comma 4 4 2 4 2 3 4" xfId="52195" xr:uid="{B56B7842-0551-46C6-BBD9-578359F41EFD}"/>
    <cellStyle name="Comma 4 4 2 4 2 3 5" xfId="55211" xr:uid="{283E8CED-D3D5-422F-864D-EE00367FD4AC}"/>
    <cellStyle name="Comma 4 4 2 4 2 4" xfId="15805" xr:uid="{ED29F238-26D7-4DA6-85A4-5110E662E918}"/>
    <cellStyle name="Comma 4 4 2 4 2 4 2" xfId="23334" xr:uid="{2BCBAEEC-94EC-4674-91F9-9D94BF2294D8}"/>
    <cellStyle name="Comma 4 4 2 4 2 4 3" xfId="46589" xr:uid="{08A55F63-9122-4C50-9C94-BA95B71FDD1D}"/>
    <cellStyle name="Comma 4 4 2 4 2 4 4" xfId="52672" xr:uid="{C6BE8B09-FEE8-47D4-B8FE-6E672C3C8BF5}"/>
    <cellStyle name="Comma 4 4 2 4 2 4 5" xfId="55688" xr:uid="{DCF40BFB-63D3-4DB3-B0C9-EC112A98D387}"/>
    <cellStyle name="Comma 4 4 2 4 2 5" xfId="12867" xr:uid="{8BD0DDC1-2B1D-41E7-9EA4-E07C8D10574E}"/>
    <cellStyle name="Comma 4 4 2 4 2 5 2" xfId="25043" xr:uid="{72C4423F-E630-4DC6-8934-EEB4831AA763}"/>
    <cellStyle name="Comma 4 4 2 4 2 5 3" xfId="51241" xr:uid="{6924ECA5-3567-4753-9EA7-8709D92E6E9C}"/>
    <cellStyle name="Comma 4 4 2 4 2 5 4" xfId="54257" xr:uid="{4132F7CD-3AEF-48E1-A6BA-F68F12F9A582}"/>
    <cellStyle name="Comma 4 4 2 4 2 6" xfId="46115" xr:uid="{986F7969-06EE-49A8-BE66-B2D50AB40617}"/>
    <cellStyle name="Comma 4 4 2 4 2 7" xfId="50135" xr:uid="{E58DA9F9-122A-48F6-8B3B-F76CF52BA496}"/>
    <cellStyle name="Comma 4 4 2 4 2 8" xfId="53151" xr:uid="{530BCCD5-42C6-49EA-ACD3-A4F03DAFAA41}"/>
    <cellStyle name="Comma 4 4 2 4 3" xfId="14621" xr:uid="{94279980-587E-4CCE-AFEB-AD7A5D11A891}"/>
    <cellStyle name="Comma 4 4 2 4 3 2" xfId="22168" xr:uid="{88AC6D93-1937-4767-9B1D-0585DEA55FB4}"/>
    <cellStyle name="Comma 4 4 2 4 3 3" xfId="47770" xr:uid="{4C5D8539-6142-4FE7-9959-316004A194F4}"/>
    <cellStyle name="Comma 4 4 2 4 3 4" xfId="51506" xr:uid="{8A081C0E-E8B2-41B2-8A29-AE3BB2252ACB}"/>
    <cellStyle name="Comma 4 4 2 4 3 5" xfId="54522" xr:uid="{D280B30F-C218-43E5-9871-F9350E3EBEA5}"/>
    <cellStyle name="Comma 4 4 2 4 4" xfId="15106" xr:uid="{F184F7A2-DBF4-48D6-927B-14712C806130}"/>
    <cellStyle name="Comma 4 4 2 4 4 2" xfId="22645" xr:uid="{FCEE1B0D-11DC-4491-9D8A-FD10CAD58B93}"/>
    <cellStyle name="Comma 4 4 2 4 4 3" xfId="46480" xr:uid="{CA6B0A86-525D-4482-AFDF-CCE267E5E01B}"/>
    <cellStyle name="Comma 4 4 2 4 4 4" xfId="51983" xr:uid="{F98CC9E7-42BB-4D7E-846A-9297CAEA8E2A}"/>
    <cellStyle name="Comma 4 4 2 4 4 5" xfId="54999" xr:uid="{CB348AF2-F2C8-42AD-B6AB-3C1127F6E8F7}"/>
    <cellStyle name="Comma 4 4 2 4 5" xfId="15593" xr:uid="{F6ABF9C8-AC89-4E38-9614-052E575BF542}"/>
    <cellStyle name="Comma 4 4 2 4 5 2" xfId="23122" xr:uid="{A7BC17FC-8F2F-40AF-864A-3478C65140DD}"/>
    <cellStyle name="Comma 4 4 2 4 5 3" xfId="46556" xr:uid="{B423BCF7-192F-4EB0-B28B-E4D2E0BA94CF}"/>
    <cellStyle name="Comma 4 4 2 4 5 4" xfId="52460" xr:uid="{C85AF407-02EE-4029-81C6-3FFF155E44B5}"/>
    <cellStyle name="Comma 4 4 2 4 5 5" xfId="55476" xr:uid="{9DEDE108-434A-4A96-8D0C-F2010A8628EC}"/>
    <cellStyle name="Comma 4 4 2 4 6" xfId="12558" xr:uid="{76D8EC1D-7F1C-4D04-B03C-2FA447402749}"/>
    <cellStyle name="Comma 4 4 2 4 6 2" xfId="32538" xr:uid="{5927B48B-F95C-4A1B-9226-19C355A6C349}"/>
    <cellStyle name="Comma 4 4 2 4 6 3" xfId="51029" xr:uid="{9DE8A5B1-C263-4E9F-AC99-99E1ADC191C1}"/>
    <cellStyle name="Comma 4 4 2 4 6 4" xfId="54045" xr:uid="{6659D468-1AF8-4484-BF8B-9FDE51AF8BF7}"/>
    <cellStyle name="Comma 4 4 2 4 7" xfId="24280" xr:uid="{F06CB76E-9A23-48A3-8D56-EF3EBE0B349A}"/>
    <cellStyle name="Comma 4 4 2 4 8" xfId="49923" xr:uid="{ED0BA167-2E4E-41C6-B449-0631531D5AD0}"/>
    <cellStyle name="Comma 4 4 2 4 9" xfId="52939" xr:uid="{557F6CDC-3705-4525-AF7F-CD9570459B1D}"/>
    <cellStyle name="Comma 4 4 2 5" xfId="10180" xr:uid="{CD80EC3F-2039-49D7-BADA-5B97EAC11F15}"/>
    <cellStyle name="Comma 4 4 2 5 2" xfId="10494" xr:uid="{83AF6F4A-0EFD-4E44-99FA-AB46D59700AF}"/>
    <cellStyle name="Comma 4 4 2 5 2 2" xfId="14886" xr:uid="{C863C889-CC1D-48B1-8292-3985A132EA64}"/>
    <cellStyle name="Comma 4 4 2 5 2 2 2" xfId="22433" xr:uid="{FF32564F-28D2-4C90-A996-FB3CD7B5CE49}"/>
    <cellStyle name="Comma 4 4 2 5 2 2 3" xfId="32526" xr:uid="{F58EF2E8-29E3-4D02-8804-D55B9B35B81D}"/>
    <cellStyle name="Comma 4 4 2 5 2 2 4" xfId="51771" xr:uid="{A80D1408-2D75-46B2-9AF9-DDCEA7F9ACD6}"/>
    <cellStyle name="Comma 4 4 2 5 2 2 5" xfId="54787" xr:uid="{6ACD68CE-9527-4239-98E7-E008211CE60C}"/>
    <cellStyle name="Comma 4 4 2 5 2 3" xfId="15371" xr:uid="{0B053D41-9987-4A0D-9BDE-5E4D97F481A3}"/>
    <cellStyle name="Comma 4 4 2 5 2 3 2" xfId="22910" xr:uid="{DB126E86-AD71-4A95-B3F6-8DF3472E5463}"/>
    <cellStyle name="Comma 4 4 2 5 2 3 3" xfId="32502" xr:uid="{ED1187ED-4393-471C-A5AB-5A1D6A40EA03}"/>
    <cellStyle name="Comma 4 4 2 5 2 3 4" xfId="52248" xr:uid="{838D1726-9EB9-4EF9-87DB-CD2EF1990A3D}"/>
    <cellStyle name="Comma 4 4 2 5 2 3 5" xfId="55264" xr:uid="{4DFD0D13-C819-4F72-854A-1E4030DD5286}"/>
    <cellStyle name="Comma 4 4 2 5 2 4" xfId="15858" xr:uid="{39F0FDF2-6A4A-4639-A074-B1CA201079F8}"/>
    <cellStyle name="Comma 4 4 2 5 2 4 2" xfId="23387" xr:uid="{54A2BC87-9071-4EB4-ACCD-2A27FC993D96}"/>
    <cellStyle name="Comma 4 4 2 5 2 4 3" xfId="46976" xr:uid="{D0BBD9DA-E4FD-4963-8109-3FEB1634FF6E}"/>
    <cellStyle name="Comma 4 4 2 5 2 4 4" xfId="52725" xr:uid="{ACE25226-53F2-4D80-8681-5DF44000A9F8}"/>
    <cellStyle name="Comma 4 4 2 5 2 4 5" xfId="55741" xr:uid="{44551D8A-0CAF-411A-9232-28BDC8A67554}"/>
    <cellStyle name="Comma 4 4 2 5 2 5" xfId="12947" xr:uid="{A35F8AE6-642F-4E69-874C-4F892F1E5041}"/>
    <cellStyle name="Comma 4 4 2 5 2 5 2" xfId="46376" xr:uid="{0CA60576-CC10-4C2B-B2B4-5A7893B91E24}"/>
    <cellStyle name="Comma 4 4 2 5 2 5 3" xfId="51294" xr:uid="{D96B9A0A-1E3E-4962-B9F1-77A5644907F7}"/>
    <cellStyle name="Comma 4 4 2 5 2 5 4" xfId="54310" xr:uid="{74A0E47F-2FC7-4A78-8185-26127A1728B5}"/>
    <cellStyle name="Comma 4 4 2 5 2 6" xfId="46135" xr:uid="{0BE1107B-105F-45D7-AB3B-54362A5AA744}"/>
    <cellStyle name="Comma 4 4 2 5 2 7" xfId="50188" xr:uid="{3E43358C-D840-4019-8CF1-C480D4FD0E31}"/>
    <cellStyle name="Comma 4 4 2 5 2 8" xfId="53204" xr:uid="{83F69B6F-0CB3-4EC8-AC98-B7B3F6A8812C}"/>
    <cellStyle name="Comma 4 4 2 5 3" xfId="14674" xr:uid="{FE66D4F6-83FE-4DA3-85F1-5B8BE1F57675}"/>
    <cellStyle name="Comma 4 4 2 5 3 2" xfId="22221" xr:uid="{380C4D26-0278-470D-B408-0B5529562DE1}"/>
    <cellStyle name="Comma 4 4 2 5 3 3" xfId="36279" xr:uid="{88FD250C-7ABA-4D4B-97FD-D19C1F6525F3}"/>
    <cellStyle name="Comma 4 4 2 5 3 4" xfId="51559" xr:uid="{73C70DE0-144B-4F66-BA2E-8E81A17617D6}"/>
    <cellStyle name="Comma 4 4 2 5 3 5" xfId="54575" xr:uid="{5385CE02-F138-4C2D-AD7F-9D5962993ABC}"/>
    <cellStyle name="Comma 4 4 2 5 4" xfId="15159" xr:uid="{5EE35F06-322F-453B-B808-E407FD7F6C72}"/>
    <cellStyle name="Comma 4 4 2 5 4 2" xfId="22698" xr:uid="{E520B231-B36A-49DA-9CF2-FF71AE43C3A2}"/>
    <cellStyle name="Comma 4 4 2 5 4 3" xfId="47696" xr:uid="{D7436300-8450-4B34-AA35-13C77C3E46F7}"/>
    <cellStyle name="Comma 4 4 2 5 4 4" xfId="52036" xr:uid="{4EAA3409-77BB-4935-B329-AFF2D8AFEF82}"/>
    <cellStyle name="Comma 4 4 2 5 4 5" xfId="55052" xr:uid="{C57F1574-578B-40F4-9FD8-267E538D2849}"/>
    <cellStyle name="Comma 4 4 2 5 5" xfId="15646" xr:uid="{1195C11D-CD3E-4F9C-AA35-7570521286F8}"/>
    <cellStyle name="Comma 4 4 2 5 5 2" xfId="23175" xr:uid="{5BA8A8AA-97DB-4030-A463-97B822FE2EBF}"/>
    <cellStyle name="Comma 4 4 2 5 5 3" xfId="33644" xr:uid="{5D660E9F-7F5B-4584-B60F-FF927958CFDF}"/>
    <cellStyle name="Comma 4 4 2 5 5 4" xfId="52513" xr:uid="{B9F0311B-EA2D-41F5-B0B4-8D3B9173DD1D}"/>
    <cellStyle name="Comma 4 4 2 5 5 5" xfId="55529" xr:uid="{BF054E0F-4DA1-41A8-A0EA-0624B949DD92}"/>
    <cellStyle name="Comma 4 4 2 5 6" xfId="12634" xr:uid="{642C2BD3-DA1F-4D30-B9EF-78EAE3E5F6FB}"/>
    <cellStyle name="Comma 4 4 2 5 6 2" xfId="46333" xr:uid="{AE047CC3-9B9A-4CD4-BFC1-F993FF9F727F}"/>
    <cellStyle name="Comma 4 4 2 5 6 3" xfId="51082" xr:uid="{4898CA7B-463B-46A4-BB11-D13206D60865}"/>
    <cellStyle name="Comma 4 4 2 5 6 4" xfId="54098" xr:uid="{EE5E337F-2560-4A9D-B30F-1D6C6F7DCBCA}"/>
    <cellStyle name="Comma 4 4 2 5 7" xfId="46061" xr:uid="{3B37C92C-240F-49A6-894F-34B313666004}"/>
    <cellStyle name="Comma 4 4 2 5 8" xfId="49976" xr:uid="{2636C90D-01BD-42D3-88C9-8ED230E9EE6E}"/>
    <cellStyle name="Comma 4 4 2 5 9" xfId="52992" xr:uid="{24980D04-DC36-4C33-B7E0-DB6CB19E0415}"/>
    <cellStyle name="Comma 4 4 2 6" xfId="10260" xr:uid="{D5606D7F-60B6-44E6-A706-12E14DD72C81}"/>
    <cellStyle name="Comma 4 4 2 6 2" xfId="14727" xr:uid="{44CAD1B1-C462-418B-AC29-C1C5E8D5628A}"/>
    <cellStyle name="Comma 4 4 2 6 2 2" xfId="22274" xr:uid="{2C127CE8-DD96-49BC-8563-CB8828891023}"/>
    <cellStyle name="Comma 4 4 2 6 2 3" xfId="46424" xr:uid="{01EDEE23-9F4C-4DA4-9E82-CF43959C6518}"/>
    <cellStyle name="Comma 4 4 2 6 2 4" xfId="51612" xr:uid="{45CB79B6-DC86-4FFD-A650-EF8AE23307DD}"/>
    <cellStyle name="Comma 4 4 2 6 2 5" xfId="54628" xr:uid="{6E4B3415-6C4E-4F95-AE28-0C2E1C2B4180}"/>
    <cellStyle name="Comma 4 4 2 6 3" xfId="15212" xr:uid="{180D7516-BF5D-457C-9F12-AAD011B8E45A}"/>
    <cellStyle name="Comma 4 4 2 6 3 2" xfId="22751" xr:uid="{FD09EFAD-F2B1-44C0-ABE9-39DAD8596E50}"/>
    <cellStyle name="Comma 4 4 2 6 3 3" xfId="48246" xr:uid="{511436D0-6729-43C4-B949-D47A9B93E0EA}"/>
    <cellStyle name="Comma 4 4 2 6 3 4" xfId="52089" xr:uid="{ABAD14FE-4EB8-4AFD-AC03-B80AF691DE15}"/>
    <cellStyle name="Comma 4 4 2 6 3 5" xfId="55105" xr:uid="{6A8B05D7-E2AA-4D07-9D54-B1D6326AB300}"/>
    <cellStyle name="Comma 4 4 2 6 4" xfId="15699" xr:uid="{81AC11C3-2501-4D57-84D0-0D4977AB500E}"/>
    <cellStyle name="Comma 4 4 2 6 4 2" xfId="23228" xr:uid="{7C87A1FF-6D5F-4EF0-B16F-2BCC231DFA76}"/>
    <cellStyle name="Comma 4 4 2 6 4 3" xfId="46573" xr:uid="{BEF10AB9-DC44-45D5-B315-D02882D39148}"/>
    <cellStyle name="Comma 4 4 2 6 4 4" xfId="52566" xr:uid="{FAEF4B1D-863C-49B8-9E03-D92025B01E41}"/>
    <cellStyle name="Comma 4 4 2 6 4 5" xfId="55582" xr:uid="{EFD6BF0F-677D-4A60-AAC2-2C4A5D795CAD}"/>
    <cellStyle name="Comma 4 4 2 6 5" xfId="12713" xr:uid="{061B0A2B-607D-4FD1-83BE-89D1A5C10097}"/>
    <cellStyle name="Comma 4 4 2 6 5 2" xfId="47051" xr:uid="{1E1E3056-4E87-4BC6-84D0-9BFEAB998570}"/>
    <cellStyle name="Comma 4 4 2 6 5 3" xfId="51135" xr:uid="{90A4EB8C-069A-4431-AD58-F7BEBB2F3157}"/>
    <cellStyle name="Comma 4 4 2 6 5 4" xfId="54151" xr:uid="{DE09C250-6E8E-49F0-86CA-CD27D5578A33}"/>
    <cellStyle name="Comma 4 4 2 6 6" xfId="48431" xr:uid="{6F58F749-568C-4AE2-BBB7-E55DF4B676BE}"/>
    <cellStyle name="Comma 4 4 2 6 7" xfId="50029" xr:uid="{F8D0327B-7F9E-4878-B214-B0F14148B5DF}"/>
    <cellStyle name="Comma 4 4 2 6 8" xfId="53045" xr:uid="{E97DCEA8-B51A-4A16-AF64-1398CE523778}"/>
    <cellStyle name="Comma 4 4 2 7" xfId="10574" xr:uid="{D162731F-8A39-4B85-9134-9DCA901848F7}"/>
    <cellStyle name="Comma 4 4 2 7 2" xfId="14939" xr:uid="{9D87967A-E1ED-4EBB-9C52-50DE72BBAB78}"/>
    <cellStyle name="Comma 4 4 2 7 2 2" xfId="22486" xr:uid="{9C9D4B71-9DB2-4977-835B-8799343A2082}"/>
    <cellStyle name="Comma 4 4 2 7 2 3" xfId="48537" xr:uid="{3272FCB3-E684-4706-AAF6-1BE818DC3F57}"/>
    <cellStyle name="Comma 4 4 2 7 2 4" xfId="51824" xr:uid="{E7E52F80-B288-4BE4-99AB-D1FA13377350}"/>
    <cellStyle name="Comma 4 4 2 7 2 5" xfId="54840" xr:uid="{17638CF1-FAB8-4D34-BEDA-F495161A7669}"/>
    <cellStyle name="Comma 4 4 2 7 3" xfId="15424" xr:uid="{5C7F2E52-71F5-4AC0-8197-FEBCCA3BAB56}"/>
    <cellStyle name="Comma 4 4 2 7 3 2" xfId="22963" xr:uid="{DAC2F65B-C78F-44AE-8536-F1A6D68FEBA4}"/>
    <cellStyle name="Comma 4 4 2 7 3 3" xfId="47670" xr:uid="{56426F44-BF52-44C9-B17A-8D32D8A1CF68}"/>
    <cellStyle name="Comma 4 4 2 7 3 4" xfId="52301" xr:uid="{521AE701-34B7-4B16-9EDF-51A094E36214}"/>
    <cellStyle name="Comma 4 4 2 7 3 5" xfId="55317" xr:uid="{A3748E5C-069B-4492-ABBB-8EA92A3C43B7}"/>
    <cellStyle name="Comma 4 4 2 7 4" xfId="15912" xr:uid="{0C4B6FB0-AB07-4AFF-90D2-191FBE8FA8CF}"/>
    <cellStyle name="Comma 4 4 2 7 4 2" xfId="23440" xr:uid="{0575A322-D3E3-4A67-9F6E-393893F2977F}"/>
    <cellStyle name="Comma 4 4 2 7 4 3" xfId="48137" xr:uid="{B2D57399-2E80-416C-ABFE-D2693F20E2D3}"/>
    <cellStyle name="Comma 4 4 2 7 4 4" xfId="52778" xr:uid="{D4E31AFE-E329-40A4-B032-F5F27AC46E80}"/>
    <cellStyle name="Comma 4 4 2 7 4 5" xfId="55794" xr:uid="{C2C40670-5424-4985-9CCC-93C6D5A17E00}"/>
    <cellStyle name="Comma 4 4 2 7 5" xfId="13027" xr:uid="{1BEB345C-4F3B-4009-ACA5-98C896E84B61}"/>
    <cellStyle name="Comma 4 4 2 7 5 2" xfId="48007" xr:uid="{459940F7-E17E-4BF4-8BE1-24D657AC35A1}"/>
    <cellStyle name="Comma 4 4 2 7 5 3" xfId="51347" xr:uid="{7EFCBE25-1D06-44BC-8982-62DB945878E8}"/>
    <cellStyle name="Comma 4 4 2 7 5 4" xfId="54363" xr:uid="{55460D50-CD0A-467D-89F3-9B26C6FA5AA0}"/>
    <cellStyle name="Comma 4 4 2 7 6" xfId="46151" xr:uid="{E9A5AD4B-60E8-4BED-A443-C2C0162FD391}"/>
    <cellStyle name="Comma 4 4 2 7 7" xfId="50241" xr:uid="{5B420B02-A115-4050-BA54-BA1D0C75415C}"/>
    <cellStyle name="Comma 4 4 2 7 8" xfId="53257" xr:uid="{02449920-8059-4DDF-B84C-A6F1E386B944}"/>
    <cellStyle name="Comma 4 4 2 8" xfId="14515" xr:uid="{73DF8225-FF27-4423-B818-A892AACEB2CD}"/>
    <cellStyle name="Comma 4 4 2 8 2" xfId="22062" xr:uid="{E76A7019-DEDE-4F8E-9F55-BBD8D25106CB}"/>
    <cellStyle name="Comma 4 4 2 8 3" xfId="48205" xr:uid="{16D111B1-9FE5-4615-9658-0088A6CC0E28}"/>
    <cellStyle name="Comma 4 4 2 8 4" xfId="51400" xr:uid="{58C7D9E2-1FEB-4467-8407-3924B9795719}"/>
    <cellStyle name="Comma 4 4 2 8 5" xfId="54416" xr:uid="{FBB24449-D77F-49E6-83DD-5B0D787159E5}"/>
    <cellStyle name="Comma 4 4 2 9" xfId="14999" xr:uid="{F6DC5ACB-D79A-46F5-86EE-2CF45593A24A}"/>
    <cellStyle name="Comma 4 4 2 9 2" xfId="22539" xr:uid="{EED783ED-1D94-413C-BCCE-CF9219FFAB10}"/>
    <cellStyle name="Comma 4 4 2 9 3" xfId="47488" xr:uid="{910147D7-4879-4382-840C-A7DB372C5E09}"/>
    <cellStyle name="Comma 4 4 2 9 4" xfId="51877" xr:uid="{74E46F50-1135-41EC-B497-053895C8D00C}"/>
    <cellStyle name="Comma 4 4 2 9 5" xfId="54893" xr:uid="{424D8B97-CBD1-4D0F-A7A8-D7B3A5A234E9}"/>
    <cellStyle name="Comma 4 4 3" xfId="8942" xr:uid="{BEB6663C-3A61-48A8-AF5E-E2AA01B77A5B}"/>
    <cellStyle name="Comma 4 4 3 10" xfId="11123" xr:uid="{EE42462E-3F4F-4672-B723-DA0CAF0354C9}"/>
    <cellStyle name="Comma 4 4 3 10 2" xfId="47157" xr:uid="{9A9BA943-CF67-4874-98B0-008B0337C9DB}"/>
    <cellStyle name="Comma 4 4 3 10 3" xfId="50690" xr:uid="{2FFDB2A1-16D3-4FD5-82ED-77FBE8C6D3BC}"/>
    <cellStyle name="Comma 4 4 3 10 4" xfId="53706" xr:uid="{6E7610EF-CF08-4F1A-85B1-133531C9373E}"/>
    <cellStyle name="Comma 4 4 3 11" xfId="23771" xr:uid="{316CBB92-1282-483C-B26B-713A6E8468CF}"/>
    <cellStyle name="Comma 4 4 3 12" xfId="48652" xr:uid="{B906B726-9518-4BE6-A24D-89318D7559B8}"/>
    <cellStyle name="Comma 4 4 3 13" xfId="49560" xr:uid="{1B7AA6F3-4098-4CDF-BC6F-2D12BBDA8AF7}"/>
    <cellStyle name="Comma 4 4 3 14" xfId="49819" xr:uid="{FB212C14-8628-42D0-B004-FD4417AAD28A}"/>
    <cellStyle name="Comma 4 4 3 15" xfId="52834" xr:uid="{695CF957-26EB-4519-81D3-2245A7787C0D}"/>
    <cellStyle name="Comma 4 4 3 2" xfId="10029" xr:uid="{09B1E03A-D81E-452E-A711-0A3108AD97C8}"/>
    <cellStyle name="Comma 4 4 3 2 2" xfId="10337" xr:uid="{31B07A54-6F1F-4E19-B891-1A09603FFC4E}"/>
    <cellStyle name="Comma 4 4 3 2 2 2" xfId="14782" xr:uid="{0A0BF64F-D1B4-4F87-ADF4-56EA159885EE}"/>
    <cellStyle name="Comma 4 4 3 2 2 2 2" xfId="22329" xr:uid="{037ED473-6A58-4AF0-BFDA-8AF5FCCA895D}"/>
    <cellStyle name="Comma 4 4 3 2 2 2 3" xfId="47965" xr:uid="{88B202EC-FA0E-4744-BF20-13336A4BD0B2}"/>
    <cellStyle name="Comma 4 4 3 2 2 2 4" xfId="51667" xr:uid="{28B2B644-6C0E-4175-B1A7-098712584D6F}"/>
    <cellStyle name="Comma 4 4 3 2 2 2 5" xfId="54683" xr:uid="{6B86B90B-E78B-45BE-840A-75A7CF245CD4}"/>
    <cellStyle name="Comma 4 4 3 2 2 3" xfId="15267" xr:uid="{549464BF-A4F7-4F70-B8F6-1F8525893CA1}"/>
    <cellStyle name="Comma 4 4 3 2 2 3 2" xfId="22806" xr:uid="{30C65B78-AB8F-4AE5-8359-4298EB4F173C}"/>
    <cellStyle name="Comma 4 4 3 2 2 3 3" xfId="47491" xr:uid="{CF71E408-FF77-43F3-B0DE-2E62E399CAE2}"/>
    <cellStyle name="Comma 4 4 3 2 2 3 4" xfId="52144" xr:uid="{255B0026-5C5D-4156-B37D-A13FB33B0701}"/>
    <cellStyle name="Comma 4 4 3 2 2 3 5" xfId="55160" xr:uid="{645F55D0-BF7D-4BEA-816C-081E013FD8DB}"/>
    <cellStyle name="Comma 4 4 3 2 2 4" xfId="15754" xr:uid="{BA2C6CB0-4F3A-435E-8FC5-714387D749A5}"/>
    <cellStyle name="Comma 4 4 3 2 2 4 2" xfId="23283" xr:uid="{C8A8F8B9-3FBC-4BE4-899F-7C545E1AD7BA}"/>
    <cellStyle name="Comma 4 4 3 2 2 4 3" xfId="48229" xr:uid="{5490E633-7FE2-443E-BDCC-5ED1B281312D}"/>
    <cellStyle name="Comma 4 4 3 2 2 4 4" xfId="52621" xr:uid="{32929176-2F7C-4D9B-A3D5-A08C37AD5A92}"/>
    <cellStyle name="Comma 4 4 3 2 2 4 5" xfId="55637" xr:uid="{EA6375D2-3E50-4419-B5EA-9C044B088F9C}"/>
    <cellStyle name="Comma 4 4 3 2 2 5" xfId="12790" xr:uid="{A3551BE0-2239-404E-832D-DE01E1444F87}"/>
    <cellStyle name="Comma 4 4 3 2 2 5 2" xfId="47920" xr:uid="{FF5EFEDB-F6BC-475A-A669-082F7EC61252}"/>
    <cellStyle name="Comma 4 4 3 2 2 5 3" xfId="51190" xr:uid="{1A885DEA-A9C8-4689-BFD2-A516DCBFD269}"/>
    <cellStyle name="Comma 4 4 3 2 2 5 4" xfId="54206" xr:uid="{BF3760BA-8225-433E-90DF-00A2474B2E62}"/>
    <cellStyle name="Comma 4 4 3 2 2 6" xfId="47653" xr:uid="{F0E6896E-105C-4508-BEA8-3175459D49EB}"/>
    <cellStyle name="Comma 4 4 3 2 2 7" xfId="50084" xr:uid="{81CBA1F1-9B78-45C7-9096-CFF06F6C6A66}"/>
    <cellStyle name="Comma 4 4 3 2 2 8" xfId="53100" xr:uid="{5C46A712-D56C-4275-8EFE-7419D14647F0}"/>
    <cellStyle name="Comma 4 4 3 2 3" xfId="14570" xr:uid="{46A875E7-60B3-46AC-992F-F608EC77ACE2}"/>
    <cellStyle name="Comma 4 4 3 2 3 2" xfId="22117" xr:uid="{4340D734-74AC-4017-BAFE-EA5A46FB4D09}"/>
    <cellStyle name="Comma 4 4 3 2 3 3" xfId="46399" xr:uid="{847D63E5-4BE3-4023-AE74-4FD1492001B6}"/>
    <cellStyle name="Comma 4 4 3 2 3 4" xfId="51455" xr:uid="{FEDAFC79-79F0-4C46-A600-5DB27E6FE1E9}"/>
    <cellStyle name="Comma 4 4 3 2 3 5" xfId="54471" xr:uid="{CE3D5639-AC9C-4595-8A36-2F5358773583}"/>
    <cellStyle name="Comma 4 4 3 2 4" xfId="15054" xr:uid="{49EAFC9B-4A8B-4B89-A254-D8126C0537B5}"/>
    <cellStyle name="Comma 4 4 3 2 4 2" xfId="22594" xr:uid="{9CF36788-E71A-4E32-9EC3-911282ABE829}"/>
    <cellStyle name="Comma 4 4 3 2 4 3" xfId="24748" xr:uid="{6F4916E7-241C-47E0-8056-D7AC38417A2C}"/>
    <cellStyle name="Comma 4 4 3 2 4 4" xfId="51932" xr:uid="{D20DFF7F-64DE-44DE-9FE4-1BE60D43DE31}"/>
    <cellStyle name="Comma 4 4 3 2 4 5" xfId="54948" xr:uid="{D104E554-A87A-4411-A6B4-6787225F2764}"/>
    <cellStyle name="Comma 4 4 3 2 5" xfId="15541" xr:uid="{C429FE40-E227-488F-86C6-5BAAC970CD67}"/>
    <cellStyle name="Comma 4 4 3 2 5 2" xfId="23071" xr:uid="{6D54367E-155E-4FDE-A180-6926AE9886B7}"/>
    <cellStyle name="Comma 4 4 3 2 5 3" xfId="48365" xr:uid="{127CCE5E-6550-47C2-8224-88829F313583}"/>
    <cellStyle name="Comma 4 4 3 2 5 4" xfId="52409" xr:uid="{D4765D47-B6AD-44D7-AB5C-5D8BC8A8B062}"/>
    <cellStyle name="Comma 4 4 3 2 5 5" xfId="55425" xr:uid="{A7032377-9F69-4921-97E4-B7B05EC49102}"/>
    <cellStyle name="Comma 4 4 3 2 6" xfId="12489" xr:uid="{77E6D95A-8755-4DA1-8619-C79E75F29512}"/>
    <cellStyle name="Comma 4 4 3 2 6 2" xfId="46759" xr:uid="{519A099A-24A7-4DCC-93C0-59D1ECF5BBE5}"/>
    <cellStyle name="Comma 4 4 3 2 6 3" xfId="50978" xr:uid="{3BB7CCA7-7A93-47C7-A33A-0F0644D04E92}"/>
    <cellStyle name="Comma 4 4 3 2 6 4" xfId="53994" xr:uid="{0D1AF60B-4C4A-4DD3-AD85-7A7B43DC88CD}"/>
    <cellStyle name="Comma 4 4 3 2 7" xfId="47573" xr:uid="{457D11B4-91A0-409A-9C3A-427E7FBCEF54}"/>
    <cellStyle name="Comma 4 4 3 2 8" xfId="49872" xr:uid="{7499C6CB-FFDA-4798-9E09-5E07D41622AF}"/>
    <cellStyle name="Comma 4 4 3 2 9" xfId="52888" xr:uid="{BBD79687-FE92-4002-8103-9B5B07EFBB3C}"/>
    <cellStyle name="Comma 4 4 3 3" xfId="10103" xr:uid="{93D06586-6855-4233-9954-D05488ACECB5}"/>
    <cellStyle name="Comma 4 4 3 3 2" xfId="10416" xr:uid="{4F053F38-BC84-4F18-9018-785066129A54}"/>
    <cellStyle name="Comma 4 4 3 3 2 2" xfId="14835" xr:uid="{507DD6D0-2AF5-4223-A515-7FD2F8FCA3D7}"/>
    <cellStyle name="Comma 4 4 3 3 2 2 2" xfId="22382" xr:uid="{4618F0E5-63DD-4AD9-9FA1-CD05E0CD182D}"/>
    <cellStyle name="Comma 4 4 3 3 2 2 3" xfId="46867" xr:uid="{B6CEC866-F3A8-4DC1-8490-2CB61401800C}"/>
    <cellStyle name="Comma 4 4 3 3 2 2 4" xfId="51720" xr:uid="{A3DAAB53-7B4D-4A0D-B280-7F0415E167E4}"/>
    <cellStyle name="Comma 4 4 3 3 2 2 5" xfId="54736" xr:uid="{F0196706-66A3-4D1D-9E4F-04228150232D}"/>
    <cellStyle name="Comma 4 4 3 3 2 3" xfId="15320" xr:uid="{F10C2440-801D-45C9-9F5A-982B3F4531D7}"/>
    <cellStyle name="Comma 4 4 3 3 2 3 2" xfId="22859" xr:uid="{5B530DED-6827-484C-BBA8-3566EF34B284}"/>
    <cellStyle name="Comma 4 4 3 3 2 3 3" xfId="47717" xr:uid="{7A089532-08CA-4788-8E24-965C01E0A43B}"/>
    <cellStyle name="Comma 4 4 3 3 2 3 4" xfId="52197" xr:uid="{70DBE788-A25D-4ED6-B7FD-7BC63678BFA7}"/>
    <cellStyle name="Comma 4 4 3 3 2 3 5" xfId="55213" xr:uid="{2187232D-083F-4E9D-A891-C2ECA0BE3B30}"/>
    <cellStyle name="Comma 4 4 3 3 2 4" xfId="15807" xr:uid="{921CB59F-6A12-4490-A86B-1891296F7C82}"/>
    <cellStyle name="Comma 4 4 3 3 2 4 2" xfId="23336" xr:uid="{86645795-DC8B-43F9-A070-EA9C8663D324}"/>
    <cellStyle name="Comma 4 4 3 3 2 4 3" xfId="47849" xr:uid="{BB990BEE-DF0A-4B28-B671-3792BBDDFAE8}"/>
    <cellStyle name="Comma 4 4 3 3 2 4 4" xfId="52674" xr:uid="{8973A484-E3E0-4F5D-BD39-F727099B8D28}"/>
    <cellStyle name="Comma 4 4 3 3 2 4 5" xfId="55690" xr:uid="{8758B59F-9715-480C-B1C2-8E79BDFE6564}"/>
    <cellStyle name="Comma 4 4 3 3 2 5" xfId="12869" xr:uid="{80CED840-2098-469B-9E73-9B2B9B4C6327}"/>
    <cellStyle name="Comma 4 4 3 3 2 5 2" xfId="46807" xr:uid="{E2D623BD-4C6B-41BE-AFB8-C5C3C06122C9}"/>
    <cellStyle name="Comma 4 4 3 3 2 5 3" xfId="51243" xr:uid="{DE8899FB-5AB5-4544-A83D-3B1DD83B6CCF}"/>
    <cellStyle name="Comma 4 4 3 3 2 5 4" xfId="54259" xr:uid="{45D1D2D7-30C2-4348-8047-51CCE29F97D3}"/>
    <cellStyle name="Comma 4 4 3 3 2 6" xfId="46117" xr:uid="{B3B40948-B75D-4760-BB33-052D313B1315}"/>
    <cellStyle name="Comma 4 4 3 3 2 7" xfId="50137" xr:uid="{C985A81F-7A39-4858-8189-167CBE4EE5B1}"/>
    <cellStyle name="Comma 4 4 3 3 2 8" xfId="53153" xr:uid="{9DA2A6C9-7F4E-4419-953C-21923536FAAE}"/>
    <cellStyle name="Comma 4 4 3 3 3" xfId="14623" xr:uid="{30948318-5DA6-4A13-96E0-EF113E98A404}"/>
    <cellStyle name="Comma 4 4 3 3 3 2" xfId="22170" xr:uid="{49FA5E0E-7302-4A7E-B5A4-B9897C5A82E1}"/>
    <cellStyle name="Comma 4 4 3 3 3 3" xfId="46410" xr:uid="{F5863238-BF7B-4B3A-A4CF-A7759C4C10A6}"/>
    <cellStyle name="Comma 4 4 3 3 3 4" xfId="51508" xr:uid="{63F2E0D1-E717-4326-B83D-FE19EDF2957D}"/>
    <cellStyle name="Comma 4 4 3 3 3 5" xfId="54524" xr:uid="{B132B37F-4FF3-4016-BEA0-37EF2BB437D2}"/>
    <cellStyle name="Comma 4 4 3 3 4" xfId="15108" xr:uid="{282F438E-986F-48E9-914C-75413A2B8CC5}"/>
    <cellStyle name="Comma 4 4 3 3 4 2" xfId="22647" xr:uid="{2B1CD46A-DDD9-4200-98FF-FE213E261735}"/>
    <cellStyle name="Comma 4 4 3 3 4 3" xfId="48124" xr:uid="{CE549C2E-D23F-417E-81E5-9ED2C5F303A3}"/>
    <cellStyle name="Comma 4 4 3 3 4 4" xfId="51985" xr:uid="{A8697FDC-B8FA-405B-A159-7BB42A7AC217}"/>
    <cellStyle name="Comma 4 4 3 3 4 5" xfId="55001" xr:uid="{F1B3356B-1536-4FF9-9004-5D76835C55CD}"/>
    <cellStyle name="Comma 4 4 3 3 5" xfId="15595" xr:uid="{052C73BC-C767-45E5-8AD3-0FB57755FAC6}"/>
    <cellStyle name="Comma 4 4 3 3 5 2" xfId="23124" xr:uid="{CB34C819-A185-44B3-A7B7-C59568973276}"/>
    <cellStyle name="Comma 4 4 3 3 5 3" xfId="47253" xr:uid="{798BA22C-BDD3-4EB2-B3D8-57B3C21643AB}"/>
    <cellStyle name="Comma 4 4 3 3 5 4" xfId="52462" xr:uid="{E7038CD4-17DE-4773-8D91-0EC5BC3164D6}"/>
    <cellStyle name="Comma 4 4 3 3 5 5" xfId="55478" xr:uid="{5DE855FF-A5A6-44C3-8516-F888318F0961}"/>
    <cellStyle name="Comma 4 4 3 3 6" xfId="12560" xr:uid="{15C074B2-79C0-4C52-84D7-FA80F3226906}"/>
    <cellStyle name="Comma 4 4 3 3 6 2" xfId="48489" xr:uid="{C3C0F9A8-0663-4699-9B47-42A2AB2956F9}"/>
    <cellStyle name="Comma 4 4 3 3 6 3" xfId="51031" xr:uid="{FA8F9EC5-14A2-444C-94F9-C2420D144DDA}"/>
    <cellStyle name="Comma 4 4 3 3 6 4" xfId="54047" xr:uid="{CA1C5F6C-3EDA-41D0-88C1-1BFD52D3A361}"/>
    <cellStyle name="Comma 4 4 3 3 7" xfId="47276" xr:uid="{623A359F-23ED-4C1B-910A-DC2BED9605AE}"/>
    <cellStyle name="Comma 4 4 3 3 8" xfId="49925" xr:uid="{EC583945-9856-4915-9369-979BDBA56095}"/>
    <cellStyle name="Comma 4 4 3 3 9" xfId="52941" xr:uid="{827738A7-8209-49F2-A0F5-9D92E5399424}"/>
    <cellStyle name="Comma 4 4 3 4" xfId="10182" xr:uid="{50CF7012-1CFD-4BA5-80E1-4802F6E0741E}"/>
    <cellStyle name="Comma 4 4 3 4 2" xfId="10496" xr:uid="{861A50FA-57C6-44A9-A710-5487EC48C7A9}"/>
    <cellStyle name="Comma 4 4 3 4 2 2" xfId="14888" xr:uid="{56C03E08-6444-4E5D-898C-775E4359E6C3}"/>
    <cellStyle name="Comma 4 4 3 4 2 2 2" xfId="22435" xr:uid="{E32AB3D7-EECB-4EDE-8BCF-E39B1157FE05}"/>
    <cellStyle name="Comma 4 4 3 4 2 2 3" xfId="24186" xr:uid="{EED17106-6D7F-464D-B637-912469E25913}"/>
    <cellStyle name="Comma 4 4 3 4 2 2 4" xfId="51773" xr:uid="{5A6F31AE-2625-4D1B-938F-0F4F8DA06733}"/>
    <cellStyle name="Comma 4 4 3 4 2 2 5" xfId="54789" xr:uid="{279EAF18-852A-4FF2-836B-661DF8A463CF}"/>
    <cellStyle name="Comma 4 4 3 4 2 3" xfId="15373" xr:uid="{6E894DB5-B165-497C-BB0E-63E68B61BAA0}"/>
    <cellStyle name="Comma 4 4 3 4 2 3 2" xfId="22912" xr:uid="{EAFFB2D4-5662-44A2-BFD7-D5198A1C1B01}"/>
    <cellStyle name="Comma 4 4 3 4 2 3 3" xfId="47639" xr:uid="{E13C2DA3-FCEA-4AA1-89B2-42B5416EB4C4}"/>
    <cellStyle name="Comma 4 4 3 4 2 3 4" xfId="52250" xr:uid="{27BA568D-C185-4277-8AC1-B9DE239E3275}"/>
    <cellStyle name="Comma 4 4 3 4 2 3 5" xfId="55266" xr:uid="{0DEA15FF-682A-40E9-92B1-06CCB85897CF}"/>
    <cellStyle name="Comma 4 4 3 4 2 4" xfId="15860" xr:uid="{83635B32-6EF9-4914-B861-94D973B94163}"/>
    <cellStyle name="Comma 4 4 3 4 2 4 2" xfId="23389" xr:uid="{7580CA5E-4D9D-437A-AC70-91E5185141FB}"/>
    <cellStyle name="Comma 4 4 3 4 2 4 3" xfId="48524" xr:uid="{07FA46E9-5991-4100-ABC7-A2D5D6AF8DF7}"/>
    <cellStyle name="Comma 4 4 3 4 2 4 4" xfId="52727" xr:uid="{08D83DEB-3ABB-41B8-82FE-2193E0FA6A06}"/>
    <cellStyle name="Comma 4 4 3 4 2 4 5" xfId="55743" xr:uid="{3ECD7B1A-239B-4546-A27F-FA44A111AC20}"/>
    <cellStyle name="Comma 4 4 3 4 2 5" xfId="12949" xr:uid="{9800BE6C-D0DE-4FA9-9FAF-B73CA1CCAC82}"/>
    <cellStyle name="Comma 4 4 3 4 2 5 2" xfId="47400" xr:uid="{F056338A-0296-4E9C-AF87-B62EDC86A109}"/>
    <cellStyle name="Comma 4 4 3 4 2 5 3" xfId="51296" xr:uid="{231AEBF0-6ED1-4324-A328-0C81EF346247}"/>
    <cellStyle name="Comma 4 4 3 4 2 5 4" xfId="54312" xr:uid="{99FCEC39-CDB1-4B39-9376-12143AAE48CF}"/>
    <cellStyle name="Comma 4 4 3 4 2 6" xfId="32301" xr:uid="{21C65739-1E9A-4382-BA4B-DE3D4BA6467D}"/>
    <cellStyle name="Comma 4 4 3 4 2 7" xfId="50190" xr:uid="{DEDED29D-6451-4753-9D68-7D8322997E86}"/>
    <cellStyle name="Comma 4 4 3 4 2 8" xfId="53206" xr:uid="{6BAEF8EC-D876-4E34-82C1-F48FF9B982BB}"/>
    <cellStyle name="Comma 4 4 3 4 3" xfId="14676" xr:uid="{CC1FD4FB-EDA5-4E56-9B14-FC2585FAA25B}"/>
    <cellStyle name="Comma 4 4 3 4 3 2" xfId="22223" xr:uid="{19ED5808-52A3-44FA-BFD9-10EF6635E1E2}"/>
    <cellStyle name="Comma 4 4 3 4 3 3" xfId="47771" xr:uid="{1FE17549-A775-44E6-839B-E61DE066BA72}"/>
    <cellStyle name="Comma 4 4 3 4 3 4" xfId="51561" xr:uid="{BF56581D-5F0E-4196-B7E1-4AEE350106F1}"/>
    <cellStyle name="Comma 4 4 3 4 3 5" xfId="54577" xr:uid="{EFBF8BEF-7118-45EB-8256-A31974AC38F3}"/>
    <cellStyle name="Comma 4 4 3 4 4" xfId="15161" xr:uid="{788F92DA-5235-47E4-8D75-7ACA205A1D53}"/>
    <cellStyle name="Comma 4 4 3 4 4 2" xfId="22700" xr:uid="{22F441D3-9387-466D-98FB-C66970F3FB0A}"/>
    <cellStyle name="Comma 4 4 3 4 4 3" xfId="47391" xr:uid="{EC749A44-F6BF-469B-9A14-2ACC5A53E887}"/>
    <cellStyle name="Comma 4 4 3 4 4 4" xfId="52038" xr:uid="{3DA43D50-5B84-42F1-A418-BD94662F8BA8}"/>
    <cellStyle name="Comma 4 4 3 4 4 5" xfId="55054" xr:uid="{388CDC64-FD3B-41EE-8636-C2D3A55D13C5}"/>
    <cellStyle name="Comma 4 4 3 4 5" xfId="15648" xr:uid="{2C354003-A537-47AA-A670-66988C0B0469}"/>
    <cellStyle name="Comma 4 4 3 4 5 2" xfId="23177" xr:uid="{1FA9B077-8632-4250-A897-1089701F64BC}"/>
    <cellStyle name="Comma 4 4 3 4 5 3" xfId="46564" xr:uid="{2BD8180B-275D-47D4-954A-B9FAEE2D1538}"/>
    <cellStyle name="Comma 4 4 3 4 5 4" xfId="52515" xr:uid="{C74B53EE-B36A-4BC1-875E-5206D4C537D8}"/>
    <cellStyle name="Comma 4 4 3 4 5 5" xfId="55531" xr:uid="{6BB44F59-4C4D-4160-8BE5-8B4EB1BD65DA}"/>
    <cellStyle name="Comma 4 4 3 4 6" xfId="12636" xr:uid="{3B6A83B7-7167-4712-AF2D-63EFA5FCACA2}"/>
    <cellStyle name="Comma 4 4 3 4 6 2" xfId="47988" xr:uid="{53E90FB0-F1C7-42E4-BEC4-74E307CAD84F}"/>
    <cellStyle name="Comma 4 4 3 4 6 3" xfId="51084" xr:uid="{4DD5643B-1A70-4D04-9893-50B25EA791D3}"/>
    <cellStyle name="Comma 4 4 3 4 6 4" xfId="54100" xr:uid="{37E712EE-C9F1-4F0D-BBAA-8B7CC1CD53B8}"/>
    <cellStyle name="Comma 4 4 3 4 7" xfId="46062" xr:uid="{BA015E32-28A2-49D2-9439-1F2FC0BCFFD0}"/>
    <cellStyle name="Comma 4 4 3 4 8" xfId="49978" xr:uid="{4932C109-F017-4E1E-BCCD-CBFBF6BF07F9}"/>
    <cellStyle name="Comma 4 4 3 4 9" xfId="52994" xr:uid="{67118F24-2291-4AE8-9955-FC1F5AB39D37}"/>
    <cellStyle name="Comma 4 4 3 5" xfId="10262" xr:uid="{1C05698B-6927-41F5-A806-BB1A38C30F5C}"/>
    <cellStyle name="Comma 4 4 3 5 2" xfId="14729" xr:uid="{CD8DF229-6C90-481B-A2A2-839C96CA5B77}"/>
    <cellStyle name="Comma 4 4 3 5 2 2" xfId="22276" xr:uid="{5ADAA247-2C23-4764-AF7A-76C61667A936}"/>
    <cellStyle name="Comma 4 4 3 5 2 3" xfId="48407" xr:uid="{145AB729-3581-468E-ABDA-A2D470CDA472}"/>
    <cellStyle name="Comma 4 4 3 5 2 4" xfId="51614" xr:uid="{A2A495DA-C01C-4232-8A6A-612A331F03C8}"/>
    <cellStyle name="Comma 4 4 3 5 2 5" xfId="54630" xr:uid="{3EE07893-7EBB-479B-B3E8-B4B251EB9A17}"/>
    <cellStyle name="Comma 4 4 3 5 3" xfId="15214" xr:uid="{EE2A8E6B-76AE-42F8-9C5C-BF4F04834E90}"/>
    <cellStyle name="Comma 4 4 3 5 3 2" xfId="22753" xr:uid="{26F85157-5CE8-4B79-9C80-250495CCB30E}"/>
    <cellStyle name="Comma 4 4 3 5 3 3" xfId="46496" xr:uid="{9FBF19BE-B2E9-42F4-8CF2-A48764CF9DC6}"/>
    <cellStyle name="Comma 4 4 3 5 3 4" xfId="52091" xr:uid="{A07BAE42-2C66-4246-8D1C-DF42373AA4AB}"/>
    <cellStyle name="Comma 4 4 3 5 3 5" xfId="55107" xr:uid="{6DF6A400-E952-4CA7-888B-97FD343FECE8}"/>
    <cellStyle name="Comma 4 4 3 5 4" xfId="15701" xr:uid="{56C79256-6E44-4AE6-A55B-396C76FAC682}"/>
    <cellStyle name="Comma 4 4 3 5 4 2" xfId="23230" xr:uid="{212BC880-1B8B-4BDE-9B41-A34191D1F6C2}"/>
    <cellStyle name="Comma 4 4 3 5 4 3" xfId="47395" xr:uid="{6AC37900-A028-4B88-ACB3-6EE8F0DBBC8B}"/>
    <cellStyle name="Comma 4 4 3 5 4 4" xfId="52568" xr:uid="{8581FE77-C4B9-4143-8315-7B545605611D}"/>
    <cellStyle name="Comma 4 4 3 5 4 5" xfId="55584" xr:uid="{48E5C3EF-3E37-4AA4-B6B3-B99796D9AEC1}"/>
    <cellStyle name="Comma 4 4 3 5 5" xfId="12715" xr:uid="{B076A414-0BCA-40C0-A923-6FA039D901D0}"/>
    <cellStyle name="Comma 4 4 3 5 5 2" xfId="47168" xr:uid="{B0BA6449-69AD-46E0-B38E-80DED63BEC52}"/>
    <cellStyle name="Comma 4 4 3 5 5 3" xfId="51137" xr:uid="{7D5A64B9-63D4-4979-B97B-FC0FB1431C0C}"/>
    <cellStyle name="Comma 4 4 3 5 5 4" xfId="54153" xr:uid="{EEB83904-FF98-4994-91DA-35658B5BE54A}"/>
    <cellStyle name="Comma 4 4 3 5 6" xfId="32278" xr:uid="{1BF9FD75-44D1-4484-ADF4-54FACA588C66}"/>
    <cellStyle name="Comma 4 4 3 5 7" xfId="50031" xr:uid="{C8B99CC6-1E23-4DEB-B416-586617773522}"/>
    <cellStyle name="Comma 4 4 3 5 8" xfId="53047" xr:uid="{DBB32642-6B35-4CBE-ACF8-E73EF2B167FF}"/>
    <cellStyle name="Comma 4 4 3 6" xfId="10576" xr:uid="{9CB2B27D-2063-4A6E-A1A1-8663D0E431A7}"/>
    <cellStyle name="Comma 4 4 3 6 2" xfId="14941" xr:uid="{D14BE5ED-15D2-435C-B03F-55470BF0AC9F}"/>
    <cellStyle name="Comma 4 4 3 6 2 2" xfId="22488" xr:uid="{A0380018-862E-4470-A473-645F0B125B69}"/>
    <cellStyle name="Comma 4 4 3 6 2 3" xfId="47027" xr:uid="{5CD1DE12-B19C-4751-926C-65C8C7F97E56}"/>
    <cellStyle name="Comma 4 4 3 6 2 4" xfId="51826" xr:uid="{4A4B28C9-3F4A-43ED-A381-37C1EDD70BC7}"/>
    <cellStyle name="Comma 4 4 3 6 2 5" xfId="54842" xr:uid="{42A39B7E-A3AE-42F5-A8A0-7A14BF5582A4}"/>
    <cellStyle name="Comma 4 4 3 6 3" xfId="15426" xr:uid="{C715FD19-CCE1-408D-ADC6-53D48BCC8674}"/>
    <cellStyle name="Comma 4 4 3 6 3 2" xfId="22965" xr:uid="{0698DD71-E868-4385-93C9-A952307E41AA}"/>
    <cellStyle name="Comma 4 4 3 6 3 3" xfId="25288" xr:uid="{00050690-A535-456F-AD6A-8686B769E636}"/>
    <cellStyle name="Comma 4 4 3 6 3 4" xfId="52303" xr:uid="{5ED3B4CF-81B7-4EAE-93EF-53855E75A43F}"/>
    <cellStyle name="Comma 4 4 3 6 3 5" xfId="55319" xr:uid="{5CCB1DE1-B780-42A7-8AF6-DB199BEE2E23}"/>
    <cellStyle name="Comma 4 4 3 6 4" xfId="15914" xr:uid="{9B97E999-895B-4851-B7FC-CE2D4F0213A4}"/>
    <cellStyle name="Comma 4 4 3 6 4 2" xfId="23442" xr:uid="{EDEB8ABD-3145-4E4E-AE81-0F614F004E9D}"/>
    <cellStyle name="Comma 4 4 3 6 4 3" xfId="48086" xr:uid="{F3FFD7DC-C5D2-4D27-99E1-6E2F9B5DC8FE}"/>
    <cellStyle name="Comma 4 4 3 6 4 4" xfId="52780" xr:uid="{AD625542-FDBB-4110-861D-22A877D67186}"/>
    <cellStyle name="Comma 4 4 3 6 4 5" xfId="55796" xr:uid="{A93EF7B7-2F22-4006-8A34-4D2627DC0BC9}"/>
    <cellStyle name="Comma 4 4 3 6 5" xfId="13029" xr:uid="{81866618-77B8-4BF7-A1A9-8FF3BE3D72B2}"/>
    <cellStyle name="Comma 4 4 3 6 5 2" xfId="34138" xr:uid="{270240B6-6B0A-421B-8F81-FF8A40701A12}"/>
    <cellStyle name="Comma 4 4 3 6 5 3" xfId="51349" xr:uid="{F4056CAD-4C9D-47C5-AF1C-2819DCE9A7E8}"/>
    <cellStyle name="Comma 4 4 3 6 5 4" xfId="54365" xr:uid="{DB26EB21-A7A9-421A-A2EB-9E9C207EAFC6}"/>
    <cellStyle name="Comma 4 4 3 6 6" xfId="46153" xr:uid="{4A9C7DB6-49B2-429C-B6E0-12616C4A15F9}"/>
    <cellStyle name="Comma 4 4 3 6 7" xfId="50243" xr:uid="{F9C3656B-9C63-4693-A920-75A0EDD33EA0}"/>
    <cellStyle name="Comma 4 4 3 6 8" xfId="53259" xr:uid="{6646653F-1BB6-4231-AE49-A3DD0948EBAC}"/>
    <cellStyle name="Comma 4 4 3 7" xfId="14517" xr:uid="{B0175149-2FB0-4A27-8F34-6DAEC456E10F}"/>
    <cellStyle name="Comma 4 4 3 7 2" xfId="22064" xr:uid="{9B0DE798-2434-43F7-AEA9-11D52631B70C}"/>
    <cellStyle name="Comma 4 4 3 7 3" xfId="48402" xr:uid="{5A89D03D-65AF-4616-B98C-BAD3FB58F1FA}"/>
    <cellStyle name="Comma 4 4 3 7 4" xfId="51402" xr:uid="{7D4AAC5F-24B5-4AF9-88A7-51EE46D1D3C6}"/>
    <cellStyle name="Comma 4 4 3 7 5" xfId="54418" xr:uid="{3EBC698B-7E5C-4A06-A647-F660F4D32AF6}"/>
    <cellStyle name="Comma 4 4 3 8" xfId="15001" xr:uid="{364F42F3-6EA9-41E1-BB4D-88F9A449E795}"/>
    <cellStyle name="Comma 4 4 3 8 2" xfId="22541" xr:uid="{6B94B1A0-8339-411C-BB87-21F505AE2C69}"/>
    <cellStyle name="Comma 4 4 3 8 3" xfId="46464" xr:uid="{2A334071-3F68-467A-8AC2-D00DE840C0B0}"/>
    <cellStyle name="Comma 4 4 3 8 4" xfId="51879" xr:uid="{4A3A2590-6463-4472-A745-A682A8EAF98C}"/>
    <cellStyle name="Comma 4 4 3 8 5" xfId="54895" xr:uid="{D6E5CFC8-6026-4BCE-9708-F272FEAFC7F7}"/>
    <cellStyle name="Comma 4 4 3 9" xfId="15488" xr:uid="{DDB731DF-1DC0-48AC-A30E-892E29289ECD}"/>
    <cellStyle name="Comma 4 4 3 9 2" xfId="23018" xr:uid="{C245DE69-4712-4A60-9A52-F9B18ED42721}"/>
    <cellStyle name="Comma 4 4 3 9 3" xfId="46539" xr:uid="{AA9A71C1-208C-422C-B180-4FC38C27D1F4}"/>
    <cellStyle name="Comma 4 4 3 9 4" xfId="52356" xr:uid="{1CBE585D-7DAD-4809-97E6-0EA6377BF3BE}"/>
    <cellStyle name="Comma 4 4 3 9 5" xfId="55372" xr:uid="{3C99F36C-666D-4596-9A6F-B330DD9C7D95}"/>
    <cellStyle name="Comma 4 4 4" xfId="10026" xr:uid="{2FA97E19-5B16-4259-B5CE-0A5D41B3EE32}"/>
    <cellStyle name="Comma 4 4 4 2" xfId="10334" xr:uid="{AF49E2B5-8AA9-4026-A70E-4F6D1C77D4F0}"/>
    <cellStyle name="Comma 4 4 4 2 2" xfId="14779" xr:uid="{829DB135-551E-411E-A484-860DB13A28D0}"/>
    <cellStyle name="Comma 4 4 4 2 2 2" xfId="22326" xr:uid="{3A84B87C-C652-458A-ACEE-E39F5DF19259}"/>
    <cellStyle name="Comma 4 4 4 2 2 3" xfId="46680" xr:uid="{B2F4D6DD-63FE-43F9-B1FE-FF347AE38550}"/>
    <cellStyle name="Comma 4 4 4 2 2 4" xfId="51664" xr:uid="{C3004070-DAD7-4A00-9E0C-D27AC5DDBB6C}"/>
    <cellStyle name="Comma 4 4 4 2 2 5" xfId="54680" xr:uid="{28598306-7D7B-4079-94E2-89C9673AD657}"/>
    <cellStyle name="Comma 4 4 4 2 3" xfId="15264" xr:uid="{5BBF73CF-90BD-4A2D-9A72-FCA25AB86160}"/>
    <cellStyle name="Comma 4 4 4 2 3 2" xfId="22803" xr:uid="{5DD1B4E8-CFF4-4F9C-A17D-40147670E8B3}"/>
    <cellStyle name="Comma 4 4 4 2 3 3" xfId="48018" xr:uid="{C8E83E5A-53EF-4EE8-B44E-316198257639}"/>
    <cellStyle name="Comma 4 4 4 2 3 4" xfId="52141" xr:uid="{CF42129E-95B8-409D-ADFB-C6483CE98706}"/>
    <cellStyle name="Comma 4 4 4 2 3 5" xfId="55157" xr:uid="{8DA4F557-9680-464C-9804-CE7779982ED9}"/>
    <cellStyle name="Comma 4 4 4 2 4" xfId="15751" xr:uid="{FFE261A7-47F8-42B5-B960-F17E24DABEC1}"/>
    <cellStyle name="Comma 4 4 4 2 4 2" xfId="23280" xr:uid="{731689B4-B043-495B-BFE6-E63662E93335}"/>
    <cellStyle name="Comma 4 4 4 2 4 3" xfId="32323" xr:uid="{A34AF19D-3719-4865-BBC4-3E88D43992CF}"/>
    <cellStyle name="Comma 4 4 4 2 4 4" xfId="52618" xr:uid="{19C18D1C-90F1-4DFD-93F3-F3B915290B29}"/>
    <cellStyle name="Comma 4 4 4 2 4 5" xfId="55634" xr:uid="{94DA1541-D87A-49EE-BCDA-3CE35F614F81}"/>
    <cellStyle name="Comma 4 4 4 2 5" xfId="12787" xr:uid="{8F363785-CEAE-4BBF-883A-27525CEEB235}"/>
    <cellStyle name="Comma 4 4 4 2 5 2" xfId="47526" xr:uid="{86AE23EE-D4D6-4E63-9CB5-06C32C8666E7}"/>
    <cellStyle name="Comma 4 4 4 2 5 3" xfId="51187" xr:uid="{2CE45D7D-46D2-4294-8FBF-C5902283911F}"/>
    <cellStyle name="Comma 4 4 4 2 5 4" xfId="54203" xr:uid="{5E35AE49-A2C1-4F7F-BB18-E4475F5B354F}"/>
    <cellStyle name="Comma 4 4 4 2 6" xfId="47734" xr:uid="{F9D454C4-01BC-49C4-8678-FC7F6062FA61}"/>
    <cellStyle name="Comma 4 4 4 2 7" xfId="50081" xr:uid="{398E16EC-829F-43D6-9DAE-892B9CA74D90}"/>
    <cellStyle name="Comma 4 4 4 2 8" xfId="53097" xr:uid="{5C15F01D-5282-455E-BDA4-62D62CA26163}"/>
    <cellStyle name="Comma 4 4 4 3" xfId="14567" xr:uid="{F4BC0269-7801-479C-9950-56821F78B049}"/>
    <cellStyle name="Comma 4 4 4 3 2" xfId="22114" xr:uid="{FA74929C-835C-4593-AE78-11F4EEE71889}"/>
    <cellStyle name="Comma 4 4 4 3 3" xfId="46836" xr:uid="{3FC7657F-55D9-48FE-8097-78256C4D6620}"/>
    <cellStyle name="Comma 4 4 4 3 4" xfId="51452" xr:uid="{B0FCD13D-1EA3-46B5-9F64-AFDD9812B963}"/>
    <cellStyle name="Comma 4 4 4 3 5" xfId="54468" xr:uid="{2C437343-64DD-4C08-B2FA-123FC0165DE2}"/>
    <cellStyle name="Comma 4 4 4 4" xfId="15051" xr:uid="{5A98CC6B-4FFD-40A4-8E1C-0214D61D071E}"/>
    <cellStyle name="Comma 4 4 4 4 2" xfId="22591" xr:uid="{64C462B3-B1A6-4070-BB40-DB35936C09AA}"/>
    <cellStyle name="Comma 4 4 4 4 3" xfId="32461" xr:uid="{749844FF-CEFD-4392-B6F7-C704B4F52A88}"/>
    <cellStyle name="Comma 4 4 4 4 4" xfId="51929" xr:uid="{73A91009-DF84-40D2-A578-E5A23D6418E1}"/>
    <cellStyle name="Comma 4 4 4 4 5" xfId="54945" xr:uid="{4C15279E-3D61-45FB-BCE6-096E9120DAC5}"/>
    <cellStyle name="Comma 4 4 4 5" xfId="15538" xr:uid="{6471AE9C-4BA5-4275-86FA-9EEFEE09F19A}"/>
    <cellStyle name="Comma 4 4 4 5 2" xfId="23068" xr:uid="{9BACCD3E-AE67-4DD1-8BB0-A3438AC56999}"/>
    <cellStyle name="Comma 4 4 4 5 3" xfId="48306" xr:uid="{25AD9B63-B2E8-4637-8282-61FCFE10FCB6}"/>
    <cellStyle name="Comma 4 4 4 5 4" xfId="52406" xr:uid="{B71629BE-671F-42D2-8ECE-15276FB494E3}"/>
    <cellStyle name="Comma 4 4 4 5 5" xfId="55422" xr:uid="{6A6F5E87-2D08-4AB7-8E9B-268F1DA8EBF5}"/>
    <cellStyle name="Comma 4 4 4 6" xfId="12486" xr:uid="{A0B473AB-4685-42DA-9B98-DD8A8AFCF46C}"/>
    <cellStyle name="Comma 4 4 4 6 2" xfId="46312" xr:uid="{749E38BC-B924-458A-A8D4-7BA294293D98}"/>
    <cellStyle name="Comma 4 4 4 6 3" xfId="50975" xr:uid="{51C725F5-427F-4DFA-8DED-3B60B97E6EFB}"/>
    <cellStyle name="Comma 4 4 4 6 4" xfId="53991" xr:uid="{FD0C2776-13CC-4FFA-8F81-9FB95421790B}"/>
    <cellStyle name="Comma 4 4 4 7" xfId="46029" xr:uid="{6E986919-6415-4EA1-A53D-86E1338E391A}"/>
    <cellStyle name="Comma 4 4 4 8" xfId="49869" xr:uid="{2FBC616A-65F8-45BF-96CF-667CA3BBE8BF}"/>
    <cellStyle name="Comma 4 4 4 9" xfId="52885" xr:uid="{8C6EFDDF-8482-4E02-8700-103C147811E3}"/>
    <cellStyle name="Comma 4 4 5" xfId="10100" xr:uid="{ED45B3B3-AD77-4A88-ABE6-70CC7EA06E4F}"/>
    <cellStyle name="Comma 4 4 5 2" xfId="10413" xr:uid="{5AAD3FFB-3508-4293-86F1-C4B8C918B8AB}"/>
    <cellStyle name="Comma 4 4 5 2 2" xfId="14832" xr:uid="{6F3E094D-6534-472F-8BC9-077E7E95C21D}"/>
    <cellStyle name="Comma 4 4 5 2 2 2" xfId="22379" xr:uid="{F145487C-2112-4CFC-8E41-5FD0CF644E82}"/>
    <cellStyle name="Comma 4 4 5 2 2 3" xfId="46441" xr:uid="{B731E25D-5EBF-407B-9513-EF8815FD4289}"/>
    <cellStyle name="Comma 4 4 5 2 2 4" xfId="51717" xr:uid="{763014D2-D67E-42A5-9E04-D1371EE2A5EB}"/>
    <cellStyle name="Comma 4 4 5 2 2 5" xfId="54733" xr:uid="{F7787DBC-10A8-40F3-B523-592728ADD0B6}"/>
    <cellStyle name="Comma 4 4 5 2 3" xfId="15317" xr:uid="{4651DAFC-49C1-4138-8101-03922CCF21B8}"/>
    <cellStyle name="Comma 4 4 5 2 3 2" xfId="22856" xr:uid="{78184322-13C9-451C-A20F-C372B791C372}"/>
    <cellStyle name="Comma 4 4 5 2 3 3" xfId="24315" xr:uid="{0E347EBA-B7B8-4CB7-AC00-1FC56A862728}"/>
    <cellStyle name="Comma 4 4 5 2 3 4" xfId="52194" xr:uid="{E722BE2F-BE5D-4A97-A120-4496ABFCC2BC}"/>
    <cellStyle name="Comma 4 4 5 2 3 5" xfId="55210" xr:uid="{F1931DED-2FF8-464C-8CFB-CD6978DB09B8}"/>
    <cellStyle name="Comma 4 4 5 2 4" xfId="15804" xr:uid="{E06E6149-86F9-4CB5-BDE9-4D5BDFFF7FF1}"/>
    <cellStyle name="Comma 4 4 5 2 4 2" xfId="23333" xr:uid="{71F72E75-4169-4A68-9E19-03FC994EE994}"/>
    <cellStyle name="Comma 4 4 5 2 4 3" xfId="24157" xr:uid="{66431982-128B-4EAB-B2ED-9077E7DDBFC3}"/>
    <cellStyle name="Comma 4 4 5 2 4 4" xfId="52671" xr:uid="{1BD3DE9F-7438-4EFD-AA85-F5B0AD5C37AA}"/>
    <cellStyle name="Comma 4 4 5 2 4 5" xfId="55687" xr:uid="{BF8BA2D8-F5F1-46EE-9BC5-8C932587BA14}"/>
    <cellStyle name="Comma 4 4 5 2 5" xfId="12866" xr:uid="{152F883B-D6B7-43C7-A631-FEE768F82694}"/>
    <cellStyle name="Comma 4 4 5 2 5 2" xfId="46364" xr:uid="{836B7F80-D9F3-4676-AFFA-481DDC13713F}"/>
    <cellStyle name="Comma 4 4 5 2 5 3" xfId="51240" xr:uid="{4F9152FB-BA7B-4D20-A2A6-8455199F54EA}"/>
    <cellStyle name="Comma 4 4 5 2 5 4" xfId="54256" xr:uid="{A4CCEC35-1ED6-42D9-B477-A5D4AC5FD5EF}"/>
    <cellStyle name="Comma 4 4 5 2 6" xfId="46114" xr:uid="{4BF9CC45-F6B5-410C-8278-4B336DE6C012}"/>
    <cellStyle name="Comma 4 4 5 2 7" xfId="50134" xr:uid="{2EDFEB9F-C489-4D21-9BDD-ADC08B10BEFA}"/>
    <cellStyle name="Comma 4 4 5 2 8" xfId="53150" xr:uid="{23324222-9157-4C73-9B31-E663C893CE09}"/>
    <cellStyle name="Comma 4 4 5 3" xfId="14620" xr:uid="{2DC58EF3-B61D-486B-9079-0B6ADA84F930}"/>
    <cellStyle name="Comma 4 4 5 3 2" xfId="22167" xr:uid="{C1BCA40C-146C-4A17-BBD0-BF5230664D39}"/>
    <cellStyle name="Comma 4 4 5 3 3" xfId="46842" xr:uid="{0FCCEF28-9900-4F17-92E7-0EBD3A3575F2}"/>
    <cellStyle name="Comma 4 4 5 3 4" xfId="51505" xr:uid="{586CE941-B81B-4D57-ACAD-29F50BD1D46F}"/>
    <cellStyle name="Comma 4 4 5 3 5" xfId="54521" xr:uid="{F65A9D53-354D-44B2-BEBD-F0BE8C6F3E51}"/>
    <cellStyle name="Comma 4 4 5 4" xfId="15105" xr:uid="{4788BAD9-1883-4E2B-AF49-2A98C1A9F2DB}"/>
    <cellStyle name="Comma 4 4 5 4 2" xfId="22644" xr:uid="{3FCCF738-7C5A-43CB-91DF-E635E5AF09BE}"/>
    <cellStyle name="Comma 4 4 5 4 3" xfId="24180" xr:uid="{63D92BFB-01EF-4815-8410-E3113A8AE8E2}"/>
    <cellStyle name="Comma 4 4 5 4 4" xfId="51982" xr:uid="{BF491645-25EB-4123-BF36-EA83F2E12B50}"/>
    <cellStyle name="Comma 4 4 5 4 5" xfId="54998" xr:uid="{7D0D3EDC-0BBE-4BE7-98F8-61304E385506}"/>
    <cellStyle name="Comma 4 4 5 5" xfId="15592" xr:uid="{B668117B-1A96-407D-8E33-E41544B2DBE1}"/>
    <cellStyle name="Comma 4 4 5 5 2" xfId="23121" xr:uid="{6D5EED16-8F15-47E9-A0FB-692F92B30E8E}"/>
    <cellStyle name="Comma 4 4 5 5 3" xfId="48540" xr:uid="{AC576223-8617-4192-B947-7B7CD8E2E314}"/>
    <cellStyle name="Comma 4 4 5 5 4" xfId="52459" xr:uid="{B2B24772-B61E-4C5D-B6A7-5809D8C34FAB}"/>
    <cellStyle name="Comma 4 4 5 5 5" xfId="55475" xr:uid="{3667EFE1-4F02-4C0B-94D0-F041F7850D77}"/>
    <cellStyle name="Comma 4 4 5 6" xfId="12557" xr:uid="{5EB68DE5-8EAC-4073-877D-0CE0C4D5833F}"/>
    <cellStyle name="Comma 4 4 5 6 2" xfId="48558" xr:uid="{85C875F9-176B-4FCB-9C23-5FE992F9D832}"/>
    <cellStyle name="Comma 4 4 5 6 3" xfId="51028" xr:uid="{405FC9E4-80D0-4954-8300-7A549C6DFDC3}"/>
    <cellStyle name="Comma 4 4 5 6 4" xfId="54044" xr:uid="{7C4C35E1-B78E-4CBC-AD95-97C09A341612}"/>
    <cellStyle name="Comma 4 4 5 7" xfId="47870" xr:uid="{B20F8C20-37B1-446E-90C7-3FECE4FBB893}"/>
    <cellStyle name="Comma 4 4 5 8" xfId="49922" xr:uid="{5C8BE494-0856-4966-B259-C0729A22550E}"/>
    <cellStyle name="Comma 4 4 5 9" xfId="52938" xr:uid="{EA36459B-B493-4500-A167-38A39CCD3745}"/>
    <cellStyle name="Comma 4 4 6" xfId="10179" xr:uid="{B8B7A151-5EB2-4F9E-8669-A3875B47F38D}"/>
    <cellStyle name="Comma 4 4 6 2" xfId="10493" xr:uid="{C965438F-4E73-4EE3-90B7-85232827316C}"/>
    <cellStyle name="Comma 4 4 6 2 2" xfId="14885" xr:uid="{D37F91AD-AFC7-43BA-B7D0-6A5897BF99C9}"/>
    <cellStyle name="Comma 4 4 6 2 2 2" xfId="22432" xr:uid="{09366E04-0922-4272-98E4-83931DD4C53D}"/>
    <cellStyle name="Comma 4 4 6 2 2 3" xfId="48120" xr:uid="{87CB1918-451D-4A89-8448-AEE1BC132B6E}"/>
    <cellStyle name="Comma 4 4 6 2 2 4" xfId="51770" xr:uid="{5ED9A23C-9616-4EBF-8075-BE5946135CF9}"/>
    <cellStyle name="Comma 4 4 6 2 2 5" xfId="54786" xr:uid="{32538BD2-2882-4AB8-84FD-2061062E0E4C}"/>
    <cellStyle name="Comma 4 4 6 2 3" xfId="15370" xr:uid="{2C3A83F9-B080-4144-9363-9331FD329722}"/>
    <cellStyle name="Comma 4 4 6 2 3 2" xfId="22909" xr:uid="{4FC785C1-1F7E-4FE0-949A-BA62AD76BA2B}"/>
    <cellStyle name="Comma 4 4 6 2 3 3" xfId="47250" xr:uid="{75578D39-8F4D-4C60-AF70-F2566EC0B2EE}"/>
    <cellStyle name="Comma 4 4 6 2 3 4" xfId="52247" xr:uid="{7B61E022-A3B7-4E6A-B9DA-A89710100DAC}"/>
    <cellStyle name="Comma 4 4 6 2 3 5" xfId="55263" xr:uid="{B0C09E11-4A37-4422-9401-0B67481B7660}"/>
    <cellStyle name="Comma 4 4 6 2 4" xfId="15857" xr:uid="{F5E64FD0-A3A3-4993-95DF-FCD9B361BE5D}"/>
    <cellStyle name="Comma 4 4 6 2 4 2" xfId="23386" xr:uid="{0B40ECEB-ED83-45DE-9055-FB8B78B0BC78}"/>
    <cellStyle name="Comma 4 4 6 2 4 3" xfId="47555" xr:uid="{DF78DF9A-E9BB-4994-AEFF-11079CA0DEF9}"/>
    <cellStyle name="Comma 4 4 6 2 4 4" xfId="52724" xr:uid="{22C5707E-D67F-4282-BF58-DBE22E9818E7}"/>
    <cellStyle name="Comma 4 4 6 2 4 5" xfId="55740" xr:uid="{09B198E1-C2CB-4C56-827E-0098DF1F10E9}"/>
    <cellStyle name="Comma 4 4 6 2 5" xfId="12946" xr:uid="{D49C28D5-D420-468A-864F-87E6DE327706}"/>
    <cellStyle name="Comma 4 4 6 2 5 2" xfId="47919" xr:uid="{FC2C8A19-525F-4FC2-BB24-92421362161E}"/>
    <cellStyle name="Comma 4 4 6 2 5 3" xfId="51293" xr:uid="{E2F30586-4CE1-4729-A420-364D0004720B}"/>
    <cellStyle name="Comma 4 4 6 2 5 4" xfId="54309" xr:uid="{4ADF1F97-42CB-4EC0-A58B-19026DEDB890}"/>
    <cellStyle name="Comma 4 4 6 2 6" xfId="48162" xr:uid="{6DAC8C55-E852-47AE-8288-EE6B4B4A553C}"/>
    <cellStyle name="Comma 4 4 6 2 7" xfId="50187" xr:uid="{D97DFA72-4F76-4A2D-B2D6-5769F33B5153}"/>
    <cellStyle name="Comma 4 4 6 2 8" xfId="53203" xr:uid="{C33200AA-6F46-49A6-86DD-329B00F78793}"/>
    <cellStyle name="Comma 4 4 6 3" xfId="14673" xr:uid="{F0C84D69-BE60-47C5-B684-EEE233768046}"/>
    <cellStyle name="Comma 4 4 6 3 2" xfId="22220" xr:uid="{18152720-0367-44B6-9227-FC4D308FF3FE}"/>
    <cellStyle name="Comma 4 4 6 3 3" xfId="24966" xr:uid="{D93D1B59-1639-4908-9AD2-F0468EE04AA1}"/>
    <cellStyle name="Comma 4 4 6 3 4" xfId="51558" xr:uid="{206649B4-ABCB-4981-90DE-F8902E5C4330}"/>
    <cellStyle name="Comma 4 4 6 3 5" xfId="54574" xr:uid="{8DCC4500-7D74-42EF-8EF9-86236A345881}"/>
    <cellStyle name="Comma 4 4 6 4" xfId="15158" xr:uid="{13A24AA1-52D3-4FAB-B67D-6404A8AAFFDA}"/>
    <cellStyle name="Comma 4 4 6 4 2" xfId="22697" xr:uid="{43995647-B888-4249-B2DE-07DF738C0AF2}"/>
    <cellStyle name="Comma 4 4 6 4 3" xfId="48300" xr:uid="{12F6F620-B938-42A3-AECB-105F47ED5D65}"/>
    <cellStyle name="Comma 4 4 6 4 4" xfId="52035" xr:uid="{741888E0-CF19-4B8D-AA58-04AD14927A8D}"/>
    <cellStyle name="Comma 4 4 6 4 5" xfId="55051" xr:uid="{31101476-54FB-4E26-89B6-4CF756A97400}"/>
    <cellStyle name="Comma 4 4 6 5" xfId="15645" xr:uid="{47ED4BAB-A0D2-4959-961B-A2C3E93E03F7}"/>
    <cellStyle name="Comma 4 4 6 5 2" xfId="23174" xr:uid="{F8A9C240-21DA-4915-BBA7-B09155853176}"/>
    <cellStyle name="Comma 4 4 6 5 3" xfId="46947" xr:uid="{900B4380-5680-4D25-8CC9-C6CE9032F4E9}"/>
    <cellStyle name="Comma 4 4 6 5 4" xfId="52512" xr:uid="{EF67A254-D358-43E5-A6CA-EA2BB9D1D064}"/>
    <cellStyle name="Comma 4 4 6 5 5" xfId="55528" xr:uid="{55BE7EC1-F6ED-4FC6-B748-72087C19DAA6}"/>
    <cellStyle name="Comma 4 4 6 6" xfId="12633" xr:uid="{AF92DC0F-937A-4822-A8A8-DC90B15E7994}"/>
    <cellStyle name="Comma 4 4 6 6 2" xfId="47319" xr:uid="{2D571BBA-4E15-435C-AFD9-EDDAA3FA7EA5}"/>
    <cellStyle name="Comma 4 4 6 6 3" xfId="51081" xr:uid="{9C4821B6-AA37-4B18-A726-777E1EFC6F3B}"/>
    <cellStyle name="Comma 4 4 6 6 4" xfId="54097" xr:uid="{855324C0-86A6-41CF-B33D-462E6C922331}"/>
    <cellStyle name="Comma 4 4 6 7" xfId="46060" xr:uid="{68C1AC5C-4B56-43DE-9EAD-062671E0AA61}"/>
    <cellStyle name="Comma 4 4 6 8" xfId="49975" xr:uid="{A85C8EBC-5430-4291-B3D3-051F759FB5B8}"/>
    <cellStyle name="Comma 4 4 6 9" xfId="52991" xr:uid="{6D277A6E-1358-43E0-8AD2-9378B60D667A}"/>
    <cellStyle name="Comma 4 4 7" xfId="10259" xr:uid="{440A8F97-7CB3-42B4-A576-8A896302AA4C}"/>
    <cellStyle name="Comma 4 4 7 2" xfId="14726" xr:uid="{642C66FB-28ED-4F41-A54C-A3E0AE4A7C91}"/>
    <cellStyle name="Comma 4 4 7 2 2" xfId="22273" xr:uid="{27D87CDF-23CA-43A7-944A-7244F9F86E76}"/>
    <cellStyle name="Comma 4 4 7 2 3" xfId="48503" xr:uid="{C2CC51D2-86D0-48CA-B8DB-35AD907D2E3B}"/>
    <cellStyle name="Comma 4 4 7 2 4" xfId="51611" xr:uid="{FFE775A2-3DE5-44ED-AC8E-D56D6D73F480}"/>
    <cellStyle name="Comma 4 4 7 2 5" xfId="54627" xr:uid="{904CCC4A-189E-496E-848F-9850AAED636C}"/>
    <cellStyle name="Comma 4 4 7 3" xfId="15211" xr:uid="{31459B35-1495-4C50-AC9F-65007AD814C8}"/>
    <cellStyle name="Comma 4 4 7 3 2" xfId="22750" xr:uid="{6F092CF4-38FE-481C-B18A-04F52C873D96}"/>
    <cellStyle name="Comma 4 4 7 3 3" xfId="48145" xr:uid="{A51FAA66-2F1D-4559-B26B-EAEB68D5B065}"/>
    <cellStyle name="Comma 4 4 7 3 4" xfId="52088" xr:uid="{7083C38E-5C81-4A05-8F8B-1C88A1255DF0}"/>
    <cellStyle name="Comma 4 4 7 3 5" xfId="55104" xr:uid="{3DDF6AA9-DCAD-4D4F-8FC3-3E099BDFB6CE}"/>
    <cellStyle name="Comma 4 4 7 4" xfId="15698" xr:uid="{7E0951A0-FF8B-4BC9-9273-AEA7CEBE0779}"/>
    <cellStyle name="Comma 4 4 7 4 2" xfId="23227" xr:uid="{7BB35CAE-D4ED-41E1-B52D-80FC6DD8AD8C}"/>
    <cellStyle name="Comma 4 4 7 4 3" xfId="23835" xr:uid="{9E5159E7-8E6B-4A4B-94CC-39A1965781C4}"/>
    <cellStyle name="Comma 4 4 7 4 4" xfId="52565" xr:uid="{C69135D0-DAA4-42B3-A46B-B26FC5824BF0}"/>
    <cellStyle name="Comma 4 4 7 4 5" xfId="55581" xr:uid="{DAD96CFD-A4B2-4F3A-B42F-7F96C795EE24}"/>
    <cellStyle name="Comma 4 4 7 5" xfId="12712" xr:uid="{33F366B5-170A-46AE-855E-4B5739FDA758}"/>
    <cellStyle name="Comma 4 4 7 5 2" xfId="47018" xr:uid="{09547D7B-3484-4B96-91A7-A8B9BA914E72}"/>
    <cellStyle name="Comma 4 4 7 5 3" xfId="51134" xr:uid="{A985CCA4-DAD5-405D-87E2-0D22AB838828}"/>
    <cellStyle name="Comma 4 4 7 5 4" xfId="54150" xr:uid="{276C0B7E-C9E9-4636-8894-05B189CFDEB8}"/>
    <cellStyle name="Comma 4 4 7 6" xfId="48314" xr:uid="{02119248-7E32-4A00-9C44-4470EC18215F}"/>
    <cellStyle name="Comma 4 4 7 7" xfId="50028" xr:uid="{045CBD9E-0577-4170-B8E8-33979FC9307D}"/>
    <cellStyle name="Comma 4 4 7 8" xfId="53044" xr:uid="{D048BADE-760E-4E2F-9293-52D6BD2FD235}"/>
    <cellStyle name="Comma 4 4 8" xfId="10573" xr:uid="{E4348FF7-454D-4FFB-B4AC-3F420273C0CF}"/>
    <cellStyle name="Comma 4 4 8 2" xfId="14938" xr:uid="{B0DA9E5B-1D34-47B4-AABC-31D516D55AD8}"/>
    <cellStyle name="Comma 4 4 8 2 2" xfId="22485" xr:uid="{BAF629BE-F48B-4A70-B0CA-59052D94A71B}"/>
    <cellStyle name="Comma 4 4 8 2 3" xfId="47966" xr:uid="{07CDC2A7-8C45-46BC-9058-947FC9EB6C94}"/>
    <cellStyle name="Comma 4 4 8 2 4" xfId="51823" xr:uid="{E79DBCEC-6C87-476B-AC08-16553852C9C3}"/>
    <cellStyle name="Comma 4 4 8 2 5" xfId="54839" xr:uid="{B51A00F1-FD75-44BE-A2A4-68141F279952}"/>
    <cellStyle name="Comma 4 4 8 3" xfId="15423" xr:uid="{4DA7949D-EE13-442E-A0D9-B7D566E3297E}"/>
    <cellStyle name="Comma 4 4 8 3 2" xfId="22962" xr:uid="{66594287-9E27-44CE-97E6-69C62C106E9A}"/>
    <cellStyle name="Comma 4 4 8 3 3" xfId="47863" xr:uid="{7576E779-FD1F-4473-AB5F-6D2CD9C80079}"/>
    <cellStyle name="Comma 4 4 8 3 4" xfId="52300" xr:uid="{BF3DEDF0-EC3A-4B00-B8C2-AE5468872956}"/>
    <cellStyle name="Comma 4 4 8 3 5" xfId="55316" xr:uid="{2E0253DC-5A87-4216-A79C-099921716CA4}"/>
    <cellStyle name="Comma 4 4 8 4" xfId="15911" xr:uid="{FB389230-C7AB-4D10-9DCF-C4ADA99CB6AB}"/>
    <cellStyle name="Comma 4 4 8 4 2" xfId="23439" xr:uid="{D7549AFC-9159-4932-8467-7B5C29FA80EC}"/>
    <cellStyle name="Comma 4 4 8 4 3" xfId="47442" xr:uid="{671CCE1C-7D1B-410B-ADD3-C02119F7E8DB}"/>
    <cellStyle name="Comma 4 4 8 4 4" xfId="52777" xr:uid="{2D7F8A92-2706-4E0B-8873-343B6D0D0EA6}"/>
    <cellStyle name="Comma 4 4 8 4 5" xfId="55793" xr:uid="{1802CFC1-DDDC-4F6B-A623-E90CAF2DEC31}"/>
    <cellStyle name="Comma 4 4 8 5" xfId="13026" xr:uid="{812FEE33-2E15-4F1E-8508-2B6E7C76EF93}"/>
    <cellStyle name="Comma 4 4 8 5 2" xfId="48053" xr:uid="{4D919FCD-8559-49EA-B57F-E9F720CEC54B}"/>
    <cellStyle name="Comma 4 4 8 5 3" xfId="51346" xr:uid="{AAABEB8A-B09D-4C24-83C7-265F2EB1984C}"/>
    <cellStyle name="Comma 4 4 8 5 4" xfId="54362" xr:uid="{25F12770-88FA-4DF3-915C-A3C77673294B}"/>
    <cellStyle name="Comma 4 4 8 6" xfId="47294" xr:uid="{F015A930-192D-46D9-99F2-534E36C999EC}"/>
    <cellStyle name="Comma 4 4 8 7" xfId="50240" xr:uid="{E244DA62-9758-4E6B-85CD-8937BFC0BDC5}"/>
    <cellStyle name="Comma 4 4 8 8" xfId="53256" xr:uid="{8D1B666C-B620-4005-927A-BC2C7F6C6F31}"/>
    <cellStyle name="Comma 4 4 9" xfId="11148" xr:uid="{B6E18881-411B-42AB-96FE-B9760D5ED495}"/>
    <cellStyle name="Comma 4 5" xfId="5823" xr:uid="{213FFDA8-E01C-45B1-9459-770A0AB0F4D9}"/>
    <cellStyle name="Comma 4 5 10" xfId="15002" xr:uid="{8A6223DA-6915-45AC-ACF3-460B5CF0B6F9}"/>
    <cellStyle name="Comma 4 5 10 2" xfId="22542" xr:uid="{6D478355-D038-4CA8-91CD-D87ED1D34DFF}"/>
    <cellStyle name="Comma 4 5 10 3" xfId="24925" xr:uid="{5E67A740-93E5-4F86-913C-2606DF4395A8}"/>
    <cellStyle name="Comma 4 5 10 4" xfId="51880" xr:uid="{74587EDF-D5DE-4736-B65D-DABA6C752634}"/>
    <cellStyle name="Comma 4 5 10 5" xfId="54896" xr:uid="{C9E1AAB1-19B0-444F-A23E-3C9A42AFD14E}"/>
    <cellStyle name="Comma 4 5 11" xfId="15489" xr:uid="{3B12C3C1-43A4-4DA6-AB06-95AD226E1CE6}"/>
    <cellStyle name="Comma 4 5 11 2" xfId="23019" xr:uid="{98318F52-FDDC-426E-B6D0-37C86CC226CC}"/>
    <cellStyle name="Comma 4 5 11 3" xfId="47029" xr:uid="{687F68FA-DA7A-4469-8CC4-1558EBF3FA92}"/>
    <cellStyle name="Comma 4 5 11 4" xfId="52357" xr:uid="{4D63A6CF-2840-4E72-98A2-EFAD844F9772}"/>
    <cellStyle name="Comma 4 5 11 5" xfId="55373" xr:uid="{52C26FDD-8DAD-4B19-9BA4-F91BFB42F91F}"/>
    <cellStyle name="Comma 4 5 12" xfId="11585" xr:uid="{D75F1710-ED8D-4A25-A203-BFBBBB7EB515}"/>
    <cellStyle name="Comma 4 5 12 2" xfId="21709" xr:uid="{39D9BA34-1B74-462A-BFA5-E5E13B65D2E1}"/>
    <cellStyle name="Comma 4 5 12 3" xfId="46993" xr:uid="{F87C1B2C-A200-4DFE-9A57-276E85E59CC8}"/>
    <cellStyle name="Comma 4 5 12 4" xfId="50732" xr:uid="{530457EC-AD82-4F67-BC6B-C152565F38D9}"/>
    <cellStyle name="Comma 4 5 12 5" xfId="53748" xr:uid="{40B63999-F666-49D3-83D7-0B29F528FF0A}"/>
    <cellStyle name="Comma 4 5 13" xfId="21243" xr:uid="{BD5B4104-8486-4BB1-9D9D-072C11F817B8}"/>
    <cellStyle name="Comma 4 5 14" xfId="23772" xr:uid="{00CB7AF7-868D-41FF-9E06-01CB19BBF053}"/>
    <cellStyle name="Comma 4 5 15" xfId="48653" xr:uid="{94F28716-3062-4251-838A-9A36DB4821AA}"/>
    <cellStyle name="Comma 4 5 16" xfId="49561" xr:uid="{2FB11976-0AF4-4B36-8664-C0BEB9B626E6}"/>
    <cellStyle name="Comma 4 5 17" xfId="49820" xr:uid="{4497625E-3942-46A4-8B44-074296CC4402}"/>
    <cellStyle name="Comma 4 5 18" xfId="52835" xr:uid="{BDD3520A-746C-4ACD-856F-EB4DC3CCE09D}"/>
    <cellStyle name="Comma 4 5 19" xfId="17477" xr:uid="{97054A84-C276-4B28-89B0-434627DEE3E0}"/>
    <cellStyle name="Comma 4 5 2" xfId="8944" xr:uid="{FBDAAAD5-7660-405A-ACBA-FC489E1A8DA5}"/>
    <cellStyle name="Comma 4 5 2 10" xfId="12194" xr:uid="{F5629569-BB12-44F9-A81D-CB32D06185DD}"/>
    <cellStyle name="Comma 4 5 2 10 2" xfId="24538" xr:uid="{A76CDF1B-7890-4B8F-A0FA-0DF77207A4F7}"/>
    <cellStyle name="Comma 4 5 2 10 3" xfId="50939" xr:uid="{77661F83-0091-4B56-8C78-D9137589F8D1}"/>
    <cellStyle name="Comma 4 5 2 10 4" xfId="53955" xr:uid="{A7B3247D-4F6A-400F-B26A-C7E94742874D}"/>
    <cellStyle name="Comma 4 5 2 11" xfId="23773" xr:uid="{D43C7592-67F6-472A-AFD2-D2CD1AB57AAA}"/>
    <cellStyle name="Comma 4 5 2 12" xfId="48654" xr:uid="{61A42AD3-9D18-4034-B7AC-8F7931CCFF3A}"/>
    <cellStyle name="Comma 4 5 2 13" xfId="49562" xr:uid="{5CDFDD87-E273-43E5-9E04-2C3E94D5BE2F}"/>
    <cellStyle name="Comma 4 5 2 14" xfId="49821" xr:uid="{57B1C26A-30C9-49F8-815D-8E319A7E18C5}"/>
    <cellStyle name="Comma 4 5 2 15" xfId="52836" xr:uid="{075F004B-B7B0-413A-BF0F-2E4AB88DAEB2}"/>
    <cellStyle name="Comma 4 5 2 2" xfId="10031" xr:uid="{CEE76FEE-C586-4515-9C1A-BDBAEEB8617E}"/>
    <cellStyle name="Comma 4 5 2 2 2" xfId="10339" xr:uid="{AF8903CC-F556-41FA-A47D-85830ED9662A}"/>
    <cellStyle name="Comma 4 5 2 2 2 2" xfId="14784" xr:uid="{40AEEFF9-D7CB-49C2-94CB-2F802A4863B5}"/>
    <cellStyle name="Comma 4 5 2 2 2 2 2" xfId="22331" xr:uid="{3EE837E9-7901-4C92-A19C-E10115ADCE1B}"/>
    <cellStyle name="Comma 4 5 2 2 2 2 3" xfId="46433" xr:uid="{FD9B8AD9-12E5-4D94-A145-898D321FEAB7}"/>
    <cellStyle name="Comma 4 5 2 2 2 2 4" xfId="51669" xr:uid="{FF0F630D-668F-4DF5-930A-374CB51FC0C7}"/>
    <cellStyle name="Comma 4 5 2 2 2 2 5" xfId="54685" xr:uid="{07ADDF1A-827D-4DE3-AEDA-20AFFCAC5082}"/>
    <cellStyle name="Comma 4 5 2 2 2 3" xfId="15269" xr:uid="{B17E0C88-83A6-4C33-8F46-56E0722EBFE4}"/>
    <cellStyle name="Comma 4 5 2 2 2 3 2" xfId="22808" xr:uid="{2C83013A-877F-4683-BC44-72CAEFF4246C}"/>
    <cellStyle name="Comma 4 5 2 2 2 3 3" xfId="46506" xr:uid="{3BC9302B-7597-43C5-BD02-377D130439C2}"/>
    <cellStyle name="Comma 4 5 2 2 2 3 4" xfId="52146" xr:uid="{F0584D27-5D4F-4A92-88E6-EB9D458664D0}"/>
    <cellStyle name="Comma 4 5 2 2 2 3 5" xfId="55162" xr:uid="{877D580B-3901-410B-A98F-717853DACB84}"/>
    <cellStyle name="Comma 4 5 2 2 2 4" xfId="15756" xr:uid="{55686725-D8DF-4E26-A4B2-E020F910FB6C}"/>
    <cellStyle name="Comma 4 5 2 2 2 4 2" xfId="23285" xr:uid="{F892B5E9-EF77-4556-A4B2-AFF9C17CE515}"/>
    <cellStyle name="Comma 4 5 2 2 2 4 3" xfId="47687" xr:uid="{788BCA1D-7628-4715-A835-595923602045}"/>
    <cellStyle name="Comma 4 5 2 2 2 4 4" xfId="52623" xr:uid="{97FF8BD4-6955-4CDE-AB47-19A462A18438}"/>
    <cellStyle name="Comma 4 5 2 2 2 4 5" xfId="55639" xr:uid="{2F58DA14-13B3-40DE-B07B-3F389018EADC}"/>
    <cellStyle name="Comma 4 5 2 2 2 5" xfId="12792" xr:uid="{13844F5B-F5F9-4539-8746-D76899334CBF}"/>
    <cellStyle name="Comma 4 5 2 2 2 5 2" xfId="25055" xr:uid="{783D6223-C0DE-48A9-B0C7-AE6854059EB4}"/>
    <cellStyle name="Comma 4 5 2 2 2 5 3" xfId="51192" xr:uid="{CA959216-1E8F-4C8B-915C-A9E7BB0A2048}"/>
    <cellStyle name="Comma 4 5 2 2 2 5 4" xfId="54208" xr:uid="{804DB904-F7DB-4C9C-9C58-9C010BFF394A}"/>
    <cellStyle name="Comma 4 5 2 2 2 6" xfId="48157" xr:uid="{E84A7E23-6613-4006-96D6-A14DCB66A40C}"/>
    <cellStyle name="Comma 4 5 2 2 2 7" xfId="50086" xr:uid="{B3EB0567-ED3D-4954-8595-4F7624C60EAA}"/>
    <cellStyle name="Comma 4 5 2 2 2 8" xfId="53102" xr:uid="{903E6D55-F113-43E0-A962-8CE0849AC90C}"/>
    <cellStyle name="Comma 4 5 2 2 3" xfId="14572" xr:uid="{2CE3501C-7605-40E8-9AA0-17822234E76B}"/>
    <cellStyle name="Comma 4 5 2 2 3 2" xfId="22119" xr:uid="{86C97CCF-2BCE-4020-8F01-3645DA09098D}"/>
    <cellStyle name="Comma 4 5 2 2 3 3" xfId="46401" xr:uid="{32A96F34-B181-4CC0-9030-ACF63D552B5D}"/>
    <cellStyle name="Comma 4 5 2 2 3 4" xfId="51457" xr:uid="{3F702167-6A67-4425-9D94-4D95B457532F}"/>
    <cellStyle name="Comma 4 5 2 2 3 5" xfId="54473" xr:uid="{D2B9100C-715B-46C0-9372-BDAE8F7F8A82}"/>
    <cellStyle name="Comma 4 5 2 2 4" xfId="15056" xr:uid="{A1E64F2A-91C8-4A73-8D7E-3E52F3216067}"/>
    <cellStyle name="Comma 4 5 2 2 4 2" xfId="22596" xr:uid="{DC2FFE21-EE14-40AC-A423-14EB18DE9801}"/>
    <cellStyle name="Comma 4 5 2 2 4 3" xfId="48245" xr:uid="{BF9BBDDB-06A1-4620-B712-FD3429432B40}"/>
    <cellStyle name="Comma 4 5 2 2 4 4" xfId="51934" xr:uid="{4AEC0024-2469-4B76-8A9E-E85A99EBEA71}"/>
    <cellStyle name="Comma 4 5 2 2 4 5" xfId="54950" xr:uid="{7C8E3C79-2C9A-461B-9138-B472D0B054D0}"/>
    <cellStyle name="Comma 4 5 2 2 5" xfId="15543" xr:uid="{58F6C3B6-9BE8-4E4A-A2AA-4F783BBD4DEB}"/>
    <cellStyle name="Comma 4 5 2 2 5 2" xfId="23073" xr:uid="{C900CE67-B436-480A-888F-FB748808A595}"/>
    <cellStyle name="Comma 4 5 2 2 5 3" xfId="46548" xr:uid="{27F1E22F-9238-4C43-9962-7432021C7377}"/>
    <cellStyle name="Comma 4 5 2 2 5 4" xfId="52411" xr:uid="{07AE2DA2-23EF-4F26-B2D1-EE87ADFD6BA1}"/>
    <cellStyle name="Comma 4 5 2 2 5 5" xfId="55427" xr:uid="{A543C17D-AC80-4A23-A38D-1AFCC3DB7084}"/>
    <cellStyle name="Comma 4 5 2 2 6" xfId="12491" xr:uid="{E5C887AE-39AC-4B55-897D-35A4D1ADA496}"/>
    <cellStyle name="Comma 4 5 2 2 6 2" xfId="47316" xr:uid="{2BB424E5-593B-4186-ACF7-4681BF674D15}"/>
    <cellStyle name="Comma 4 5 2 2 6 3" xfId="50980" xr:uid="{31E1DFB5-918D-49DA-8BCC-3A6C73C9EF4A}"/>
    <cellStyle name="Comma 4 5 2 2 6 4" xfId="53996" xr:uid="{6064C90F-2BAE-4FCC-B356-A03D01EE3C54}"/>
    <cellStyle name="Comma 4 5 2 2 7" xfId="48149" xr:uid="{6DC6CF2E-A623-4712-BE7B-59FD8AE26166}"/>
    <cellStyle name="Comma 4 5 2 2 8" xfId="49874" xr:uid="{2957EDF8-A4AB-47A4-9B0B-48D901C0B217}"/>
    <cellStyle name="Comma 4 5 2 2 9" xfId="52890" xr:uid="{05BB9952-E743-42E5-AFAF-D04A3456631A}"/>
    <cellStyle name="Comma 4 5 2 3" xfId="10105" xr:uid="{9B95116A-4F3E-400F-8AAC-1A35BEF78D44}"/>
    <cellStyle name="Comma 4 5 2 3 2" xfId="10418" xr:uid="{FB82B6C1-A5AF-4A4F-98B5-7E325D76A4DB}"/>
    <cellStyle name="Comma 4 5 2 3 2 2" xfId="14837" xr:uid="{1BB42DC3-BD42-4E66-A41B-FBF783E0A23E}"/>
    <cellStyle name="Comma 4 5 2 3 2 2 2" xfId="22384" xr:uid="{E1FD5CCB-6D73-4F8A-8104-4053DB197A33}"/>
    <cellStyle name="Comma 4 5 2 3 2 2 3" xfId="24187" xr:uid="{12B4783C-C7C4-4C28-BD86-058414FB74C2}"/>
    <cellStyle name="Comma 4 5 2 3 2 2 4" xfId="51722" xr:uid="{38655785-E3C6-484B-BBDA-8D2FF406C275}"/>
    <cellStyle name="Comma 4 5 2 3 2 2 5" xfId="54738" xr:uid="{EFAF67BD-ACED-4CDC-A76D-01FADB1BD5F8}"/>
    <cellStyle name="Comma 4 5 2 3 2 3" xfId="15322" xr:uid="{6F842FA3-A759-4326-9838-391469DE080D}"/>
    <cellStyle name="Comma 4 5 2 3 2 3 2" xfId="22861" xr:uid="{EA83D676-2A6E-47B8-876F-58E987BE965C}"/>
    <cellStyle name="Comma 4 5 2 3 2 3 3" xfId="46907" xr:uid="{7B6B7EF7-B38F-42ED-A60D-E37577662540}"/>
    <cellStyle name="Comma 4 5 2 3 2 3 4" xfId="52199" xr:uid="{D7062F19-5CD1-4246-A7B2-D4E1B04F5D01}"/>
    <cellStyle name="Comma 4 5 2 3 2 3 5" xfId="55215" xr:uid="{E8EC1B07-9787-4FA9-B63B-B507462ED6C3}"/>
    <cellStyle name="Comma 4 5 2 3 2 4" xfId="15809" xr:uid="{06E16737-0C08-4223-8C24-6ACA7F932F72}"/>
    <cellStyle name="Comma 4 5 2 3 2 4 2" xfId="23338" xr:uid="{AF395444-0751-4F83-8362-AA10C1ADC17A}"/>
    <cellStyle name="Comma 4 5 2 3 2 4 3" xfId="47794" xr:uid="{E82B00C3-3345-4D23-A384-BF252FF89868}"/>
    <cellStyle name="Comma 4 5 2 3 2 4 4" xfId="52676" xr:uid="{B0714058-A334-4C09-BAD4-F7BB9D6B7EC1}"/>
    <cellStyle name="Comma 4 5 2 3 2 4 5" xfId="55692" xr:uid="{FD599631-AA56-427F-BCE9-2FD4CDB822F0}"/>
    <cellStyle name="Comma 4 5 2 3 2 5" xfId="12871" xr:uid="{CC46FA08-A8CA-48C8-B221-F1D7A61CE653}"/>
    <cellStyle name="Comma 4 5 2 3 2 5 2" xfId="48203" xr:uid="{5911A259-8A12-470C-8C02-DEE17DB417ED}"/>
    <cellStyle name="Comma 4 5 2 3 2 5 3" xfId="51245" xr:uid="{CA710BD2-7FF5-464E-ABE1-0B6804FBF3CE}"/>
    <cellStyle name="Comma 4 5 2 3 2 5 4" xfId="54261" xr:uid="{AAAFCC7B-34B0-4B64-906C-5DDDD25261DA}"/>
    <cellStyle name="Comma 4 5 2 3 2 6" xfId="47288" xr:uid="{24FEB12C-E0B2-4C67-8BFA-34DA82952A69}"/>
    <cellStyle name="Comma 4 5 2 3 2 7" xfId="50139" xr:uid="{2EDBDE2A-1E9D-433C-AD80-2BAF2FBB53DC}"/>
    <cellStyle name="Comma 4 5 2 3 2 8" xfId="53155" xr:uid="{E0DFFD72-56DA-4B40-8BE3-18BF6D536EDE}"/>
    <cellStyle name="Comma 4 5 2 3 3" xfId="14625" xr:uid="{3EBDF536-81B0-43C6-8F41-E4B33803F859}"/>
    <cellStyle name="Comma 4 5 2 3 3 2" xfId="22172" xr:uid="{72F69DD7-C5A6-40AD-8A8B-E0184B644F6C}"/>
    <cellStyle name="Comma 4 5 2 3 3 3" xfId="47237" xr:uid="{69BBF0AB-EC49-41F8-9C9A-FD80264379A7}"/>
    <cellStyle name="Comma 4 5 2 3 3 4" xfId="51510" xr:uid="{9CFF037B-54D2-4954-861A-5C23E2D44D29}"/>
    <cellStyle name="Comma 4 5 2 3 3 5" xfId="54526" xr:uid="{1880EC98-C171-42A2-A40D-7A2087B9F44E}"/>
    <cellStyle name="Comma 4 5 2 3 4" xfId="15110" xr:uid="{4D12CBB8-AF70-4548-885D-34EF7B21F97E}"/>
    <cellStyle name="Comma 4 5 2 3 4 2" xfId="22649" xr:uid="{BAA8CB58-975A-4E74-8485-3F6AB0716E81}"/>
    <cellStyle name="Comma 4 5 2 3 4 3" xfId="47780" xr:uid="{15CAD9F5-8685-4C04-A5E0-9306A268424A}"/>
    <cellStyle name="Comma 4 5 2 3 4 4" xfId="51987" xr:uid="{594BD75C-1A39-482C-B147-4CAF3022779B}"/>
    <cellStyle name="Comma 4 5 2 3 4 5" xfId="55003" xr:uid="{7139620C-3F67-4673-8F0E-0B52E6596281}"/>
    <cellStyle name="Comma 4 5 2 3 5" xfId="15597" xr:uid="{8948D123-9CB4-46EC-A7CB-3F50F3152758}"/>
    <cellStyle name="Comma 4 5 2 3 5 2" xfId="23126" xr:uid="{760286E0-AA9E-4D76-8307-59A1A9F5F019}"/>
    <cellStyle name="Comma 4 5 2 3 5 3" xfId="48079" xr:uid="{437E6C2D-ACCC-46CC-9124-408A589B8247}"/>
    <cellStyle name="Comma 4 5 2 3 5 4" xfId="52464" xr:uid="{12B889F1-7528-476E-B44D-7744AC1F3A01}"/>
    <cellStyle name="Comma 4 5 2 3 5 5" xfId="55480" xr:uid="{E167E2FB-A386-4446-A6AE-BFB95DAA5DD5}"/>
    <cellStyle name="Comma 4 5 2 3 6" xfId="12562" xr:uid="{58DFAB86-6A04-4BE6-B474-F6D424BCAE35}"/>
    <cellStyle name="Comma 4 5 2 3 6 2" xfId="25079" xr:uid="{1CCAB8FA-95B9-4894-B044-0A87FB807669}"/>
    <cellStyle name="Comma 4 5 2 3 6 3" xfId="51033" xr:uid="{10CE2818-9EBF-45EB-94ED-C48D950F20BD}"/>
    <cellStyle name="Comma 4 5 2 3 6 4" xfId="54049" xr:uid="{CD08C89E-1834-4E9E-9C4F-77BBD38064BB}"/>
    <cellStyle name="Comma 4 5 2 3 7" xfId="46048" xr:uid="{69FE4C3C-458F-4E19-9386-31BE6DDC17B5}"/>
    <cellStyle name="Comma 4 5 2 3 8" xfId="49927" xr:uid="{A64D8D49-470B-4455-BC8E-BFFA40B349B5}"/>
    <cellStyle name="Comma 4 5 2 3 9" xfId="52943" xr:uid="{DBB181C7-6E29-45B1-BBD4-0C68C2EA43B4}"/>
    <cellStyle name="Comma 4 5 2 4" xfId="10184" xr:uid="{5D71DBAF-4825-435D-939A-31CE994D58B5}"/>
    <cellStyle name="Comma 4 5 2 4 2" xfId="10498" xr:uid="{64A239FA-AB64-4220-A832-4E2F7E09C172}"/>
    <cellStyle name="Comma 4 5 2 4 2 2" xfId="14890" xr:uid="{D60B8C7D-EB5D-484E-B2CC-AB80091DB633}"/>
    <cellStyle name="Comma 4 5 2 4 2 2 2" xfId="22437" xr:uid="{FA90E7F0-FEB8-48D2-9657-82DAFE802F74}"/>
    <cellStyle name="Comma 4 5 2 4 2 2 3" xfId="46451" xr:uid="{E9E0EC98-8ACB-442C-9ABF-45249745CCD1}"/>
    <cellStyle name="Comma 4 5 2 4 2 2 4" xfId="51775" xr:uid="{277A19D7-2664-4ACC-8C43-9C6F79241995}"/>
    <cellStyle name="Comma 4 5 2 4 2 2 5" xfId="54791" xr:uid="{C8098D0F-7E1B-405D-898A-F8DE0CB3C731}"/>
    <cellStyle name="Comma 4 5 2 4 2 3" xfId="15375" xr:uid="{D3339863-041B-49A0-8A37-A61853EB80B5}"/>
    <cellStyle name="Comma 4 5 2 4 2 3 2" xfId="22914" xr:uid="{EA3776AD-983D-471C-976B-3C3733CB2353}"/>
    <cellStyle name="Comma 4 5 2 4 2 3 3" xfId="47131" xr:uid="{88ECFD1B-E317-4949-9182-2F4868EC64F5}"/>
    <cellStyle name="Comma 4 5 2 4 2 3 4" xfId="52252" xr:uid="{13945469-2C1C-43AE-921D-F15D5AC0ADC0}"/>
    <cellStyle name="Comma 4 5 2 4 2 3 5" xfId="55268" xr:uid="{6D1892E6-CF22-4A8F-AD56-5B90345F1193}"/>
    <cellStyle name="Comma 4 5 2 4 2 4" xfId="15862" xr:uid="{C4140398-DBAB-4F5B-8B4E-E8FDE439BE1D}"/>
    <cellStyle name="Comma 4 5 2 4 2 4 2" xfId="23391" xr:uid="{791A2659-20DE-495F-9E37-F1F4181FCAC5}"/>
    <cellStyle name="Comma 4 5 2 4 2 4 3" xfId="48268" xr:uid="{6707C9BF-DFEF-4B85-969D-BC6E0EF1A1A7}"/>
    <cellStyle name="Comma 4 5 2 4 2 4 4" xfId="52729" xr:uid="{6F838665-A229-4982-888D-9F94F7F087C2}"/>
    <cellStyle name="Comma 4 5 2 4 2 4 5" xfId="55745" xr:uid="{A91DE5A3-79D2-45FB-AD8D-BF2CDFD4B072}"/>
    <cellStyle name="Comma 4 5 2 4 2 5" xfId="12951" xr:uid="{CC7BA2C0-19D8-488E-B261-671AE8C3BD64}"/>
    <cellStyle name="Comma 4 5 2 4 2 5 2" xfId="48345" xr:uid="{7EE7C0A4-C0C1-467D-B4E8-A35409373107}"/>
    <cellStyle name="Comma 4 5 2 4 2 5 3" xfId="51298" xr:uid="{40131D1F-9ACB-4C46-8040-043773DD7242}"/>
    <cellStyle name="Comma 4 5 2 4 2 5 4" xfId="54314" xr:uid="{7BE6AC00-791D-4E8E-9CDC-A03DD38B2523}"/>
    <cellStyle name="Comma 4 5 2 4 2 6" xfId="24263" xr:uid="{2FB6DE95-11B4-4688-B9DF-10B8C2992997}"/>
    <cellStyle name="Comma 4 5 2 4 2 7" xfId="50192" xr:uid="{001142A4-2692-4C54-8EDD-54AA3E0F66CC}"/>
    <cellStyle name="Comma 4 5 2 4 2 8" xfId="53208" xr:uid="{B6AFE886-ACA8-4D66-AC59-EEA966615E88}"/>
    <cellStyle name="Comma 4 5 2 4 3" xfId="14678" xr:uid="{C809FEA9-5E99-401E-BE5B-7FF6CDFB58A8}"/>
    <cellStyle name="Comma 4 5 2 4 3 2" xfId="22225" xr:uid="{5162DDCC-DAEF-4127-AB7C-F000B730E5C6}"/>
    <cellStyle name="Comma 4 5 2 4 3 3" xfId="46416" xr:uid="{D7319CE6-A809-4C34-AFA1-D485B7D4A4D2}"/>
    <cellStyle name="Comma 4 5 2 4 3 4" xfId="51563" xr:uid="{AE459B16-C6FE-46E1-BB14-8C588580A898}"/>
    <cellStyle name="Comma 4 5 2 4 3 5" xfId="54579" xr:uid="{26AD11F7-B738-495A-BA16-B581A9A90626}"/>
    <cellStyle name="Comma 4 5 2 4 4" xfId="15163" xr:uid="{E76037B0-4975-4CF3-BA09-176F7DBFDF6D}"/>
    <cellStyle name="Comma 4 5 2 4 4 2" xfId="22702" xr:uid="{3D87B095-1504-4A0C-A72C-3198D807B56D}"/>
    <cellStyle name="Comma 4 5 2 4 4 3" xfId="46490" xr:uid="{8B172676-7A2C-451A-AAD1-1DD26EDDF19D}"/>
    <cellStyle name="Comma 4 5 2 4 4 4" xfId="52040" xr:uid="{186ACC72-267F-4EBE-A70A-1C32ACE5DF7C}"/>
    <cellStyle name="Comma 4 5 2 4 4 5" xfId="55056" xr:uid="{21DA1D77-4695-427A-8CBD-D852449BB491}"/>
    <cellStyle name="Comma 4 5 2 4 5" xfId="15650" xr:uid="{11361467-F145-4603-84E0-1EF3B354D4F9}"/>
    <cellStyle name="Comma 4 5 2 4 5 2" xfId="23179" xr:uid="{D526D73D-F7D8-4E79-AD7F-619E2654689C}"/>
    <cellStyle name="Comma 4 5 2 4 5 3" xfId="48422" xr:uid="{0C4C16DD-F15D-4955-A3A9-8CD8DD94304F}"/>
    <cellStyle name="Comma 4 5 2 4 5 4" xfId="52517" xr:uid="{DFDA3E9C-AACE-4BD4-AA55-577372F83440}"/>
    <cellStyle name="Comma 4 5 2 4 5 5" xfId="55533" xr:uid="{EA8EFF75-E09E-49AD-BE3F-11374B232E9E}"/>
    <cellStyle name="Comma 4 5 2 4 6" xfId="12638" xr:uid="{1435D3C8-C425-43FD-8F56-F48D93E35359}"/>
    <cellStyle name="Comma 4 5 2 4 6 2" xfId="48337" xr:uid="{4620843B-8283-4A37-9641-11152C780B4D}"/>
    <cellStyle name="Comma 4 5 2 4 6 3" xfId="51086" xr:uid="{FC5D98A6-BF85-4398-9AB1-4C15D5F6C887}"/>
    <cellStyle name="Comma 4 5 2 4 6 4" xfId="54102" xr:uid="{23F74E51-D58C-4D0B-84D9-57506ABDF8B5}"/>
    <cellStyle name="Comma 4 5 2 4 7" xfId="46063" xr:uid="{D9D39305-A7D6-4C74-9A8E-00BC59D70EB0}"/>
    <cellStyle name="Comma 4 5 2 4 8" xfId="49980" xr:uid="{3299D21C-3619-449E-88D5-78F948741291}"/>
    <cellStyle name="Comma 4 5 2 4 9" xfId="52996" xr:uid="{C2519529-C0E0-41FC-8B62-15409147D38C}"/>
    <cellStyle name="Comma 4 5 2 5" xfId="10264" xr:uid="{4D9108C6-31B5-4DE0-A05C-DC93E78AEAC2}"/>
    <cellStyle name="Comma 4 5 2 5 2" xfId="14731" xr:uid="{B740592F-7C7A-41AC-B919-D2A9228FA259}"/>
    <cellStyle name="Comma 4 5 2 5 2 2" xfId="22278" xr:uid="{3FAB0F14-8B91-4000-8F96-52B0C366E1A7}"/>
    <cellStyle name="Comma 4 5 2 5 2 3" xfId="48062" xr:uid="{506E47F4-72ED-4943-B064-84FE96ACF727}"/>
    <cellStyle name="Comma 4 5 2 5 2 4" xfId="51616" xr:uid="{BCFC0D8D-B3D4-4182-AABD-7A69EA512A23}"/>
    <cellStyle name="Comma 4 5 2 5 2 5" xfId="54632" xr:uid="{8841BB48-04E9-429E-B84C-85E770A5DCCA}"/>
    <cellStyle name="Comma 4 5 2 5 3" xfId="15216" xr:uid="{6E05CAE1-62A4-4448-BA02-115D87127F29}"/>
    <cellStyle name="Comma 4 5 2 5 3 2" xfId="22755" xr:uid="{BD0C8541-5D9D-49CA-8418-8A4E72E9FD6D}"/>
    <cellStyle name="Comma 4 5 2 5 3 3" xfId="48125" xr:uid="{571E98BB-F1A7-4F57-AE0D-6FB4BF2790C7}"/>
    <cellStyle name="Comma 4 5 2 5 3 4" xfId="52093" xr:uid="{606D3B5F-0A8A-436F-8F81-1C766793AFD3}"/>
    <cellStyle name="Comma 4 5 2 5 3 5" xfId="55109" xr:uid="{B256A4B1-B32E-4C23-B2DA-7EEABA7DB9DC}"/>
    <cellStyle name="Comma 4 5 2 5 4" xfId="15703" xr:uid="{8FBC7DA2-7418-4D6B-B054-623BC68C3D30}"/>
    <cellStyle name="Comma 4 5 2 5 4 2" xfId="23232" xr:uid="{06D65883-C260-4D6D-ABB6-D49AE284CAED}"/>
    <cellStyle name="Comma 4 5 2 5 4 3" xfId="47456" xr:uid="{502205E2-0585-4200-8C4E-146C3D808B3E}"/>
    <cellStyle name="Comma 4 5 2 5 4 4" xfId="52570" xr:uid="{9FABBDE7-9143-4102-9AC5-5441908819D9}"/>
    <cellStyle name="Comma 4 5 2 5 4 5" xfId="55586" xr:uid="{E8371685-496F-4ECD-8C03-BF2227B79CAE}"/>
    <cellStyle name="Comma 4 5 2 5 5" xfId="12717" xr:uid="{B2A98A76-D811-4D21-A946-E06F61222500}"/>
    <cellStyle name="Comma 4 5 2 5 5 2" xfId="37489" xr:uid="{BC1A5B5A-2CA9-4881-9E1A-0D8764B01211}"/>
    <cellStyle name="Comma 4 5 2 5 5 3" xfId="51139" xr:uid="{455016ED-806C-4678-8B93-757D6BD2879E}"/>
    <cellStyle name="Comma 4 5 2 5 5 4" xfId="54155" xr:uid="{84D59DED-64B2-4C13-8760-7B78E6CB9385}"/>
    <cellStyle name="Comma 4 5 2 5 6" xfId="48452" xr:uid="{94149962-4CE4-4DC1-A052-92C02D41B702}"/>
    <cellStyle name="Comma 4 5 2 5 7" xfId="50033" xr:uid="{EBB79D2D-6ECF-4523-8ECD-AB716646BBB7}"/>
    <cellStyle name="Comma 4 5 2 5 8" xfId="53049" xr:uid="{3B800531-2FE8-4BBC-BAB0-DB26F39FE8C7}"/>
    <cellStyle name="Comma 4 5 2 6" xfId="10578" xr:uid="{F3846D05-D7ED-49EC-AEFA-40C73BF6FE39}"/>
    <cellStyle name="Comma 4 5 2 6 2" xfId="14943" xr:uid="{3FCB25E3-E14C-4ACC-8F5E-DF9A64E08BAF}"/>
    <cellStyle name="Comma 4 5 2 6 2 2" xfId="22490" xr:uid="{8BE581C4-48C5-424C-A7AE-DC3D084326A1}"/>
    <cellStyle name="Comma 4 5 2 6 2 3" xfId="32520" xr:uid="{A078C9CC-9AA4-46FD-9CEB-643637FE07CE}"/>
    <cellStyle name="Comma 4 5 2 6 2 4" xfId="51828" xr:uid="{A5347349-5FCB-49F8-8305-FDDDC405A22D}"/>
    <cellStyle name="Comma 4 5 2 6 2 5" xfId="54844" xr:uid="{2329F3A8-93BB-4F58-BF43-56B7EC71DA96}"/>
    <cellStyle name="Comma 4 5 2 6 3" xfId="15428" xr:uid="{F36109A1-82E2-47DC-8055-5229FA0A7BCF}"/>
    <cellStyle name="Comma 4 5 2 6 3 2" xfId="22967" xr:uid="{5FC48F07-D43F-4498-BFB9-F25B74F046A4}"/>
    <cellStyle name="Comma 4 5 2 6 3 3" xfId="46692" xr:uid="{F055CEAC-E876-4262-B567-DC9E61EC1F6A}"/>
    <cellStyle name="Comma 4 5 2 6 3 4" xfId="52305" xr:uid="{92F0135A-E586-4FFB-93CD-21DA49EC6C94}"/>
    <cellStyle name="Comma 4 5 2 6 3 5" xfId="55321" xr:uid="{33C5FFC9-C35D-4990-87B4-0BBE7B5486C2}"/>
    <cellStyle name="Comma 4 5 2 6 4" xfId="15916" xr:uid="{F355DCC4-498C-4308-9E4E-A411AA1061DA}"/>
    <cellStyle name="Comma 4 5 2 6 4 2" xfId="23444" xr:uid="{49FC0458-213D-4ACE-BB32-22C2378052F9}"/>
    <cellStyle name="Comma 4 5 2 6 4 3" xfId="46606" xr:uid="{8A243C94-5705-4497-AD93-3019C018B665}"/>
    <cellStyle name="Comma 4 5 2 6 4 4" xfId="52782" xr:uid="{B8C3178A-5433-4539-B91B-BD7329E0128A}"/>
    <cellStyle name="Comma 4 5 2 6 4 5" xfId="55798" xr:uid="{AE42E70B-E109-4FBC-8677-7856ACF7D9C1}"/>
    <cellStyle name="Comma 4 5 2 6 5" xfId="13031" xr:uid="{3CC5FEDB-EC2A-427D-B03A-B8B659177B2D}"/>
    <cellStyle name="Comma 4 5 2 6 5 2" xfId="46823" xr:uid="{545EC74D-812C-4DBB-B5EB-AD58A85FB58E}"/>
    <cellStyle name="Comma 4 5 2 6 5 3" xfId="51351" xr:uid="{AAE7FC25-2D94-4041-8D6C-FBB07653C081}"/>
    <cellStyle name="Comma 4 5 2 6 5 4" xfId="54367" xr:uid="{26032F0F-15B0-4404-9724-53F48B2F176A}"/>
    <cellStyle name="Comma 4 5 2 6 6" xfId="46154" xr:uid="{DC2520BD-C7C8-4124-8A44-7A541FA71913}"/>
    <cellStyle name="Comma 4 5 2 6 7" xfId="50245" xr:uid="{2F1BD1FF-9F9A-4586-87E8-4A31DA142CB5}"/>
    <cellStyle name="Comma 4 5 2 6 8" xfId="53261" xr:uid="{BA8A91E8-ADDB-4FCE-8895-465BFCFEA4A4}"/>
    <cellStyle name="Comma 4 5 2 7" xfId="14519" xr:uid="{465FFD5C-EA24-401F-910A-A5CA6AEF3B83}"/>
    <cellStyle name="Comma 4 5 2 7 2" xfId="22066" xr:uid="{FB6ABEDD-E9C7-4EB8-8781-FCF2FC178AC1}"/>
    <cellStyle name="Comma 4 5 2 7 3" xfId="47768" xr:uid="{648D8E94-C705-4C4B-B3B2-5C668E7179A9}"/>
    <cellStyle name="Comma 4 5 2 7 4" xfId="51404" xr:uid="{BC78DD7D-919E-44F3-AE32-2164E33BAB4B}"/>
    <cellStyle name="Comma 4 5 2 7 5" xfId="54420" xr:uid="{B82B24EC-9DAD-4D4A-A90D-F39E5221CEEB}"/>
    <cellStyle name="Comma 4 5 2 8" xfId="15003" xr:uid="{56BDCA45-BA07-4BAE-923B-4619621323C0}"/>
    <cellStyle name="Comma 4 5 2 8 2" xfId="22543" xr:uid="{E27C7288-910C-4F1E-B312-691FC3B5B88C}"/>
    <cellStyle name="Comma 4 5 2 8 3" xfId="48413" xr:uid="{3474B844-4B43-4B74-8E87-9DD9C03D13E4}"/>
    <cellStyle name="Comma 4 5 2 8 4" xfId="51881" xr:uid="{C8BEE1F7-8CE8-4E1A-91B8-33E579B56717}"/>
    <cellStyle name="Comma 4 5 2 8 5" xfId="54897" xr:uid="{8892FA21-F535-4094-9D0A-BDDF218AA1B7}"/>
    <cellStyle name="Comma 4 5 2 9" xfId="15490" xr:uid="{BC405102-7457-4271-B8E8-38CEEF021A4E}"/>
    <cellStyle name="Comma 4 5 2 9 2" xfId="23020" xr:uid="{907C4DC8-0608-4F33-BD2E-8226D311B5B5}"/>
    <cellStyle name="Comma 4 5 2 9 3" xfId="47995" xr:uid="{3E7BDA8B-B8E0-4335-A109-EB0BCA515854}"/>
    <cellStyle name="Comma 4 5 2 9 4" xfId="52358" xr:uid="{650B4333-0B43-4552-B94A-CB99D2DB2E4F}"/>
    <cellStyle name="Comma 4 5 2 9 5" xfId="55374" xr:uid="{E48D1584-306F-4877-9D92-034D3993C1CF}"/>
    <cellStyle name="Comma 4 5 20" xfId="8943" xr:uid="{A8411680-103B-4F6C-826F-678E6F43895B}"/>
    <cellStyle name="Comma 4 5 3" xfId="10030" xr:uid="{775A0505-4F3D-477B-8CB4-FECE06F76E74}"/>
    <cellStyle name="Comma 4 5 3 2" xfId="10338" xr:uid="{3CE42433-9C08-46E7-8C23-D42D0FD77ED1}"/>
    <cellStyle name="Comma 4 5 3 2 2" xfId="14783" xr:uid="{8BBF7D55-5CAA-4D4C-9A3A-C58ED788B64E}"/>
    <cellStyle name="Comma 4 5 3 2 2 2" xfId="22330" xr:uid="{C505E2B5-2314-4310-B226-B86AE325E403}"/>
    <cellStyle name="Comma 4 5 3 2 2 3" xfId="48536" xr:uid="{96E17D6F-737A-450D-8F8A-091B52F8C9D3}"/>
    <cellStyle name="Comma 4 5 3 2 2 4" xfId="51668" xr:uid="{6A2F2870-D6F6-4F72-9C44-70887A9FA7F8}"/>
    <cellStyle name="Comma 4 5 3 2 2 5" xfId="54684" xr:uid="{E168783B-FBF4-49D5-AE8A-9CE9379A923F}"/>
    <cellStyle name="Comma 4 5 3 2 3" xfId="15268" xr:uid="{EF1516BC-D3BA-4CFE-9008-68A822053443}"/>
    <cellStyle name="Comma 4 5 3 2 3 2" xfId="22807" xr:uid="{D7BC373B-A4B9-46E4-8F1C-437D565C3312}"/>
    <cellStyle name="Comma 4 5 3 2 3 3" xfId="48512" xr:uid="{1D824CE9-470B-4ABB-8B28-EC157C704CBB}"/>
    <cellStyle name="Comma 4 5 3 2 3 4" xfId="52145" xr:uid="{5C688371-B7C8-404B-9D9B-264D9168E111}"/>
    <cellStyle name="Comma 4 5 3 2 3 5" xfId="55161" xr:uid="{40A15272-04B4-421C-8416-56E484176F81}"/>
    <cellStyle name="Comma 4 5 3 2 4" xfId="15755" xr:uid="{5434A4A5-7BDB-4122-9E07-ABB6B7801100}"/>
    <cellStyle name="Comma 4 5 3 2 4 2" xfId="23284" xr:uid="{44466BD4-2F6A-4E9B-AF26-6A5B87B29D9E}"/>
    <cellStyle name="Comma 4 5 3 2 4 3" xfId="47003" xr:uid="{AC3BD263-FD50-46A6-B298-394EF9B6425C}"/>
    <cellStyle name="Comma 4 5 3 2 4 4" xfId="52622" xr:uid="{F6838FB8-4965-4B39-9E90-AED890FB6B5D}"/>
    <cellStyle name="Comma 4 5 3 2 4 5" xfId="55638" xr:uid="{05FCE8AC-AA46-4DF7-B6BB-A2263E6F75D2}"/>
    <cellStyle name="Comma 4 5 3 2 5" xfId="12791" xr:uid="{3780A734-B5D2-4A22-9D19-B97A0F0C223E}"/>
    <cellStyle name="Comma 4 5 3 2 5 2" xfId="46353" xr:uid="{F7222335-B9DD-482A-ADBE-D5A3C1A626D0}"/>
    <cellStyle name="Comma 4 5 3 2 5 3" xfId="51191" xr:uid="{1FAAB504-BC90-4E39-BF2E-743EC2AD5047}"/>
    <cellStyle name="Comma 4 5 3 2 5 4" xfId="54207" xr:uid="{4340E647-DDD2-42CA-942D-BBFEF65BA7BB}"/>
    <cellStyle name="Comma 4 5 3 2 6" xfId="46090" xr:uid="{F0815B45-B6C0-463B-9B78-14768A26E445}"/>
    <cellStyle name="Comma 4 5 3 2 7" xfId="50085" xr:uid="{872502FF-888C-4303-86A4-F3CD0B8A3D69}"/>
    <cellStyle name="Comma 4 5 3 2 8" xfId="53101" xr:uid="{E98C3AB3-CAED-4A5F-9641-9AEB9E04B002}"/>
    <cellStyle name="Comma 4 5 3 3" xfId="14571" xr:uid="{BA8DF413-3D71-4FA3-8129-9C00F64016FB}"/>
    <cellStyle name="Comma 4 5 3 3 2" xfId="22118" xr:uid="{60584EA3-3D4E-461A-85DB-065BEA326051}"/>
    <cellStyle name="Comma 4 5 3 3 3" xfId="46400" xr:uid="{A07B61CD-92F0-40DE-B714-26FB740FAA19}"/>
    <cellStyle name="Comma 4 5 3 3 4" xfId="51456" xr:uid="{8A6CDF7D-FE21-4BCF-8B76-B8168BF0246F}"/>
    <cellStyle name="Comma 4 5 3 3 5" xfId="54472" xr:uid="{554F1648-9208-497B-A2C4-1EBFB7AE30EF}"/>
    <cellStyle name="Comma 4 5 3 4" xfId="15055" xr:uid="{88ABF9FA-4A74-449C-A1F9-D756DC8B828E}"/>
    <cellStyle name="Comma 4 5 3 4 2" xfId="22595" xr:uid="{CEF141DE-7F67-4A25-8C0B-85E1C3B0CB78}"/>
    <cellStyle name="Comma 4 5 3 4 3" xfId="33168" xr:uid="{41ABB741-B804-4540-85AD-B957F50DDCFB}"/>
    <cellStyle name="Comma 4 5 3 4 4" xfId="51933" xr:uid="{78D6636D-5745-42F4-99F2-0EA5F628435B}"/>
    <cellStyle name="Comma 4 5 3 4 5" xfId="54949" xr:uid="{3893D5AD-FECD-4253-B69F-9FE61C1F43F3}"/>
    <cellStyle name="Comma 4 5 3 5" xfId="15542" xr:uid="{96F81746-91A2-4A79-9D0D-CAD1BF32530B}"/>
    <cellStyle name="Comma 4 5 3 5 2" xfId="23072" xr:uid="{9164D80B-BC57-4CA7-8787-8BB51DDEAFD1}"/>
    <cellStyle name="Comma 4 5 3 5 3" xfId="47943" xr:uid="{0DC6B39E-4B5D-4D09-824D-8F94912382F4}"/>
    <cellStyle name="Comma 4 5 3 5 4" xfId="52410" xr:uid="{184E6275-AC1C-4306-99C3-2CFA9E611A24}"/>
    <cellStyle name="Comma 4 5 3 5 5" xfId="55426" xr:uid="{63533730-E01D-4AA7-A90D-C5600839BB95}"/>
    <cellStyle name="Comma 4 5 3 6" xfId="12490" xr:uid="{F1A7A9F9-D6D5-436C-9877-8DC69C47F479}"/>
    <cellStyle name="Comma 4 5 3 6 2" xfId="47756" xr:uid="{2AD42A94-B6FF-4AF0-9BD2-3462DA098DDC}"/>
    <cellStyle name="Comma 4 5 3 6 3" xfId="50979" xr:uid="{447FB9EC-C606-4D6D-AAA0-863849D2C194}"/>
    <cellStyle name="Comma 4 5 3 6 4" xfId="53995" xr:uid="{6C46B206-FA24-4279-8C60-ABADD2C5406F}"/>
    <cellStyle name="Comma 4 5 3 7" xfId="46031" xr:uid="{E6D1C0BB-27E1-4608-9A5E-C6A3A5A2DABF}"/>
    <cellStyle name="Comma 4 5 3 8" xfId="49873" xr:uid="{C146BA2E-0B32-4BB0-97E3-55194A2982ED}"/>
    <cellStyle name="Comma 4 5 3 9" xfId="52889" xr:uid="{7D45D85A-7F13-41D1-A90E-6A9DCF488C74}"/>
    <cellStyle name="Comma 4 5 4" xfId="10104" xr:uid="{86A3C6D8-5F80-441A-B70C-5D1F5E7C11E0}"/>
    <cellStyle name="Comma 4 5 4 2" xfId="10417" xr:uid="{0DD2A3D7-FA72-452A-84EB-734FCC2B706C}"/>
    <cellStyle name="Comma 4 5 4 2 2" xfId="14836" xr:uid="{6E27F136-C730-4FC0-8754-72FC5B4B5459}"/>
    <cellStyle name="Comma 4 5 4 2 2 2" xfId="22383" xr:uid="{938BDF2B-F78F-4546-9A60-065A94D6FF3F}"/>
    <cellStyle name="Comma 4 5 4 2 2 3" xfId="47183" xr:uid="{E77EDB39-CB8A-4247-ACDD-768EA514F5A0}"/>
    <cellStyle name="Comma 4 5 4 2 2 4" xfId="51721" xr:uid="{DAB90DA8-FC91-4E34-9784-064EF7AB6A70}"/>
    <cellStyle name="Comma 4 5 4 2 2 5" xfId="54737" xr:uid="{F67670DE-5F3B-4235-96F7-49E43E2C4980}"/>
    <cellStyle name="Comma 4 5 4 2 3" xfId="15321" xr:uid="{8E23F887-3201-41FF-B9D2-8AEC2B93FD8A}"/>
    <cellStyle name="Comma 4 5 4 2 3 2" xfId="22860" xr:uid="{44E0E2CF-1C10-4087-8936-0C0B01BA607F}"/>
    <cellStyle name="Comma 4 5 4 2 3 3" xfId="47841" xr:uid="{124F2B3E-96AA-4E51-A26D-5F7384D7DEB1}"/>
    <cellStyle name="Comma 4 5 4 2 3 4" xfId="52198" xr:uid="{BF3370C5-847C-4D9E-991D-C24ADF48B99C}"/>
    <cellStyle name="Comma 4 5 4 2 3 5" xfId="55214" xr:uid="{31A85E7B-5658-4F0C-8C07-5885364EA4F8}"/>
    <cellStyle name="Comma 4 5 4 2 4" xfId="15808" xr:uid="{F2241684-E006-4D1F-838F-7F834558DC0F}"/>
    <cellStyle name="Comma 4 5 4 2 4 2" xfId="23337" xr:uid="{8AC2A5A6-F0B4-4543-970B-FBC3E498D67E}"/>
    <cellStyle name="Comma 4 5 4 2 4 3" xfId="46968" xr:uid="{950C1A0D-858D-42C5-9553-86C503B1E395}"/>
    <cellStyle name="Comma 4 5 4 2 4 4" xfId="52675" xr:uid="{DBB182A1-1C1E-46BA-A2E2-65A88ED9DE4D}"/>
    <cellStyle name="Comma 4 5 4 2 4 5" xfId="55691" xr:uid="{4096FADF-8EA2-4CD0-BE8B-023D4BA77A2E}"/>
    <cellStyle name="Comma 4 5 4 2 5" xfId="12870" xr:uid="{58C8FFD7-77E8-4319-A5EF-CCB9E265987C}"/>
    <cellStyle name="Comma 4 5 4 2 5 2" xfId="24688" xr:uid="{C9232BBB-4A46-42BC-84AF-16830B0F932F}"/>
    <cellStyle name="Comma 4 5 4 2 5 3" xfId="51244" xr:uid="{3CD83B36-F694-46E2-8F40-5A47B38CD713}"/>
    <cellStyle name="Comma 4 5 4 2 5 4" xfId="54260" xr:uid="{221E207B-B468-4F1D-BCD2-F19B60FA0A32}"/>
    <cellStyle name="Comma 4 5 4 2 6" xfId="47289" xr:uid="{670C10AC-9816-447A-8660-3D9E90F244DD}"/>
    <cellStyle name="Comma 4 5 4 2 7" xfId="50138" xr:uid="{A6F238E6-2E93-4C92-866E-4AFEE3FE9ED3}"/>
    <cellStyle name="Comma 4 5 4 2 8" xfId="53154" xr:uid="{A4047F02-211E-49E2-884C-7344E274472A}"/>
    <cellStyle name="Comma 4 5 4 3" xfId="14624" xr:uid="{816B5CBB-8BDB-4850-8656-250EEFF78DA6}"/>
    <cellStyle name="Comma 4 5 4 3 2" xfId="22171" xr:uid="{455D5659-79C7-4CA8-B287-64A18A0D2901}"/>
    <cellStyle name="Comma 4 5 4 3 3" xfId="24970" xr:uid="{C104CD5B-C36A-4E26-9E48-491A60904E4F}"/>
    <cellStyle name="Comma 4 5 4 3 4" xfId="51509" xr:uid="{27358AFB-4388-47EA-ABAE-C5C7ADF2A2BC}"/>
    <cellStyle name="Comma 4 5 4 3 5" xfId="54525" xr:uid="{6782B559-C866-4A3C-B58F-DF7547CE2C04}"/>
    <cellStyle name="Comma 4 5 4 4" xfId="15109" xr:uid="{21367D3A-0BC7-434D-B3BF-4DA0D2AAD229}"/>
    <cellStyle name="Comma 4 5 4 4 2" xfId="22648" xr:uid="{75E8350F-BEFA-4BEE-B238-687098FF1C63}"/>
    <cellStyle name="Comma 4 5 4 4 3" xfId="46881" xr:uid="{A9EF0C2A-0E19-4CEF-A6DD-55C9938EE105}"/>
    <cellStyle name="Comma 4 5 4 4 4" xfId="51986" xr:uid="{2FE13520-62A1-4A74-881C-4818A56E7718}"/>
    <cellStyle name="Comma 4 5 4 4 5" xfId="55002" xr:uid="{586CAE3D-5C60-4540-AE0D-787F2DE1D8E2}"/>
    <cellStyle name="Comma 4 5 4 5" xfId="15596" xr:uid="{28BAF873-FCF4-48CE-A0FE-33EAA82D57A8}"/>
    <cellStyle name="Comma 4 5 4 5 2" xfId="23125" xr:uid="{00564708-3C3A-4983-AD5B-356AEEBA4B6F}"/>
    <cellStyle name="Comma 4 5 4 5 3" xfId="46940" xr:uid="{61FEC0DF-794D-458E-82A4-C46D0EDF3426}"/>
    <cellStyle name="Comma 4 5 4 5 4" xfId="52463" xr:uid="{4E18C9B2-97ED-4606-B13D-B2856FEF714A}"/>
    <cellStyle name="Comma 4 5 4 5 5" xfId="55479" xr:uid="{1BA31C33-CA6E-4EBC-9651-9136B0FEB730}"/>
    <cellStyle name="Comma 4 5 4 6" xfId="12561" xr:uid="{2EF519C5-C6FA-4FBF-8335-BB3060ED72E3}"/>
    <cellStyle name="Comma 4 5 4 6 2" xfId="47091" xr:uid="{FE3DB549-5857-4633-8638-E3AD45468B3D}"/>
    <cellStyle name="Comma 4 5 4 6 3" xfId="51032" xr:uid="{6FA907F8-3E1A-4612-BF8E-546112F68BEC}"/>
    <cellStyle name="Comma 4 5 4 6 4" xfId="54048" xr:uid="{32F30897-48D7-474E-A2E8-D9005233B9CC}"/>
    <cellStyle name="Comma 4 5 4 7" xfId="46047" xr:uid="{EE84A112-B8D6-40E4-BD99-207C737D8D8F}"/>
    <cellStyle name="Comma 4 5 4 8" xfId="49926" xr:uid="{21F48A10-2DDC-4960-AC69-70FFB703B2A5}"/>
    <cellStyle name="Comma 4 5 4 9" xfId="52942" xr:uid="{DABCF998-13F3-44DB-828F-4B1C1CD5576B}"/>
    <cellStyle name="Comma 4 5 5" xfId="10183" xr:uid="{E5C774DA-EC81-4566-9061-BC8F44C9B94C}"/>
    <cellStyle name="Comma 4 5 5 2" xfId="10497" xr:uid="{48E8D9AA-AB48-4A1C-9335-25A50EFCD613}"/>
    <cellStyle name="Comma 4 5 5 2 2" xfId="14889" xr:uid="{7B75DB2B-6182-4293-BE53-BF39666D6B27}"/>
    <cellStyle name="Comma 4 5 5 2 2 2" xfId="22436" xr:uid="{18759703-CF6D-4DF8-A9AB-3A617D2F3E4F}"/>
    <cellStyle name="Comma 4 5 5 2 2 3" xfId="46450" xr:uid="{EDD955A6-1492-4173-B138-736D1A8769F6}"/>
    <cellStyle name="Comma 4 5 5 2 2 4" xfId="51774" xr:uid="{985382B3-BE1E-47F1-98F0-15B8EE33C39D}"/>
    <cellStyle name="Comma 4 5 5 2 2 5" xfId="54790" xr:uid="{BA23C235-D570-4FE0-8A82-543B9FD08612}"/>
    <cellStyle name="Comma 4 5 5 2 3" xfId="15374" xr:uid="{26045ADA-54B8-45C1-8D5A-628930DD378A}"/>
    <cellStyle name="Comma 4 5 5 2 3 2" xfId="22913" xr:uid="{86DE0E50-1B0F-4BB5-B86B-0AB67742A1FE}"/>
    <cellStyle name="Comma 4 5 5 2 3 3" xfId="46522" xr:uid="{203A7B58-7138-445C-85EB-FF58BF687769}"/>
    <cellStyle name="Comma 4 5 5 2 3 4" xfId="52251" xr:uid="{652121E7-4D13-49D9-9922-64FD19DEEB5E}"/>
    <cellStyle name="Comma 4 5 5 2 3 5" xfId="55267" xr:uid="{18F6B149-88E1-4C98-AC32-BCCC4F4A39B7}"/>
    <cellStyle name="Comma 4 5 5 2 4" xfId="15861" xr:uid="{AD441D12-B5D7-4579-8FB0-A1C77E95A293}"/>
    <cellStyle name="Comma 4 5 5 2 4 2" xfId="23390" xr:uid="{95CA16E1-074E-40D0-B5A9-8DC5CE04F93D}"/>
    <cellStyle name="Comma 4 5 5 2 4 3" xfId="37441" xr:uid="{61F3A3A7-7DDB-47FC-83DE-CBA7260D5AFC}"/>
    <cellStyle name="Comma 4 5 5 2 4 4" xfId="52728" xr:uid="{DD02274E-5D19-4CED-810A-C9F5B3F65647}"/>
    <cellStyle name="Comma 4 5 5 2 4 5" xfId="55744" xr:uid="{114E68B2-77F4-439F-BA80-D5105CFC3BDA}"/>
    <cellStyle name="Comma 4 5 5 2 5" xfId="12950" xr:uid="{8F223976-4A63-4FD1-AD48-1C9301298DD7}"/>
    <cellStyle name="Comma 4 5 5 2 5 2" xfId="46816" xr:uid="{1A57E200-E7F4-4CE9-9E06-FD227B147881}"/>
    <cellStyle name="Comma 4 5 5 2 5 3" xfId="51297" xr:uid="{37B6A64F-F212-470F-9217-46E21BE1B5CC}"/>
    <cellStyle name="Comma 4 5 5 2 5 4" xfId="54313" xr:uid="{93E91A18-FA49-436D-BDAC-43F2FA1217CA}"/>
    <cellStyle name="Comma 4 5 5 2 6" xfId="46136" xr:uid="{64889D8C-720C-46DE-A84F-8719B8C55253}"/>
    <cellStyle name="Comma 4 5 5 2 7" xfId="50191" xr:uid="{186C1CCD-81ED-4FBE-908F-18FA347FACDB}"/>
    <cellStyle name="Comma 4 5 5 2 8" xfId="53207" xr:uid="{F4F29019-B423-46F8-8538-E3DEA652E968}"/>
    <cellStyle name="Comma 4 5 5 3" xfId="14677" xr:uid="{3926CBEB-7FB4-4F8D-A6DF-53734F75A20C}"/>
    <cellStyle name="Comma 4 5 5 3 2" xfId="22224" xr:uid="{084A7C96-6BCD-4B60-A3EE-F0B04506EEBF}"/>
    <cellStyle name="Comma 4 5 5 3 3" xfId="47331" xr:uid="{3E1EEC2F-920F-4B96-885E-5FDFC44DA8ED}"/>
    <cellStyle name="Comma 4 5 5 3 4" xfId="51562" xr:uid="{2C69B0BA-41A6-42E8-8B29-E52B23967FD9}"/>
    <cellStyle name="Comma 4 5 5 3 5" xfId="54578" xr:uid="{5AECC3F4-BDCE-4F25-848D-42BEF7D837CF}"/>
    <cellStyle name="Comma 4 5 5 4" xfId="15162" xr:uid="{D185E71F-541C-4DAD-BC2F-368634E145BA}"/>
    <cellStyle name="Comma 4 5 5 4 2" xfId="22701" xr:uid="{67E2BCDD-D361-4506-A0BC-0158E9545358}"/>
    <cellStyle name="Comma 4 5 5 4 3" xfId="47340" xr:uid="{069E48C0-2B03-4B29-AAB6-5B7B4EF91D1F}"/>
    <cellStyle name="Comma 4 5 5 4 4" xfId="52039" xr:uid="{C4814477-3BAF-4DE9-BC94-80797908C704}"/>
    <cellStyle name="Comma 4 5 5 4 5" xfId="55055" xr:uid="{7537F510-28D1-4DD4-B1FA-9A4C62560DF5}"/>
    <cellStyle name="Comma 4 5 5 5" xfId="15649" xr:uid="{7C9AAE97-6DE9-4D46-841B-2C5DC24E5D35}"/>
    <cellStyle name="Comma 4 5 5 5 2" xfId="23178" xr:uid="{42159DC3-EA14-4C6B-A6B5-473D65671B22}"/>
    <cellStyle name="Comma 4 5 5 5 3" xfId="24896" xr:uid="{EDD200A5-8D7E-4D0B-8C0C-2D7280246F3E}"/>
    <cellStyle name="Comma 4 5 5 5 4" xfId="52516" xr:uid="{72D64B6C-A6E5-4BD5-97F6-248979D5E7BE}"/>
    <cellStyle name="Comma 4 5 5 5 5" xfId="55532" xr:uid="{A6727116-CFE2-4264-A5EC-6F423573580D}"/>
    <cellStyle name="Comma 4 5 5 6" xfId="12637" xr:uid="{BBF9C3F4-6CED-4DDE-8EC9-03CBDA543DC3}"/>
    <cellStyle name="Comma 4 5 5 6 2" xfId="46778" xr:uid="{65CF396A-5ACF-4FB5-9984-AF801E6E9EDE}"/>
    <cellStyle name="Comma 4 5 5 6 3" xfId="51085" xr:uid="{63ED7E21-7C3A-42B7-9FCA-E7201A526C55}"/>
    <cellStyle name="Comma 4 5 5 6 4" xfId="54101" xr:uid="{0230D978-B0D2-4C27-B6FD-FE7EEC3A9A51}"/>
    <cellStyle name="Comma 4 5 5 7" xfId="48154" xr:uid="{9C253E2D-8C28-4FFC-96EB-8ED06A56E39B}"/>
    <cellStyle name="Comma 4 5 5 8" xfId="49979" xr:uid="{23D8E6DA-0098-4D77-8423-59B9553D64DC}"/>
    <cellStyle name="Comma 4 5 5 9" xfId="52995" xr:uid="{8BAEC773-A86E-4B91-A8EC-9A63E24A80BA}"/>
    <cellStyle name="Comma 4 5 6" xfId="10263" xr:uid="{31061916-DBD5-4057-A59E-07A599FFC734}"/>
    <cellStyle name="Comma 4 5 6 2" xfId="14730" xr:uid="{0495ECC6-3D65-426E-A97E-D36D6AC0A5AF}"/>
    <cellStyle name="Comma 4 5 6 2 2" xfId="22277" xr:uid="{BDD3EB71-E97F-4939-A4B8-5413FFB2AE0F}"/>
    <cellStyle name="Comma 4 5 6 2 3" xfId="46855" xr:uid="{204AB8D8-368D-45A6-9A29-29EB16719F0B}"/>
    <cellStyle name="Comma 4 5 6 2 4" xfId="51615" xr:uid="{A222C499-0BA6-4147-B074-98C3E9E8D02B}"/>
    <cellStyle name="Comma 4 5 6 2 5" xfId="54631" xr:uid="{CAC1C3B5-7882-4E74-8CFE-DF68C44F2B38}"/>
    <cellStyle name="Comma 4 5 6 3" xfId="15215" xr:uid="{1463D56C-D7E2-45F2-A59D-40903C8BAF08}"/>
    <cellStyle name="Comma 4 5 6 3 2" xfId="22754" xr:uid="{3B22F952-0500-4B5C-B52F-207532EF9521}"/>
    <cellStyle name="Comma 4 5 6 3 3" xfId="47972" xr:uid="{E0A32F73-569D-4E2E-8B7E-4502B61B2105}"/>
    <cellStyle name="Comma 4 5 6 3 4" xfId="52092" xr:uid="{D020F840-789A-4EBB-A8BC-F1D9871FC47C}"/>
    <cellStyle name="Comma 4 5 6 3 5" xfId="55108" xr:uid="{849A62EB-00EE-4861-A636-B0190AC73BC5}"/>
    <cellStyle name="Comma 4 5 6 4" xfId="15702" xr:uid="{A6276F86-2AE7-4379-9121-5A2EFA9EEDAF}"/>
    <cellStyle name="Comma 4 5 6 4 2" xfId="23231" xr:uid="{B6113EE3-C303-45A0-BC59-84FABD80CA2D}"/>
    <cellStyle name="Comma 4 5 6 4 3" xfId="46699" xr:uid="{06CA5939-552F-4F79-8D9D-845293717F02}"/>
    <cellStyle name="Comma 4 5 6 4 4" xfId="52569" xr:uid="{D4226D6F-904E-4F12-B966-E7DB55C8D60C}"/>
    <cellStyle name="Comma 4 5 6 4 5" xfId="55585" xr:uid="{8BC01852-9877-4A58-A56F-C93810F6FA80}"/>
    <cellStyle name="Comma 4 5 6 5" xfId="12716" xr:uid="{9E626A5E-2ACA-448E-87F0-6F174303B16D}"/>
    <cellStyle name="Comma 4 5 6 5 2" xfId="24214" xr:uid="{C6ADB96E-9FBA-4798-A9C1-AD35B58096EF}"/>
    <cellStyle name="Comma 4 5 6 5 3" xfId="51138" xr:uid="{7A133461-1D97-4B41-82FC-3DBF4108243B}"/>
    <cellStyle name="Comma 4 5 6 5 4" xfId="54154" xr:uid="{3E018822-00FF-4E9A-A3CE-5FE5E6F4B26D}"/>
    <cellStyle name="Comma 4 5 6 6" xfId="46075" xr:uid="{A76E7836-AECF-41D4-B1FF-132A5979C5C6}"/>
    <cellStyle name="Comma 4 5 6 7" xfId="50032" xr:uid="{70AB98A2-B56A-4F5F-A37B-1E62F95E80DD}"/>
    <cellStyle name="Comma 4 5 6 8" xfId="53048" xr:uid="{B76DDE23-D4E3-4557-A7C0-C1C05F816DE7}"/>
    <cellStyle name="Comma 4 5 7" xfId="10577" xr:uid="{03E090C2-FF7B-48B8-BB7E-064844ECFFE2}"/>
    <cellStyle name="Comma 4 5 7 2" xfId="14942" xr:uid="{1AA94B25-A959-4123-9DBA-38B3A1115B07}"/>
    <cellStyle name="Comma 4 5 7 2 2" xfId="22489" xr:uid="{7EED275A-F9E3-4333-92DC-19D7879F33CA}"/>
    <cellStyle name="Comma 4 5 7 2 3" xfId="48121" xr:uid="{71F788B5-327F-48CD-A7E2-9D084A788D62}"/>
    <cellStyle name="Comma 4 5 7 2 4" xfId="51827" xr:uid="{52DD3CAB-3F02-4B4D-A469-57091D31587C}"/>
    <cellStyle name="Comma 4 5 7 2 5" xfId="54843" xr:uid="{E27EB64C-C4F7-48B2-8C80-AE6507BFBEB7}"/>
    <cellStyle name="Comma 4 5 7 3" xfId="15427" xr:uid="{57F677F2-884C-43D1-9FB1-D88180453363}"/>
    <cellStyle name="Comma 4 5 7 3 2" xfId="22966" xr:uid="{618612CE-0852-4D2A-B0BB-CA81C45613E3}"/>
    <cellStyle name="Comma 4 5 7 3 3" xfId="47217" xr:uid="{CCDCA041-2B7A-4A49-9059-D7409B6CE68B}"/>
    <cellStyle name="Comma 4 5 7 3 4" xfId="52304" xr:uid="{ED05CE8B-6EC6-4661-A6D3-DB5E13836805}"/>
    <cellStyle name="Comma 4 5 7 3 5" xfId="55320" xr:uid="{63C680BB-5BF6-4F00-8EC5-D6F2BBC6703C}"/>
    <cellStyle name="Comma 4 5 7 4" xfId="15915" xr:uid="{611A0FB9-B137-4D1A-8F0A-91D53572F870}"/>
    <cellStyle name="Comma 4 5 7 4 2" xfId="23443" xr:uid="{5F27EE42-12F6-4E6D-8B58-EDBF3DA7FEB2}"/>
    <cellStyle name="Comma 4 5 7 4 3" xfId="48010" xr:uid="{2DD9B76E-3202-45CF-98C1-B7D446C5EA8F}"/>
    <cellStyle name="Comma 4 5 7 4 4" xfId="52781" xr:uid="{E61CACA1-8D33-455C-AF10-A7FBB1043EBD}"/>
    <cellStyle name="Comma 4 5 7 4 5" xfId="55797" xr:uid="{D75F2B61-B03A-498F-BE02-83B990E7C940}"/>
    <cellStyle name="Comma 4 5 7 5" xfId="13030" xr:uid="{9333B29D-6348-47F9-8457-F73391DEB218}"/>
    <cellStyle name="Comma 4 5 7 5 2" xfId="48401" xr:uid="{F9579FDA-1A9A-4CD1-B3BE-473B1F4721EB}"/>
    <cellStyle name="Comma 4 5 7 5 3" xfId="51350" xr:uid="{A9CE7E14-C063-4B17-BC5E-F73C8464C0A2}"/>
    <cellStyle name="Comma 4 5 7 5 4" xfId="54366" xr:uid="{24A6FEF7-4AC6-45EE-AF59-93D89A381F96}"/>
    <cellStyle name="Comma 4 5 7 6" xfId="47591" xr:uid="{D5425DC7-403D-4D03-9216-AC2F50660DC6}"/>
    <cellStyle name="Comma 4 5 7 7" xfId="50244" xr:uid="{1EED4B3A-DBF0-4C81-94C9-1773F06D273A}"/>
    <cellStyle name="Comma 4 5 7 8" xfId="53260" xr:uid="{29FB0259-28D6-44A8-9D4A-8728C58915A6}"/>
    <cellStyle name="Comma 4 5 8" xfId="13375" xr:uid="{4FA7FE20-161B-4F40-A2B6-5B1BDA5160DF}"/>
    <cellStyle name="Comma 4 5 9" xfId="14518" xr:uid="{49D82C2C-C33F-4CAE-ACC8-CD0595135912}"/>
    <cellStyle name="Comma 4 5 9 2" xfId="22065" xr:uid="{5D19C314-6E4D-49B8-B910-EE7419CF7760}"/>
    <cellStyle name="Comma 4 5 9 3" xfId="46829" xr:uid="{557990A5-CAFE-47FC-A456-F20E4778CA12}"/>
    <cellStyle name="Comma 4 5 9 4" xfId="51403" xr:uid="{4C7E81D9-3A0A-4F27-8051-6E0201380694}"/>
    <cellStyle name="Comma 4 5 9 5" xfId="54419" xr:uid="{B60B12D0-74FE-49F9-AD8F-3BEE6BD0F190}"/>
    <cellStyle name="Comma 4 6" xfId="2624" xr:uid="{DC4A5CEA-8C68-473A-9B28-37C28099DC5A}"/>
    <cellStyle name="Comma 4 6 10" xfId="11700" xr:uid="{FA85E8E0-1F3F-4CBA-846A-E861DD37E0B2}"/>
    <cellStyle name="Comma 4 6 10 2" xfId="47752" xr:uid="{AE21E74A-0EF0-49F9-B293-86E1C748E261}"/>
    <cellStyle name="Comma 4 6 10 3" xfId="50747" xr:uid="{25E72C58-4EBD-44EF-9216-6DD717625EEF}"/>
    <cellStyle name="Comma 4 6 10 4" xfId="53763" xr:uid="{5BBEDA2E-FE59-45D5-AF48-093EF2AC8378}"/>
    <cellStyle name="Comma 4 6 11" xfId="23774" xr:uid="{F3B456EB-DC59-4774-8558-1932E41B226D}"/>
    <cellStyle name="Comma 4 6 12" xfId="48655" xr:uid="{F9863A32-09B9-4F58-B3EC-25459BEF9F99}"/>
    <cellStyle name="Comma 4 6 13" xfId="49563" xr:uid="{04D1953D-0C74-4583-AC74-C96EDA594BC6}"/>
    <cellStyle name="Comma 4 6 14" xfId="49822" xr:uid="{AD7EE875-DE02-44F6-BB68-E1608D9C0C24}"/>
    <cellStyle name="Comma 4 6 15" xfId="52837" xr:uid="{6A8E15CD-016E-403B-A66E-ABBC5E3A887B}"/>
    <cellStyle name="Comma 4 6 16" xfId="8945" xr:uid="{544FDDB9-9CFB-4B39-800F-7E273947FF98}"/>
    <cellStyle name="Comma 4 6 2" xfId="10032" xr:uid="{EAE8B58E-A26E-42F3-906B-E7080BE63EDC}"/>
    <cellStyle name="Comma 4 6 2 2" xfId="10340" xr:uid="{43AA1472-79FD-4FF0-91FD-0525DCFDD67A}"/>
    <cellStyle name="Comma 4 6 2 2 2" xfId="14785" xr:uid="{41FF40A4-61CE-4248-9085-EFA9BBA89299}"/>
    <cellStyle name="Comma 4 6 2 2 2 2" xfId="22332" xr:uid="{9DFB4E9E-7E92-4C61-A93B-0846EFAE44C0}"/>
    <cellStyle name="Comma 4 6 2 2 2 3" xfId="24944" xr:uid="{A75C0708-288E-448C-B40B-E7F1A9D24525}"/>
    <cellStyle name="Comma 4 6 2 2 2 4" xfId="51670" xr:uid="{BF41E2C6-3725-4300-9024-AE42F4ED73A5}"/>
    <cellStyle name="Comma 4 6 2 2 2 5" xfId="54686" xr:uid="{9DE4077D-3E1D-4386-8B13-78B17C99A5F2}"/>
    <cellStyle name="Comma 4 6 2 2 3" xfId="15270" xr:uid="{AA9E7ABB-0D5B-4C74-B766-E1A3F907DFF3}"/>
    <cellStyle name="Comma 4 6 2 2 3 2" xfId="22809" xr:uid="{E1088408-C759-4DB0-AD84-BD37D90D8A6F}"/>
    <cellStyle name="Comma 4 6 2 2 3 3" xfId="24908" xr:uid="{BD76FD06-F921-4E24-A3DA-44B23ADE5D7B}"/>
    <cellStyle name="Comma 4 6 2 2 3 4" xfId="52147" xr:uid="{B0F0B66F-D71E-47D1-B842-EBF74552AB28}"/>
    <cellStyle name="Comma 4 6 2 2 3 5" xfId="55163" xr:uid="{565EBB5D-1DA2-4608-9F5D-9479CC3AAEC0}"/>
    <cellStyle name="Comma 4 6 2 2 4" xfId="15757" xr:uid="{40BB1490-585A-430A-A1BB-31EB1008CC29}"/>
    <cellStyle name="Comma 4 6 2 2 4 2" xfId="23286" xr:uid="{F619A6C6-BE9F-4BF9-A657-BD41F0608A07}"/>
    <cellStyle name="Comma 4 6 2 2 4 3" xfId="46702" xr:uid="{CC39B683-1C39-4B16-B466-CE1B06F97A1F}"/>
    <cellStyle name="Comma 4 6 2 2 4 4" xfId="52624" xr:uid="{13DDC905-30B7-471D-AB2C-CF13A951AF59}"/>
    <cellStyle name="Comma 4 6 2 2 4 5" xfId="55640" xr:uid="{C686BE9B-0F6C-4324-8AE9-459E92316EFA}"/>
    <cellStyle name="Comma 4 6 2 2 5" xfId="12793" xr:uid="{DBD3B931-048E-404B-8C17-3338113C9460}"/>
    <cellStyle name="Comma 4 6 2 2 5 2" xfId="48107" xr:uid="{DE505D2E-D149-4132-8736-A120A04A899E}"/>
    <cellStyle name="Comma 4 6 2 2 5 3" xfId="51193" xr:uid="{577E38BC-50E4-48DD-AD40-D3EFD9D4A7DD}"/>
    <cellStyle name="Comma 4 6 2 2 5 4" xfId="54209" xr:uid="{B3322041-7615-4455-B31D-8EBAFE2A6F81}"/>
    <cellStyle name="Comma 4 6 2 2 6" xfId="24271" xr:uid="{E6D7E45C-EC35-499E-B2A1-EEEB4A71CF78}"/>
    <cellStyle name="Comma 4 6 2 2 7" xfId="50087" xr:uid="{61B1AE81-5072-4F4A-9545-80232108F428}"/>
    <cellStyle name="Comma 4 6 2 2 8" xfId="53103" xr:uid="{0FDD267A-FD99-465C-B115-436E923D934C}"/>
    <cellStyle name="Comma 4 6 2 3" xfId="14573" xr:uid="{36EB6D3C-B070-4812-B60F-0DF3AD99D7DC}"/>
    <cellStyle name="Comma 4 6 2 3 2" xfId="22120" xr:uid="{A7D0DDCD-F185-43BC-932C-56408D372677}"/>
    <cellStyle name="Comma 4 6 2 3 3" xfId="46402" xr:uid="{7F13A452-BA80-49C1-8A2B-5BA19DAC3ED2}"/>
    <cellStyle name="Comma 4 6 2 3 4" xfId="51458" xr:uid="{3DE384C1-BF19-42EE-8DD0-766F02270F05}"/>
    <cellStyle name="Comma 4 6 2 3 5" xfId="54474" xr:uid="{9AB92FF9-ED55-4DE4-BD28-427FDEC83BD6}"/>
    <cellStyle name="Comma 4 6 2 4" xfId="15057" xr:uid="{066FCE28-B43E-4524-AB50-DD9592DFF513}"/>
    <cellStyle name="Comma 4 6 2 4 2" xfId="22597" xr:uid="{5945E7E7-D6D8-4C4C-AD3D-BCCA295066D5}"/>
    <cellStyle name="Comma 4 6 2 4 3" xfId="23861" xr:uid="{3061BE27-EC28-4624-88D1-CA568C2E7D3E}"/>
    <cellStyle name="Comma 4 6 2 4 4" xfId="51935" xr:uid="{7F665BBF-0F00-4FD2-9D59-0CF49A3BB569}"/>
    <cellStyle name="Comma 4 6 2 4 5" xfId="54951" xr:uid="{3F77EBDD-F4EA-4070-8982-36192222430B}"/>
    <cellStyle name="Comma 4 6 2 5" xfId="15544" xr:uid="{361410D8-45CB-4FC5-8960-4A4D15760AC5}"/>
    <cellStyle name="Comma 4 6 2 5 2" xfId="23074" xr:uid="{BBE2A7F9-E037-4FCD-9E5D-B499B544EA17}"/>
    <cellStyle name="Comma 4 6 2 5 3" xfId="47440" xr:uid="{EEF59FDF-6778-4E28-8EFA-74185FE34A9D}"/>
    <cellStyle name="Comma 4 6 2 5 4" xfId="52412" xr:uid="{04DF70DF-8D58-4394-90AE-1BAB1EB96ECF}"/>
    <cellStyle name="Comma 4 6 2 5 5" xfId="55428" xr:uid="{E3BEE550-B0F0-47FD-AAA2-802F3AABA160}"/>
    <cellStyle name="Comma 4 6 2 6" xfId="12492" xr:uid="{8BF38E61-0BF4-4F70-A16B-E669056E6810}"/>
    <cellStyle name="Comma 4 6 2 6 2" xfId="46313" xr:uid="{FEC0CCCD-FD6C-405F-95CD-F800310C4A3B}"/>
    <cellStyle name="Comma 4 6 2 6 3" xfId="50981" xr:uid="{2922D537-9104-437B-9B39-ACCB67AE1EF5}"/>
    <cellStyle name="Comma 4 6 2 6 4" xfId="53997" xr:uid="{CC0EAE0F-31F4-490A-9843-DEC5FE673470}"/>
    <cellStyle name="Comma 4 6 2 7" xfId="46032" xr:uid="{60407330-9D3C-4BC1-9407-FBFA90F8BE89}"/>
    <cellStyle name="Comma 4 6 2 8" xfId="49875" xr:uid="{6296E8B7-909C-4E51-B4FB-7287C62D6DBA}"/>
    <cellStyle name="Comma 4 6 2 9" xfId="52891" xr:uid="{C104E484-1B37-4C73-9449-318BD77DA34C}"/>
    <cellStyle name="Comma 4 6 3" xfId="10106" xr:uid="{455E9536-EF50-4802-8E10-02DF527656EA}"/>
    <cellStyle name="Comma 4 6 3 2" xfId="10419" xr:uid="{CC782EB6-1B34-47D1-B8B9-B7D46B25D1F4}"/>
    <cellStyle name="Comma 4 6 3 2 2" xfId="14838" xr:uid="{CFE63020-5E0B-4AFB-A0DD-18753DF0624C}"/>
    <cellStyle name="Comma 4 6 3 2 2 2" xfId="22385" xr:uid="{B1C9A427-A335-4A37-92DC-12E06F415E59}"/>
    <cellStyle name="Comma 4 6 3 2 2 3" xfId="46442" xr:uid="{401F89AF-CE75-4393-A832-2E33B4BCCE7C}"/>
    <cellStyle name="Comma 4 6 3 2 2 4" xfId="51723" xr:uid="{655738BD-D6F8-4801-8925-498E6A163C28}"/>
    <cellStyle name="Comma 4 6 3 2 2 5" xfId="54739" xr:uid="{EAC7AF50-4562-4F62-909C-DEB1C7DBE5DF}"/>
    <cellStyle name="Comma 4 6 3 2 3" xfId="15323" xr:uid="{710BAE69-696A-46E3-9A8E-9FCA63FABC11}"/>
    <cellStyle name="Comma 4 6 3 2 3 2" xfId="22862" xr:uid="{6D486629-3FD0-4FA9-8229-89E6C33DDCC9}"/>
    <cellStyle name="Comma 4 6 3 2 3 3" xfId="24658" xr:uid="{57C24360-22CB-4007-A891-776E2CB92CAE}"/>
    <cellStyle name="Comma 4 6 3 2 3 4" xfId="52200" xr:uid="{866A1AE7-D17A-4573-AF37-9C0A7CDEF1BB}"/>
    <cellStyle name="Comma 4 6 3 2 3 5" xfId="55216" xr:uid="{E9D18F1A-1285-43A6-9B23-A222289AEA3B}"/>
    <cellStyle name="Comma 4 6 3 2 4" xfId="15810" xr:uid="{C6B11EAF-8505-46AF-B2C1-A1B70973993B}"/>
    <cellStyle name="Comma 4 6 3 2 4 2" xfId="23339" xr:uid="{BA5701FD-8590-4F1A-AD76-62F1160FF33F}"/>
    <cellStyle name="Comma 4 6 3 2 4 3" xfId="47354" xr:uid="{394DCE04-566B-4C2F-97D7-2A9D9568BFA4}"/>
    <cellStyle name="Comma 4 6 3 2 4 4" xfId="52677" xr:uid="{C104F57E-37E6-4FF7-AAAC-6AB90DDED629}"/>
    <cellStyle name="Comma 4 6 3 2 4 5" xfId="55693" xr:uid="{F23ED045-74F2-40A6-95D0-4BE103BA9449}"/>
    <cellStyle name="Comma 4 6 3 2 5" xfId="12872" xr:uid="{B31CBDE3-A568-4177-8FA6-5C765A7C025D}"/>
    <cellStyle name="Comma 4 6 3 2 5 2" xfId="32423" xr:uid="{F740D03F-7C73-468F-BA0C-0BC5C9D1A753}"/>
    <cellStyle name="Comma 4 6 3 2 5 3" xfId="51246" xr:uid="{38936508-A3EE-4F77-BB95-51361F0AF285}"/>
    <cellStyle name="Comma 4 6 3 2 5 4" xfId="54262" xr:uid="{EAB5A25E-AD4C-4773-B591-DEEEE6AD5C92}"/>
    <cellStyle name="Comma 4 6 3 2 6" xfId="46118" xr:uid="{F93AAA13-133F-46C7-A976-38025B65F2EE}"/>
    <cellStyle name="Comma 4 6 3 2 7" xfId="50140" xr:uid="{746C58F8-261A-4CD8-8AD5-4B30507490F5}"/>
    <cellStyle name="Comma 4 6 3 2 8" xfId="53156" xr:uid="{DEA17783-8C1A-491F-A172-17B0DC1EDCB1}"/>
    <cellStyle name="Comma 4 6 3 3" xfId="14626" xr:uid="{9DC1358B-33F7-4743-A7BA-AED66C852C3E}"/>
    <cellStyle name="Comma 4 6 3 3 2" xfId="22173" xr:uid="{019AF8D6-6870-4767-BE9E-8FD9A7BBA3CF}"/>
    <cellStyle name="Comma 4 6 3 3 3" xfId="46843" xr:uid="{DF18445B-BB35-45B8-96E4-8C0792B0C7A7}"/>
    <cellStyle name="Comma 4 6 3 3 4" xfId="51511" xr:uid="{777399D3-8020-44F7-932D-E32632AAEC15}"/>
    <cellStyle name="Comma 4 6 3 3 5" xfId="54527" xr:uid="{0278C55C-7A0C-42DA-8D6F-6311ADABA2E5}"/>
    <cellStyle name="Comma 4 6 3 4" xfId="15111" xr:uid="{078EDAC7-B9E0-4369-8451-B23A4FF6EC75}"/>
    <cellStyle name="Comma 4 6 3 4 2" xfId="22650" xr:uid="{D515B10B-555E-4335-BE01-539F15BBBEA8}"/>
    <cellStyle name="Comma 4 6 3 4 3" xfId="47082" xr:uid="{8851CCD6-8738-403A-969D-65F2B1EFE4B1}"/>
    <cellStyle name="Comma 4 6 3 4 4" xfId="51988" xr:uid="{93C9F888-01CB-4B93-BE2A-F3550487F2EB}"/>
    <cellStyle name="Comma 4 6 3 4 5" xfId="55004" xr:uid="{8D109F46-4408-466E-88FB-B51B31F1606C}"/>
    <cellStyle name="Comma 4 6 3 5" xfId="15598" xr:uid="{7E202FC6-4C5D-4A34-B9F5-76013D232AC2}"/>
    <cellStyle name="Comma 4 6 3 5 2" xfId="23127" xr:uid="{2AEBC30C-6B51-401E-A1BE-D92769264FE8}"/>
    <cellStyle name="Comma 4 6 3 5 3" xfId="47644" xr:uid="{DE062BB8-C7F2-461B-9045-7D0B4F64FB89}"/>
    <cellStyle name="Comma 4 6 3 5 4" xfId="52465" xr:uid="{B7FDE66D-A3B2-4D40-82C1-DFAAE9B7F625}"/>
    <cellStyle name="Comma 4 6 3 5 5" xfId="55481" xr:uid="{3736BAEC-F053-4229-8CEC-3CC504C0EE6C}"/>
    <cellStyle name="Comma 4 6 3 6" xfId="12563" xr:uid="{4ACD6A63-ACFE-4374-B9E3-C08B387E2026}"/>
    <cellStyle name="Comma 4 6 3 6 2" xfId="47692" xr:uid="{34B82994-0036-45B6-8200-BF4F779C7126}"/>
    <cellStyle name="Comma 4 6 3 6 3" xfId="51034" xr:uid="{FD2C28AD-529E-454F-9B1E-975574B1F05C}"/>
    <cellStyle name="Comma 4 6 3 6 4" xfId="54050" xr:uid="{C73EFAB8-C1C2-4BA8-924B-7E131B23AE97}"/>
    <cellStyle name="Comma 4 6 3 7" xfId="46049" xr:uid="{3D1F9F86-EF81-4F23-AD8D-E1E9D37D45D9}"/>
    <cellStyle name="Comma 4 6 3 8" xfId="49928" xr:uid="{0155F888-C4D5-49F8-A15D-C7DC71244C3D}"/>
    <cellStyle name="Comma 4 6 3 9" xfId="52944" xr:uid="{703E3C23-5A15-4CEE-9D81-92C6A156AE92}"/>
    <cellStyle name="Comma 4 6 4" xfId="10185" xr:uid="{DA36A299-0D31-47D9-AACA-DFEB22E8CB9D}"/>
    <cellStyle name="Comma 4 6 4 2" xfId="10499" xr:uid="{07FAB5FC-3DB2-4009-914C-8AE54CEEF840}"/>
    <cellStyle name="Comma 4 6 4 2 2" xfId="14891" xr:uid="{2852485D-E2C8-49E4-A3E5-4958ACC85835}"/>
    <cellStyle name="Comma 4 6 4 2 2 2" xfId="22438" xr:uid="{DD5C2E58-6B2F-4DA0-8185-D8A6C1F6FD52}"/>
    <cellStyle name="Comma 4 6 4 2 2 3" xfId="46452" xr:uid="{9BF11595-6D62-4E3E-9A9F-D905B940CFD1}"/>
    <cellStyle name="Comma 4 6 4 2 2 4" xfId="51776" xr:uid="{5EA3D327-C775-42B0-B8B6-AF99BC43078A}"/>
    <cellStyle name="Comma 4 6 4 2 2 5" xfId="54792" xr:uid="{AFE919ED-4E74-46A2-88C9-3827A3A3E155}"/>
    <cellStyle name="Comma 4 6 4 2 3" xfId="15376" xr:uid="{40D27D6B-02BB-4C14-AE6C-C12ACB46CC6F}"/>
    <cellStyle name="Comma 4 6 4 2 3 2" xfId="22915" xr:uid="{ED3E2ACE-A212-4CAB-BE17-AFCA12FFDE48}"/>
    <cellStyle name="Comma 4 6 4 2 3 3" xfId="47842" xr:uid="{EA54E6BE-0309-4EA1-8875-3B816EC3D4F4}"/>
    <cellStyle name="Comma 4 6 4 2 3 4" xfId="52253" xr:uid="{7E6865F4-AF74-4F8C-87CC-CFC9B2DEF018}"/>
    <cellStyle name="Comma 4 6 4 2 3 5" xfId="55269" xr:uid="{0DA2A6CD-C2EF-4C16-B09C-6927AAE3A6FC}"/>
    <cellStyle name="Comma 4 6 4 2 4" xfId="15863" xr:uid="{374D666D-7F5B-4F30-9EA8-487E46353B28}"/>
    <cellStyle name="Comma 4 6 4 2 4 2" xfId="23392" xr:uid="{6E4AD6EC-7C61-4AB5-BC54-63AB9D67E136}"/>
    <cellStyle name="Comma 4 6 4 2 4 3" xfId="46703" xr:uid="{CCA1AFBB-C23F-4320-94F8-3A6933683AA1}"/>
    <cellStyle name="Comma 4 6 4 2 4 4" xfId="52730" xr:uid="{ADE2A4E1-9A8A-40EE-93CC-5FDA13EBC98B}"/>
    <cellStyle name="Comma 4 6 4 2 4 5" xfId="55746" xr:uid="{04D09C09-92FB-4208-800E-CF95DD42D3C5}"/>
    <cellStyle name="Comma 4 6 4 2 5" xfId="12952" xr:uid="{44E7A45C-DB0F-4930-8186-26F5B812F61E}"/>
    <cellStyle name="Comma 4 6 4 2 5 2" xfId="48494" xr:uid="{9DB1BE6A-0A35-4BE2-8327-FB5333E01AF2}"/>
    <cellStyle name="Comma 4 6 4 2 5 3" xfId="51299" xr:uid="{3A391FAD-2657-4C0E-A8B4-542408ECB054}"/>
    <cellStyle name="Comma 4 6 4 2 5 4" xfId="54315" xr:uid="{EF6EE3DA-F647-4D1B-956A-3D2CD0AC69AD}"/>
    <cellStyle name="Comma 4 6 4 2 6" xfId="46137" xr:uid="{D22522A8-0628-4283-9D96-3AA415663652}"/>
    <cellStyle name="Comma 4 6 4 2 7" xfId="50193" xr:uid="{B9F85A70-2670-4BE2-BCAD-8CB039138E4D}"/>
    <cellStyle name="Comma 4 6 4 2 8" xfId="53209" xr:uid="{E760E15C-AB22-4C63-973B-F71E537E1978}"/>
    <cellStyle name="Comma 4 6 4 3" xfId="14679" xr:uid="{346C41FA-85D9-453E-93EC-C3EF3AB6C2BC}"/>
    <cellStyle name="Comma 4 6 4 3 2" xfId="22226" xr:uid="{CC5EBE6F-0274-4C8B-AF5E-8CF7CE18FA53}"/>
    <cellStyle name="Comma 4 6 4 3 3" xfId="24965" xr:uid="{54FD7F97-4E80-4F21-BFB9-409CDBF0B74D}"/>
    <cellStyle name="Comma 4 6 4 3 4" xfId="51564" xr:uid="{0E32E328-CE4B-4A85-959D-F850072FCD6E}"/>
    <cellStyle name="Comma 4 6 4 3 5" xfId="54580" xr:uid="{1249A803-7639-447F-811A-71E5F9ECC392}"/>
    <cellStyle name="Comma 4 6 4 4" xfId="15164" xr:uid="{BBC8BEFD-E6D9-4430-8B62-4906EFC93769}"/>
    <cellStyle name="Comma 4 6 4 4 2" xfId="22703" xr:uid="{2336AA99-EDC4-404E-86C4-2BCAA5B4C0EF}"/>
    <cellStyle name="Comma 4 6 4 4 3" xfId="46491" xr:uid="{5175E99C-072D-4BA2-A9CA-E7DF3FC65DBA}"/>
    <cellStyle name="Comma 4 6 4 4 4" xfId="52041" xr:uid="{93D297DE-E871-4927-844E-E6128D45D74C}"/>
    <cellStyle name="Comma 4 6 4 4 5" xfId="55057" xr:uid="{CFD7CC45-A297-4BA1-B32A-0D3E96DDDB30}"/>
    <cellStyle name="Comma 4 6 4 5" xfId="15651" xr:uid="{1F1E86DF-906D-4416-89B7-8141B6D38E40}"/>
    <cellStyle name="Comma 4 6 4 5 2" xfId="23180" xr:uid="{7FD59497-3F69-4FD5-95B7-E748B461A505}"/>
    <cellStyle name="Comma 4 6 4 5 3" xfId="46948" xr:uid="{0A9FAB53-E485-4235-825E-5024D680ED40}"/>
    <cellStyle name="Comma 4 6 4 5 4" xfId="52518" xr:uid="{AEB86AC5-4752-4889-8E7F-543F06EC5047}"/>
    <cellStyle name="Comma 4 6 4 5 5" xfId="55534" xr:uid="{809004F3-5F38-4252-837E-E440CE3732D2}"/>
    <cellStyle name="Comma 4 6 4 6" xfId="12639" xr:uid="{AF9C5C8A-69FA-4DC4-9199-DEB9C39DDD53}"/>
    <cellStyle name="Comma 4 6 4 6 2" xfId="47917" xr:uid="{12D795B4-6F6B-4034-B959-1E7DC5C8FB23}"/>
    <cellStyle name="Comma 4 6 4 6 3" xfId="51087" xr:uid="{8A4AF798-2128-4628-A1EE-AB195813B664}"/>
    <cellStyle name="Comma 4 6 4 6 4" xfId="54103" xr:uid="{9A64C8EF-44EA-4305-8D1A-194EA7CBED9D}"/>
    <cellStyle name="Comma 4 6 4 7" xfId="24279" xr:uid="{C75CA23E-0E8A-4392-8259-3020A208001C}"/>
    <cellStyle name="Comma 4 6 4 8" xfId="49981" xr:uid="{4E58A189-492F-4CA4-BAD7-6459AE79C643}"/>
    <cellStyle name="Comma 4 6 4 9" xfId="52997" xr:uid="{616057E9-0AA7-4389-8EBA-ED61A2D8EB55}"/>
    <cellStyle name="Comma 4 6 5" xfId="10265" xr:uid="{F0270FD2-AE79-4E05-9CA9-CF2E6C7FB2BC}"/>
    <cellStyle name="Comma 4 6 5 2" xfId="14732" xr:uid="{FF93FFE1-90A7-41E7-A6DE-DF01F94698F9}"/>
    <cellStyle name="Comma 4 6 5 2 2" xfId="22279" xr:uid="{4C4D58F4-B00E-451E-BCE6-F4239437F74B}"/>
    <cellStyle name="Comma 4 6 5 2 3" xfId="47627" xr:uid="{5A9C023B-5B69-4B35-86C4-6227B9DF33A3}"/>
    <cellStyle name="Comma 4 6 5 2 4" xfId="51617" xr:uid="{00B333C4-51C4-4267-8F68-E22AA8A4CA4C}"/>
    <cellStyle name="Comma 4 6 5 2 5" xfId="54633" xr:uid="{10EBD1AA-76F0-4E77-8703-5382634C4022}"/>
    <cellStyle name="Comma 4 6 5 3" xfId="15217" xr:uid="{707B8B9C-40A8-4A14-B789-2068F556FACC}"/>
    <cellStyle name="Comma 4 6 5 3 2" xfId="22756" xr:uid="{344C7E0E-610A-432D-AF51-CE37DA2EAD18}"/>
    <cellStyle name="Comma 4 6 5 3 3" xfId="46893" xr:uid="{21877D8D-A4FF-462F-BAD9-A2F633837AF3}"/>
    <cellStyle name="Comma 4 6 5 3 4" xfId="52094" xr:uid="{E07FBE73-115A-473C-AE17-C1F7711B6390}"/>
    <cellStyle name="Comma 4 6 5 3 5" xfId="55110" xr:uid="{6F15F48F-1FA9-45F1-A8E5-C1BD9852FA08}"/>
    <cellStyle name="Comma 4 6 5 4" xfId="15704" xr:uid="{B1A6402B-ED53-45D0-97D9-FBC989AB703D}"/>
    <cellStyle name="Comma 4 6 5 4 2" xfId="23233" xr:uid="{B570DC19-BEC6-4E0F-A355-FEBF405CD5B3}"/>
    <cellStyle name="Comma 4 6 5 4 3" xfId="47570" xr:uid="{38C2BC64-0501-4BF0-9BD7-AE8F4E14FC34}"/>
    <cellStyle name="Comma 4 6 5 4 4" xfId="52571" xr:uid="{2C3D7948-E66E-48AC-9D67-F1C78384EA72}"/>
    <cellStyle name="Comma 4 6 5 4 5" xfId="55587" xr:uid="{BCEBE9B8-36A0-4D83-9043-375467B27B4C}"/>
    <cellStyle name="Comma 4 6 5 5" xfId="12718" xr:uid="{2D69DBC5-724D-4AF8-A8C7-759174F50B9E}"/>
    <cellStyle name="Comma 4 6 5 5 2" xfId="24532" xr:uid="{43F65FFA-D0D0-43CE-8DE6-DB11AF1AD474}"/>
    <cellStyle name="Comma 4 6 5 5 3" xfId="51140" xr:uid="{AF879B39-BF38-41B9-8B8C-630000C64FAB}"/>
    <cellStyle name="Comma 4 6 5 5 4" xfId="54156" xr:uid="{9E6B77A2-54D4-46D2-9D8B-297E0D561A68}"/>
    <cellStyle name="Comma 4 6 5 6" xfId="47704" xr:uid="{5C94B2FA-014E-48AD-BFFB-440E0D5B97AC}"/>
    <cellStyle name="Comma 4 6 5 7" xfId="50034" xr:uid="{35D9B42F-BF91-4210-98EA-3F95F3CCB1F5}"/>
    <cellStyle name="Comma 4 6 5 8" xfId="53050" xr:uid="{612F933D-22EE-4C8C-8E61-593451138F68}"/>
    <cellStyle name="Comma 4 6 6" xfId="10579" xr:uid="{7E7F5D6A-EAA9-4909-8911-74E5124F93F2}"/>
    <cellStyle name="Comma 4 6 6 2" xfId="14944" xr:uid="{3587D5F1-9E7E-4607-B6C2-60E9FFB3B235}"/>
    <cellStyle name="Comma 4 6 6 2 2" xfId="22491" xr:uid="{4CBA6B98-2855-467D-BCEB-1F7982EB9326}"/>
    <cellStyle name="Comma 4 6 6 2 3" xfId="47185" xr:uid="{38297C86-8E93-4FA2-B439-2DA9D08FD8DD}"/>
    <cellStyle name="Comma 4 6 6 2 4" xfId="51829" xr:uid="{7C7079A7-FBDC-42E9-AC87-1907A8E9DE87}"/>
    <cellStyle name="Comma 4 6 6 2 5" xfId="54845" xr:uid="{B25A6C9F-AC64-4780-8F08-99F47E9B84CE}"/>
    <cellStyle name="Comma 4 6 6 3" xfId="15429" xr:uid="{523FC368-1D0B-4958-ACF1-D4CB96F50856}"/>
    <cellStyle name="Comma 4 6 6 3 2" xfId="22968" xr:uid="{F05F6BF7-F855-43CF-9641-88ECF3002B34}"/>
    <cellStyle name="Comma 4 6 6 3 3" xfId="48324" xr:uid="{76FED9E2-C7EC-4E8C-8276-FB268A88CFA1}"/>
    <cellStyle name="Comma 4 6 6 3 4" xfId="52306" xr:uid="{31EF854A-4DEE-4E7E-BDBE-851678CFC557}"/>
    <cellStyle name="Comma 4 6 6 3 5" xfId="55322" xr:uid="{0E7B3A4E-767C-4D1A-B5CC-9B74E5548070}"/>
    <cellStyle name="Comma 4 6 6 4" xfId="15917" xr:uid="{0C0E2BF2-DA25-4F3F-A153-0ED3FE3E2A0F}"/>
    <cellStyle name="Comma 4 6 6 4 2" xfId="23445" xr:uid="{388E0792-62A7-49ED-A44B-45898F5DBECA}"/>
    <cellStyle name="Comma 4 6 6 4 3" xfId="48024" xr:uid="{9FE07413-FC75-45EC-9C52-72E00AE91FEC}"/>
    <cellStyle name="Comma 4 6 6 4 4" xfId="52783" xr:uid="{26DFE155-A23C-4566-BA32-01BF0B77F2DF}"/>
    <cellStyle name="Comma 4 6 6 4 5" xfId="55799" xr:uid="{3A620F8A-4A31-4507-AF76-6EB4F72D34B6}"/>
    <cellStyle name="Comma 4 6 6 5" xfId="13032" xr:uid="{A4484F09-3147-43B8-8A0E-C0D16CC5773B}"/>
    <cellStyle name="Comma 4 6 6 5 2" xfId="24687" xr:uid="{127D7955-C9BA-453C-8D5B-7913E14E38A0}"/>
    <cellStyle name="Comma 4 6 6 5 3" xfId="51352" xr:uid="{57726322-5643-4905-A04E-353D44BB7B1F}"/>
    <cellStyle name="Comma 4 6 6 5 4" xfId="54368" xr:uid="{635F5AB8-1B5A-43A2-8679-C4625BDF7A9E}"/>
    <cellStyle name="Comma 4 6 6 6" xfId="48166" xr:uid="{F23F8F5A-F4B1-44DA-A05C-A12D63DBA11B}"/>
    <cellStyle name="Comma 4 6 6 7" xfId="50246" xr:uid="{E70F2536-C857-4A4B-9772-C50D18662274}"/>
    <cellStyle name="Comma 4 6 6 8" xfId="53262" xr:uid="{2F68D872-E882-4CE4-9F85-A1013DEE71A4}"/>
    <cellStyle name="Comma 4 6 7" xfId="14520" xr:uid="{B4902715-86E9-4829-BF0D-634C4D35372D}"/>
    <cellStyle name="Comma 4 6 7 2" xfId="22067" xr:uid="{6A6B6FB3-35CA-4DA1-9465-F3D855879A71}"/>
    <cellStyle name="Comma 4 6 7 3" xfId="47328" xr:uid="{A81DD37E-469A-4C0E-B739-0062D5EF13CB}"/>
    <cellStyle name="Comma 4 6 7 4" xfId="51405" xr:uid="{DEA470E0-AC43-4E7E-9DF8-542E079830D7}"/>
    <cellStyle name="Comma 4 6 7 5" xfId="54421" xr:uid="{CEB6D957-B7B0-4E8E-AF6E-86FB771CE53A}"/>
    <cellStyle name="Comma 4 6 8" xfId="15004" xr:uid="{EFFAC03C-F80F-4D51-AD40-D9AB5AAFDD44}"/>
    <cellStyle name="Comma 4 6 8 2" xfId="22544" xr:uid="{AD8E8441-0C49-4D1F-B374-EF373C8907B2}"/>
    <cellStyle name="Comma 4 6 8 3" xfId="32510" xr:uid="{653C2A0D-4AA1-4A9C-8FE1-FA9D8826AFC7}"/>
    <cellStyle name="Comma 4 6 8 4" xfId="51882" xr:uid="{EBEFAF8B-3952-4441-9C31-236833E94126}"/>
    <cellStyle name="Comma 4 6 8 5" xfId="54898" xr:uid="{66E4BFA8-79C1-45F6-9882-5075129EEA9A}"/>
    <cellStyle name="Comma 4 6 9" xfId="15491" xr:uid="{6C9F76BA-64E5-465D-A358-AF80454EF8EE}"/>
    <cellStyle name="Comma 4 6 9 2" xfId="23021" xr:uid="{CD511A22-4DC4-4767-942A-68B55CFA5BF4}"/>
    <cellStyle name="Comma 4 6 9 3" xfId="46926" xr:uid="{C3D92FEF-0883-4B43-A60F-D03F899154C3}"/>
    <cellStyle name="Comma 4 6 9 4" xfId="52359" xr:uid="{308A4E2D-1FFC-4D6C-B3FC-4FAFF76263D5}"/>
    <cellStyle name="Comma 4 6 9 5" xfId="55375" xr:uid="{BEFBD73C-BD8A-43F1-A638-C5F071F0D834}"/>
    <cellStyle name="Comma 4 7" xfId="11193" xr:uid="{C97E4674-D399-48DB-8282-947AB46AA2E5}"/>
    <cellStyle name="Comma 4 7 2" xfId="21689" xr:uid="{5725AF3D-EA96-4A0E-8AFA-6BAD19BD73F3}"/>
    <cellStyle name="Comma 4 7 3" xfId="23775" xr:uid="{AEB9EC06-EBBE-4088-B193-2CFD790A46A6}"/>
    <cellStyle name="Comma 4 7 4" xfId="47313" xr:uid="{CDA16AA5-7C8D-4024-A54F-49ABA9CF410E}"/>
    <cellStyle name="Comma 4 7 5" xfId="48656" xr:uid="{CF986BAF-4194-4104-9691-927C47E5AE8A}"/>
    <cellStyle name="Comma 4 7 6" xfId="49564" xr:uid="{EF2AA0E5-46AF-474D-93AF-5DC7C2B4E3D3}"/>
    <cellStyle name="Comma 4 7 7" xfId="50706" xr:uid="{646F3B58-EE4B-416F-90B0-5CAE52D19598}"/>
    <cellStyle name="Comma 4 7 8" xfId="53722" xr:uid="{60DB7471-FBE7-4A5D-8B4B-84049F6ED419}"/>
    <cellStyle name="Comma 4 8" xfId="19486" xr:uid="{3D4AF06E-9079-4E96-BD71-ED5AAF09719F}"/>
    <cellStyle name="Comma 4 8 2" xfId="23776" xr:uid="{29FE70C4-590E-4D55-9394-D560CD6E48CE}"/>
    <cellStyle name="Comma 4 8 3" xfId="48657" xr:uid="{43CB0218-D4D0-4535-92CA-3CEB05465B21}"/>
    <cellStyle name="Comma 4 8 4" xfId="49565" xr:uid="{61203601-1E7D-411D-A9C9-0B60C7137C73}"/>
    <cellStyle name="Comma 4 9" xfId="23777" xr:uid="{7994D259-09F1-4686-8B1E-B5440AC1C9F7}"/>
    <cellStyle name="Comma 5" xfId="54" xr:uid="{00000000-0005-0000-0000-000059000000}"/>
    <cellStyle name="Comma 5 10" xfId="48658" xr:uid="{F9DB47C4-8265-479D-B26E-D8583D626F9A}"/>
    <cellStyle name="Comma 5 11" xfId="49566" xr:uid="{89EBBC22-B44A-4A1E-AAD4-07F59384CFD3}"/>
    <cellStyle name="Comma 5 12" xfId="7228" xr:uid="{B3BB19CC-E1DE-420A-BCE5-99B5F0A86C54}"/>
    <cellStyle name="Comma 5 2" xfId="2628" xr:uid="{23A21D87-3CF9-42BE-A7ED-972175E47667}"/>
    <cellStyle name="Comma 5 2 10" xfId="15452" xr:uid="{3B968D5D-99F2-4003-A1DA-9D0ED8015D0C}"/>
    <cellStyle name="Comma 5 2 10 2" xfId="22987" xr:uid="{FCEF57B5-C504-409E-91EB-576BCC77FD81}"/>
    <cellStyle name="Comma 5 2 10 3" xfId="40720" xr:uid="{0B9153DE-1A3C-4081-B0BF-1A628BC493CD}"/>
    <cellStyle name="Comma 5 2 10 4" xfId="47439" xr:uid="{99DFBE75-0AEC-4649-8DF8-38BB211B771D}"/>
    <cellStyle name="Comma 5 2 10 5" xfId="52325" xr:uid="{BEEB4687-D062-4BFE-992C-F4C4EF47F184}"/>
    <cellStyle name="Comma 5 2 10 6" xfId="55341" xr:uid="{75A9801D-E2A7-444E-B73B-A3E92AA97972}"/>
    <cellStyle name="Comma 5 2 11" xfId="11588" xr:uid="{40909803-9ECA-430B-AF46-72A0A9D8BEF8}"/>
    <cellStyle name="Comma 5 2 11 2" xfId="21711" xr:uid="{FA9AB5E8-2905-43AA-9E07-AFEF4FEA5B9D}"/>
    <cellStyle name="Comma 5 2 11 3" xfId="47147" xr:uid="{AC6EE5FA-68B2-4005-BBF8-DEC61DBB5984}"/>
    <cellStyle name="Comma 5 2 11 4" xfId="50735" xr:uid="{62E6FD9F-74F1-4CD5-80F6-E3F7E1F4CF1C}"/>
    <cellStyle name="Comma 5 2 11 5" xfId="53751" xr:uid="{433C64E6-1FE3-44E8-BA0A-C79BA3F4235C}"/>
    <cellStyle name="Comma 5 2 12" xfId="19492" xr:uid="{FB926EC8-1409-4EE2-97A9-E8E9C304F963}"/>
    <cellStyle name="Comma 5 2 13" xfId="23779" xr:uid="{43E6AA6C-0821-4633-AF41-B53C06F1D654}"/>
    <cellStyle name="Comma 5 2 14" xfId="49788" xr:uid="{FDE43876-269C-4EAE-958E-59A72E377D53}"/>
    <cellStyle name="Comma 5 2 15" xfId="52803" xr:uid="{822143B2-2045-4C9C-AFE5-132F8157B711}"/>
    <cellStyle name="Comma 5 2 2" xfId="8946" xr:uid="{223DDD5A-6700-4FAB-AB83-3C7DEF3A7410}"/>
    <cellStyle name="Comma 5 2 2 10" xfId="11497" xr:uid="{325E546C-FDD6-4804-ADF5-AAE84E138E1B}"/>
    <cellStyle name="Comma 5 2 2 10 2" xfId="47960" xr:uid="{A50CEF59-3ED9-45DC-8660-45F3A8522C94}"/>
    <cellStyle name="Comma 5 2 2 10 3" xfId="50721" xr:uid="{445787C8-2C74-4BA6-A8C3-6EDC702333BB}"/>
    <cellStyle name="Comma 5 2 2 10 4" xfId="53737" xr:uid="{0223D1B6-66C6-4857-AB9B-8EA482866DEA}"/>
    <cellStyle name="Comma 5 2 2 11" xfId="23780" xr:uid="{3AE29773-684F-43D7-BE00-C344858F7028}"/>
    <cellStyle name="Comma 5 2 2 12" xfId="49823" xr:uid="{A1ACB1C8-E39C-46DE-9F35-8AE707ACFD56}"/>
    <cellStyle name="Comma 5 2 2 13" xfId="52838" xr:uid="{AE15FD71-74E5-40BC-82FA-0A0E8B93FE90}"/>
    <cellStyle name="Comma 5 2 2 2" xfId="10033" xr:uid="{E0A1C6AE-6F97-4D1A-BFE5-59857127DEF9}"/>
    <cellStyle name="Comma 5 2 2 2 10" xfId="49876" xr:uid="{76DEA4EA-F66E-4341-8EF5-94FBF73C865D}"/>
    <cellStyle name="Comma 5 2 2 2 11" xfId="52892" xr:uid="{14402434-4F90-474F-B599-221BC895D532}"/>
    <cellStyle name="Comma 5 2 2 2 2" xfId="10341" xr:uid="{1347DD5A-391A-406C-A46E-3F25645957B2}"/>
    <cellStyle name="Comma 5 2 2 2 2 2" xfId="14786" xr:uid="{77254F8E-718E-4484-A341-1B64695DE8A0}"/>
    <cellStyle name="Comma 5 2 2 2 2 2 2" xfId="22333" xr:uid="{119C7375-A108-4913-BBA8-C9AF808929D2}"/>
    <cellStyle name="Comma 5 2 2 2 2 2 3" xfId="47241" xr:uid="{F29BBC3D-91A3-4E70-917E-82FC33D28333}"/>
    <cellStyle name="Comma 5 2 2 2 2 2 4" xfId="51671" xr:uid="{C8D1A061-CE18-41B6-AE54-7C811DF0A051}"/>
    <cellStyle name="Comma 5 2 2 2 2 2 5" xfId="54687" xr:uid="{45B92813-BA04-4C55-9F9D-B7A43F8AA0BD}"/>
    <cellStyle name="Comma 5 2 2 2 2 3" xfId="15271" xr:uid="{721B6C26-51F3-4AE2-97D7-F899B27F78FE}"/>
    <cellStyle name="Comma 5 2 2 2 2 3 2" xfId="22810" xr:uid="{5DA3DBF2-62F5-4285-AD60-9563B12E9AEA}"/>
    <cellStyle name="Comma 5 2 2 2 2 3 3" xfId="47840" xr:uid="{8E2B9FFC-8E8F-4320-9D1F-8351264C1212}"/>
    <cellStyle name="Comma 5 2 2 2 2 3 4" xfId="52148" xr:uid="{C0946F86-F505-477A-904A-932B7C956F20}"/>
    <cellStyle name="Comma 5 2 2 2 2 3 5" xfId="55164" xr:uid="{4BF20C02-8729-45AD-B89E-4D03433E3E2E}"/>
    <cellStyle name="Comma 5 2 2 2 2 4" xfId="15758" xr:uid="{35538AE6-EE07-4AB0-9079-9807144FC241}"/>
    <cellStyle name="Comma 5 2 2 2 2 4 2" xfId="23287" xr:uid="{933B97E8-0DC0-4620-82CF-F93F538BE50C}"/>
    <cellStyle name="Comma 5 2 2 2 2 4 3" xfId="47742" xr:uid="{96967CA8-DE1C-4CE8-9FE6-8A3FF7160120}"/>
    <cellStyle name="Comma 5 2 2 2 2 4 4" xfId="52625" xr:uid="{60A217D1-0585-4B9B-AD43-EAC6CA922AD9}"/>
    <cellStyle name="Comma 5 2 2 2 2 4 5" xfId="55641" xr:uid="{311B52EC-5AC0-43E7-954E-BCE23499033B}"/>
    <cellStyle name="Comma 5 2 2 2 2 5" xfId="12794" xr:uid="{58AC27BB-EB9E-4072-B3B9-5A7C34CE1145}"/>
    <cellStyle name="Comma 5 2 2 2 2 5 2" xfId="46795" xr:uid="{FCEC0937-9EE8-4D3A-BD46-EA0527303940}"/>
    <cellStyle name="Comma 5 2 2 2 2 5 3" xfId="51194" xr:uid="{E36527B9-BF64-463F-8F3C-28E4A0EA997D}"/>
    <cellStyle name="Comma 5 2 2 2 2 5 4" xfId="54210" xr:uid="{6C9F271D-2DD6-456F-9403-B70BCDCBB672}"/>
    <cellStyle name="Comma 5 2 2 2 2 6" xfId="46091" xr:uid="{6D7E8C9B-0C10-43A3-B3C2-3C378C668FC5}"/>
    <cellStyle name="Comma 5 2 2 2 2 7" xfId="50088" xr:uid="{523D6967-F815-4EF3-8754-D558F738717E}"/>
    <cellStyle name="Comma 5 2 2 2 2 8" xfId="53104" xr:uid="{AEFCB1FC-64E2-443F-8C31-403CA6E29FF9}"/>
    <cellStyle name="Comma 5 2 2 2 3" xfId="14574" xr:uid="{AE4CABB5-5A72-4B12-9EBE-37A2B777DDCA}"/>
    <cellStyle name="Comma 5 2 2 2 3 2" xfId="22121" xr:uid="{C6623ED2-3D1E-4F95-BB57-AE0F92F6E98A}"/>
    <cellStyle name="Comma 5 2 2 2 3 3" xfId="24977" xr:uid="{C861F913-4C9D-44E2-9A2F-BBA85BDBE264}"/>
    <cellStyle name="Comma 5 2 2 2 3 4" xfId="51459" xr:uid="{3057ACAB-A6C0-474D-B0DA-119404248AD5}"/>
    <cellStyle name="Comma 5 2 2 2 3 5" xfId="54475" xr:uid="{0517F045-ECAF-4D75-8ABD-54C5CF190EA9}"/>
    <cellStyle name="Comma 5 2 2 2 4" xfId="15058" xr:uid="{BB32F1DC-6254-4E91-9C2C-973C4873AFBF}"/>
    <cellStyle name="Comma 5 2 2 2 4 2" xfId="22598" xr:uid="{9C0072E5-59FB-476A-B9C3-23D181AF7A2D}"/>
    <cellStyle name="Comma 5 2 2 2 4 3" xfId="46472" xr:uid="{E145E5B7-4FB2-44E7-A83E-9462E880C6B8}"/>
    <cellStyle name="Comma 5 2 2 2 4 4" xfId="51936" xr:uid="{92DD7C5B-FB41-4648-AF62-CA5314C34DB8}"/>
    <cellStyle name="Comma 5 2 2 2 4 5" xfId="54952" xr:uid="{4D065D13-A8D8-4CE4-99B6-0CE7BAF5FAED}"/>
    <cellStyle name="Comma 5 2 2 2 5" xfId="15545" xr:uid="{27AB0F42-3000-4777-807A-7F5EDC8F3A2D}"/>
    <cellStyle name="Comma 5 2 2 2 5 2" xfId="23075" xr:uid="{EF24F7A9-16F0-4202-8740-FDE22F1CA33A}"/>
    <cellStyle name="Comma 5 2 2 2 5 3" xfId="24440" xr:uid="{F2B3A647-C03B-433D-8743-3DAC33F8795A}"/>
    <cellStyle name="Comma 5 2 2 2 5 4" xfId="52413" xr:uid="{964183C8-FACD-4442-99E2-E050EE1D0889}"/>
    <cellStyle name="Comma 5 2 2 2 5 5" xfId="55429" xr:uid="{53FC8B4B-6FE4-4376-ABA6-77C37E397038}"/>
    <cellStyle name="Comma 5 2 2 2 6" xfId="12493" xr:uid="{04209A92-05E2-483A-9D89-296F91575905}"/>
    <cellStyle name="Comma 5 2 2 2 6 2" xfId="25088" xr:uid="{CF7C0169-168D-4777-809E-64437F772DB5}"/>
    <cellStyle name="Comma 5 2 2 2 6 3" xfId="50982" xr:uid="{7CAE7EAC-CFAC-44AA-A81B-11783DABB206}"/>
    <cellStyle name="Comma 5 2 2 2 6 4" xfId="53998" xr:uid="{E89FF9AC-F3AE-4D14-A290-A5D024EA8824}"/>
    <cellStyle name="Comma 5 2 2 2 7" xfId="23781" xr:uid="{70B6C4F5-0F80-4711-849D-023F45C80DE4}"/>
    <cellStyle name="Comma 5 2 2 2 8" xfId="48659" xr:uid="{DCF68AE3-49AF-48BE-905A-F6416A458384}"/>
    <cellStyle name="Comma 5 2 2 2 9" xfId="49567" xr:uid="{22AC0DC1-6F9E-4934-9C61-24CA55D2FF3E}"/>
    <cellStyle name="Comma 5 2 2 3" xfId="10107" xr:uid="{F95B4C31-32F5-4E77-98F1-6DC134DA6425}"/>
    <cellStyle name="Comma 5 2 2 3 10" xfId="52945" xr:uid="{F527714B-D94F-41EA-8E49-41C43A438514}"/>
    <cellStyle name="Comma 5 2 2 3 2" xfId="10420" xr:uid="{859CDAA9-47C5-40BE-A2AB-6165332B7F44}"/>
    <cellStyle name="Comma 5 2 2 3 2 2" xfId="14839" xr:uid="{2F94FD42-4A77-4276-A25D-88EE727F67E5}"/>
    <cellStyle name="Comma 5 2 2 3 2 2 2" xfId="22386" xr:uid="{3549FAD1-1A66-40F1-893B-33A2E878A8D4}"/>
    <cellStyle name="Comma 5 2 2 3 2 2 3" xfId="24939" xr:uid="{FD32666B-61B1-4E5B-8F65-F82DFAE541A7}"/>
    <cellStyle name="Comma 5 2 2 3 2 2 4" xfId="51724" xr:uid="{D85315F2-F78E-4458-B7A0-D87DCC96A8B7}"/>
    <cellStyle name="Comma 5 2 2 3 2 2 5" xfId="54740" xr:uid="{E891AC6D-012A-4E8B-96B1-89FE55A0F1BD}"/>
    <cellStyle name="Comma 5 2 2 3 2 3" xfId="15324" xr:uid="{48D57C42-7712-4B36-997D-4AAD71F5E167}"/>
    <cellStyle name="Comma 5 2 2 3 2 3 2" xfId="22863" xr:uid="{4B83014C-8D90-4938-80E5-009E813F833A}"/>
    <cellStyle name="Comma 5 2 2 3 2 3 3" xfId="48220" xr:uid="{B877FBE4-C0D1-4F09-A040-32AF58DAE551}"/>
    <cellStyle name="Comma 5 2 2 3 2 3 4" xfId="52201" xr:uid="{15166C59-A0C1-450C-AE52-5EAE46C5D420}"/>
    <cellStyle name="Comma 5 2 2 3 2 3 5" xfId="55217" xr:uid="{B6A37C14-80DD-4B33-B214-9D6CF51E84B8}"/>
    <cellStyle name="Comma 5 2 2 3 2 4" xfId="15811" xr:uid="{5734FB92-5D91-454A-9D5B-108724829389}"/>
    <cellStyle name="Comma 5 2 2 3 2 4 2" xfId="23340" xr:uid="{C20A2B05-2C6C-493E-A555-F354E8778A8E}"/>
    <cellStyle name="Comma 5 2 2 3 2 4 3" xfId="46590" xr:uid="{4DCB7E16-1DA5-45EF-A192-6A108F673F73}"/>
    <cellStyle name="Comma 5 2 2 3 2 4 4" xfId="52678" xr:uid="{BED31B2B-5446-492D-BDFC-57636AA7AB90}"/>
    <cellStyle name="Comma 5 2 2 3 2 4 5" xfId="55694" xr:uid="{F7F3581E-98A4-4E2C-AB1D-E14E2C947CF8}"/>
    <cellStyle name="Comma 5 2 2 3 2 5" xfId="12873" xr:uid="{45E1D4BA-938B-4DD4-A499-8A58E844A023}"/>
    <cellStyle name="Comma 5 2 2 3 2 5 2" xfId="47824" xr:uid="{F8A07B8A-EBAD-4A98-8E83-35DA55A18F6B}"/>
    <cellStyle name="Comma 5 2 2 3 2 5 3" xfId="51247" xr:uid="{0DA34621-1169-40FB-9A6F-3AD37CB5B0AB}"/>
    <cellStyle name="Comma 5 2 2 3 2 5 4" xfId="54263" xr:uid="{D0993B1D-61B0-4812-9AE9-510613178031}"/>
    <cellStyle name="Comma 5 2 2 3 2 6" xfId="38070" xr:uid="{F70837AC-49A7-4622-9849-329FF1A2E98A}"/>
    <cellStyle name="Comma 5 2 2 3 2 7" xfId="47882" xr:uid="{CB543080-97FE-4D65-BAD2-640372A41086}"/>
    <cellStyle name="Comma 5 2 2 3 2 8" xfId="50141" xr:uid="{59070CCC-2C65-439E-A57D-A4691B4654F8}"/>
    <cellStyle name="Comma 5 2 2 3 2 9" xfId="53157" xr:uid="{66AB4FAF-D580-476E-BE99-A042D2ABF40A}"/>
    <cellStyle name="Comma 5 2 2 3 3" xfId="14627" xr:uid="{A2201F49-5265-4153-B4FD-C59641EA7B90}"/>
    <cellStyle name="Comma 5 2 2 3 3 2" xfId="22174" xr:uid="{EB75117E-2FDD-40C9-8045-02235D987751}"/>
    <cellStyle name="Comma 5 2 2 3 3 3" xfId="43372" xr:uid="{CE6727C9-1532-42A3-ADB3-FB3CDC3DC411}"/>
    <cellStyle name="Comma 5 2 2 3 3 4" xfId="48348" xr:uid="{2699C154-6F76-4698-8FA7-14646371CEEF}"/>
    <cellStyle name="Comma 5 2 2 3 3 5" xfId="51512" xr:uid="{80E4D0D4-84C6-4B75-B014-8CD2DF0C1C63}"/>
    <cellStyle name="Comma 5 2 2 3 3 6" xfId="54528" xr:uid="{316CD6B4-7E47-459D-9D8F-8F47D855BB6A}"/>
    <cellStyle name="Comma 5 2 2 3 4" xfId="15112" xr:uid="{F7B0C63A-95F9-49A4-A690-ED44780F1F29}"/>
    <cellStyle name="Comma 5 2 2 3 4 2" xfId="22651" xr:uid="{21DDA3AE-D686-4642-8975-ABDAA0062FB5}"/>
    <cellStyle name="Comma 5 2 2 3 4 3" xfId="46481" xr:uid="{4B9793A2-DBA4-4928-9B80-82E6ED1EEB05}"/>
    <cellStyle name="Comma 5 2 2 3 4 4" xfId="51989" xr:uid="{D6862A18-8EE2-437D-A59D-1E41B7155118}"/>
    <cellStyle name="Comma 5 2 2 3 4 5" xfId="55005" xr:uid="{6246AA64-AA51-4662-9F47-3226EE234A55}"/>
    <cellStyle name="Comma 5 2 2 3 5" xfId="15599" xr:uid="{A67BCB97-F5ED-4606-A93C-901F3060CFB3}"/>
    <cellStyle name="Comma 5 2 2 3 5 2" xfId="23128" xr:uid="{331A4CDA-A5AE-4DC3-BC96-23CB16918AE6}"/>
    <cellStyle name="Comma 5 2 2 3 5 3" xfId="25286" xr:uid="{A48C1A7B-B454-437C-B3D2-2E527F59D7EB}"/>
    <cellStyle name="Comma 5 2 2 3 5 4" xfId="52466" xr:uid="{BCB5CC96-E53D-4255-87B0-F3DA2CA5B1E5}"/>
    <cellStyle name="Comma 5 2 2 3 5 5" xfId="55482" xr:uid="{163B567F-8EBA-4F21-AEF5-46F821DA0926}"/>
    <cellStyle name="Comma 5 2 2 3 6" xfId="12564" xr:uid="{6B716760-B745-464A-A097-62A7E3330C70}"/>
    <cellStyle name="Comma 5 2 2 3 6 2" xfId="32537" xr:uid="{DB10CC6C-3815-49BD-AA37-CDDBB88F9475}"/>
    <cellStyle name="Comma 5 2 2 3 6 3" xfId="51035" xr:uid="{C619EEEF-11C8-4E3F-B21B-5BD227AE4B72}"/>
    <cellStyle name="Comma 5 2 2 3 6 4" xfId="54051" xr:uid="{18A028C6-7001-4B81-8A1A-0F9053036107}"/>
    <cellStyle name="Comma 5 2 2 3 7" xfId="32696" xr:uid="{26EC86F5-82DC-43FF-9CFD-F6CBD31F3CAD}"/>
    <cellStyle name="Comma 5 2 2 3 8" xfId="47873" xr:uid="{F5AFE743-BBBB-4823-9FE9-92A2D42B4FDB}"/>
    <cellStyle name="Comma 5 2 2 3 9" xfId="49929" xr:uid="{4C992079-0D92-4A74-BB71-72783B8C8F93}"/>
    <cellStyle name="Comma 5 2 2 4" xfId="10186" xr:uid="{3FE4896C-B2AF-4216-8B5F-E1C0B7AB7108}"/>
    <cellStyle name="Comma 5 2 2 4 10" xfId="52998" xr:uid="{3C1C9517-720E-4D65-B4AF-99E50901349D}"/>
    <cellStyle name="Comma 5 2 2 4 2" xfId="10500" xr:uid="{39C8A3DD-6584-4407-862D-C0F04672B763}"/>
    <cellStyle name="Comma 5 2 2 4 2 2" xfId="14892" xr:uid="{A8ADB194-1B6C-4A33-AA34-2A01635C889E}"/>
    <cellStyle name="Comma 5 2 2 4 2 2 2" xfId="22439" xr:uid="{A4654E77-0638-4D17-A7F3-E54A6F52F1A0}"/>
    <cellStyle name="Comma 5 2 2 4 2 2 3" xfId="34027" xr:uid="{CA9E8E83-AA7C-471C-8A63-D26B9AA2CD0D}"/>
    <cellStyle name="Comma 5 2 2 4 2 2 4" xfId="51777" xr:uid="{3C5FF67B-558D-4541-AADA-4D77BC27D34F}"/>
    <cellStyle name="Comma 5 2 2 4 2 2 5" xfId="54793" xr:uid="{212FB3FA-5AD9-4665-97C7-DE403CD81235}"/>
    <cellStyle name="Comma 5 2 2 4 2 3" xfId="15377" xr:uid="{5598E4DE-D1D5-4F30-8D52-24CAA0974768}"/>
    <cellStyle name="Comma 5 2 2 4 2 3 2" xfId="22916" xr:uid="{FAD0F81B-51AD-484D-9C14-05578182DA1B}"/>
    <cellStyle name="Comma 5 2 2 4 2 3 3" xfId="46914" xr:uid="{73FAC1D3-9E91-4686-8940-8A6C2F526070}"/>
    <cellStyle name="Comma 5 2 2 4 2 3 4" xfId="52254" xr:uid="{B2D5B8A2-50B7-4B9F-B972-6B158BD3E9F5}"/>
    <cellStyle name="Comma 5 2 2 4 2 3 5" xfId="55270" xr:uid="{D5C11301-8314-41CF-B7D0-C22E9E7B4FAF}"/>
    <cellStyle name="Comma 5 2 2 4 2 4" xfId="15864" xr:uid="{EE1CA214-6CEC-4861-9730-C02A55B71C25}"/>
    <cellStyle name="Comma 5 2 2 4 2 4 2" xfId="23393" xr:uid="{2AD3A308-EA6A-48B2-9638-ADD5911D0C5D}"/>
    <cellStyle name="Comma 5 2 2 4 2 4 3" xfId="48321" xr:uid="{4FFFDBD9-EAB8-4E7D-B26D-060333F2996B}"/>
    <cellStyle name="Comma 5 2 2 4 2 4 4" xfId="52731" xr:uid="{22950097-823A-4DF2-8C29-57EE95206F91}"/>
    <cellStyle name="Comma 5 2 2 4 2 4 5" xfId="55747" xr:uid="{C9DC9E3A-B932-4469-B7D9-B5C3860D0CA7}"/>
    <cellStyle name="Comma 5 2 2 4 2 5" xfId="12953" xr:uid="{CD3E13C7-CF33-4EE0-A3BA-FEE1635B45D6}"/>
    <cellStyle name="Comma 5 2 2 4 2 5 2" xfId="32465" xr:uid="{A2AF3CAF-A38E-4688-A98E-1AA52A0297C7}"/>
    <cellStyle name="Comma 5 2 2 4 2 5 3" xfId="51300" xr:uid="{534A823E-2F2C-44F2-A60F-60028DC24A42}"/>
    <cellStyle name="Comma 5 2 2 4 2 5 4" xfId="54316" xr:uid="{CD175654-C895-4AE6-8254-8DBE3C0202D4}"/>
    <cellStyle name="Comma 5 2 2 4 2 6" xfId="46138" xr:uid="{E8087548-C5E2-4747-934A-CB78C9C780F4}"/>
    <cellStyle name="Comma 5 2 2 4 2 7" xfId="50194" xr:uid="{9958E450-FDCF-46A0-9834-D8AC89CF33A5}"/>
    <cellStyle name="Comma 5 2 2 4 2 8" xfId="53210" xr:uid="{90EA896C-3F08-4E36-937A-F64190789507}"/>
    <cellStyle name="Comma 5 2 2 4 3" xfId="14680" xr:uid="{85692E4B-BD0D-41C4-BAD2-74CC029E1D42}"/>
    <cellStyle name="Comma 5 2 2 4 3 2" xfId="22227" xr:uid="{404F27CB-1FE7-41F9-9A06-74B5E009251E}"/>
    <cellStyle name="Comma 5 2 2 4 3 3" xfId="47238" xr:uid="{84C35888-58E2-4913-B892-9A654203B1E3}"/>
    <cellStyle name="Comma 5 2 2 4 3 4" xfId="51565" xr:uid="{E915FCB1-F508-49B6-9E20-BFDE5DA4DE08}"/>
    <cellStyle name="Comma 5 2 2 4 3 5" xfId="54581" xr:uid="{B08ACC3A-E849-459D-A1DD-1F71AF45AB76}"/>
    <cellStyle name="Comma 5 2 2 4 4" xfId="15165" xr:uid="{5DB2C4E1-D4A8-466C-BE9C-481C3BC277EC}"/>
    <cellStyle name="Comma 5 2 2 4 4 2" xfId="22704" xr:uid="{2F017D13-960B-44E7-83A5-3D93490E0C17}"/>
    <cellStyle name="Comma 5 2 2 4 4 3" xfId="46492" xr:uid="{4B9085ED-D540-49A5-821A-827466FA29F1}"/>
    <cellStyle name="Comma 5 2 2 4 4 4" xfId="52042" xr:uid="{121843A9-D5E3-4FFE-8533-CA7F15361618}"/>
    <cellStyle name="Comma 5 2 2 4 4 5" xfId="55058" xr:uid="{E49D9AAF-C864-4EB2-9FA3-8E043E82DADF}"/>
    <cellStyle name="Comma 5 2 2 4 5" xfId="15652" xr:uid="{970110B8-F278-4F27-86D8-A03D7E3D7875}"/>
    <cellStyle name="Comma 5 2 2 4 5 2" xfId="23181" xr:uid="{8F390218-8CCA-42DD-86B6-5FFFBC60FE7A}"/>
    <cellStyle name="Comma 5 2 2 4 5 3" xfId="47198" xr:uid="{19414543-DF87-41AC-8C28-AE21157E06EC}"/>
    <cellStyle name="Comma 5 2 2 4 5 4" xfId="52519" xr:uid="{6D89CBD8-E699-4BB1-86DF-D6B3BC42BD5E}"/>
    <cellStyle name="Comma 5 2 2 4 5 5" xfId="55535" xr:uid="{EF8B9D8B-D244-4D77-8011-1DE4B9FD21E2}"/>
    <cellStyle name="Comma 5 2 2 4 6" xfId="12640" xr:uid="{2B4DC09B-50CA-462B-B707-02363E5EF129}"/>
    <cellStyle name="Comma 5 2 2 4 6 2" xfId="46334" xr:uid="{28F39DC3-416E-44F4-A6CC-A2D3BF2A4424}"/>
    <cellStyle name="Comma 5 2 2 4 6 3" xfId="51088" xr:uid="{50001F4F-09F9-4020-96AA-3CCC2A7E647D}"/>
    <cellStyle name="Comma 5 2 2 4 6 4" xfId="54104" xr:uid="{6F877D2B-1DB3-4808-BDA1-E90A8359E98C}"/>
    <cellStyle name="Comma 5 2 2 4 7" xfId="35605" xr:uid="{45EACD33-C42A-4120-99AF-8B87FDEBE879}"/>
    <cellStyle name="Comma 5 2 2 4 8" xfId="46985" xr:uid="{0CEA43BD-A777-45F7-B460-C8A584B3DE02}"/>
    <cellStyle name="Comma 5 2 2 4 9" xfId="49982" xr:uid="{48C762D1-A661-4A2E-ACC8-99A3AC517217}"/>
    <cellStyle name="Comma 5 2 2 5" xfId="10266" xr:uid="{912C164B-2574-4C2F-B76F-03AB74655F46}"/>
    <cellStyle name="Comma 5 2 2 5 2" xfId="14733" xr:uid="{D97FAED4-918B-47C4-8749-B8104D718837}"/>
    <cellStyle name="Comma 5 2 2 5 2 2" xfId="22280" xr:uid="{5D43CEC1-1B46-4A26-A9B9-A3FFC7534516}"/>
    <cellStyle name="Comma 5 2 2 5 2 3" xfId="46425" xr:uid="{53FEDD80-47E1-446E-A112-0F139E20FBDD}"/>
    <cellStyle name="Comma 5 2 2 5 2 4" xfId="51618" xr:uid="{9760B9FD-C24E-4964-ACB7-EB89282F2604}"/>
    <cellStyle name="Comma 5 2 2 5 2 5" xfId="54634" xr:uid="{05DE3D3D-62C3-4F85-8692-0E6E64FA2509}"/>
    <cellStyle name="Comma 5 2 2 5 3" xfId="15218" xr:uid="{CC784ACC-479B-4BB4-8838-A0008AE904FD}"/>
    <cellStyle name="Comma 5 2 2 5 3 2" xfId="22757" xr:uid="{787C7F92-7FCB-4649-ACF2-7C791B6A1D2D}"/>
    <cellStyle name="Comma 5 2 2 5 3 3" xfId="47781" xr:uid="{591B7F03-E60F-44D5-8C85-6B84ABF91037}"/>
    <cellStyle name="Comma 5 2 2 5 3 4" xfId="52095" xr:uid="{A5F5A28D-1F2D-40C6-8E9C-9696C21DA1FB}"/>
    <cellStyle name="Comma 5 2 2 5 3 5" xfId="55111" xr:uid="{3222D27E-C6F2-44D7-AE59-213D3A08AD87}"/>
    <cellStyle name="Comma 5 2 2 5 4" xfId="15705" xr:uid="{1974E7E6-0438-4002-9C09-EBC3531F5E93}"/>
    <cellStyle name="Comma 5 2 2 5 4 2" xfId="23234" xr:uid="{94FE4843-91F1-4FB2-8F41-12F8EF5AFFB2}"/>
    <cellStyle name="Comma 5 2 2 5 4 3" xfId="47375" xr:uid="{0851A718-7AF6-44E3-B841-6454491EF26C}"/>
    <cellStyle name="Comma 5 2 2 5 4 4" xfId="52572" xr:uid="{32ECA86D-C814-4349-AF23-965190C9A954}"/>
    <cellStyle name="Comma 5 2 2 5 4 5" xfId="55588" xr:uid="{7E423BCA-2DE1-456F-8BAB-05E865F8A342}"/>
    <cellStyle name="Comma 5 2 2 5 5" xfId="12719" xr:uid="{F4D669DE-F4D0-4BF4-8D9C-D73D4744ECEE}"/>
    <cellStyle name="Comma 5 2 2 5 5 2" xfId="46667" xr:uid="{18630111-93C7-4A45-972B-F91757C15FAB}"/>
    <cellStyle name="Comma 5 2 2 5 5 3" xfId="51141" xr:uid="{459424C1-E417-486C-B443-53055CA32A16}"/>
    <cellStyle name="Comma 5 2 2 5 5 4" xfId="54157" xr:uid="{8386B246-D886-4391-8924-8544C32EC197}"/>
    <cellStyle name="Comma 5 2 2 5 6" xfId="40721" xr:uid="{E1A31CE3-520F-4914-BF9A-BD647876B951}"/>
    <cellStyle name="Comma 5 2 2 5 7" xfId="46076" xr:uid="{F0764C44-A7AD-4786-BF53-276D305BBCCA}"/>
    <cellStyle name="Comma 5 2 2 5 8" xfId="50035" xr:uid="{894280F6-C453-4EDC-9936-BD97C19507D5}"/>
    <cellStyle name="Comma 5 2 2 5 9" xfId="53051" xr:uid="{F5012EF2-DFDE-4FB3-AAB1-B2E409C5C6DC}"/>
    <cellStyle name="Comma 5 2 2 6" xfId="10580" xr:uid="{8DA44A5A-DEB7-484A-823F-D6BDFEC21FFA}"/>
    <cellStyle name="Comma 5 2 2 6 2" xfId="14945" xr:uid="{1B6D4244-D2E3-4F3D-B26C-E006BBE41B28}"/>
    <cellStyle name="Comma 5 2 2 6 2 2" xfId="22492" xr:uid="{D4E9F201-52D4-4EB6-BF28-980D33709EF0}"/>
    <cellStyle name="Comma 5 2 2 6 2 3" xfId="24184" xr:uid="{B8BECFA1-03AB-49DC-90EF-B91041D11272}"/>
    <cellStyle name="Comma 5 2 2 6 2 4" xfId="51830" xr:uid="{FC208035-C506-4105-84DE-3354526602BD}"/>
    <cellStyle name="Comma 5 2 2 6 2 5" xfId="54846" xr:uid="{8AF4A4DF-CA00-404E-9453-4D189E449883}"/>
    <cellStyle name="Comma 5 2 2 6 3" xfId="15430" xr:uid="{D9F2FC7E-63BC-4579-A448-636ED017A8E8}"/>
    <cellStyle name="Comma 5 2 2 6 3 2" xfId="22969" xr:uid="{6E9EB278-0A71-43FF-B7C3-BFFEECA6D564}"/>
    <cellStyle name="Comma 5 2 2 6 3 3" xfId="48443" xr:uid="{046EEE8D-36BA-419F-8C9C-455EFB833935}"/>
    <cellStyle name="Comma 5 2 2 6 3 4" xfId="52307" xr:uid="{3431040C-4097-4728-BDB8-287011542621}"/>
    <cellStyle name="Comma 5 2 2 6 3 5" xfId="55323" xr:uid="{E833210D-A58E-4482-960B-0375BA70F717}"/>
    <cellStyle name="Comma 5 2 2 6 4" xfId="15918" xr:uid="{FED9475D-31BC-4286-8288-3D55E84C184D}"/>
    <cellStyle name="Comma 5 2 2 6 4 2" xfId="23446" xr:uid="{7D26274A-9C1F-45EC-89E6-A7E74D5BBEF5}"/>
    <cellStyle name="Comma 5 2 2 6 4 3" xfId="33345" xr:uid="{2622A0C2-6F8B-4290-8CC7-7AA75B5EC1A2}"/>
    <cellStyle name="Comma 5 2 2 6 4 4" xfId="52784" xr:uid="{0001873E-9ECF-4B37-9010-AC27E2C56797}"/>
    <cellStyle name="Comma 5 2 2 6 4 5" xfId="55800" xr:uid="{C9B85DAA-2553-4D8B-8F7C-3864AC935602}"/>
    <cellStyle name="Comma 5 2 2 6 5" xfId="13033" xr:uid="{613B1123-988C-4325-983E-EA667CE3AC43}"/>
    <cellStyle name="Comma 5 2 2 6 5 2" xfId="48579" xr:uid="{2C4C0C3D-921A-47FB-937B-777DC1AB27AB}"/>
    <cellStyle name="Comma 5 2 2 6 5 3" xfId="51353" xr:uid="{08BFDB0B-BA79-4F98-B66E-C1211BAD080B}"/>
    <cellStyle name="Comma 5 2 2 6 5 4" xfId="54369" xr:uid="{46547114-28CA-47D4-BC03-169ECC7C43B2}"/>
    <cellStyle name="Comma 5 2 2 6 6" xfId="46155" xr:uid="{D9E2AB1C-AB5D-4FD1-9D61-1293E9520E76}"/>
    <cellStyle name="Comma 5 2 2 6 7" xfId="50247" xr:uid="{957DBC81-AFF0-4E98-8D82-14640CF7D2E1}"/>
    <cellStyle name="Comma 5 2 2 6 8" xfId="53263" xr:uid="{1FF6F3D6-4972-48AD-9982-22B660C2DFE4}"/>
    <cellStyle name="Comma 5 2 2 7" xfId="14521" xr:uid="{49CE7008-87BF-419A-AA95-12A6CCE219A1}"/>
    <cellStyle name="Comma 5 2 2 7 2" xfId="22068" xr:uid="{42967F9B-4344-458F-8F49-EDA48F87F628}"/>
    <cellStyle name="Comma 5 2 2 7 3" xfId="46391" xr:uid="{30E2690C-1190-4F0C-B972-D138DB33B250}"/>
    <cellStyle name="Comma 5 2 2 7 4" xfId="51406" xr:uid="{9C5241C1-C698-4C7E-AE6B-90233C631F5C}"/>
    <cellStyle name="Comma 5 2 2 7 5" xfId="54422" xr:uid="{47F3B2E7-9514-49A9-8E6B-0C38656B3DE6}"/>
    <cellStyle name="Comma 5 2 2 8" xfId="15005" xr:uid="{4AF39227-FCBB-4951-9D83-D3D9208CA3F9}"/>
    <cellStyle name="Comma 5 2 2 8 2" xfId="22545" xr:uid="{07358A38-E533-4675-ABBF-A942CA0526CB}"/>
    <cellStyle name="Comma 5 2 2 8 3" xfId="48069" xr:uid="{734D4817-1B5E-410E-8C71-224D0496B015}"/>
    <cellStyle name="Comma 5 2 2 8 4" xfId="51883" xr:uid="{486EC3B2-8D5E-42E8-BAC7-E724226E736E}"/>
    <cellStyle name="Comma 5 2 2 8 5" xfId="54899" xr:uid="{8612BA6F-F076-462E-8A7B-055EDD74B8D5}"/>
    <cellStyle name="Comma 5 2 2 9" xfId="15492" xr:uid="{6B008498-B842-45BF-B355-709A49B0D50D}"/>
    <cellStyle name="Comma 5 2 2 9 2" xfId="23022" xr:uid="{90D62371-6B7C-4A45-A801-61B4220EFBFF}"/>
    <cellStyle name="Comma 5 2 2 9 3" xfId="47194" xr:uid="{70B33718-F10F-4A18-8C2C-64FC9F59E512}"/>
    <cellStyle name="Comma 5 2 2 9 4" xfId="52360" xr:uid="{692E85FA-3506-4CD1-B74C-EA53C493DE83}"/>
    <cellStyle name="Comma 5 2 2 9 5" xfId="55376" xr:uid="{EB111B6F-C60B-47B0-875D-863F9A1D7F15}"/>
    <cellStyle name="Comma 5 2 3" xfId="9596" xr:uid="{50C03854-21D5-4F71-8F78-63602BD26711}"/>
    <cellStyle name="Comma 5 2 3 10" xfId="52857" xr:uid="{A74C2BFC-E482-4E73-A753-7D28EF55ABA0}"/>
    <cellStyle name="Comma 5 2 3 2" xfId="10290" xr:uid="{6D1BB9E9-1FC4-44D8-B064-191687D8680B}"/>
    <cellStyle name="Comma 5 2 3 2 2" xfId="14751" xr:uid="{C980BEE4-B5B8-4DDC-AEF2-192428B9F25C}"/>
    <cellStyle name="Comma 5 2 3 2 2 2" xfId="22298" xr:uid="{F5367B2D-0CED-4FCB-B379-3B181ED3FE80}"/>
    <cellStyle name="Comma 5 2 3 2 2 3" xfId="38071" xr:uid="{8C1EEE42-FB63-4EDA-841D-F405B37C3E71}"/>
    <cellStyle name="Comma 5 2 3 2 2 4" xfId="47773" xr:uid="{BA3C1E32-B1ED-4278-B3F7-9C719CF33112}"/>
    <cellStyle name="Comma 5 2 3 2 2 5" xfId="51636" xr:uid="{9E0520CF-577A-4639-9F4F-A31C8C34F988}"/>
    <cellStyle name="Comma 5 2 3 2 2 6" xfId="54652" xr:uid="{2B5316BE-C451-4B0F-BC56-88F4FE29B9FB}"/>
    <cellStyle name="Comma 5 2 3 2 3" xfId="15236" xr:uid="{DAC254B8-94F9-4EA9-A45D-FB875916A2C2}"/>
    <cellStyle name="Comma 5 2 3 2 3 2" xfId="22775" xr:uid="{F035BA99-38E6-4699-82BD-CB6161942D4D}"/>
    <cellStyle name="Comma 5 2 3 2 3 3" xfId="43373" xr:uid="{A6006548-D29A-4AF0-A887-A7A65F16D3A7}"/>
    <cellStyle name="Comma 5 2 3 2 3 4" xfId="48071" xr:uid="{271778E6-AABF-4F94-8757-B7AEFE2B48DA}"/>
    <cellStyle name="Comma 5 2 3 2 3 5" xfId="52113" xr:uid="{04138346-BE87-42AB-8744-C9270D8D4A97}"/>
    <cellStyle name="Comma 5 2 3 2 3 6" xfId="55129" xr:uid="{929FB33C-4C3B-4E91-8522-1DD6F86A0872}"/>
    <cellStyle name="Comma 5 2 3 2 4" xfId="15723" xr:uid="{8F2D6253-4A65-4BBA-B969-94E060CD5FD4}"/>
    <cellStyle name="Comma 5 2 3 2 4 2" xfId="23252" xr:uid="{E02B01B4-119E-4C4F-B3E1-88B70F586D5B}"/>
    <cellStyle name="Comma 5 2 3 2 4 3" xfId="48369" xr:uid="{5B22981E-0011-4840-A8D5-9940871C7734}"/>
    <cellStyle name="Comma 5 2 3 2 4 4" xfId="52590" xr:uid="{12D2B93F-91E7-4F2F-9D90-BB59FF2D90A1}"/>
    <cellStyle name="Comma 5 2 3 2 4 5" xfId="55606" xr:uid="{5FB1AB60-89CC-463C-AF21-A7E5CB60236A}"/>
    <cellStyle name="Comma 5 2 3 2 5" xfId="12743" xr:uid="{F7AF142E-6F47-4E50-BD7D-9836ED368788}"/>
    <cellStyle name="Comma 5 2 3 2 5 2" xfId="46669" xr:uid="{E2D389BF-851E-4160-93D0-5CFF5B1EBDB4}"/>
    <cellStyle name="Comma 5 2 3 2 5 3" xfId="51159" xr:uid="{3F4BEC6F-032D-46BB-850B-406BFBFDCD33}"/>
    <cellStyle name="Comma 5 2 3 2 5 4" xfId="54175" xr:uid="{C51B6290-AECD-489B-8538-8ED399AFC4D7}"/>
    <cellStyle name="Comma 5 2 3 2 6" xfId="32697" xr:uid="{C1E2E659-83DD-422B-B9F2-E9205D86623B}"/>
    <cellStyle name="Comma 5 2 3 2 7" xfId="48285" xr:uid="{6152A770-5874-47ED-B287-0E107E9C7BA6}"/>
    <cellStyle name="Comma 5 2 3 2 8" xfId="50053" xr:uid="{74AF2EB0-660C-4967-B150-C9E0BDAD35A6}"/>
    <cellStyle name="Comma 5 2 3 2 9" xfId="53069" xr:uid="{C93B2019-2A19-4FED-A8B2-944880519AAE}"/>
    <cellStyle name="Comma 5 2 3 3" xfId="14539" xr:uid="{F39D72F9-9557-46BF-A3F8-EBD39ACED8AA}"/>
    <cellStyle name="Comma 5 2 3 3 2" xfId="22086" xr:uid="{A342E0B3-B784-41A5-94EE-9390665AE7E8}"/>
    <cellStyle name="Comma 5 2 3 3 3" xfId="35606" xr:uid="{9AE79273-D371-4275-BA00-E4F665B93E60}"/>
    <cellStyle name="Comma 5 2 3 3 4" xfId="47105" xr:uid="{C52ADD09-0B1B-4639-BC81-EB644EEA3E57}"/>
    <cellStyle name="Comma 5 2 3 3 5" xfId="51424" xr:uid="{F02E425F-05A9-428C-B22B-0F5904ADF536}"/>
    <cellStyle name="Comma 5 2 3 3 6" xfId="54440" xr:uid="{FEEA798B-33AC-4442-B616-4B80FC051C1B}"/>
    <cellStyle name="Comma 5 2 3 4" xfId="15023" xr:uid="{3B4A5863-CC88-4AC3-9CAF-03078791EBE7}"/>
    <cellStyle name="Comma 5 2 3 4 2" xfId="22563" xr:uid="{493BD8B5-BE07-42A8-86B7-B8988D21FE0A}"/>
    <cellStyle name="Comma 5 2 3 4 3" xfId="40722" xr:uid="{65545CB8-94BE-485E-B016-313D2DB7745B}"/>
    <cellStyle name="Comma 5 2 3 4 4" xfId="24453" xr:uid="{23FAF648-EA1E-4124-BDF9-88626FFADA8A}"/>
    <cellStyle name="Comma 5 2 3 4 5" xfId="51901" xr:uid="{0A7266E2-11A5-4B3F-8F20-F06BC9F808B6}"/>
    <cellStyle name="Comma 5 2 3 4 6" xfId="54917" xr:uid="{EF458F9C-DA9A-4FBC-92E5-A92EDC9A1E0F}"/>
    <cellStyle name="Comma 5 2 3 5" xfId="15510" xr:uid="{2369D434-F1F9-4608-A8D4-4F075A7906DB}"/>
    <cellStyle name="Comma 5 2 3 5 2" xfId="23040" xr:uid="{776A06B0-0E75-4502-AD99-A6B04E714A8E}"/>
    <cellStyle name="Comma 5 2 3 5 3" xfId="47496" xr:uid="{E64659FC-85A2-452A-8479-DC4006AE1DC1}"/>
    <cellStyle name="Comma 5 2 3 5 4" xfId="52378" xr:uid="{1AC9B89A-86EC-421E-B336-78527F891559}"/>
    <cellStyle name="Comma 5 2 3 5 5" xfId="55394" xr:uid="{961987BB-CEFF-42A1-BBB5-77EDAEEA7DB9}"/>
    <cellStyle name="Comma 5 2 3 6" xfId="12449" xr:uid="{83DE88FB-19E8-41EA-AF9F-9664DE06AE7A}"/>
    <cellStyle name="Comma 5 2 3 6 2" xfId="46308" xr:uid="{B8B96DD5-2A3C-4AD2-94A0-B5CA06BE6EE8}"/>
    <cellStyle name="Comma 5 2 3 6 3" xfId="50948" xr:uid="{D194C9BF-E0E0-47F1-9644-C2E52DDB028A}"/>
    <cellStyle name="Comma 5 2 3 6 4" xfId="53964" xr:uid="{72EDE9D4-6CD4-423E-B472-EF2C6C4D26A4}"/>
    <cellStyle name="Comma 5 2 3 7" xfId="23782" xr:uid="{FF7A90BF-FF76-48B0-89CF-C3B2DEA4540B}"/>
    <cellStyle name="Comma 5 2 3 8" xfId="46015" xr:uid="{EE6315DC-40C4-4937-AD7C-C9791BE7E533}"/>
    <cellStyle name="Comma 5 2 3 9" xfId="49841" xr:uid="{B0187AF5-56CC-4B14-8DC9-2F46F75AFA73}"/>
    <cellStyle name="Comma 5 2 4" xfId="10056" xr:uid="{C4069BCA-A5B7-4F29-A0B1-ECA15B1217A2}"/>
    <cellStyle name="Comma 5 2 4 10" xfId="49894" xr:uid="{33EAE686-EA25-4669-8296-E45768B06696}"/>
    <cellStyle name="Comma 5 2 4 11" xfId="52910" xr:uid="{0458471D-51FB-41D4-A4E8-6990527F5DB9}"/>
    <cellStyle name="Comma 5 2 4 2" xfId="10364" xr:uid="{A6215F48-FDD1-48BC-93B5-89FA066F9783}"/>
    <cellStyle name="Comma 5 2 4 2 2" xfId="14804" xr:uid="{BBAFE08A-AD90-4DF0-A498-CD44583A6E1E}"/>
    <cellStyle name="Comma 5 2 4 2 2 2" xfId="22351" xr:uid="{958DCDE1-098D-494A-94A0-55FACB23ECAC}"/>
    <cellStyle name="Comma 5 2 4 2 2 3" xfId="32529" xr:uid="{19F697EF-22D9-4BCF-9E7F-5B0782256049}"/>
    <cellStyle name="Comma 5 2 4 2 2 4" xfId="51689" xr:uid="{B9FE0B50-CEA8-41C5-A162-BB0E92AFC3E2}"/>
    <cellStyle name="Comma 5 2 4 2 2 5" xfId="54705" xr:uid="{225DC529-9366-4FC6-8DCB-CC0381649C93}"/>
    <cellStyle name="Comma 5 2 4 2 3" xfId="15289" xr:uid="{E15B2E7A-25A2-49CD-9124-6676EBB36B37}"/>
    <cellStyle name="Comma 5 2 4 2 3 2" xfId="22828" xr:uid="{ECF68901-B307-4DAE-B2B7-885B94EF1D7D}"/>
    <cellStyle name="Comma 5 2 4 2 3 3" xfId="46511" xr:uid="{0435EAD2-17B5-44AE-BF21-213D6054A031}"/>
    <cellStyle name="Comma 5 2 4 2 3 4" xfId="52166" xr:uid="{E931E63A-C4FA-4A9D-A8FF-90571ED4EA3C}"/>
    <cellStyle name="Comma 5 2 4 2 3 5" xfId="55182" xr:uid="{04955AEF-2B39-4FBA-BF03-A7D2187DC0E9}"/>
    <cellStyle name="Comma 5 2 4 2 4" xfId="15776" xr:uid="{12890C0C-32AB-4233-B30D-96A01FBBDF1B}"/>
    <cellStyle name="Comma 5 2 4 2 4 2" xfId="23305" xr:uid="{D539287A-3DB2-46B1-ACCE-0C8E5FB7B52D}"/>
    <cellStyle name="Comma 5 2 4 2 4 3" xfId="48424" xr:uid="{0EA2B448-D075-4F26-9AA5-682C04967CC9}"/>
    <cellStyle name="Comma 5 2 4 2 4 4" xfId="52643" xr:uid="{2821CF4D-94C5-4C4F-AC6E-615711DD318B}"/>
    <cellStyle name="Comma 5 2 4 2 4 5" xfId="55659" xr:uid="{28CFD29E-2A66-42DE-856F-EC0A2447801D}"/>
    <cellStyle name="Comma 5 2 4 2 5" xfId="12817" xr:uid="{82A8E2E4-0FB0-48CD-905D-DC0CAAD275B6}"/>
    <cellStyle name="Comma 5 2 4 2 5 2" xfId="48398" xr:uid="{5FF7B483-8D8A-4EA7-85E6-07FC9E52C3E4}"/>
    <cellStyle name="Comma 5 2 4 2 5 3" xfId="51212" xr:uid="{5B7F88EF-E84B-4D7E-9787-BCC26B1E02FD}"/>
    <cellStyle name="Comma 5 2 4 2 5 4" xfId="54228" xr:uid="{3A222E0D-00A6-44B6-BF7D-B0764E395DB8}"/>
    <cellStyle name="Comma 5 2 4 2 6" xfId="24270" xr:uid="{C4A25583-F554-463A-A7E6-946FD816114C}"/>
    <cellStyle name="Comma 5 2 4 2 7" xfId="50106" xr:uid="{895049B6-95CD-4771-8B5C-CAB569EA54C4}"/>
    <cellStyle name="Comma 5 2 4 2 8" xfId="53122" xr:uid="{BA49433E-0B74-470B-AB30-D9EF60B3DEB6}"/>
    <cellStyle name="Comma 5 2 4 3" xfId="14592" xr:uid="{66F19166-3091-4303-ABEC-A92465260795}"/>
    <cellStyle name="Comma 5 2 4 3 2" xfId="22139" xr:uid="{8AF28FB0-4A9B-48CD-8B1D-1336D05868F7}"/>
    <cellStyle name="Comma 5 2 4 3 3" xfId="34059" xr:uid="{DA064177-ED00-484A-A6B1-BB6C59A4A382}"/>
    <cellStyle name="Comma 5 2 4 3 4" xfId="51477" xr:uid="{11D62483-174E-41BF-B4A7-6A2A18645664}"/>
    <cellStyle name="Comma 5 2 4 3 5" xfId="54493" xr:uid="{3D9E76C0-4E0D-4372-8749-F58C10E6F5CC}"/>
    <cellStyle name="Comma 5 2 4 4" xfId="15077" xr:uid="{D09A8F74-0FBA-4B56-BA85-FC83EA4917A9}"/>
    <cellStyle name="Comma 5 2 4 4 2" xfId="22616" xr:uid="{803AFE50-4337-45FF-BE19-4534B8B295E1}"/>
    <cellStyle name="Comma 5 2 4 4 3" xfId="47695" xr:uid="{9D0944FA-61BB-469B-B36F-60B264200027}"/>
    <cellStyle name="Comma 5 2 4 4 4" xfId="51954" xr:uid="{1D6E51EB-611C-4425-AF4F-C9B4DB73BC6B}"/>
    <cellStyle name="Comma 5 2 4 4 5" xfId="54970" xr:uid="{F6EE7696-4F52-49D1-B18C-F60BAFCFD4D8}"/>
    <cellStyle name="Comma 5 2 4 5" xfId="15564" xr:uid="{39EAF0F3-BCE8-4CA8-A279-445926C0CA0F}"/>
    <cellStyle name="Comma 5 2 4 5 2" xfId="23093" xr:uid="{DE79FEC9-D2E5-467F-A529-D0578B3BC2A4}"/>
    <cellStyle name="Comma 5 2 4 5 3" xfId="47134" xr:uid="{234CD9EF-9AA1-4209-99CD-80CE1ED286C4}"/>
    <cellStyle name="Comma 5 2 4 5 4" xfId="52431" xr:uid="{BEFEF129-CDF7-4375-B3CA-D73F93E31173}"/>
    <cellStyle name="Comma 5 2 4 5 5" xfId="55447" xr:uid="{AF8611B3-D2CC-4F1F-B843-C8E224F7BE3C}"/>
    <cellStyle name="Comma 5 2 4 6" xfId="12515" xr:uid="{2F1AA215-F834-4661-82F0-4163E21BDA86}"/>
    <cellStyle name="Comma 5 2 4 6 2" xfId="36623" xr:uid="{7CC261A0-FB4E-4CCB-85D0-529F9EE8A65F}"/>
    <cellStyle name="Comma 5 2 4 6 3" xfId="51000" xr:uid="{9D1A94AD-3163-42D9-B339-382D0E63FAAE}"/>
    <cellStyle name="Comma 5 2 4 6 4" xfId="54016" xr:uid="{EA5B06BC-28F0-47A8-B0C2-E4ED1CBCACEA}"/>
    <cellStyle name="Comma 5 2 4 7" xfId="23783" xr:uid="{0B4216EA-C8C5-485B-9EFC-747DC5D4BFEE}"/>
    <cellStyle name="Comma 5 2 4 8" xfId="48660" xr:uid="{56654D49-A3E8-4D03-829A-6E296C8CAA32}"/>
    <cellStyle name="Comma 5 2 4 9" xfId="49568" xr:uid="{CD51B0FF-D456-47A7-9E5A-41BC78C02EE0}"/>
    <cellStyle name="Comma 5 2 5" xfId="10130" xr:uid="{27E979B5-D378-4EB5-BD18-F8A7A489733F}"/>
    <cellStyle name="Comma 5 2 5 10" xfId="52963" xr:uid="{52FFE364-3BFD-4C53-B0E6-64B546729D82}"/>
    <cellStyle name="Comma 5 2 5 2" xfId="10444" xr:uid="{4CB56CAD-1314-41C5-B19D-49DAE2ED3102}"/>
    <cellStyle name="Comma 5 2 5 2 2" xfId="14857" xr:uid="{05589D3D-8CE8-430D-A866-6D0FD7D8269E}"/>
    <cellStyle name="Comma 5 2 5 2 2 2" xfId="22404" xr:uid="{099E899D-0FDA-44E5-A679-BCABCDA2E9F2}"/>
    <cellStyle name="Comma 5 2 5 2 2 3" xfId="38072" xr:uid="{64D2ADE5-3A3A-4E01-8D45-713B4634659A}"/>
    <cellStyle name="Comma 5 2 5 2 2 4" xfId="47485" xr:uid="{EF07F07A-A8BB-49D1-ACBD-3B14C7EF4451}"/>
    <cellStyle name="Comma 5 2 5 2 2 5" xfId="51742" xr:uid="{1F4E8DC3-5A32-43D3-A0AF-5E9B95AD8D0E}"/>
    <cellStyle name="Comma 5 2 5 2 2 6" xfId="54758" xr:uid="{682D636F-DAC7-44C5-99EA-A94E6C8ABB7C}"/>
    <cellStyle name="Comma 5 2 5 2 3" xfId="15342" xr:uid="{5418AE1D-0855-4C1D-873C-D569B1E13D41}"/>
    <cellStyle name="Comma 5 2 5 2 3 2" xfId="22881" xr:uid="{AEE15EF0-D9B8-4D54-A362-3188A364A3AB}"/>
    <cellStyle name="Comma 5 2 5 2 3 3" xfId="43374" xr:uid="{48109D3B-46A9-478D-A742-E844A8564488}"/>
    <cellStyle name="Comma 5 2 5 2 3 4" xfId="24176" xr:uid="{04BED61C-E37C-44C2-9278-DA92AA6D7F7A}"/>
    <cellStyle name="Comma 5 2 5 2 3 5" xfId="52219" xr:uid="{1E557913-2E14-4A76-954E-A99EFF4DFBCE}"/>
    <cellStyle name="Comma 5 2 5 2 3 6" xfId="55235" xr:uid="{46276763-9B17-4FF2-84C3-DE8A76AC7226}"/>
    <cellStyle name="Comma 5 2 5 2 4" xfId="15829" xr:uid="{5BF62E85-6880-4463-9EE0-70C6BEE9F053}"/>
    <cellStyle name="Comma 5 2 5 2 4 2" xfId="23358" xr:uid="{DC2338F1-9E62-4039-9F39-6FE7E8A2D140}"/>
    <cellStyle name="Comma 5 2 5 2 4 3" xfId="46593" xr:uid="{E8C1146F-3949-4E48-A3FC-92B2CE62EE9F}"/>
    <cellStyle name="Comma 5 2 5 2 4 4" xfId="52696" xr:uid="{834F1909-A708-45E2-A8F2-0BDE45708049}"/>
    <cellStyle name="Comma 5 2 5 2 4 5" xfId="55712" xr:uid="{CB89AACC-CF7D-44CC-A200-B7A1FF3F5107}"/>
    <cellStyle name="Comma 5 2 5 2 5" xfId="12897" xr:uid="{E4C6D153-59E6-4260-B3BB-A33EB6AFD8E9}"/>
    <cellStyle name="Comma 5 2 5 2 5 2" xfId="47023" xr:uid="{88C1517B-8670-4C48-AD89-A74EFB8DB221}"/>
    <cellStyle name="Comma 5 2 5 2 5 3" xfId="51265" xr:uid="{3CE5EB11-9010-40BC-A454-B9E863BD0DFB}"/>
    <cellStyle name="Comma 5 2 5 2 5 4" xfId="54281" xr:uid="{F07BC737-C0BC-48E8-9382-2AD80B4DFD7E}"/>
    <cellStyle name="Comma 5 2 5 2 6" xfId="32698" xr:uid="{EE24B260-8B14-457C-AB2B-DFD92B4E9EA5}"/>
    <cellStyle name="Comma 5 2 5 2 7" xfId="46122" xr:uid="{8598C51D-EE52-45C9-B0BF-FBC75D61AD7F}"/>
    <cellStyle name="Comma 5 2 5 2 8" xfId="50159" xr:uid="{DFB147FE-27EB-4F80-8AC1-89CE04143AAD}"/>
    <cellStyle name="Comma 5 2 5 2 9" xfId="53175" xr:uid="{8E377EA9-78DC-4CCB-88EF-8A02CC18DE15}"/>
    <cellStyle name="Comma 5 2 5 3" xfId="14645" xr:uid="{33CBD0CB-DBF6-4111-AB39-7CD474B9AB02}"/>
    <cellStyle name="Comma 5 2 5 3 2" xfId="22192" xr:uid="{87664DCB-92A6-401F-BF76-365E96BCF0EC}"/>
    <cellStyle name="Comma 5 2 5 3 3" xfId="35607" xr:uid="{3F8A358D-9B64-4A6E-9406-1077C8AA29DA}"/>
    <cellStyle name="Comma 5 2 5 3 4" xfId="48060" xr:uid="{1B935399-26E4-4048-8596-D73F002F0603}"/>
    <cellStyle name="Comma 5 2 5 3 5" xfId="51530" xr:uid="{B1C6FD6D-CFB6-4200-B4D2-309D002A13D3}"/>
    <cellStyle name="Comma 5 2 5 3 6" xfId="54546" xr:uid="{80FD5FD0-050A-4ABB-A9F9-7769C6B5B2C6}"/>
    <cellStyle name="Comma 5 2 5 4" xfId="15130" xr:uid="{02CAAF77-6D29-4B49-80CF-5E48FCB55385}"/>
    <cellStyle name="Comma 5 2 5 4 2" xfId="22669" xr:uid="{5ED7F303-9EC4-43B4-9ECF-57D4857CBC21}"/>
    <cellStyle name="Comma 5 2 5 4 3" xfId="40723" xr:uid="{2ADB6D3E-43CF-40EA-B769-D75A01DC8179}"/>
    <cellStyle name="Comma 5 2 5 4 4" xfId="46884" xr:uid="{1AA33556-68E3-4C39-B408-0D601E1DCFDB}"/>
    <cellStyle name="Comma 5 2 5 4 5" xfId="52007" xr:uid="{E22C212C-FDA8-4080-B53F-919191F902E8}"/>
    <cellStyle name="Comma 5 2 5 4 6" xfId="55023" xr:uid="{B92D4F07-9A96-4DA6-99EB-2F26A59DCF9E}"/>
    <cellStyle name="Comma 5 2 5 5" xfId="15617" xr:uid="{68178AC2-58C3-458D-A379-D4B507BD66FB}"/>
    <cellStyle name="Comma 5 2 5 5 2" xfId="23146" xr:uid="{26C04343-B988-4143-83D3-19F900434AB9}"/>
    <cellStyle name="Comma 5 2 5 5 3" xfId="46558" xr:uid="{D9E0ADD8-CCC2-4C89-8D08-C21CC1FF51DD}"/>
    <cellStyle name="Comma 5 2 5 5 4" xfId="52484" xr:uid="{3F0B5684-1D02-41E3-953D-3698C5051106}"/>
    <cellStyle name="Comma 5 2 5 5 5" xfId="55500" xr:uid="{523F2D9E-0517-4342-AF2F-FB4115F6125D}"/>
    <cellStyle name="Comma 5 2 5 6" xfId="12587" xr:uid="{442F3023-49C7-4442-8997-A6E17E3DFE89}"/>
    <cellStyle name="Comma 5 2 5 6 2" xfId="46665" xr:uid="{8B368116-1D84-43BE-B946-D5355F4D2BD2}"/>
    <cellStyle name="Comma 5 2 5 6 3" xfId="51053" xr:uid="{B9513C2D-FE3E-4D0F-87BF-FD4EE0B6EE07}"/>
    <cellStyle name="Comma 5 2 5 6 4" xfId="54069" xr:uid="{B38B84F2-80F7-4B00-A5C5-28DCF388239A}"/>
    <cellStyle name="Comma 5 2 5 7" xfId="23784" xr:uid="{65498EDF-350F-495D-9D80-CC7289AD584C}"/>
    <cellStyle name="Comma 5 2 5 8" xfId="47278" xr:uid="{EE3A3FC4-6590-4C25-A4E3-2EF7F76B5791}"/>
    <cellStyle name="Comma 5 2 5 9" xfId="49947" xr:uid="{29CEAF0B-A3B5-4D7D-9FA0-2ED5CB50A93D}"/>
    <cellStyle name="Comma 5 2 6" xfId="10210" xr:uid="{4F61F508-34C4-4D07-BDA5-E416FD06D5AC}"/>
    <cellStyle name="Comma 5 2 6 2" xfId="14698" xr:uid="{4C826ACE-7702-48DE-8FF3-3587E44A05AB}"/>
    <cellStyle name="Comma 5 2 6 2 2" xfId="22245" xr:uid="{57DF110B-C508-4669-9005-501EB7268424}"/>
    <cellStyle name="Comma 5 2 6 2 2 2" xfId="38073" xr:uid="{FE7451BD-1D0A-4816-887F-EE5476D3CB2F}"/>
    <cellStyle name="Comma 5 2 6 2 3" xfId="43375" xr:uid="{37FAF040-E23C-4EBA-A5D1-7A5C184C8B09}"/>
    <cellStyle name="Comma 5 2 6 2 4" xfId="32699" xr:uid="{14C7AF23-EA61-462C-8C3E-B48B6BDC91B4}"/>
    <cellStyle name="Comma 5 2 6 2 5" xfId="32409" xr:uid="{A1AE352F-FCC2-4B78-98C2-CCF089D79131}"/>
    <cellStyle name="Comma 5 2 6 2 6" xfId="51583" xr:uid="{875C338C-AA29-4B7B-9C68-FC5B832634C0}"/>
    <cellStyle name="Comma 5 2 6 2 7" xfId="54599" xr:uid="{4B914942-AE28-4A46-94C0-1B9F8DA0432D}"/>
    <cellStyle name="Comma 5 2 6 3" xfId="15183" xr:uid="{F35DC1A7-CE52-43E2-BA95-40FB332B8F50}"/>
    <cellStyle name="Comma 5 2 6 3 2" xfId="22722" xr:uid="{04AE1FDC-8702-4E8F-A7F5-8FE1A0DF361E}"/>
    <cellStyle name="Comma 5 2 6 3 3" xfId="35608" xr:uid="{3BE5EB00-9B48-4613-9B1D-E4B35858A2FF}"/>
    <cellStyle name="Comma 5 2 6 3 4" xfId="32460" xr:uid="{27C1586A-AD54-40A7-B16A-7182DA22C971}"/>
    <cellStyle name="Comma 5 2 6 3 5" xfId="52060" xr:uid="{70BD0F38-A62C-48B5-B782-0A2E711A1B01}"/>
    <cellStyle name="Comma 5 2 6 3 6" xfId="55076" xr:uid="{FB6AF4EA-6A6F-4042-9088-8BC05E9EA82B}"/>
    <cellStyle name="Comma 5 2 6 4" xfId="15670" xr:uid="{62103D7C-9DF3-4EE4-A006-0A33BC8CA319}"/>
    <cellStyle name="Comma 5 2 6 4 2" xfId="23199" xr:uid="{9A0628C3-758B-4577-8923-5F5E7A6DB727}"/>
    <cellStyle name="Comma 5 2 6 4 3" xfId="40724" xr:uid="{8A846698-1447-440C-8E5A-1157FE1D6C09}"/>
    <cellStyle name="Comma 5 2 6 4 4" xfId="47728" xr:uid="{E3373BDC-4BE3-4745-AC95-C4F586856D8F}"/>
    <cellStyle name="Comma 5 2 6 4 5" xfId="52537" xr:uid="{BF9EB301-2FF9-4186-8649-FB44FE519C78}"/>
    <cellStyle name="Comma 5 2 6 4 6" xfId="55553" xr:uid="{3885E91F-F8B4-4FDC-B09C-6014D2CA2A39}"/>
    <cellStyle name="Comma 5 2 6 5" xfId="12663" xr:uid="{5FE32130-6330-4245-8728-235F51ACA46A}"/>
    <cellStyle name="Comma 5 2 6 5 2" xfId="47228" xr:uid="{A0D8532A-E686-490D-8387-9D894C32563B}"/>
    <cellStyle name="Comma 5 2 6 5 3" xfId="51106" xr:uid="{765FF8B0-8979-476F-85EC-CDF54A068680}"/>
    <cellStyle name="Comma 5 2 6 5 4" xfId="54122" xr:uid="{E606A1B7-94D0-4167-903E-3934558C48BA}"/>
    <cellStyle name="Comma 5 2 6 6" xfId="23785" xr:uid="{BF521A54-C2D0-46F1-99F3-2D30B83684E0}"/>
    <cellStyle name="Comma 5 2 6 7" xfId="47876" xr:uid="{E58B1213-6811-4311-9111-7391AB808A94}"/>
    <cellStyle name="Comma 5 2 6 8" xfId="50000" xr:uid="{4C7E2FB3-E110-4E90-8744-9EE1AABE8E51}"/>
    <cellStyle name="Comma 5 2 6 9" xfId="53016" xr:uid="{A1FC49D7-A815-4877-A494-D41F00C4FDAB}"/>
    <cellStyle name="Comma 5 2 7" xfId="10524" xr:uid="{22840352-4D40-43C5-9691-54EB746BB77B}"/>
    <cellStyle name="Comma 5 2 7 2" xfId="14910" xr:uid="{61F8AD3B-AC4A-4657-AA2F-D2B3C26AF867}"/>
    <cellStyle name="Comma 5 2 7 2 2" xfId="22457" xr:uid="{ED4968BD-A30C-4BD1-A208-C38DFB276243}"/>
    <cellStyle name="Comma 5 2 7 2 2 2" xfId="38074" xr:uid="{80DEE437-EF22-47EA-BB7B-CD58C93D1632}"/>
    <cellStyle name="Comma 5 2 7 2 3" xfId="43376" xr:uid="{0D2A12B4-3C80-4A43-9050-9E3B9682C831}"/>
    <cellStyle name="Comma 5 2 7 2 4" xfId="32700" xr:uid="{A8424D21-7A18-4BEC-B7F8-F20109B9053A}"/>
    <cellStyle name="Comma 5 2 7 2 5" xfId="48266" xr:uid="{40A4DFAC-DCDB-4EDE-9F09-3D4CE7BD357F}"/>
    <cellStyle name="Comma 5 2 7 2 6" xfId="51795" xr:uid="{E39217AA-FA17-48A3-AD2F-9FCE73CA7415}"/>
    <cellStyle name="Comma 5 2 7 2 7" xfId="54811" xr:uid="{040CAC89-32F3-4C9B-8F6D-0823CBC4DC76}"/>
    <cellStyle name="Comma 5 2 7 3" xfId="15395" xr:uid="{DF54E8CB-ADE2-41D0-9150-6F557692079D}"/>
    <cellStyle name="Comma 5 2 7 3 2" xfId="22934" xr:uid="{39DBCC04-E9EE-4418-974B-534FDE183709}"/>
    <cellStyle name="Comma 5 2 7 3 3" xfId="35609" xr:uid="{8E8ACB30-A68E-4319-927F-D04DC275172A}"/>
    <cellStyle name="Comma 5 2 7 3 4" xfId="46528" xr:uid="{3FA259D4-FFC0-4537-BB69-329269565677}"/>
    <cellStyle name="Comma 5 2 7 3 5" xfId="52272" xr:uid="{BF294433-0A67-431C-9077-33BF044133E8}"/>
    <cellStyle name="Comma 5 2 7 3 6" xfId="55288" xr:uid="{ABDBA491-EA03-402D-BF05-486028151229}"/>
    <cellStyle name="Comma 5 2 7 4" xfId="15882" xr:uid="{D845B783-95FF-49FB-9A19-F135B3C8A5BF}"/>
    <cellStyle name="Comma 5 2 7 4 2" xfId="23411" xr:uid="{2FF47164-80CF-4839-8C67-E3A22BFE9D17}"/>
    <cellStyle name="Comma 5 2 7 4 3" xfId="40725" xr:uid="{A1362ADE-DFC1-4ADC-A91C-9D23DCCA81FD}"/>
    <cellStyle name="Comma 5 2 7 4 4" xfId="47556" xr:uid="{E108277C-AF67-4CAB-B47A-EAD20DF316B8}"/>
    <cellStyle name="Comma 5 2 7 4 5" xfId="52749" xr:uid="{9C663968-2A79-42BB-9EAB-10341114F040}"/>
    <cellStyle name="Comma 5 2 7 4 6" xfId="55765" xr:uid="{F99589F1-4BA0-4F91-9DF9-D34769A2E80B}"/>
    <cellStyle name="Comma 5 2 7 5" xfId="12977" xr:uid="{3D7C9667-47B8-4507-94A4-C60A75226208}"/>
    <cellStyle name="Comma 5 2 7 5 2" xfId="48057" xr:uid="{74110A5B-67C3-47C2-9C13-16698211D562}"/>
    <cellStyle name="Comma 5 2 7 5 3" xfId="51318" xr:uid="{256FA719-5EB7-447F-8FE7-C4E366F02CEB}"/>
    <cellStyle name="Comma 5 2 7 5 4" xfId="54334" xr:uid="{5A01547E-CDFD-43FC-9D7E-A95362763CE0}"/>
    <cellStyle name="Comma 5 2 7 6" xfId="23786" xr:uid="{B3A9E9B2-A950-4A86-A587-2FF00607A8E8}"/>
    <cellStyle name="Comma 5 2 7 7" xfId="47654" xr:uid="{DCC6AE17-CD72-4BC0-8D30-BDD42EC76393}"/>
    <cellStyle name="Comma 5 2 7 8" xfId="50212" xr:uid="{940AD59D-5573-440C-833B-E8A0E3000731}"/>
    <cellStyle name="Comma 5 2 7 9" xfId="53228" xr:uid="{2D3941D3-3529-4B03-AC67-734EFE6A78A9}"/>
    <cellStyle name="Comma 5 2 8" xfId="14486" xr:uid="{764231D7-C39A-44ED-8902-DD7FA3750DDE}"/>
    <cellStyle name="Comma 5 2 8 2" xfId="22033" xr:uid="{72B2B4DD-BE0D-4920-9F0A-EE64B0372F2F}"/>
    <cellStyle name="Comma 5 2 8 2 2" xfId="38069" xr:uid="{30B1E3D6-8013-4604-A885-9DA852A3EE55}"/>
    <cellStyle name="Comma 5 2 8 3" xfId="43371" xr:uid="{CFB13121-B3AB-4158-85F9-CE561B1E3F5B}"/>
    <cellStyle name="Comma 5 2 8 4" xfId="32695" xr:uid="{E2A340ED-BE86-470B-AB1D-33C771447C5F}"/>
    <cellStyle name="Comma 5 2 8 5" xfId="32414" xr:uid="{ED5922D5-1D0D-460A-BA53-CF1335E3813A}"/>
    <cellStyle name="Comma 5 2 8 6" xfId="51371" xr:uid="{B9CB850E-F5D5-418D-87B3-408E51A636B7}"/>
    <cellStyle name="Comma 5 2 8 7" xfId="54387" xr:uid="{BD67E6F7-7F5E-4958-BEE2-F1A161063B09}"/>
    <cellStyle name="Comma 5 2 9" xfId="14966" xr:uid="{1B9D0E57-58BB-48D7-8FC2-135C0DD09D3C}"/>
    <cellStyle name="Comma 5 2 9 2" xfId="22510" xr:uid="{C9211E3C-B556-4DE1-BCA4-928707816504}"/>
    <cellStyle name="Comma 5 2 9 3" xfId="35604" xr:uid="{D32279DB-B52A-4143-B180-6BFD750EF1D9}"/>
    <cellStyle name="Comma 5 2 9 4" xfId="48412" xr:uid="{51C50AD1-D4C8-4B93-98EB-AE3E47C080EE}"/>
    <cellStyle name="Comma 5 2 9 5" xfId="51848" xr:uid="{E31BEB5A-883F-479C-8DD4-DD2BF1907018}"/>
    <cellStyle name="Comma 5 2 9 6" xfId="54864" xr:uid="{E1D9757B-6F2D-4162-A743-C569D1FAB278}"/>
    <cellStyle name="Comma 5 3" xfId="2629" xr:uid="{62BEAAA4-2164-4072-AAD4-244577425C4E}"/>
    <cellStyle name="Comma 5 3 2" xfId="4545" xr:uid="{3B0AA891-FA99-4C99-8666-A275B1C4CFAF}"/>
    <cellStyle name="Comma 5 3 2 2" xfId="35066" xr:uid="{754B4673-A67B-4A1C-95B0-068F47F9122C}"/>
    <cellStyle name="Comma 5 3 2 2 2" xfId="40227" xr:uid="{52CB88A9-B6F4-4A78-8030-24FF490E270A}"/>
    <cellStyle name="Comma 5 3 2 2 3" xfId="45529" xr:uid="{ABF84611-5D69-4884-A42E-CCFF38CB6931}"/>
    <cellStyle name="Comma 5 3 2 3" xfId="37576" xr:uid="{63C106F2-7D87-4BA8-95EF-E65532F888B3}"/>
    <cellStyle name="Comma 5 3 2 4" xfId="42878" xr:uid="{13FAFC9E-74F9-4E08-9AFC-E07513AAC616}"/>
    <cellStyle name="Comma 5 3 2 5" xfId="9882" xr:uid="{7430387F-61E3-427C-AD48-9E4917BBB6F6}"/>
    <cellStyle name="Comma 5 3 3" xfId="5826" xr:uid="{E81F8B88-167F-4D79-8CB5-310EF5CC7C5B}"/>
    <cellStyle name="Comma 5 3 3 2" xfId="12360" xr:uid="{C4D5008A-2DCF-4DB6-A017-8B23F3AB2783}"/>
    <cellStyle name="Comma 5 3 4" xfId="11701" xr:uid="{9A6958AD-D84E-4A1D-9070-1E99CE3F68F9}"/>
    <cellStyle name="Comma 5 3 4 2" xfId="21721" xr:uid="{BF39F6A7-9F15-4217-A4FA-9DDDEB6C1302}"/>
    <cellStyle name="Comma 5 3 4 3" xfId="24227" xr:uid="{A31B359C-735E-44D9-934B-110BB438C8B5}"/>
    <cellStyle name="Comma 5 3 4 4" xfId="50748" xr:uid="{962A3E6E-0BF6-4EC7-B1D9-70BDA8B8C6BA}"/>
    <cellStyle name="Comma 5 3 4 5" xfId="53764" xr:uid="{8D56E89A-4744-4BB8-A1CE-02B2F8539C41}"/>
    <cellStyle name="Comma 5 3 5" xfId="19493" xr:uid="{5ACA217C-07C8-47C3-A585-3986C0575CA0}"/>
    <cellStyle name="Comma 5 3 6" xfId="23787" xr:uid="{BF909E80-9850-4FB5-B33C-BB92E62CD20F}"/>
    <cellStyle name="Comma 5 3 7" xfId="48661" xr:uid="{BAF1319A-83BC-4176-8EFC-887046D89337}"/>
    <cellStyle name="Comma 5 3 8" xfId="49569" xr:uid="{D4D45E7E-9B08-4756-828B-87602A8E9BDC}"/>
    <cellStyle name="Comma 5 3 9" xfId="8425" xr:uid="{6FAB90ED-0552-4471-8D23-04EDF9B9CB31}"/>
    <cellStyle name="Comma 5 4" xfId="7719" xr:uid="{13FB64E2-4542-4B8F-9656-A492ACAA8109}"/>
    <cellStyle name="Comma 5 4 10" xfId="15461" xr:uid="{E3A1640C-8614-49DD-A91E-9E9A74983F28}"/>
    <cellStyle name="Comma 5 4 10 2" xfId="22993" xr:uid="{6E97AC68-00E9-4887-AB49-CE9A9203C324}"/>
    <cellStyle name="Comma 5 4 10 3" xfId="47569" xr:uid="{DF5358C6-4C3B-4B16-BE03-76EC73311F03}"/>
    <cellStyle name="Comma 5 4 10 4" xfId="52331" xr:uid="{6624EDE0-0744-496E-BE06-912BA663F136}"/>
    <cellStyle name="Comma 5 4 10 5" xfId="55347" xr:uid="{5F5FA368-B56B-426D-982A-A3C98227AEEB}"/>
    <cellStyle name="Comma 5 4 10 6" xfId="19326" xr:uid="{49FC980E-8512-4869-ADF4-28C53B4499BC}"/>
    <cellStyle name="Comma 5 4 11" xfId="11198" xr:uid="{0841D578-16B4-4DB9-90CB-CE34D6728D50}"/>
    <cellStyle name="Comma 5 4 11 2" xfId="21694" xr:uid="{79DB4454-5DEE-4D2F-998C-F379D717A456}"/>
    <cellStyle name="Comma 5 4 11 3" xfId="47158" xr:uid="{2D7251E4-5793-4753-84D4-E892E4F96E76}"/>
    <cellStyle name="Comma 5 4 11 4" xfId="50711" xr:uid="{E983BEFB-CBAB-45D5-BC67-796A62F33717}"/>
    <cellStyle name="Comma 5 4 11 5" xfId="53727" xr:uid="{AE38524C-6130-4C74-A05E-D828027F64B7}"/>
    <cellStyle name="Comma 5 4 12" xfId="19494" xr:uid="{16176B31-FAF5-4E6B-ACFA-EA6FF01F224F}"/>
    <cellStyle name="Comma 5 4 13" xfId="23788" xr:uid="{AE9DEFFE-3D6C-4151-94B8-F7BEB1631F62}"/>
    <cellStyle name="Comma 5 4 14" xfId="47378" xr:uid="{74E4CAF7-04EF-46D4-96D6-3C0712C890CD}"/>
    <cellStyle name="Comma 5 4 15" xfId="48662" xr:uid="{F9B656FD-374E-468C-B02C-143214615A99}"/>
    <cellStyle name="Comma 5 4 16" xfId="49570" xr:uid="{3A31B160-F378-41BD-8C93-77A2AB2027EE}"/>
    <cellStyle name="Comma 5 4 17" xfId="49794" xr:uid="{1E9C77A2-28B3-4B8D-B9A5-ECF86ADD4670}"/>
    <cellStyle name="Comma 5 4 18" xfId="52809" xr:uid="{5EB2F481-9293-42C5-8251-9CDA28104AF3}"/>
    <cellStyle name="Comma 5 4 19" xfId="15946" xr:uid="{037B03C9-FC04-417E-8436-9518F2235009}"/>
    <cellStyle name="Comma 5 4 2" xfId="9877" xr:uid="{32369DA9-027D-4B4C-AF1F-9499C47C0454}"/>
    <cellStyle name="Comma 5 4 2 10" xfId="18738" xr:uid="{10F4A68C-B709-4EA6-8C0B-29A89F4DABDB}"/>
    <cellStyle name="Comma 5 4 2 2" xfId="10300" xr:uid="{DDAAAAF2-B39A-418C-A775-DF8817338685}"/>
    <cellStyle name="Comma 5 4 2 2 2" xfId="14757" xr:uid="{39555467-AF97-48B1-B967-162CD47004F9}"/>
    <cellStyle name="Comma 5 4 2 2 2 2" xfId="22304" xr:uid="{D8594808-9A6B-4837-BBD6-3687F6B2F168}"/>
    <cellStyle name="Comma 5 4 2 2 2 3" xfId="48351" xr:uid="{5CEDA2D8-DFB5-4549-8318-43098BB43DEB}"/>
    <cellStyle name="Comma 5 4 2 2 2 4" xfId="51642" xr:uid="{17CBC2D6-AB66-4C38-B7EA-E7610EBBCA0E}"/>
    <cellStyle name="Comma 5 4 2 2 2 5" xfId="54658" xr:uid="{9922076C-9E33-4089-9E2B-11FA626E4316}"/>
    <cellStyle name="Comma 5 4 2 2 2 6" xfId="19116" xr:uid="{566139B0-B759-409D-AD24-1104BEAA135E}"/>
    <cellStyle name="Comma 5 4 2 2 3" xfId="15242" xr:uid="{E65EC174-9C01-42E4-97E6-C65A4019FAFE}"/>
    <cellStyle name="Comma 5 4 2 2 3 2" xfId="22781" xr:uid="{5D180EB0-3562-4A38-8FEE-AA9C93B3C9AE}"/>
    <cellStyle name="Comma 5 4 2 2 3 3" xfId="36579" xr:uid="{5C77EC69-F3DF-42DF-8E10-87351B03101B}"/>
    <cellStyle name="Comma 5 4 2 2 3 4" xfId="52119" xr:uid="{37497C6B-E36D-4D94-AB18-95E206FCD175}"/>
    <cellStyle name="Comma 5 4 2 2 3 5" xfId="55135" xr:uid="{41EB76E3-A9A0-4B0B-AFF7-2B9A787E212D}"/>
    <cellStyle name="Comma 5 4 2 2 3 6" xfId="19259" xr:uid="{CD0DB6BF-AC87-4E38-9725-AD7A2231F478}"/>
    <cellStyle name="Comma 5 4 2 2 4" xfId="15729" xr:uid="{0AAE3A00-4492-499E-B69E-4A8DC78B50EB}"/>
    <cellStyle name="Comma 5 4 2 2 4 2" xfId="23258" xr:uid="{5AA6C2A3-15D7-4DBD-B4EB-DCDCF52976A2}"/>
    <cellStyle name="Comma 5 4 2 2 4 3" xfId="47501" xr:uid="{95673370-7761-4EC7-9932-ABAE7B8BF2EE}"/>
    <cellStyle name="Comma 5 4 2 2 4 4" xfId="52596" xr:uid="{A941B67B-72E4-4406-930C-68D2F371DCE7}"/>
    <cellStyle name="Comma 5 4 2 2 4 5" xfId="55612" xr:uid="{6C79A067-3CB0-4C3E-9195-2420E345E497}"/>
    <cellStyle name="Comma 5 4 2 2 4 6" xfId="19404" xr:uid="{AF8C01D3-CEBD-4DCE-8DED-672A70168147}"/>
    <cellStyle name="Comma 5 4 2 2 5" xfId="12753" xr:uid="{B266042B-E237-4F30-8B27-2943C41ED0EF}"/>
    <cellStyle name="Comma 5 4 2 2 5 2" xfId="48493" xr:uid="{EED8110C-0062-402E-BAF9-13DAD3BC02FD}"/>
    <cellStyle name="Comma 5 4 2 2 5 3" xfId="51165" xr:uid="{90C14AE4-C48C-42DE-A961-438624C00EB3}"/>
    <cellStyle name="Comma 5 4 2 2 5 4" xfId="54181" xr:uid="{A376B1DF-8B20-43B2-93FA-090D68E20638}"/>
    <cellStyle name="Comma 5 4 2 2 5 5" xfId="21974" xr:uid="{97F47AF4-E20C-4D25-9BB0-15945F1F7074}"/>
    <cellStyle name="Comma 5 4 2 2 6" xfId="47558" xr:uid="{437BAD43-D757-4560-BA74-DD50218BF6F5}"/>
    <cellStyle name="Comma 5 4 2 2 7" xfId="50059" xr:uid="{B006CE82-2DAD-4181-8030-69B0461BD9B2}"/>
    <cellStyle name="Comma 5 4 2 2 8" xfId="53075" xr:uid="{6A8CB80F-BD7B-4D5C-BA20-42B1E00CC338}"/>
    <cellStyle name="Comma 5 4 2 2 9" xfId="18883" xr:uid="{D2FAD731-4780-41BB-B536-CA45957BF13D}"/>
    <cellStyle name="Comma 5 4 2 3" xfId="14545" xr:uid="{2376AAE0-C977-48AA-AF10-E37DC811552F}"/>
    <cellStyle name="Comma 5 4 2 3 2" xfId="22092" xr:uid="{6801ED82-E057-4D73-B266-2414A8F5A2B3}"/>
    <cellStyle name="Comma 5 4 2 3 3" xfId="24194" xr:uid="{EC1E83DD-57F5-4361-A68B-FB833B010E3C}"/>
    <cellStyle name="Comma 5 4 2 3 4" xfId="51430" xr:uid="{D2EF862A-17EC-4A10-AB7D-7C3B55A81707}"/>
    <cellStyle name="Comma 5 4 2 3 5" xfId="54446" xr:uid="{D1F84DCE-9EA7-498B-85B7-AF32D0DF0935}"/>
    <cellStyle name="Comma 5 4 2 3 6" xfId="19056" xr:uid="{03D0FB5B-6AF4-47CB-B71F-84467765FB4E}"/>
    <cellStyle name="Comma 5 4 2 4" xfId="15029" xr:uid="{287C08E3-27BF-4FF7-B1BF-D27129125FAE}"/>
    <cellStyle name="Comma 5 4 2 4 2" xfId="22569" xr:uid="{F40ACC0E-E30B-47C3-958F-2F6A1F88347A}"/>
    <cellStyle name="Comma 5 4 2 4 3" xfId="47054" xr:uid="{C868C44E-8CEE-40D2-A4CC-F12F72C90BAF}"/>
    <cellStyle name="Comma 5 4 2 4 4" xfId="51907" xr:uid="{068EA129-F717-4272-8D18-B5B815BF36C0}"/>
    <cellStyle name="Comma 5 4 2 4 5" xfId="54923" xr:uid="{8364C268-928C-4676-AEF3-220E7B88900F}"/>
    <cellStyle name="Comma 5 4 2 4 6" xfId="19198" xr:uid="{4E9CBD5F-7C64-4130-B246-C115D7B24A7B}"/>
    <cellStyle name="Comma 5 4 2 5" xfId="15516" xr:uid="{8581A297-1CC4-42F1-8BD3-DF04E7BEBE9F}"/>
    <cellStyle name="Comma 5 4 2 5 2" xfId="23046" xr:uid="{CDDE33E9-E05E-4E65-A7D0-AA6522E19433}"/>
    <cellStyle name="Comma 5 4 2 5 3" xfId="48077" xr:uid="{FACC0420-ADAB-4891-8E39-BD676ECF2BB4}"/>
    <cellStyle name="Comma 5 4 2 5 4" xfId="52384" xr:uid="{AF218906-6D5D-4BD4-BBD7-7A2ECE61B3E8}"/>
    <cellStyle name="Comma 5 4 2 5 5" xfId="55400" xr:uid="{D5CD6CFD-515B-495F-90F3-82347BC01A2D}"/>
    <cellStyle name="Comma 5 4 2 5 6" xfId="19343" xr:uid="{C3E7D670-8907-4375-80E3-05A11AD6CA92}"/>
    <cellStyle name="Comma 5 4 2 6" xfId="12456" xr:uid="{85CF6103-B86C-414D-B109-B301284BCE34}"/>
    <cellStyle name="Comma 5 4 2 6 2" xfId="24537" xr:uid="{E860DD88-6749-404B-AF66-DAD5DBEE44AB}"/>
    <cellStyle name="Comma 5 4 2 6 3" xfId="50953" xr:uid="{D75D8921-DC94-4D0F-AAF4-3FC75F3530EF}"/>
    <cellStyle name="Comma 5 4 2 6 4" xfId="53969" xr:uid="{3488CA18-A5A1-4CF8-88CD-373CC5C70A67}"/>
    <cellStyle name="Comma 5 4 2 6 5" xfId="21912" xr:uid="{C8D6D14B-7072-448E-A87D-EFDAC5D583BD}"/>
    <cellStyle name="Comma 5 4 2 7" xfId="47421" xr:uid="{26A10EE5-C8A7-4DB7-8CED-A850AA1AB1F0}"/>
    <cellStyle name="Comma 5 4 2 8" xfId="49847" xr:uid="{E69A860E-6BA2-4D22-953F-D59BEB68DB1A}"/>
    <cellStyle name="Comma 5 4 2 9" xfId="52863" xr:uid="{ACEF2698-E28E-4592-BDAB-E530E1B8C520}"/>
    <cellStyle name="Comma 5 4 3" xfId="10066" xr:uid="{B13EF069-6DDD-4300-842E-CBAE4D37D1CB}"/>
    <cellStyle name="Comma 5 4 3 10" xfId="18769" xr:uid="{D5F9A99F-9825-4B32-9F1E-5645A4CBB0A3}"/>
    <cellStyle name="Comma 5 4 3 2" xfId="10375" xr:uid="{6C16D051-EC2F-47DA-949B-2D0FDF139240}"/>
    <cellStyle name="Comma 5 4 3 2 2" xfId="14810" xr:uid="{B14CD7E8-607C-4A19-BC11-E5A3CE877B8D}"/>
    <cellStyle name="Comma 5 4 3 2 2 2" xfId="22357" xr:uid="{FB093C90-1AA5-4CBD-B36C-91E34A3D56BF}"/>
    <cellStyle name="Comma 5 4 3 2 2 3" xfId="32528" xr:uid="{1FDF9DCE-02AE-481D-B71E-BAF8B1FD71AF}"/>
    <cellStyle name="Comma 5 4 3 2 2 4" xfId="51695" xr:uid="{E29D1384-B700-4F8A-9C53-3242F18B2258}"/>
    <cellStyle name="Comma 5 4 3 2 2 5" xfId="54711" xr:uid="{EC03578B-A524-4C6E-99DE-5C07B7988FF3}"/>
    <cellStyle name="Comma 5 4 3 2 2 6" xfId="19131" xr:uid="{BEB3217B-462D-4FDF-AD89-D280BB5076E0}"/>
    <cellStyle name="Comma 5 4 3 2 3" xfId="15295" xr:uid="{B505E1F2-5EAA-4041-A7B4-F8A53B37C683}"/>
    <cellStyle name="Comma 5 4 3 2 3 2" xfId="22834" xr:uid="{F419C346-7CDE-4C55-B96A-56107F07CED7}"/>
    <cellStyle name="Comma 5 4 3 2 3 3" xfId="46512" xr:uid="{80E3A08B-A212-41CB-A8AA-4A2388A5B86F}"/>
    <cellStyle name="Comma 5 4 3 2 3 4" xfId="52172" xr:uid="{82020EFF-6FA2-483C-8F54-FD2D9E211C3F}"/>
    <cellStyle name="Comma 5 4 3 2 3 5" xfId="55188" xr:uid="{B04C3D2F-0571-4A4E-AFC0-FED40CCA898A}"/>
    <cellStyle name="Comma 5 4 3 2 3 6" xfId="19274" xr:uid="{C4FB2B60-0769-46DC-9877-459F8A95D43B}"/>
    <cellStyle name="Comma 5 4 3 2 4" xfId="15782" xr:uid="{4ABD9331-118B-4DE9-B315-EECF4D98AA19}"/>
    <cellStyle name="Comma 5 4 3 2 4 2" xfId="23311" xr:uid="{3757D9B2-5369-42F5-9B5F-B24E75C58C50}"/>
    <cellStyle name="Comma 5 4 3 2 4 3" xfId="47553" xr:uid="{059E251F-20A8-44B7-9CBA-CF5B63F8FBE8}"/>
    <cellStyle name="Comma 5 4 3 2 4 4" xfId="52649" xr:uid="{192D3EA4-BFCA-4CEF-8E32-57152C11DB1A}"/>
    <cellStyle name="Comma 5 4 3 2 4 5" xfId="55665" xr:uid="{E046377C-8A93-42E6-B8BB-639CFF1EBC40}"/>
    <cellStyle name="Comma 5 4 3 2 4 6" xfId="19419" xr:uid="{8CCCFB1B-18FE-4B6C-BC06-BC37878D7DEC}"/>
    <cellStyle name="Comma 5 4 3 2 5" xfId="12828" xr:uid="{248D5B2C-2757-4745-85F3-DFA2C15AB014}"/>
    <cellStyle name="Comma 5 4 3 2 5 2" xfId="47921" xr:uid="{8C27009B-BC85-4ECD-AD43-C020B755968B}"/>
    <cellStyle name="Comma 5 4 3 2 5 3" xfId="51218" xr:uid="{60082E7F-3ED6-4B48-AE80-B50C29E65F8F}"/>
    <cellStyle name="Comma 5 4 3 2 5 4" xfId="54234" xr:uid="{D47A7F21-FE9A-4D21-BDD7-3409AB355CE1}"/>
    <cellStyle name="Comma 5 4 3 2 5 5" xfId="21989" xr:uid="{4DAC537E-5E35-44E1-8387-23985E6F72BF}"/>
    <cellStyle name="Comma 5 4 3 2 6" xfId="47583" xr:uid="{7F348826-D1EF-405C-BBB3-3E0F9D7A51DB}"/>
    <cellStyle name="Comma 5 4 3 2 7" xfId="50112" xr:uid="{92185048-3667-46D1-AC99-1DB05F0F9CE8}"/>
    <cellStyle name="Comma 5 4 3 2 8" xfId="53128" xr:uid="{00590DE1-C135-4844-9BB4-5C9FAEC15CB3}"/>
    <cellStyle name="Comma 5 4 3 2 9" xfId="18920" xr:uid="{C1AA83F8-E698-4D1D-8690-B18044CF6A8D}"/>
    <cellStyle name="Comma 5 4 3 3" xfId="14598" xr:uid="{472D4363-3AF9-41D3-846D-252B4AC9140E}"/>
    <cellStyle name="Comma 5 4 3 3 2" xfId="22145" xr:uid="{C895DE65-2ABD-42D1-99A3-AF61B7835644}"/>
    <cellStyle name="Comma 5 4 3 3 3" xfId="47512" xr:uid="{58F20803-EC59-40E7-80D8-94E0DC41ED28}"/>
    <cellStyle name="Comma 5 4 3 3 4" xfId="51483" xr:uid="{DA068634-DD3A-404E-A41C-13245F108C42}"/>
    <cellStyle name="Comma 5 4 3 3 5" xfId="54499" xr:uid="{5020857D-424D-46AA-97A6-85EE9B088379}"/>
    <cellStyle name="Comma 5 4 3 3 6" xfId="19071" xr:uid="{8C63D55E-1630-4E68-B223-9156B081A441}"/>
    <cellStyle name="Comma 5 4 3 4" xfId="15083" xr:uid="{5F72C047-0B07-4110-B821-79004430AC23}"/>
    <cellStyle name="Comma 5 4 3 4 2" xfId="22622" xr:uid="{896985CF-CCBA-4290-BE44-040D3110B2AD}"/>
    <cellStyle name="Comma 5 4 3 4 3" xfId="48275" xr:uid="{A5F255C7-B087-4461-B367-48DF48B131B2}"/>
    <cellStyle name="Comma 5 4 3 4 4" xfId="51960" xr:uid="{9710D836-8CCA-499F-A822-82E68F4B1A8A}"/>
    <cellStyle name="Comma 5 4 3 4 5" xfId="54976" xr:uid="{C600173C-BC97-4D6A-9551-D843EEDCFC63}"/>
    <cellStyle name="Comma 5 4 3 4 6" xfId="19214" xr:uid="{C518B03F-327B-4482-BB7B-DEADDF861527}"/>
    <cellStyle name="Comma 5 4 3 5" xfId="15570" xr:uid="{E3CEFAA4-92E6-40E0-B97B-9E6C38A7A37E}"/>
    <cellStyle name="Comma 5 4 3 5 2" xfId="23099" xr:uid="{092550DA-06C3-445F-A5CF-794A74B234B7}"/>
    <cellStyle name="Comma 5 4 3 5 3" xfId="47726" xr:uid="{A3B78B90-EC41-4A00-B04D-A5967898B070}"/>
    <cellStyle name="Comma 5 4 3 5 4" xfId="52437" xr:uid="{29222594-0BED-44F5-AA79-9DD849C663FB}"/>
    <cellStyle name="Comma 5 4 3 5 5" xfId="55453" xr:uid="{4D06CAA9-1C93-42EC-BE23-ED6EA28358DA}"/>
    <cellStyle name="Comma 5 4 3 5 6" xfId="19359" xr:uid="{B5DE5F1D-8A26-472D-8606-D40D076A6B6D}"/>
    <cellStyle name="Comma 5 4 3 6" xfId="12525" xr:uid="{7B4BF71D-03B5-48F8-A4ED-439D594603A7}"/>
    <cellStyle name="Comma 5 4 3 6 2" xfId="36312" xr:uid="{7EBBCE73-0B06-4AF4-8793-EB2F6BB83872}"/>
    <cellStyle name="Comma 5 4 3 6 3" xfId="51006" xr:uid="{496F3628-6EAC-407B-9C10-4110BB724FAB}"/>
    <cellStyle name="Comma 5 4 3 6 4" xfId="54022" xr:uid="{CA5D681D-7D5F-4976-BF63-4B933809A68D}"/>
    <cellStyle name="Comma 5 4 3 6 5" xfId="21929" xr:uid="{7F8903BA-5CFD-46C0-9DAB-D4245483F83F}"/>
    <cellStyle name="Comma 5 4 3 7" xfId="47205" xr:uid="{D761C128-6C51-4964-8CDA-6B3821534C06}"/>
    <cellStyle name="Comma 5 4 3 8" xfId="49900" xr:uid="{2635AD35-178A-4118-946E-6E7F513D658F}"/>
    <cellStyle name="Comma 5 4 3 9" xfId="52916" xr:uid="{5F112D12-9B3A-49BD-B00B-A4DB22DE9F69}"/>
    <cellStyle name="Comma 5 4 4" xfId="10141" xr:uid="{FD7F70B2-54C6-4CDE-ADEE-9E86AA2613D3}"/>
    <cellStyle name="Comma 5 4 4 10" xfId="18803" xr:uid="{7B841085-BF0F-478B-ADE2-0E8508214CE1}"/>
    <cellStyle name="Comma 5 4 4 2" xfId="10455" xr:uid="{5EF0BC95-2926-480D-9092-687AD8A6AA2E}"/>
    <cellStyle name="Comma 5 4 4 2 2" xfId="14863" xr:uid="{207FEE10-17A8-4E50-A0E1-10187ABCE4EB}"/>
    <cellStyle name="Comma 5 4 4 2 2 2" xfId="22410" xr:uid="{C9EF12E7-1DBA-4C20-9B1F-E90F5FB57FC8}"/>
    <cellStyle name="Comma 5 4 4 2 2 3" xfId="48066" xr:uid="{45C0CF9E-697B-4A52-A869-098E3F90A17E}"/>
    <cellStyle name="Comma 5 4 4 2 2 4" xfId="51748" xr:uid="{4C6F5A81-53D0-4EAD-BD42-E5C12B925BB0}"/>
    <cellStyle name="Comma 5 4 4 2 2 5" xfId="54764" xr:uid="{66006CD4-051A-434D-87BD-BB1A1AD62616}"/>
    <cellStyle name="Comma 5 4 4 2 2 6" xfId="19146" xr:uid="{72D8F030-F87D-4DF1-A58D-E054968B6B28}"/>
    <cellStyle name="Comma 5 4 4 2 3" xfId="15348" xr:uid="{EE6CED55-B394-4BFE-87CE-BE0A7086F6C4}"/>
    <cellStyle name="Comma 5 4 4 2 3 2" xfId="22887" xr:uid="{F152E65A-1810-4B76-9365-3A96CD7EE926}"/>
    <cellStyle name="Comma 5 4 4 2 3 3" xfId="24173" xr:uid="{9EF72287-CAC8-4593-A578-7828C0BEAEA0}"/>
    <cellStyle name="Comma 5 4 4 2 3 4" xfId="52225" xr:uid="{320EDC16-2904-43FA-95C8-3AD0F708E03C}"/>
    <cellStyle name="Comma 5 4 4 2 3 5" xfId="55241" xr:uid="{7F1634A6-E12B-4AAD-99BE-2D17ECD6BF69}"/>
    <cellStyle name="Comma 5 4 4 2 3 6" xfId="19289" xr:uid="{D6DEDE92-E572-4584-A54F-A985E5DBED1F}"/>
    <cellStyle name="Comma 5 4 4 2 4" xfId="15835" xr:uid="{0C2CE56D-8B10-425D-98C3-1D221B4EB978}"/>
    <cellStyle name="Comma 5 4 4 2 4 2" xfId="23364" xr:uid="{6AF55E0A-62C1-4964-88D4-AE3A2747142B}"/>
    <cellStyle name="Comma 5 4 4 2 4 3" xfId="46594" xr:uid="{1D6578C9-FBFF-400E-8861-75D5A31A419A}"/>
    <cellStyle name="Comma 5 4 4 2 4 4" xfId="52702" xr:uid="{C49C7677-AE49-4EBE-B3F4-DF04EE6E271B}"/>
    <cellStyle name="Comma 5 4 4 2 4 5" xfId="55718" xr:uid="{4C884505-3777-4D48-9F21-23699566CE4F}"/>
    <cellStyle name="Comma 5 4 4 2 4 6" xfId="19434" xr:uid="{E7C62589-CACA-4C95-9249-91A5268DE0C8}"/>
    <cellStyle name="Comma 5 4 4 2 5" xfId="12908" xr:uid="{63BCF34D-AC38-4B2E-8F7F-355E3F405C86}"/>
    <cellStyle name="Comma 5 4 4 2 5 2" xfId="46368" xr:uid="{0B34359A-63D4-4E80-B3CC-BD4909E37C2B}"/>
    <cellStyle name="Comma 5 4 4 2 5 3" xfId="51271" xr:uid="{9C9301A6-7F88-4906-BB9B-368C9734F630}"/>
    <cellStyle name="Comma 5 4 4 2 5 4" xfId="54287" xr:uid="{23CDDAD1-69AF-4792-BBB3-8897CD2F42C8}"/>
    <cellStyle name="Comma 5 4 4 2 5 5" xfId="22004" xr:uid="{B30EFF41-738D-4F15-BB54-D31DF7D263D2}"/>
    <cellStyle name="Comma 5 4 4 2 6" xfId="48160" xr:uid="{8FDA1AF8-F3E3-4AC7-93E9-F20B6E277399}"/>
    <cellStyle name="Comma 5 4 4 2 7" xfId="50165" xr:uid="{4FA1BBCE-93DF-42E5-8BE2-4D9384A0303A}"/>
    <cellStyle name="Comma 5 4 4 2 8" xfId="53181" xr:uid="{93DA3674-F49F-4351-A925-2E3C83D2FFAD}"/>
    <cellStyle name="Comma 5 4 4 2 9" xfId="18962" xr:uid="{DFD197BD-335D-4369-97CB-D58E2DC49C05}"/>
    <cellStyle name="Comma 5 4 4 3" xfId="14651" xr:uid="{EA63F4DC-884F-475E-A36A-A6D3CB221E1B}"/>
    <cellStyle name="Comma 5 4 4 3 2" xfId="22198" xr:uid="{0F96C1BC-F4BA-4362-8665-593A0C068A9C}"/>
    <cellStyle name="Comma 5 4 4 3 3" xfId="47408" xr:uid="{9C18B50D-DB1F-4250-B037-A4DF5D5F0C6A}"/>
    <cellStyle name="Comma 5 4 4 3 4" xfId="51536" xr:uid="{7DA46ED2-5A63-49AC-8C9B-B0CA1359772F}"/>
    <cellStyle name="Comma 5 4 4 3 5" xfId="54552" xr:uid="{42CA9463-2C94-49CF-B29F-F22DCDA0AABA}"/>
    <cellStyle name="Comma 5 4 4 3 6" xfId="19086" xr:uid="{BDD4DF9A-846D-48F3-B010-E4EBBBEAE8D5}"/>
    <cellStyle name="Comma 5 4 4 4" xfId="15136" xr:uid="{A3043137-2007-42A6-861A-BD2DB4F4CC48}"/>
    <cellStyle name="Comma 5 4 4 4 2" xfId="22675" xr:uid="{1F6364BD-C598-43CB-B78A-A71A61A51D4D}"/>
    <cellStyle name="Comma 5 4 4 4 3" xfId="46885" xr:uid="{E1052BD5-1127-4C36-B282-953AE39B5BB5}"/>
    <cellStyle name="Comma 5 4 4 4 4" xfId="52013" xr:uid="{619905C6-EC0D-45B0-8EDB-1A31801E9E0D}"/>
    <cellStyle name="Comma 5 4 4 4 5" xfId="55029" xr:uid="{99D17DFC-8F19-4CC9-8E63-B8514A5417A9}"/>
    <cellStyle name="Comma 5 4 4 4 6" xfId="19229" xr:uid="{24484FA9-15E8-49D7-A82D-0EBD6C6F233A}"/>
    <cellStyle name="Comma 5 4 4 5" xfId="15623" xr:uid="{4CEA48DF-FA7A-40A5-BF1B-59E0FFD36561}"/>
    <cellStyle name="Comma 5 4 4 5 2" xfId="23152" xr:uid="{68368C10-7214-4020-8815-C1CC48715687}"/>
    <cellStyle name="Comma 5 4 4 5 3" xfId="46559" xr:uid="{2FF170DB-4B5D-410F-9E6F-F62B7EAB536C}"/>
    <cellStyle name="Comma 5 4 4 5 4" xfId="52490" xr:uid="{68A14ED3-637A-412F-B70F-EF8C69A10157}"/>
    <cellStyle name="Comma 5 4 4 5 5" xfId="55506" xr:uid="{FE63A844-73FA-4A1D-AD96-DDEDD6FDDCCE}"/>
    <cellStyle name="Comma 5 4 4 5 6" xfId="19374" xr:uid="{C485F14C-7DAA-4BA7-9427-4133BFE08E05}"/>
    <cellStyle name="Comma 5 4 4 6" xfId="12597" xr:uid="{1F91F18C-5D31-4905-9E68-81D427451748}"/>
    <cellStyle name="Comma 5 4 4 6 2" xfId="48197" xr:uid="{531C3030-A31D-4EB6-8125-8E1153A0B317}"/>
    <cellStyle name="Comma 5 4 4 6 3" xfId="51059" xr:uid="{B576A19A-CFE6-486A-8671-962C24A13AEF}"/>
    <cellStyle name="Comma 5 4 4 6 4" xfId="54075" xr:uid="{E27114A1-2208-45F9-87B0-2B48AB761C8D}"/>
    <cellStyle name="Comma 5 4 4 6 5" xfId="21944" xr:uid="{096ED0D7-E056-4563-AFAD-FB6A83A0E173}"/>
    <cellStyle name="Comma 5 4 4 7" xfId="47872" xr:uid="{4AD7ACD5-BB6E-482C-B783-E0F1B2D45C08}"/>
    <cellStyle name="Comma 5 4 4 8" xfId="49953" xr:uid="{49CA20B2-B93D-4149-A104-9F2510787407}"/>
    <cellStyle name="Comma 5 4 4 9" xfId="52969" xr:uid="{EF0AF75C-6EBC-41B3-AE50-960FF9DFA155}"/>
    <cellStyle name="Comma 5 4 5" xfId="10221" xr:uid="{851CC8E1-D4EC-413D-9D61-015ECA74443F}"/>
    <cellStyle name="Comma 5 4 5 2" xfId="14704" xr:uid="{C9047ED9-C75E-44FD-A699-FA5393B9FEDE}"/>
    <cellStyle name="Comma 5 4 5 2 2" xfId="22251" xr:uid="{83C3395C-A27A-40F9-B24F-5B32712C52FE}"/>
    <cellStyle name="Comma 5 4 5 2 3" xfId="24963" xr:uid="{05507BA5-954D-4F8C-83AF-EA0BBDF9CB71}"/>
    <cellStyle name="Comma 5 4 5 2 4" xfId="51589" xr:uid="{4AAC9DC7-8A75-4287-9643-08F7638986F4}"/>
    <cellStyle name="Comma 5 4 5 2 5" xfId="54605" xr:uid="{570D784A-8BE0-47C5-A241-31A0E2EBF091}"/>
    <cellStyle name="Comma 5 4 5 2 6" xfId="19101" xr:uid="{10A35BE8-4BF6-4C2C-A054-8DECA81D9A37}"/>
    <cellStyle name="Comma 5 4 5 3" xfId="15189" xr:uid="{7D63E0C0-1D4F-438F-AE87-1801DEBBBC67}"/>
    <cellStyle name="Comma 5 4 5 3 2" xfId="22728" xr:uid="{E6235116-ECA5-4D4A-9318-8145A65E7A10}"/>
    <cellStyle name="Comma 5 4 5 3 3" xfId="46494" xr:uid="{3394FD02-3E41-4FEE-9C95-13D8BE753A3E}"/>
    <cellStyle name="Comma 5 4 5 3 4" xfId="52066" xr:uid="{E9167D8B-801A-4DBD-BB6B-46FE4A7A9D26}"/>
    <cellStyle name="Comma 5 4 5 3 5" xfId="55082" xr:uid="{3FADC1EE-9BE4-4010-8614-1815626A1C2F}"/>
    <cellStyle name="Comma 5 4 5 3 6" xfId="19244" xr:uid="{22D364A4-5DE6-46D0-A624-24AAC547E0DB}"/>
    <cellStyle name="Comma 5 4 5 4" xfId="15676" xr:uid="{F6E76BA9-CF53-461E-94D6-DF973DEFD084}"/>
    <cellStyle name="Comma 5 4 5 4 2" xfId="23205" xr:uid="{827B358B-BA37-4545-A47C-498DAD11A9D2}"/>
    <cellStyle name="Comma 5 4 5 4 3" xfId="48309" xr:uid="{49B6931B-07C7-490F-AA25-20DB7BD01446}"/>
    <cellStyle name="Comma 5 4 5 4 4" xfId="52543" xr:uid="{F42AC149-49BB-4A7E-9317-1C2607F19221}"/>
    <cellStyle name="Comma 5 4 5 4 5" xfId="55559" xr:uid="{B553ACB3-5F85-4F4F-9941-84B6309A0766}"/>
    <cellStyle name="Comma 5 4 5 4 6" xfId="19389" xr:uid="{1C125921-2A64-47B8-A074-B0BDC4917713}"/>
    <cellStyle name="Comma 5 4 5 5" xfId="12674" xr:uid="{E957D5CE-0ECE-41DC-8B65-452A9D834731}"/>
    <cellStyle name="Comma 5 4 5 5 2" xfId="32426" xr:uid="{AA11317A-9F25-435C-94E1-AFC5366F8B3A}"/>
    <cellStyle name="Comma 5 4 5 5 3" xfId="51112" xr:uid="{CEACD443-B8F1-4758-83E3-AADA7E014CC8}"/>
    <cellStyle name="Comma 5 4 5 5 4" xfId="54128" xr:uid="{03C48911-3FF4-4647-9469-7A3AA3534B06}"/>
    <cellStyle name="Comma 5 4 5 5 5" xfId="21959" xr:uid="{B8E39E8F-AEED-449B-842A-42ED1CBE3969}"/>
    <cellStyle name="Comma 5 4 5 6" xfId="46068" xr:uid="{DD6A6163-0F8E-4C61-A1EA-C04096B38FFD}"/>
    <cellStyle name="Comma 5 4 5 7" xfId="50006" xr:uid="{21AD3F5B-3A54-4976-ABB4-155294991402}"/>
    <cellStyle name="Comma 5 4 5 8" xfId="53022" xr:uid="{40BE1033-7311-4FBE-9A15-FBF4D46305FE}"/>
    <cellStyle name="Comma 5 4 5 9" xfId="18842" xr:uid="{396E5219-8FD1-497C-9918-AAFDB7B52683}"/>
    <cellStyle name="Comma 5 4 6" xfId="10535" xr:uid="{104F8EC1-4C21-4A01-AE51-B6D03E7E9DBA}"/>
    <cellStyle name="Comma 5 4 6 2" xfId="14916" xr:uid="{6CBB4536-307C-465B-9588-328C81F3F55D}"/>
    <cellStyle name="Comma 5 4 6 2 2" xfId="22463" xr:uid="{3603871C-BB43-4F09-8EB8-DDDD978861FC}"/>
    <cellStyle name="Comma 5 4 6 2 3" xfId="24933" xr:uid="{F8F7575B-27D1-4B13-82F1-151F5778E456}"/>
    <cellStyle name="Comma 5 4 6 2 4" xfId="51801" xr:uid="{1E0C9E26-0588-483F-BFAC-AF201957C2F6}"/>
    <cellStyle name="Comma 5 4 6 2 5" xfId="54817" xr:uid="{794A1A94-8DBF-42A5-90E4-095CC28E5182}"/>
    <cellStyle name="Comma 5 4 6 2 6" xfId="19161" xr:uid="{E74A22FB-305A-4FFA-AA7E-5906A9F79C08}"/>
    <cellStyle name="Comma 5 4 6 3" xfId="15401" xr:uid="{60CA9B96-FBFB-4BC8-9DEE-708C969AB973}"/>
    <cellStyle name="Comma 5 4 6 3 2" xfId="22940" xr:uid="{5A3BC653-AAAA-4870-8AF2-DC5173928B8A}"/>
    <cellStyle name="Comma 5 4 6 3 3" xfId="46529" xr:uid="{58455213-348F-4B31-8F25-8B6E9AB32D4D}"/>
    <cellStyle name="Comma 5 4 6 3 4" xfId="52278" xr:uid="{2641CF6E-0F31-4DA0-B3FC-D15887FF4457}"/>
    <cellStyle name="Comma 5 4 6 3 5" xfId="55294" xr:uid="{62A82B28-F44B-4F27-91FC-C555B952FD29}"/>
    <cellStyle name="Comma 5 4 6 3 6" xfId="19304" xr:uid="{F4244E11-E558-4493-BCFE-3091F103FAC5}"/>
    <cellStyle name="Comma 5 4 6 4" xfId="15889" xr:uid="{AFA6A597-0554-42E6-89D4-32A4FF4A537B}"/>
    <cellStyle name="Comma 5 4 6 4 2" xfId="23417" xr:uid="{995A7535-F8E1-4A73-953C-B12074062FCF}"/>
    <cellStyle name="Comma 5 4 6 4 3" xfId="32357" xr:uid="{4BAC26FB-3D14-4394-9CC3-2044683F5482}"/>
    <cellStyle name="Comma 5 4 6 4 4" xfId="52755" xr:uid="{1CC43539-7F13-4CDD-A733-2648FB624B61}"/>
    <cellStyle name="Comma 5 4 6 4 5" xfId="55771" xr:uid="{96539893-B8F6-4313-81BC-EE33D9E4C79C}"/>
    <cellStyle name="Comma 5 4 6 4 6" xfId="19450" xr:uid="{FC951C75-CAF9-4DE4-A555-220A0FF5D227}"/>
    <cellStyle name="Comma 5 4 6 5" xfId="12988" xr:uid="{94666DA3-3268-4963-B91A-2081E986F744}"/>
    <cellStyle name="Comma 5 4 6 5 2" xfId="46819" xr:uid="{17069A94-6757-4854-B15B-27C018670432}"/>
    <cellStyle name="Comma 5 4 6 5 3" xfId="51324" xr:uid="{C223CBB1-2421-42E8-A8E2-6FFB36B26550}"/>
    <cellStyle name="Comma 5 4 6 5 4" xfId="54340" xr:uid="{B989208B-8E4D-4E9B-9045-341ED875DB53}"/>
    <cellStyle name="Comma 5 4 6 5 5" xfId="22019" xr:uid="{BF795996-7BB0-4EC7-BCEB-63769C9A9CCA}"/>
    <cellStyle name="Comma 5 4 6 6" xfId="46146" xr:uid="{CC81DB0F-AAB3-4405-804D-1BB2A64D6790}"/>
    <cellStyle name="Comma 5 4 6 7" xfId="50218" xr:uid="{974E61E0-1C1B-4DC8-8007-CC3A555ABEE4}"/>
    <cellStyle name="Comma 5 4 6 8" xfId="53234" xr:uid="{7D0FA43A-E324-4DE1-8881-61FA33694839}"/>
    <cellStyle name="Comma 5 4 6 9" xfId="19004" xr:uid="{4F19E544-4B54-450F-BE36-046CC7A759CF}"/>
    <cellStyle name="Comma 5 4 7" xfId="12423" xr:uid="{BD3E7626-34D1-4719-8639-09B7A3A0E814}"/>
    <cellStyle name="Comma 5 4 7 2" xfId="21908" xr:uid="{4124F64A-00D9-4084-B5EF-936A1B113697}"/>
    <cellStyle name="Comma 5 4 7 3" xfId="46306" xr:uid="{CAB23DAF-5886-4959-A3CE-612E81AA8D95}"/>
    <cellStyle name="Comma 5 4 7 4" xfId="50946" xr:uid="{CF96C50C-F9BD-4A3F-A5E7-055672F1D0C9}"/>
    <cellStyle name="Comma 5 4 7 5" xfId="53962" xr:uid="{A8638F3D-D566-4AE4-B2C6-6C5CA1B83781}"/>
    <cellStyle name="Comma 5 4 7 6" xfId="18730" xr:uid="{CBAE68F0-F477-48EB-8A91-7AE3C9E049CA}"/>
    <cellStyle name="Comma 5 4 8" xfId="14492" xr:uid="{26DA1C1E-7193-4DDF-A0AE-4708F3945547}"/>
    <cellStyle name="Comma 5 4 8 2" xfId="22039" xr:uid="{A0BCE9D4-CE7F-4E60-9FE2-53A39481C846}"/>
    <cellStyle name="Comma 5 4 8 3" xfId="47807" xr:uid="{BCAF6644-A518-4B44-838C-FB90559DD5A9}"/>
    <cellStyle name="Comma 5 4 8 4" xfId="51377" xr:uid="{28668FCE-5E2A-4F62-BAB1-2C02DC557A7E}"/>
    <cellStyle name="Comma 5 4 8 5" xfId="54393" xr:uid="{557B07A7-7F94-4470-BFB1-5BC2C94F9974}"/>
    <cellStyle name="Comma 5 4 8 6" xfId="19041" xr:uid="{AAF3B0F7-87EC-4ED9-B761-97C73CE49382}"/>
    <cellStyle name="Comma 5 4 9" xfId="14974" xr:uid="{23C417F8-F404-4F2F-B014-DE185539339F}"/>
    <cellStyle name="Comma 5 4 9 2" xfId="22516" xr:uid="{4CE416C4-BAED-4B17-A2FA-FE9E09138BF9}"/>
    <cellStyle name="Comma 5 4 9 3" xfId="32515" xr:uid="{93C7752B-7C91-493E-A9CB-E6B53A20C108}"/>
    <cellStyle name="Comma 5 4 9 4" xfId="51854" xr:uid="{EB735B00-0BF8-430E-9D50-26610755DBCB}"/>
    <cellStyle name="Comma 5 4 9 5" xfId="54870" xr:uid="{EBC73BDF-8E9E-472C-8E24-EE078B89B072}"/>
    <cellStyle name="Comma 5 4 9 6" xfId="19181" xr:uid="{8E4A5523-CB2C-46BB-8896-5D3B25D6264D}"/>
    <cellStyle name="Comma 5 5" xfId="9599" xr:uid="{107A845A-AF3A-4D6B-A58F-A150F3873C23}"/>
    <cellStyle name="Comma 5 5 2" xfId="23789" xr:uid="{BA76B635-7620-4E24-9632-C892411EE2B0}"/>
    <cellStyle name="Comma 5 5 3" xfId="48663" xr:uid="{122E04E5-FD0C-4C01-A5D2-48CE5CEE16A2}"/>
    <cellStyle name="Comma 5 5 4" xfId="49571" xr:uid="{83026679-ED28-46A4-9EF9-DA5574FD3BF3}"/>
    <cellStyle name="Comma 5 6" xfId="11231" xr:uid="{A61CE31F-3CBA-4126-9566-F16BB2DF3E26}"/>
    <cellStyle name="Comma 5 6 2" xfId="23790" xr:uid="{2211462F-53FE-418C-B327-D99726D3FA39}"/>
    <cellStyle name="Comma 5 7" xfId="10603" xr:uid="{6D298FF1-E647-4571-ADCB-DFE66D72FB21}"/>
    <cellStyle name="Comma 5 7 2" xfId="21248" xr:uid="{18D47275-7C89-450A-A7C2-A761196E9AEA}"/>
    <cellStyle name="Comma 5 7 3" xfId="48526" xr:uid="{F673B3BC-BD1E-440B-9897-53D0C719C748}"/>
    <cellStyle name="Comma 5 7 4" xfId="50266" xr:uid="{2AE18948-AF20-43E8-9BF7-82CCFCD355E0}"/>
    <cellStyle name="Comma 5 7 5" xfId="53282" xr:uid="{592B1F56-CD54-4BCF-9A30-CF21FDF5E1B6}"/>
    <cellStyle name="Comma 5 7 6" xfId="17716" xr:uid="{2058C3CB-9E07-43F0-A819-021A382E47D0}"/>
    <cellStyle name="Comma 5 8" xfId="19491" xr:uid="{4E4E9628-A34E-48DF-A978-782B7966B13D}"/>
    <cellStyle name="Comma 5 9" xfId="23778" xr:uid="{5EB670F5-3F44-4A30-A3F1-EBE4A1A6EC11}"/>
    <cellStyle name="Comma 6" xfId="1294" xr:uid="{00000000-0005-0000-0000-00005A000000}"/>
    <cellStyle name="Comma 6 10" xfId="49572" xr:uid="{8127ABCB-557C-45CA-A075-2FB82C288093}"/>
    <cellStyle name="Comma 6 11" xfId="7236" xr:uid="{6A5B3F6E-F134-46FE-894C-44AA5BBFA986}"/>
    <cellStyle name="Comma 6 2" xfId="4546" xr:uid="{8C8B61CA-89AE-47E9-946C-1D93A61ADF60}"/>
    <cellStyle name="Comma 6 2 10" xfId="15006" xr:uid="{89DE08FB-4C6D-4A07-98B0-8FAF44434698}"/>
    <cellStyle name="Comma 6 2 10 2" xfId="22546" xr:uid="{7DB502FC-303B-4CC2-9BC7-EA1B690B6501}"/>
    <cellStyle name="Comma 6 2 10 3" xfId="48211" xr:uid="{2214236F-D6CE-4EE9-9C2F-8A124812F106}"/>
    <cellStyle name="Comma 6 2 10 4" xfId="51884" xr:uid="{07CE6266-F98C-4440-A6DD-319BDE2A6061}"/>
    <cellStyle name="Comma 6 2 10 5" xfId="54900" xr:uid="{68C41F3C-A076-449C-B666-FF173452CDF8}"/>
    <cellStyle name="Comma 6 2 11" xfId="15493" xr:uid="{3719AF01-1C30-4D74-A531-DECC5ED9A25F}"/>
    <cellStyle name="Comma 6 2 11 2" xfId="23023" xr:uid="{E2EF10CF-26DF-4148-88DA-231F6EC546E4}"/>
    <cellStyle name="Comma 6 2 11 3" xfId="24170" xr:uid="{4B3F839E-22CC-4A63-BF5C-98A4E70ACFBE}"/>
    <cellStyle name="Comma 6 2 11 4" xfId="52361" xr:uid="{A44D119E-431F-4945-BB36-791FF115F3D8}"/>
    <cellStyle name="Comma 6 2 11 5" xfId="55377" xr:uid="{A67FC5FB-45CE-48DA-8009-4ECCD718E747}"/>
    <cellStyle name="Comma 6 2 12" xfId="11589" xr:uid="{0C8E2EE4-ADC1-40FB-A210-BE811822A16C}"/>
    <cellStyle name="Comma 6 2 12 2" xfId="21712" xr:uid="{FCEFCA9D-B2DD-4A73-B823-786DEBA856B4}"/>
    <cellStyle name="Comma 6 2 12 3" xfId="47563" xr:uid="{AD3FBD81-2A79-4869-AECB-B97E4905F222}"/>
    <cellStyle name="Comma 6 2 12 4" xfId="50736" xr:uid="{CF8C591B-92EB-4BD9-9016-5C6237F88E06}"/>
    <cellStyle name="Comma 6 2 12 5" xfId="53752" xr:uid="{3854EE7B-EB41-4FCD-B44D-F22E059DA87A}"/>
    <cellStyle name="Comma 6 2 13" xfId="23792" xr:uid="{3BA3C483-A6E3-410D-8EAB-2518A007D6D0}"/>
    <cellStyle name="Comma 6 2 14" xfId="48665" xr:uid="{397A8029-2302-411D-B45D-3D2E976F8BBB}"/>
    <cellStyle name="Comma 6 2 15" xfId="49573" xr:uid="{9AD50B25-0B54-427E-B8BF-46E7A2FA38C5}"/>
    <cellStyle name="Comma 6 2 16" xfId="49824" xr:uid="{909F81DC-8B60-4E6C-B713-3762616920D3}"/>
    <cellStyle name="Comma 6 2 17" xfId="52839" xr:uid="{5075C377-EF3A-4259-85DD-62D7EA251CB5}"/>
    <cellStyle name="Comma 6 2 18" xfId="8947" xr:uid="{682A5BD1-6000-405D-8AA1-90213AF4F32F}"/>
    <cellStyle name="Comma 6 2 2" xfId="8948" xr:uid="{4153133B-0400-47B8-AE5E-2471B4E27524}"/>
    <cellStyle name="Comma 6 2 2 10" xfId="11498" xr:uid="{CB62FE1A-6073-45AC-A0AA-C4C9E4A20DB8}"/>
    <cellStyle name="Comma 6 2 2 10 2" xfId="48531" xr:uid="{08BFBE83-98CC-47DB-B8EB-E00250859FA9}"/>
    <cellStyle name="Comma 6 2 2 10 3" xfId="50722" xr:uid="{CE4B551D-2693-47A6-A3CA-0EFD65D3762A}"/>
    <cellStyle name="Comma 6 2 2 10 4" xfId="53738" xr:uid="{D9461384-1056-441F-8245-F5846931E690}"/>
    <cellStyle name="Comma 6 2 2 11" xfId="23793" xr:uid="{1C884F41-6FDF-45E4-972D-D1FBBB0EA2A8}"/>
    <cellStyle name="Comma 6 2 2 12" xfId="48666" xr:uid="{32B43F81-A783-458F-9F2C-BBED9C209DEF}"/>
    <cellStyle name="Comma 6 2 2 13" xfId="49574" xr:uid="{902A4F2D-6874-4D66-ACA3-7608D463E1AC}"/>
    <cellStyle name="Comma 6 2 2 14" xfId="49825" xr:uid="{797E6DCC-5E57-4117-951D-590B245B5D92}"/>
    <cellStyle name="Comma 6 2 2 15" xfId="52840" xr:uid="{F6C275E9-5666-46A7-AEEF-200126345C88}"/>
    <cellStyle name="Comma 6 2 2 2" xfId="10035" xr:uid="{26540004-0194-48D1-82D5-F2EB4CF3E7DA}"/>
    <cellStyle name="Comma 6 2 2 2 2" xfId="10343" xr:uid="{D68F6E5F-5318-4497-9ADD-F372B43CF2B9}"/>
    <cellStyle name="Comma 6 2 2 2 2 2" xfId="14788" xr:uid="{15B7292D-4156-4BE3-9BD3-CC9C32E38EF1}"/>
    <cellStyle name="Comma 6 2 2 2 2 2 2" xfId="22335" xr:uid="{920B492F-7F7B-4021-AEAC-63AE9D0142E7}"/>
    <cellStyle name="Comma 6 2 2 2 2 2 3" xfId="47483" xr:uid="{3609A67B-466E-4332-B13A-74F6AF44D82B}"/>
    <cellStyle name="Comma 6 2 2 2 2 2 4" xfId="51673" xr:uid="{854CDF3D-6481-40A3-B9C8-8F88C233F8BC}"/>
    <cellStyle name="Comma 6 2 2 2 2 2 5" xfId="54689" xr:uid="{B7856A4C-F749-48C1-8CF3-671F2E19C5DE}"/>
    <cellStyle name="Comma 6 2 2 2 2 3" xfId="15273" xr:uid="{79FA8A2F-83BE-4FB4-9D05-604E6B5005EC}"/>
    <cellStyle name="Comma 6 2 2 2 2 3 2" xfId="22812" xr:uid="{87DC2FC1-8476-43A2-92F2-E1603AF5E0FC}"/>
    <cellStyle name="Comma 6 2 2 2 2 3 3" xfId="48072" xr:uid="{C93B29FA-E0B8-4C9D-85D8-477ADBAA90B5}"/>
    <cellStyle name="Comma 6 2 2 2 2 3 4" xfId="52150" xr:uid="{11DD4D54-09EB-4D70-9353-9CAB4420E5C6}"/>
    <cellStyle name="Comma 6 2 2 2 2 3 5" xfId="55166" xr:uid="{50484264-D3F6-4CD4-8EA4-68A052422322}"/>
    <cellStyle name="Comma 6 2 2 2 2 4" xfId="15760" xr:uid="{C2FEDAF2-E1E9-471A-A9E1-481A1A8E6E03}"/>
    <cellStyle name="Comma 6 2 2 2 2 4 2" xfId="23289" xr:uid="{C31FF788-2F79-4BB1-8872-7C23C5EA1711}"/>
    <cellStyle name="Comma 6 2 2 2 2 4 3" xfId="47672" xr:uid="{18155191-C062-4A9F-A506-C7CA9B1AA7D2}"/>
    <cellStyle name="Comma 6 2 2 2 2 4 4" xfId="52627" xr:uid="{ECB495FC-CAF0-404D-AB07-6A40DBC9027E}"/>
    <cellStyle name="Comma 6 2 2 2 2 4 5" xfId="55643" xr:uid="{876F8774-AFBE-444E-AB89-08E0FEC3ED78}"/>
    <cellStyle name="Comma 6 2 2 2 2 5" xfId="12796" xr:uid="{444615C5-0A83-4525-919F-5D25C4008ADD}"/>
    <cellStyle name="Comma 6 2 2 2 2 5 2" xfId="48495" xr:uid="{0C1B8E88-B4A7-41F4-9F8E-3AA8A1B69FC3}"/>
    <cellStyle name="Comma 6 2 2 2 2 5 3" xfId="51196" xr:uid="{F36C4CA1-73E0-403C-8DE1-EEED7A111D62}"/>
    <cellStyle name="Comma 6 2 2 2 2 5 4" xfId="54212" xr:uid="{FE4B0183-C00D-4AAA-B9A5-D71B4C9B2545}"/>
    <cellStyle name="Comma 6 2 2 2 2 6" xfId="46092" xr:uid="{4AC4E3D9-768C-491B-BCA3-FF5E3356E896}"/>
    <cellStyle name="Comma 6 2 2 2 2 7" xfId="50090" xr:uid="{0DE61224-5709-47D0-929A-29D7FD17BD4B}"/>
    <cellStyle name="Comma 6 2 2 2 2 8" xfId="53106" xr:uid="{C12430A7-6DB8-4E28-BF1E-34FD58EE2C4F}"/>
    <cellStyle name="Comma 6 2 2 2 3" xfId="14576" xr:uid="{80549A33-E7F7-4908-B567-B899EFA5BC7A}"/>
    <cellStyle name="Comma 6 2 2 2 3 2" xfId="22123" xr:uid="{8771D7AC-138E-4843-91EF-1D6ACF054B84}"/>
    <cellStyle name="Comma 6 2 2 2 3 3" xfId="46837" xr:uid="{DFDEBA08-5ABC-40A2-8D4A-84970B031E46}"/>
    <cellStyle name="Comma 6 2 2 2 3 4" xfId="51461" xr:uid="{E56E870F-B610-47F2-871D-A7BBD2CF192F}"/>
    <cellStyle name="Comma 6 2 2 2 3 5" xfId="54477" xr:uid="{2ACDD5CE-B66E-4C3F-96D3-3C7D79650910}"/>
    <cellStyle name="Comma 6 2 2 2 4" xfId="15060" xr:uid="{EF06B8FB-3EB9-42DF-834B-55E8CDDEB8F2}"/>
    <cellStyle name="Comma 6 2 2 2 4 2" xfId="22600" xr:uid="{AEDC0D66-B056-4260-80E9-F38643D18391}"/>
    <cellStyle name="Comma 6 2 2 2 4 3" xfId="47246" xr:uid="{6A5FC85D-B2AA-4F23-A2F7-B959882CA389}"/>
    <cellStyle name="Comma 6 2 2 2 4 4" xfId="51938" xr:uid="{2B93C7D0-A464-4AEC-ABEB-35931EEF3D10}"/>
    <cellStyle name="Comma 6 2 2 2 4 5" xfId="54954" xr:uid="{C7ED8A9F-7831-413C-AD7B-4AAECF182A7D}"/>
    <cellStyle name="Comma 6 2 2 2 5" xfId="15547" xr:uid="{56C4453B-570F-452C-8FE6-CD5C5562D5D6}"/>
    <cellStyle name="Comma 6 2 2 2 5 2" xfId="23077" xr:uid="{37851281-3A75-43DD-8AFF-089E4A1E9FC9}"/>
    <cellStyle name="Comma 6 2 2 2 5 3" xfId="47497" xr:uid="{A1A2A621-4579-4099-86C1-3B95938782C7}"/>
    <cellStyle name="Comma 6 2 2 2 5 4" xfId="52415" xr:uid="{AE2FF3EF-D89A-4DD5-AE81-8D631A238779}"/>
    <cellStyle name="Comma 6 2 2 2 5 5" xfId="55431" xr:uid="{97454570-2894-48BA-AA18-D636175106FA}"/>
    <cellStyle name="Comma 6 2 2 2 6" xfId="12495" xr:uid="{412C21B4-B50E-4E11-8E19-EABB69D94254}"/>
    <cellStyle name="Comma 6 2 2 2 6 2" xfId="46760" xr:uid="{AA47F975-36AA-4935-9865-6A2C9FFE489B}"/>
    <cellStyle name="Comma 6 2 2 2 6 3" xfId="50984" xr:uid="{F162CF50-3889-4745-B7DB-DEBF05DFB069}"/>
    <cellStyle name="Comma 6 2 2 2 6 4" xfId="54000" xr:uid="{7F7C302C-806B-40BA-BF0D-351E83ED51B6}"/>
    <cellStyle name="Comma 6 2 2 2 7" xfId="47274" xr:uid="{9FE69E4E-0C00-4624-8535-ED9DB306484F}"/>
    <cellStyle name="Comma 6 2 2 2 8" xfId="49878" xr:uid="{4391E8DE-46F8-465D-92E3-E6B33F94CDC5}"/>
    <cellStyle name="Comma 6 2 2 2 9" xfId="52894" xr:uid="{2A6BE79A-64BB-4968-B9F4-7D60C623EC9B}"/>
    <cellStyle name="Comma 6 2 2 3" xfId="10109" xr:uid="{066C76DE-87AB-428D-81D7-7EEED0F6C790}"/>
    <cellStyle name="Comma 6 2 2 3 2" xfId="10422" xr:uid="{EC7098A0-14B2-447B-B6D5-CC5B9CD253C7}"/>
    <cellStyle name="Comma 6 2 2 3 2 2" xfId="14841" xr:uid="{14F8F509-0990-460D-BEFE-07E8E6E8C138}"/>
    <cellStyle name="Comma 6 2 2 3 2 2 2" xfId="22388" xr:uid="{F4E6D632-99DC-48EC-8A78-BC4DAA61CA03}"/>
    <cellStyle name="Comma 6 2 2 3 2 2 3" xfId="46868" xr:uid="{0F094F67-6397-4EEA-AE62-4115CB678D0A}"/>
    <cellStyle name="Comma 6 2 2 3 2 2 4" xfId="51726" xr:uid="{95D2FD83-1E6C-405B-8DA8-D14BEC87355D}"/>
    <cellStyle name="Comma 6 2 2 3 2 2 5" xfId="54742" xr:uid="{EE719F12-13BC-4923-90EF-9C3A35A07093}"/>
    <cellStyle name="Comma 6 2 2 3 2 3" xfId="15326" xr:uid="{83B5264D-CD5D-4C03-B0AC-21ACE6DD2A82}"/>
    <cellStyle name="Comma 6 2 2 3 2 3 2" xfId="22865" xr:uid="{F429AC74-EC26-4EC3-880E-56F2DF2DB2E6}"/>
    <cellStyle name="Comma 6 2 2 3 2 3 3" xfId="47686" xr:uid="{F4583437-A145-42DE-9A2C-15B2B3897C87}"/>
    <cellStyle name="Comma 6 2 2 3 2 3 4" xfId="52203" xr:uid="{5AFEB69B-AB92-47A2-9122-73F773045137}"/>
    <cellStyle name="Comma 6 2 2 3 2 3 5" xfId="55219" xr:uid="{BA4400B4-9271-4B98-AECE-CDF2856B1AB3}"/>
    <cellStyle name="Comma 6 2 2 3 2 4" xfId="15813" xr:uid="{F9985FDB-D444-4D4C-9870-750F3F7215FC}"/>
    <cellStyle name="Comma 6 2 2 3 2 4 2" xfId="23342" xr:uid="{D1EDC624-C1A6-4A29-9B2B-85F4A8CA349D}"/>
    <cellStyle name="Comma 6 2 2 3 2 4 3" xfId="48425" xr:uid="{5F28055B-A1E2-44AC-A4DB-6B8522593511}"/>
    <cellStyle name="Comma 6 2 2 3 2 4 4" xfId="52680" xr:uid="{26A267BD-4161-465E-97A1-25387E1C68FE}"/>
    <cellStyle name="Comma 6 2 2 3 2 4 5" xfId="55696" xr:uid="{2DD8C94F-F917-4A06-99D0-759ECA1357FE}"/>
    <cellStyle name="Comma 6 2 2 3 2 5" xfId="12875" xr:uid="{A7C4E4C7-6B29-49A2-B546-05649C59BA9A}"/>
    <cellStyle name="Comma 6 2 2 3 2 5 2" xfId="47765" xr:uid="{0AEF66FD-8142-437F-9363-52D52A9DD6CA}"/>
    <cellStyle name="Comma 6 2 2 3 2 5 3" xfId="51249" xr:uid="{79EF0B6A-7433-45E0-9D0D-28EA7C6EA8A8}"/>
    <cellStyle name="Comma 6 2 2 3 2 5 4" xfId="54265" xr:uid="{F1088DC2-800F-4715-8DB6-4CF0B4C1C91D}"/>
    <cellStyle name="Comma 6 2 2 3 2 6" xfId="48458" xr:uid="{CACEA727-AA68-4959-914A-10F32B2647F7}"/>
    <cellStyle name="Comma 6 2 2 3 2 7" xfId="50143" xr:uid="{334D3C62-E878-496B-9279-35F38114412F}"/>
    <cellStyle name="Comma 6 2 2 3 2 8" xfId="53159" xr:uid="{C1447B1F-0223-4550-894A-5F5DFA7B2AF5}"/>
    <cellStyle name="Comma 6 2 2 3 3" xfId="14629" xr:uid="{3D1AC2D0-62DC-476C-9C22-25C3BF5AFAD5}"/>
    <cellStyle name="Comma 6 2 2 3 3 2" xfId="22176" xr:uid="{AA1D4F85-998F-4292-A617-F3D8C9258BC2}"/>
    <cellStyle name="Comma 6 2 2 3 3 3" xfId="46411" xr:uid="{A9C9F992-ADED-4AB8-80FC-5CD64F55CA5F}"/>
    <cellStyle name="Comma 6 2 2 3 3 4" xfId="51514" xr:uid="{2250E9CA-40BE-4321-8631-92989B10A761}"/>
    <cellStyle name="Comma 6 2 2 3 3 5" xfId="54530" xr:uid="{1BB98D8E-83DF-4780-93D7-8F95909C79A3}"/>
    <cellStyle name="Comma 6 2 2 3 4" xfId="15114" xr:uid="{A533F2F6-F89C-4B0E-878C-B4BE01FB7E95}"/>
    <cellStyle name="Comma 6 2 2 3 4 2" xfId="22653" xr:uid="{F718E6F9-2676-4DB3-A782-1B43185102A5}"/>
    <cellStyle name="Comma 6 2 2 3 4 3" xfId="24449" xr:uid="{2F89A5E4-2179-4F9C-AEBF-E571881C3AB5}"/>
    <cellStyle name="Comma 6 2 2 3 4 4" xfId="51991" xr:uid="{E8C81944-97CB-48B0-BE01-C34A7FF5F1E0}"/>
    <cellStyle name="Comma 6 2 2 3 4 5" xfId="55007" xr:uid="{7F719917-0167-4A6D-A9D6-A7FEEBA4949D}"/>
    <cellStyle name="Comma 6 2 2 3 5" xfId="15601" xr:uid="{8A048F2D-0D67-4F47-9D0C-5C6C9EAA19CC}"/>
    <cellStyle name="Comma 6 2 2 3 5 2" xfId="23130" xr:uid="{BF745B36-238C-4DB6-B785-BEEAAC62AE76}"/>
    <cellStyle name="Comma 6 2 2 3 5 3" xfId="46697" xr:uid="{84933863-4380-4670-ABBC-30E8F4CD81CE}"/>
    <cellStyle name="Comma 6 2 2 3 5 4" xfId="52468" xr:uid="{20BC0988-3793-4A79-9785-62CD897B22B3}"/>
    <cellStyle name="Comma 6 2 2 3 5 5" xfId="55484" xr:uid="{2D046427-E68F-46D7-8422-E25446FB3DC8}"/>
    <cellStyle name="Comma 6 2 2 3 6" xfId="12566" xr:uid="{7B6F4E15-3DC1-4468-B684-AEB1521CACD8}"/>
    <cellStyle name="Comma 6 2 2 3 6 2" xfId="47614" xr:uid="{EFE98CAF-DF44-44BD-B937-99B1A4603C0C}"/>
    <cellStyle name="Comma 6 2 2 3 6 3" xfId="51037" xr:uid="{CE27558B-D1A5-4086-8013-9B1A59CC62A1}"/>
    <cellStyle name="Comma 6 2 2 3 6 4" xfId="54053" xr:uid="{26221CA5-91CE-43A3-82F0-ABB4D0210746}"/>
    <cellStyle name="Comma 6 2 2 3 7" xfId="46050" xr:uid="{8F6A7536-72CC-479A-9649-0893287C7062}"/>
    <cellStyle name="Comma 6 2 2 3 8" xfId="49931" xr:uid="{0C10E487-80BC-4539-BE35-F4A7676D52C5}"/>
    <cellStyle name="Comma 6 2 2 3 9" xfId="52947" xr:uid="{90A59CC9-6E90-489A-AFE7-58686FAC1DD9}"/>
    <cellStyle name="Comma 6 2 2 4" xfId="10188" xr:uid="{094BB0DB-B659-4860-AC4C-18EAFE98A0B0}"/>
    <cellStyle name="Comma 6 2 2 4 2" xfId="10502" xr:uid="{758E5778-A228-4F68-AE2C-0D04284FBE10}"/>
    <cellStyle name="Comma 6 2 2 4 2 2" xfId="14894" xr:uid="{C796A771-D648-42B6-92A3-BA4C3B2AC3E2}"/>
    <cellStyle name="Comma 6 2 2 4 2 2 2" xfId="22441" xr:uid="{1F47EB6C-DF69-4672-BF8D-F20F372E3359}"/>
    <cellStyle name="Comma 6 2 2 4 2 2 3" xfId="32525" xr:uid="{CD82BE43-B9B1-4E75-81FB-C17A2BB0D1B0}"/>
    <cellStyle name="Comma 6 2 2 4 2 2 4" xfId="51779" xr:uid="{F095B887-49C7-4E90-AEF2-E43F727E461E}"/>
    <cellStyle name="Comma 6 2 2 4 2 2 5" xfId="54795" xr:uid="{38E454D6-7978-4307-AED9-FD60CD755C93}"/>
    <cellStyle name="Comma 6 2 2 4 2 3" xfId="15379" xr:uid="{8C4C8E08-F008-4871-BB75-7A8BDE7099C1}"/>
    <cellStyle name="Comma 6 2 2 4 2 3 2" xfId="22918" xr:uid="{AC0351F4-7734-4701-94D2-BC97C54AB7A8}"/>
    <cellStyle name="Comma 6 2 2 4 2 3 3" xfId="48221" xr:uid="{33CFBCBB-1AEF-49F4-A694-9D2F72A4C1C6}"/>
    <cellStyle name="Comma 6 2 2 4 2 3 4" xfId="52256" xr:uid="{69475893-B561-49E6-A100-380136345681}"/>
    <cellStyle name="Comma 6 2 2 4 2 3 5" xfId="55272" xr:uid="{D36EA8D8-E8A9-4715-806C-6D15DDCA28DF}"/>
    <cellStyle name="Comma 6 2 2 4 2 4" xfId="15866" xr:uid="{9EF60511-6235-4994-915A-49C2750C748D}"/>
    <cellStyle name="Comma 6 2 2 4 2 4 2" xfId="23395" xr:uid="{0B6FAF3A-0C1C-45F2-A207-5EDEA1E6B618}"/>
    <cellStyle name="Comma 6 2 2 4 2 4 3" xfId="23834" xr:uid="{FCDA61E3-93C9-4FB2-A5E9-56DBF57038A5}"/>
    <cellStyle name="Comma 6 2 2 4 2 4 4" xfId="52733" xr:uid="{5625F013-3F81-4BBC-B0AD-4A05B2E72BEA}"/>
    <cellStyle name="Comma 6 2 2 4 2 4 5" xfId="55749" xr:uid="{176F2F50-DBAE-425E-843E-333CE1876F72}"/>
    <cellStyle name="Comma 6 2 2 4 2 5" xfId="12955" xr:uid="{23209A6E-DB31-4142-926B-B3050F7C12DD}"/>
    <cellStyle name="Comma 6 2 2 4 2 5 2" xfId="46672" xr:uid="{95388FF1-AC1B-4BBE-9C92-D5E2731F30DD}"/>
    <cellStyle name="Comma 6 2 2 4 2 5 3" xfId="51302" xr:uid="{39920120-0DF0-4A9D-B2FA-E5B29166FE51}"/>
    <cellStyle name="Comma 6 2 2 4 2 5 4" xfId="54318" xr:uid="{6ACFD716-85BA-4DDF-91B1-C2628102FA7F}"/>
    <cellStyle name="Comma 6 2 2 4 2 6" xfId="47887" xr:uid="{DA3670EA-5556-45D4-A883-E2E7E5B4DD27}"/>
    <cellStyle name="Comma 6 2 2 4 2 7" xfId="50196" xr:uid="{7E15E0AA-79BA-48F1-BF52-8514FEF9AD97}"/>
    <cellStyle name="Comma 6 2 2 4 2 8" xfId="53212" xr:uid="{58C8B37F-ACA1-40F1-97B2-08622F1F6172}"/>
    <cellStyle name="Comma 6 2 2 4 3" xfId="14682" xr:uid="{7254D318-0377-41BE-BC50-6AC57B1ED52D}"/>
    <cellStyle name="Comma 6 2 2 4 3 2" xfId="22229" xr:uid="{6DC4496F-63B3-419C-A348-680E5C8F9793}"/>
    <cellStyle name="Comma 6 2 2 4 3 3" xfId="48349" xr:uid="{009B8330-33E5-449A-96CF-F2FA1E6B792E}"/>
    <cellStyle name="Comma 6 2 2 4 3 4" xfId="51567" xr:uid="{3D4E28F7-08D7-471B-87E1-53A48EDA1687}"/>
    <cellStyle name="Comma 6 2 2 4 3 5" xfId="54583" xr:uid="{FF85B62F-BAFB-4E89-9B28-BBC62AD9DF08}"/>
    <cellStyle name="Comma 6 2 2 4 4" xfId="15167" xr:uid="{7C3EF161-903E-4522-9B65-900F6E329520}"/>
    <cellStyle name="Comma 6 2 2 4 4 2" xfId="22706" xr:uid="{3F3F3B30-92ED-4CAA-AD4D-42DA8848FEBB}"/>
    <cellStyle name="Comma 6 2 2 4 4 3" xfId="48276" xr:uid="{66AD5701-D52B-4C2F-A719-3C8B57B7A53D}"/>
    <cellStyle name="Comma 6 2 2 4 4 4" xfId="52044" xr:uid="{2D26027C-050E-418D-87A3-29304BD83EAD}"/>
    <cellStyle name="Comma 6 2 2 4 4 5" xfId="55060" xr:uid="{FC47CE63-1BF4-4E64-8396-6767055256C5}"/>
    <cellStyle name="Comma 6 2 2 4 5" xfId="15654" xr:uid="{1438DF10-4347-4F57-9AAA-F82979DEB9F5}"/>
    <cellStyle name="Comma 6 2 2 4 5 2" xfId="23183" xr:uid="{AFDA3E29-3F85-4D3D-BEA2-1FAE39952451}"/>
    <cellStyle name="Comma 6 2 2 4 5 3" xfId="46565" xr:uid="{E868ECD8-1F56-417A-BC06-CB06C721BA0F}"/>
    <cellStyle name="Comma 6 2 2 4 5 4" xfId="52521" xr:uid="{23CC96D9-3F05-4F88-9DD3-3EE608B907F4}"/>
    <cellStyle name="Comma 6 2 2 4 5 5" xfId="55537" xr:uid="{C2122DD4-D889-4D32-AECD-3A3195545F6E}"/>
    <cellStyle name="Comma 6 2 2 4 6" xfId="12642" xr:uid="{B0DA8E79-45BB-4F08-80EF-A64F3C515135}"/>
    <cellStyle name="Comma 6 2 2 4 6 2" xfId="48559" xr:uid="{AE00A707-C619-4E2A-8CC2-31695DE28AA8}"/>
    <cellStyle name="Comma 6 2 2 4 6 3" xfId="51090" xr:uid="{6B42C2ED-E8AF-49CF-BF1F-4A0F259BAA27}"/>
    <cellStyle name="Comma 6 2 2 4 6 4" xfId="54106" xr:uid="{A52F1DE3-73C6-4301-967A-66938EDE2A7E}"/>
    <cellStyle name="Comma 6 2 2 4 7" xfId="46619" xr:uid="{B363C56B-75D5-45A0-9C0F-D7E90EACABD4}"/>
    <cellStyle name="Comma 6 2 2 4 8" xfId="49984" xr:uid="{DCAB4C93-CA38-4FCC-A79C-5AF34AACC478}"/>
    <cellStyle name="Comma 6 2 2 4 9" xfId="53000" xr:uid="{60FA5B0D-0182-4351-AA93-28413B4C17CD}"/>
    <cellStyle name="Comma 6 2 2 5" xfId="10268" xr:uid="{DE2E4EBF-830D-4163-BA35-AB6D3D8EF611}"/>
    <cellStyle name="Comma 6 2 2 5 2" xfId="14735" xr:uid="{99CF2CD3-CE50-4325-9E1C-FDB84CAF0027}"/>
    <cellStyle name="Comma 6 2 2 5 2 2" xfId="22282" xr:uid="{997C209C-AFCD-45EC-85CE-B95A75E74131}"/>
    <cellStyle name="Comma 6 2 2 5 2 3" xfId="47536" xr:uid="{B9B08B84-F8A9-4A3C-954F-4F730EC25BE1}"/>
    <cellStyle name="Comma 6 2 2 5 2 4" xfId="51620" xr:uid="{2542D3CE-5E4E-4111-A004-24F8E5D16988}"/>
    <cellStyle name="Comma 6 2 2 5 2 5" xfId="54636" xr:uid="{41A2F521-BCEB-4955-B24A-11C308074D1E}"/>
    <cellStyle name="Comma 6 2 2 5 3" xfId="15220" xr:uid="{0A7444B4-0681-4CE1-B65D-8B284E02AB80}"/>
    <cellStyle name="Comma 6 2 2 5 3 2" xfId="22759" xr:uid="{911B121B-2519-42B2-B94D-64C94636A298}"/>
    <cellStyle name="Comma 6 2 2 5 3 3" xfId="46497" xr:uid="{0F35E51D-6176-45B3-B743-088632A5C73F}"/>
    <cellStyle name="Comma 6 2 2 5 3 4" xfId="52097" xr:uid="{C7BCBA53-CF06-4491-A0B4-DC4021B5A1E2}"/>
    <cellStyle name="Comma 6 2 2 5 3 5" xfId="55113" xr:uid="{953297CD-4B03-4441-8A3B-34379698F5B0}"/>
    <cellStyle name="Comma 6 2 2 5 4" xfId="15707" xr:uid="{EBCFC1C7-42A5-4A2E-9FF4-E28BBE2A84FD}"/>
    <cellStyle name="Comma 6 2 2 5 4 2" xfId="23236" xr:uid="{25498AB1-D42E-4C29-A6E1-73C525281F34}"/>
    <cellStyle name="Comma 6 2 2 5 4 3" xfId="47255" xr:uid="{C2CA9EB3-B889-4B25-80B9-127F515D1D55}"/>
    <cellStyle name="Comma 6 2 2 5 4 4" xfId="52574" xr:uid="{8D39E03C-FEDF-4CF4-BAB8-8AEEBCD6BBDB}"/>
    <cellStyle name="Comma 6 2 2 5 4 5" xfId="55590" xr:uid="{AF3F3C51-FF0B-4AFD-9891-1A0F4D41753E}"/>
    <cellStyle name="Comma 6 2 2 5 5" xfId="12721" xr:uid="{22DE45D5-51CC-46F4-A147-42FEDD25EA11}"/>
    <cellStyle name="Comma 6 2 2 5 5 2" xfId="47267" xr:uid="{238DE556-EC98-41F6-AFB3-F11C1EAFE830}"/>
    <cellStyle name="Comma 6 2 2 5 5 3" xfId="51143" xr:uid="{428EC610-AA89-435A-8C88-0EECAF95C643}"/>
    <cellStyle name="Comma 6 2 2 5 5 4" xfId="54159" xr:uid="{24A6FE84-5046-40FE-AD99-D179D3AFA6DD}"/>
    <cellStyle name="Comma 6 2 2 5 6" xfId="46077" xr:uid="{98FC0238-E8AE-4F2E-9C6A-C1F1149F2989}"/>
    <cellStyle name="Comma 6 2 2 5 7" xfId="50037" xr:uid="{1E6A6D9A-6C5C-4FF1-9AC3-54E132C5D758}"/>
    <cellStyle name="Comma 6 2 2 5 8" xfId="53053" xr:uid="{EAD25454-6FE1-417F-893A-7F6E57EDFB73}"/>
    <cellStyle name="Comma 6 2 2 6" xfId="10582" xr:uid="{4501AD30-FC77-4B5E-8F53-54EB364BD348}"/>
    <cellStyle name="Comma 6 2 2 6 2" xfId="14947" xr:uid="{AC3EAD4E-4518-4E59-BF0C-555999B1AED0}"/>
    <cellStyle name="Comma 6 2 2 6 2 2" xfId="22494" xr:uid="{9FE63004-DC3A-408B-BAB2-F603A37B1346}"/>
    <cellStyle name="Comma 6 2 2 6 2 3" xfId="24927" xr:uid="{0002E01A-8A5A-476C-88F2-32A2A9EE6EB3}"/>
    <cellStyle name="Comma 6 2 2 6 2 4" xfId="51832" xr:uid="{0D802386-B443-4814-A312-7613D0BC51B2}"/>
    <cellStyle name="Comma 6 2 2 6 2 5" xfId="54848" xr:uid="{996BF237-0728-4217-815A-4C4B60D5BBF0}"/>
    <cellStyle name="Comma 6 2 2 6 3" xfId="15432" xr:uid="{758654EC-E35D-4711-8687-0F7F0FC829BA}"/>
    <cellStyle name="Comma 6 2 2 6 3 2" xfId="22971" xr:uid="{71A866EA-70F5-4A79-8F18-F41211A5A413}"/>
    <cellStyle name="Comma 6 2 2 6 3 3" xfId="47132" xr:uid="{3262890D-6EB6-48E1-932E-18CD888A2E5B}"/>
    <cellStyle name="Comma 6 2 2 6 3 4" xfId="52309" xr:uid="{20D6303F-314D-491C-957D-179716DD0DCE}"/>
    <cellStyle name="Comma 6 2 2 6 3 5" xfId="55325" xr:uid="{87159156-E4F6-49FC-9478-C44B27FA978D}"/>
    <cellStyle name="Comma 6 2 2 6 4" xfId="15920" xr:uid="{B0AA5848-35E4-4B3E-B23E-709DAF7FC375}"/>
    <cellStyle name="Comma 6 2 2 6 4 2" xfId="23448" xr:uid="{6938B668-193F-44BB-986C-82C3F16FAE2E}"/>
    <cellStyle name="Comma 6 2 2 6 4 3" xfId="24644" xr:uid="{14FC5179-79D7-410C-BD78-ABBF98CF803F}"/>
    <cellStyle name="Comma 6 2 2 6 4 4" xfId="52786" xr:uid="{45EF3C57-B405-4630-9E7D-789A96A42020}"/>
    <cellStyle name="Comma 6 2 2 6 4 5" xfId="55802" xr:uid="{B35C2CC7-57CE-47BB-A55E-A0029E7714C9}"/>
    <cellStyle name="Comma 6 2 2 6 5" xfId="13035" xr:uid="{D77DF31B-165A-4055-A84B-70F6B47C6D7E}"/>
    <cellStyle name="Comma 6 2 2 6 5 2" xfId="47026" xr:uid="{76765DF8-00E1-41A2-A928-58AA190B4B8C}"/>
    <cellStyle name="Comma 6 2 2 6 5 3" xfId="51355" xr:uid="{F3F0E648-D0B2-4DD6-93C0-C204A8A99AED}"/>
    <cellStyle name="Comma 6 2 2 6 5 4" xfId="54371" xr:uid="{716CCB7E-684A-464E-A9F5-D3EB85F701CD}"/>
    <cellStyle name="Comma 6 2 2 6 6" xfId="32472" xr:uid="{FD646080-69BB-47A6-B119-7F99FA643B47}"/>
    <cellStyle name="Comma 6 2 2 6 7" xfId="50249" xr:uid="{5F66E010-8176-48F5-85D8-A20F84B7AFEE}"/>
    <cellStyle name="Comma 6 2 2 6 8" xfId="53265" xr:uid="{4C7DD9DF-6C8A-4D8C-9A49-443278C9DEE5}"/>
    <cellStyle name="Comma 6 2 2 7" xfId="14523" xr:uid="{540A452E-40B4-4BF9-BC50-82189EA4D389}"/>
    <cellStyle name="Comma 6 2 2 7 2" xfId="22070" xr:uid="{AC15665B-638D-4A6B-BF41-2887ECB9E817}"/>
    <cellStyle name="Comma 6 2 2 7 3" xfId="47531" xr:uid="{B4AA1232-8C1F-479E-80D9-C99834F58802}"/>
    <cellStyle name="Comma 6 2 2 7 4" xfId="51408" xr:uid="{4FADF4B0-EB8C-4727-919E-5FD58C06B6F0}"/>
    <cellStyle name="Comma 6 2 2 7 5" xfId="54424" xr:uid="{80B5FCFB-0162-4572-ACA0-5800FD34B9BF}"/>
    <cellStyle name="Comma 6 2 2 8" xfId="15007" xr:uid="{EFA742C8-8D6F-4D7C-B44C-C488FE66EA91}"/>
    <cellStyle name="Comma 6 2 2 8 2" xfId="22547" xr:uid="{622F6D80-6796-4426-9D68-D00E6BFE2ECA}"/>
    <cellStyle name="Comma 6 2 2 8 3" xfId="46465" xr:uid="{E0C17D83-96CD-460A-B5B1-B9E157121045}"/>
    <cellStyle name="Comma 6 2 2 8 4" xfId="51885" xr:uid="{65CB4CF3-4630-4BFA-8E2F-7D253BEC4626}"/>
    <cellStyle name="Comma 6 2 2 8 5" xfId="54901" xr:uid="{36B38460-E02C-4FAC-8778-781E67366120}"/>
    <cellStyle name="Comma 6 2 2 9" xfId="15494" xr:uid="{4BD39FC7-67A7-4D7B-9B8F-D50153BA0CB8}"/>
    <cellStyle name="Comma 6 2 2 9 2" xfId="23024" xr:uid="{0AC82804-5251-4C5E-BCD5-18C3B2EF5504}"/>
    <cellStyle name="Comma 6 2 2 9 3" xfId="46540" xr:uid="{9E34EC9A-D2C1-4AF5-89FE-27F42E165421}"/>
    <cellStyle name="Comma 6 2 2 9 4" xfId="52362" xr:uid="{E2767B82-4976-4B7F-86E4-95D6071C8BDB}"/>
    <cellStyle name="Comma 6 2 2 9 5" xfId="55378" xr:uid="{D4170CB2-05AF-4794-A4BE-DEB624B4293E}"/>
    <cellStyle name="Comma 6 2 3" xfId="10034" xr:uid="{2EAD63AA-DE62-4E0C-94D9-A955AD9F9033}"/>
    <cellStyle name="Comma 6 2 3 10" xfId="49575" xr:uid="{6DB7507B-94D3-439D-A14C-EFF74E52400B}"/>
    <cellStyle name="Comma 6 2 3 11" xfId="49877" xr:uid="{7A069C7A-8AF1-4E47-9D27-F55DEE35CAD8}"/>
    <cellStyle name="Comma 6 2 3 12" xfId="52893" xr:uid="{04B02749-9870-4BD2-893D-5D96DB25AB2C}"/>
    <cellStyle name="Comma 6 2 3 2" xfId="10342" xr:uid="{869FEA02-29E4-427B-9435-E20AC4C4115F}"/>
    <cellStyle name="Comma 6 2 3 2 2" xfId="14787" xr:uid="{47EA1B99-2B8C-4EE6-AAE0-F390FDE1848F}"/>
    <cellStyle name="Comma 6 2 3 2 2 2" xfId="22334" xr:uid="{2106CC8A-6CA6-4104-A3BC-703A4D2DA1C1}"/>
    <cellStyle name="Comma 6 2 3 2 2 3" xfId="46864" xr:uid="{C062F17A-2427-4E6D-B481-9F3224B7994D}"/>
    <cellStyle name="Comma 6 2 3 2 2 4" xfId="51672" xr:uid="{AFD77B1D-4E07-422B-B6E3-8048C0C7E2E8}"/>
    <cellStyle name="Comma 6 2 3 2 2 5" xfId="54688" xr:uid="{DB0E5F3F-AA59-480C-8BF0-E63BB5D96DA5}"/>
    <cellStyle name="Comma 6 2 3 2 3" xfId="15272" xr:uid="{9A19800E-CF8C-43B4-A78E-AA64043D90C1}"/>
    <cellStyle name="Comma 6 2 3 2 3 2" xfId="22811" xr:uid="{53E1107B-28E7-4BB6-A473-EEA49D148917}"/>
    <cellStyle name="Comma 6 2 3 2 3 3" xfId="46900" xr:uid="{41BA8409-10E5-4AB7-B4C2-1446B5A7A9D9}"/>
    <cellStyle name="Comma 6 2 3 2 3 4" xfId="52149" xr:uid="{81671D8C-D046-4027-BF43-6BF28370778F}"/>
    <cellStyle name="Comma 6 2 3 2 3 5" xfId="55165" xr:uid="{831A8D9F-1509-469E-AB30-ECE3AA2BBC71}"/>
    <cellStyle name="Comma 6 2 3 2 4" xfId="15759" xr:uid="{B7C3CC5E-5B2C-446F-B914-74ACBB3374F0}"/>
    <cellStyle name="Comma 6 2 3 2 4 2" xfId="23288" xr:uid="{F8F94F0B-23F7-4DFA-964A-17F9A74B9B31}"/>
    <cellStyle name="Comma 6 2 3 2 4 3" xfId="24309" xr:uid="{10E8238A-B022-49EB-8D43-6E38A3860ADD}"/>
    <cellStyle name="Comma 6 2 3 2 4 4" xfId="52626" xr:uid="{4DB00429-04A4-46AA-B744-472212A15B9E}"/>
    <cellStyle name="Comma 6 2 3 2 4 5" xfId="55642" xr:uid="{EDC418B3-6EA2-47C1-9225-1B89800B94F0}"/>
    <cellStyle name="Comma 6 2 3 2 5" xfId="12795" xr:uid="{F3FF0371-B3E8-4126-AFF8-0DB5C5A791F4}"/>
    <cellStyle name="Comma 6 2 3 2 5 2" xfId="48052" xr:uid="{FC1805FF-A6A7-4A3D-A6AC-E7281620B25A}"/>
    <cellStyle name="Comma 6 2 3 2 5 3" xfId="51195" xr:uid="{65381E61-B4B9-4170-9776-A206133E8937}"/>
    <cellStyle name="Comma 6 2 3 2 5 4" xfId="54211" xr:uid="{447123A5-ED85-4AFC-A47C-FF7CC8D7E25F}"/>
    <cellStyle name="Comma 6 2 3 2 6" xfId="47284" xr:uid="{CBF41568-7173-4804-9DA5-49D2DBFE42DE}"/>
    <cellStyle name="Comma 6 2 3 2 7" xfId="50089" xr:uid="{7189BDFF-0B71-4248-9732-A2581782C881}"/>
    <cellStyle name="Comma 6 2 3 2 8" xfId="53105" xr:uid="{0F233287-D644-47A3-8E41-A2CAB1CF364A}"/>
    <cellStyle name="Comma 6 2 3 3" xfId="14575" xr:uid="{5BB8E2D1-C38D-4634-BD58-36592737FE27}"/>
    <cellStyle name="Comma 6 2 3 3 2" xfId="22122" xr:uid="{76777662-EC22-4AD6-A523-BCCE40A68AB0}"/>
    <cellStyle name="Comma 6 2 3 3 3" xfId="47236" xr:uid="{3C1826CB-D734-4926-AA5A-FBB4F9FE01DF}"/>
    <cellStyle name="Comma 6 2 3 3 4" xfId="51460" xr:uid="{D97338F4-32E7-4CAC-84A9-5D94F72EED92}"/>
    <cellStyle name="Comma 6 2 3 3 5" xfId="54476" xr:uid="{DE0AE3BF-CAEB-40F0-9DD3-E693B57ECDF6}"/>
    <cellStyle name="Comma 6 2 3 4" xfId="15059" xr:uid="{5CA202A8-4E09-438B-8E39-2630C1823DED}"/>
    <cellStyle name="Comma 6 2 3 4 2" xfId="22599" xr:uid="{31CCD920-D011-4122-9266-DFE421FA33C7}"/>
    <cellStyle name="Comma 6 2 3 4 3" xfId="24914" xr:uid="{7E772A1D-1085-46AC-A3AE-5D2ECD64A80E}"/>
    <cellStyle name="Comma 6 2 3 4 4" xfId="51937" xr:uid="{37E0B2EC-07EC-490F-9783-52BDD80654AC}"/>
    <cellStyle name="Comma 6 2 3 4 5" xfId="54953" xr:uid="{8E0756A6-793D-4D72-A058-B8C810BE025E}"/>
    <cellStyle name="Comma 6 2 3 5" xfId="15546" xr:uid="{802E1E2E-77A6-4A8D-93B2-4C7A1351CC06}"/>
    <cellStyle name="Comma 6 2 3 5 2" xfId="23076" xr:uid="{E140FB98-B445-49D3-8AC7-27DD287BB425}"/>
    <cellStyle name="Comma 6 2 3 5 3" xfId="46933" xr:uid="{DD41EB31-2877-4E12-91C9-AE8E3F7FC904}"/>
    <cellStyle name="Comma 6 2 3 5 4" xfId="52414" xr:uid="{CE2CB63A-B806-44A4-A53D-7990CA3DF819}"/>
    <cellStyle name="Comma 6 2 3 5 5" xfId="55430" xr:uid="{2F0E2574-3DCD-48B6-BBBB-F0EA09B5DAFA}"/>
    <cellStyle name="Comma 6 2 3 6" xfId="12494" xr:uid="{5F6DC586-DAB1-474E-AF09-E96D95282713}"/>
    <cellStyle name="Comma 6 2 3 6 2" xfId="47226" xr:uid="{8DE9A816-01C1-469B-A306-B55D69E6E8FC}"/>
    <cellStyle name="Comma 6 2 3 6 3" xfId="50983" xr:uid="{91F5C2C5-2A41-47C1-B728-5E3DF0A0303A}"/>
    <cellStyle name="Comma 6 2 3 6 4" xfId="53999" xr:uid="{B0380C9B-30E8-4999-B794-441116EE3B9D}"/>
    <cellStyle name="Comma 6 2 3 7" xfId="23794" xr:uid="{33A1308E-10EA-4F2C-80DA-A4B21DC3B56C}"/>
    <cellStyle name="Comma 6 2 3 8" xfId="46033" xr:uid="{F7BDEF38-6AB9-4A1E-B694-3E2EA32D4B4D}"/>
    <cellStyle name="Comma 6 2 3 9" xfId="48667" xr:uid="{20EA3C27-F3C5-433F-927C-7B553FA01008}"/>
    <cellStyle name="Comma 6 2 4" xfId="10108" xr:uid="{7A36C5B6-BD26-4BA8-9EC8-632AF6D26AD0}"/>
    <cellStyle name="Comma 6 2 4 10" xfId="49930" xr:uid="{44339727-69AD-48F6-9027-79C6151763A0}"/>
    <cellStyle name="Comma 6 2 4 11" xfId="52946" xr:uid="{FC1E60F9-4E7F-4555-928D-9DA072CD2926}"/>
    <cellStyle name="Comma 6 2 4 2" xfId="10421" xr:uid="{8E946AB5-551B-41B4-8B41-D8C96488D667}"/>
    <cellStyle name="Comma 6 2 4 2 2" xfId="14840" xr:uid="{F4C3C92F-D3D9-4041-B78E-1112922D04C4}"/>
    <cellStyle name="Comma 6 2 4 2 2 2" xfId="22387" xr:uid="{850F0D8D-88B0-408D-A60D-2ABF86DE17FE}"/>
    <cellStyle name="Comma 6 2 4 2 2 3" xfId="24455" xr:uid="{7DE6B360-80CC-44D3-AC9E-3AB60DFBE92E}"/>
    <cellStyle name="Comma 6 2 4 2 2 4" xfId="51725" xr:uid="{F31623F7-B3F3-4C2F-9A71-18C0A97149A9}"/>
    <cellStyle name="Comma 6 2 4 2 2 5" xfId="54741" xr:uid="{8A308FAE-7776-41EB-9C35-A3B2FDB19EF0}"/>
    <cellStyle name="Comma 6 2 4 2 3" xfId="15325" xr:uid="{F08391A6-484B-49C8-BBBC-8F2F9023546E}"/>
    <cellStyle name="Comma 6 2 4 2 3 2" xfId="22864" xr:uid="{44C8033D-486F-49EA-AB4F-B59C22A67ADC}"/>
    <cellStyle name="Comma 6 2 4 2 3 3" xfId="34475" xr:uid="{17036A6F-6D41-447C-A103-6D7DC1F7789A}"/>
    <cellStyle name="Comma 6 2 4 2 3 4" xfId="52202" xr:uid="{D4C45BB5-C526-4BD8-9158-E04E8E24D27D}"/>
    <cellStyle name="Comma 6 2 4 2 3 5" xfId="55218" xr:uid="{B0A3F910-68E4-477D-8867-6F1E6F03D1A4}"/>
    <cellStyle name="Comma 6 2 4 2 4" xfId="15812" xr:uid="{E7FEF4AE-7E2D-404C-ACA4-6B6973CF6DFC}"/>
    <cellStyle name="Comma 6 2 4 2 4 2" xfId="23341" xr:uid="{5C8C18DB-3EC8-4510-BDA9-5B00EEBF0C46}"/>
    <cellStyle name="Comma 6 2 4 2 4 3" xfId="47138" xr:uid="{78D27CE2-60B4-4098-8871-379220E880DD}"/>
    <cellStyle name="Comma 6 2 4 2 4 4" xfId="52679" xr:uid="{559D5671-66C4-41ED-AA66-FB14D6BC7CB0}"/>
    <cellStyle name="Comma 6 2 4 2 4 5" xfId="55695" xr:uid="{15166E53-8DEF-47B2-8518-7A1D60A99E3A}"/>
    <cellStyle name="Comma 6 2 4 2 5" xfId="12874" xr:uid="{F4FD209A-96DE-487A-98B0-E1FD29C909E4}"/>
    <cellStyle name="Comma 6 2 4 2 5 2" xfId="46803" xr:uid="{C7C448D1-937A-49BF-8583-EBCF27AFDF55}"/>
    <cellStyle name="Comma 6 2 4 2 5 3" xfId="51248" xr:uid="{534EFC4E-64A3-4C82-ABDB-550CAA3512B3}"/>
    <cellStyle name="Comma 6 2 4 2 5 4" xfId="54264" xr:uid="{D03AF6A3-D105-4350-8A51-26233CCCD2D4}"/>
    <cellStyle name="Comma 6 2 4 2 6" xfId="46119" xr:uid="{6A38FAB9-1F96-4581-A47F-F78045FB4920}"/>
    <cellStyle name="Comma 6 2 4 2 7" xfId="50142" xr:uid="{D0B2F815-8C08-4B8C-8962-C4E63C8D73B3}"/>
    <cellStyle name="Comma 6 2 4 2 8" xfId="53158" xr:uid="{108E5D77-C490-4620-A5A7-C5889C35A863}"/>
    <cellStyle name="Comma 6 2 4 3" xfId="14628" xr:uid="{131B2F84-8326-4C86-BD04-69E0D1A20826}"/>
    <cellStyle name="Comma 6 2 4 3 2" xfId="22175" xr:uid="{30E50982-B8D1-4B15-A515-5BFF6B327789}"/>
    <cellStyle name="Comma 6 2 4 3 3" xfId="47926" xr:uid="{55BCA85A-E36D-46D4-9837-6DBF459913AB}"/>
    <cellStyle name="Comma 6 2 4 3 4" xfId="51513" xr:uid="{0E4C3583-F146-49C2-874E-69212A01E95F}"/>
    <cellStyle name="Comma 6 2 4 3 5" xfId="54529" xr:uid="{D05B9B11-0604-44D3-9365-483056728710}"/>
    <cellStyle name="Comma 6 2 4 4" xfId="15113" xr:uid="{5D38D2E5-0AE2-49AF-81F7-7352A5B2D670}"/>
    <cellStyle name="Comma 6 2 4 4 2" xfId="22652" xr:uid="{64B5A7D4-F06A-49B8-9000-41D80B743A91}"/>
    <cellStyle name="Comma 6 2 4 4 3" xfId="48016" xr:uid="{331BBBCF-1DF2-42FC-8A8F-6E1FBC262941}"/>
    <cellStyle name="Comma 6 2 4 4 4" xfId="51990" xr:uid="{E6116562-1A0C-43E4-9F3A-8AB7D86DDF35}"/>
    <cellStyle name="Comma 6 2 4 4 5" xfId="55006" xr:uid="{210EC92C-F98C-4468-A6E4-54D0C3511ADE}"/>
    <cellStyle name="Comma 6 2 4 5" xfId="15600" xr:uid="{A6C83F58-6DB0-46B5-A547-33BCC6ACE30D}"/>
    <cellStyle name="Comma 6 2 4 5 2" xfId="23129" xr:uid="{9F32FCB8-9840-4640-9DAE-36BF964365FC}"/>
    <cellStyle name="Comma 6 2 4 5 3" xfId="24527" xr:uid="{B22C00ED-F4F6-455C-BE73-BC4F720DED46}"/>
    <cellStyle name="Comma 6 2 4 5 4" xfId="52467" xr:uid="{70716B38-C99D-4E10-9C34-C5AE9F6F2E86}"/>
    <cellStyle name="Comma 6 2 4 5 5" xfId="55483" xr:uid="{D772393C-B6B1-43CF-89D5-2763753BB150}"/>
    <cellStyle name="Comma 6 2 4 6" xfId="12565" xr:uid="{C459E7D5-FDC9-427B-927E-A9150F697A2B}"/>
    <cellStyle name="Comma 6 2 4 6 2" xfId="32367" xr:uid="{6ACA542D-06AB-4E7B-B983-B127602820A2}"/>
    <cellStyle name="Comma 6 2 4 6 3" xfId="51036" xr:uid="{B809D9D8-41F0-400D-8FC7-43F654820FC9}"/>
    <cellStyle name="Comma 6 2 4 6 4" xfId="54052" xr:uid="{D6F573B0-ED6F-46A7-BF1E-D7656EB75F30}"/>
    <cellStyle name="Comma 6 2 4 7" xfId="23795" xr:uid="{2D542BB0-8199-4A45-8D0D-420C682C7F98}"/>
    <cellStyle name="Comma 6 2 4 8" xfId="48668" xr:uid="{8A0071EA-59D0-4B75-B885-32B9C0A4E14E}"/>
    <cellStyle name="Comma 6 2 4 9" xfId="49576" xr:uid="{59576940-83E9-47D9-89E7-5D45CBB1EAB3}"/>
    <cellStyle name="Comma 6 2 5" xfId="10187" xr:uid="{D9230281-CAEB-464A-8A15-9127CFFA6EA1}"/>
    <cellStyle name="Comma 6 2 5 2" xfId="10501" xr:uid="{5CC684D0-8919-4F28-B345-1559E6AAD0CC}"/>
    <cellStyle name="Comma 6 2 5 2 2" xfId="14893" xr:uid="{2CFBBA57-C3FE-49F3-9F2A-6B93D1A51A8D}"/>
    <cellStyle name="Comma 6 2 5 2 2 2" xfId="22440" xr:uid="{78E93A60-546D-42AE-A333-627289249B25}"/>
    <cellStyle name="Comma 6 2 5 2 2 3" xfId="32327" xr:uid="{3ABD710E-5A41-4B31-82C1-A2B3F18C7479}"/>
    <cellStyle name="Comma 6 2 5 2 2 4" xfId="51778" xr:uid="{4EBB9DA4-2066-409B-98D6-EDDB1C54F3E2}"/>
    <cellStyle name="Comma 6 2 5 2 2 5" xfId="54794" xr:uid="{84E29753-DA07-4ADC-AD3E-E9FF79B2F995}"/>
    <cellStyle name="Comma 6 2 5 2 3" xfId="15378" xr:uid="{C5375E44-B46A-4A26-B46B-073B930ED1AA}"/>
    <cellStyle name="Comma 6 2 5 2 3 2" xfId="22917" xr:uid="{D2876C40-590C-4C88-A1E5-918D7DEB31B1}"/>
    <cellStyle name="Comma 6 2 5 2 3 3" xfId="33646" xr:uid="{179956E7-BC69-4E07-AF39-68BC837B80FD}"/>
    <cellStyle name="Comma 6 2 5 2 3 4" xfId="52255" xr:uid="{48A3996E-2FE3-4009-8139-59B7C1C4F144}"/>
    <cellStyle name="Comma 6 2 5 2 3 5" xfId="55271" xr:uid="{C96C7EA8-5EC3-4FF7-BDD9-EAEAA73A4676}"/>
    <cellStyle name="Comma 6 2 5 2 4" xfId="15865" xr:uid="{A4AF7097-CD00-4C59-9FD4-E3B7E7D48E59}"/>
    <cellStyle name="Comma 6 2 5 2 4 2" xfId="23394" xr:uid="{B82AA14E-F6A0-4A24-A016-D8CC6E470AE0}"/>
    <cellStyle name="Comma 6 2 5 2 4 3" xfId="36058" xr:uid="{97E36FEA-8A10-4938-B7A8-9A9DAE64B7AE}"/>
    <cellStyle name="Comma 6 2 5 2 4 4" xfId="52732" xr:uid="{0938B288-87B4-4BDB-B7B0-618A26B5D449}"/>
    <cellStyle name="Comma 6 2 5 2 4 5" xfId="55748" xr:uid="{60A3329F-C815-4E29-804D-70E97E49CC45}"/>
    <cellStyle name="Comma 6 2 5 2 5" xfId="12954" xr:uid="{79405FF8-F4D6-4A26-984F-37E5E6F1C871}"/>
    <cellStyle name="Comma 6 2 5 2 5 2" xfId="48094" xr:uid="{319854FB-9473-4F23-95D2-6DD1073ECA44}"/>
    <cellStyle name="Comma 6 2 5 2 5 3" xfId="51301" xr:uid="{C155EACF-C609-4836-BE62-2DA5BCCE632B}"/>
    <cellStyle name="Comma 6 2 5 2 5 4" xfId="54317" xr:uid="{03E457C0-6F27-48E6-B47D-A8A28D0FF225}"/>
    <cellStyle name="Comma 6 2 5 2 6" xfId="46139" xr:uid="{26E3F85F-A1D9-4A48-B139-0A99C7B6288B}"/>
    <cellStyle name="Comma 6 2 5 2 7" xfId="50195" xr:uid="{4B64815F-906C-45F6-9811-F9E81E7282F7}"/>
    <cellStyle name="Comma 6 2 5 2 8" xfId="53211" xr:uid="{C33ABDE9-E399-40B7-9885-AD254772CC44}"/>
    <cellStyle name="Comma 6 2 5 3" xfId="14681" xr:uid="{873AB36B-383F-46A1-B42F-93DA39040B76}"/>
    <cellStyle name="Comma 6 2 5 3 2" xfId="22228" xr:uid="{153AC2EB-1106-498C-99FE-02BF7AB9DAAF}"/>
    <cellStyle name="Comma 6 2 5 3 3" xfId="46847" xr:uid="{10B7B41A-5873-4ABB-9C7F-46C884BA727D}"/>
    <cellStyle name="Comma 6 2 5 3 4" xfId="51566" xr:uid="{FFAA0DD7-9654-4AA3-8132-D45E49C3616B}"/>
    <cellStyle name="Comma 6 2 5 3 5" xfId="54582" xr:uid="{45F58C1E-2112-4BB7-9002-C48FADDAA0F8}"/>
    <cellStyle name="Comma 6 2 5 4" xfId="15166" xr:uid="{78397968-5412-4D58-ADC9-2105C92F3A92}"/>
    <cellStyle name="Comma 6 2 5 4 2" xfId="22705" xr:uid="{268DF42B-0A77-40A5-9C33-C65A0F0DCD6D}"/>
    <cellStyle name="Comma 6 2 5 4 3" xfId="47434" xr:uid="{2BF843F9-AC6D-4945-BEC7-5C20F6E81338}"/>
    <cellStyle name="Comma 6 2 5 4 4" xfId="52043" xr:uid="{9B0AC3ED-EE59-41ED-9620-A2525EA97F11}"/>
    <cellStyle name="Comma 6 2 5 4 5" xfId="55059" xr:uid="{CA80A2E3-97BC-4DB8-8A1D-E912FB7F12C5}"/>
    <cellStyle name="Comma 6 2 5 5" xfId="15653" xr:uid="{C7FDA95F-C79A-4FC0-9F43-CAD9348C3977}"/>
    <cellStyle name="Comma 6 2 5 5 2" xfId="23182" xr:uid="{49A616BC-8977-4C0A-A0C9-9316A98C0FB9}"/>
    <cellStyle name="Comma 6 2 5 5 3" xfId="32281" xr:uid="{B9BFB1B8-7DEB-46DA-93FD-DD93BF8C72D9}"/>
    <cellStyle name="Comma 6 2 5 5 4" xfId="52520" xr:uid="{8D615DAE-2A32-495C-B6AE-AF4106D84ADE}"/>
    <cellStyle name="Comma 6 2 5 5 5" xfId="55536" xr:uid="{914DBC66-B882-4632-A6D1-515FB1C6A9BA}"/>
    <cellStyle name="Comma 6 2 5 6" xfId="12641" xr:uid="{58D8CC43-F993-4EFA-B8D5-A291960D96A0}"/>
    <cellStyle name="Comma 6 2 5 6 2" xfId="47017" xr:uid="{2BB9BDC8-BC59-4DE8-9F07-B70305899E74}"/>
    <cellStyle name="Comma 6 2 5 6 3" xfId="51089" xr:uid="{2D860C49-510D-4522-B178-A4BAF9C2A7CF}"/>
    <cellStyle name="Comma 6 2 5 6 4" xfId="54105" xr:uid="{298D7DDA-CE13-4BCF-9A46-B9F647417238}"/>
    <cellStyle name="Comma 6 2 5 7" xfId="47206" xr:uid="{5BA93C24-86D8-48E0-A4EC-B0F0398B12D1}"/>
    <cellStyle name="Comma 6 2 5 8" xfId="49983" xr:uid="{0FA1FD36-CC6C-4922-9E5D-6376482F555A}"/>
    <cellStyle name="Comma 6 2 5 9" xfId="52999" xr:uid="{32B82065-9656-4289-8E65-765D8067BC3E}"/>
    <cellStyle name="Comma 6 2 6" xfId="10267" xr:uid="{9226981C-2D9C-4AE7-B206-D292380A1BC3}"/>
    <cellStyle name="Comma 6 2 6 2" xfId="14734" xr:uid="{34C6A82C-08CB-4995-96EF-F11D3E670119}"/>
    <cellStyle name="Comma 6 2 6 2 2" xfId="22281" xr:uid="{CD02F664-A5B3-4B75-A66E-A77FCD0D43E1}"/>
    <cellStyle name="Comma 6 2 6 2 3" xfId="24957" xr:uid="{C4A95601-4BA2-40A5-98AD-59C808A0ABFE}"/>
    <cellStyle name="Comma 6 2 6 2 4" xfId="51619" xr:uid="{8BD137FF-C3AE-446C-B74D-869A26F6F8D2}"/>
    <cellStyle name="Comma 6 2 6 2 5" xfId="54635" xr:uid="{535AD1BC-F810-4380-B1AE-CC1C231ACCB2}"/>
    <cellStyle name="Comma 6 2 6 3" xfId="15219" xr:uid="{6BBC6D75-CBF4-48EB-91CC-CA1A166FB157}"/>
    <cellStyle name="Comma 6 2 6 3 2" xfId="22758" xr:uid="{322314B4-AB32-44BF-AA84-255FAD76B64B}"/>
    <cellStyle name="Comma 6 2 6 3 3" xfId="47341" xr:uid="{9D47FB9C-7FE1-46E9-9B75-67988DAF3658}"/>
    <cellStyle name="Comma 6 2 6 3 4" xfId="52096" xr:uid="{CD5B62B1-2309-41FA-8CAF-C16BDB5BF364}"/>
    <cellStyle name="Comma 6 2 6 3 5" xfId="55112" xr:uid="{B6A470A0-8F9E-478C-ADB3-9F0222DEC592}"/>
    <cellStyle name="Comma 6 2 6 4" xfId="15706" xr:uid="{D10A0A70-E94E-40D3-B942-D8682ACD6F5C}"/>
    <cellStyle name="Comma 6 2 6 4 2" xfId="23235" xr:uid="{B7AC338E-A913-4709-AA65-2CC3884D468B}"/>
    <cellStyle name="Comma 6 2 6 4 3" xfId="33994" xr:uid="{46061889-BEFD-4587-BFB8-17E6A31D4BA6}"/>
    <cellStyle name="Comma 6 2 6 4 4" xfId="52573" xr:uid="{886FFCF2-BB63-4B72-91B6-422E4E5E745E}"/>
    <cellStyle name="Comma 6 2 6 4 5" xfId="55589" xr:uid="{3ADC2164-F4D0-4931-90A6-C661BD2654D6}"/>
    <cellStyle name="Comma 6 2 6 5" xfId="12720" xr:uid="{591A2DE2-4A75-4807-88DB-38656CAE308C}"/>
    <cellStyle name="Comma 6 2 6 5 2" xfId="47146" xr:uid="{D4BB77EC-2331-4203-AD41-43EC9375BAAD}"/>
    <cellStyle name="Comma 6 2 6 5 3" xfId="51142" xr:uid="{471305C9-3FAA-41CA-88AD-756BB99E946F}"/>
    <cellStyle name="Comma 6 2 6 5 4" xfId="54158" xr:uid="{C99A16FA-347C-4ACC-9F95-E28FE4C234F3}"/>
    <cellStyle name="Comma 6 2 6 6" xfId="48284" xr:uid="{97D7EA04-B6E6-4D29-911F-49D00C4D0838}"/>
    <cellStyle name="Comma 6 2 6 7" xfId="50036" xr:uid="{8D2FE0E3-95F7-4B76-8487-A29880F5B0C2}"/>
    <cellStyle name="Comma 6 2 6 8" xfId="53052" xr:uid="{7564C89B-834B-4B9A-841E-B5DC39A64EC9}"/>
    <cellStyle name="Comma 6 2 7" xfId="10581" xr:uid="{D140E726-87F1-4ECF-B97D-90C91856B1BF}"/>
    <cellStyle name="Comma 6 2 7 2" xfId="14946" xr:uid="{BFC811A7-78A0-49EB-9828-7DB2562FF415}"/>
    <cellStyle name="Comma 6 2 7 2 2" xfId="22493" xr:uid="{A2ECCB89-8B8B-421C-9069-21D6C0ED707A}"/>
    <cellStyle name="Comma 6 2 7 2 3" xfId="46458" xr:uid="{0CC9E493-2B3B-4445-B235-E71DC2DA6D0C}"/>
    <cellStyle name="Comma 6 2 7 2 4" xfId="51831" xr:uid="{234CB331-3344-43F6-A7AC-F20494B7DC9C}"/>
    <cellStyle name="Comma 6 2 7 2 5" xfId="54847" xr:uid="{B5BBAFCB-9CBC-49FD-A972-408C7E9320B1}"/>
    <cellStyle name="Comma 6 2 7 3" xfId="15431" xr:uid="{80A3C374-8329-473F-B13A-3E5AC3162B57}"/>
    <cellStyle name="Comma 6 2 7 3 2" xfId="22970" xr:uid="{42E6CCB2-3ED4-45FF-89AE-E1DE5D3EAD0B}"/>
    <cellStyle name="Comma 6 2 7 3 3" xfId="48247" xr:uid="{B8CD665C-219E-4363-986F-EDC8623F8EA4}"/>
    <cellStyle name="Comma 6 2 7 3 4" xfId="52308" xr:uid="{78E0CE9B-C8F8-49AD-8B9B-A92A235F5442}"/>
    <cellStyle name="Comma 6 2 7 3 5" xfId="55324" xr:uid="{F6CA8832-1ACA-4376-B5E1-79CD7A0EBDA1}"/>
    <cellStyle name="Comma 6 2 7 4" xfId="15919" xr:uid="{F7017CD9-4095-4A08-A914-67E3BBA709DC}"/>
    <cellStyle name="Comma 6 2 7 4 2" xfId="23447" xr:uid="{F71E757A-16E3-4B4B-9C42-31136F2A5B1A}"/>
    <cellStyle name="Comma 6 2 7 4 3" xfId="32499" xr:uid="{2B5A39B2-B426-4CB9-AF0E-CCAAF7159B6A}"/>
    <cellStyle name="Comma 6 2 7 4 4" xfId="52785" xr:uid="{FA497C8D-8967-4E91-A451-240E9907C070}"/>
    <cellStyle name="Comma 6 2 7 4 5" xfId="55801" xr:uid="{71EE9E76-D5E3-4DBF-9C8E-EB811BEFD68A}"/>
    <cellStyle name="Comma 6 2 7 5" xfId="13034" xr:uid="{79D2630E-C616-4741-901C-A3C773ADA7D9}"/>
    <cellStyle name="Comma 6 2 7 5 2" xfId="47104" xr:uid="{19BE0F5A-7D36-4303-BA1D-90E57795F00B}"/>
    <cellStyle name="Comma 6 2 7 5 3" xfId="51354" xr:uid="{07A41075-1D5B-43B1-801A-6B9E17E1D526}"/>
    <cellStyle name="Comma 6 2 7 5 4" xfId="54370" xr:uid="{4CE612FC-BD19-4027-8B1A-CA93C04FE3B8}"/>
    <cellStyle name="Comma 6 2 7 6" xfId="24258" xr:uid="{2F648397-3B69-4168-8028-614F04E4B810}"/>
    <cellStyle name="Comma 6 2 7 7" xfId="50248" xr:uid="{C93E296B-1E3E-4299-9DEF-370126944A23}"/>
    <cellStyle name="Comma 6 2 7 8" xfId="53264" xr:uid="{4579390B-3389-44CF-AEAD-E4AB56E5F0C1}"/>
    <cellStyle name="Comma 6 2 8" xfId="11172" xr:uid="{B5846EC0-3128-407D-B8F4-4C6ED442B0FA}"/>
    <cellStyle name="Comma 6 2 9" xfId="14522" xr:uid="{B4CC3282-1ADB-408D-A0E3-B75D9D792894}"/>
    <cellStyle name="Comma 6 2 9 2" xfId="22069" xr:uid="{B98D8669-B16C-4060-B2A1-7DF99862ED1F}"/>
    <cellStyle name="Comma 6 2 9 3" xfId="37017" xr:uid="{C4D58834-21C6-481F-8A8F-79FC6E63412E}"/>
    <cellStyle name="Comma 6 2 9 4" xfId="51407" xr:uid="{173EEE99-08F2-4682-8F66-E0297F3E84C3}"/>
    <cellStyle name="Comma 6 2 9 5" xfId="54423" xr:uid="{6DB2FA37-2D8A-4474-A5B2-5A96FA73DDCE}"/>
    <cellStyle name="Comma 6 3" xfId="5827" xr:uid="{22EDCFFB-AE1F-4CBB-8ABD-74FAF2F53C5B}"/>
    <cellStyle name="Comma 6 3 10" xfId="15495" xr:uid="{7F1E04E6-4674-486F-99B7-12E430A8D8E0}"/>
    <cellStyle name="Comma 6 3 10 2" xfId="23025" xr:uid="{37ED2557-2934-4267-8FFF-84B8DE3E6774}"/>
    <cellStyle name="Comma 6 3 10 3" xfId="47384" xr:uid="{77D8021D-6A16-4D5F-ABC6-EB0AFC8C9637}"/>
    <cellStyle name="Comma 6 3 10 4" xfId="52363" xr:uid="{0F00D431-5E85-4283-8C1B-BB5888553CA8}"/>
    <cellStyle name="Comma 6 3 10 5" xfId="55379" xr:uid="{9ABB77E1-EAB4-49C9-B298-2C7182B202AB}"/>
    <cellStyle name="Comma 6 3 11" xfId="11702" xr:uid="{7B173847-51BF-40B4-A3D0-D35A9A45B411}"/>
    <cellStyle name="Comma 6 3 11 2" xfId="46283" xr:uid="{023D71B5-6C7A-4629-A8AF-81DFCA1DE966}"/>
    <cellStyle name="Comma 6 3 11 3" xfId="50749" xr:uid="{E9464976-17DA-4D86-8B22-B00E4606A0E5}"/>
    <cellStyle name="Comma 6 3 11 4" xfId="53765" xr:uid="{2973CB90-BD29-485E-9039-139990BAC7E5}"/>
    <cellStyle name="Comma 6 3 12" xfId="23796" xr:uid="{AFCBF18E-0F16-4409-9985-18344B9A0880}"/>
    <cellStyle name="Comma 6 3 13" xfId="48669" xr:uid="{727D447D-F09B-4913-878E-8B1CC43AB2AC}"/>
    <cellStyle name="Comma 6 3 14" xfId="49577" xr:uid="{D83F4716-4617-4CC0-8AF4-CD7702A67EA4}"/>
    <cellStyle name="Comma 6 3 15" xfId="49826" xr:uid="{ED79B4DB-99C3-42B0-9BE7-5C9556045A9F}"/>
    <cellStyle name="Comma 6 3 16" xfId="52841" xr:uid="{A4D43DCC-E66A-47DA-B85A-7EA5E3303330}"/>
    <cellStyle name="Comma 6 3 17" xfId="8949" xr:uid="{C54FF863-76AF-4812-B95E-F5879419A24E}"/>
    <cellStyle name="Comma 6 3 2" xfId="10036" xr:uid="{8EF3D2B8-30E0-4362-909E-8A5AF0576CB5}"/>
    <cellStyle name="Comma 6 3 2 2" xfId="10344" xr:uid="{5CBD6FBA-241A-4AE4-8CCF-D3C79A3CA61D}"/>
    <cellStyle name="Comma 6 3 2 2 2" xfId="14789" xr:uid="{5F6FD1FC-AD57-4A41-88F4-F59744F63FF2}"/>
    <cellStyle name="Comma 6 3 2 2 2 2" xfId="22336" xr:uid="{E24A10E6-2D7C-49CA-A7F2-92BAB65DEE36}"/>
    <cellStyle name="Comma 6 3 2 2 2 3" xfId="47931" xr:uid="{A8FF389F-2B50-49CD-8AD0-E8E4978CA679}"/>
    <cellStyle name="Comma 6 3 2 2 2 4" xfId="51674" xr:uid="{064CD963-C642-43EB-8948-65282B18BE5D}"/>
    <cellStyle name="Comma 6 3 2 2 2 5" xfId="54690" xr:uid="{FFA0FDD5-D2A6-4C35-9376-CEE5FEB7683B}"/>
    <cellStyle name="Comma 6 3 2 2 3" xfId="15274" xr:uid="{4A439BCE-E56C-4D20-9940-10199B7DB205}"/>
    <cellStyle name="Comma 6 3 2 2 3 2" xfId="22813" xr:uid="{603CF4FE-98EC-447E-B0E5-8F6656702993}"/>
    <cellStyle name="Comma 6 3 2 2 3 3" xfId="47637" xr:uid="{ED6D9D9F-749B-49EB-92C3-99531DF6482B}"/>
    <cellStyle name="Comma 6 3 2 2 3 4" xfId="52151" xr:uid="{7A5B4E6D-D7AC-4671-934A-5F1B97AD5183}"/>
    <cellStyle name="Comma 6 3 2 2 3 5" xfId="55167" xr:uid="{D75D561A-1313-4922-BA65-F284CFC8D9D8}"/>
    <cellStyle name="Comma 6 3 2 2 4" xfId="15761" xr:uid="{8EC2BE60-23D0-416C-9AAD-3E1ED6D541CE}"/>
    <cellStyle name="Comma 6 3 2 2 4 2" xfId="23290" xr:uid="{D2F83990-05E8-4AB8-ABC9-5389497256B3}"/>
    <cellStyle name="Comma 6 3 2 2 4 3" xfId="48249" xr:uid="{27C5D6C2-81F9-4BF8-8B4F-25183AC05CDA}"/>
    <cellStyle name="Comma 6 3 2 2 4 4" xfId="52628" xr:uid="{B634CA94-9560-417F-97B4-945D119EDA9C}"/>
    <cellStyle name="Comma 6 3 2 2 4 5" xfId="55644" xr:uid="{9CBB3F96-3982-4FA9-9F64-76D2A42A23EF}"/>
    <cellStyle name="Comma 6 3 2 2 5" xfId="12797" xr:uid="{57DDFE2B-4661-4F9D-A6DF-DE6FCC5B3160}"/>
    <cellStyle name="Comma 6 3 2 2 5 2" xfId="46354" xr:uid="{6D340C55-F6B5-4685-836B-29E997B3C496}"/>
    <cellStyle name="Comma 6 3 2 2 5 3" xfId="51197" xr:uid="{B9E45685-F33C-41C8-9C44-A3DC88287021}"/>
    <cellStyle name="Comma 6 3 2 2 5 4" xfId="54213" xr:uid="{1F6B4AC0-CAE7-42F6-8204-26C5FE73A57D}"/>
    <cellStyle name="Comma 6 3 2 2 6" xfId="47878" xr:uid="{6CF7F27E-9B1E-45F8-8EB8-AF75E555E3C4}"/>
    <cellStyle name="Comma 6 3 2 2 7" xfId="50091" xr:uid="{235D971E-5048-4D7D-8E45-7C8EA5221136}"/>
    <cellStyle name="Comma 6 3 2 2 8" xfId="53107" xr:uid="{04EE3858-3E33-4FEB-9789-E88521A5779B}"/>
    <cellStyle name="Comma 6 3 2 3" xfId="14577" xr:uid="{9CC8F345-8B0E-4263-A2DD-DE05C1716CCC}"/>
    <cellStyle name="Comma 6 3 2 3 2" xfId="22124" xr:uid="{FD5710F5-D2AB-4377-8044-5B206BA0F930}"/>
    <cellStyle name="Comma 6 3 2 3 3" xfId="36590" xr:uid="{B71C5C11-F308-42AD-B928-A36BB829D3E0}"/>
    <cellStyle name="Comma 6 3 2 3 4" xfId="51462" xr:uid="{038C1618-A5AB-4B9F-A843-45442AD2F5D9}"/>
    <cellStyle name="Comma 6 3 2 3 5" xfId="54478" xr:uid="{84D7CA6C-0BE5-46C3-8902-62537BBA3E45}"/>
    <cellStyle name="Comma 6 3 2 4" xfId="15061" xr:uid="{62D7A3BA-A008-4DD4-A864-5C992A54CD9B}"/>
    <cellStyle name="Comma 6 3 2 4 2" xfId="22601" xr:uid="{95110663-28C1-423F-8101-8621BD80BC29}"/>
    <cellStyle name="Comma 6 3 2 4 3" xfId="46879" xr:uid="{21233434-B09D-4908-AC80-34434EC7297B}"/>
    <cellStyle name="Comma 6 3 2 4 4" xfId="51939" xr:uid="{5337E7E0-9594-4002-B0FC-929A0E00EE47}"/>
    <cellStyle name="Comma 6 3 2 4 5" xfId="54955" xr:uid="{94888262-D965-4A6A-9BFB-2FA318431E42}"/>
    <cellStyle name="Comma 6 3 2 5" xfId="15548" xr:uid="{AE13899B-641F-4A0B-A20E-90C817B22733}"/>
    <cellStyle name="Comma 6 3 2 5 2" xfId="23078" xr:uid="{7729BEF0-B8DC-4666-973C-0088F9CD725D}"/>
    <cellStyle name="Comma 6 3 2 5 3" xfId="48517" xr:uid="{EA47D9B6-7E12-4282-B40A-46E9BDF5B140}"/>
    <cellStyle name="Comma 6 3 2 5 4" xfId="52416" xr:uid="{5002D267-399F-4DCE-B59F-6E7EE75B49BF}"/>
    <cellStyle name="Comma 6 3 2 5 5" xfId="55432" xr:uid="{321145E1-3C50-42B5-8D1D-B2F7364CA44C}"/>
    <cellStyle name="Comma 6 3 2 6" xfId="12496" xr:uid="{59FC0F13-E919-47CA-BC3A-609B8D107A56}"/>
    <cellStyle name="Comma 6 3 2 6 2" xfId="48334" xr:uid="{7AA077A4-7AA6-47D1-A9F8-C26C9E8C902E}"/>
    <cellStyle name="Comma 6 3 2 6 3" xfId="50985" xr:uid="{B4FD141B-A665-48FA-947C-12AC5A721FD4}"/>
    <cellStyle name="Comma 6 3 2 6 4" xfId="54001" xr:uid="{A7DD7570-DC97-4158-ABF6-345914D6EBB4}"/>
    <cellStyle name="Comma 6 3 2 7" xfId="46611" xr:uid="{B92F4B13-C3F0-47F4-9BE0-CEC1A85AFAEB}"/>
    <cellStyle name="Comma 6 3 2 8" xfId="49879" xr:uid="{7C95586D-A9BB-42DA-93F5-5BC71C395CB1}"/>
    <cellStyle name="Comma 6 3 2 9" xfId="52895" xr:uid="{74215A83-4CC1-473E-B7F9-59655B1E0B07}"/>
    <cellStyle name="Comma 6 3 3" xfId="10110" xr:uid="{EAA5D285-678C-442D-BC56-30328AB2C835}"/>
    <cellStyle name="Comma 6 3 3 2" xfId="10423" xr:uid="{9567F27D-4A0B-4FFC-AC34-7DF44C72F6B9}"/>
    <cellStyle name="Comma 6 3 3 2 2" xfId="14842" xr:uid="{69B4A8C4-6B18-4C14-9033-F70701B0D3A2}"/>
    <cellStyle name="Comma 6 3 3 2 2 2" xfId="22389" xr:uid="{71F762E1-1C4B-4684-9117-D4E1E02CB401}"/>
    <cellStyle name="Comma 6 3 3 2 2 3" xfId="47776" xr:uid="{0E39588A-62BF-49BC-8F6A-7B1732BB6D8D}"/>
    <cellStyle name="Comma 6 3 3 2 2 4" xfId="51727" xr:uid="{046AC602-29C0-4A25-A939-0384F458ACBF}"/>
    <cellStyle name="Comma 6 3 3 2 2 5" xfId="54743" xr:uid="{34DD6625-F2D4-4A31-BD9F-BADB5EC9E1EC}"/>
    <cellStyle name="Comma 6 3 3 2 3" xfId="15327" xr:uid="{DBE6B652-6FED-45B8-A8E3-574054B4E5D7}"/>
    <cellStyle name="Comma 6 3 3 2 3 2" xfId="22866" xr:uid="{5FD96E19-50F9-489C-908F-64A7EB478EAE}"/>
    <cellStyle name="Comma 6 3 3 2 3 3" xfId="32544" xr:uid="{3E1BCD8B-0265-420E-ACCF-4F671925ED43}"/>
    <cellStyle name="Comma 6 3 3 2 3 4" xfId="52204" xr:uid="{A925C59F-1D4D-4984-BAB1-B129A12EDDF2}"/>
    <cellStyle name="Comma 6 3 3 2 3 5" xfId="55220" xr:uid="{491898EA-12A6-4DDE-8010-3979C44D96FB}"/>
    <cellStyle name="Comma 6 3 3 2 4" xfId="15814" xr:uid="{FDA83136-3522-4166-BF20-8275C62F6F5A}"/>
    <cellStyle name="Comma 6 3 3 2 4 2" xfId="23343" xr:uid="{4B2C7512-48BB-4533-9CC7-8CAD60687AE5}"/>
    <cellStyle name="Comma 6 3 3 2 4 3" xfId="46969" xr:uid="{4C092636-2D5F-4AD9-9D1B-BB9D2075C59B}"/>
    <cellStyle name="Comma 6 3 3 2 4 4" xfId="52681" xr:uid="{E3367182-05E9-4F09-AE76-71E7B2BE44CE}"/>
    <cellStyle name="Comma 6 3 3 2 4 5" xfId="55697" xr:uid="{2A9ADA7B-23E0-40C2-B4AC-8B14BBBBDD3A}"/>
    <cellStyle name="Comma 6 3 3 2 5" xfId="12876" xr:uid="{6FD34222-7C80-4EAA-A45C-7D92712E97FC}"/>
    <cellStyle name="Comma 6 3 3 2 5 2" xfId="47325" xr:uid="{578DFF46-B9C8-479E-9F30-9C04D3F45300}"/>
    <cellStyle name="Comma 6 3 3 2 5 3" xfId="51250" xr:uid="{FA8416FE-6F23-4AAF-90FC-AD39E0C8F9F4}"/>
    <cellStyle name="Comma 6 3 3 2 5 4" xfId="54266" xr:uid="{252BE5CB-89AC-4C36-ACE2-6636091137EC}"/>
    <cellStyle name="Comma 6 3 3 2 6" xfId="46120" xr:uid="{6917EE62-4856-4328-8643-DB6865F291D8}"/>
    <cellStyle name="Comma 6 3 3 2 7" xfId="50144" xr:uid="{D62E6F2F-F368-4EC5-ABAB-AB93A9EF0B56}"/>
    <cellStyle name="Comma 6 3 3 2 8" xfId="53160" xr:uid="{E5952964-77B1-4A5E-80F1-5AF70381C79D}"/>
    <cellStyle name="Comma 6 3 3 3" xfId="14630" xr:uid="{7BF40F0E-3C85-4464-AA66-38C3995C187C}"/>
    <cellStyle name="Comma 6 3 3 3 2" xfId="22177" xr:uid="{10B0FFC2-D154-46A2-8543-E95630C16675}"/>
    <cellStyle name="Comma 6 3 3 3 3" xfId="32411" xr:uid="{776D61E1-33A7-4DF1-8930-586E97D51419}"/>
    <cellStyle name="Comma 6 3 3 3 4" xfId="51515" xr:uid="{6E4B745E-40B9-4812-A7BE-C57C2E97DBE9}"/>
    <cellStyle name="Comma 6 3 3 3 5" xfId="54531" xr:uid="{AC633AC8-91E8-4737-A61A-805A5B636D1E}"/>
    <cellStyle name="Comma 6 3 3 4" xfId="15115" xr:uid="{D5CA8DBC-5B26-48F7-9AD0-4BB4D09E37B1}"/>
    <cellStyle name="Comma 6 3 3 4 2" xfId="22654" xr:uid="{F1AB9054-FD31-41F2-86BC-CF58A231542D}"/>
    <cellStyle name="Comma 6 3 3 4 3" xfId="46882" xr:uid="{DC96C5AE-7CD3-41F9-B24F-BD64185CDC02}"/>
    <cellStyle name="Comma 6 3 3 4 4" xfId="51992" xr:uid="{7AD94D98-0477-48B6-AA76-1B7AA09DCF27}"/>
    <cellStyle name="Comma 6 3 3 4 5" xfId="55008" xr:uid="{54F8D069-1FD5-4182-B275-3B9B0C159282}"/>
    <cellStyle name="Comma 6 3 3 5" xfId="15602" xr:uid="{7E199B5C-DAEB-4182-B095-26E1BF93DA5E}"/>
    <cellStyle name="Comma 6 3 3 5 2" xfId="23131" xr:uid="{C51AC97C-10AC-4294-8BB0-DC768B4A946C}"/>
    <cellStyle name="Comma 6 3 3 5 3" xfId="47746" xr:uid="{8320A4B2-EB95-4B7B-9814-C5306CDE9916}"/>
    <cellStyle name="Comma 6 3 3 5 4" xfId="52469" xr:uid="{CF6E0D35-34A0-43BD-A692-8C2CD56DBD6C}"/>
    <cellStyle name="Comma 6 3 3 5 5" xfId="55485" xr:uid="{EE28A2AC-E48B-464C-BDB2-DF3338F3C80F}"/>
    <cellStyle name="Comma 6 3 3 6" xfId="12567" xr:uid="{A2E8F284-B42D-4B12-B2D1-7DF0DE271685}"/>
    <cellStyle name="Comma 6 3 3 6 2" xfId="46325" xr:uid="{C6A0F0E6-16BB-43D5-BCA0-D30227C5BC8B}"/>
    <cellStyle name="Comma 6 3 3 6 3" xfId="51038" xr:uid="{00663AE1-FBBE-4239-A5EA-A140C4E14DAC}"/>
    <cellStyle name="Comma 6 3 3 6 4" xfId="54054" xr:uid="{732A7B7E-34AF-4C82-A279-3EF1E9991078}"/>
    <cellStyle name="Comma 6 3 3 7" xfId="48152" xr:uid="{A1A947F8-D0BB-4155-BDA1-5231F6392FE7}"/>
    <cellStyle name="Comma 6 3 3 8" xfId="49932" xr:uid="{6D75B862-4A2C-4DB1-8BD7-8B185684321E}"/>
    <cellStyle name="Comma 6 3 3 9" xfId="52948" xr:uid="{777C2CCE-4FD5-4BB1-9A00-47DAE5CFCB36}"/>
    <cellStyle name="Comma 6 3 4" xfId="10189" xr:uid="{127FF367-8CCE-4811-B95D-82E4A22E1525}"/>
    <cellStyle name="Comma 6 3 4 2" xfId="10503" xr:uid="{1F9502F6-F902-42D6-B9C7-965B384F207C}"/>
    <cellStyle name="Comma 6 3 4 2 2" xfId="14895" xr:uid="{DAC33C18-6711-495C-8A04-B1A815539961}"/>
    <cellStyle name="Comma 6 3 4 2 2 2" xfId="22442" xr:uid="{68665052-0D3D-459B-8BA1-BA3CFD2ACE9E}"/>
    <cellStyle name="Comma 6 3 4 2 2 3" xfId="47777" xr:uid="{CAFD85BE-EBAE-42E2-83B2-FABEFC1A9EFA}"/>
    <cellStyle name="Comma 6 3 4 2 2 4" xfId="51780" xr:uid="{D54C715A-7343-4216-B8DB-66D6510F0975}"/>
    <cellStyle name="Comma 6 3 4 2 2 5" xfId="54796" xr:uid="{996D70B4-3115-44D2-9ACD-CE13645F121A}"/>
    <cellStyle name="Comma 6 3 4 2 3" xfId="15380" xr:uid="{96885F1D-E090-430B-8D32-CCE37016120E}"/>
    <cellStyle name="Comma 6 3 4 2 3 2" xfId="22919" xr:uid="{4E3257E0-10CD-4655-A08F-12E3E0E7BFE6}"/>
    <cellStyle name="Comma 6 3 4 2 3 3" xfId="46523" xr:uid="{7554A1B7-8CBE-4248-ABC9-F162442BC501}"/>
    <cellStyle name="Comma 6 3 4 2 3 4" xfId="52257" xr:uid="{85384EA7-D98D-4410-BE58-41728011C424}"/>
    <cellStyle name="Comma 6 3 4 2 3 5" xfId="55273" xr:uid="{34157C31-A7B2-4DBE-B61A-EE77EA594C70}"/>
    <cellStyle name="Comma 6 3 4 2 4" xfId="15867" xr:uid="{99C7B072-17A5-4040-A09D-F61937911EFF}"/>
    <cellStyle name="Comma 6 3 4 2 4 2" xfId="23396" xr:uid="{F1E1B26C-E53D-4160-81E4-2BE989CA6250}"/>
    <cellStyle name="Comma 6 3 4 2 4 3" xfId="46599" xr:uid="{11FA9925-D85A-445D-9120-F83C240675A4}"/>
    <cellStyle name="Comma 6 3 4 2 4 4" xfId="52734" xr:uid="{6D4FA593-2263-49F2-8C4D-AFF821F20325}"/>
    <cellStyle name="Comma 6 3 4 2 4 5" xfId="55750" xr:uid="{A415D22E-4B98-4629-BECC-B154B7B8C2DA}"/>
    <cellStyle name="Comma 6 3 4 2 5" xfId="12956" xr:uid="{79072A40-8E60-462F-A316-192C0D9E4DF6}"/>
    <cellStyle name="Comma 6 3 4 2 5 2" xfId="36708" xr:uid="{FEB3ACB4-F3E2-42A7-A806-352336EB745B}"/>
    <cellStyle name="Comma 6 3 4 2 5 3" xfId="51303" xr:uid="{38D40AF4-671B-4884-8539-38E3250984A0}"/>
    <cellStyle name="Comma 6 3 4 2 5 4" xfId="54319" xr:uid="{99FB8C47-79F4-430B-A255-4F951821C299}"/>
    <cellStyle name="Comma 6 3 4 2 6" xfId="48462" xr:uid="{8E6875E5-5EA9-4D4E-A7C3-8B6453209857}"/>
    <cellStyle name="Comma 6 3 4 2 7" xfId="50197" xr:uid="{2DB865F2-4C4A-44DB-BFF8-C14B1B32AD0A}"/>
    <cellStyle name="Comma 6 3 4 2 8" xfId="53213" xr:uid="{FBECD067-C503-4AE6-ABAF-B2803168E618}"/>
    <cellStyle name="Comma 6 3 4 3" xfId="14683" xr:uid="{92FBE27D-75E2-4BF9-BC29-C5B0D5E254BB}"/>
    <cellStyle name="Comma 6 3 4 3 2" xfId="22230" xr:uid="{4760BC6A-3287-41C1-9E2C-564442985DDF}"/>
    <cellStyle name="Comma 6 3 4 3 3" xfId="47927" xr:uid="{29B01361-9741-44B7-9370-D95AAE6A81B6}"/>
    <cellStyle name="Comma 6 3 4 3 4" xfId="51568" xr:uid="{79AD5063-1E75-41D7-A186-0EB45940DE0C}"/>
    <cellStyle name="Comma 6 3 4 3 5" xfId="54584" xr:uid="{E5AC0BB7-28F2-4105-8145-70EC12D29501}"/>
    <cellStyle name="Comma 6 3 4 4" xfId="15168" xr:uid="{B1426FBA-04A2-4A3B-BFEA-F5E5238595E4}"/>
    <cellStyle name="Comma 6 3 4 4 2" xfId="22707" xr:uid="{F6DF7629-0435-452A-B9E7-A988C7FA4380}"/>
    <cellStyle name="Comma 6 3 4 4 3" xfId="46888" xr:uid="{502907A5-8043-4710-AE47-B658888BEF1E}"/>
    <cellStyle name="Comma 6 3 4 4 4" xfId="52045" xr:uid="{B341B57C-FE45-42ED-A4C4-2E6EF2FEF472}"/>
    <cellStyle name="Comma 6 3 4 4 5" xfId="55061" xr:uid="{8BC40E9E-244C-40BF-BC04-5BCF005FCFC9}"/>
    <cellStyle name="Comma 6 3 4 5" xfId="15655" xr:uid="{404942CD-770E-4CFC-B65A-17D8109B4E0C}"/>
    <cellStyle name="Comma 6 3 4 5 2" xfId="23184" xr:uid="{20AADB35-B2EF-4D7C-9117-9EEA65304B78}"/>
    <cellStyle name="Comma 6 3 4 5 3" xfId="36943" xr:uid="{BCE72A93-4B8C-4288-BD7C-500CF817A422}"/>
    <cellStyle name="Comma 6 3 4 5 4" xfId="52522" xr:uid="{A3578DA9-1655-4F07-B3A4-345FE7647FDB}"/>
    <cellStyle name="Comma 6 3 4 5 5" xfId="55538" xr:uid="{6787D588-119C-4CBB-BBB4-53079173D74A}"/>
    <cellStyle name="Comma 6 3 4 6" xfId="12643" xr:uid="{0CC5B8D1-F896-497D-9F20-6AAF559F8F2A}"/>
    <cellStyle name="Comma 6 3 4 6 2" xfId="46779" xr:uid="{36717015-BF7D-4846-8AA3-F44E8AC9D1FE}"/>
    <cellStyle name="Comma 6 3 4 6 3" xfId="51091" xr:uid="{DB7E2000-5170-4348-B5DD-2F85A39C6B86}"/>
    <cellStyle name="Comma 6 3 4 6 4" xfId="54107" xr:uid="{33FA5B89-A7C9-488D-8E0A-D092F9F527A8}"/>
    <cellStyle name="Comma 6 3 4 7" xfId="47676" xr:uid="{BA68C64A-D9CA-4CCA-96F0-2443BE1686D5}"/>
    <cellStyle name="Comma 6 3 4 8" xfId="49985" xr:uid="{81C77EDE-C385-4D2C-B1CD-911E128B4FC4}"/>
    <cellStyle name="Comma 6 3 4 9" xfId="53001" xr:uid="{6D2B7A67-9F38-4975-9AA9-A7BC41E1184F}"/>
    <cellStyle name="Comma 6 3 5" xfId="10269" xr:uid="{B0F7DC79-F524-43AA-A544-D786F7364E30}"/>
    <cellStyle name="Comma 6 3 5 2" xfId="14736" xr:uid="{4C10287F-135C-4F0E-AA07-23CA9845A2E7}"/>
    <cellStyle name="Comma 6 3 5 2 2" xfId="22283" xr:uid="{85A0C741-CF7F-4017-BD41-83A119A3E236}"/>
    <cellStyle name="Comma 6 3 5 2 3" xfId="46856" xr:uid="{6F5686AB-08F7-448C-B791-B5F497F06D96}"/>
    <cellStyle name="Comma 6 3 5 2 4" xfId="51621" xr:uid="{18A157F4-F56C-4310-88D0-42ECC0FA94AB}"/>
    <cellStyle name="Comma 6 3 5 2 5" xfId="54637" xr:uid="{7197F1CF-C005-47A9-82A9-27D62BCFEEFD}"/>
    <cellStyle name="Comma 6 3 5 3" xfId="15221" xr:uid="{EF29370B-6AB3-46CF-ABB6-8331FD7738F9}"/>
    <cellStyle name="Comma 6 3 5 3 2" xfId="22760" xr:uid="{1A8286A2-1EC3-473C-85BF-22760100E250}"/>
    <cellStyle name="Comma 6 3 5 3 3" xfId="48542" xr:uid="{608A341F-CF66-4D07-8E4E-64D0D274D206}"/>
    <cellStyle name="Comma 6 3 5 3 4" xfId="52098" xr:uid="{49DFA0AB-41B8-46A8-95A5-B019246D2968}"/>
    <cellStyle name="Comma 6 3 5 3 5" xfId="55114" xr:uid="{10DA570E-EC79-4691-8894-090700D2F7FA}"/>
    <cellStyle name="Comma 6 3 5 4" xfId="15708" xr:uid="{856CE060-3683-41A2-B160-E15277194502}"/>
    <cellStyle name="Comma 6 3 5 4 2" xfId="23237" xr:uid="{1B8659DB-2727-4A07-8B2C-4F9EE502C6EA}"/>
    <cellStyle name="Comma 6 3 5 4 3" xfId="46955" xr:uid="{880201C7-A937-446E-915F-EC6819A63EDD}"/>
    <cellStyle name="Comma 6 3 5 4 4" xfId="52575" xr:uid="{D98598C1-4930-4619-AD68-E2CEFA0FC88A}"/>
    <cellStyle name="Comma 6 3 5 4 5" xfId="55591" xr:uid="{C53F1CAE-DDD6-4499-B8B5-CA2A0717B8E7}"/>
    <cellStyle name="Comma 6 3 5 5" xfId="12722" xr:uid="{D27746FB-94AD-49A3-8846-970C6AA9E5CE}"/>
    <cellStyle name="Comma 6 3 5 5 2" xfId="48240" xr:uid="{52B52CEF-0A34-4D64-9F91-F9B70AADF65C}"/>
    <cellStyle name="Comma 6 3 5 5 3" xfId="51144" xr:uid="{79024F86-0EB2-4353-B04B-AB6C185E1B75}"/>
    <cellStyle name="Comma 6 3 5 5 4" xfId="54160" xr:uid="{E1184591-43D3-4DF1-B3E5-8760357284FD}"/>
    <cellStyle name="Comma 6 3 5 6" xfId="47282" xr:uid="{780A1532-3503-4741-B2F5-3F691720FD2E}"/>
    <cellStyle name="Comma 6 3 5 7" xfId="50038" xr:uid="{0AA85395-6917-46F9-AB82-A3CE66AE4B98}"/>
    <cellStyle name="Comma 6 3 5 8" xfId="53054" xr:uid="{7DE67FC9-F001-4B81-9BA2-41241FD82C60}"/>
    <cellStyle name="Comma 6 3 6" xfId="10583" xr:uid="{954C2AA9-2ECD-4C1B-B0B5-DD85D671A710}"/>
    <cellStyle name="Comma 6 3 6 2" xfId="14948" xr:uid="{B73D6C76-6F37-410D-A947-ED8847403899}"/>
    <cellStyle name="Comma 6 3 6 2 2" xfId="22495" xr:uid="{47437564-0EC0-4716-9693-41C8B14509D8}"/>
    <cellStyle name="Comma 6 3 6 2 3" xfId="24454" xr:uid="{4B5A39FB-17E0-487C-9D54-1C0EE108029E}"/>
    <cellStyle name="Comma 6 3 6 2 4" xfId="51833" xr:uid="{305FD375-36B6-4776-A50E-D1256A2EC8B6}"/>
    <cellStyle name="Comma 6 3 6 2 5" xfId="54849" xr:uid="{C4AE743B-C658-403C-9E33-73A9F05A25F8}"/>
    <cellStyle name="Comma 6 3 6 3" xfId="15433" xr:uid="{9120C151-44B8-4006-87F4-51427A494655}"/>
    <cellStyle name="Comma 6 3 6 3 2" xfId="22972" xr:uid="{52AE7161-CA52-4C65-BD08-DEE142E57B18}"/>
    <cellStyle name="Comma 6 3 6 3 3" xfId="48565" xr:uid="{F17E37C6-D6A6-4263-A884-7B1D4E1BCD4C}"/>
    <cellStyle name="Comma 6 3 6 3 4" xfId="52310" xr:uid="{02808B91-94EB-4E32-9BD3-FDE55B1D8340}"/>
    <cellStyle name="Comma 6 3 6 3 5" xfId="55326" xr:uid="{1CA68D01-1246-4B91-A7F2-1B506F3EA67E}"/>
    <cellStyle name="Comma 6 3 6 4" xfId="15921" xr:uid="{13DC207C-5170-4480-B067-6FB24D667663}"/>
    <cellStyle name="Comma 6 3 6 4 2" xfId="23449" xr:uid="{F7E60C4E-E392-42F9-B6EE-F5F1ACB0699A}"/>
    <cellStyle name="Comma 6 3 6 4 3" xfId="48582" xr:uid="{930940B7-65AC-422C-80B9-FA585DA425CA}"/>
    <cellStyle name="Comma 6 3 6 4 4" xfId="52787" xr:uid="{3D36E41E-7407-4FFE-A1AE-FA1059B34670}"/>
    <cellStyle name="Comma 6 3 6 4 5" xfId="55803" xr:uid="{8B3FDEB4-9F91-46C9-B571-6866F25DD55C}"/>
    <cellStyle name="Comma 6 3 6 5" xfId="13036" xr:uid="{71AABA3A-E7B2-49C1-907E-745382B19CDB}"/>
    <cellStyle name="Comma 6 3 6 5 2" xfId="47530" xr:uid="{A00A146E-E6C2-4C0F-9CBE-B441DC39F83D}"/>
    <cellStyle name="Comma 6 3 6 5 3" xfId="51356" xr:uid="{D7E6D52B-82F8-4DC9-B7E0-619C51CDAC54}"/>
    <cellStyle name="Comma 6 3 6 5 4" xfId="54372" xr:uid="{F034A13F-F738-4B7C-8210-B75A78DAE134}"/>
    <cellStyle name="Comma 6 3 6 6" xfId="48088" xr:uid="{B8ACB2FA-C2E9-46B8-9A50-FD7DDD56A61B}"/>
    <cellStyle name="Comma 6 3 6 7" xfId="50250" xr:uid="{8FA8E80E-838A-4488-A259-2F82A7A1E70B}"/>
    <cellStyle name="Comma 6 3 6 8" xfId="53266" xr:uid="{5F4C3D2B-C1A0-44CA-A9B7-DB6BE12109A5}"/>
    <cellStyle name="Comma 6 3 7" xfId="13376" xr:uid="{15D12331-7F7F-4967-88D7-5EC8F93B8E2C}"/>
    <cellStyle name="Comma 6 3 8" xfId="14524" xr:uid="{91BA8B81-0B16-430A-8D86-3867320B9B91}"/>
    <cellStyle name="Comma 6 3 8 2" xfId="22071" xr:uid="{F4E68240-34A9-4EFD-8E3E-391DF08C8953}"/>
    <cellStyle name="Comma 6 3 8 3" xfId="32533" xr:uid="{425EA413-D024-463D-B94E-5D8E4C2B0863}"/>
    <cellStyle name="Comma 6 3 8 4" xfId="51409" xr:uid="{5E4B8051-5927-4EC9-BE38-FFED94161960}"/>
    <cellStyle name="Comma 6 3 8 5" xfId="54425" xr:uid="{62C0FA1B-503D-4552-8DAF-FAFF8881C62C}"/>
    <cellStyle name="Comma 6 3 9" xfId="15008" xr:uid="{8B9FC8D0-AAEA-4B1C-BEC3-34A77FBFB77E}"/>
    <cellStyle name="Comma 6 3 9 2" xfId="22548" xr:uid="{6F9F4B91-E6DA-4ECA-A8B9-5A44A3B82C25}"/>
    <cellStyle name="Comma 6 3 9 3" xfId="24922" xr:uid="{F2D35C27-4C33-44CA-844D-B168E0DCDF51}"/>
    <cellStyle name="Comma 6 3 9 4" xfId="51886" xr:uid="{87B79008-3B3A-4523-A16C-EFB11711C9BA}"/>
    <cellStyle name="Comma 6 3 9 5" xfId="54902" xr:uid="{1AB45968-1AE2-4C4C-8647-3346C7BBF6AD}"/>
    <cellStyle name="Comma 6 4" xfId="2630" xr:uid="{B3775D92-7E98-436A-A203-3F9DEDE40BCB}"/>
    <cellStyle name="Comma 6 4 2" xfId="21695" xr:uid="{3299A523-11F7-4F28-AE8F-1AC47BCFF73D}"/>
    <cellStyle name="Comma 6 4 3" xfId="23797" xr:uid="{EB73BDA7-3567-42E5-BDF3-CE3FA1A77449}"/>
    <cellStyle name="Comma 6 4 4" xfId="48670" xr:uid="{16385199-DB28-4AC4-BE2C-A08ADED5537F}"/>
    <cellStyle name="Comma 6 4 5" xfId="49578" xr:uid="{8ACF534A-7863-448F-B56E-D352770B47DD}"/>
    <cellStyle name="Comma 6 4 6" xfId="50712" xr:uid="{4DAAEDAE-5A8E-442D-A913-20B43CC0E91A}"/>
    <cellStyle name="Comma 6 4 7" xfId="53728" xr:uid="{1C2F3622-404D-4BCB-B1E2-9C1C798F07B3}"/>
    <cellStyle name="Comma 6 4 8" xfId="11199" xr:uid="{8C8B2FF2-D3D7-45F3-8C1F-EFC6B3E8E360}"/>
    <cellStyle name="Comma 6 5" xfId="12268" xr:uid="{768D6845-00BB-4FDB-AE27-CE730920F681}"/>
    <cellStyle name="Comma 6 5 2" xfId="23798" xr:uid="{F6E5CEB8-AAEB-4CBB-8196-463E41CC60AC}"/>
    <cellStyle name="Comma 6 6" xfId="17744" xr:uid="{C6A5C53B-727E-43A2-9F57-AADB648EEE39}"/>
    <cellStyle name="Comma 6 6 2" xfId="21252" xr:uid="{AE4D16C7-9C1B-41B2-A792-EC299DAFFA6F}"/>
    <cellStyle name="Comma 6 7" xfId="19495" xr:uid="{B5551F86-91FB-4431-A429-E423790738C3}"/>
    <cellStyle name="Comma 6 8" xfId="23791" xr:uid="{F9F41E68-603D-46CD-A2B5-29A72C7973E6}"/>
    <cellStyle name="Comma 6 9" xfId="48664" xr:uid="{0B8B5E86-1426-4D2F-8680-0B0FC60BA89D}"/>
    <cellStyle name="Comma 7" xfId="2631" xr:uid="{3D91D855-D38D-4FA3-9771-C444BDFA2F69}"/>
    <cellStyle name="Comma 7 2" xfId="4547" xr:uid="{9CD68069-D787-45BC-BC32-B236893F674D}"/>
    <cellStyle name="Comma 7 2 10" xfId="15009" xr:uid="{F4C69349-3887-49C2-B038-C85D002C6F90}"/>
    <cellStyle name="Comma 7 2 10 2" xfId="22549" xr:uid="{F071F8FA-B942-4656-B4B9-AC9A896F7FF9}"/>
    <cellStyle name="Comma 7 2 10 3" xfId="47542" xr:uid="{D6006AD4-96E2-4A0C-BF36-2F283685ED0A}"/>
    <cellStyle name="Comma 7 2 10 4" xfId="51887" xr:uid="{EF596B4B-1559-4FF1-92B0-A3AD012866FB}"/>
    <cellStyle name="Comma 7 2 10 5" xfId="54903" xr:uid="{4B95AC8E-40AC-438F-A32D-40886FB5797E}"/>
    <cellStyle name="Comma 7 2 10 6" xfId="19190" xr:uid="{9609135E-6467-4DF7-AF9B-C3DA805070B4}"/>
    <cellStyle name="Comma 7 2 11" xfId="15496" xr:uid="{644C052A-94A8-4E44-B523-7F4164B9B249}"/>
    <cellStyle name="Comma 7 2 11 2" xfId="23026" xr:uid="{D8CA7039-7E0E-4651-95C2-D62071E21722}"/>
    <cellStyle name="Comma 7 2 11 3" xfId="48566" xr:uid="{508B8682-FE15-4DD5-85CB-AD0DBC86FC7E}"/>
    <cellStyle name="Comma 7 2 11 4" xfId="52364" xr:uid="{6238E041-2F04-49EE-8D11-CA527FCC7870}"/>
    <cellStyle name="Comma 7 2 11 5" xfId="55380" xr:uid="{5A1E8C2B-A786-449F-B5B8-7D48D2AFA3AD}"/>
    <cellStyle name="Comma 7 2 11 6" xfId="19335" xr:uid="{64D98708-0EF7-4180-9C47-2064D32057BC}"/>
    <cellStyle name="Comma 7 2 12" xfId="11677" xr:uid="{2219630E-6D0F-413F-A706-5B83E4A0C4FC}"/>
    <cellStyle name="Comma 7 2 12 2" xfId="21714" xr:uid="{32EBE75A-143D-4C9A-B225-561A4BC2F007}"/>
    <cellStyle name="Comma 7 2 12 3" xfId="47907" xr:uid="{4CF0323B-23E8-4824-B500-F1238A7901F2}"/>
    <cellStyle name="Comma 7 2 12 4" xfId="50739" xr:uid="{E2EA3B48-CC71-4BF4-B45B-B5C84E8E794B}"/>
    <cellStyle name="Comma 7 2 12 5" xfId="53755" xr:uid="{13BF962F-EDEC-4FEA-BEFA-30664B12B7CF}"/>
    <cellStyle name="Comma 7 2 12 6" xfId="18298" xr:uid="{2AD55D44-30B2-4C89-AB52-72103077F2C5}"/>
    <cellStyle name="Comma 7 2 13" xfId="23800" xr:uid="{4558FF0E-6916-40B9-B404-06E1E494190C}"/>
    <cellStyle name="Comma 7 2 14" xfId="48014" xr:uid="{247C17D3-3054-4D6D-87CF-6CB4F127B377}"/>
    <cellStyle name="Comma 7 2 15" xfId="48671" xr:uid="{D9BA4743-2EDA-42D7-BF1E-6E760915F730}"/>
    <cellStyle name="Comma 7 2 16" xfId="49579" xr:uid="{F25A21BE-C442-4C44-A6D2-80031614D2AC}"/>
    <cellStyle name="Comma 7 2 17" xfId="49827" xr:uid="{7DEC20B8-6269-4ADC-A2AF-E6E77322753B}"/>
    <cellStyle name="Comma 7 2 18" xfId="52842" xr:uid="{6F1B47B1-BE1F-4732-A577-2CA2DBCF79F6}"/>
    <cellStyle name="Comma 7 2 19" xfId="8950" xr:uid="{6211325B-E326-4216-8218-35CD10148FA1}"/>
    <cellStyle name="Comma 7 2 2" xfId="8951" xr:uid="{F952F884-F861-4C2A-94FE-A0D55467DC97}"/>
    <cellStyle name="Comma 7 2 2 10" xfId="11515" xr:uid="{7EF01E4A-CBB1-4700-B839-AB7C81C181C8}"/>
    <cellStyle name="Comma 7 2 2 10 2" xfId="48186" xr:uid="{C2F5A7E0-8C59-4533-930F-F9D61EB5C687}"/>
    <cellStyle name="Comma 7 2 2 10 3" xfId="50725" xr:uid="{39810216-3F6A-4C88-BD04-8108C3720E8C}"/>
    <cellStyle name="Comma 7 2 2 10 4" xfId="53741" xr:uid="{4B5BBAA4-AAF4-49CC-A5D4-45BC32897833}"/>
    <cellStyle name="Comma 7 2 2 10 5" xfId="21702" xr:uid="{E2913F90-DFB6-44F6-90A8-92ABB42A7660}"/>
    <cellStyle name="Comma 7 2 2 11" xfId="23801" xr:uid="{F3A11060-31B5-4D2F-AFE2-855525C4A151}"/>
    <cellStyle name="Comma 7 2 2 12" xfId="48429" xr:uid="{EB61C776-5E95-4A3B-9564-B92396150AB3}"/>
    <cellStyle name="Comma 7 2 2 13" xfId="48672" xr:uid="{C7C7D979-FA5B-4508-AB0B-29A071EB0ABF}"/>
    <cellStyle name="Comma 7 2 2 14" xfId="49580" xr:uid="{F4DFCB13-989D-4BDC-8533-44376A989922}"/>
    <cellStyle name="Comma 7 2 2 15" xfId="49828" xr:uid="{60FD49B2-9D5E-456F-9FBD-9FDC38A19A4C}"/>
    <cellStyle name="Comma 7 2 2 16" xfId="52843" xr:uid="{E097504B-209F-4EA3-94C8-A9E73F08F7EF}"/>
    <cellStyle name="Comma 7 2 2 17" xfId="18148" xr:uid="{09EFBCBA-410E-4BE5-A8F2-E46814AA4A73}"/>
    <cellStyle name="Comma 7 2 2 2" xfId="10038" xr:uid="{C9FC4E4A-E73E-448C-BFA4-887161072AD9}"/>
    <cellStyle name="Comma 7 2 2 2 10" xfId="18754" xr:uid="{D62E43AD-48B5-4DA0-913C-7F306105C47E}"/>
    <cellStyle name="Comma 7 2 2 2 2" xfId="10346" xr:uid="{8DDC4F5A-D04B-4964-85FA-A59851163D6F}"/>
    <cellStyle name="Comma 7 2 2 2 2 2" xfId="14791" xr:uid="{5C54871B-550A-4713-B423-61916B018DE9}"/>
    <cellStyle name="Comma 7 2 2 2 2 2 2" xfId="22338" xr:uid="{D88AD29B-4525-4AEB-8B5B-18E081715A69}"/>
    <cellStyle name="Comma 7 2 2 2 2 2 3" xfId="47537" xr:uid="{983D58AB-2CCF-45B1-8AE8-8FEE2D05A4B8}"/>
    <cellStyle name="Comma 7 2 2 2 2 2 4" xfId="51676" xr:uid="{029F0282-C8BE-4E35-99BA-DD1F21CE2175}"/>
    <cellStyle name="Comma 7 2 2 2 2 2 5" xfId="54692" xr:uid="{3F2BE771-AF41-497A-9DAA-255240FF5940}"/>
    <cellStyle name="Comma 7 2 2 2 2 2 6" xfId="19124" xr:uid="{4DCE433F-7A1F-4D8F-BD16-305C9336573B}"/>
    <cellStyle name="Comma 7 2 2 2 2 3" xfId="15276" xr:uid="{CE41780F-7DA2-44FD-95C5-59C059B9DFB6}"/>
    <cellStyle name="Comma 7 2 2 2 2 3 2" xfId="22815" xr:uid="{73E937A9-D980-4217-AFA1-92DE300AA506}"/>
    <cellStyle name="Comma 7 2 2 2 2 3 3" xfId="47129" xr:uid="{58DF7445-C129-448C-8BC3-61EF29B11C22}"/>
    <cellStyle name="Comma 7 2 2 2 2 3 4" xfId="52153" xr:uid="{5F53E3FA-8D0A-4C30-A0EC-A4647914ED52}"/>
    <cellStyle name="Comma 7 2 2 2 2 3 5" xfId="55169" xr:uid="{E5981CBE-5FDE-49D9-B894-57C10457413F}"/>
    <cellStyle name="Comma 7 2 2 2 2 3 6" xfId="19267" xr:uid="{7A34A27C-002E-4FC8-A243-EBBA95312C58}"/>
    <cellStyle name="Comma 7 2 2 2 2 4" xfId="15763" xr:uid="{93F4A782-FC8E-47EC-A025-AB75CC075BD2}"/>
    <cellStyle name="Comma 7 2 2 2 2 4 2" xfId="23292" xr:uid="{5563BB34-5091-4A7F-94DF-1AC65C81B001}"/>
    <cellStyle name="Comma 7 2 2 2 2 4 3" xfId="48026" xr:uid="{507C8EC1-72CC-4B9D-B4B1-F44A1904C0E0}"/>
    <cellStyle name="Comma 7 2 2 2 2 4 4" xfId="52630" xr:uid="{496AD550-0AC6-4CBD-85E8-396226595B0E}"/>
    <cellStyle name="Comma 7 2 2 2 2 4 5" xfId="55646" xr:uid="{94660E6B-278B-4EF4-BB44-488AC0E1B9C5}"/>
    <cellStyle name="Comma 7 2 2 2 2 4 6" xfId="19412" xr:uid="{3847BA4C-F520-4D77-AF7F-DEF923C83986}"/>
    <cellStyle name="Comma 7 2 2 2 2 5" xfId="12799" xr:uid="{4BEE70F6-CE93-410D-B1A8-509A56686EE3}"/>
    <cellStyle name="Comma 7 2 2 2 2 5 2" xfId="24480" xr:uid="{1FC42926-3A9A-4FC0-BAA8-1868DFEE26CE}"/>
    <cellStyle name="Comma 7 2 2 2 2 5 3" xfId="51199" xr:uid="{A71A5A54-9187-4F88-8B3A-C8296495306E}"/>
    <cellStyle name="Comma 7 2 2 2 2 5 4" xfId="54215" xr:uid="{9B69FA4D-9901-4C5F-8A32-1861BEA6F70D}"/>
    <cellStyle name="Comma 7 2 2 2 2 5 5" xfId="21982" xr:uid="{D9CD3F5A-6AB2-42EB-B3C9-5C57DBB4BC99}"/>
    <cellStyle name="Comma 7 2 2 2 2 6" xfId="48454" xr:uid="{B335E223-F4BB-42E1-BFDF-E0A294BCC715}"/>
    <cellStyle name="Comma 7 2 2 2 2 7" xfId="50093" xr:uid="{7144C7B7-623F-4B0D-8356-8FADE8456471}"/>
    <cellStyle name="Comma 7 2 2 2 2 8" xfId="53109" xr:uid="{5827DC8B-D369-4FF4-85F9-5A772B6A54B5}"/>
    <cellStyle name="Comma 7 2 2 2 2 9" xfId="18903" xr:uid="{30FA9742-224A-4791-9D87-9A80B0D9D2EC}"/>
    <cellStyle name="Comma 7 2 2 2 3" xfId="14579" xr:uid="{29592475-FB6B-4073-BE2A-2F953D9AD67A}"/>
    <cellStyle name="Comma 7 2 2 2 3 2" xfId="22126" xr:uid="{7C10E016-910C-4D70-8C75-E5D02F20086E}"/>
    <cellStyle name="Comma 7 2 2 2 3 3" xfId="46403" xr:uid="{386295C0-EE31-4452-8AFD-BFD3B44BD970}"/>
    <cellStyle name="Comma 7 2 2 2 3 4" xfId="51464" xr:uid="{9108ADFB-B88A-4E02-BFF5-B8F24A50ECFA}"/>
    <cellStyle name="Comma 7 2 2 2 3 5" xfId="54480" xr:uid="{F2D1F107-2B30-4010-8868-036D2AAAA7EF}"/>
    <cellStyle name="Comma 7 2 2 2 3 6" xfId="19064" xr:uid="{4655A8F7-5939-4E11-980F-5BB37BA5D139}"/>
    <cellStyle name="Comma 7 2 2 2 4" xfId="15063" xr:uid="{380B014F-1EDC-424F-984D-FABE60732AA7}"/>
    <cellStyle name="Comma 7 2 2 2 4 2" xfId="22603" xr:uid="{C44147C4-9E57-4FB7-8FA0-190F8513DB4F}"/>
    <cellStyle name="Comma 7 2 2 2 4 3" xfId="48509" xr:uid="{2EAABC8D-4C50-4C91-9839-C47D813DF87E}"/>
    <cellStyle name="Comma 7 2 2 2 4 4" xfId="51941" xr:uid="{42046838-FA9A-4A56-A567-F7DF57B8DEC7}"/>
    <cellStyle name="Comma 7 2 2 2 4 5" xfId="54957" xr:uid="{A28CDE20-ED51-450F-871D-310953156749}"/>
    <cellStyle name="Comma 7 2 2 2 4 6" xfId="19206" xr:uid="{5DD38D74-74A1-4D7B-A03A-870C4E641BC1}"/>
    <cellStyle name="Comma 7 2 2 2 5" xfId="15550" xr:uid="{0DC89503-8A14-4C9E-836A-C2D0DCE8B6B7}"/>
    <cellStyle name="Comma 7 2 2 2 5 2" xfId="23080" xr:uid="{8903176D-2B19-4CC3-A071-F2D0FDA6D158}"/>
    <cellStyle name="Comma 7 2 2 2 5 3" xfId="48022" xr:uid="{4DBD1DBB-A74E-4772-A6BF-0EF10F13E461}"/>
    <cellStyle name="Comma 7 2 2 2 5 4" xfId="52418" xr:uid="{C2B63287-1CED-4234-A6FB-A90DCD3872CC}"/>
    <cellStyle name="Comma 7 2 2 2 5 5" xfId="55434" xr:uid="{6E52D284-19B6-4BD3-9168-9D1B33AD3B5F}"/>
    <cellStyle name="Comma 7 2 2 2 5 6" xfId="19351" xr:uid="{11D0FDA6-B433-447E-B4C7-E17689F5E5AD}"/>
    <cellStyle name="Comma 7 2 2 2 6" xfId="12498" xr:uid="{2A143B18-FC75-4159-94DE-2EBB35EF9F86}"/>
    <cellStyle name="Comma 7 2 2 2 6 2" xfId="46314" xr:uid="{6A761578-5ACD-4922-BA81-1CE01AA44267}"/>
    <cellStyle name="Comma 7 2 2 2 6 3" xfId="50987" xr:uid="{4E6FBE34-2CDA-4A8C-8D02-8E23AF8375F7}"/>
    <cellStyle name="Comma 7 2 2 2 6 4" xfId="54003" xr:uid="{21931014-7B87-4B0D-8FC8-D4CCF376455B}"/>
    <cellStyle name="Comma 7 2 2 2 6 5" xfId="21921" xr:uid="{DB4A0725-A2DC-48EF-8294-0D4DD4D55662}"/>
    <cellStyle name="Comma 7 2 2 2 7" xfId="46614" xr:uid="{57DB6DD4-5601-4149-AA2A-E2572D1B2EAD}"/>
    <cellStyle name="Comma 7 2 2 2 8" xfId="49881" xr:uid="{E6EA5DDB-71C7-47DE-A888-9F36935A1B2A}"/>
    <cellStyle name="Comma 7 2 2 2 9" xfId="52897" xr:uid="{AB510987-7415-4028-B776-342DA4CFA7C3}"/>
    <cellStyle name="Comma 7 2 2 3" xfId="10112" xr:uid="{61C809ED-6BCE-449C-A7F4-A5BA9F97ED8E}"/>
    <cellStyle name="Comma 7 2 2 3 10" xfId="18787" xr:uid="{7EC7D5C1-DDD0-46B2-B92C-896B164A92EE}"/>
    <cellStyle name="Comma 7 2 2 3 2" xfId="10425" xr:uid="{59E6471C-C0D0-45F3-B39F-A835B1079648}"/>
    <cellStyle name="Comma 7 2 2 3 2 2" xfId="14844" xr:uid="{BD81CE75-DD9B-4179-A3F7-90776C3C7FF1}"/>
    <cellStyle name="Comma 7 2 2 3 2 2 2" xfId="22391" xr:uid="{E4E621B4-BAFF-4CB0-9EEA-5B71F4ABF317}"/>
    <cellStyle name="Comma 7 2 2 3 2 2 3" xfId="46443" xr:uid="{5DE0C6DC-AA6C-44AA-885E-A6F1B835469E}"/>
    <cellStyle name="Comma 7 2 2 3 2 2 4" xfId="51729" xr:uid="{2546C6AE-31D9-4C9F-9AA9-3D01A0322817}"/>
    <cellStyle name="Comma 7 2 2 3 2 2 5" xfId="54745" xr:uid="{64911CEA-EFD0-4782-BE84-C26F232B97DD}"/>
    <cellStyle name="Comma 7 2 2 3 2 2 6" xfId="19139" xr:uid="{0080E859-B9B6-4C75-B577-101CA347E4E5}"/>
    <cellStyle name="Comma 7 2 2 3 2 3" xfId="15329" xr:uid="{07E403D3-B8E3-4265-9E25-4937914BC605}"/>
    <cellStyle name="Comma 7 2 2 3 2 3 2" xfId="22868" xr:uid="{AB418327-1726-4DE6-9EC4-0E1B612763DC}"/>
    <cellStyle name="Comma 7 2 2 3 2 3 3" xfId="47270" xr:uid="{172BCEB5-9A3A-443C-A5B7-E898EADB9838}"/>
    <cellStyle name="Comma 7 2 2 3 2 3 4" xfId="52206" xr:uid="{3DCE5AF0-5437-4A63-9AB4-973A82E7B7D1}"/>
    <cellStyle name="Comma 7 2 2 3 2 3 5" xfId="55222" xr:uid="{3D07B516-A567-48BA-AB5D-E0B91CC2F970}"/>
    <cellStyle name="Comma 7 2 2 3 2 3 6" xfId="19282" xr:uid="{AC16728E-F155-4789-968C-E47F995AC1DC}"/>
    <cellStyle name="Comma 7 2 2 3 2 4" xfId="15816" xr:uid="{75EE0EAF-8FA3-485B-A296-989270EA8E27}"/>
    <cellStyle name="Comma 7 2 2 3 2 4 2" xfId="23345" xr:uid="{D2E68DD7-9365-4922-B6CC-F28DF0B54F49}"/>
    <cellStyle name="Comma 7 2 2 3 2 4 3" xfId="47949" xr:uid="{75A0479B-ABA3-4BE5-992E-E9218C8CD937}"/>
    <cellStyle name="Comma 7 2 2 3 2 4 4" xfId="52683" xr:uid="{771DC76A-5ED7-40C0-B981-2B3B89F49757}"/>
    <cellStyle name="Comma 7 2 2 3 2 4 5" xfId="55699" xr:uid="{81ECD015-0F2E-4C4A-8AED-387F46C065CE}"/>
    <cellStyle name="Comma 7 2 2 3 2 4 6" xfId="19427" xr:uid="{472FDD8A-D0A9-4F95-AB06-2919B0B11C52}"/>
    <cellStyle name="Comma 7 2 2 3 2 5" xfId="12878" xr:uid="{4386C6C9-A84D-4674-9B4A-368FF8F5B67F}"/>
    <cellStyle name="Comma 7 2 2 3 2 5 2" xfId="37106" xr:uid="{7FD2391C-C6DC-424B-B73F-3807A2268DD9}"/>
    <cellStyle name="Comma 7 2 2 3 2 5 3" xfId="51252" xr:uid="{C1191A73-9170-44AF-83A1-B5C3AFC54DA2}"/>
    <cellStyle name="Comma 7 2 2 3 2 5 4" xfId="54268" xr:uid="{85972959-0C2F-44F3-8680-4F47BA371643}"/>
    <cellStyle name="Comma 7 2 2 3 2 5 5" xfId="21997" xr:uid="{05D34DD7-3282-48CC-8F9C-68287422BE59}"/>
    <cellStyle name="Comma 7 2 2 3 2 6" xfId="34567" xr:uid="{5AEDC72F-9D69-4A3C-A1FD-89BA8F4E81AD}"/>
    <cellStyle name="Comma 7 2 2 3 2 7" xfId="50146" xr:uid="{519B0593-2E75-4D4D-A3B3-D2F9281C83D6}"/>
    <cellStyle name="Comma 7 2 2 3 2 8" xfId="53162" xr:uid="{22C965DF-5167-4939-8FF3-3161CD075156}"/>
    <cellStyle name="Comma 7 2 2 3 2 9" xfId="18944" xr:uid="{D5D43B0F-87BE-4D87-A199-1D33F0D9516B}"/>
    <cellStyle name="Comma 7 2 2 3 3" xfId="14632" xr:uid="{4DCB4090-7F18-4A44-85D5-F6F1C9CAFE49}"/>
    <cellStyle name="Comma 7 2 2 3 3 2" xfId="22179" xr:uid="{3CD5CCB5-1358-4FA3-BF99-CDA854ACCD37}"/>
    <cellStyle name="Comma 7 2 2 3 3 3" xfId="46844" xr:uid="{E411B307-C5FB-4BBE-9081-F12FD354D962}"/>
    <cellStyle name="Comma 7 2 2 3 3 4" xfId="51517" xr:uid="{F0F68A77-9DCD-420D-91A5-29FDEE373BAE}"/>
    <cellStyle name="Comma 7 2 2 3 3 5" xfId="54533" xr:uid="{670205D3-D44F-4B20-8F3C-B03090D35EDC}"/>
    <cellStyle name="Comma 7 2 2 3 3 6" xfId="19079" xr:uid="{7C735DFC-3381-4116-9B05-30CA23553E73}"/>
    <cellStyle name="Comma 7 2 2 3 4" xfId="15117" xr:uid="{FC0DFFA2-160A-4B18-9EA4-7169E8F41641}"/>
    <cellStyle name="Comma 7 2 2 3 4 2" xfId="22656" xr:uid="{9EDB32D8-92B1-4A8C-A897-A0C2ED4A14D1}"/>
    <cellStyle name="Comma 7 2 2 3 4 3" xfId="47418" xr:uid="{CB516ED5-A7B5-46A5-9DB8-64ED3B1FC2C7}"/>
    <cellStyle name="Comma 7 2 2 3 4 4" xfId="51994" xr:uid="{4FB386C4-1F32-48E5-9B54-08F4FF474728}"/>
    <cellStyle name="Comma 7 2 2 3 4 5" xfId="55010" xr:uid="{3E5A4069-6DF4-43B6-AA11-E2B6BE52B288}"/>
    <cellStyle name="Comma 7 2 2 3 4 6" xfId="19222" xr:uid="{BD86C47A-1F06-4E52-BE17-C30EC03A5362}"/>
    <cellStyle name="Comma 7 2 2 3 5" xfId="15604" xr:uid="{6B2D30BE-8ED8-489D-A9AD-4A5096082BBF}"/>
    <cellStyle name="Comma 7 2 2 3 5 2" xfId="23133" xr:uid="{CC412ECB-B25B-4783-9CBA-6BD7A4B30B46}"/>
    <cellStyle name="Comma 7 2 2 3 5 3" xfId="47671" xr:uid="{56815691-3C56-4043-BDB2-C282A7CFA6F2}"/>
    <cellStyle name="Comma 7 2 2 3 5 4" xfId="52471" xr:uid="{F2C740EA-A1B9-4FF3-AAFB-2B303267F74E}"/>
    <cellStyle name="Comma 7 2 2 3 5 5" xfId="55487" xr:uid="{3A34DD1D-020F-4BA7-B623-A9692153ABA0}"/>
    <cellStyle name="Comma 7 2 2 3 5 6" xfId="19367" xr:uid="{35F0548D-D35D-4207-A4E0-8BD1747CE6CA}"/>
    <cellStyle name="Comma 7 2 2 3 6" xfId="12569" xr:uid="{FE266579-CBDD-4A15-80B7-0ACED1B7F625}"/>
    <cellStyle name="Comma 7 2 2 3 6 2" xfId="48271" xr:uid="{5B82FEF7-EAE0-42C0-94ED-3BBEFABD9E36}"/>
    <cellStyle name="Comma 7 2 2 3 6 3" xfId="51040" xr:uid="{D60FEC65-B7B1-4C9A-83BA-2190FA8F8A21}"/>
    <cellStyle name="Comma 7 2 2 3 6 4" xfId="54056" xr:uid="{5D04A63F-6BB4-42AE-B5A7-0B6A5E3A6228}"/>
    <cellStyle name="Comma 7 2 2 3 6 5" xfId="21937" xr:uid="{6C909A52-B35C-46C1-8FBC-E555678B50F6}"/>
    <cellStyle name="Comma 7 2 2 3 7" xfId="32304" xr:uid="{3135245A-F8F1-4794-9EF6-E0A3BF98F02E}"/>
    <cellStyle name="Comma 7 2 2 3 8" xfId="49934" xr:uid="{C6DA1858-D2F0-4DBF-A8E0-4008BB52F593}"/>
    <cellStyle name="Comma 7 2 2 3 9" xfId="52950" xr:uid="{61CB4AB7-C2EB-4369-AF08-EBAF63C3AB70}"/>
    <cellStyle name="Comma 7 2 2 4" xfId="10191" xr:uid="{F53494FF-E6AF-4A27-949A-DA46B1225F28}"/>
    <cellStyle name="Comma 7 2 2 4 10" xfId="18825" xr:uid="{46B2E7D1-93CE-4638-AE4B-869F3BE5DF4E}"/>
    <cellStyle name="Comma 7 2 2 4 2" xfId="10505" xr:uid="{DB887A6D-31CB-498A-9C04-D515E40F5A74}"/>
    <cellStyle name="Comma 7 2 2 4 2 2" xfId="14897" xr:uid="{7CE7BBFE-30DA-4D6E-8B21-A97CB4474547}"/>
    <cellStyle name="Comma 7 2 2 4 2 2 2" xfId="22444" xr:uid="{672EF867-D198-483B-8047-5861E3AE9559}"/>
    <cellStyle name="Comma 7 2 2 4 2 2 3" xfId="46453" xr:uid="{49075AEA-A572-413E-8604-79879882735A}"/>
    <cellStyle name="Comma 7 2 2 4 2 2 4" xfId="51782" xr:uid="{1DC76FBC-68EF-4254-8DBC-A4FE91E2D1FE}"/>
    <cellStyle name="Comma 7 2 2 4 2 2 5" xfId="54798" xr:uid="{CC941ABE-7650-46D3-8FDC-3AA5FE4E26FA}"/>
    <cellStyle name="Comma 7 2 2 4 2 2 6" xfId="19154" xr:uid="{F0858E1E-BD4B-4166-8EF2-CDD77D9F94DD}"/>
    <cellStyle name="Comma 7 2 2 4 2 3" xfId="15382" xr:uid="{5204B2B7-73EC-4696-9E22-41279AD9F87F}"/>
    <cellStyle name="Comma 7 2 2 4 2 3 2" xfId="22921" xr:uid="{F37E4B8A-F65E-457F-A7C5-2842BB520899}"/>
    <cellStyle name="Comma 7 2 2 4 2 3 3" xfId="48418" xr:uid="{52A44A71-9297-48CB-8B90-300F1AEB5294}"/>
    <cellStyle name="Comma 7 2 2 4 2 3 4" xfId="52259" xr:uid="{8037959C-95D3-49D9-82AB-AED916FE9BF3}"/>
    <cellStyle name="Comma 7 2 2 4 2 3 5" xfId="55275" xr:uid="{C39A3D3E-A986-482E-9B2A-543F5F0C2A13}"/>
    <cellStyle name="Comma 7 2 2 4 2 3 6" xfId="19297" xr:uid="{47BB5705-2A8C-4911-A78A-36470A33C53E}"/>
    <cellStyle name="Comma 7 2 2 4 2 4" xfId="15869" xr:uid="{78977903-7D69-45CA-81F4-C2B0632BA9AC}"/>
    <cellStyle name="Comma 7 2 2 4 2 4 2" xfId="23398" xr:uid="{38A63F25-8AEF-455E-B71A-08CDBF1B35F6}"/>
    <cellStyle name="Comma 7 2 2 4 2 4 3" xfId="48136" xr:uid="{03CBB31B-1081-4749-AC5F-9568E01D6341}"/>
    <cellStyle name="Comma 7 2 2 4 2 4 4" xfId="52736" xr:uid="{1C984B23-9A9A-4F7B-98BF-93D24D5E62DB}"/>
    <cellStyle name="Comma 7 2 2 4 2 4 5" xfId="55752" xr:uid="{FAD65C36-A722-4839-B3DA-14FDE6B91585}"/>
    <cellStyle name="Comma 7 2 2 4 2 4 6" xfId="19442" xr:uid="{893823BF-271D-4EC7-90B6-2EE86ED8BE65}"/>
    <cellStyle name="Comma 7 2 2 4 2 5" xfId="12958" xr:uid="{3E0553EB-3C71-4793-AA8C-534EC8B80CF1}"/>
    <cellStyle name="Comma 7 2 2 4 2 5 2" xfId="23987" xr:uid="{2016AB62-DB97-4944-B2C9-C660A2A0FFCD}"/>
    <cellStyle name="Comma 7 2 2 4 2 5 3" xfId="51305" xr:uid="{E05DFFF9-CE3D-4A17-9AE6-21211A232CB6}"/>
    <cellStyle name="Comma 7 2 2 4 2 5 4" xfId="54321" xr:uid="{8DCC58A3-0C26-4DF2-BD79-A0D2964FF094}"/>
    <cellStyle name="Comma 7 2 2 4 2 5 5" xfId="22012" xr:uid="{0FC32D90-C770-4E8D-9529-442AF0857CC7}"/>
    <cellStyle name="Comma 7 2 2 4 2 6" xfId="47589" xr:uid="{FA4F1773-8CDF-4340-A3B7-D4596227F773}"/>
    <cellStyle name="Comma 7 2 2 4 2 7" xfId="50199" xr:uid="{8A3C9982-B4BA-41A8-908B-821B6EB0B34C}"/>
    <cellStyle name="Comma 7 2 2 4 2 8" xfId="53215" xr:uid="{E44E80F1-FF31-495F-AE80-B2D324984290}"/>
    <cellStyle name="Comma 7 2 2 4 2 9" xfId="18986" xr:uid="{88FD0AD6-428A-4637-892A-A00791F04CA0}"/>
    <cellStyle name="Comma 7 2 2 4 3" xfId="14685" xr:uid="{71B4C223-7CDF-4729-8CB5-7902CF2335AE}"/>
    <cellStyle name="Comma 7 2 2 4 3 2" xfId="22232" xr:uid="{AE96A74A-B94A-42C9-8B07-0E67E5622427}"/>
    <cellStyle name="Comma 7 2 2 4 3 3" xfId="32410" xr:uid="{0898D412-CD26-49C8-A09A-11BF9942EE3E}"/>
    <cellStyle name="Comma 7 2 2 4 3 4" xfId="51570" xr:uid="{5C5D3C49-2851-473B-879F-CC55C3DE697B}"/>
    <cellStyle name="Comma 7 2 2 4 3 5" xfId="54586" xr:uid="{B226D4D6-BDEC-46B5-8B4A-4292BA041677}"/>
    <cellStyle name="Comma 7 2 2 4 3 6" xfId="19094" xr:uid="{278A6806-ABB0-4943-A420-A04179CB4C8A}"/>
    <cellStyle name="Comma 7 2 2 4 4" xfId="15170" xr:uid="{8AAF54CB-A0EC-40FB-AAC4-43C04AD27B52}"/>
    <cellStyle name="Comma 7 2 2 4 4 2" xfId="22709" xr:uid="{DE1F4586-A069-4241-8A39-249469B2C1C2}"/>
    <cellStyle name="Comma 7 2 2 4 4 3" xfId="47936" xr:uid="{5640A8F6-E309-4EF5-BAA6-5D050A755C17}"/>
    <cellStyle name="Comma 7 2 2 4 4 4" xfId="52047" xr:uid="{76C50B14-EB5A-4D8F-B87A-40CA68DCE63F}"/>
    <cellStyle name="Comma 7 2 2 4 4 5" xfId="55063" xr:uid="{48C860C6-138F-400A-84C6-5D1CC201DB71}"/>
    <cellStyle name="Comma 7 2 2 4 4 6" xfId="19237" xr:uid="{CD513D78-EB99-4F60-BA7D-5F5124910479}"/>
    <cellStyle name="Comma 7 2 2 4 5" xfId="15657" xr:uid="{6B018D66-ECFC-4ADF-8F6F-5D811DC42C53}"/>
    <cellStyle name="Comma 7 2 2 4 5 2" xfId="23186" xr:uid="{22C1C26C-27A5-4AF7-84CD-7AFC7833D0A8}"/>
    <cellStyle name="Comma 7 2 2 4 5 3" xfId="46949" xr:uid="{C04676FA-2329-4667-AB83-FA80F648A53A}"/>
    <cellStyle name="Comma 7 2 2 4 5 4" xfId="52524" xr:uid="{B4F1F075-0BED-4B21-BE01-2CEB530B82B9}"/>
    <cellStyle name="Comma 7 2 2 4 5 5" xfId="55540" xr:uid="{2039AE46-A9A3-4513-A51D-4F077DBDA288}"/>
    <cellStyle name="Comma 7 2 2 4 5 6" xfId="19382" xr:uid="{AECA22AC-BC30-40C8-8B15-D01BF5011931}"/>
    <cellStyle name="Comma 7 2 2 4 6" xfId="12645" xr:uid="{F57388B9-B04F-4864-BC71-7954138FF75D}"/>
    <cellStyle name="Comma 7 2 2 4 6 2" xfId="48491" xr:uid="{E9467D5B-D778-4410-B6BF-A4C7A0992345}"/>
    <cellStyle name="Comma 7 2 2 4 6 3" xfId="51093" xr:uid="{A530520D-B83B-42C8-9039-733E38BD52F1}"/>
    <cellStyle name="Comma 7 2 2 4 6 4" xfId="54109" xr:uid="{3EC86D9F-1473-497C-AB4B-CA1C9AD43FF8}"/>
    <cellStyle name="Comma 7 2 2 4 6 5" xfId="21952" xr:uid="{AD614F3C-BF91-4E06-BD32-D7EED53C2F80}"/>
    <cellStyle name="Comma 7 2 2 4 7" xfId="24004" xr:uid="{8D9549F4-97BE-42F6-8FFA-F15A06AA8870}"/>
    <cellStyle name="Comma 7 2 2 4 8" xfId="49987" xr:uid="{E1E6B275-A7FD-41D6-8A5F-80D50728DBC0}"/>
    <cellStyle name="Comma 7 2 2 4 9" xfId="53003" xr:uid="{8333268B-9B0F-429B-A310-61E97A3ABE25}"/>
    <cellStyle name="Comma 7 2 2 5" xfId="10271" xr:uid="{0759457F-E7A0-45ED-A7EF-B6AAAFE8F5DC}"/>
    <cellStyle name="Comma 7 2 2 5 2" xfId="14738" xr:uid="{E2987464-AAFB-48CE-A07B-F8651DB5DD27}"/>
    <cellStyle name="Comma 7 2 2 5 2 2" xfId="22285" xr:uid="{7623261A-AAFC-470F-B5A8-F6CF2A8CAA3E}"/>
    <cellStyle name="Comma 7 2 2 5 2 3" xfId="48209" xr:uid="{A057A7F4-1699-4D4B-949F-023F042D31DD}"/>
    <cellStyle name="Comma 7 2 2 5 2 4" xfId="51623" xr:uid="{59590D8B-1345-423A-8CF1-71EF55EC7D08}"/>
    <cellStyle name="Comma 7 2 2 5 2 5" xfId="54639" xr:uid="{7B4EA619-F7EC-4765-B3D1-A1928E9B6AD9}"/>
    <cellStyle name="Comma 7 2 2 5 2 6" xfId="19109" xr:uid="{3628C936-C999-4169-A1B0-A12C126A0C11}"/>
    <cellStyle name="Comma 7 2 2 5 3" xfId="15223" xr:uid="{14F59E36-79D1-42A9-A79B-5BF31220AF6E}"/>
    <cellStyle name="Comma 7 2 2 5 3 2" xfId="22762" xr:uid="{63E9C4AA-3142-46ED-8017-0233F419E403}"/>
    <cellStyle name="Comma 7 2 2 5 3 3" xfId="46894" xr:uid="{903410A2-00E0-4CFA-84F8-23253BB2B547}"/>
    <cellStyle name="Comma 7 2 2 5 3 4" xfId="52100" xr:uid="{93178E53-085C-4B86-BFE0-32F1DC4CCDC8}"/>
    <cellStyle name="Comma 7 2 2 5 3 5" xfId="55116" xr:uid="{F70F054A-8444-4AC6-9443-3BED83CD8AFC}"/>
    <cellStyle name="Comma 7 2 2 5 3 6" xfId="19252" xr:uid="{D8C2763D-314D-4A7B-BD9A-CBCCB12F6891}"/>
    <cellStyle name="Comma 7 2 2 5 4" xfId="15710" xr:uid="{B68AD23D-72B5-44A0-8F31-B346B5F6D721}"/>
    <cellStyle name="Comma 7 2 2 5 4 2" xfId="23239" xr:uid="{C4E81523-F47F-46E6-90E8-9309E0DD6626}"/>
    <cellStyle name="Comma 7 2 2 5 4 3" xfId="24162" xr:uid="{87578AE5-E42E-40B3-80F6-AFEB6A5BE5C4}"/>
    <cellStyle name="Comma 7 2 2 5 4 4" xfId="52577" xr:uid="{C615EEA3-9881-4E97-96B8-0E4A5D9EA71B}"/>
    <cellStyle name="Comma 7 2 2 5 4 5" xfId="55593" xr:uid="{96DA100E-FE31-4969-B2E2-22C96C88D596}"/>
    <cellStyle name="Comma 7 2 2 5 4 6" xfId="19397" xr:uid="{B9215473-BF23-458C-8222-F21D761593D8}"/>
    <cellStyle name="Comma 7 2 2 5 5" xfId="12724" xr:uid="{64D2E433-F328-49B9-AC79-D5ED086D2DD8}"/>
    <cellStyle name="Comma 7 2 2 5 5 2" xfId="47019" xr:uid="{700CED4C-4C1A-4419-9278-2A7DB52712BE}"/>
    <cellStyle name="Comma 7 2 2 5 5 3" xfId="51146" xr:uid="{613C1966-A2D0-4F98-B75A-275ACE8E1A06}"/>
    <cellStyle name="Comma 7 2 2 5 5 4" xfId="54162" xr:uid="{0001BD39-5679-43E9-B920-0E42F98F7A0B}"/>
    <cellStyle name="Comma 7 2 2 5 5 5" xfId="21967" xr:uid="{075DCDA5-93F6-48F0-9996-DAE0700F4EDC}"/>
    <cellStyle name="Comma 7 2 2 5 6" xfId="47877" xr:uid="{5FB8120B-F828-4589-8E85-34CB0A64349D}"/>
    <cellStyle name="Comma 7 2 2 5 7" xfId="50040" xr:uid="{AEA4DF80-C759-4F68-8CB1-421338C7BD36}"/>
    <cellStyle name="Comma 7 2 2 5 8" xfId="53056" xr:uid="{F74A0E25-837D-4089-BBF4-AA489B0951EE}"/>
    <cellStyle name="Comma 7 2 2 5 9" xfId="18866" xr:uid="{D87DC7A7-8422-4DD3-9477-DF1DE69913D6}"/>
    <cellStyle name="Comma 7 2 2 6" xfId="10585" xr:uid="{9AF22860-06DB-48F6-AFE9-38DAFCEA5358}"/>
    <cellStyle name="Comma 7 2 2 6 2" xfId="14950" xr:uid="{0ECBCCD2-1A41-4991-BEF7-C228E28B0945}"/>
    <cellStyle name="Comma 7 2 2 6 2 2" xfId="22497" xr:uid="{64E02EB6-F26B-41FE-9BFD-2235E183B5FB}"/>
    <cellStyle name="Comma 7 2 2 6 2 3" xfId="47778" xr:uid="{B677FE54-9F1F-4891-A95C-B6F7583BE4A7}"/>
    <cellStyle name="Comma 7 2 2 6 2 4" xfId="51835" xr:uid="{A9792CDF-FBE0-4E7C-9960-0BA1889C1F25}"/>
    <cellStyle name="Comma 7 2 2 6 2 5" xfId="54851" xr:uid="{A2521F4A-B00D-42E2-9657-F7F59CC46154}"/>
    <cellStyle name="Comma 7 2 2 6 2 6" xfId="19169" xr:uid="{C05DC11B-A25E-4270-91CD-DDFBC0CCB167}"/>
    <cellStyle name="Comma 7 2 2 6 3" xfId="15435" xr:uid="{2106614F-7A10-4758-9FB6-E03E513B49B0}"/>
    <cellStyle name="Comma 7 2 2 6 3 2" xfId="22974" xr:uid="{A1918C11-7391-4786-AFA6-5E96C368BE5E}"/>
    <cellStyle name="Comma 7 2 2 6 3 3" xfId="47193" xr:uid="{29950754-4237-412E-AC82-24AA46D1A11C}"/>
    <cellStyle name="Comma 7 2 2 6 3 4" xfId="52312" xr:uid="{549D9F2D-5C6F-478E-9849-B1F0BD110524}"/>
    <cellStyle name="Comma 7 2 2 6 3 5" xfId="55328" xr:uid="{DA571EA9-66C4-4E24-987F-9D76D2F88F77}"/>
    <cellStyle name="Comma 7 2 2 6 3 6" xfId="19312" xr:uid="{33041401-A2AD-47B9-8C3E-762964238F45}"/>
    <cellStyle name="Comma 7 2 2 6 4" xfId="15923" xr:uid="{91A380FE-5968-46E4-A716-473EF4FAFF5B}"/>
    <cellStyle name="Comma 7 2 2 6 4 2" xfId="23451" xr:uid="{87E89D85-DB94-4C91-96EF-41A4A5316BD3}"/>
    <cellStyle name="Comma 7 2 2 6 4 3" xfId="33990" xr:uid="{D354C1C4-4342-4887-BBBE-D62EFD07BAA7}"/>
    <cellStyle name="Comma 7 2 2 6 4 4" xfId="52789" xr:uid="{1E540848-1C8A-4C06-BCF8-15CF904ECB6D}"/>
    <cellStyle name="Comma 7 2 2 6 4 5" xfId="55805" xr:uid="{DCD14776-D206-4882-8D45-3BECEDAA04A4}"/>
    <cellStyle name="Comma 7 2 2 6 4 6" xfId="19458" xr:uid="{DABC5539-F1B8-4C47-BF4F-A3F2CB7EBBC3}"/>
    <cellStyle name="Comma 7 2 2 6 5" xfId="13038" xr:uid="{5FC2EA89-BA11-460C-B131-82AF74657E8D}"/>
    <cellStyle name="Comma 7 2 2 6 5 2" xfId="47035" xr:uid="{600EE608-8151-4654-ADF4-4D495475A1D7}"/>
    <cellStyle name="Comma 7 2 2 6 5 3" xfId="51358" xr:uid="{0496B755-A5C4-4EDC-82CB-779173A9DA95}"/>
    <cellStyle name="Comma 7 2 2 6 5 4" xfId="54374" xr:uid="{68BA7A53-4B36-4FDA-AD18-FE002695163B}"/>
    <cellStyle name="Comma 7 2 2 6 5 5" xfId="22027" xr:uid="{369F1084-90A5-48BA-AC51-7518BC2BDF80}"/>
    <cellStyle name="Comma 7 2 2 6 6" xfId="24765" xr:uid="{FDF81A1F-DFF7-4107-B372-44609C58A65D}"/>
    <cellStyle name="Comma 7 2 2 6 7" xfId="50252" xr:uid="{98BCA570-32C0-42D3-81A2-3538717BF7A3}"/>
    <cellStyle name="Comma 7 2 2 6 8" xfId="53268" xr:uid="{4A0A7274-7CC5-47BD-A35B-A1132E236993}"/>
    <cellStyle name="Comma 7 2 2 6 9" xfId="19028" xr:uid="{73829E6B-301C-4EE0-919A-EECB2D6334AD}"/>
    <cellStyle name="Comma 7 2 2 7" xfId="14526" xr:uid="{41472848-5210-4EF8-9166-3E736C0F1F1F}"/>
    <cellStyle name="Comma 7 2 2 7 2" xfId="22073" xr:uid="{DB540E07-E11C-4065-9C6C-CFA6A24C41ED}"/>
    <cellStyle name="Comma 7 2 2 7 3" xfId="47924" xr:uid="{BA46033D-567B-4D10-A501-1EB0A8B33E91}"/>
    <cellStyle name="Comma 7 2 2 7 4" xfId="51411" xr:uid="{3399B709-51A9-4AF2-84F3-5AEC06934671}"/>
    <cellStyle name="Comma 7 2 2 7 5" xfId="54427" xr:uid="{2CED8CE1-3645-4977-9AC7-9C8E8F663870}"/>
    <cellStyle name="Comma 7 2 2 7 6" xfId="19049" xr:uid="{E27D4554-5DC4-417B-B7E1-ADCB5B1941BC}"/>
    <cellStyle name="Comma 7 2 2 8" xfId="15010" xr:uid="{643C8BEC-1BA5-43C4-9E3F-3AB84FFBF31D}"/>
    <cellStyle name="Comma 7 2 2 8 2" xfId="22550" xr:uid="{99F89591-73EC-442C-9F65-000A35422410}"/>
    <cellStyle name="Comma 7 2 2 8 3" xfId="32509" xr:uid="{79EBF673-D508-4462-9C52-5941DCE78270}"/>
    <cellStyle name="Comma 7 2 2 8 4" xfId="51888" xr:uid="{D203C826-109D-40FB-814D-06B5F789EA2E}"/>
    <cellStyle name="Comma 7 2 2 8 5" xfId="54904" xr:uid="{9C4CE3FF-42E6-4CC3-A98A-84DBE0957213}"/>
    <cellStyle name="Comma 7 2 2 8 6" xfId="19191" xr:uid="{0CF7428A-497C-482E-910B-1F3BCD432BA8}"/>
    <cellStyle name="Comma 7 2 2 9" xfId="15497" xr:uid="{6C11AC9C-A2DA-4845-9935-C4E94F48D51E}"/>
    <cellStyle name="Comma 7 2 2 9 2" xfId="23027" xr:uid="{CE53FE22-6980-4F40-9415-EBE0F412904C}"/>
    <cellStyle name="Comma 7 2 2 9 3" xfId="46927" xr:uid="{50A5ADDF-8A7E-41FF-A4E9-57B5EB658088}"/>
    <cellStyle name="Comma 7 2 2 9 4" xfId="52365" xr:uid="{9F2A7A68-5460-4E41-91EC-6BFA14838C0D}"/>
    <cellStyle name="Comma 7 2 2 9 5" xfId="55381" xr:uid="{38E6F906-D7BD-4E55-85B9-E0CA2B60A3E2}"/>
    <cellStyle name="Comma 7 2 2 9 6" xfId="19336" xr:uid="{A02EEC4C-C093-48BE-A4C3-0CBFC42DACAE}"/>
    <cellStyle name="Comma 7 2 3" xfId="10037" xr:uid="{EDAC0BA2-8DF2-41E7-B564-925153BB3F59}"/>
    <cellStyle name="Comma 7 2 3 10" xfId="49581" xr:uid="{A06C92B5-D36F-486E-9C5D-8231B03826F7}"/>
    <cellStyle name="Comma 7 2 3 11" xfId="49880" xr:uid="{6313612F-8F32-4251-B498-890048072C1B}"/>
    <cellStyle name="Comma 7 2 3 12" xfId="52896" xr:uid="{312C8D52-5278-4ECC-9743-F6F666E6C080}"/>
    <cellStyle name="Comma 7 2 3 13" xfId="18753" xr:uid="{EBF106D5-9B80-44F7-A5B5-F2AEEBB2F12D}"/>
    <cellStyle name="Comma 7 2 3 2" xfId="10345" xr:uid="{AAAA12CD-3F31-4BE8-8C29-63494226D257}"/>
    <cellStyle name="Comma 7 2 3 2 2" xfId="14790" xr:uid="{19532521-7823-4E07-AD3A-C432C5BCC98D}"/>
    <cellStyle name="Comma 7 2 3 2 2 2" xfId="22337" xr:uid="{02CCF6A2-F475-46D7-ACAE-B0EDB5A2550B}"/>
    <cellStyle name="Comma 7 2 3 2 2 3" xfId="24949" xr:uid="{5995805E-440D-444D-945E-A237426FCD68}"/>
    <cellStyle name="Comma 7 2 3 2 2 4" xfId="51675" xr:uid="{631BBD58-7D82-4B52-A20A-52E510DB5BDA}"/>
    <cellStyle name="Comma 7 2 3 2 2 5" xfId="54691" xr:uid="{5EFE5C6B-F748-41A2-B730-0E73585BA8AD}"/>
    <cellStyle name="Comma 7 2 3 2 2 6" xfId="19123" xr:uid="{D79B7217-47CA-405F-B58D-23735A406719}"/>
    <cellStyle name="Comma 7 2 3 2 3" xfId="15275" xr:uid="{970D3BA8-E1E9-4C56-A8F5-CD5BC7894CC9}"/>
    <cellStyle name="Comma 7 2 3 2 3 2" xfId="22814" xr:uid="{8DC923C4-ECF1-4C05-9611-F7E293B2DC00}"/>
    <cellStyle name="Comma 7 2 3 2 3 3" xfId="46507" xr:uid="{76FEC331-7351-4996-9DE6-EEA4EA4BBBAE}"/>
    <cellStyle name="Comma 7 2 3 2 3 4" xfId="52152" xr:uid="{E598C606-E250-4D78-9EE6-325B28BE707B}"/>
    <cellStyle name="Comma 7 2 3 2 3 5" xfId="55168" xr:uid="{0963A074-75D8-48B9-BD8C-4BFA92C3A040}"/>
    <cellStyle name="Comma 7 2 3 2 3 6" xfId="19266" xr:uid="{8FB63018-DCCB-44F1-AE9F-5995E6C79DE8}"/>
    <cellStyle name="Comma 7 2 3 2 4" xfId="15762" xr:uid="{41F77561-DA3F-477A-B851-EAB64DCAE1EC}"/>
    <cellStyle name="Comma 7 2 3 2 4 2" xfId="23291" xr:uid="{F6E5DB1B-0B17-41A5-B63D-A6EF9287CB80}"/>
    <cellStyle name="Comma 7 2 3 2 4 3" xfId="46581" xr:uid="{767FC574-E1DE-414A-A5DC-79208FEAF203}"/>
    <cellStyle name="Comma 7 2 3 2 4 4" xfId="52629" xr:uid="{267D58AA-CB4B-423F-9795-77CC9D517D3B}"/>
    <cellStyle name="Comma 7 2 3 2 4 5" xfId="55645" xr:uid="{63624EF1-B99F-4A15-896D-C7EE59DE60EE}"/>
    <cellStyle name="Comma 7 2 3 2 4 6" xfId="19411" xr:uid="{E49487A0-F224-4FCD-A211-88D2E7790A67}"/>
    <cellStyle name="Comma 7 2 3 2 5" xfId="12798" xr:uid="{050E8902-A702-460C-B25E-5476CC9FE7F7}"/>
    <cellStyle name="Comma 7 2 3 2 5 2" xfId="25054" xr:uid="{9CED7D05-D7C3-4AC6-8BED-BB82846EF680}"/>
    <cellStyle name="Comma 7 2 3 2 5 3" xfId="51198" xr:uid="{FD4AACA4-FF61-4E6A-A032-1D8CFDCACA44}"/>
    <cellStyle name="Comma 7 2 3 2 5 4" xfId="54214" xr:uid="{B1FABB64-0CE3-4CA0-870B-B1E29A09583E}"/>
    <cellStyle name="Comma 7 2 3 2 5 5" xfId="21981" xr:uid="{C7B767F6-FF3B-43AD-8BC2-8621B71B0FA9}"/>
    <cellStyle name="Comma 7 2 3 2 6" xfId="46093" xr:uid="{D71FAE51-93E1-44DD-BE5F-148EAFF9C678}"/>
    <cellStyle name="Comma 7 2 3 2 7" xfId="50092" xr:uid="{6551431C-76D5-4E74-9F50-4CD75332585F}"/>
    <cellStyle name="Comma 7 2 3 2 8" xfId="53108" xr:uid="{9EF4F559-7B9E-42C2-BB4D-DDF0DB9DFBAA}"/>
    <cellStyle name="Comma 7 2 3 2 9" xfId="18902" xr:uid="{91638DDC-D99E-491B-AF68-B21A25A336A9}"/>
    <cellStyle name="Comma 7 2 3 3" xfId="14578" xr:uid="{D11492A8-BBB2-4DF6-B0BE-A9896094BA29}"/>
    <cellStyle name="Comma 7 2 3 3 2" xfId="22125" xr:uid="{DCE04429-9088-4B23-9A8D-E2F819EF4F85}"/>
    <cellStyle name="Comma 7 2 3 3 3" xfId="47925" xr:uid="{2BA41897-C4BB-433C-87C5-779D3AA24E02}"/>
    <cellStyle name="Comma 7 2 3 3 4" xfId="51463" xr:uid="{C235C18E-C893-43EC-A968-0C5142278BF8}"/>
    <cellStyle name="Comma 7 2 3 3 5" xfId="54479" xr:uid="{3AF9E28A-B119-44DD-8452-6C8C08D57A32}"/>
    <cellStyle name="Comma 7 2 3 3 6" xfId="19063" xr:uid="{89E01F2A-6D75-4B34-AB62-5B64F6CA4860}"/>
    <cellStyle name="Comma 7 2 3 4" xfId="15062" xr:uid="{97ECC998-43AC-41C8-B02A-448A3629F97D}"/>
    <cellStyle name="Comma 7 2 3 4 2" xfId="22602" xr:uid="{87C55F82-BEB8-4CCE-B6AD-C7EED05EDE23}"/>
    <cellStyle name="Comma 7 2 3 4 3" xfId="48549" xr:uid="{5663B7AF-E13E-4D72-B248-06C994E30960}"/>
    <cellStyle name="Comma 7 2 3 4 4" xfId="51940" xr:uid="{0B09B769-D794-4546-AFCC-343FA93ABD30}"/>
    <cellStyle name="Comma 7 2 3 4 5" xfId="54956" xr:uid="{E1D151A9-7660-419E-8E25-534DAF8C22EF}"/>
    <cellStyle name="Comma 7 2 3 4 6" xfId="19205" xr:uid="{DEB2B427-284B-4826-B8D3-0ACAA289A287}"/>
    <cellStyle name="Comma 7 2 3 5" xfId="15549" xr:uid="{D5790444-13F4-48F6-8BBD-7A58B9B3B5B6}"/>
    <cellStyle name="Comma 7 2 3 5 2" xfId="23079" xr:uid="{C9419385-5257-4EA5-BF2E-84A29B2DE739}"/>
    <cellStyle name="Comma 7 2 3 5 3" xfId="46549" xr:uid="{AA153663-98FB-419B-A2A4-B86A8BD29BD9}"/>
    <cellStyle name="Comma 7 2 3 5 4" xfId="52417" xr:uid="{36EBB0C9-E0B5-4A32-88A5-4AAA69E13915}"/>
    <cellStyle name="Comma 7 2 3 5 5" xfId="55433" xr:uid="{17D37487-1F3B-41FE-9080-F34C46BAEA87}"/>
    <cellStyle name="Comma 7 2 3 5 6" xfId="19350" xr:uid="{E6C7E434-735E-458A-A18A-FCFA2D806921}"/>
    <cellStyle name="Comma 7 2 3 6" xfId="12497" xr:uid="{5B4E1E8A-8234-49AB-90C5-E83F43803C1E}"/>
    <cellStyle name="Comma 7 2 3 6 2" xfId="47914" xr:uid="{6F177343-CD2C-453B-9B97-ED84DE928799}"/>
    <cellStyle name="Comma 7 2 3 6 3" xfId="50986" xr:uid="{57EB2A22-229E-4F15-9341-B6F9936A2287}"/>
    <cellStyle name="Comma 7 2 3 6 4" xfId="54002" xr:uid="{6243B62B-34E3-442E-A880-41F070091E75}"/>
    <cellStyle name="Comma 7 2 3 6 5" xfId="21920" xr:uid="{0D3A8CC8-AA8E-426A-B7E5-22996C60D068}"/>
    <cellStyle name="Comma 7 2 3 7" xfId="23802" xr:uid="{2018C2C0-D6D4-49C4-9CB1-71BA87B4117D}"/>
    <cellStyle name="Comma 7 2 3 8" xfId="48087" xr:uid="{07D14F0B-5ECD-4184-9C1D-5791AEF69018}"/>
    <cellStyle name="Comma 7 2 3 9" xfId="48673" xr:uid="{7430AFB3-095D-4B50-80EC-D3D8699A8832}"/>
    <cellStyle name="Comma 7 2 4" xfId="10111" xr:uid="{BBFC8DDB-2E2C-40D6-9268-DAA2B7E3E8B1}"/>
    <cellStyle name="Comma 7 2 4 10" xfId="18786" xr:uid="{B58A18A1-3914-4B96-A611-A6DECB62C7AD}"/>
    <cellStyle name="Comma 7 2 4 2" xfId="10424" xr:uid="{86B6E211-8A83-4853-B693-4291BABEE9E7}"/>
    <cellStyle name="Comma 7 2 4 2 2" xfId="14843" xr:uid="{15189E8A-5D03-494F-8D51-35D3C744F52C}"/>
    <cellStyle name="Comma 7 2 4 2 2 2" xfId="22390" xr:uid="{5EE9D28B-1534-462C-B9B1-41F983974DBE}"/>
    <cellStyle name="Comma 7 2 4 2 2 3" xfId="47336" xr:uid="{069B67E1-EDEA-44D8-96F8-24E3B2B43B77}"/>
    <cellStyle name="Comma 7 2 4 2 2 4" xfId="51728" xr:uid="{1C733717-0EE9-4CEB-91EE-B59CCC1A8DB3}"/>
    <cellStyle name="Comma 7 2 4 2 2 5" xfId="54744" xr:uid="{F51F206C-EB65-46F6-9446-687AEE128C63}"/>
    <cellStyle name="Comma 7 2 4 2 2 6" xfId="19138" xr:uid="{2ECC0FB9-CB98-4DF7-86F7-F2ED185AB986}"/>
    <cellStyle name="Comma 7 2 4 2 3" xfId="15328" xr:uid="{30D11ACE-69F2-4EC5-AE8A-BDE3CF3D9D67}"/>
    <cellStyle name="Comma 7 2 4 2 3 2" xfId="22867" xr:uid="{A3C7C5BF-C068-4576-A584-4B342D7FD6C2}"/>
    <cellStyle name="Comma 7 2 4 2 3 3" xfId="47153" xr:uid="{A0D11710-4FBA-4D60-AB0F-B6BC079871E4}"/>
    <cellStyle name="Comma 7 2 4 2 3 4" xfId="52205" xr:uid="{306F309F-19C3-4A3A-8F2D-C54BF9AC2F61}"/>
    <cellStyle name="Comma 7 2 4 2 3 5" xfId="55221" xr:uid="{4FB7FAAC-32EF-41BA-80F0-C5C876E041C6}"/>
    <cellStyle name="Comma 7 2 4 2 3 6" xfId="19281" xr:uid="{F1085AE0-63AD-47CD-9DD6-3E66E37337D2}"/>
    <cellStyle name="Comma 7 2 4 2 4" xfId="15815" xr:uid="{39789BD2-508C-43E7-B11F-DB8A1E4261F4}"/>
    <cellStyle name="Comma 7 2 4 2 4 2" xfId="23344" xr:uid="{62D20452-427F-4B45-92DC-D4DA87EB398D}"/>
    <cellStyle name="Comma 7 2 4 2 4 3" xfId="48371" xr:uid="{8F72E39E-AB41-431F-824D-4EE8AD437752}"/>
    <cellStyle name="Comma 7 2 4 2 4 4" xfId="52682" xr:uid="{ED85FD00-5B5E-4DB3-B269-6E057FBC998E}"/>
    <cellStyle name="Comma 7 2 4 2 4 5" xfId="55698" xr:uid="{12A5E368-7461-497F-9899-9DD26AD31DA5}"/>
    <cellStyle name="Comma 7 2 4 2 4 6" xfId="19426" xr:uid="{C7519C83-A7BE-4E1F-BF01-590229854528}"/>
    <cellStyle name="Comma 7 2 4 2 5" xfId="12877" xr:uid="{00A07775-7DAA-44F9-9EAA-A0E6520736A2}"/>
    <cellStyle name="Comma 7 2 4 2 5 2" xfId="46365" xr:uid="{2FD227F3-30E8-4128-9192-52CD36ACB6ED}"/>
    <cellStyle name="Comma 7 2 4 2 5 3" xfId="51251" xr:uid="{D33F1875-4ADC-44C7-B0F5-658C98714314}"/>
    <cellStyle name="Comma 7 2 4 2 5 4" xfId="54267" xr:uid="{7E6C9C19-6A1D-4F4B-997E-ADAAE5000F1C}"/>
    <cellStyle name="Comma 7 2 4 2 5 5" xfId="21996" xr:uid="{A1E0BA6D-4E66-4E96-BC80-0F4ABCE85792}"/>
    <cellStyle name="Comma 7 2 4 2 6" xfId="47585" xr:uid="{AD92A2E1-FCAE-46A2-A50A-91EA87E62981}"/>
    <cellStyle name="Comma 7 2 4 2 7" xfId="50145" xr:uid="{83A72E4F-E83D-4F94-A4C2-AC4C64B77EE9}"/>
    <cellStyle name="Comma 7 2 4 2 8" xfId="53161" xr:uid="{769259B2-4BF8-4FD9-AD8B-007B14E3CF58}"/>
    <cellStyle name="Comma 7 2 4 2 9" xfId="18943" xr:uid="{9E5CB217-3E7F-48F5-9084-DAE8C21A5C90}"/>
    <cellStyle name="Comma 7 2 4 3" xfId="14631" xr:uid="{4DAD2B5C-3CBF-4A57-9BC2-19FF61ECF20D}"/>
    <cellStyle name="Comma 7 2 4 3 2" xfId="22178" xr:uid="{9514C1E9-34F3-4A5D-9ACA-011171F45A1E}"/>
    <cellStyle name="Comma 7 2 4 3 3" xfId="47829" xr:uid="{D3E1CC15-07AB-4444-BB5B-09AD09163439}"/>
    <cellStyle name="Comma 7 2 4 3 4" xfId="51516" xr:uid="{2DD1FEFC-6ECB-4515-9D0C-28B1E61F5142}"/>
    <cellStyle name="Comma 7 2 4 3 5" xfId="54532" xr:uid="{BC427647-DC62-4F48-A7E9-467A1652E4DA}"/>
    <cellStyle name="Comma 7 2 4 3 6" xfId="19078" xr:uid="{47C3B390-6E4C-4225-8BC3-F40F5F45B887}"/>
    <cellStyle name="Comma 7 2 4 4" xfId="15116" xr:uid="{00731319-0643-4005-A6A1-DFFC78D5D36A}"/>
    <cellStyle name="Comma 7 2 4 4 2" xfId="22655" xr:uid="{CB99D408-FF44-4CF3-9EF5-6EC3DF9EE366}"/>
    <cellStyle name="Comma 7 2 4 4 3" xfId="48358" xr:uid="{670F9333-99E9-48A5-9BF1-00B3DAE16239}"/>
    <cellStyle name="Comma 7 2 4 4 4" xfId="51993" xr:uid="{1BC1C07D-6121-4470-AE25-1BCD6198B423}"/>
    <cellStyle name="Comma 7 2 4 4 5" xfId="55009" xr:uid="{0EA58DB9-36ED-47AD-96E0-2E9B05C38F03}"/>
    <cellStyle name="Comma 7 2 4 4 6" xfId="19221" xr:uid="{96665515-0188-4EBE-B04E-F5BDCE585A9D}"/>
    <cellStyle name="Comma 7 2 4 5" xfId="15603" xr:uid="{5D8C2111-EB3D-4E03-91DC-560C7F2A7175}"/>
    <cellStyle name="Comma 7 2 4 5 2" xfId="23132" xr:uid="{D5D4F8F4-8EFE-44AE-9AAF-516C60418479}"/>
    <cellStyle name="Comma 7 2 4 5 3" xfId="47864" xr:uid="{9F69EA9F-4D28-4A23-BC8F-374A7C58E511}"/>
    <cellStyle name="Comma 7 2 4 5 4" xfId="52470" xr:uid="{8FC9E64E-2E34-43F7-A8F0-2B06D938C8BA}"/>
    <cellStyle name="Comma 7 2 4 5 5" xfId="55486" xr:uid="{212EEC72-3C85-4DF5-BD38-F3F2A7F1577C}"/>
    <cellStyle name="Comma 7 2 4 5 6" xfId="19366" xr:uid="{251700BD-2C55-41AF-891F-9D28A3E90CD1}"/>
    <cellStyle name="Comma 7 2 4 6" xfId="12568" xr:uid="{C2E4CC96-FA9F-4747-8782-E7A211E3A76D}"/>
    <cellStyle name="Comma 7 2 4 6 2" xfId="25075" xr:uid="{AD350CE7-515B-4F77-B964-D807C9ED9E66}"/>
    <cellStyle name="Comma 7 2 4 6 3" xfId="51039" xr:uid="{25F70CFB-7620-4779-98F2-62C920A3900C}"/>
    <cellStyle name="Comma 7 2 4 6 4" xfId="54055" xr:uid="{41C9D863-3DE4-45DA-92F7-9A04EDCA7F53}"/>
    <cellStyle name="Comma 7 2 4 6 5" xfId="21936" xr:uid="{3E6A9B95-5AB7-436A-AE9B-D1DFB7267268}"/>
    <cellStyle name="Comma 7 2 4 7" xfId="46051" xr:uid="{FBDC20E3-B069-4755-B6DE-89198AF9DC79}"/>
    <cellStyle name="Comma 7 2 4 8" xfId="49933" xr:uid="{7E71BC37-7012-40DF-BAC1-D5B6F3D6DD12}"/>
    <cellStyle name="Comma 7 2 4 9" xfId="52949" xr:uid="{D4315D1A-DB4E-4DF7-B6EB-0CDAF8C1A8BE}"/>
    <cellStyle name="Comma 7 2 5" xfId="10190" xr:uid="{3C44AAB5-DD69-4C83-ADAA-4CDE08EE75FF}"/>
    <cellStyle name="Comma 7 2 5 10" xfId="18824" xr:uid="{010438F6-B6F8-4DDA-A530-B78FA973D5C4}"/>
    <cellStyle name="Comma 7 2 5 2" xfId="10504" xr:uid="{552A56BA-608D-4978-A9C3-4596351DC23B}"/>
    <cellStyle name="Comma 7 2 5 2 2" xfId="14896" xr:uid="{1BEBE06E-848D-4DFE-B8ED-6BCACDEC1FCC}"/>
    <cellStyle name="Comma 7 2 5 2 2 2" xfId="22443" xr:uid="{FC394457-C0D8-4605-A40C-483374EA0BCB}"/>
    <cellStyle name="Comma 7 2 5 2 2 3" xfId="47337" xr:uid="{018E6449-E605-466A-9D5C-6F37828415E3}"/>
    <cellStyle name="Comma 7 2 5 2 2 4" xfId="51781" xr:uid="{725A674F-C376-407A-9D49-7DFB919616F0}"/>
    <cellStyle name="Comma 7 2 5 2 2 5" xfId="54797" xr:uid="{95FE89F9-7FF7-4F8B-A194-74374940238B}"/>
    <cellStyle name="Comma 7 2 5 2 2 6" xfId="19153" xr:uid="{22782128-996F-4EDA-BF6B-B637F4EF777F}"/>
    <cellStyle name="Comma 7 2 5 2 3" xfId="15381" xr:uid="{2085037B-2071-4914-991B-3E45A37D4FA1}"/>
    <cellStyle name="Comma 7 2 5 2 3 2" xfId="22920" xr:uid="{33CE3C7D-1623-496D-B621-2DE63E5F115B}"/>
    <cellStyle name="Comma 7 2 5 2 3 3" xfId="47723" xr:uid="{10BAB97A-1A42-4E30-A347-F2EBCCAC54C2}"/>
    <cellStyle name="Comma 7 2 5 2 3 4" xfId="52258" xr:uid="{E964C97F-483F-4D9D-9455-9C93C85F83FC}"/>
    <cellStyle name="Comma 7 2 5 2 3 5" xfId="55274" xr:uid="{00F4CD77-07E7-4027-8D4F-02C929BDD524}"/>
    <cellStyle name="Comma 7 2 5 2 3 6" xfId="19296" xr:uid="{4757B92A-DAE2-4B79-BCD7-48A9F6E9D94B}"/>
    <cellStyle name="Comma 7 2 5 2 4" xfId="15868" xr:uid="{7CEE8030-CD57-49C0-91EE-B1F1E8D5FA72}"/>
    <cellStyle name="Comma 7 2 5 2 4 2" xfId="23397" xr:uid="{A5A0DC24-676C-4798-AF42-F814B338DCCA}"/>
    <cellStyle name="Comma 7 2 5 2 4 3" xfId="48312" xr:uid="{97DDC876-67A9-4AC9-83B0-74BCDDF2966B}"/>
    <cellStyle name="Comma 7 2 5 2 4 4" xfId="52735" xr:uid="{34B5FC94-78E4-4E0F-98ED-3D7887B3CD93}"/>
    <cellStyle name="Comma 7 2 5 2 4 5" xfId="55751" xr:uid="{D310C00D-37B4-4754-97CD-8CCFB580EEE8}"/>
    <cellStyle name="Comma 7 2 5 2 4 6" xfId="19441" xr:uid="{69D88397-E200-4A74-874B-0ED81E033A4E}"/>
    <cellStyle name="Comma 7 2 5 2 5" xfId="12957" xr:uid="{5DD5A2F6-4A70-4379-915C-9D0D870F9E17}"/>
    <cellStyle name="Comma 7 2 5 2 5 2" xfId="32310" xr:uid="{377285F5-6E47-460C-B3EB-2DA3655ED223}"/>
    <cellStyle name="Comma 7 2 5 2 5 3" xfId="51304" xr:uid="{11F83FF0-0FF3-4F83-961B-71B618DAA696}"/>
    <cellStyle name="Comma 7 2 5 2 5 4" xfId="54320" xr:uid="{07CD6226-2FB0-4D0D-A034-7A06824EB54A}"/>
    <cellStyle name="Comma 7 2 5 2 5 5" xfId="22011" xr:uid="{3C1256FC-BD67-44F5-B96D-D05E47567B23}"/>
    <cellStyle name="Comma 7 2 5 2 6" xfId="46140" xr:uid="{AD8BE06F-CF33-4D50-A9D8-9E107950B609}"/>
    <cellStyle name="Comma 7 2 5 2 7" xfId="50198" xr:uid="{70692415-6C70-4E82-9059-176114D64B38}"/>
    <cellStyle name="Comma 7 2 5 2 8" xfId="53214" xr:uid="{1C5C6023-8A17-4EC0-A223-160A07706DFA}"/>
    <cellStyle name="Comma 7 2 5 2 9" xfId="18985" xr:uid="{E6F05C8B-A5D7-4FBD-866D-688029963F66}"/>
    <cellStyle name="Comma 7 2 5 3" xfId="14684" xr:uid="{1A997AFD-7289-4B7B-ABC1-18B63C12E9B9}"/>
    <cellStyle name="Comma 7 2 5 3 2" xfId="22231" xr:uid="{59788F4D-7DF7-47C8-8341-64070438C2B4}"/>
    <cellStyle name="Comma 7 2 5 3 3" xfId="46417" xr:uid="{862E7DC7-821E-436B-A45B-FCC766BB8158}"/>
    <cellStyle name="Comma 7 2 5 3 4" xfId="51569" xr:uid="{A5C81BD7-ED42-4B22-BBC9-F5DC19EB7B91}"/>
    <cellStyle name="Comma 7 2 5 3 5" xfId="54585" xr:uid="{3390B2A0-E334-4C8D-B422-BC73EBC05195}"/>
    <cellStyle name="Comma 7 2 5 3 6" xfId="19093" xr:uid="{2A18B973-51FB-4757-81DF-3A4A32479D96}"/>
    <cellStyle name="Comma 7 2 5 4" xfId="15169" xr:uid="{F91838CD-839D-4BA0-8831-650AA8305900}"/>
    <cellStyle name="Comma 7 2 5 4 2" xfId="22708" xr:uid="{8C1214D5-6D2C-4FDE-A935-0B4FD87B228B}"/>
    <cellStyle name="Comma 7 2 5 4 3" xfId="47980" xr:uid="{CCFB87AB-AD71-4E16-B5F7-63DDE28B6FA2}"/>
    <cellStyle name="Comma 7 2 5 4 4" xfId="52046" xr:uid="{F45E3F67-7E63-4CBA-93A7-872DF56D9053}"/>
    <cellStyle name="Comma 7 2 5 4 5" xfId="55062" xr:uid="{2E6699B9-6580-41BC-A3F6-3CF81E1EE8BB}"/>
    <cellStyle name="Comma 7 2 5 4 6" xfId="19236" xr:uid="{EB205606-00E4-4DE5-B370-C82EC32B8B70}"/>
    <cellStyle name="Comma 7 2 5 5" xfId="15656" xr:uid="{8BDB6BC9-35C5-4B66-B961-D6AD9208FB77}"/>
    <cellStyle name="Comma 7 2 5 5 2" xfId="23185" xr:uid="{9DE8CD74-2D9A-43D4-B63D-E29A38713AAF}"/>
    <cellStyle name="Comma 7 2 5 5 3" xfId="47551" xr:uid="{88E2EFE6-BCD2-4F97-830D-D4E00C094EE9}"/>
    <cellStyle name="Comma 7 2 5 5 4" xfId="52523" xr:uid="{2F10D6F2-16D0-4E1C-847E-9D3564462A01}"/>
    <cellStyle name="Comma 7 2 5 5 5" xfId="55539" xr:uid="{B5D8215C-6605-4661-BC20-ECB6CF9A9DCA}"/>
    <cellStyle name="Comma 7 2 5 5 6" xfId="19381" xr:uid="{523EA2BF-6D0B-4E57-AE59-74B05F8E325E}"/>
    <cellStyle name="Comma 7 2 5 6" xfId="12644" xr:uid="{A5369DDA-353E-4F55-8D20-A674808BCFB1}"/>
    <cellStyle name="Comma 7 2 5 6 2" xfId="47468" xr:uid="{5CAA927F-C1C0-4D40-98D6-38D662D2A415}"/>
    <cellStyle name="Comma 7 2 5 6 3" xfId="51092" xr:uid="{987EBABC-21A4-4F3C-8997-5B6705CDA748}"/>
    <cellStyle name="Comma 7 2 5 6 4" xfId="54108" xr:uid="{F151ABB6-025C-4F8B-A344-7C65A0C52BC0}"/>
    <cellStyle name="Comma 7 2 5 6 5" xfId="21951" xr:uid="{E545EACC-8554-4A3E-B1F7-0AE9D3E5E201}"/>
    <cellStyle name="Comma 7 2 5 7" xfId="47700" xr:uid="{648A71EA-52CF-422D-8EF5-ED271027B715}"/>
    <cellStyle name="Comma 7 2 5 8" xfId="49986" xr:uid="{52DD4249-42D8-498B-B7C5-5BCBB78353ED}"/>
    <cellStyle name="Comma 7 2 5 9" xfId="53002" xr:uid="{8B75BE11-A886-42BA-BB5A-609D98D2363C}"/>
    <cellStyle name="Comma 7 2 6" xfId="10270" xr:uid="{D54AD388-9AFA-45A6-85F7-A54030927CD1}"/>
    <cellStyle name="Comma 7 2 6 2" xfId="14737" xr:uid="{1205C72F-F724-4BE6-9919-BD21878ECE8F}"/>
    <cellStyle name="Comma 7 2 6 2 2" xfId="22284" xr:uid="{9FD2E44C-9DE4-4FB6-8DAE-043242BE7160}"/>
    <cellStyle name="Comma 7 2 6 2 3" xfId="24667" xr:uid="{E9F043C2-A250-46E1-AE5D-F11963ACFA08}"/>
    <cellStyle name="Comma 7 2 6 2 4" xfId="51622" xr:uid="{A2AB2BDB-8138-435F-98FD-094BA1504B47}"/>
    <cellStyle name="Comma 7 2 6 2 5" xfId="54638" xr:uid="{72A52BC3-0829-4637-AA2B-47959163C5B1}"/>
    <cellStyle name="Comma 7 2 6 2 6" xfId="19108" xr:uid="{43CF4816-C3E5-4480-9D28-77680F26C5BD}"/>
    <cellStyle name="Comma 7 2 6 3" xfId="15222" xr:uid="{0E5FDDD0-517A-426D-AC9F-7170CC2DDB93}"/>
    <cellStyle name="Comma 7 2 6 3 2" xfId="22761" xr:uid="{E67AED7B-7AC0-4282-8D4A-FC32DD0E2C40}"/>
    <cellStyle name="Comma 7 2 6 3 3" xfId="33361" xr:uid="{B63CFA3E-A3B6-4884-BD01-805C0B5AE3FA}"/>
    <cellStyle name="Comma 7 2 6 3 4" xfId="52099" xr:uid="{0E2D9553-BDB1-49ED-A2AD-4434C31A7D66}"/>
    <cellStyle name="Comma 7 2 6 3 5" xfId="55115" xr:uid="{7D7B2C49-7457-45FE-A8BC-BFCDD51A7AB0}"/>
    <cellStyle name="Comma 7 2 6 3 6" xfId="19251" xr:uid="{BF16B985-4C8A-46A9-BBE9-49F7A97FBE08}"/>
    <cellStyle name="Comma 7 2 6 4" xfId="15709" xr:uid="{87652A2E-0AA0-445E-B772-3E302E304544}"/>
    <cellStyle name="Comma 7 2 6 4 2" xfId="23238" xr:uid="{49F51294-5717-4E81-AE4C-6B5A18936B44}"/>
    <cellStyle name="Comma 7 2 6 4 3" xfId="47199" xr:uid="{3F633BEE-C991-40FC-AA21-2170596454DD}"/>
    <cellStyle name="Comma 7 2 6 4 4" xfId="52576" xr:uid="{6C8ADBA0-D895-4776-B1FC-7C98FD0C1ADE}"/>
    <cellStyle name="Comma 7 2 6 4 5" xfId="55592" xr:uid="{80EF63D9-00A9-43FE-A31E-2F3FD4FB2090}"/>
    <cellStyle name="Comma 7 2 6 4 6" xfId="19396" xr:uid="{A2C3C8C0-7446-4A72-8ABF-B222D10AA6BB}"/>
    <cellStyle name="Comma 7 2 6 5" xfId="12723" xr:uid="{2422063C-AB25-40BF-9B92-14A52E60F310}"/>
    <cellStyle name="Comma 7 2 6 5 2" xfId="46346" xr:uid="{CFE439B9-9097-4D3F-80AF-E068863DAE9F}"/>
    <cellStyle name="Comma 7 2 6 5 3" xfId="51145" xr:uid="{173CC878-6B6E-4737-AE4C-578DA16DDFD9}"/>
    <cellStyle name="Comma 7 2 6 5 4" xfId="54161" xr:uid="{4FB4019B-5374-4400-B711-96A89B9C7041}"/>
    <cellStyle name="Comma 7 2 6 5 5" xfId="21966" xr:uid="{B2AB15BD-C737-4FE6-AD07-E51C3048E0C9}"/>
    <cellStyle name="Comma 7 2 6 6" xfId="46078" xr:uid="{10DB647B-E2FD-46B3-A14B-EC20881296A5}"/>
    <cellStyle name="Comma 7 2 6 7" xfId="50039" xr:uid="{9A85E188-58FF-4B3D-9AA7-245BD9CA0352}"/>
    <cellStyle name="Comma 7 2 6 8" xfId="53055" xr:uid="{755A05E2-5BF1-4171-8B5A-B3E3BFD42596}"/>
    <cellStyle name="Comma 7 2 6 9" xfId="18865" xr:uid="{7CA1AB62-F5C7-4550-8E22-E4C1A387D510}"/>
    <cellStyle name="Comma 7 2 7" xfId="10584" xr:uid="{34CE1AFA-F8CF-4804-A448-929C8DAA30D5}"/>
    <cellStyle name="Comma 7 2 7 2" xfId="14949" xr:uid="{609DA48B-132E-42FF-8918-7296B8C1D781}"/>
    <cellStyle name="Comma 7 2 7 2 2" xfId="22496" xr:uid="{F98C9522-E988-4A3F-A6E4-8364B4B9F296}"/>
    <cellStyle name="Comma 7 2 7 2 3" xfId="32519" xr:uid="{82690535-435E-41BD-B59B-0BFD530CCC90}"/>
    <cellStyle name="Comma 7 2 7 2 4" xfId="51834" xr:uid="{185C2D70-E480-4EBD-8431-90376A5FBEB7}"/>
    <cellStyle name="Comma 7 2 7 2 5" xfId="54850" xr:uid="{3AE55E0E-65DB-40E0-9EF6-39A5C276EE71}"/>
    <cellStyle name="Comma 7 2 7 2 6" xfId="19168" xr:uid="{5AE2D99E-D351-4856-ACB1-07E7F6CD67DE}"/>
    <cellStyle name="Comma 7 2 7 3" xfId="15434" xr:uid="{A3221ED7-BD40-4445-BB25-644BFC6F2433}"/>
    <cellStyle name="Comma 7 2 7 3 2" xfId="22973" xr:uid="{08672A7C-EAA2-4BFD-AD45-A155AC867D16}"/>
    <cellStyle name="Comma 7 2 7 3 3" xfId="46921" xr:uid="{9B3F32B8-5B2C-4804-8CA0-85F0EF1ADD28}"/>
    <cellStyle name="Comma 7 2 7 3 4" xfId="52311" xr:uid="{1B2BBDA7-5389-4041-B97E-73E37992747D}"/>
    <cellStyle name="Comma 7 2 7 3 5" xfId="55327" xr:uid="{DAFDF975-F910-40BF-B47E-DE6576BC7DDB}"/>
    <cellStyle name="Comma 7 2 7 3 6" xfId="19311" xr:uid="{5D4FBF0A-655D-4DC8-B1DC-A8550ABCA60F}"/>
    <cellStyle name="Comma 7 2 7 4" xfId="15922" xr:uid="{22067A7E-469D-452C-9BE2-BF243B33910C}"/>
    <cellStyle name="Comma 7 2 7 4 2" xfId="23450" xr:uid="{37F347F5-F260-4F19-AB03-0C72127C78FE}"/>
    <cellStyle name="Comma 7 2 7 4 3" xfId="46607" xr:uid="{31F55AE4-15D7-45D7-B452-FA61599701F9}"/>
    <cellStyle name="Comma 7 2 7 4 4" xfId="52788" xr:uid="{A085A46A-D677-433F-9FB6-60D325124AD6}"/>
    <cellStyle name="Comma 7 2 7 4 5" xfId="55804" xr:uid="{EE46033F-EBB8-4E12-99A1-21EB95A946ED}"/>
    <cellStyle name="Comma 7 2 7 4 6" xfId="19457" xr:uid="{FB0A5503-71D4-4B39-9233-F5E52CA0C8AD}"/>
    <cellStyle name="Comma 7 2 7 5" xfId="13037" xr:uid="{B11523ED-9442-457E-AFBD-C42D1AF78542}"/>
    <cellStyle name="Comma 7 2 7 5 2" xfId="46824" xr:uid="{B1AE13A0-17DA-4784-8E49-7DCE1E9D576B}"/>
    <cellStyle name="Comma 7 2 7 5 3" xfId="51357" xr:uid="{776CF8D9-4EB7-429F-8480-6B6AEA851A61}"/>
    <cellStyle name="Comma 7 2 7 5 4" xfId="54373" xr:uid="{98375056-0BB3-45FE-A837-DA718DB0CE62}"/>
    <cellStyle name="Comma 7 2 7 5 5" xfId="22026" xr:uid="{FD96A9CA-355B-430E-BA83-E617295E4231}"/>
    <cellStyle name="Comma 7 2 7 6" xfId="46632" xr:uid="{71C19419-B2FD-4E30-ADD4-EF21CC9613A7}"/>
    <cellStyle name="Comma 7 2 7 7" xfId="50251" xr:uid="{06F02CDA-343A-41EA-867A-3AA42ED45898}"/>
    <cellStyle name="Comma 7 2 7 8" xfId="53267" xr:uid="{F6793E54-E343-4334-A4B4-610060A35824}"/>
    <cellStyle name="Comma 7 2 7 9" xfId="19027" xr:uid="{E156B25C-0D6B-4DC4-BA20-07E1BCBDF99C}"/>
    <cellStyle name="Comma 7 2 8" xfId="14179" xr:uid="{DD9EC279-E3F7-4264-80A3-EFCFE25A6672}"/>
    <cellStyle name="Comma 7 2 9" xfId="14525" xr:uid="{011DE29D-21F1-4B93-8921-C06737FCF98A}"/>
    <cellStyle name="Comma 7 2 9 2" xfId="22072" xr:uid="{0A9CE401-AC73-4D52-B3F7-3530C2D34567}"/>
    <cellStyle name="Comma 7 2 9 3" xfId="48346" xr:uid="{8A6F0D92-65BC-4282-99D9-83E4B3A75348}"/>
    <cellStyle name="Comma 7 2 9 4" xfId="51410" xr:uid="{09027355-78F7-4006-91CB-527FA16429DB}"/>
    <cellStyle name="Comma 7 2 9 5" xfId="54426" xr:uid="{D5AEB9F6-0AA0-4457-A680-FE20BB7324C8}"/>
    <cellStyle name="Comma 7 2 9 6" xfId="19048" xr:uid="{BE7272FF-831E-435B-BD38-0D7DDCC830CC}"/>
    <cellStyle name="Comma 7 3" xfId="5828" xr:uid="{B0E218BA-79FA-4D7C-88C4-20821E2A9CF4}"/>
    <cellStyle name="Comma 7 3 10" xfId="12179" xr:uid="{2406A6CB-C404-47AC-9B96-06664ECFE194}"/>
    <cellStyle name="Comma 7 3 10 2" xfId="48044" xr:uid="{A7E1F10A-D2F8-4436-8326-9CE24EE3299A}"/>
    <cellStyle name="Comma 7 3 10 3" xfId="50936" xr:uid="{5EB03BA9-6C79-43B5-A3D7-F8ACED5F1232}"/>
    <cellStyle name="Comma 7 3 10 4" xfId="53952" xr:uid="{3751A2A8-33B2-4CA5-9505-21668CEEE8F3}"/>
    <cellStyle name="Comma 7 3 10 5" xfId="21904" xr:uid="{2CB26E11-E77A-4C06-9917-472A8FEBD516}"/>
    <cellStyle name="Comma 7 3 11" xfId="23803" xr:uid="{F572EF32-E8AA-4A75-A2DA-15B93A7FF375}"/>
    <cellStyle name="Comma 7 3 12" xfId="47356" xr:uid="{590C49D5-723F-4C03-87FE-6AA5E7184401}"/>
    <cellStyle name="Comma 7 3 13" xfId="48674" xr:uid="{20AD38F6-6493-448B-B55A-73B8D6DEBE8A}"/>
    <cellStyle name="Comma 7 3 14" xfId="49582" xr:uid="{216C1055-2990-42DA-9997-0846592C76BF}"/>
    <cellStyle name="Comma 7 3 15" xfId="49829" xr:uid="{CB59C9E5-14F5-412B-95D0-6DE42582EF57}"/>
    <cellStyle name="Comma 7 3 16" xfId="52844" xr:uid="{0F9A2EDE-2AA7-47AE-AD01-E237069F6834}"/>
    <cellStyle name="Comma 7 3 17" xfId="18566" xr:uid="{6A8F541C-40DA-4684-9C8E-7C0AC714AD85}"/>
    <cellStyle name="Comma 7 3 18" xfId="8952" xr:uid="{A85EECCF-4A13-455D-AFA0-6D27CBB0FB94}"/>
    <cellStyle name="Comma 7 3 2" xfId="10039" xr:uid="{6B7E6935-9244-48CC-9FC6-D81F4039CD34}"/>
    <cellStyle name="Comma 7 3 2 10" xfId="18755" xr:uid="{DC2E544F-79DC-4592-8060-7E12614F83DD}"/>
    <cellStyle name="Comma 7 3 2 2" xfId="10347" xr:uid="{04867D83-2834-43F8-9F31-9A0405F15E8B}"/>
    <cellStyle name="Comma 7 3 2 2 2" xfId="14792" xr:uid="{D565F302-FFA6-4A29-BDF8-73C81D98D488}"/>
    <cellStyle name="Comma 7 3 2 2 2 2" xfId="22339" xr:uid="{A7E92EC5-9983-4DC5-B432-73320B303964}"/>
    <cellStyle name="Comma 7 3 2 2 2 3" xfId="46862" xr:uid="{F521C4C3-7DDA-4EE2-B312-5144CB37FD02}"/>
    <cellStyle name="Comma 7 3 2 2 2 4" xfId="51677" xr:uid="{26DA1FCC-82F2-4B43-94C8-D8ED7D2C6734}"/>
    <cellStyle name="Comma 7 3 2 2 2 5" xfId="54693" xr:uid="{693899CF-D4E1-4F95-A42D-DF87FAE9B5B7}"/>
    <cellStyle name="Comma 7 3 2 2 2 6" xfId="19125" xr:uid="{0CF968E2-97BA-48FA-AA09-70CFBBE7D073}"/>
    <cellStyle name="Comma 7 3 2 2 3" xfId="15277" xr:uid="{EA3CF829-B8A2-4F87-899D-A8AF71BCBFDD}"/>
    <cellStyle name="Comma 7 3 2 2 3 2" xfId="22816" xr:uid="{11F47D1C-6C53-4413-B236-BF0E4FDB4AD7}"/>
    <cellStyle name="Comma 7 3 2 2 3 3" xfId="48416" xr:uid="{D1A46D4D-6111-4D1B-B182-59A6F22B5B93}"/>
    <cellStyle name="Comma 7 3 2 2 3 4" xfId="52154" xr:uid="{BA0907FA-3632-4257-8E58-EE1F6E38A422}"/>
    <cellStyle name="Comma 7 3 2 2 3 5" xfId="55170" xr:uid="{67BF3F6B-1A7C-4336-88C7-594F55C9706A}"/>
    <cellStyle name="Comma 7 3 2 2 3 6" xfId="19268" xr:uid="{5AECA354-601F-4683-9F53-97AA72EEA20E}"/>
    <cellStyle name="Comma 7 3 2 2 4" xfId="15764" xr:uid="{BE4A1CEA-27B0-43E7-AEC3-5414116881D1}"/>
    <cellStyle name="Comma 7 3 2 2 4 2" xfId="23293" xr:uid="{6B459495-39DC-4440-8A67-F9364CC2BD45}"/>
    <cellStyle name="Comma 7 3 2 2 4 3" xfId="47256" xr:uid="{AEB86C42-44C9-4212-AEBC-A08D99FAE9B9}"/>
    <cellStyle name="Comma 7 3 2 2 4 4" xfId="52631" xr:uid="{96274523-582D-4F7F-A076-9B8CD9669057}"/>
    <cellStyle name="Comma 7 3 2 2 4 5" xfId="55647" xr:uid="{3C1F1C62-3F3C-4EC8-AD11-11D58B93690E}"/>
    <cellStyle name="Comma 7 3 2 2 4 6" xfId="19413" xr:uid="{4284A570-DBD3-4389-A095-4C89C309B2A0}"/>
    <cellStyle name="Comma 7 3 2 2 5" xfId="12800" xr:uid="{D290806C-499B-4876-9C62-E43D282B5136}"/>
    <cellStyle name="Comma 7 3 2 2 5 2" xfId="46796" xr:uid="{F1945019-1FE7-4A9B-A4B3-D5D0C1F61FA8}"/>
    <cellStyle name="Comma 7 3 2 2 5 3" xfId="51200" xr:uid="{27303DE0-B4C9-460B-89C3-72DB9904B4D3}"/>
    <cellStyle name="Comma 7 3 2 2 5 4" xfId="54216" xr:uid="{8F3351A1-2040-40BE-987C-577A03C7CC6A}"/>
    <cellStyle name="Comma 7 3 2 2 5 5" xfId="21983" xr:uid="{3A621583-8E84-419F-BCF5-635863A369EA}"/>
    <cellStyle name="Comma 7 3 2 2 6" xfId="46094" xr:uid="{B4A68F8E-5677-4817-877B-5569C338BDDD}"/>
    <cellStyle name="Comma 7 3 2 2 7" xfId="50094" xr:uid="{F92A76CF-1B94-411B-A9A6-2E6C625D3636}"/>
    <cellStyle name="Comma 7 3 2 2 8" xfId="53110" xr:uid="{BCF8FABB-7166-4F25-B4B5-B6218B116896}"/>
    <cellStyle name="Comma 7 3 2 2 9" xfId="18904" xr:uid="{13F8E4D3-FE9F-47BD-B0FA-A42CB32DF13B}"/>
    <cellStyle name="Comma 7 3 2 3" xfId="14580" xr:uid="{0CE3F0BF-438C-481F-8FF3-14FD1042E1DB}"/>
    <cellStyle name="Comma 7 3 2 3 2" xfId="22127" xr:uid="{F79B3AAA-948A-4DCE-8119-F49BD413FF42}"/>
    <cellStyle name="Comma 7 3 2 3 3" xfId="24972" xr:uid="{771CEC82-CB01-43F9-968D-6AE9087D6075}"/>
    <cellStyle name="Comma 7 3 2 3 4" xfId="51465" xr:uid="{53361D5E-EE8D-4AF2-B6A3-437DD96586CF}"/>
    <cellStyle name="Comma 7 3 2 3 5" xfId="54481" xr:uid="{458CDE09-74E3-4C08-9A87-4DFACC9E099A}"/>
    <cellStyle name="Comma 7 3 2 3 6" xfId="19065" xr:uid="{49290E1D-7033-4FE7-8622-F1029F0B5D4A}"/>
    <cellStyle name="Comma 7 3 2 4" xfId="15064" xr:uid="{15A993D0-BFBB-4EA8-B875-B16EA2AF98F9}"/>
    <cellStyle name="Comma 7 3 2 4 2" xfId="22604" xr:uid="{7AC78722-FFC2-4C0D-A8FC-EF9AAD860E18}"/>
    <cellStyle name="Comma 7 3 2 4 3" xfId="32399" xr:uid="{ACD747AE-824E-41A7-9DEF-BA21E0224FB7}"/>
    <cellStyle name="Comma 7 3 2 4 4" xfId="51942" xr:uid="{1AA6769C-D56F-4349-A3F6-E4D12339F89C}"/>
    <cellStyle name="Comma 7 3 2 4 5" xfId="54958" xr:uid="{D287D167-410D-426E-A6BE-EE2B8EF7367A}"/>
    <cellStyle name="Comma 7 3 2 4 6" xfId="19207" xr:uid="{6AD4DC86-E89A-4C19-BAFD-9599661F4D9B}"/>
    <cellStyle name="Comma 7 3 2 5" xfId="15551" xr:uid="{8CCB5E9A-C7C5-4A65-9193-4596005DBDA4}"/>
    <cellStyle name="Comma 7 3 2 5 2" xfId="23081" xr:uid="{9454E7BF-7E3A-4788-8A26-DD4578B5DB83}"/>
    <cellStyle name="Comma 7 3 2 5 3" xfId="47252" xr:uid="{36832454-A6D9-439B-8A34-4E47CCBE9C78}"/>
    <cellStyle name="Comma 7 3 2 5 4" xfId="52419" xr:uid="{018D160F-A63B-4D28-9575-98851AB8100E}"/>
    <cellStyle name="Comma 7 3 2 5 5" xfId="55435" xr:uid="{C0015411-ED62-463B-9D34-3BBD2EBC5835}"/>
    <cellStyle name="Comma 7 3 2 5 6" xfId="19352" xr:uid="{0EE90FD2-DEFF-41E6-9096-0B2D8D507D9A}"/>
    <cellStyle name="Comma 7 3 2 6" xfId="12499" xr:uid="{2123BA3B-7C0C-4A0C-87A2-9E013FFA798B}"/>
    <cellStyle name="Comma 7 3 2 6 2" xfId="25087" xr:uid="{D38E8539-3DA1-46E9-B24E-F3921A9E3ACF}"/>
    <cellStyle name="Comma 7 3 2 6 3" xfId="50988" xr:uid="{1384F662-4187-438E-AFA4-1D9286409050}"/>
    <cellStyle name="Comma 7 3 2 6 4" xfId="54004" xr:uid="{CE8A0E11-72D2-41C5-BC9F-B335CF547979}"/>
    <cellStyle name="Comma 7 3 2 6 5" xfId="21922" xr:uid="{EA4FBF43-F5F6-486E-BA53-187298F63BAC}"/>
    <cellStyle name="Comma 7 3 2 7" xfId="47732" xr:uid="{8CB01D83-9221-4F6E-ADDC-E2A5F29E9C1B}"/>
    <cellStyle name="Comma 7 3 2 8" xfId="49882" xr:uid="{0B78D7D4-161A-4F2F-A1F3-8D09E8965FE7}"/>
    <cellStyle name="Comma 7 3 2 9" xfId="52898" xr:uid="{F27C5520-560F-4749-AC28-03886B52A49A}"/>
    <cellStyle name="Comma 7 3 3" xfId="10113" xr:uid="{3F4A9F8A-061F-4E64-A6CF-676090B2A974}"/>
    <cellStyle name="Comma 7 3 3 10" xfId="18788" xr:uid="{EC2FBD79-260C-460D-A10D-98F08670FF6B}"/>
    <cellStyle name="Comma 7 3 3 2" xfId="10426" xr:uid="{DD3F048D-1494-499D-93A9-5D1159C5DD0A}"/>
    <cellStyle name="Comma 7 3 3 2 2" xfId="14845" xr:uid="{95A318C9-2D57-4E52-9FEC-149434DC2097}"/>
    <cellStyle name="Comma 7 3 3 2 2 2" xfId="22392" xr:uid="{DB4FA15F-1D3E-4427-B649-124FEC05F37D}"/>
    <cellStyle name="Comma 7 3 3 2 2 3" xfId="46444" xr:uid="{431D0FF8-71BB-4380-8166-4D745B9539C7}"/>
    <cellStyle name="Comma 7 3 3 2 2 4" xfId="51730" xr:uid="{1A7C313D-2AED-446D-9481-E78B87EA827F}"/>
    <cellStyle name="Comma 7 3 3 2 2 5" xfId="54746" xr:uid="{94A478E7-8348-4F1E-A694-9B8F0AA504AA}"/>
    <cellStyle name="Comma 7 3 3 2 2 6" xfId="19140" xr:uid="{46201CA2-3B35-435C-A160-F3379E60408E}"/>
    <cellStyle name="Comma 7 3 3 2 3" xfId="15330" xr:uid="{AC394F15-308C-45F6-A9BC-F01DB90F5887}"/>
    <cellStyle name="Comma 7 3 3 2 3 2" xfId="22869" xr:uid="{F48BA5A3-BDD6-4670-9756-9868D150AD56}"/>
    <cellStyle name="Comma 7 3 3 2 3 3" xfId="47968" xr:uid="{A8148442-0425-4D8D-BE3E-96B2378F395E}"/>
    <cellStyle name="Comma 7 3 3 2 3 4" xfId="52207" xr:uid="{432F955A-AD99-4EA1-8E07-F82CDA18AB23}"/>
    <cellStyle name="Comma 7 3 3 2 3 5" xfId="55223" xr:uid="{DABBF9AA-45C3-40BD-96DB-DBB53008174C}"/>
    <cellStyle name="Comma 7 3 3 2 3 6" xfId="19283" xr:uid="{CEFC90C6-C3EA-4376-99F1-9029EF9E036D}"/>
    <cellStyle name="Comma 7 3 3 2 4" xfId="15817" xr:uid="{18BC2AC2-54B3-43A8-B492-36C4990D59CB}"/>
    <cellStyle name="Comma 7 3 3 2 4 2" xfId="23346" xr:uid="{B1D691FC-0B38-4619-8E21-C89B8BD445A4}"/>
    <cellStyle name="Comma 7 3 3 2 4 3" xfId="46591" xr:uid="{00DB3225-B51B-4EA8-A21D-D8BC4F0F7BCB}"/>
    <cellStyle name="Comma 7 3 3 2 4 4" xfId="52684" xr:uid="{DF210D44-3244-4C8E-B494-23107A1A29D5}"/>
    <cellStyle name="Comma 7 3 3 2 4 5" xfId="55700" xr:uid="{3332C0BD-F495-4051-B427-5101F21C254C}"/>
    <cellStyle name="Comma 7 3 3 2 4 6" xfId="19428" xr:uid="{DA8378BD-AAF9-4DB4-A9AF-F90BEFCCBD78}"/>
    <cellStyle name="Comma 7 3 3 2 5" xfId="12879" xr:uid="{8B3E0128-DA34-4E50-B7BB-4B0EF89A9B10}"/>
    <cellStyle name="Comma 7 3 3 2 5 2" xfId="48400" xr:uid="{2732223A-0FB6-4F27-A82C-CF5A76342F4E}"/>
    <cellStyle name="Comma 7 3 3 2 5 3" xfId="51253" xr:uid="{B0F229D4-1196-4131-BB3F-2EF8BC0E753E}"/>
    <cellStyle name="Comma 7 3 3 2 5 4" xfId="54269" xr:uid="{3B5CB64B-CCE6-4A97-B599-14869B31FD60}"/>
    <cellStyle name="Comma 7 3 3 2 5 5" xfId="21998" xr:uid="{B706D0E9-075A-49B5-8F92-DAC9DD15C5E6}"/>
    <cellStyle name="Comma 7 3 3 2 6" xfId="47207" xr:uid="{16F91C5F-235F-4866-89CD-A9B783D4AB1A}"/>
    <cellStyle name="Comma 7 3 3 2 7" xfId="50147" xr:uid="{57F4F8BE-BF95-46C5-97FE-5CC31158C5BD}"/>
    <cellStyle name="Comma 7 3 3 2 8" xfId="53163" xr:uid="{4F22E093-7A64-43C7-85A0-0682F9F1DB24}"/>
    <cellStyle name="Comma 7 3 3 2 9" xfId="18945" xr:uid="{64D0974A-B9D5-41E3-AD00-074541D11E05}"/>
    <cellStyle name="Comma 7 3 3 3" xfId="14633" xr:uid="{7418D741-9A15-49E8-822F-DF63BBFEBCA1}"/>
    <cellStyle name="Comma 7 3 3 3 2" xfId="22180" xr:uid="{26E0B7BD-7864-4A4A-88BF-8C0695A80620}"/>
    <cellStyle name="Comma 7 3 3 3 3" xfId="47479" xr:uid="{A5705FF8-B2A7-4F5C-86EB-EE27C8993DF3}"/>
    <cellStyle name="Comma 7 3 3 3 4" xfId="51518" xr:uid="{C88E4D7F-DF5D-4670-A328-7649A579CB5F}"/>
    <cellStyle name="Comma 7 3 3 3 5" xfId="54534" xr:uid="{C2B62783-EA99-495A-BF74-4B83D329B07F}"/>
    <cellStyle name="Comma 7 3 3 3 6" xfId="19080" xr:uid="{3A7B74FF-3712-4900-91C8-787728517B9B}"/>
    <cellStyle name="Comma 7 3 3 4" xfId="15118" xr:uid="{66B86B76-965E-4299-8856-87BAF49B4B64}"/>
    <cellStyle name="Comma 7 3 3 4 2" xfId="22657" xr:uid="{B068A44D-79A5-47FF-BA10-D43A22C21175}"/>
    <cellStyle name="Comma 7 3 3 4 3" xfId="46482" xr:uid="{26B9BFE2-B656-4412-95E0-17C56B815997}"/>
    <cellStyle name="Comma 7 3 3 4 4" xfId="51995" xr:uid="{80DAD098-B475-444C-A585-42B0D8F5AC37}"/>
    <cellStyle name="Comma 7 3 3 4 5" xfId="55011" xr:uid="{6ECEB9F1-9B5C-4AFA-BA71-A49459851653}"/>
    <cellStyle name="Comma 7 3 3 4 6" xfId="19223" xr:uid="{945E824C-64ED-41D4-94AB-7AE70125AD28}"/>
    <cellStyle name="Comma 7 3 3 5" xfId="15605" xr:uid="{2A64E529-793B-4D8D-841C-09A9A474732B}"/>
    <cellStyle name="Comma 7 3 3 5 2" xfId="23134" xr:uid="{E1367338-4093-459B-B917-E2D7A5044BE9}"/>
    <cellStyle name="Comma 7 3 3 5 3" xfId="48248" xr:uid="{31861EB5-BEA8-4071-AAD8-16524A4BB125}"/>
    <cellStyle name="Comma 7 3 3 5 4" xfId="52472" xr:uid="{CE987DE5-27E6-405D-94A2-DA938E2B71D2}"/>
    <cellStyle name="Comma 7 3 3 5 5" xfId="55488" xr:uid="{888C5C0C-F8C8-4F3A-B59A-A2A8769037A6}"/>
    <cellStyle name="Comma 7 3 3 5 6" xfId="19368" xr:uid="{32E2ADF3-D3F9-4C74-A2EC-8BD609CF8CD7}"/>
    <cellStyle name="Comma 7 3 3 6" xfId="12570" xr:uid="{F7190F3B-8E5A-4897-828E-0A4BB6746600}"/>
    <cellStyle name="Comma 7 3 3 6 2" xfId="46769" xr:uid="{79AFC94B-065B-418F-82D5-9CB152242180}"/>
    <cellStyle name="Comma 7 3 3 6 3" xfId="51041" xr:uid="{7952980F-35A0-463B-9479-9BFCB1EB4030}"/>
    <cellStyle name="Comma 7 3 3 6 4" xfId="54057" xr:uid="{AAE4CC46-0B72-4B9E-BD7E-063EF2CE466B}"/>
    <cellStyle name="Comma 7 3 3 6 5" xfId="21938" xr:uid="{53C567B6-A056-4FEA-B545-7D772335A62D}"/>
    <cellStyle name="Comma 7 3 3 7" xfId="46052" xr:uid="{47011C97-D4D1-4E99-871A-B4E6A2D8F885}"/>
    <cellStyle name="Comma 7 3 3 8" xfId="49935" xr:uid="{4CD721C8-5227-4E4D-945D-530D56F2E407}"/>
    <cellStyle name="Comma 7 3 3 9" xfId="52951" xr:uid="{6152E665-4A4C-4E12-8F6D-7079C78014F2}"/>
    <cellStyle name="Comma 7 3 4" xfId="10192" xr:uid="{B73DDA61-AF85-4E3D-B847-7CEB558A71B1}"/>
    <cellStyle name="Comma 7 3 4 10" xfId="18826" xr:uid="{5376D5BB-2028-429C-9B36-BF0E5ABB3552}"/>
    <cellStyle name="Comma 7 3 4 2" xfId="10506" xr:uid="{37C7A027-87B3-4CE1-806D-1E3C2856123F}"/>
    <cellStyle name="Comma 7 3 4 2 2" xfId="14898" xr:uid="{DDE7CA53-6C84-42F1-B107-E83A14369C09}"/>
    <cellStyle name="Comma 7 3 4 2 2 2" xfId="22445" xr:uid="{5458C053-B2CB-46D6-84CD-4EC50DDD34E5}"/>
    <cellStyle name="Comma 7 3 4 2 2 3" xfId="24934" xr:uid="{D303E3FE-272B-42B6-84B3-AA600A6CDAC1}"/>
    <cellStyle name="Comma 7 3 4 2 2 4" xfId="51783" xr:uid="{AC00CA06-2D67-426F-8FDE-109E33478741}"/>
    <cellStyle name="Comma 7 3 4 2 2 5" xfId="54799" xr:uid="{31B30D12-E5E0-41B0-9BB4-E9D743919396}"/>
    <cellStyle name="Comma 7 3 4 2 2 6" xfId="19155" xr:uid="{0B17A422-703A-4A3E-B386-4009A055ACA4}"/>
    <cellStyle name="Comma 7 3 4 2 3" xfId="15383" xr:uid="{BE07C320-B562-4614-82AA-FE9FA3DD8B4F}"/>
    <cellStyle name="Comma 7 3 4 2 3 2" xfId="22922" xr:uid="{0F3C2379-4EAB-409A-ABEB-5B291C76801A}"/>
    <cellStyle name="Comma 7 3 4 2 3 3" xfId="46915" xr:uid="{C7579A8D-9591-44C9-A6DF-E9A6F0930C5E}"/>
    <cellStyle name="Comma 7 3 4 2 3 4" xfId="52260" xr:uid="{A3E6752A-F11F-405E-8585-FC92C099E556}"/>
    <cellStyle name="Comma 7 3 4 2 3 5" xfId="55276" xr:uid="{152E9E4E-E5EE-4757-B9FA-9817BC45F449}"/>
    <cellStyle name="Comma 7 3 4 2 3 6" xfId="19298" xr:uid="{29EB98DD-955C-45F8-B011-22C8F68D5925}"/>
    <cellStyle name="Comma 7 3 4 2 4" xfId="15870" xr:uid="{7872B8C5-3E7D-4EB3-A64D-CD76530E7111}"/>
    <cellStyle name="Comma 7 3 4 2 4 2" xfId="23399" xr:uid="{CB0A0A18-55AE-482C-98E5-2BDBAC293225}"/>
    <cellStyle name="Comma 7 3 4 2 4 3" xfId="46977" xr:uid="{67EC1D99-CBF1-4999-B4E7-78AC35D67962}"/>
    <cellStyle name="Comma 7 3 4 2 4 4" xfId="52737" xr:uid="{AE0E4113-2117-433B-86B6-ABC1DD09533E}"/>
    <cellStyle name="Comma 7 3 4 2 4 5" xfId="55753" xr:uid="{CB7A0F3E-37E3-4C4A-81C5-FFA1835A4669}"/>
    <cellStyle name="Comma 7 3 4 2 4 6" xfId="19443" xr:uid="{3D2C22CE-D9BB-49F0-9442-D95AFBDD511D}"/>
    <cellStyle name="Comma 7 3 4 2 5" xfId="12959" xr:uid="{5180D069-CBE0-45E1-8260-5F68E66743AD}"/>
    <cellStyle name="Comma 7 3 4 2 5 2" xfId="46377" xr:uid="{0E823F0D-DD07-4142-971E-EDB2095F5EB4}"/>
    <cellStyle name="Comma 7 3 4 2 5 3" xfId="51306" xr:uid="{36F727D0-8E7F-40EF-8E88-8D8C2FEB726B}"/>
    <cellStyle name="Comma 7 3 4 2 5 4" xfId="54322" xr:uid="{58284FB6-89B7-468D-A11C-2D54640B7198}"/>
    <cellStyle name="Comma 7 3 4 2 5 5" xfId="22013" xr:uid="{8F5BA2E7-FD6A-4146-B68B-D72533A6D651}"/>
    <cellStyle name="Comma 7 3 4 2 6" xfId="46141" xr:uid="{81CF83F7-D828-4C3C-8722-6FE85C97E395}"/>
    <cellStyle name="Comma 7 3 4 2 7" xfId="50200" xr:uid="{C9152958-1778-4F37-82FD-59A40C915A09}"/>
    <cellStyle name="Comma 7 3 4 2 8" xfId="53216" xr:uid="{671F72FF-CC4B-4EC5-B125-1E854980A1A9}"/>
    <cellStyle name="Comma 7 3 4 2 9" xfId="18987" xr:uid="{0D2D6979-676B-4A47-B5D1-2058C5A54643}"/>
    <cellStyle name="Comma 7 3 4 3" xfId="14686" xr:uid="{A626D952-2F1B-44E9-A80D-42682FDBF2ED}"/>
    <cellStyle name="Comma 7 3 4 3 2" xfId="22233" xr:uid="{D557134D-93D6-4B80-A818-D5B4A1786F01}"/>
    <cellStyle name="Comma 7 3 4 3 3" xfId="47830" xr:uid="{F6154101-72DD-4605-8840-E417CCA040C2}"/>
    <cellStyle name="Comma 7 3 4 3 4" xfId="51571" xr:uid="{DEF75CEB-8640-4C6F-AFE9-E9EF397EDEC3}"/>
    <cellStyle name="Comma 7 3 4 3 5" xfId="54587" xr:uid="{5D465569-855C-4C80-9AEB-B8B9D13914EB}"/>
    <cellStyle name="Comma 7 3 4 3 6" xfId="19095" xr:uid="{ADECAB1E-1FA6-4E38-89AB-6DB84C74559F}"/>
    <cellStyle name="Comma 7 3 4 4" xfId="15171" xr:uid="{33FA8452-34B7-4A74-A36D-1EC56E093110}"/>
    <cellStyle name="Comma 7 3 4 4 2" xfId="22710" xr:uid="{BFEABAC6-1B0D-4033-8E6A-E9DF3C18928C}"/>
    <cellStyle name="Comma 7 3 4 4 3" xfId="46493" xr:uid="{3D600115-D6D6-4093-8C26-C82DE3281042}"/>
    <cellStyle name="Comma 7 3 4 4 4" xfId="52048" xr:uid="{64705E13-FFE6-45FD-BC6E-4F47235D6522}"/>
    <cellStyle name="Comma 7 3 4 4 5" xfId="55064" xr:uid="{B55FD0EF-A624-49AA-9C7A-B3FABAEAD96C}"/>
    <cellStyle name="Comma 7 3 4 4 6" xfId="19238" xr:uid="{0BA52BAC-0368-4270-AB28-3BED039AF32C}"/>
    <cellStyle name="Comma 7 3 4 5" xfId="15658" xr:uid="{14ED8010-B7C9-4E1B-8EBF-D9859B06656D}"/>
    <cellStyle name="Comma 7 3 4 5 2" xfId="23187" xr:uid="{7B659469-E232-47CF-89B4-84577D44B628}"/>
    <cellStyle name="Comma 7 3 4 5 3" xfId="47791" xr:uid="{91EFAC93-B268-4FB6-A71C-CC753D6523D6}"/>
    <cellStyle name="Comma 7 3 4 5 4" xfId="52525" xr:uid="{98DB3477-F79B-44CA-8FF3-A423C1E09458}"/>
    <cellStyle name="Comma 7 3 4 5 5" xfId="55541" xr:uid="{7526D2DA-E16A-47AD-9FE0-6FAC1C23553B}"/>
    <cellStyle name="Comma 7 3 4 5 6" xfId="19383" xr:uid="{5ECC17CD-5A09-47B9-90E1-3DDA4CF41048}"/>
    <cellStyle name="Comma 7 3 4 6" xfId="12646" xr:uid="{ED8E4ECF-FDD3-4A99-8FCC-C953944FF345}"/>
    <cellStyle name="Comma 7 3 4 6 2" xfId="46335" xr:uid="{B7BC556B-D2FF-40C4-8BE3-F39C9EE6B335}"/>
    <cellStyle name="Comma 7 3 4 6 3" xfId="51094" xr:uid="{AD0471CD-DBD2-484F-A281-CF48C972A7A2}"/>
    <cellStyle name="Comma 7 3 4 6 4" xfId="54110" xr:uid="{2F9BAD3C-02F0-4D2D-AC84-3CD1FDCB392E}"/>
    <cellStyle name="Comma 7 3 4 6 5" xfId="21953" xr:uid="{3917972D-23F9-4FCF-B9CB-1EADC4B732D8}"/>
    <cellStyle name="Comma 7 3 4 7" xfId="46064" xr:uid="{DA2761EF-6FEA-4FD4-BCA5-682DF893C63F}"/>
    <cellStyle name="Comma 7 3 4 8" xfId="49988" xr:uid="{E1A18308-380D-405B-BDE1-AB118D4D982D}"/>
    <cellStyle name="Comma 7 3 4 9" xfId="53004" xr:uid="{008312A4-8E37-4624-8E9C-946EDC90EAD4}"/>
    <cellStyle name="Comma 7 3 5" xfId="10272" xr:uid="{444052EB-248D-41C2-AB3B-04CACA8A9965}"/>
    <cellStyle name="Comma 7 3 5 2" xfId="14739" xr:uid="{3DFAF113-EC0C-4D4C-B3B6-B26EBC015568}"/>
    <cellStyle name="Comma 7 3 5 2 2" xfId="22286" xr:uid="{875D0535-5B01-4BB5-A179-A4F902693791}"/>
    <cellStyle name="Comma 7 3 5 2 3" xfId="46426" xr:uid="{80F40843-80C8-4EFA-A8AA-32EA90AFBA96}"/>
    <cellStyle name="Comma 7 3 5 2 4" xfId="51624" xr:uid="{70253789-E04C-4AF4-BB61-D224153BD790}"/>
    <cellStyle name="Comma 7 3 5 2 5" xfId="54640" xr:uid="{9AD2D4B0-FB05-4AD6-9B79-75308331C0BC}"/>
    <cellStyle name="Comma 7 3 5 2 6" xfId="19110" xr:uid="{3F4AADE9-B323-43E8-9ACB-B759FA4F9229}"/>
    <cellStyle name="Comma 7 3 5 3" xfId="15224" xr:uid="{049F1472-5269-4C3C-B370-5A4AF3116927}"/>
    <cellStyle name="Comma 7 3 5 3 2" xfId="22763" xr:uid="{B4A85126-3966-4A46-A0E2-1FD52485DB31}"/>
    <cellStyle name="Comma 7 3 5 3 3" xfId="48359" xr:uid="{EE7797AC-108E-489F-9C0C-3EDA33A69024}"/>
    <cellStyle name="Comma 7 3 5 3 4" xfId="52101" xr:uid="{322A9E4A-C43D-45EA-932B-2D035F232BC5}"/>
    <cellStyle name="Comma 7 3 5 3 5" xfId="55117" xr:uid="{C95AB598-E407-448E-A63A-65BA4BE864F4}"/>
    <cellStyle name="Comma 7 3 5 3 6" xfId="19253" xr:uid="{63DCE7D6-DE27-41B6-A521-8A32A49A8C6F}"/>
    <cellStyle name="Comma 7 3 5 4" xfId="15711" xr:uid="{E17CC8B9-AFF6-4DAF-AE5A-7F21424EF188}"/>
    <cellStyle name="Comma 7 3 5 4 2" xfId="23240" xr:uid="{9417309B-66DE-4CB9-B78F-4EA84C4DD28A}"/>
    <cellStyle name="Comma 7 3 5 4 3" xfId="46574" xr:uid="{22F9C5A4-B17B-4268-82D4-2AB2693E64A2}"/>
    <cellStyle name="Comma 7 3 5 4 4" xfId="52578" xr:uid="{AD1F8864-C7DB-4F55-9213-EB68FA838D57}"/>
    <cellStyle name="Comma 7 3 5 4 5" xfId="55594" xr:uid="{113393EA-21B2-4517-A4D9-E3640D4F1874}"/>
    <cellStyle name="Comma 7 3 5 4 6" xfId="19398" xr:uid="{B413F311-5DB7-4851-8F49-FCB597DAEE50}"/>
    <cellStyle name="Comma 7 3 5 5" xfId="12725" xr:uid="{3E9E78E6-D01F-4075-9B61-4B2E1460958D}"/>
    <cellStyle name="Comma 7 3 5 5 2" xfId="47399" xr:uid="{2025D20F-D6C7-42E5-9E79-C0DA756E6E7B}"/>
    <cellStyle name="Comma 7 3 5 5 3" xfId="51147" xr:uid="{AD0B8661-9798-4EF4-BE34-299CFC2E361C}"/>
    <cellStyle name="Comma 7 3 5 5 4" xfId="54163" xr:uid="{DC392E9B-7B71-45CC-AE42-4196EA03AD6F}"/>
    <cellStyle name="Comma 7 3 5 5 5" xfId="21968" xr:uid="{70AA4BE1-63BB-4EA6-8050-E1394FA6826B}"/>
    <cellStyle name="Comma 7 3 5 6" xfId="46079" xr:uid="{C3D6EC25-E98B-407C-92D9-5786567CE036}"/>
    <cellStyle name="Comma 7 3 5 7" xfId="50041" xr:uid="{64F589B8-B5C6-496F-A0B8-626A25126137}"/>
    <cellStyle name="Comma 7 3 5 8" xfId="53057" xr:uid="{1B290A4C-3E03-4979-AA34-CF43898082B1}"/>
    <cellStyle name="Comma 7 3 5 9" xfId="18867" xr:uid="{903968B2-4A12-450C-AED9-15FEB3727738}"/>
    <cellStyle name="Comma 7 3 6" xfId="10586" xr:uid="{405EC696-40AE-4C0B-805C-5B1A052F4FA0}"/>
    <cellStyle name="Comma 7 3 6 2" xfId="14951" xr:uid="{CDA1703F-2333-49DA-9162-50A043A4DB4B}"/>
    <cellStyle name="Comma 7 3 6 2 2" xfId="22498" xr:uid="{33B61EFE-F25A-4ADA-B2D7-DF3EF257F22D}"/>
    <cellStyle name="Comma 7 3 6 2 3" xfId="47338" xr:uid="{D2DEEA88-030B-4B00-AD14-BCFE8F631F11}"/>
    <cellStyle name="Comma 7 3 6 2 4" xfId="51836" xr:uid="{C0897DDC-525C-4E9F-B1C3-8608ADB779E2}"/>
    <cellStyle name="Comma 7 3 6 2 5" xfId="54852" xr:uid="{74FA5192-4E90-4595-BD80-8760AE396F95}"/>
    <cellStyle name="Comma 7 3 6 2 6" xfId="19170" xr:uid="{8A5F7151-533C-432F-B566-2D10EF8C31B1}"/>
    <cellStyle name="Comma 7 3 6 3" xfId="15436" xr:uid="{A0E250B7-7A89-4BD8-A892-E356A13E828B}"/>
    <cellStyle name="Comma 7 3 6 3 2" xfId="22975" xr:uid="{2DAA7ACE-F391-4E96-A8AB-4908BAF02302}"/>
    <cellStyle name="Comma 7 3 6 3 3" xfId="24171" xr:uid="{6D4300EF-E2DD-40BF-9EC2-835AD93EE0EF}"/>
    <cellStyle name="Comma 7 3 6 3 4" xfId="52313" xr:uid="{FA7896DD-2E3C-4018-8B60-6B4A6FDC1FFE}"/>
    <cellStyle name="Comma 7 3 6 3 5" xfId="55329" xr:uid="{B2E8F202-E537-4345-A2BD-AC182D4065F8}"/>
    <cellStyle name="Comma 7 3 6 3 6" xfId="19313" xr:uid="{76AF7329-972F-422A-800C-AF44301965EF}"/>
    <cellStyle name="Comma 7 3 6 4" xfId="15924" xr:uid="{37B523F7-40A6-4118-9A24-EE1BECB34C6D}"/>
    <cellStyle name="Comma 7 3 6 4 2" xfId="23452" xr:uid="{598CAFD9-1810-4F71-99C1-763463FC5C24}"/>
    <cellStyle name="Comma 7 3 6 4 3" xfId="24429" xr:uid="{1FFDBC31-385B-42BE-95B3-FAC7A8AB29C4}"/>
    <cellStyle name="Comma 7 3 6 4 4" xfId="52790" xr:uid="{D7D89351-1A1F-4141-A3EA-BAA93768517C}"/>
    <cellStyle name="Comma 7 3 6 4 5" xfId="55806" xr:uid="{69E2FADF-6D35-4FBE-96A4-03516E0C3DAD}"/>
    <cellStyle name="Comma 7 3 6 4 6" xfId="19459" xr:uid="{12D37B64-295D-4282-8027-313974CEB045}"/>
    <cellStyle name="Comma 7 3 6 5" xfId="13039" xr:uid="{A9515636-18CA-4009-AD9C-7AC43B1EAE6D}"/>
    <cellStyle name="Comma 7 3 6 5 2" xfId="47711" xr:uid="{B488E225-D76C-42D1-B6C3-2AB703097E36}"/>
    <cellStyle name="Comma 7 3 6 5 3" xfId="51359" xr:uid="{DF4E28EB-2CC5-4913-B006-A6D06F4622D6}"/>
    <cellStyle name="Comma 7 3 6 5 4" xfId="54375" xr:uid="{B54F4EEB-FFBF-450D-92A8-76A8F686B943}"/>
    <cellStyle name="Comma 7 3 6 5 5" xfId="22028" xr:uid="{95263EAF-E79E-4056-8377-31A37CBEE998}"/>
    <cellStyle name="Comma 7 3 6 6" xfId="24327" xr:uid="{06B72689-5C97-43BC-B634-A22D9DB9B5C2}"/>
    <cellStyle name="Comma 7 3 6 7" xfId="50253" xr:uid="{CE453338-3573-47A3-A2B0-90EEBE1BF3F6}"/>
    <cellStyle name="Comma 7 3 6 8" xfId="53269" xr:uid="{E9483B30-4951-4581-855F-217E4496FDA7}"/>
    <cellStyle name="Comma 7 3 6 9" xfId="19029" xr:uid="{74843F52-53FA-43FA-A266-550AFA1F62C7}"/>
    <cellStyle name="Comma 7 3 7" xfId="14527" xr:uid="{750F2E63-9CEF-4B2D-A81C-18DF6C9CB5E6}"/>
    <cellStyle name="Comma 7 3 7 2" xfId="22074" xr:uid="{1E8FB7CB-0444-40E4-AB18-0AC482C1B297}"/>
    <cellStyle name="Comma 7 3 7 3" xfId="46392" xr:uid="{530003A5-DF04-4FC3-80DF-2DB37B2069F3}"/>
    <cellStyle name="Comma 7 3 7 4" xfId="51412" xr:uid="{7630DF80-739F-46C3-8776-77F8A5D4EF20}"/>
    <cellStyle name="Comma 7 3 7 5" xfId="54428" xr:uid="{A8446917-0E3F-44CC-81DA-E916A6BA0C63}"/>
    <cellStyle name="Comma 7 3 7 6" xfId="19050" xr:uid="{9EAAB9FD-F672-469F-AE0B-C0A7E1E0DEBF}"/>
    <cellStyle name="Comma 7 3 8" xfId="15011" xr:uid="{155978DD-6871-4EBC-8728-34C6727774F0}"/>
    <cellStyle name="Comma 7 3 8 2" xfId="22551" xr:uid="{37430751-A2AA-41BA-B345-6F8A60EEC3E2}"/>
    <cellStyle name="Comma 7 3 8 3" xfId="47182" xr:uid="{154E1ECF-3454-4742-9102-15951BB977FB}"/>
    <cellStyle name="Comma 7 3 8 4" xfId="51889" xr:uid="{CA6DFB7E-5089-4D89-AE0B-4C82DDFF1202}"/>
    <cellStyle name="Comma 7 3 8 5" xfId="54905" xr:uid="{888DC96E-F683-4230-A846-847846FAE7B9}"/>
    <cellStyle name="Comma 7 3 8 6" xfId="19192" xr:uid="{AE8E5BBE-CC7F-4791-AD9D-8B88E5107CF2}"/>
    <cellStyle name="Comma 7 3 9" xfId="15498" xr:uid="{17AF0A9F-23AD-4777-91C3-5BC8B0659FFE}"/>
    <cellStyle name="Comma 7 3 9 2" xfId="23028" xr:uid="{323B1D77-0E8A-4CE4-9098-15C5FC7DC578}"/>
    <cellStyle name="Comma 7 3 9 3" xfId="47787" xr:uid="{91940990-89D7-4312-AA64-A1A49EBF6A73}"/>
    <cellStyle name="Comma 7 3 9 4" xfId="52366" xr:uid="{91D81068-C873-4A7C-8EDD-BFF001CCC2D7}"/>
    <cellStyle name="Comma 7 3 9 5" xfId="55382" xr:uid="{B5FCFF7A-5BB8-4D10-9FCC-BC2F33CC49B6}"/>
    <cellStyle name="Comma 7 3 9 6" xfId="19337" xr:uid="{ADEDA3F4-EDFB-4179-83ED-5023E43A75D5}"/>
    <cellStyle name="Comma 7 4" xfId="11663" xr:uid="{2730F853-E187-4795-9EFD-83D940C084D3}"/>
    <cellStyle name="Comma 7 4 2" xfId="23804" xr:uid="{E962FEDA-3957-40D8-BA1C-27D3CCC756D3}"/>
    <cellStyle name="Comma 7 4 3" xfId="48675" xr:uid="{D3FDB70B-C3CA-4C59-9841-AC56E2FEDC8D}"/>
    <cellStyle name="Comma 7 4 4" xfId="49583" xr:uid="{C5BB3E8A-0C44-412D-B5A6-B4CEEA3D46CD}"/>
    <cellStyle name="Comma 7 5" xfId="11579" xr:uid="{4B21A595-2106-46E5-AAA7-A1EA452E3665}"/>
    <cellStyle name="Comma 7 5 2" xfId="21703" xr:uid="{8A169108-7D7B-42E5-BA4E-40E30BDBADF2}"/>
    <cellStyle name="Comma 7 5 3" xfId="23805" xr:uid="{C597DF74-C931-4844-9AF3-070E2D9A82FD}"/>
    <cellStyle name="Comma 7 5 4" xfId="46280" xr:uid="{4DD58827-F79F-4B18-B89C-E10D8032C89D}"/>
    <cellStyle name="Comma 7 5 5" xfId="48676" xr:uid="{9996AFA6-BA48-40B9-BD76-90B18187D1E3}"/>
    <cellStyle name="Comma 7 5 6" xfId="49584" xr:uid="{EC743FF3-0008-4C92-B218-FEDD69809A9A}"/>
    <cellStyle name="Comma 7 5 7" xfId="50726" xr:uid="{97163EC0-3B0D-4D66-9A05-E3BE692070BB}"/>
    <cellStyle name="Comma 7 5 8" xfId="53742" xr:uid="{42B74358-A2FD-41D9-A351-3AB3C0DD1CFE}"/>
    <cellStyle name="Comma 7 5 9" xfId="18159" xr:uid="{A8BC11E3-38B7-40E3-9795-82E72AFAA1FB}"/>
    <cellStyle name="Comma 7 6" xfId="19496" xr:uid="{85F90779-45BD-40C5-BFC2-955841FE4F71}"/>
    <cellStyle name="Comma 7 7" xfId="23799" xr:uid="{3C49F4F9-9E47-4CF8-9494-274C3942F345}"/>
    <cellStyle name="Comma 7 8" xfId="15947" xr:uid="{BB5D0B64-6EAD-475D-A4FB-EE732809AB3C}"/>
    <cellStyle name="Comma 7 9" xfId="8180" xr:uid="{9E7C87B0-66AD-4C79-A04B-83DE02C97E28}"/>
    <cellStyle name="Comma 8" xfId="2632" xr:uid="{CA941864-E587-4009-9E67-7E6C77ABA12A}"/>
    <cellStyle name="Comma 8 10" xfId="11103" xr:uid="{F61900B1-7A1A-457A-94A7-39D580C1055A}"/>
    <cellStyle name="Comma 8 10 2" xfId="21673" xr:uid="{27167396-82A7-4D7C-9D42-D3969118A3C6}"/>
    <cellStyle name="Comma 8 10 3" xfId="46653" xr:uid="{E4F9BA82-26BB-4B08-8823-B1D2F7332D9D}"/>
    <cellStyle name="Comma 8 10 4" xfId="50688" xr:uid="{CE052616-A4C0-4B2B-92D8-F194FD263CE4}"/>
    <cellStyle name="Comma 8 10 5" xfId="53704" xr:uid="{EB81D338-3A85-4F4B-8CF1-9781A2042DDE}"/>
    <cellStyle name="Comma 8 10 6" xfId="18011" xr:uid="{E4A9FD09-253C-418D-B22A-C235ABE08C8F}"/>
    <cellStyle name="Comma 8 11" xfId="19497" xr:uid="{3F6DFBF3-92CE-4EA9-A4B4-2CA973868239}"/>
    <cellStyle name="Comma 8 12" xfId="23806" xr:uid="{F0519B5E-3697-4217-BBDC-4E7B331BE04A}"/>
    <cellStyle name="Comma 8 13" xfId="48252" xr:uid="{978C4A0B-4B1A-48E4-B658-1F7D3CB57357}"/>
    <cellStyle name="Comma 8 14" xfId="48677" xr:uid="{D2B0765C-32FD-4706-BE2C-6858AA302D75}"/>
    <cellStyle name="Comma 8 15" xfId="49585" xr:uid="{036DCB45-DA3B-496A-A49F-58EEC279E832}"/>
    <cellStyle name="Comma 8 16" xfId="49793" xr:uid="{AC864AD5-F0E4-4561-8E52-68D4CF047F90}"/>
    <cellStyle name="Comma 8 17" xfId="52808" xr:uid="{5EC63FF5-B33A-4312-8C0A-81A363F4F0C4}"/>
    <cellStyle name="Comma 8 18" xfId="15948" xr:uid="{6D9BE269-1CB5-411B-98BD-A5E104B71F54}"/>
    <cellStyle name="Comma 8 2" xfId="9876" xr:uid="{A0B055E7-D252-4D7C-955C-DCEF324591D9}"/>
    <cellStyle name="Comma 8 2 10" xfId="49586" xr:uid="{627311AC-B29F-449E-9910-69A59ED3FE00}"/>
    <cellStyle name="Comma 8 2 11" xfId="49846" xr:uid="{FEABB341-5D7A-4C0B-B8FB-B160F3CB9DE6}"/>
    <cellStyle name="Comma 8 2 12" xfId="52862" xr:uid="{0C27B7C4-3CCA-4814-BCA8-150CFA46B748}"/>
    <cellStyle name="Comma 8 2 13" xfId="18737" xr:uid="{AA4F1B00-796B-422C-B310-DFC1A2D9AF93}"/>
    <cellStyle name="Comma 8 2 2" xfId="10299" xr:uid="{93D7797A-9177-492C-B316-A0B218767E03}"/>
    <cellStyle name="Comma 8 2 2 2" xfId="14756" xr:uid="{F1E884C8-D4AB-4180-9792-FED71891A19A}"/>
    <cellStyle name="Comma 8 2 2 2 2" xfId="22303" xr:uid="{4ED1E0DE-B985-42EE-A061-4868BD8C6773}"/>
    <cellStyle name="Comma 8 2 2 2 3" xfId="46859" xr:uid="{A435E356-CEBA-498F-A5D0-7C5BC22959AB}"/>
    <cellStyle name="Comma 8 2 2 2 4" xfId="51641" xr:uid="{5748C147-EC2E-4BFD-82FC-2B8505A9FFAC}"/>
    <cellStyle name="Comma 8 2 2 2 5" xfId="54657" xr:uid="{EED06023-E439-4BB6-A8F6-D485FB36556D}"/>
    <cellStyle name="Comma 8 2 2 2 6" xfId="19115" xr:uid="{97F1BCB0-5A39-48F8-9B1E-4A2E42E75BC1}"/>
    <cellStyle name="Comma 8 2 2 3" xfId="15241" xr:uid="{68B5CBE7-4785-4B7A-8875-035FC3604F2B}"/>
    <cellStyle name="Comma 8 2 2 3 2" xfId="22780" xr:uid="{B9A51773-15C0-4A7C-96C7-79F7C383E0F1}"/>
    <cellStyle name="Comma 8 2 2 3 3" xfId="32504" xr:uid="{6C4B6E3A-4B16-454C-9431-CFB21920FD01}"/>
    <cellStyle name="Comma 8 2 2 3 4" xfId="52118" xr:uid="{F25F2E2B-A1E3-416B-A485-BB4EF94BEC7F}"/>
    <cellStyle name="Comma 8 2 2 3 5" xfId="55134" xr:uid="{F1FEB2A6-A3AF-4C3F-A882-0E269C3EF605}"/>
    <cellStyle name="Comma 8 2 2 3 6" xfId="19258" xr:uid="{D3104422-3AC6-438C-9885-D75AC27BD6A6}"/>
    <cellStyle name="Comma 8 2 2 4" xfId="15728" xr:uid="{08404703-2508-44CE-907B-D8B88693D33A}"/>
    <cellStyle name="Comma 8 2 2 4 2" xfId="23257" xr:uid="{68415199-B18D-4225-A76A-D96A53F6F283}"/>
    <cellStyle name="Comma 8 2 2 4 3" xfId="46958" xr:uid="{14DD86C6-EAED-4940-B0EA-94A77CC96B3E}"/>
    <cellStyle name="Comma 8 2 2 4 4" xfId="52595" xr:uid="{E47570AB-1AD3-4094-9C68-89CEF1A96D10}"/>
    <cellStyle name="Comma 8 2 2 4 5" xfId="55611" xr:uid="{9C7C6CD9-E5F9-4682-A74E-04E1475C1881}"/>
    <cellStyle name="Comma 8 2 2 4 6" xfId="19403" xr:uid="{EC72A659-DF99-4928-B58B-F2FBC11B15B6}"/>
    <cellStyle name="Comma 8 2 2 5" xfId="12752" xr:uid="{4FC2B933-C49A-4A68-847E-0400DE90EC25}"/>
    <cellStyle name="Comma 8 2 2 5 2" xfId="47470" xr:uid="{E896E4F9-EA16-4FBF-83B0-472F79841EF9}"/>
    <cellStyle name="Comma 8 2 2 5 3" xfId="51164" xr:uid="{A490B0D6-6736-4FDD-AD73-F7CE8FB3EC6B}"/>
    <cellStyle name="Comma 8 2 2 5 4" xfId="54180" xr:uid="{293333B2-6CA4-4BC3-A1ED-286B13FEA9F5}"/>
    <cellStyle name="Comma 8 2 2 5 5" xfId="21973" xr:uid="{ED725F02-1919-463D-A8B8-D8FA46DE58EA}"/>
    <cellStyle name="Comma 8 2 2 6" xfId="47446" xr:uid="{6E49124A-8A22-4294-B617-F0904446B726}"/>
    <cellStyle name="Comma 8 2 2 7" xfId="50058" xr:uid="{3D841D7A-5FC6-4F9A-A92E-E5A053208641}"/>
    <cellStyle name="Comma 8 2 2 8" xfId="53074" xr:uid="{C5698EAC-36CE-4CFA-95A6-4C8FB02DE802}"/>
    <cellStyle name="Comma 8 2 2 9" xfId="18882" xr:uid="{7B56AEA1-34A1-4F31-8367-F64901C38B1D}"/>
    <cellStyle name="Comma 8 2 3" xfId="14544" xr:uid="{63C92691-AB95-470D-8C38-086709F40049}"/>
    <cellStyle name="Comma 8 2 3 2" xfId="22091" xr:uid="{81CF48A3-77D3-4495-99FA-D2E2F8CA71E8}"/>
    <cellStyle name="Comma 8 2 3 3" xfId="47176" xr:uid="{D7F8F6D7-0D98-4C28-A0F9-A33FBEB52484}"/>
    <cellStyle name="Comma 8 2 3 4" xfId="51429" xr:uid="{E26AB7AC-C90F-413B-A782-AC942B3F829B}"/>
    <cellStyle name="Comma 8 2 3 5" xfId="54445" xr:uid="{5309804E-E663-4745-A8DB-110F76077731}"/>
    <cellStyle name="Comma 8 2 3 6" xfId="19055" xr:uid="{3A3C184F-2665-47DB-9FCD-25B1226D20E3}"/>
    <cellStyle name="Comma 8 2 4" xfId="15028" xr:uid="{6921632D-DFCB-4C7F-AF5C-36C4B7DD13CF}"/>
    <cellStyle name="Comma 8 2 4 2" xfId="22568" xr:uid="{BEBD2C4A-427E-45CA-91F7-645AFE7278FB}"/>
    <cellStyle name="Comma 8 2 4 3" xfId="24920" xr:uid="{71B01345-93F3-4CCE-9864-34F73B77C897}"/>
    <cellStyle name="Comma 8 2 4 4" xfId="51906" xr:uid="{1AAD507B-C353-43A6-B9AB-A281A5EBCC6A}"/>
    <cellStyle name="Comma 8 2 4 5" xfId="54922" xr:uid="{E3ABBFA9-FC06-418B-8D8C-94A2074A289F}"/>
    <cellStyle name="Comma 8 2 4 6" xfId="19197" xr:uid="{467BD41B-8609-4558-A240-6A21E62DC47D}"/>
    <cellStyle name="Comma 8 2 5" xfId="15515" xr:uid="{1DAC85C0-0D8D-4ABC-B694-27D0A3952A06}"/>
    <cellStyle name="Comma 8 2 5 2" xfId="23045" xr:uid="{685F0A1C-6F06-4FFB-A9D0-A208A67CB4AF}"/>
    <cellStyle name="Comma 8 2 5 3" xfId="46929" xr:uid="{952F4CAF-D686-4205-B237-101A6D44A1BC}"/>
    <cellStyle name="Comma 8 2 5 4" xfId="52383" xr:uid="{C89FF225-D855-4CA4-ABA6-ADB945469878}"/>
    <cellStyle name="Comma 8 2 5 5" xfId="55399" xr:uid="{50A6411E-AFAA-46B9-9400-40320A3B7744}"/>
    <cellStyle name="Comma 8 2 5 6" xfId="19342" xr:uid="{35F566F0-D3E6-45D3-831C-BB53A14CDF72}"/>
    <cellStyle name="Comma 8 2 6" xfId="12455" xr:uid="{110E987E-7246-4865-A364-3E3F4AD6DBF7}"/>
    <cellStyle name="Comma 8 2 6 2" xfId="46994" xr:uid="{9800CFEE-A2A1-4841-9AD3-3E2BCFC503C6}"/>
    <cellStyle name="Comma 8 2 6 3" xfId="50952" xr:uid="{6A1852B5-9A3E-46D0-8621-B79D2B53EC5E}"/>
    <cellStyle name="Comma 8 2 6 4" xfId="53968" xr:uid="{0490B171-357E-4CCB-948C-715816CAE041}"/>
    <cellStyle name="Comma 8 2 6 5" xfId="21911" xr:uid="{769663D1-6FC7-4CD0-BEBB-83E4E07B8927}"/>
    <cellStyle name="Comma 8 2 7" xfId="23807" xr:uid="{00DD756C-FE94-4A98-B8F2-C343B4E2AA20}"/>
    <cellStyle name="Comma 8 2 8" xfId="36083" xr:uid="{F7D388EB-33E7-4DB8-930F-C6681B1DED0A}"/>
    <cellStyle name="Comma 8 2 9" xfId="48678" xr:uid="{75C0257F-8D9E-4FA0-B62F-D65FB6A6D40E}"/>
    <cellStyle name="Comma 8 3" xfId="10065" xr:uid="{3BE5021D-542C-4F39-8B14-2584A92CCDD8}"/>
    <cellStyle name="Comma 8 3 10" xfId="18768" xr:uid="{A22770F8-0840-4DFC-A1F3-5ABDCB275D52}"/>
    <cellStyle name="Comma 8 3 2" xfId="10374" xr:uid="{E4410200-B868-4C90-B86B-05C985DA596F}"/>
    <cellStyle name="Comma 8 3 2 2" xfId="14809" xr:uid="{4DDAF9F4-895A-4459-A107-B3A8F24B3759}"/>
    <cellStyle name="Comma 8 3 2 2 2" xfId="22356" xr:uid="{1D3EB208-26C1-4CD7-BEC5-32F1FA652221}"/>
    <cellStyle name="Comma 8 3 2 2 3" xfId="32328" xr:uid="{F087E7C2-FC15-4E68-87CD-F183D1115C56}"/>
    <cellStyle name="Comma 8 3 2 2 4" xfId="51694" xr:uid="{C8CD3013-AA63-4001-988E-BDA0D38C6C9A}"/>
    <cellStyle name="Comma 8 3 2 2 5" xfId="54710" xr:uid="{75ABA7F8-C487-47FC-830D-3310B929BE26}"/>
    <cellStyle name="Comma 8 3 2 2 6" xfId="19130" xr:uid="{E03D31B6-7E45-43BB-8200-02E6C4B9CD79}"/>
    <cellStyle name="Comma 8 3 2 3" xfId="15294" xr:uid="{3D807D41-EA24-4DC3-A92C-DAE5D5358DB0}"/>
    <cellStyle name="Comma 8 3 2 3 2" xfId="22833" xr:uid="{CABB2500-2598-42CE-8ABE-1526AAA46E49}"/>
    <cellStyle name="Comma 8 3 2 3 3" xfId="47343" xr:uid="{F5C07042-8767-4A91-BBB7-9691657D1634}"/>
    <cellStyle name="Comma 8 3 2 3 4" xfId="52171" xr:uid="{321EB500-902A-4902-99DC-7169411740A9}"/>
    <cellStyle name="Comma 8 3 2 3 5" xfId="55187" xr:uid="{24977C76-4255-468A-AEDB-5199FF6D58D9}"/>
    <cellStyle name="Comma 8 3 2 3 6" xfId="19273" xr:uid="{4D8E70F1-60FC-463E-84FE-828E7E36BA51}"/>
    <cellStyle name="Comma 8 3 2 4" xfId="15781" xr:uid="{C4F01FF0-C60E-474D-B0DD-DA5795AA7696}"/>
    <cellStyle name="Comma 8 3 2 4 2" xfId="23310" xr:uid="{624E2006-E653-4878-8DB9-401EE94E7BFB}"/>
    <cellStyle name="Comma 8 3 2 4 3" xfId="47385" xr:uid="{5F69AD2C-6F0F-4B3C-AE69-3CD1ECED60F6}"/>
    <cellStyle name="Comma 8 3 2 4 4" xfId="52648" xr:uid="{F8714754-BF5F-413B-84C1-031F2D88ABC9}"/>
    <cellStyle name="Comma 8 3 2 4 5" xfId="55664" xr:uid="{06F45624-FEEF-411A-BB67-F31CA4AF9949}"/>
    <cellStyle name="Comma 8 3 2 4 6" xfId="19418" xr:uid="{18F27E42-3F49-4296-9F5C-DD346B213B72}"/>
    <cellStyle name="Comma 8 3 2 5" xfId="12827" xr:uid="{082FB0C0-8FC0-485E-80B9-2D48277E0FB9}"/>
    <cellStyle name="Comma 8 3 2 5 2" xfId="48342" xr:uid="{F1FE0B01-D99E-42C3-8AA3-219DB33D39E4}"/>
    <cellStyle name="Comma 8 3 2 5 3" xfId="51217" xr:uid="{FFD7E0E6-E8ED-4AA0-84A3-959409231F7E}"/>
    <cellStyle name="Comma 8 3 2 5 4" xfId="54233" xr:uid="{87169C70-CED2-4566-8A87-8C651C1A8265}"/>
    <cellStyle name="Comma 8 3 2 5 5" xfId="21988" xr:uid="{CE3BCFEB-4063-432A-8B41-74D9A7CD430A}"/>
    <cellStyle name="Comma 8 3 2 6" xfId="46104" xr:uid="{DEEF3169-35CD-45F9-981D-00B3269F2410}"/>
    <cellStyle name="Comma 8 3 2 7" xfId="50111" xr:uid="{0D26AD31-84B9-43DC-A25C-CAAB5DB605C6}"/>
    <cellStyle name="Comma 8 3 2 8" xfId="53127" xr:uid="{B0FB67F3-8437-49B5-9957-990F0AB5E2D7}"/>
    <cellStyle name="Comma 8 3 2 9" xfId="18919" xr:uid="{F7E73E22-1479-4EC1-B8B7-4D9C930E88EB}"/>
    <cellStyle name="Comma 8 3 3" xfId="14597" xr:uid="{26433D8F-03FD-46C4-A984-15E7E32CCC2E}"/>
    <cellStyle name="Comma 8 3 3 2" xfId="22144" xr:uid="{05851E48-1541-4DD6-B01F-7F669662C31E}"/>
    <cellStyle name="Comma 8 3 3 3" xfId="25308" xr:uid="{3C354481-35FE-48FB-B6FE-58015EEA4C77}"/>
    <cellStyle name="Comma 8 3 3 4" xfId="51482" xr:uid="{C56E230D-DCFC-4186-AB52-44DA5774E0E8}"/>
    <cellStyle name="Comma 8 3 3 5" xfId="54498" xr:uid="{2F5A1539-79CB-48E9-9763-8F9C27EAF00F}"/>
    <cellStyle name="Comma 8 3 3 6" xfId="19070" xr:uid="{2D399C1B-69F2-4DF4-B963-B3F4422041A3}"/>
    <cellStyle name="Comma 8 3 4" xfId="15082" xr:uid="{EBA5551E-E7B0-4156-9F22-204737A80AF7}"/>
    <cellStyle name="Comma 8 3 4 2" xfId="22621" xr:uid="{BC57471D-5E28-4A81-B1F5-30D09CB63E6A}"/>
    <cellStyle name="Comma 8 3 4 3" xfId="34010" xr:uid="{0A0E0723-C723-43DD-98DD-3079E85F6DD6}"/>
    <cellStyle name="Comma 8 3 4 4" xfId="51959" xr:uid="{C0D4D20E-11C8-4885-B7C6-C8C19E903F0D}"/>
    <cellStyle name="Comma 8 3 4 5" xfId="54975" xr:uid="{7D5690A1-711E-4FC3-B96B-A2CF266B801D}"/>
    <cellStyle name="Comma 8 3 4 6" xfId="19213" xr:uid="{445B7C03-6084-4793-96EE-AE51121E4494}"/>
    <cellStyle name="Comma 8 3 5" xfId="15569" xr:uid="{B3046262-16E8-4BD0-B213-BA5F415266B2}"/>
    <cellStyle name="Comma 8 3 5 2" xfId="23098" xr:uid="{CDA284BA-7A42-4BAA-A414-8D0B218D1932}"/>
    <cellStyle name="Comma 8 3 5 3" xfId="46553" xr:uid="{31802B3B-2D0E-4343-82A4-954498CD35DF}"/>
    <cellStyle name="Comma 8 3 5 4" xfId="52436" xr:uid="{1B8421F8-E0E9-4A72-BFE9-DC57F0D3B6E7}"/>
    <cellStyle name="Comma 8 3 5 5" xfId="55452" xr:uid="{C306CA31-1981-4661-8E15-7AA64B606A5A}"/>
    <cellStyle name="Comma 8 3 5 6" xfId="19358" xr:uid="{55BC4E94-824A-4CCF-A80D-04742FA83BFC}"/>
    <cellStyle name="Comma 8 3 6" xfId="12524" xr:uid="{5585E08D-DA3C-4278-B9E1-8CFCB519E38B}"/>
    <cellStyle name="Comma 8 3 6 2" xfId="47014" xr:uid="{1AFE0375-26E3-46BD-B87A-5E9AC16081C8}"/>
    <cellStyle name="Comma 8 3 6 3" xfId="51005" xr:uid="{A5E7B7C7-5A88-4044-8F93-610F6C92BD7F}"/>
    <cellStyle name="Comma 8 3 6 4" xfId="54021" xr:uid="{5A9B30C5-33A1-4429-8302-9D7842170540}"/>
    <cellStyle name="Comma 8 3 6 5" xfId="21928" xr:uid="{F6B1769C-D104-4B98-940E-34990CBA1AE4}"/>
    <cellStyle name="Comma 8 3 7" xfId="25382" xr:uid="{BBFB25A7-3C75-4877-835A-419A9B2B86D1}"/>
    <cellStyle name="Comma 8 3 8" xfId="49899" xr:uid="{F27618AF-556E-42F4-9430-BD8B1E72DBC2}"/>
    <cellStyle name="Comma 8 3 9" xfId="52915" xr:uid="{9F1E236A-A1BA-4811-A5ED-9D6734EF82FE}"/>
    <cellStyle name="Comma 8 4" xfId="10140" xr:uid="{52400443-9850-48A2-91F8-CDC49FDB082C}"/>
    <cellStyle name="Comma 8 4 10" xfId="18802" xr:uid="{C6512311-4AC7-43A8-9AEE-8804257C9DD6}"/>
    <cellStyle name="Comma 8 4 2" xfId="10454" xr:uid="{023ECBBD-0A67-4984-8B1B-99D2D1E2AC48}"/>
    <cellStyle name="Comma 8 4 2 2" xfId="14862" xr:uid="{4E58FAB1-48E1-4204-98D9-0D0B83823A57}"/>
    <cellStyle name="Comma 8 4 2 2 2" xfId="22409" xr:uid="{1D7D42F9-53DD-47F3-A8E0-6C6D1ADA3B91}"/>
    <cellStyle name="Comma 8 4 2 2 3" xfId="46871" xr:uid="{163DA368-3977-4B6B-B8AC-D3C253E9FBB4}"/>
    <cellStyle name="Comma 8 4 2 2 4" xfId="51747" xr:uid="{1D907ADC-441A-4B81-9944-BB1BF1CE2FAF}"/>
    <cellStyle name="Comma 8 4 2 2 5" xfId="54763" xr:uid="{38870117-17DC-4742-B1ED-F8CB4F04BE3C}"/>
    <cellStyle name="Comma 8 4 2 2 6" xfId="19145" xr:uid="{7BFF9432-9F39-41C3-B569-CCD1CA792AAF}"/>
    <cellStyle name="Comma 8 4 2 3" xfId="15347" xr:uid="{409037BB-D890-431F-B613-00C4E3721506}"/>
    <cellStyle name="Comma 8 4 2 3 2" xfId="22886" xr:uid="{BDD6AFAD-A0CD-46AB-ACD2-EB480F2FB89A}"/>
    <cellStyle name="Comma 8 4 2 3 3" xfId="47784" xr:uid="{16DB4B35-C738-4B2C-B424-AD30EC0D3701}"/>
    <cellStyle name="Comma 8 4 2 3 4" xfId="52224" xr:uid="{56F14442-4FCA-4922-9666-34F9D64F606D}"/>
    <cellStyle name="Comma 8 4 2 3 5" xfId="55240" xr:uid="{17E385BD-AECC-43DC-89AA-BB55544D56AB}"/>
    <cellStyle name="Comma 8 4 2 3 6" xfId="19288" xr:uid="{FEBAE823-090F-4EC9-8E85-A2D4A6E64B52}"/>
    <cellStyle name="Comma 8 4 2 4" xfId="15834" xr:uid="{FADA8FAB-E3E0-4740-9FCE-D58A41904C85}"/>
    <cellStyle name="Comma 8 4 2 4 2" xfId="23363" xr:uid="{B383901A-20C8-4663-9C87-D838F47925F1}"/>
    <cellStyle name="Comma 8 4 2 4 3" xfId="48231" xr:uid="{4D845664-2DF2-45F3-B2A4-B02EADDFDC33}"/>
    <cellStyle name="Comma 8 4 2 4 4" xfId="52701" xr:uid="{051083C9-1D40-48CF-B8A4-8822F7344E4C}"/>
    <cellStyle name="Comma 8 4 2 4 5" xfId="55717" xr:uid="{513D57F9-091E-47B2-A3D7-68025511FAC1}"/>
    <cellStyle name="Comma 8 4 2 4 6" xfId="19433" xr:uid="{A3EFDE3B-86D1-4614-BED5-C6C61762D0F7}"/>
    <cellStyle name="Comma 8 4 2 5" xfId="12907" xr:uid="{C54702D2-9823-46C1-82CD-304C620C33CE}"/>
    <cellStyle name="Comma 8 4 2 5 2" xfId="47326" xr:uid="{0E75689B-E249-4B53-A53E-589CAF9BC7AA}"/>
    <cellStyle name="Comma 8 4 2 5 3" xfId="51270" xr:uid="{C1EA4933-34B8-4279-A600-0DAE31807659}"/>
    <cellStyle name="Comma 8 4 2 5 4" xfId="54286" xr:uid="{898AECF7-67EF-4687-99C1-85A5D615EEFF}"/>
    <cellStyle name="Comma 8 4 2 5 5" xfId="22003" xr:uid="{AA7E1051-354D-4566-BFFD-E249D4800B83}"/>
    <cellStyle name="Comma 8 4 2 6" xfId="46124" xr:uid="{CFE1DD8E-D800-4CF8-ADF2-1BD576103489}"/>
    <cellStyle name="Comma 8 4 2 7" xfId="50164" xr:uid="{2802178B-6E8F-4874-9D45-7C01E6B96074}"/>
    <cellStyle name="Comma 8 4 2 8" xfId="53180" xr:uid="{729BE883-ADE9-4AE7-B8C6-CFBADF50722A}"/>
    <cellStyle name="Comma 8 4 2 9" xfId="18961" xr:uid="{1704B28C-5EF3-4055-8EAF-DF97887F9357}"/>
    <cellStyle name="Comma 8 4 3" xfId="14650" xr:uid="{E402A3E0-C3E1-46A4-9DC4-8529BEC5BAFC}"/>
    <cellStyle name="Comma 8 4 3 2" xfId="22197" xr:uid="{A61C2395-BA92-40FF-8F2D-D68EEBE1BEA2}"/>
    <cellStyle name="Comma 8 4 3 3" xfId="48322" xr:uid="{734A9B44-775F-4266-8192-3D0186198052}"/>
    <cellStyle name="Comma 8 4 3 4" xfId="51535" xr:uid="{DCAD1DB8-922F-4D23-805B-D606A19A4D14}"/>
    <cellStyle name="Comma 8 4 3 5" xfId="54551" xr:uid="{E3233B77-91A4-4934-ACCF-86CE8E9F1C80}"/>
    <cellStyle name="Comma 8 4 3 6" xfId="19085" xr:uid="{A761A14C-AE21-48D0-BC93-AA06C2A9581F}"/>
    <cellStyle name="Comma 8 4 4" xfId="15135" xr:uid="{376FB9D1-9CE8-4743-92FF-C743B48B5D96}"/>
    <cellStyle name="Comma 8 4 4 2" xfId="22674" xr:uid="{9EED9CA1-7F64-4184-8A57-A8296722E57A}"/>
    <cellStyle name="Comma 8 4 4 3" xfId="47992" xr:uid="{41F751C3-FAD9-475D-857B-F80B5AF5D46E}"/>
    <cellStyle name="Comma 8 4 4 4" xfId="52012" xr:uid="{3A62E311-BC7F-460A-920A-ABD1C7F56539}"/>
    <cellStyle name="Comma 8 4 4 5" xfId="55028" xr:uid="{4D7A8672-9D30-4D29-94F5-C90C3D4B35BD}"/>
    <cellStyle name="Comma 8 4 4 6" xfId="19228" xr:uid="{A22BF3FF-B230-4555-A72C-76731C457FEE}"/>
    <cellStyle name="Comma 8 4 5" xfId="15622" xr:uid="{915A2DC9-2B08-4F5E-AE92-98E490C225FE}"/>
    <cellStyle name="Comma 8 4 5 2" xfId="23151" xr:uid="{ADD936E3-EB76-495E-85C2-91E2AF9258CB}"/>
    <cellStyle name="Comma 8 4 5 3" xfId="24164" xr:uid="{1DE7924A-0D5E-4EC5-8F46-3E526DB8FD6E}"/>
    <cellStyle name="Comma 8 4 5 4" xfId="52489" xr:uid="{3411AF9E-B939-4588-9676-C0577284F750}"/>
    <cellStyle name="Comma 8 4 5 5" xfId="55505" xr:uid="{A793FFEC-FACA-42AA-BB18-41ECE16EF4C7}"/>
    <cellStyle name="Comma 8 4 5 6" xfId="19373" xr:uid="{174CF407-48CD-4648-A2AA-D48B5B1B81D5}"/>
    <cellStyle name="Comma 8 4 6" xfId="12596" xr:uid="{3B63A4CD-D799-4CBE-9065-EF24041FDFF9}"/>
    <cellStyle name="Comma 8 4 6 2" xfId="32366" xr:uid="{E12CD811-0A9C-4672-B8B9-6EE82ABE3D98}"/>
    <cellStyle name="Comma 8 4 6 3" xfId="51058" xr:uid="{CD211157-79C2-4DD7-B501-BE53A3A7B3CA}"/>
    <cellStyle name="Comma 8 4 6 4" xfId="54074" xr:uid="{90856758-2866-4F63-9B91-AE64F94B919A}"/>
    <cellStyle name="Comma 8 4 6 5" xfId="21943" xr:uid="{63C8C75E-DBD7-411C-823F-DC866562E654}"/>
    <cellStyle name="Comma 8 4 7" xfId="47279" xr:uid="{1FDB9475-AA54-47BB-B7EA-183C59A06287}"/>
    <cellStyle name="Comma 8 4 8" xfId="49952" xr:uid="{E525F9AC-6BA5-44CA-BBD3-285F3FE78F1C}"/>
    <cellStyle name="Comma 8 4 9" xfId="52968" xr:uid="{93618FF1-BEE4-43E2-991C-1EAA65ED9516}"/>
    <cellStyle name="Comma 8 5" xfId="10220" xr:uid="{71C3C589-83BE-4A69-891A-BB575887E26E}"/>
    <cellStyle name="Comma 8 5 2" xfId="14703" xr:uid="{36AD933D-9E66-463B-B111-DD04528BB833}"/>
    <cellStyle name="Comma 8 5 2 2" xfId="22250" xr:uid="{CE3DA3E9-2159-40B5-963F-1F4B1168F30B}"/>
    <cellStyle name="Comma 8 5 2 3" xfId="46420" xr:uid="{55AD0EB0-590F-4824-A55E-59ED6FB62D23}"/>
    <cellStyle name="Comma 8 5 2 4" xfId="51588" xr:uid="{476473F9-E131-46E0-AEBC-17E6FB8F3CD5}"/>
    <cellStyle name="Comma 8 5 2 5" xfId="54604" xr:uid="{B7AC04E7-A504-414C-9583-A320C6412A5B}"/>
    <cellStyle name="Comma 8 5 2 6" xfId="19100" xr:uid="{FC6A0EE9-867E-4DA6-8AE7-A7FBAF3D4267}"/>
    <cellStyle name="Comma 8 5 3" xfId="15188" xr:uid="{507FDBFC-401B-4533-ACF6-A1647B7DF887}"/>
    <cellStyle name="Comma 8 5 3 2" xfId="22727" xr:uid="{4BA105FB-F49E-4691-91A3-C9B4B81C13F9}"/>
    <cellStyle name="Comma 8 5 3 3" xfId="48538" xr:uid="{457F0073-EDBF-4797-84EC-9A6E9EA75DBB}"/>
    <cellStyle name="Comma 8 5 3 4" xfId="52065" xr:uid="{80B244B9-BC46-46CE-B34A-561D70FE31AB}"/>
    <cellStyle name="Comma 8 5 3 5" xfId="55081" xr:uid="{1696367B-9863-497C-835F-130E9F16CB4F}"/>
    <cellStyle name="Comma 8 5 3 6" xfId="19243" xr:uid="{F709762D-B3CE-400B-A650-D0995C6B215B}"/>
    <cellStyle name="Comma 8 5 4" xfId="15675" xr:uid="{747D998E-A446-4DEC-A258-2C6E4D9F9057}"/>
    <cellStyle name="Comma 8 5 4 2" xfId="23204" xr:uid="{30B6F0B5-3E68-458A-9671-BE0D15397B29}"/>
    <cellStyle name="Comma 8 5 4 3" xfId="46570" xr:uid="{2F465D93-6043-463C-BC64-A52EA935BA5D}"/>
    <cellStyle name="Comma 8 5 4 4" xfId="52542" xr:uid="{499374B1-D860-4993-9701-84BCE242A5EF}"/>
    <cellStyle name="Comma 8 5 4 5" xfId="55558" xr:uid="{29CC9044-1038-4C3A-BEA5-569DB2B5B43D}"/>
    <cellStyle name="Comma 8 5 4 6" xfId="19388" xr:uid="{AC410484-83ED-46C2-ABC4-326C035D13F7}"/>
    <cellStyle name="Comma 8 5 5" xfId="12673" xr:uid="{6B952A5D-EAF9-4800-A161-4EE249D48D42}"/>
    <cellStyle name="Comma 8 5 5 2" xfId="46340" xr:uid="{3AB97123-B713-4630-8ED3-4B7A604FB4CC}"/>
    <cellStyle name="Comma 8 5 5 3" xfId="51111" xr:uid="{4344C6FB-130A-4BDB-BBCD-6CDF590BAC81}"/>
    <cellStyle name="Comma 8 5 5 4" xfId="54127" xr:uid="{F2FE91B3-7B6C-4DF9-A525-10FDDBAB7DFE}"/>
    <cellStyle name="Comma 8 5 5 5" xfId="21958" xr:uid="{FC03F113-E711-4BE0-9689-8E1B76D7B425}"/>
    <cellStyle name="Comma 8 5 6" xfId="46067" xr:uid="{099A5151-DFC7-4F8A-B050-D5255678C315}"/>
    <cellStyle name="Comma 8 5 7" xfId="50005" xr:uid="{E252A3B8-77AF-4BFF-B8A2-F038DEE7CE82}"/>
    <cellStyle name="Comma 8 5 8" xfId="53021" xr:uid="{06564194-1190-4448-8BCE-F84EDCD1E312}"/>
    <cellStyle name="Comma 8 5 9" xfId="18841" xr:uid="{742F669C-9D1A-4AF9-AE37-0B1BFE029CC5}"/>
    <cellStyle name="Comma 8 6" xfId="10534" xr:uid="{DC813086-0899-498F-8B98-99CD775D137F}"/>
    <cellStyle name="Comma 8 6 2" xfId="14915" xr:uid="{F4176D5A-775C-46F8-B0CE-82160200A516}"/>
    <cellStyle name="Comma 8 6 2 2" xfId="22462" xr:uid="{AB0A488A-3D1A-4B5C-BCC9-1930705BA2DA}"/>
    <cellStyle name="Comma 8 6 2 3" xfId="46455" xr:uid="{042CD2DA-00C1-4170-BEE5-E678CF6A106A}"/>
    <cellStyle name="Comma 8 6 2 4" xfId="51800" xr:uid="{2BCFD39B-2157-416E-9D4D-C367A63D241D}"/>
    <cellStyle name="Comma 8 6 2 5" xfId="54816" xr:uid="{B7BEA063-7EF9-416A-A419-E2A823D72AC8}"/>
    <cellStyle name="Comma 8 6 2 6" xfId="19160" xr:uid="{6FFE4D4A-598B-41AC-84A6-374B95C5D36C}"/>
    <cellStyle name="Comma 8 6 3" xfId="15400" xr:uid="{ACD0C409-2732-4B86-B03B-3EAFB8733EEA}"/>
    <cellStyle name="Comma 8 6 3 2" xfId="22939" xr:uid="{4BDF829A-4638-48AA-BEE9-0039237B7C83}"/>
    <cellStyle name="Comma 8 6 3 3" xfId="47941" xr:uid="{334DCD7E-66B6-4631-A49A-FF01B15B38D9}"/>
    <cellStyle name="Comma 8 6 3 4" xfId="52277" xr:uid="{AFACEA37-E108-4E78-8F4D-7CC05DC541FC}"/>
    <cellStyle name="Comma 8 6 3 5" xfId="55293" xr:uid="{04012255-0960-40F5-B3A5-30DBB2EADAD0}"/>
    <cellStyle name="Comma 8 6 3 6" xfId="19303" xr:uid="{86FDD25E-ABF2-46F4-BC05-258296855E77}"/>
    <cellStyle name="Comma 8 6 4" xfId="15888" xr:uid="{D33F1D3C-E7DA-4810-8F4A-CB829EC71CD6}"/>
    <cellStyle name="Comma 8 6 4 2" xfId="23416" xr:uid="{BA1A66A2-8E25-4A77-956A-045BF5736CE9}"/>
    <cellStyle name="Comma 8 6 4 3" xfId="46978" xr:uid="{5961CDD8-FECC-4A98-AAC5-3B8EBBB0F1F6}"/>
    <cellStyle name="Comma 8 6 4 4" xfId="52754" xr:uid="{FF75E087-15FF-4DA7-87E0-282A4A33EA4E}"/>
    <cellStyle name="Comma 8 6 4 5" xfId="55770" xr:uid="{56314FBA-67DC-4EEC-BE1D-12CFC341FC60}"/>
    <cellStyle name="Comma 8 6 4 6" xfId="19449" xr:uid="{344523F7-203A-40C1-9820-45FD28D9CB93}"/>
    <cellStyle name="Comma 8 6 5" xfId="12987" xr:uid="{B350F8EE-B06F-42EA-B4D7-C305AD7141DF}"/>
    <cellStyle name="Comma 8 6 5 2" xfId="48274" xr:uid="{D2920ECD-3FBD-41B5-8B84-8B5F47C74C19}"/>
    <cellStyle name="Comma 8 6 5 3" xfId="51323" xr:uid="{676CD0F7-FC01-45D2-A2E0-22F1E45BAF6A}"/>
    <cellStyle name="Comma 8 6 5 4" xfId="54339" xr:uid="{3E07EF84-373F-4BBB-A247-023167AB1B94}"/>
    <cellStyle name="Comma 8 6 5 5" xfId="22018" xr:uid="{B72C7282-0551-4379-A15B-CF9DD9A1EFD7}"/>
    <cellStyle name="Comma 8 6 6" xfId="46145" xr:uid="{664C2A6D-273E-4E71-80D9-1731532DEBD3}"/>
    <cellStyle name="Comma 8 6 7" xfId="50217" xr:uid="{37B1821F-5263-48CF-BFAF-87D0C0C2EDD4}"/>
    <cellStyle name="Comma 8 6 8" xfId="53233" xr:uid="{78D776EE-445E-46D5-A356-099764764C04}"/>
    <cellStyle name="Comma 8 6 9" xfId="19003" xr:uid="{4AD5F62E-C48A-44C3-A3C5-558F18BF0E0D}"/>
    <cellStyle name="Comma 8 7" xfId="14491" xr:uid="{3D45938D-02E5-4919-8B36-5DCD93643B6A}"/>
    <cellStyle name="Comma 8 7 2" xfId="22038" xr:uid="{4B500A46-F9FA-433F-9BBA-13784736A6D4}"/>
    <cellStyle name="Comma 8 7 3" xfId="46997" xr:uid="{DD9C5EC3-EEDC-4651-8FD0-615CDE902808}"/>
    <cellStyle name="Comma 8 7 4" xfId="51376" xr:uid="{BC95BCB2-8119-4C97-A871-7F77C426F763}"/>
    <cellStyle name="Comma 8 7 5" xfId="54392" xr:uid="{ACCD1BD9-8E96-4706-B223-BFA72B89CF82}"/>
    <cellStyle name="Comma 8 7 6" xfId="19040" xr:uid="{216193F7-CE4A-439B-ADAF-D2C90FB47332}"/>
    <cellStyle name="Comma 8 8" xfId="14973" xr:uid="{AAE290E6-3FAD-4163-8A91-44E04448E5A1}"/>
    <cellStyle name="Comma 8 8 2" xfId="22515" xr:uid="{BE618030-DACD-4CE1-963B-066A8865F02A}"/>
    <cellStyle name="Comma 8 8 3" xfId="47541" xr:uid="{C0964C64-F48A-4797-BEA2-7A649A3E0EC6}"/>
    <cellStyle name="Comma 8 8 4" xfId="51853" xr:uid="{FC56CE94-800B-4211-9AF7-355FFEF0C7F4}"/>
    <cellStyle name="Comma 8 8 5" xfId="54869" xr:uid="{B7FA611A-02D0-4CE4-B864-E42FE8CD51D1}"/>
    <cellStyle name="Comma 8 8 6" xfId="19180" xr:uid="{873ACA17-44B1-4B8F-8AF4-AE0E95ED0D33}"/>
    <cellStyle name="Comma 8 9" xfId="15460" xr:uid="{48FB888E-D541-496F-99AD-5570D66AAA7F}"/>
    <cellStyle name="Comma 8 9 2" xfId="22992" xr:uid="{01870DAB-B451-45A2-BE07-2CE24820C9E2}"/>
    <cellStyle name="Comma 8 9 3" xfId="47455" xr:uid="{32B4FF69-8A72-4EE5-A0A6-8224B988596F}"/>
    <cellStyle name="Comma 8 9 4" xfId="52330" xr:uid="{C94A2435-FDA5-4071-81BF-D5FB79C4034D}"/>
    <cellStyle name="Comma 8 9 5" xfId="55346" xr:uid="{2BE22C74-64AC-48F3-AA72-4E376EDD4614}"/>
    <cellStyle name="Comma 8 9 6" xfId="19325" xr:uid="{F75F0D8C-A3B3-461C-A124-091FE4373A76}"/>
    <cellStyle name="Comma 9" xfId="12231" xr:uid="{191C6732-291E-408C-A127-2EDF80A5707D}"/>
    <cellStyle name="Comma 9 10" xfId="48679" xr:uid="{E8B645AA-5F31-4EA8-8CF8-E51BDB34DC20}"/>
    <cellStyle name="Comma 9 11" xfId="49587" xr:uid="{62C09281-7A3B-4451-B087-FA1DD9891981}"/>
    <cellStyle name="Comma 9 12" xfId="15949" xr:uid="{DC5919F1-FCA9-4279-89AC-B3ADEE2ABF17}"/>
    <cellStyle name="Comma 9 2" xfId="18623" xr:uid="{E82D6BA1-3B8F-46E1-99F0-D71369F25BAA}"/>
    <cellStyle name="Comma 9 2 2" xfId="23810" xr:uid="{D4596FE3-98A3-401B-8A20-E5F7D4A69BDB}"/>
    <cellStyle name="Comma 9 2 2 2" xfId="23811" xr:uid="{477D2967-4EDD-46E0-89F9-0952D3B18FFE}"/>
    <cellStyle name="Comma 9 2 2 2 2" xfId="48682" xr:uid="{A8D50B0E-5A5B-4FE6-9DB0-12157AAB36BE}"/>
    <cellStyle name="Comma 9 2 2 2 3" xfId="49590" xr:uid="{6B2B559D-20BF-4480-884A-7CEFB7A9007C}"/>
    <cellStyle name="Comma 9 2 2 3" xfId="48681" xr:uid="{D5219CF1-A289-430A-BEB5-C268FB597A71}"/>
    <cellStyle name="Comma 9 2 2 4" xfId="49589" xr:uid="{27088813-4FB4-450E-A0B9-E8E3A0630254}"/>
    <cellStyle name="Comma 9 2 3" xfId="23812" xr:uid="{27FE0A95-3D63-429F-992E-F3EE73A7A8F4}"/>
    <cellStyle name="Comma 9 2 3 2" xfId="23813" xr:uid="{E9106F25-6E16-4BC5-806A-F33E18542D00}"/>
    <cellStyle name="Comma 9 2 3 2 2" xfId="48684" xr:uid="{5F1D3E75-2C68-4A5D-9034-8CCF8554E09E}"/>
    <cellStyle name="Comma 9 2 3 2 3" xfId="49592" xr:uid="{3F10411B-F683-44CD-8909-E0E15D868F0B}"/>
    <cellStyle name="Comma 9 2 3 3" xfId="48683" xr:uid="{3DEF60E8-B379-44B8-9062-B052216BA731}"/>
    <cellStyle name="Comma 9 2 3 4" xfId="49591" xr:uid="{983B997A-E1B8-4B31-A9C3-A7F556D371C0}"/>
    <cellStyle name="Comma 9 2 4" xfId="23814" xr:uid="{A7EACD55-8805-403E-B1FE-449DB0D813F5}"/>
    <cellStyle name="Comma 9 2 4 2" xfId="48685" xr:uid="{6E0FD435-91C6-4237-8F59-61239CD7F2D4}"/>
    <cellStyle name="Comma 9 2 4 3" xfId="49593" xr:uid="{C50426A3-E5E2-4604-B146-1F07F1D0C22D}"/>
    <cellStyle name="Comma 9 2 5" xfId="23809" xr:uid="{3F7DE144-CCD7-497D-BD61-511147344703}"/>
    <cellStyle name="Comma 9 2 6" xfId="48680" xr:uid="{01FDAA3D-0AD1-425E-BC34-A3555F7ABFE7}"/>
    <cellStyle name="Comma 9 2 7" xfId="49588" xr:uid="{ECEACFC7-08B8-4963-975D-5A359F8EEED9}"/>
    <cellStyle name="Comma 9 3" xfId="19498" xr:uid="{9265027B-BDE1-49BB-B23A-A139429DA367}"/>
    <cellStyle name="Comma 9 3 2" xfId="23816" xr:uid="{6F32D601-A7AA-4066-9428-277BF4241D11}"/>
    <cellStyle name="Comma 9 3 2 2" xfId="48687" xr:uid="{182F8C38-0FE1-496A-9334-7186E86A126F}"/>
    <cellStyle name="Comma 9 3 2 3" xfId="49595" xr:uid="{0961E3E1-CDDA-4640-A4D4-58348E376C2F}"/>
    <cellStyle name="Comma 9 3 3" xfId="23815" xr:uid="{D337D3B3-EE3F-4EA1-8C4C-6D6C1EAA2FBE}"/>
    <cellStyle name="Comma 9 3 4" xfId="48686" xr:uid="{05FB58B2-32A7-4FE4-AE8E-3E6D86A406F5}"/>
    <cellStyle name="Comma 9 3 5" xfId="49594" xr:uid="{DDF47412-203F-4FF6-8D34-26EB8DDAE39B}"/>
    <cellStyle name="Comma 9 4" xfId="23817" xr:uid="{3925C2AD-839F-468D-B082-CE69DC37763E}"/>
    <cellStyle name="Comma 9 4 2" xfId="23818" xr:uid="{C41D3863-3D1C-4BA7-A46A-D4132F5531E5}"/>
    <cellStyle name="Comma 9 4 2 2" xfId="48689" xr:uid="{11D70145-C2F4-4C07-AFC1-9542858BFC82}"/>
    <cellStyle name="Comma 9 4 2 3" xfId="49597" xr:uid="{20FE2BF5-4E08-47C0-BBB7-A0CA528E0C87}"/>
    <cellStyle name="Comma 9 4 3" xfId="48688" xr:uid="{C0AF3D2B-E8FC-4C64-8A68-33D9D4395245}"/>
    <cellStyle name="Comma 9 4 4" xfId="49596" xr:uid="{CC33915C-5541-4D4A-B54C-E2C2C3BC7849}"/>
    <cellStyle name="Comma 9 5" xfId="23819" xr:uid="{72B21F1B-62AF-46F0-9021-38619B61AD06}"/>
    <cellStyle name="Comma 9 5 2" xfId="23820" xr:uid="{12DCE16B-2EE6-4FC0-A6B8-C5771F26DCD4}"/>
    <cellStyle name="Comma 9 5 2 2" xfId="48691" xr:uid="{39E2FC6D-D3F6-41CC-AE43-1BF224E67693}"/>
    <cellStyle name="Comma 9 5 2 3" xfId="49599" xr:uid="{3780480E-ABB3-4F09-9EF7-6BDD5664DC70}"/>
    <cellStyle name="Comma 9 5 3" xfId="48690" xr:uid="{44AEAF13-20B1-4EF3-A956-DBBECB66A74E}"/>
    <cellStyle name="Comma 9 5 4" xfId="49598" xr:uid="{DE4A3083-EBBC-49BF-84CD-5839B0AED769}"/>
    <cellStyle name="Comma 9 6" xfId="23821" xr:uid="{7FE59EF3-E3D2-4912-B7C4-7A25FBD82D2B}"/>
    <cellStyle name="Comma 9 6 2" xfId="48692" xr:uid="{A0097E1B-BAE8-49F7-B563-1B01BF14DE07}"/>
    <cellStyle name="Comma 9 6 3" xfId="49600" xr:uid="{74634EAE-D774-47C0-A968-BE5AD568B5EF}"/>
    <cellStyle name="Comma 9 7" xfId="23822" xr:uid="{6020BFC7-FA6A-479E-A4F8-6631C23FA854}"/>
    <cellStyle name="Comma 9 7 2" xfId="48693" xr:uid="{69B694D4-D057-42D9-8398-83F94B1FF598}"/>
    <cellStyle name="Comma 9 7 3" xfId="49601" xr:uid="{AF2F913A-6618-4569-88C9-EC72AE68D4DF}"/>
    <cellStyle name="Comma 9 8" xfId="23823" xr:uid="{516CA0E2-48CF-4862-AEE8-E950ADA6BA29}"/>
    <cellStyle name="Comma 9 8 2" xfId="32701" xr:uid="{FB836316-530A-44F9-8533-14F10C9FE981}"/>
    <cellStyle name="Comma 9 8 3" xfId="48694" xr:uid="{A629F561-819D-4E20-9B90-D8BCCDD45490}"/>
    <cellStyle name="Comma 9 8 4" xfId="49602" xr:uid="{3EF529CB-10F3-46A6-A90D-02DAE9E5A49C}"/>
    <cellStyle name="Comma 9 9" xfId="23808" xr:uid="{7FB30C84-A9D6-4047-8441-911E39C5BEA7}"/>
    <cellStyle name="Comma0" xfId="32263" xr:uid="{19F99CA8-8CCE-406B-8636-C3E514F185C5}"/>
    <cellStyle name="Comma0 - Type3" xfId="55" xr:uid="{00000000-0005-0000-0000-00005B000000}"/>
    <cellStyle name="Comma0 - Typografi1" xfId="32264" xr:uid="{4B045405-7C34-49C0-8A07-150231FA0BA8}"/>
    <cellStyle name="Comma0 - Typografi1 2" xfId="32265" xr:uid="{531AC95C-D3FF-44CB-9625-230491217C7E}"/>
    <cellStyle name="Comma0 - Typografi1 2 2" xfId="32266" xr:uid="{630935BA-1E30-4C9B-AC0A-76CDEB139CB5}"/>
    <cellStyle name="Comma0 - Typografi1 3" xfId="32267" xr:uid="{5FDA2D66-6C34-4427-B602-2DBB0D69FD2C}"/>
    <cellStyle name="Comma0 - Typografi1 4" xfId="32268" xr:uid="{2E1AB264-C9A4-417C-B41B-EEC8E89A777B}"/>
    <cellStyle name="Comma1 - Typografi1" xfId="32269" xr:uid="{F9D1E7F4-9E4F-465F-B437-D07210519202}"/>
    <cellStyle name="Constants" xfId="30233" xr:uid="{F0F961A8-89A9-4B4D-BDC8-6FBA60A3B298}"/>
    <cellStyle name="Currency0" xfId="32270" xr:uid="{CE452AD4-E5D9-4C57-B561-D18C292DF963}"/>
    <cellStyle name="CustomizationCells" xfId="56" xr:uid="{00000000-0005-0000-0000-00005C000000}"/>
    <cellStyle name="CustomizationCells 2" xfId="57" xr:uid="{00000000-0005-0000-0000-00005D000000}"/>
    <cellStyle name="CustomizationCells 2 2" xfId="17480" xr:uid="{E8700639-7ED7-4486-B26F-7BF447BAAFE3}"/>
    <cellStyle name="CustomizationCells 2 2 2" xfId="21244" xr:uid="{C962E7F3-AE09-479B-8642-8EAD84312A65}"/>
    <cellStyle name="CustomizationCells 2 3" xfId="17702" xr:uid="{C749AE0A-6FC3-4921-9B2E-3A4F930EA1A3}"/>
    <cellStyle name="CustomizationCells 2 3 2" xfId="35067" xr:uid="{E75185DE-DE41-4A66-9908-2B015AC82A36}"/>
    <cellStyle name="CustomizationCells 2 4" xfId="32703" xr:uid="{915E5650-600D-4195-949E-3C3B82EE7F56}"/>
    <cellStyle name="CustomizationCells 3" xfId="2633" xr:uid="{146D01EB-6F1B-4F18-8F69-CC4AF91F5D02}"/>
    <cellStyle name="CustomizationCells 3 2" xfId="17708" xr:uid="{DDC4A8AB-E393-4383-8DCC-91624502DD4F}"/>
    <cellStyle name="CustomizationCells 3 2 2" xfId="35068" xr:uid="{E64303B3-FFA5-4346-926A-8645B19EB83E}"/>
    <cellStyle name="CustomizationCells 3 3" xfId="32704" xr:uid="{D68C32D4-1E50-4BE1-95A8-6A59D7421A01}"/>
    <cellStyle name="CustomizationCells 4" xfId="8953" xr:uid="{15C16EAE-A2BD-4D04-99D3-6A11E0EA3C1C}"/>
    <cellStyle name="CustomizationCells 4 2" xfId="32619" xr:uid="{1C0EBD78-D768-4005-AF8A-5208EE9DAB1A}"/>
    <cellStyle name="CustomizationCells 4 2 2" xfId="35568" xr:uid="{4BA62B6F-AAB0-429D-B12B-61B32CF58FD1}"/>
    <cellStyle name="CustomizationCells 4 3" xfId="32705" xr:uid="{A4B4484D-4F98-47EC-8DF9-F6B142148D6C}"/>
    <cellStyle name="CustomizationCells 5" xfId="8954" xr:uid="{011FBF54-4632-4406-9CD7-FC09ADF61145}"/>
    <cellStyle name="CustomizationCells 5 2" xfId="32620" xr:uid="{398E82CA-9BDA-4C59-B0BF-6F308EA85E24}"/>
    <cellStyle name="CustomizationCells 5 2 2" xfId="35569" xr:uid="{8ED9CB0C-0AD6-4E7C-8C25-54445163CA49}"/>
    <cellStyle name="CustomizationCells 5 3" xfId="32706" xr:uid="{31FE5F15-C5CC-4BE4-830D-A664A9949791}"/>
    <cellStyle name="CustomizationCells 6" xfId="8955" xr:uid="{FD542DBE-47F8-41BC-B97B-5AE3104C1435}"/>
    <cellStyle name="CustomizationCells 6 2" xfId="32621" xr:uid="{CE10CFE0-871C-4589-9447-5096DA8B3500}"/>
    <cellStyle name="CustomizationCells 6 2 2" xfId="35570" xr:uid="{B79825D8-0A36-4F3F-811D-B965D1D8A5DB}"/>
    <cellStyle name="CustomizationCells 6 3" xfId="32707" xr:uid="{6912C1FC-9F3D-441F-8E8D-B17A0FC0CB8C}"/>
    <cellStyle name="CustomizationCells 7" xfId="32622" xr:uid="{23F6CA4E-B36B-4A0D-9F1A-8D4190869B82}"/>
    <cellStyle name="CustomizationCells 7 2" xfId="35571" xr:uid="{3FCADD36-E34F-4361-AA3D-EEEFC4426B84}"/>
    <cellStyle name="CustomizationCells 8" xfId="32702" xr:uid="{4A49FCBD-049D-4924-8B15-C2ADCCA0C150}"/>
    <cellStyle name="Date" xfId="32271" xr:uid="{41F48BA8-655D-4406-B953-D87B59B24B04}"/>
    <cellStyle name="Date - Typografi3" xfId="32272" xr:uid="{5D941885-C177-4AAB-9552-B4D2B72889D9}"/>
    <cellStyle name="DocBox_EmptyRow" xfId="30234" xr:uid="{EF6A2F0F-9ADD-49AA-A186-5AF99912625A}"/>
    <cellStyle name="Empty_B_border" xfId="30235" xr:uid="{BCA60B99-43F2-4210-8B8D-F5F22D13ABB3}"/>
    <cellStyle name="Euro" xfId="58" xr:uid="{00000000-0005-0000-0000-00005E000000}"/>
    <cellStyle name="Euro 10" xfId="59" xr:uid="{00000000-0005-0000-0000-00005F000000}"/>
    <cellStyle name="Euro 10 2" xfId="60" xr:uid="{00000000-0005-0000-0000-000060000000}"/>
    <cellStyle name="Euro 10 2 2" xfId="2634" xr:uid="{1EDEA218-6934-4CF5-A2E3-7C8FC104EB45}"/>
    <cellStyle name="Euro 10 2 2 2" xfId="13378" xr:uid="{CBD6504B-D4BC-4B5F-A836-34FAA5A86924}"/>
    <cellStyle name="Euro 10 2 3" xfId="13058" xr:uid="{291D0FE2-6FAF-435C-BE54-82B38A5E5E51}"/>
    <cellStyle name="Euro 10 3" xfId="61" xr:uid="{00000000-0005-0000-0000-000061000000}"/>
    <cellStyle name="Euro 10 3 2" xfId="62" xr:uid="{00000000-0005-0000-0000-000062000000}"/>
    <cellStyle name="Euro 10 3 2 2" xfId="1295" xr:uid="{00000000-0005-0000-0000-000063000000}"/>
    <cellStyle name="Euro 10 3 2 3" xfId="7720" xr:uid="{381505E0-497F-4A3D-9B42-BC26202A1630}"/>
    <cellStyle name="Euro 10 3 2 3 2" xfId="13840" xr:uid="{C77F51C1-A7BA-4562-AE7A-34BCFC877C76}"/>
    <cellStyle name="Euro 10 3 3" xfId="2635" xr:uid="{C828FBB5-3AD2-41BF-9ACD-064A6D11F400}"/>
    <cellStyle name="Euro 10 3 3 2" xfId="8956" xr:uid="{67FB978E-4124-4993-B861-FAFE7D0AD038}"/>
    <cellStyle name="Euro 10 3 4" xfId="2636" xr:uid="{E7B3121A-8F02-42CA-B0FE-2FF50EF7B100}"/>
    <cellStyle name="Euro 10 3 4 2" xfId="13372" xr:uid="{AD0E0AC7-302C-44DE-B50A-D09916C40854}"/>
    <cellStyle name="Euro 10 3 5" xfId="12157" xr:uid="{1A9B4E58-87CB-4CF7-B0BF-F46619B0F377}"/>
    <cellStyle name="Euro 10 4" xfId="1296" xr:uid="{00000000-0005-0000-0000-000064000000}"/>
    <cellStyle name="Euro 10 4 2" xfId="1297" xr:uid="{00000000-0005-0000-0000-000065000000}"/>
    <cellStyle name="Euro 10 4 2 2" xfId="8957" xr:uid="{5F7290A8-911A-4D0D-88DC-8F848EF1A741}"/>
    <cellStyle name="Euro 10 4 2 3" xfId="17745" xr:uid="{EB08DE78-3479-4ADE-88C2-D2E742CA48C6}"/>
    <cellStyle name="Euro 10 4 2 4" xfId="17476" xr:uid="{1076346C-A676-47C9-916E-3C5E0A3213AF}"/>
    <cellStyle name="Euro 10 4 3" xfId="8958" xr:uid="{53FF7FF5-1043-48C1-B74F-9A86DF0D4F91}"/>
    <cellStyle name="Euro 10 5" xfId="1298" xr:uid="{00000000-0005-0000-0000-000066000000}"/>
    <cellStyle name="Euro 10 6" xfId="2637" xr:uid="{DFDC68DE-66EF-4A3A-8273-D936E0F346FA}"/>
    <cellStyle name="Euro 10 6 2" xfId="9603" xr:uid="{A54670A6-47C9-425D-9302-E6B0F8848218}"/>
    <cellStyle name="Euro 11" xfId="63" xr:uid="{00000000-0005-0000-0000-000067000000}"/>
    <cellStyle name="Euro 11 2" xfId="64" xr:uid="{00000000-0005-0000-0000-000068000000}"/>
    <cellStyle name="Euro 11 2 2" xfId="2638" xr:uid="{331925C2-6CAE-4C5F-B6DC-A8C8721A51B7}"/>
    <cellStyle name="Euro 11 2 2 2" xfId="13379" xr:uid="{F122CD09-7982-4192-867D-F727A39B8472}"/>
    <cellStyle name="Euro 11 2 3" xfId="13059" xr:uid="{B7C53E86-E0E0-4659-AE84-59A2E9B5A51E}"/>
    <cellStyle name="Euro 11 3" xfId="65" xr:uid="{00000000-0005-0000-0000-000069000000}"/>
    <cellStyle name="Euro 11 3 2" xfId="66" xr:uid="{00000000-0005-0000-0000-00006A000000}"/>
    <cellStyle name="Euro 11 3 2 2" xfId="1299" xr:uid="{00000000-0005-0000-0000-00006B000000}"/>
    <cellStyle name="Euro 11 3 2 3" xfId="7721" xr:uid="{7F611391-1F7D-478B-9728-62496F847196}"/>
    <cellStyle name="Euro 11 3 2 3 2" xfId="13841" xr:uid="{7378873B-3CE4-4AF2-80F0-DDCAE7E995BB}"/>
    <cellStyle name="Euro 11 3 3" xfId="2639" xr:uid="{9F1C7BCA-893D-465D-B2F8-B8886B3AF40D}"/>
    <cellStyle name="Euro 11 3 3 2" xfId="8959" xr:uid="{563EAFB4-A044-4E2E-9539-709B120B9441}"/>
    <cellStyle name="Euro 11 3 4" xfId="2640" xr:uid="{220F82BE-8871-4B76-BA7E-09F0EC9348BF}"/>
    <cellStyle name="Euro 11 3 4 2" xfId="13370" xr:uid="{41ABF63B-7E4C-4FA5-A18E-7FDE8D599BB4}"/>
    <cellStyle name="Euro 11 3 5" xfId="11503" xr:uid="{1FD53367-DEC6-4268-A699-309B3BFDB7DD}"/>
    <cellStyle name="Euro 11 4" xfId="1300" xr:uid="{00000000-0005-0000-0000-00006C000000}"/>
    <cellStyle name="Euro 11 4 2" xfId="1301" xr:uid="{00000000-0005-0000-0000-00006D000000}"/>
    <cellStyle name="Euro 11 4 2 2" xfId="8960" xr:uid="{0713F582-80D1-4731-B0EE-283EB38CC3AD}"/>
    <cellStyle name="Euro 11 4 2 3" xfId="17746" xr:uid="{81795266-44C9-488F-8ACE-76CE33866FE8}"/>
    <cellStyle name="Euro 11 4 2 4" xfId="17475" xr:uid="{E04F53A3-9B42-4002-892D-3963CFDC0C8A}"/>
    <cellStyle name="Euro 11 4 3" xfId="8961" xr:uid="{C8F4566C-9FE7-47B9-A1B2-10447E5C2C99}"/>
    <cellStyle name="Euro 11 5" xfId="1302" xr:uid="{00000000-0005-0000-0000-00006E000000}"/>
    <cellStyle name="Euro 11 6" xfId="2641" xr:uid="{8D2FD16C-1E65-4DA3-928C-91F79A8EE1F1}"/>
    <cellStyle name="Euro 11 6 2" xfId="9604" xr:uid="{8B36E616-D5CA-4C8F-A5F7-531374CCDF6E}"/>
    <cellStyle name="Euro 12" xfId="67" xr:uid="{00000000-0005-0000-0000-00006F000000}"/>
    <cellStyle name="Euro 12 2" xfId="68" xr:uid="{00000000-0005-0000-0000-000070000000}"/>
    <cellStyle name="Euro 12 2 2" xfId="2642" xr:uid="{E1DB87D4-09AA-40E0-AF5D-B5EF2EC94131}"/>
    <cellStyle name="Euro 12 2 2 2" xfId="13380" xr:uid="{4AD26069-9FE2-4B2D-B016-4A142A549551}"/>
    <cellStyle name="Euro 12 2 3" xfId="13060" xr:uid="{8F4887B6-5C30-4D94-AAAC-FFDF2EA748A9}"/>
    <cellStyle name="Euro 12 3" xfId="69" xr:uid="{00000000-0005-0000-0000-000071000000}"/>
    <cellStyle name="Euro 12 3 2" xfId="70" xr:uid="{00000000-0005-0000-0000-000072000000}"/>
    <cellStyle name="Euro 12 3 2 2" xfId="1303" xr:uid="{00000000-0005-0000-0000-000073000000}"/>
    <cellStyle name="Euro 12 3 2 3" xfId="7722" xr:uid="{662D0E2B-6430-4C2C-A6C0-74A846B72B89}"/>
    <cellStyle name="Euro 12 3 2 3 2" xfId="13842" xr:uid="{CC04CA3B-3B91-4BD5-A14C-C97C7DB142F4}"/>
    <cellStyle name="Euro 12 3 3" xfId="2643" xr:uid="{8201B9F2-DA16-4705-A1B2-772E2805E52C}"/>
    <cellStyle name="Euro 12 3 3 2" xfId="8962" xr:uid="{67A8FBB4-A489-47C4-9A22-EF6B25EED43F}"/>
    <cellStyle name="Euro 12 3 4" xfId="2644" xr:uid="{BEBB773B-6963-4C25-9DF1-114B7DCAC88B}"/>
    <cellStyle name="Euro 12 3 4 2" xfId="13369" xr:uid="{9EB0184C-22BC-4590-9BAC-56AD74A5A98E}"/>
    <cellStyle name="Euro 12 3 5" xfId="12169" xr:uid="{E784C573-6118-4991-B5D2-C8A3270EB475}"/>
    <cellStyle name="Euro 12 4" xfId="1304" xr:uid="{00000000-0005-0000-0000-000074000000}"/>
    <cellStyle name="Euro 12 4 2" xfId="1305" xr:uid="{00000000-0005-0000-0000-000075000000}"/>
    <cellStyle name="Euro 12 4 2 2" xfId="8963" xr:uid="{6E0FA135-60CA-46E4-B36D-08BDBC45EDB0}"/>
    <cellStyle name="Euro 12 4 2 3" xfId="17747" xr:uid="{88693ABB-983F-446B-BFAF-E986D9A3714A}"/>
    <cellStyle name="Euro 12 4 2 4" xfId="17474" xr:uid="{F448DCBB-2D92-45DD-AD5C-DB8586D3F649}"/>
    <cellStyle name="Euro 12 4 3" xfId="8964" xr:uid="{F666E61D-7955-4435-B8DC-EEB88467E895}"/>
    <cellStyle name="Euro 12 5" xfId="1306" xr:uid="{00000000-0005-0000-0000-000076000000}"/>
    <cellStyle name="Euro 12 6" xfId="2645" xr:uid="{3473EA4D-3D37-4829-9E57-6152F0314504}"/>
    <cellStyle name="Euro 12 6 2" xfId="9605" xr:uid="{CF9876AB-1907-45FB-89BF-52D482D1445B}"/>
    <cellStyle name="Euro 13" xfId="71" xr:uid="{00000000-0005-0000-0000-000077000000}"/>
    <cellStyle name="Euro 13 2" xfId="72" xr:uid="{00000000-0005-0000-0000-000078000000}"/>
    <cellStyle name="Euro 13 2 2" xfId="2646" xr:uid="{680A9CAA-9020-4B94-AE95-89D403E71CEF}"/>
    <cellStyle name="Euro 13 2 2 2" xfId="13381" xr:uid="{8BC405D5-C020-4B60-A437-E0EA74A30E75}"/>
    <cellStyle name="Euro 13 2 3" xfId="13061" xr:uid="{34B1766E-8BCE-4F7D-8113-DCE09B755CEF}"/>
    <cellStyle name="Euro 13 3" xfId="73" xr:uid="{00000000-0005-0000-0000-000079000000}"/>
    <cellStyle name="Euro 13 3 2" xfId="74" xr:uid="{00000000-0005-0000-0000-00007A000000}"/>
    <cellStyle name="Euro 13 3 2 2" xfId="1307" xr:uid="{00000000-0005-0000-0000-00007B000000}"/>
    <cellStyle name="Euro 13 3 2 3" xfId="7723" xr:uid="{3F0B475B-4AD3-4305-B7C3-DC9915492A8B}"/>
    <cellStyle name="Euro 13 3 2 3 2" xfId="13843" xr:uid="{82F4AFA9-92BE-4504-88BC-17F8DF6C7417}"/>
    <cellStyle name="Euro 13 3 3" xfId="2647" xr:uid="{CC55402C-95D2-440D-8FE6-8172EDE9172F}"/>
    <cellStyle name="Euro 13 3 3 2" xfId="8965" xr:uid="{1509F91B-A769-497E-A2F0-558935BC282F}"/>
    <cellStyle name="Euro 13 3 4" xfId="2648" xr:uid="{73C0E437-9AB2-424A-9939-E6B2D5E3D54B}"/>
    <cellStyle name="Euro 13 3 4 2" xfId="13631" xr:uid="{396B5E79-116C-4FAC-B5AB-9C4FADADE325}"/>
    <cellStyle name="Euro 13 3 5" xfId="12425" xr:uid="{93071657-0CD6-4F84-88B9-3419C6824768}"/>
    <cellStyle name="Euro 13 4" xfId="1308" xr:uid="{00000000-0005-0000-0000-00007C000000}"/>
    <cellStyle name="Euro 13 4 2" xfId="1309" xr:uid="{00000000-0005-0000-0000-00007D000000}"/>
    <cellStyle name="Euro 13 4 2 2" xfId="8966" xr:uid="{B38437D7-F67B-4C39-B2DD-D2F3428F1348}"/>
    <cellStyle name="Euro 13 4 2 3" xfId="17748" xr:uid="{B754459F-ABC3-4116-B837-FC035E75964B}"/>
    <cellStyle name="Euro 13 4 2 4" xfId="17473" xr:uid="{797C66EA-21E6-4DA9-A0F5-03832E6415B1}"/>
    <cellStyle name="Euro 13 4 3" xfId="8967" xr:uid="{AD480366-C4D4-4D78-8B4B-46B1C7ED1E70}"/>
    <cellStyle name="Euro 13 5" xfId="1310" xr:uid="{00000000-0005-0000-0000-00007E000000}"/>
    <cellStyle name="Euro 13 6" xfId="2649" xr:uid="{D2518D39-A69F-4A55-9B00-B5EE0CD816B6}"/>
    <cellStyle name="Euro 13 6 2" xfId="9606" xr:uid="{EBBCD008-F274-48C8-9CD9-72922F056063}"/>
    <cellStyle name="Euro 14" xfId="75" xr:uid="{00000000-0005-0000-0000-00007F000000}"/>
    <cellStyle name="Euro 14 2" xfId="76" xr:uid="{00000000-0005-0000-0000-000080000000}"/>
    <cellStyle name="Euro 14 2 2" xfId="2650" xr:uid="{EE797687-1F32-42C6-8F11-E3ED55DE2706}"/>
    <cellStyle name="Euro 14 2 2 2" xfId="13382" xr:uid="{D1E83B99-B35B-46BC-A938-50E000D506BB}"/>
    <cellStyle name="Euro 14 2 3" xfId="13062" xr:uid="{CA2B2627-F050-45AE-9F01-B6C1DD2C5AD7}"/>
    <cellStyle name="Euro 14 3" xfId="77" xr:uid="{00000000-0005-0000-0000-000081000000}"/>
    <cellStyle name="Euro 14 3 2" xfId="78" xr:uid="{00000000-0005-0000-0000-000082000000}"/>
    <cellStyle name="Euro 14 3 2 2" xfId="1311" xr:uid="{00000000-0005-0000-0000-000083000000}"/>
    <cellStyle name="Euro 14 3 2 3" xfId="7724" xr:uid="{3776CF11-9490-4602-85AF-3A49F2C4B26A}"/>
    <cellStyle name="Euro 14 3 2 3 2" xfId="13844" xr:uid="{90406BCD-FF18-4ED3-9BA5-351BF54E5009}"/>
    <cellStyle name="Euro 14 3 3" xfId="2651" xr:uid="{05A7F513-95F6-47C1-938A-53BD109AC640}"/>
    <cellStyle name="Euro 14 3 3 2" xfId="8968" xr:uid="{58FF3C3A-172F-4F43-ABA7-F6B7A841ADAD}"/>
    <cellStyle name="Euro 14 3 4" xfId="2652" xr:uid="{A7DCC8A8-53B6-4611-9828-277C1CD2DA0C}"/>
    <cellStyle name="Euro 14 3 4 2" xfId="13632" xr:uid="{71C2A52B-E6B7-4F37-9FF2-7FED6F40A80D}"/>
    <cellStyle name="Euro 14 3 5" xfId="11502" xr:uid="{6C7D4066-8C56-45F7-914F-EA7928F887D3}"/>
    <cellStyle name="Euro 14 4" xfId="1312" xr:uid="{00000000-0005-0000-0000-000084000000}"/>
    <cellStyle name="Euro 14 4 2" xfId="1313" xr:uid="{00000000-0005-0000-0000-000085000000}"/>
    <cellStyle name="Euro 14 4 2 2" xfId="8969" xr:uid="{31DF38FB-EE5A-494E-847A-E54FE8931A61}"/>
    <cellStyle name="Euro 14 4 2 3" xfId="17749" xr:uid="{7E30DA46-0087-45E4-8056-A2CFE66F29C3}"/>
    <cellStyle name="Euro 14 4 2 4" xfId="17472" xr:uid="{DAC937FC-CC2B-4DEC-85EE-E19128DECCB1}"/>
    <cellStyle name="Euro 14 4 3" xfId="8970" xr:uid="{F393D52E-DAF0-478D-9EFA-113E7E15F833}"/>
    <cellStyle name="Euro 14 5" xfId="1314" xr:uid="{00000000-0005-0000-0000-000086000000}"/>
    <cellStyle name="Euro 14 6" xfId="2653" xr:uid="{9CCA283E-AB64-49A5-B3E7-5442BE444A2C}"/>
    <cellStyle name="Euro 14 6 2" xfId="9607" xr:uid="{162A14FE-FCD8-4383-9FB6-C14EC6B1CEEF}"/>
    <cellStyle name="Euro 15" xfId="79" xr:uid="{00000000-0005-0000-0000-000087000000}"/>
    <cellStyle name="Euro 15 2" xfId="80" xr:uid="{00000000-0005-0000-0000-000088000000}"/>
    <cellStyle name="Euro 15 2 2" xfId="2654" xr:uid="{5E5702C8-6CE0-4949-A91E-AF89A080D9FE}"/>
    <cellStyle name="Euro 15 2 2 2" xfId="13383" xr:uid="{F193E444-5DE4-483B-8AEA-936D66476529}"/>
    <cellStyle name="Euro 15 2 3" xfId="13063" xr:uid="{E26D53A5-3B8E-4546-8ABF-249985D5603C}"/>
    <cellStyle name="Euro 15 3" xfId="81" xr:uid="{00000000-0005-0000-0000-000089000000}"/>
    <cellStyle name="Euro 15 3 2" xfId="82" xr:uid="{00000000-0005-0000-0000-00008A000000}"/>
    <cellStyle name="Euro 15 3 2 2" xfId="1315" xr:uid="{00000000-0005-0000-0000-00008B000000}"/>
    <cellStyle name="Euro 15 3 2 3" xfId="7725" xr:uid="{7F1FEC3B-980A-4675-AD78-AC31381862F6}"/>
    <cellStyle name="Euro 15 3 2 3 2" xfId="13845" xr:uid="{200E2726-D5E7-46FD-B99E-2CEB76C2FCAB}"/>
    <cellStyle name="Euro 15 3 3" xfId="2655" xr:uid="{B83CC740-E139-42C0-8BA1-57FAE3C5229F}"/>
    <cellStyle name="Euro 15 3 3 2" xfId="8971" xr:uid="{16DB75B1-80AD-48BB-A71E-6A0D717332F9}"/>
    <cellStyle name="Euro 15 3 4" xfId="2656" xr:uid="{A0740F92-99B8-4233-A480-AD3345542EEE}"/>
    <cellStyle name="Euro 15 3 4 2" xfId="13633" xr:uid="{83BA2FD3-6086-4539-9527-A5972B18A437}"/>
    <cellStyle name="Euro 15 3 5" xfId="11541" xr:uid="{2520387D-CBC1-446F-BFC6-E3D2219848E3}"/>
    <cellStyle name="Euro 15 4" xfId="1316" xr:uid="{00000000-0005-0000-0000-00008C000000}"/>
    <cellStyle name="Euro 15 4 2" xfId="1317" xr:uid="{00000000-0005-0000-0000-00008D000000}"/>
    <cellStyle name="Euro 15 4 2 2" xfId="8972" xr:uid="{9A26239E-0357-4252-B3DA-55DADA112EFA}"/>
    <cellStyle name="Euro 15 4 2 3" xfId="17750" xr:uid="{3AEBFBA4-D983-4E53-9169-8502D52F7505}"/>
    <cellStyle name="Euro 15 4 2 4" xfId="17471" xr:uid="{6E015974-D8EE-4187-90E5-2265499BFE8E}"/>
    <cellStyle name="Euro 15 4 3" xfId="8973" xr:uid="{7F3A27BE-8CE7-4AD9-A3B5-AC441062BCC5}"/>
    <cellStyle name="Euro 15 5" xfId="1318" xr:uid="{00000000-0005-0000-0000-00008E000000}"/>
    <cellStyle name="Euro 15 6" xfId="2657" xr:uid="{5FDB20AF-A1BC-4AAA-B4F4-5567D2F2E219}"/>
    <cellStyle name="Euro 15 6 2" xfId="9608" xr:uid="{CD1B803E-1D32-47E6-87BD-AE8DF0965C3C}"/>
    <cellStyle name="Euro 16" xfId="83" xr:uid="{00000000-0005-0000-0000-00008F000000}"/>
    <cellStyle name="Euro 16 2" xfId="84" xr:uid="{00000000-0005-0000-0000-000090000000}"/>
    <cellStyle name="Euro 16 2 2" xfId="2658" xr:uid="{F49E82B6-DE35-4F24-85DC-B38CDE23003B}"/>
    <cellStyle name="Euro 16 2 2 2" xfId="13384" xr:uid="{E45D09E3-40E9-4C84-893F-E20FAFB0A148}"/>
    <cellStyle name="Euro 16 2 3" xfId="13064" xr:uid="{69BC91D7-6CA0-4173-8092-2A0EAE034A3C}"/>
    <cellStyle name="Euro 16 3" xfId="85" xr:uid="{00000000-0005-0000-0000-000091000000}"/>
    <cellStyle name="Euro 16 3 2" xfId="86" xr:uid="{00000000-0005-0000-0000-000092000000}"/>
    <cellStyle name="Euro 16 3 2 2" xfId="1319" xr:uid="{00000000-0005-0000-0000-000093000000}"/>
    <cellStyle name="Euro 16 3 2 3" xfId="7726" xr:uid="{2307D866-22A4-495E-9E0B-AA54729D2222}"/>
    <cellStyle name="Euro 16 3 2 3 2" xfId="13846" xr:uid="{236C6348-27C1-4F68-A5A7-7F6B0E024B95}"/>
    <cellStyle name="Euro 16 3 3" xfId="2659" xr:uid="{8A3C2048-4A6A-4D62-A337-77C0D3D9F33C}"/>
    <cellStyle name="Euro 16 3 3 2" xfId="8974" xr:uid="{83AD4C86-8983-40E3-AA1C-CEF990790D0F}"/>
    <cellStyle name="Euro 16 3 4" xfId="2660" xr:uid="{E873FE57-590D-4331-B576-ABD032879413}"/>
    <cellStyle name="Euro 16 3 4 2" xfId="13634" xr:uid="{18CE9A62-70C2-4642-86CB-1636042397BB}"/>
    <cellStyle name="Euro 16 3 5" xfId="11126" xr:uid="{C71D0D57-D657-4ED0-968F-59FF0FD0E75D}"/>
    <cellStyle name="Euro 16 4" xfId="1320" xr:uid="{00000000-0005-0000-0000-000094000000}"/>
    <cellStyle name="Euro 16 4 2" xfId="1321" xr:uid="{00000000-0005-0000-0000-000095000000}"/>
    <cellStyle name="Euro 16 4 2 2" xfId="8975" xr:uid="{43361E87-3425-4FD6-88F9-E2DD0691E788}"/>
    <cellStyle name="Euro 16 4 2 3" xfId="17751" xr:uid="{A1D6D2DD-DA65-4A69-AF65-5AD691C98B8F}"/>
    <cellStyle name="Euro 16 4 2 4" xfId="17470" xr:uid="{C29556FE-BBC2-451C-8A77-2804F707E88E}"/>
    <cellStyle name="Euro 16 4 3" xfId="8976" xr:uid="{CACA097E-2A90-497D-AF10-B811ED0D07CB}"/>
    <cellStyle name="Euro 16 5" xfId="1322" xr:uid="{00000000-0005-0000-0000-000096000000}"/>
    <cellStyle name="Euro 16 6" xfId="2661" xr:uid="{E1516FBE-F6C8-4946-BCA8-08FA79ADFE19}"/>
    <cellStyle name="Euro 16 6 2" xfId="9609" xr:uid="{DEB7A759-1494-4690-A16D-E1EC67CCF73D}"/>
    <cellStyle name="Euro 17" xfId="87" xr:uid="{00000000-0005-0000-0000-000097000000}"/>
    <cellStyle name="Euro 17 2" xfId="88" xr:uid="{00000000-0005-0000-0000-000098000000}"/>
    <cellStyle name="Euro 17 2 2" xfId="2662" xr:uid="{0A5D3732-C88C-4EDA-A018-4EA80FD69FC7}"/>
    <cellStyle name="Euro 17 2 2 2" xfId="13385" xr:uid="{306B8DE1-74DC-45DB-9415-84FE489D12AD}"/>
    <cellStyle name="Euro 17 2 3" xfId="13065" xr:uid="{76A757E3-B4EE-43F3-9F4C-9F6BA4F306B3}"/>
    <cellStyle name="Euro 17 3" xfId="89" xr:uid="{00000000-0005-0000-0000-000099000000}"/>
    <cellStyle name="Euro 17 3 2" xfId="90" xr:uid="{00000000-0005-0000-0000-00009A000000}"/>
    <cellStyle name="Euro 17 3 2 2" xfId="1323" xr:uid="{00000000-0005-0000-0000-00009B000000}"/>
    <cellStyle name="Euro 17 3 2 3" xfId="7727" xr:uid="{08986EFB-ADFB-4F4B-9C8B-8F1CA11A98CF}"/>
    <cellStyle name="Euro 17 3 2 3 2" xfId="13847" xr:uid="{CDBAA141-11A0-43FE-B456-5524BB01FDDC}"/>
    <cellStyle name="Euro 17 3 3" xfId="2663" xr:uid="{A8648A47-2CCF-4FCF-8309-74F052EAAF7A}"/>
    <cellStyle name="Euro 17 3 3 2" xfId="8977" xr:uid="{E5C0E140-E546-47E9-BB5D-1A2E76081806}"/>
    <cellStyle name="Euro 17 3 4" xfId="2664" xr:uid="{2B5F9414-3BAD-409A-B6A9-8142BA3C80DC}"/>
    <cellStyle name="Euro 17 3 4 2" xfId="13635" xr:uid="{23A07F43-DC65-4251-B81E-8EA770E56E07}"/>
    <cellStyle name="Euro 17 3 5" xfId="12232" xr:uid="{15961703-510E-4393-AD46-4EF01DB308C9}"/>
    <cellStyle name="Euro 17 4" xfId="1324" xr:uid="{00000000-0005-0000-0000-00009C000000}"/>
    <cellStyle name="Euro 17 4 2" xfId="1325" xr:uid="{00000000-0005-0000-0000-00009D000000}"/>
    <cellStyle name="Euro 17 4 2 2" xfId="8978" xr:uid="{78D5E8D3-F1BC-45BA-B8E4-0613869272A7}"/>
    <cellStyle name="Euro 17 4 2 3" xfId="17752" xr:uid="{FE0447C8-B3D7-4FD4-B8AB-8572457C699A}"/>
    <cellStyle name="Euro 17 4 2 4" xfId="17469" xr:uid="{7A378CBC-A1A1-4CF0-BA3A-0D8446FA16AC}"/>
    <cellStyle name="Euro 17 4 3" xfId="8979" xr:uid="{2BBE8F38-E9A3-40FE-B8BE-F6FE9DD4C7AA}"/>
    <cellStyle name="Euro 17 5" xfId="1326" xr:uid="{00000000-0005-0000-0000-00009E000000}"/>
    <cellStyle name="Euro 17 6" xfId="2665" xr:uid="{B0C92C5E-DD11-4102-8032-ADE2BA48EF4B}"/>
    <cellStyle name="Euro 17 6 2" xfId="9610" xr:uid="{775B13BD-EF34-4028-B8F1-9F9CC8D0AA04}"/>
    <cellStyle name="Euro 18" xfId="91" xr:uid="{00000000-0005-0000-0000-00009F000000}"/>
    <cellStyle name="Euro 18 2" xfId="92" xr:uid="{00000000-0005-0000-0000-0000A0000000}"/>
    <cellStyle name="Euro 18 2 2" xfId="2666" xr:uid="{170EC77F-3FBB-4CED-A07E-2FD3B613E388}"/>
    <cellStyle name="Euro 18 2 2 2" xfId="13386" xr:uid="{9C4EF99A-DC8A-4687-8C62-A6DFB76D021B}"/>
    <cellStyle name="Euro 18 2 3" xfId="13066" xr:uid="{E28D4C6E-8294-4236-968A-90149D0E70CD}"/>
    <cellStyle name="Euro 18 3" xfId="93" xr:uid="{00000000-0005-0000-0000-0000A1000000}"/>
    <cellStyle name="Euro 18 3 2" xfId="94" xr:uid="{00000000-0005-0000-0000-0000A2000000}"/>
    <cellStyle name="Euro 18 3 2 2" xfId="1327" xr:uid="{00000000-0005-0000-0000-0000A3000000}"/>
    <cellStyle name="Euro 18 3 2 3" xfId="7728" xr:uid="{F166163C-4332-44ED-8F2F-8D4E5D05FD13}"/>
    <cellStyle name="Euro 18 3 2 3 2" xfId="13848" xr:uid="{50252487-5FCA-4B82-8FD9-CCE855CAC6B7}"/>
    <cellStyle name="Euro 18 3 3" xfId="2667" xr:uid="{291A26A0-E010-4D40-AACF-128993C94151}"/>
    <cellStyle name="Euro 18 3 3 2" xfId="8980" xr:uid="{547EA8C8-F099-46B7-83B4-59B826325790}"/>
    <cellStyle name="Euro 18 3 4" xfId="2668" xr:uid="{F6314749-1347-4A19-BAEC-00EADEAA6F4B}"/>
    <cellStyle name="Euro 18 3 4 2" xfId="13636" xr:uid="{E7478272-0883-4A8E-BE86-1F8F7D25EE05}"/>
    <cellStyle name="Euro 18 3 5" xfId="12272" xr:uid="{ECC32074-CD53-45A0-81A8-CB3A751BA570}"/>
    <cellStyle name="Euro 18 4" xfId="1328" xr:uid="{00000000-0005-0000-0000-0000A4000000}"/>
    <cellStyle name="Euro 18 4 2" xfId="1329" xr:uid="{00000000-0005-0000-0000-0000A5000000}"/>
    <cellStyle name="Euro 18 4 2 2" xfId="8981" xr:uid="{2505784C-6EEB-48C4-A5CB-8679E782D5CE}"/>
    <cellStyle name="Euro 18 4 2 3" xfId="17753" xr:uid="{C61B4DD3-4BF4-42E4-B230-635B309654CE}"/>
    <cellStyle name="Euro 18 4 2 4" xfId="17467" xr:uid="{10FEE159-9A04-43B3-AADA-6DA5D95CDFF3}"/>
    <cellStyle name="Euro 18 4 3" xfId="8982" xr:uid="{9C56152F-5C95-4878-A2F8-5C43EB5AC8AF}"/>
    <cellStyle name="Euro 18 5" xfId="1330" xr:uid="{00000000-0005-0000-0000-0000A6000000}"/>
    <cellStyle name="Euro 18 6" xfId="2669" xr:uid="{E4A462D4-8C57-4E28-8EB6-79E01CBC064F}"/>
    <cellStyle name="Euro 18 6 2" xfId="9611" xr:uid="{B8BFDBD3-CEA9-4E02-817E-206E15279F3B}"/>
    <cellStyle name="Euro 19" xfId="95" xr:uid="{00000000-0005-0000-0000-0000A7000000}"/>
    <cellStyle name="Euro 19 2" xfId="96" xr:uid="{00000000-0005-0000-0000-0000A8000000}"/>
    <cellStyle name="Euro 19 2 2" xfId="2670" xr:uid="{90E03497-86E7-499C-8618-AE9BB6581498}"/>
    <cellStyle name="Euro 19 2 2 2" xfId="13387" xr:uid="{CA1956BD-4E85-4A76-8739-65BBBB1BF1F1}"/>
    <cellStyle name="Euro 19 2 3" xfId="13067" xr:uid="{EEFC9FCB-F3E3-4A70-869C-3C73F0E4B661}"/>
    <cellStyle name="Euro 19 3" xfId="97" xr:uid="{00000000-0005-0000-0000-0000A9000000}"/>
    <cellStyle name="Euro 19 3 2" xfId="98" xr:uid="{00000000-0005-0000-0000-0000AA000000}"/>
    <cellStyle name="Euro 19 3 2 2" xfId="1331" xr:uid="{00000000-0005-0000-0000-0000AB000000}"/>
    <cellStyle name="Euro 19 3 2 3" xfId="7729" xr:uid="{9D3C6A87-E1C0-4BAB-8567-690418C691AE}"/>
    <cellStyle name="Euro 19 3 2 3 2" xfId="13849" xr:uid="{0FA8119F-D38D-41D3-BFDA-4EDA5EB5F413}"/>
    <cellStyle name="Euro 19 3 3" xfId="2671" xr:uid="{7F3427F6-1472-46E9-94A9-635F8F6F7CA8}"/>
    <cellStyle name="Euro 19 3 3 2" xfId="8983" xr:uid="{07EE67F9-1E79-432A-A4DF-3CE742AADCCA}"/>
    <cellStyle name="Euro 19 3 4" xfId="2672" xr:uid="{F7B1939E-0A03-40E8-954B-33BD11B02C9A}"/>
    <cellStyle name="Euro 19 3 4 2" xfId="13637" xr:uid="{07F00BD2-6493-416C-8051-2B38054820A5}"/>
    <cellStyle name="Euro 19 3 5" xfId="12233" xr:uid="{4F0434CD-2868-4F45-AB35-CFF3522D3B8B}"/>
    <cellStyle name="Euro 19 4" xfId="1332" xr:uid="{00000000-0005-0000-0000-0000AC000000}"/>
    <cellStyle name="Euro 19 4 2" xfId="1333" xr:uid="{00000000-0005-0000-0000-0000AD000000}"/>
    <cellStyle name="Euro 19 4 2 2" xfId="8984" xr:uid="{8FF8B24D-EBE8-4C88-9659-397E779C0E61}"/>
    <cellStyle name="Euro 19 4 2 3" xfId="17754" xr:uid="{C7F193D7-CD80-4A3E-AE0E-F9618E150B59}"/>
    <cellStyle name="Euro 19 4 2 4" xfId="17466" xr:uid="{117F0345-34AD-49D4-BC84-853355558400}"/>
    <cellStyle name="Euro 19 4 3" xfId="8985" xr:uid="{4B9DB130-6D35-4A05-A576-C1CFE9DF71DA}"/>
    <cellStyle name="Euro 19 5" xfId="1334" xr:uid="{00000000-0005-0000-0000-0000AE000000}"/>
    <cellStyle name="Euro 19 6" xfId="2673" xr:uid="{39E6090D-7D34-436A-A546-E8DE96CE574A}"/>
    <cellStyle name="Euro 19 6 2" xfId="9612" xr:uid="{A9E75766-3143-429B-B3B2-7E1768FEC0FC}"/>
    <cellStyle name="Euro 2" xfId="99" xr:uid="{00000000-0005-0000-0000-0000AF000000}"/>
    <cellStyle name="Euro 2 2" xfId="100" xr:uid="{00000000-0005-0000-0000-0000B0000000}"/>
    <cellStyle name="Euro 2 2 2" xfId="2674" xr:uid="{0E18AF62-9E79-42C6-8CC9-6470CB952FDC}"/>
    <cellStyle name="Euro 2 2 2 2" xfId="13388" xr:uid="{60F26FDC-F9FD-4AE9-AAB6-B178A4411759}"/>
    <cellStyle name="Euro 2 2 3" xfId="13068" xr:uid="{E8609C30-2590-4F79-9A57-CBD1B535C473}"/>
    <cellStyle name="Euro 2 3" xfId="101" xr:uid="{00000000-0005-0000-0000-0000B1000000}"/>
    <cellStyle name="Euro 2 3 2" xfId="102" xr:uid="{00000000-0005-0000-0000-0000B2000000}"/>
    <cellStyle name="Euro 2 3 2 2" xfId="1335" xr:uid="{00000000-0005-0000-0000-0000B3000000}"/>
    <cellStyle name="Euro 2 3 2 3" xfId="7730" xr:uid="{667AEDEE-E632-49DD-85A7-C83AA0B9DBA3}"/>
    <cellStyle name="Euro 2 3 2 3 2" xfId="13850" xr:uid="{B63957B8-B4F3-4BB1-8FF2-C8A509C88D9F}"/>
    <cellStyle name="Euro 2 3 3" xfId="2675" xr:uid="{87448957-AA65-4C29-B29B-6D4156D7EE85}"/>
    <cellStyle name="Euro 2 3 3 2" xfId="8986" xr:uid="{426BF751-9C0C-4DB9-8C43-5C73A55DF4F5}"/>
    <cellStyle name="Euro 2 3 4" xfId="2676" xr:uid="{BA144953-A22B-4C5E-9E99-CC3E8AD8551C}"/>
    <cellStyle name="Euro 2 3 4 2" xfId="13638" xr:uid="{78A765A7-6511-4915-92DF-57DE1FFBB432}"/>
    <cellStyle name="Euro 2 3 5" xfId="12271" xr:uid="{42CF0AA2-A7DE-442C-8D8A-8667493D28E3}"/>
    <cellStyle name="Euro 2 4" xfId="1336" xr:uid="{00000000-0005-0000-0000-0000B4000000}"/>
    <cellStyle name="Euro 2 4 2" xfId="1337" xr:uid="{00000000-0005-0000-0000-0000B5000000}"/>
    <cellStyle name="Euro 2 4 2 2" xfId="8987" xr:uid="{0A314D0B-28B1-4901-AFDC-403746EECD41}"/>
    <cellStyle name="Euro 2 4 2 3" xfId="17755" xr:uid="{5F07F70D-F834-4482-838F-67B267BAC456}"/>
    <cellStyle name="Euro 2 4 2 4" xfId="17465" xr:uid="{614029A6-5A18-4D67-BD76-D431EA6B4D27}"/>
    <cellStyle name="Euro 2 4 3" xfId="8988" xr:uid="{E0035C38-305E-49FE-B9FA-35ACFB417070}"/>
    <cellStyle name="Euro 2 5" xfId="1338" xr:uid="{00000000-0005-0000-0000-0000B6000000}"/>
    <cellStyle name="Euro 2 6" xfId="2677" xr:uid="{7F215AB3-C351-4CE4-B8CC-C1B0D27FD038}"/>
    <cellStyle name="Euro 2 6 2" xfId="9613" xr:uid="{CE6239AA-A5B8-44E6-A188-C65CF8AA6978}"/>
    <cellStyle name="Euro 20" xfId="103" xr:uid="{00000000-0005-0000-0000-0000B7000000}"/>
    <cellStyle name="Euro 20 2" xfId="104" xr:uid="{00000000-0005-0000-0000-0000B8000000}"/>
    <cellStyle name="Euro 20 2 2" xfId="2678" xr:uid="{FBA05471-7C11-4AC9-80EE-84F0B5EF0054}"/>
    <cellStyle name="Euro 20 2 2 2" xfId="13389" xr:uid="{52288046-0EEC-4F2E-BB56-80747569798E}"/>
    <cellStyle name="Euro 20 2 3" xfId="13069" xr:uid="{27370BBC-35E3-458E-9EA0-1BCD24B278C8}"/>
    <cellStyle name="Euro 20 3" xfId="105" xr:uid="{00000000-0005-0000-0000-0000B9000000}"/>
    <cellStyle name="Euro 20 3 2" xfId="106" xr:uid="{00000000-0005-0000-0000-0000BA000000}"/>
    <cellStyle name="Euro 20 3 2 2" xfId="1339" xr:uid="{00000000-0005-0000-0000-0000BB000000}"/>
    <cellStyle name="Euro 20 3 2 3" xfId="7731" xr:uid="{721626D3-E044-43B7-8587-047AC6BA2E8A}"/>
    <cellStyle name="Euro 20 3 2 3 2" xfId="13851" xr:uid="{0C2C3471-CC39-4799-A2E4-4976CB507936}"/>
    <cellStyle name="Euro 20 3 3" xfId="2679" xr:uid="{CF3097BD-D466-4F64-9A16-E78FCE6E0F1F}"/>
    <cellStyle name="Euro 20 3 3 2" xfId="8989" xr:uid="{39FC48D5-7DED-4895-8C08-49D0B960FA6C}"/>
    <cellStyle name="Euro 20 3 4" xfId="2680" xr:uid="{7F88354C-CFF2-4BA3-96EB-54AA16EFE55A}"/>
    <cellStyle name="Euro 20 3 4 2" xfId="13639" xr:uid="{35624CE8-7727-4253-BDB1-9778C2749A8A}"/>
    <cellStyle name="Euro 20 3 5" xfId="11154" xr:uid="{818F3B70-04D8-47ED-A7AB-9E5C93EA7DDB}"/>
    <cellStyle name="Euro 20 4" xfId="1340" xr:uid="{00000000-0005-0000-0000-0000BC000000}"/>
    <cellStyle name="Euro 20 4 2" xfId="1341" xr:uid="{00000000-0005-0000-0000-0000BD000000}"/>
    <cellStyle name="Euro 20 4 2 2" xfId="8990" xr:uid="{282FA0E2-83E7-457F-A7DB-3178E38463D7}"/>
    <cellStyle name="Euro 20 4 2 3" xfId="17756" xr:uid="{8087F2B6-81C8-4977-B7E3-C520564B015D}"/>
    <cellStyle name="Euro 20 4 2 4" xfId="17464" xr:uid="{DA3E9680-3981-42AF-9F35-AB1BA04269BA}"/>
    <cellStyle name="Euro 20 4 3" xfId="8991" xr:uid="{E2CCB520-03C1-4309-94B7-8E8C588417EE}"/>
    <cellStyle name="Euro 20 5" xfId="1342" xr:uid="{00000000-0005-0000-0000-0000BE000000}"/>
    <cellStyle name="Euro 20 6" xfId="2681" xr:uid="{B2120D1B-40EB-42F5-9F7D-5BF72FDFC8B3}"/>
    <cellStyle name="Euro 20 6 2" xfId="9614" xr:uid="{77A1494C-5BE6-4A9A-B8B3-BEEF98254F20}"/>
    <cellStyle name="Euro 21" xfId="107" xr:uid="{00000000-0005-0000-0000-0000BF000000}"/>
    <cellStyle name="Euro 21 2" xfId="108" xr:uid="{00000000-0005-0000-0000-0000C0000000}"/>
    <cellStyle name="Euro 21 2 2" xfId="2682" xr:uid="{58F7FCB7-54EA-49C3-82A3-A0B842E39078}"/>
    <cellStyle name="Euro 21 2 2 2" xfId="13390" xr:uid="{D3D1AEB7-F000-4185-B19E-26D9271A73B8}"/>
    <cellStyle name="Euro 21 2 3" xfId="13070" xr:uid="{8A3F4A7D-ED07-4248-9EA9-61FCCF12590A}"/>
    <cellStyle name="Euro 21 3" xfId="109" xr:uid="{00000000-0005-0000-0000-0000C1000000}"/>
    <cellStyle name="Euro 21 3 2" xfId="110" xr:uid="{00000000-0005-0000-0000-0000C2000000}"/>
    <cellStyle name="Euro 21 3 2 2" xfId="1343" xr:uid="{00000000-0005-0000-0000-0000C3000000}"/>
    <cellStyle name="Euro 21 3 2 3" xfId="7732" xr:uid="{DB0F4D53-B983-4D70-AD24-9CE12D2BB81E}"/>
    <cellStyle name="Euro 21 3 2 3 2" xfId="13852" xr:uid="{D67767F1-163F-40E0-BCC3-AF1CC06E6B6A}"/>
    <cellStyle name="Euro 21 3 3" xfId="2683" xr:uid="{E0E03CBA-DA8D-4AEC-83F9-88AD427C3C50}"/>
    <cellStyle name="Euro 21 3 3 2" xfId="8992" xr:uid="{E43F24F3-CDAA-4924-908A-8D8EAD3FD26C}"/>
    <cellStyle name="Euro 21 3 4" xfId="2684" xr:uid="{384B87F9-49EF-4A33-9B92-3422E3C414B6}"/>
    <cellStyle name="Euro 21 3 4 2" xfId="13640" xr:uid="{C7B14DAA-4D50-45EE-B302-9EF4E0B1C056}"/>
    <cellStyle name="Euro 21 3 5" xfId="11096" xr:uid="{72CFDF9D-C3D2-4AB8-B1C2-E40F13B764C3}"/>
    <cellStyle name="Euro 21 4" xfId="1344" xr:uid="{00000000-0005-0000-0000-0000C4000000}"/>
    <cellStyle name="Euro 21 4 2" xfId="1345" xr:uid="{00000000-0005-0000-0000-0000C5000000}"/>
    <cellStyle name="Euro 21 4 2 2" xfId="8993" xr:uid="{3C0B0944-9F62-4870-B659-F0A65D3E9B53}"/>
    <cellStyle name="Euro 21 4 2 3" xfId="17757" xr:uid="{DE3723D6-D21E-4839-BF3C-02E1831130D7}"/>
    <cellStyle name="Euro 21 4 2 4" xfId="17463" xr:uid="{2F41656E-2304-4AE0-8D5C-CB2C72C7D5B1}"/>
    <cellStyle name="Euro 21 4 3" xfId="8994" xr:uid="{53D92748-826B-44DD-959C-FF6E1F5742DD}"/>
    <cellStyle name="Euro 21 5" xfId="1346" xr:uid="{00000000-0005-0000-0000-0000C6000000}"/>
    <cellStyle name="Euro 21 6" xfId="2685" xr:uid="{F76F4CDE-361A-4965-9436-12F2A306F611}"/>
    <cellStyle name="Euro 21 6 2" xfId="9615" xr:uid="{A7A59F01-F393-4EC2-9C7B-82A1B9D1F7D0}"/>
    <cellStyle name="Euro 22" xfId="111" xr:uid="{00000000-0005-0000-0000-0000C7000000}"/>
    <cellStyle name="Euro 22 2" xfId="112" xr:uid="{00000000-0005-0000-0000-0000C8000000}"/>
    <cellStyle name="Euro 22 2 2" xfId="2686" xr:uid="{42A1A8EC-9210-4BE0-BF2E-F255F17C295A}"/>
    <cellStyle name="Euro 22 2 2 2" xfId="13391" xr:uid="{2FDB9627-3F97-4D1A-B783-9BC3DBD60FA2}"/>
    <cellStyle name="Euro 22 2 3" xfId="13071" xr:uid="{A8EDB673-653A-4320-B3F2-6869F40886CA}"/>
    <cellStyle name="Euro 22 3" xfId="113" xr:uid="{00000000-0005-0000-0000-0000C9000000}"/>
    <cellStyle name="Euro 22 3 2" xfId="114" xr:uid="{00000000-0005-0000-0000-0000CA000000}"/>
    <cellStyle name="Euro 22 3 2 2" xfId="1347" xr:uid="{00000000-0005-0000-0000-0000CB000000}"/>
    <cellStyle name="Euro 22 3 2 3" xfId="7733" xr:uid="{76E71B3C-9378-4558-9EFA-AF4F62E0624A}"/>
    <cellStyle name="Euro 22 3 2 3 2" xfId="13853" xr:uid="{B288664C-AC8F-48B4-8FAE-FAE4C4427C41}"/>
    <cellStyle name="Euro 22 3 3" xfId="2687" xr:uid="{598F09EA-8CC2-4872-8D15-6747F9563DD5}"/>
    <cellStyle name="Euro 22 3 3 2" xfId="8995" xr:uid="{35E07C60-0ED4-4A7E-B5EC-BEB540AD49F6}"/>
    <cellStyle name="Euro 22 3 4" xfId="2688" xr:uid="{CF638226-B2D2-41FB-BBB2-CBFF505F77A3}"/>
    <cellStyle name="Euro 22 3 4 2" xfId="13641" xr:uid="{111229BE-70EA-45CF-A395-89EA80157D54}"/>
    <cellStyle name="Euro 22 3 5" xfId="12236" xr:uid="{1EBBC978-CE9B-4D4B-B570-44BD4CCA4FA6}"/>
    <cellStyle name="Euro 22 4" xfId="1348" xr:uid="{00000000-0005-0000-0000-0000CC000000}"/>
    <cellStyle name="Euro 22 4 2" xfId="1349" xr:uid="{00000000-0005-0000-0000-0000CD000000}"/>
    <cellStyle name="Euro 22 4 2 2" xfId="8996" xr:uid="{CCA14DF4-ED98-4EED-81EF-7502C20CA526}"/>
    <cellStyle name="Euro 22 4 2 3" xfId="17758" xr:uid="{338BC3DC-4A59-4B33-AA92-EE4C5D9CCA4A}"/>
    <cellStyle name="Euro 22 4 2 4" xfId="17461" xr:uid="{B8BC023F-9180-4EE2-A2F9-730FD7A4E9CE}"/>
    <cellStyle name="Euro 22 4 3" xfId="8997" xr:uid="{71F449B4-A56D-4A01-B545-24AC55C1C9C1}"/>
    <cellStyle name="Euro 22 5" xfId="1350" xr:uid="{00000000-0005-0000-0000-0000CE000000}"/>
    <cellStyle name="Euro 22 6" xfId="2689" xr:uid="{AAA5F09E-FB5F-42D9-A8C3-37318C6BA195}"/>
    <cellStyle name="Euro 22 6 2" xfId="9616" xr:uid="{FCD9AC37-72C1-4433-9539-F6E104650268}"/>
    <cellStyle name="Euro 23" xfId="115" xr:uid="{00000000-0005-0000-0000-0000CF000000}"/>
    <cellStyle name="Euro 23 2" xfId="116" xr:uid="{00000000-0005-0000-0000-0000D0000000}"/>
    <cellStyle name="Euro 23 2 2" xfId="2690" xr:uid="{880AEAA4-7EA0-4158-B5E9-EDC7886BFC0D}"/>
    <cellStyle name="Euro 23 2 2 2" xfId="13392" xr:uid="{7FAF7BE2-7FA9-422C-A108-8FBC2226F7DF}"/>
    <cellStyle name="Euro 23 2 3" xfId="13072" xr:uid="{78FDF60C-4C6B-4EF0-AAC2-D609E33DFC39}"/>
    <cellStyle name="Euro 23 3" xfId="117" xr:uid="{00000000-0005-0000-0000-0000D1000000}"/>
    <cellStyle name="Euro 23 3 2" xfId="118" xr:uid="{00000000-0005-0000-0000-0000D2000000}"/>
    <cellStyle name="Euro 23 3 2 2" xfId="1351" xr:uid="{00000000-0005-0000-0000-0000D3000000}"/>
    <cellStyle name="Euro 23 3 2 3" xfId="7734" xr:uid="{0F23B326-FE33-4F23-ACCA-52FF1FA9C917}"/>
    <cellStyle name="Euro 23 3 2 3 2" xfId="13854" xr:uid="{8BFC2948-2497-4856-A259-4376F2C69AA5}"/>
    <cellStyle name="Euro 23 3 3" xfId="2691" xr:uid="{4A5B6CB2-17C5-48D3-BB52-67C166B845AB}"/>
    <cellStyle name="Euro 23 3 3 2" xfId="8998" xr:uid="{B9DAA4C5-09B4-4EA3-B0E7-06659F004A67}"/>
    <cellStyle name="Euro 23 3 4" xfId="2692" xr:uid="{AFEF329C-6B2A-474A-B4E6-1461FAC2DAFE}"/>
    <cellStyle name="Euro 23 3 4 2" xfId="13642" xr:uid="{BDB35EB6-DCC6-4EFB-824A-2743BE2FE5F3}"/>
    <cellStyle name="Euro 23 3 5" xfId="11501" xr:uid="{DE6527A6-9E09-4FE6-9ECE-5067A0A5502F}"/>
    <cellStyle name="Euro 23 4" xfId="1352" xr:uid="{00000000-0005-0000-0000-0000D4000000}"/>
    <cellStyle name="Euro 23 4 2" xfId="1353" xr:uid="{00000000-0005-0000-0000-0000D5000000}"/>
    <cellStyle name="Euro 23 4 2 2" xfId="8999" xr:uid="{5419DD35-7540-431A-A8C7-AB1CF1534A41}"/>
    <cellStyle name="Euro 23 4 2 3" xfId="17759" xr:uid="{5D378151-4C4D-41DE-8D49-8BA29D9D17D0}"/>
    <cellStyle name="Euro 23 4 2 4" xfId="17460" xr:uid="{B447BB1B-1C9A-4F49-B5E6-A65B4255E34B}"/>
    <cellStyle name="Euro 23 4 3" xfId="9000" xr:uid="{3FE16817-C3F0-420F-9E7F-3C3BF7FB4968}"/>
    <cellStyle name="Euro 23 5" xfId="1354" xr:uid="{00000000-0005-0000-0000-0000D6000000}"/>
    <cellStyle name="Euro 23 6" xfId="2693" xr:uid="{FA76A8E0-FAAF-4B31-AE2A-3D19760E009C}"/>
    <cellStyle name="Euro 23 6 2" xfId="9617" xr:uid="{FC098829-14B8-4023-BEEA-F8D623B94355}"/>
    <cellStyle name="Euro 24" xfId="119" xr:uid="{00000000-0005-0000-0000-0000D7000000}"/>
    <cellStyle name="Euro 24 2" xfId="120" xr:uid="{00000000-0005-0000-0000-0000D8000000}"/>
    <cellStyle name="Euro 24 2 2" xfId="2694" xr:uid="{FE019703-0AF5-4DE0-8FF4-69A104E028BF}"/>
    <cellStyle name="Euro 24 2 2 2" xfId="13393" xr:uid="{BCDD1B76-28F6-4E91-9419-0A2FB8E01D00}"/>
    <cellStyle name="Euro 24 2 3" xfId="13073" xr:uid="{05E9F746-CDF8-4FA0-9867-ACBFAC1D06C0}"/>
    <cellStyle name="Euro 24 3" xfId="121" xr:uid="{00000000-0005-0000-0000-0000D9000000}"/>
    <cellStyle name="Euro 24 3 2" xfId="122" xr:uid="{00000000-0005-0000-0000-0000DA000000}"/>
    <cellStyle name="Euro 24 3 2 2" xfId="1355" xr:uid="{00000000-0005-0000-0000-0000DB000000}"/>
    <cellStyle name="Euro 24 3 2 3" xfId="7735" xr:uid="{FA25EDDA-7512-4E00-A567-8E9E1253E601}"/>
    <cellStyle name="Euro 24 3 2 3 2" xfId="13855" xr:uid="{63E562AF-2860-40D6-8967-C97653A0506A}"/>
    <cellStyle name="Euro 24 3 3" xfId="2695" xr:uid="{A1C4E74E-6992-498C-8EBC-E4B4438FB842}"/>
    <cellStyle name="Euro 24 3 3 2" xfId="9001" xr:uid="{28C12F90-1802-4704-8BC3-81CB67331BB3}"/>
    <cellStyle name="Euro 24 3 4" xfId="2696" xr:uid="{2BBBCCB6-CF10-442C-AFB3-F52B2D49D461}"/>
    <cellStyle name="Euro 24 3 4 2" xfId="13643" xr:uid="{A37C6160-3693-4E5B-B3C9-0C0143438A02}"/>
    <cellStyle name="Euro 24 3 5" xfId="11171" xr:uid="{CEC578BF-63A4-436E-8EE3-97C84B06BD74}"/>
    <cellStyle name="Euro 24 4" xfId="1356" xr:uid="{00000000-0005-0000-0000-0000DC000000}"/>
    <cellStyle name="Euro 24 4 2" xfId="1357" xr:uid="{00000000-0005-0000-0000-0000DD000000}"/>
    <cellStyle name="Euro 24 4 2 2" xfId="9002" xr:uid="{88522E51-5468-4A12-88A5-B053DFF23B02}"/>
    <cellStyle name="Euro 24 4 2 3" xfId="17760" xr:uid="{3EDE217B-C112-4EF5-90FB-193EDC92582F}"/>
    <cellStyle name="Euro 24 4 2 4" xfId="17459" xr:uid="{16244C4B-3262-4AB1-A8E3-9F72A471F4E9}"/>
    <cellStyle name="Euro 24 4 3" xfId="9003" xr:uid="{65CF6504-6EEB-4650-8213-4E8F3705C79F}"/>
    <cellStyle name="Euro 24 5" xfId="1358" xr:uid="{00000000-0005-0000-0000-0000DE000000}"/>
    <cellStyle name="Euro 24 6" xfId="2697" xr:uid="{702B47EB-746B-49F9-BFAF-2BDD85CB7ADB}"/>
    <cellStyle name="Euro 24 6 2" xfId="9618" xr:uid="{620ECFD2-F30C-4B01-A77B-93E12FB42D80}"/>
    <cellStyle name="Euro 25" xfId="123" xr:uid="{00000000-0005-0000-0000-0000DF000000}"/>
    <cellStyle name="Euro 25 2" xfId="124" xr:uid="{00000000-0005-0000-0000-0000E0000000}"/>
    <cellStyle name="Euro 25 2 2" xfId="2698" xr:uid="{C75D7263-6F45-4A28-818F-C56907F398D4}"/>
    <cellStyle name="Euro 25 2 2 2" xfId="13394" xr:uid="{8C5095B9-01AC-4601-AAD0-7032128A1ED1}"/>
    <cellStyle name="Euro 25 2 3" xfId="13074" xr:uid="{35B1F6A5-EA7C-40BB-A3C6-BCD1F4D9A204}"/>
    <cellStyle name="Euro 25 3" xfId="125" xr:uid="{00000000-0005-0000-0000-0000E1000000}"/>
    <cellStyle name="Euro 25 3 2" xfId="126" xr:uid="{00000000-0005-0000-0000-0000E2000000}"/>
    <cellStyle name="Euro 25 3 2 2" xfId="1359" xr:uid="{00000000-0005-0000-0000-0000E3000000}"/>
    <cellStyle name="Euro 25 3 2 3" xfId="7736" xr:uid="{6AD97E50-D189-4C1D-9840-649E4674C506}"/>
    <cellStyle name="Euro 25 3 2 3 2" xfId="13856" xr:uid="{13A3F3AA-D377-4A88-B93B-09631A0BB32E}"/>
    <cellStyle name="Euro 25 3 3" xfId="2699" xr:uid="{AC3590E8-9D7E-49FA-818B-8AB7CA73EA8D}"/>
    <cellStyle name="Euro 25 3 3 2" xfId="9004" xr:uid="{D95A47C1-ACBE-467C-9941-F6FAE7FFADD2}"/>
    <cellStyle name="Euro 25 3 4" xfId="2700" xr:uid="{AD24C7A4-6705-4788-9A92-B4C1FF90404C}"/>
    <cellStyle name="Euro 25 3 4 2" xfId="13644" xr:uid="{B5B21D2D-3687-40AD-80FF-C95BD1398F80}"/>
    <cellStyle name="Euro 25 3 5" xfId="12190" xr:uid="{BEDA86BD-05CA-4F71-9E5F-6BF493502BB7}"/>
    <cellStyle name="Euro 25 4" xfId="1360" xr:uid="{00000000-0005-0000-0000-0000E4000000}"/>
    <cellStyle name="Euro 25 4 2" xfId="1361" xr:uid="{00000000-0005-0000-0000-0000E5000000}"/>
    <cellStyle name="Euro 25 4 2 2" xfId="9005" xr:uid="{1CF96FE6-683E-4FB4-AB00-22B741E45394}"/>
    <cellStyle name="Euro 25 4 2 3" xfId="17761" xr:uid="{5E09C8D6-7FEC-4A4A-9568-429922FE14C1}"/>
    <cellStyle name="Euro 25 4 2 4" xfId="17458" xr:uid="{388A4261-DB38-4780-A060-242535F111CF}"/>
    <cellStyle name="Euro 25 4 3" xfId="9006" xr:uid="{BD29294C-BED4-4D62-AC53-7CBE11DDC0BF}"/>
    <cellStyle name="Euro 25 5" xfId="1362" xr:uid="{00000000-0005-0000-0000-0000E6000000}"/>
    <cellStyle name="Euro 25 6" xfId="2701" xr:uid="{33F33BE8-3FD4-4570-AFAB-9EBF27F17449}"/>
    <cellStyle name="Euro 25 6 2" xfId="9619" xr:uid="{317D033A-519C-4992-98C8-5FD93B194E9F}"/>
    <cellStyle name="Euro 26" xfId="127" xr:uid="{00000000-0005-0000-0000-0000E7000000}"/>
    <cellStyle name="Euro 26 2" xfId="128" xr:uid="{00000000-0005-0000-0000-0000E8000000}"/>
    <cellStyle name="Euro 26 2 2" xfId="2702" xr:uid="{4D0D7CB8-8102-4B57-AFC8-511569225417}"/>
    <cellStyle name="Euro 26 2 2 2" xfId="13395" xr:uid="{55FC77E8-0DBB-42DD-A1C6-8F90CFC15C60}"/>
    <cellStyle name="Euro 26 2 3" xfId="13075" xr:uid="{2B7A3EF7-052B-47BB-9B00-D6FE7E231928}"/>
    <cellStyle name="Euro 26 3" xfId="129" xr:uid="{00000000-0005-0000-0000-0000E9000000}"/>
    <cellStyle name="Euro 26 3 2" xfId="130" xr:uid="{00000000-0005-0000-0000-0000EA000000}"/>
    <cellStyle name="Euro 26 3 2 2" xfId="1363" xr:uid="{00000000-0005-0000-0000-0000EB000000}"/>
    <cellStyle name="Euro 26 3 2 3" xfId="7737" xr:uid="{551CDD77-F6E5-459F-8AC6-740A011CD000}"/>
    <cellStyle name="Euro 26 3 2 3 2" xfId="13857" xr:uid="{A5184821-30F8-47CD-B9E8-57DF27CF6A54}"/>
    <cellStyle name="Euro 26 3 3" xfId="2703" xr:uid="{540FBB34-6C1B-4354-A037-2DED92BB5CED}"/>
    <cellStyle name="Euro 26 3 3 2" xfId="9007" xr:uid="{4A2774CD-7798-47C9-A0E9-BC1E168F6FEF}"/>
    <cellStyle name="Euro 26 3 4" xfId="2704" xr:uid="{E2B01B84-E1D2-4C91-8342-0E0BE9808E45}"/>
    <cellStyle name="Euro 26 3 4 2" xfId="13645" xr:uid="{E050C55C-8096-4120-B2C9-99E9D3C37C93}"/>
    <cellStyle name="Euro 26 3 5" xfId="12313" xr:uid="{CA2F5144-4AE3-4C86-8580-BF93763C5C66}"/>
    <cellStyle name="Euro 26 4" xfId="1364" xr:uid="{00000000-0005-0000-0000-0000EC000000}"/>
    <cellStyle name="Euro 26 4 2" xfId="1365" xr:uid="{00000000-0005-0000-0000-0000ED000000}"/>
    <cellStyle name="Euro 26 4 2 2" xfId="9008" xr:uid="{67308D3C-F658-4495-9873-A0A73460E262}"/>
    <cellStyle name="Euro 26 4 2 3" xfId="17762" xr:uid="{D425F5A3-C2C1-40F4-9C66-884D22D667DC}"/>
    <cellStyle name="Euro 26 4 2 4" xfId="17457" xr:uid="{3AC67336-7F3E-4200-9FCA-01D10B3F31E3}"/>
    <cellStyle name="Euro 26 4 3" xfId="9009" xr:uid="{52A36834-A978-475A-AA53-E43E2A69EF6A}"/>
    <cellStyle name="Euro 26 5" xfId="1366" xr:uid="{00000000-0005-0000-0000-0000EE000000}"/>
    <cellStyle name="Euro 26 6" xfId="2705" xr:uid="{40BF3909-6F13-49F9-A21B-77A7060E71FA}"/>
    <cellStyle name="Euro 26 6 2" xfId="9620" xr:uid="{9FCF047E-5AE5-4F0D-ADEF-CDF50E95526D}"/>
    <cellStyle name="Euro 27" xfId="131" xr:uid="{00000000-0005-0000-0000-0000EF000000}"/>
    <cellStyle name="Euro 27 2" xfId="132" xr:uid="{00000000-0005-0000-0000-0000F0000000}"/>
    <cellStyle name="Euro 27 2 2" xfId="2706" xr:uid="{4520C66C-8411-459D-9C2C-9268F54F6A07}"/>
    <cellStyle name="Euro 27 2 2 2" xfId="13396" xr:uid="{AE6EC3E7-B154-4F1C-A582-A3121CF9AC9F}"/>
    <cellStyle name="Euro 27 2 3" xfId="13076" xr:uid="{F953FDD1-ABFE-46DD-9E4A-98E0AB70ECC6}"/>
    <cellStyle name="Euro 27 3" xfId="133" xr:uid="{00000000-0005-0000-0000-0000F1000000}"/>
    <cellStyle name="Euro 27 3 2" xfId="134" xr:uid="{00000000-0005-0000-0000-0000F2000000}"/>
    <cellStyle name="Euro 27 3 2 2" xfId="1367" xr:uid="{00000000-0005-0000-0000-0000F3000000}"/>
    <cellStyle name="Euro 27 3 2 3" xfId="7738" xr:uid="{0B118C78-FEF8-493A-B3E8-63BFB176EC6F}"/>
    <cellStyle name="Euro 27 3 2 3 2" xfId="13858" xr:uid="{A33FCDC6-4393-44BB-8548-3268C4BF16C2}"/>
    <cellStyle name="Euro 27 3 3" xfId="2707" xr:uid="{B7EC0180-69BD-41A9-8860-689A797CBC24}"/>
    <cellStyle name="Euro 27 3 3 2" xfId="9010" xr:uid="{A1A05AC1-3337-4D48-82CC-7D42572B3FE0}"/>
    <cellStyle name="Euro 27 3 4" xfId="2708" xr:uid="{BC10AAC0-2B6F-42C9-8940-6D63A63EFF17}"/>
    <cellStyle name="Euro 27 3 4 2" xfId="13646" xr:uid="{7EFD5438-19A1-4743-A2A5-AF92363D2AB4}"/>
    <cellStyle name="Euro 27 3 5" xfId="11690" xr:uid="{3BDD2E60-C649-421A-97E0-8182CD9E5B0B}"/>
    <cellStyle name="Euro 27 4" xfId="1368" xr:uid="{00000000-0005-0000-0000-0000F4000000}"/>
    <cellStyle name="Euro 27 4 2" xfId="1369" xr:uid="{00000000-0005-0000-0000-0000F5000000}"/>
    <cellStyle name="Euro 27 4 2 2" xfId="9011" xr:uid="{36EEAC47-27E2-4AFC-9F91-58F4E52B3A6C}"/>
    <cellStyle name="Euro 27 4 2 3" xfId="17763" xr:uid="{4A774D8B-E42D-465B-89A6-94BF68AA6099}"/>
    <cellStyle name="Euro 27 4 2 4" xfId="17456" xr:uid="{28B21990-6C1E-441E-B62D-C69696D74E4D}"/>
    <cellStyle name="Euro 27 4 3" xfId="9012" xr:uid="{6212357C-BD60-4531-9508-7A0087D1C776}"/>
    <cellStyle name="Euro 27 5" xfId="1370" xr:uid="{00000000-0005-0000-0000-0000F6000000}"/>
    <cellStyle name="Euro 27 6" xfId="2709" xr:uid="{8272CA44-52B6-4A6D-A15C-73EDF87356AD}"/>
    <cellStyle name="Euro 27 6 2" xfId="9621" xr:uid="{52F6EC48-1E0C-497F-A256-5D5DA16EFDE8}"/>
    <cellStyle name="Euro 28" xfId="135" xr:uid="{00000000-0005-0000-0000-0000F7000000}"/>
    <cellStyle name="Euro 28 2" xfId="136" xr:uid="{00000000-0005-0000-0000-0000F8000000}"/>
    <cellStyle name="Euro 28 2 2" xfId="2710" xr:uid="{DD3268E3-FAA3-4F0D-A8F7-BBAC0C7AA4D7}"/>
    <cellStyle name="Euro 28 2 2 2" xfId="13397" xr:uid="{5BF98C05-601B-44C5-A166-01A58FDCB1FA}"/>
    <cellStyle name="Euro 28 2 3" xfId="13077" xr:uid="{E612E110-9388-4FF6-B5A4-3A107462199C}"/>
    <cellStyle name="Euro 28 3" xfId="137" xr:uid="{00000000-0005-0000-0000-0000F9000000}"/>
    <cellStyle name="Euro 28 3 2" xfId="138" xr:uid="{00000000-0005-0000-0000-0000FA000000}"/>
    <cellStyle name="Euro 28 3 2 2" xfId="1371" xr:uid="{00000000-0005-0000-0000-0000FB000000}"/>
    <cellStyle name="Euro 28 3 2 3" xfId="7739" xr:uid="{3AECD5C7-1182-445C-A638-287CC8B831E5}"/>
    <cellStyle name="Euro 28 3 2 3 2" xfId="13859" xr:uid="{BEC64FC0-4E7D-494A-AA89-0EDD24757A91}"/>
    <cellStyle name="Euro 28 3 3" xfId="2711" xr:uid="{CA019CE7-3EE7-43EA-A83E-437A87CB33EC}"/>
    <cellStyle name="Euro 28 3 3 2" xfId="9013" xr:uid="{83D226FD-2D60-4A9D-810C-9ACA874FB1C1}"/>
    <cellStyle name="Euro 28 3 4" xfId="2712" xr:uid="{E434B639-9134-4B5E-8F95-149BC2421D05}"/>
    <cellStyle name="Euro 28 3 4 2" xfId="13647" xr:uid="{9558CD03-637D-4978-82F3-D5C860C9E224}"/>
    <cellStyle name="Euro 28 3 5" xfId="12234" xr:uid="{3C922C34-4142-4D2A-812F-2EB55D6E8A3B}"/>
    <cellStyle name="Euro 28 4" xfId="1372" xr:uid="{00000000-0005-0000-0000-0000FC000000}"/>
    <cellStyle name="Euro 28 4 2" xfId="1373" xr:uid="{00000000-0005-0000-0000-0000FD000000}"/>
    <cellStyle name="Euro 28 4 2 2" xfId="9014" xr:uid="{6745AC59-B985-4D79-A8DF-3863A628A8E3}"/>
    <cellStyle name="Euro 28 4 2 3" xfId="17764" xr:uid="{54740142-2661-490C-96BB-40363D44418C}"/>
    <cellStyle name="Euro 28 4 2 4" xfId="17455" xr:uid="{C09F50A0-E081-4D0A-BAC1-C928E88EE8BF}"/>
    <cellStyle name="Euro 28 4 3" xfId="9015" xr:uid="{9C0F2C2B-5511-4E64-8503-B6426351A3F1}"/>
    <cellStyle name="Euro 28 5" xfId="1374" xr:uid="{00000000-0005-0000-0000-0000FE000000}"/>
    <cellStyle name="Euro 28 6" xfId="2713" xr:uid="{EAD2B4C3-CAA7-43BC-9CE0-EE04E10C7481}"/>
    <cellStyle name="Euro 28 6 2" xfId="9622" xr:uid="{19AA8CBF-E369-4CF3-A326-260E5AE8E065}"/>
    <cellStyle name="Euro 29" xfId="139" xr:uid="{00000000-0005-0000-0000-0000FF000000}"/>
    <cellStyle name="Euro 29 2" xfId="140" xr:uid="{00000000-0005-0000-0000-000000010000}"/>
    <cellStyle name="Euro 29 2 2" xfId="2714" xr:uid="{582D9CDA-A8E0-43AC-8BBD-894105C28170}"/>
    <cellStyle name="Euro 29 2 2 2" xfId="13398" xr:uid="{82DFB296-C8CB-4E02-9DA5-8238F49EB14D}"/>
    <cellStyle name="Euro 29 2 3" xfId="13078" xr:uid="{70B9577F-DB68-410E-9EAD-50D6DDB73B64}"/>
    <cellStyle name="Euro 29 3" xfId="141" xr:uid="{00000000-0005-0000-0000-000001010000}"/>
    <cellStyle name="Euro 29 3 2" xfId="142" xr:uid="{00000000-0005-0000-0000-000002010000}"/>
    <cellStyle name="Euro 29 3 2 2" xfId="1375" xr:uid="{00000000-0005-0000-0000-000003010000}"/>
    <cellStyle name="Euro 29 3 2 3" xfId="7740" xr:uid="{8C7DCA82-5771-4114-B0EB-32063614A29D}"/>
    <cellStyle name="Euro 29 3 2 3 2" xfId="13860" xr:uid="{04B27711-F7C5-4D7A-AC2E-3D81CC5047CB}"/>
    <cellStyle name="Euro 29 3 3" xfId="2715" xr:uid="{E0DEC5B4-CD53-4246-8688-D0E1074888FA}"/>
    <cellStyle name="Euro 29 3 3 2" xfId="9016" xr:uid="{3D2F52B9-C00A-4F7E-8A5D-9025ED1FB38D}"/>
    <cellStyle name="Euro 29 3 4" xfId="2716" xr:uid="{0510A841-8B04-4D7C-918E-B75C81C6E396}"/>
    <cellStyle name="Euro 29 3 4 2" xfId="13648" xr:uid="{884D7E41-E2BF-4FCC-B168-11D9E45B0BDA}"/>
    <cellStyle name="Euro 29 3 5" xfId="11543" xr:uid="{6DDBE86D-B4CA-4222-8AEB-E3B1FCFBA376}"/>
    <cellStyle name="Euro 29 4" xfId="1376" xr:uid="{00000000-0005-0000-0000-000004010000}"/>
    <cellStyle name="Euro 29 4 2" xfId="1377" xr:uid="{00000000-0005-0000-0000-000005010000}"/>
    <cellStyle name="Euro 29 4 2 2" xfId="9017" xr:uid="{0FF334D1-F6FA-47FE-8171-45B8C82F58F0}"/>
    <cellStyle name="Euro 29 4 2 3" xfId="17765" xr:uid="{FF53EF00-566A-4184-9086-5FEF26B8629E}"/>
    <cellStyle name="Euro 29 4 2 4" xfId="17454" xr:uid="{79540C27-C968-445D-BEE1-21853B482F5C}"/>
    <cellStyle name="Euro 29 4 3" xfId="9018" xr:uid="{3B197BD8-BB9F-49D8-9702-FE486A209EE0}"/>
    <cellStyle name="Euro 29 5" xfId="1378" xr:uid="{00000000-0005-0000-0000-000006010000}"/>
    <cellStyle name="Euro 29 6" xfId="2717" xr:uid="{7CFA3418-25AA-49AD-A875-C650174521FF}"/>
    <cellStyle name="Euro 29 6 2" xfId="9623" xr:uid="{0CFAA3AB-CD93-4F89-938C-89CDA00FA986}"/>
    <cellStyle name="Euro 3" xfId="143" xr:uid="{00000000-0005-0000-0000-000007010000}"/>
    <cellStyle name="Euro 3 2" xfId="144" xr:uid="{00000000-0005-0000-0000-000008010000}"/>
    <cellStyle name="Euro 3 2 2" xfId="2718" xr:uid="{7842479A-6192-4A05-A076-3F99CB6A2C1B}"/>
    <cellStyle name="Euro 3 2 2 2" xfId="13399" xr:uid="{58F9B56A-A861-4BE8-9C2C-010CD6BFA22F}"/>
    <cellStyle name="Euro 3 2 3" xfId="13079" xr:uid="{78824466-C1EE-46EE-802F-21266CB9B19E}"/>
    <cellStyle name="Euro 3 3" xfId="145" xr:uid="{00000000-0005-0000-0000-000009010000}"/>
    <cellStyle name="Euro 3 3 2" xfId="146" xr:uid="{00000000-0005-0000-0000-00000A010000}"/>
    <cellStyle name="Euro 3 3 2 2" xfId="1379" xr:uid="{00000000-0005-0000-0000-00000B010000}"/>
    <cellStyle name="Euro 3 3 2 3" xfId="7741" xr:uid="{8646EFF2-ADAF-4DB9-AB42-C0C472CF9214}"/>
    <cellStyle name="Euro 3 3 2 3 2" xfId="13861" xr:uid="{34664AA9-EA93-4982-B742-38FE4F7F9E62}"/>
    <cellStyle name="Euro 3 3 3" xfId="2719" xr:uid="{E2BC4866-779A-4CBA-B602-FF25D795FE98}"/>
    <cellStyle name="Euro 3 3 3 2" xfId="9019" xr:uid="{D13F69C4-2A90-496D-879C-E18DD13138D8}"/>
    <cellStyle name="Euro 3 3 4" xfId="2720" xr:uid="{0380DA26-A941-406D-A874-6ECB9BA2B621}"/>
    <cellStyle name="Euro 3 3 4 2" xfId="13649" xr:uid="{F00D1690-B85C-4D1A-B6C3-C75936E2CE39}"/>
    <cellStyle name="Euro 3 3 5" xfId="12314" xr:uid="{8EDE0D64-EF73-4DE5-AD25-5282E775C1A5}"/>
    <cellStyle name="Euro 3 4" xfId="1380" xr:uid="{00000000-0005-0000-0000-00000C010000}"/>
    <cellStyle name="Euro 3 4 2" xfId="1381" xr:uid="{00000000-0005-0000-0000-00000D010000}"/>
    <cellStyle name="Euro 3 4 2 2" xfId="9020" xr:uid="{9D622E24-C772-4826-B26E-078BD2358644}"/>
    <cellStyle name="Euro 3 4 2 3" xfId="17766" xr:uid="{804E236F-23AE-4DE9-9560-12E154685557}"/>
    <cellStyle name="Euro 3 4 2 4" xfId="17453" xr:uid="{8944CDAB-2BB3-4BAC-90AF-2767E1883DB1}"/>
    <cellStyle name="Euro 3 4 3" xfId="9021" xr:uid="{581FF8D1-186A-41DF-A161-AE322BA0356A}"/>
    <cellStyle name="Euro 3 5" xfId="1382" xr:uid="{00000000-0005-0000-0000-00000E010000}"/>
    <cellStyle name="Euro 3 6" xfId="2721" xr:uid="{F2C1D668-F89B-4B89-B4AE-ADB3F2017056}"/>
    <cellStyle name="Euro 3 6 2" xfId="9624" xr:uid="{0B876D59-537C-43E6-8152-7158F0D49949}"/>
    <cellStyle name="Euro 30" xfId="147" xr:uid="{00000000-0005-0000-0000-00000F010000}"/>
    <cellStyle name="Euro 30 2" xfId="148" xr:uid="{00000000-0005-0000-0000-000010010000}"/>
    <cellStyle name="Euro 30 2 2" xfId="2722" xr:uid="{32CD2FED-26DF-4E91-8164-1EFDA740E819}"/>
    <cellStyle name="Euro 30 2 2 2" xfId="13400" xr:uid="{ED588BBD-7E49-4C78-958E-931CFED30BC2}"/>
    <cellStyle name="Euro 30 2 3" xfId="13080" xr:uid="{20243734-62C4-4A0C-A216-73E53581EA39}"/>
    <cellStyle name="Euro 30 3" xfId="149" xr:uid="{00000000-0005-0000-0000-000011010000}"/>
    <cellStyle name="Euro 30 3 2" xfId="150" xr:uid="{00000000-0005-0000-0000-000012010000}"/>
    <cellStyle name="Euro 30 3 2 2" xfId="1383" xr:uid="{00000000-0005-0000-0000-000013010000}"/>
    <cellStyle name="Euro 30 3 2 3" xfId="7742" xr:uid="{5A4A3FA1-FEED-4167-B483-22C116BC5A75}"/>
    <cellStyle name="Euro 30 3 2 3 2" xfId="13862" xr:uid="{BFFA4E3D-39FF-4287-8B06-00CAAFD07411}"/>
    <cellStyle name="Euro 30 3 3" xfId="2723" xr:uid="{C1069973-7C3B-4E50-8069-C512C20CF5F5}"/>
    <cellStyle name="Euro 30 3 3 2" xfId="9022" xr:uid="{21F3EA85-84CE-4CBC-B6D1-FBAFB0941F7C}"/>
    <cellStyle name="Euro 30 3 4" xfId="2724" xr:uid="{91FAD84C-3C15-4073-A180-6273190039FF}"/>
    <cellStyle name="Euro 30 3 4 2" xfId="13650" xr:uid="{1B1CD2F9-7E56-4729-8E4E-575BC001282D}"/>
    <cellStyle name="Euro 30 3 5" xfId="12235" xr:uid="{30C4F26B-EDAE-492D-AB8A-8F85A22A6769}"/>
    <cellStyle name="Euro 30 4" xfId="1384" xr:uid="{00000000-0005-0000-0000-000014010000}"/>
    <cellStyle name="Euro 30 4 2" xfId="1385" xr:uid="{00000000-0005-0000-0000-000015010000}"/>
    <cellStyle name="Euro 30 4 2 2" xfId="9023" xr:uid="{4BEE630D-618D-4BB2-8FB8-ECE8D0F4F827}"/>
    <cellStyle name="Euro 30 4 2 3" xfId="17767" xr:uid="{4753FFCF-1A8B-468C-BF58-F95798097DA2}"/>
    <cellStyle name="Euro 30 4 2 4" xfId="17452" xr:uid="{573FD7F2-2924-44E3-83B7-8375AA44ED5D}"/>
    <cellStyle name="Euro 30 4 3" xfId="9024" xr:uid="{447BB661-4660-421E-928D-DA33365AFC8D}"/>
    <cellStyle name="Euro 30 5" xfId="1386" xr:uid="{00000000-0005-0000-0000-000016010000}"/>
    <cellStyle name="Euro 30 6" xfId="2725" xr:uid="{B990D8D1-F729-421B-A0AC-9D0DBBE58806}"/>
    <cellStyle name="Euro 30 6 2" xfId="9625" xr:uid="{1991F453-D277-4CBB-937C-244B87AD5ACA}"/>
    <cellStyle name="Euro 31" xfId="151" xr:uid="{00000000-0005-0000-0000-000017010000}"/>
    <cellStyle name="Euro 31 2" xfId="152" xr:uid="{00000000-0005-0000-0000-000018010000}"/>
    <cellStyle name="Euro 31 2 2" xfId="2726" xr:uid="{703387C0-C48D-4B43-8840-32C11040AEAC}"/>
    <cellStyle name="Euro 31 2 2 2" xfId="13401" xr:uid="{255A3A06-0E83-494E-90E0-90F15AA4C751}"/>
    <cellStyle name="Euro 31 2 3" xfId="13081" xr:uid="{9B1B0B5D-E92D-4584-8A7C-C5424C380ABA}"/>
    <cellStyle name="Euro 31 3" xfId="153" xr:uid="{00000000-0005-0000-0000-000019010000}"/>
    <cellStyle name="Euro 31 3 2" xfId="154" xr:uid="{00000000-0005-0000-0000-00001A010000}"/>
    <cellStyle name="Euro 31 3 2 2" xfId="1387" xr:uid="{00000000-0005-0000-0000-00001B010000}"/>
    <cellStyle name="Euro 31 3 2 3" xfId="7743" xr:uid="{90A6C802-9143-4F9A-A2AF-A0B8BCB184CE}"/>
    <cellStyle name="Euro 31 3 2 3 2" xfId="13863" xr:uid="{9573C9BB-B81E-46DB-9EBF-800A38BC82EF}"/>
    <cellStyle name="Euro 31 3 3" xfId="2727" xr:uid="{1A4F0AA8-E15D-465A-9CD0-AFD3B519C456}"/>
    <cellStyle name="Euro 31 3 3 2" xfId="9025" xr:uid="{B30C3681-B56F-45D7-B665-5B3B5531D81A}"/>
    <cellStyle name="Euro 31 3 4" xfId="2728" xr:uid="{2285BFDC-3494-4492-8F52-03C195897CBD}"/>
    <cellStyle name="Euro 31 3 4 2" xfId="13651" xr:uid="{B2027239-542D-4C1A-B1FE-AF850275C38C}"/>
    <cellStyle name="Euro 31 3 5" xfId="11111" xr:uid="{2AD36901-EEED-4592-8EC7-2CE973ADCAE6}"/>
    <cellStyle name="Euro 31 4" xfId="1388" xr:uid="{00000000-0005-0000-0000-00001C010000}"/>
    <cellStyle name="Euro 31 4 2" xfId="1389" xr:uid="{00000000-0005-0000-0000-00001D010000}"/>
    <cellStyle name="Euro 31 4 2 2" xfId="9026" xr:uid="{7F3183FE-B7C9-4DF3-9C91-6138D98E59B4}"/>
    <cellStyle name="Euro 31 4 2 3" xfId="17768" xr:uid="{21E22636-711E-4159-8B55-45F497FCD17E}"/>
    <cellStyle name="Euro 31 4 2 4" xfId="17451" xr:uid="{3D2EEE54-78EE-494E-97AF-288F36EB107B}"/>
    <cellStyle name="Euro 31 4 3" xfId="9027" xr:uid="{0597A8BA-A48E-4417-9648-236F1DC37141}"/>
    <cellStyle name="Euro 31 5" xfId="1390" xr:uid="{00000000-0005-0000-0000-00001E010000}"/>
    <cellStyle name="Euro 31 6" xfId="2729" xr:uid="{4E3EFAA0-846A-4C22-A0C7-58DC8870394E}"/>
    <cellStyle name="Euro 31 6 2" xfId="9626" xr:uid="{FDE9C6BE-A317-4596-B481-FBDC7E16FB33}"/>
    <cellStyle name="Euro 32" xfId="155" xr:uid="{00000000-0005-0000-0000-00001F010000}"/>
    <cellStyle name="Euro 32 2" xfId="156" xr:uid="{00000000-0005-0000-0000-000020010000}"/>
    <cellStyle name="Euro 32 2 2" xfId="2730" xr:uid="{B14ED377-514D-40F7-92DE-F67FDC3E21B5}"/>
    <cellStyle name="Euro 32 2 2 2" xfId="13402" xr:uid="{1FD1C9EF-31E4-45EE-9613-D8C0C3B20CE4}"/>
    <cellStyle name="Euro 32 2 3" xfId="13082" xr:uid="{CB9A9B55-898D-4E07-A577-15C97965B7CB}"/>
    <cellStyle name="Euro 32 3" xfId="157" xr:uid="{00000000-0005-0000-0000-000021010000}"/>
    <cellStyle name="Euro 32 3 2" xfId="158" xr:uid="{00000000-0005-0000-0000-000022010000}"/>
    <cellStyle name="Euro 32 3 2 2" xfId="1391" xr:uid="{00000000-0005-0000-0000-000023010000}"/>
    <cellStyle name="Euro 32 3 2 3" xfId="7744" xr:uid="{E1363617-BCFB-48D5-B4F0-E119331460D9}"/>
    <cellStyle name="Euro 32 3 2 3 2" xfId="13864" xr:uid="{F0126CBA-4884-4FBE-A8E0-3986E669B438}"/>
    <cellStyle name="Euro 32 3 3" xfId="2731" xr:uid="{6A290810-16DE-4AD3-B01F-D0644D605390}"/>
    <cellStyle name="Euro 32 3 3 2" xfId="9028" xr:uid="{0A0EA427-F563-478F-A1A5-A0B88DC9A18C}"/>
    <cellStyle name="Euro 32 3 4" xfId="2732" xr:uid="{9F3403EF-684C-4A21-B1E7-37D702DDF410}"/>
    <cellStyle name="Euro 32 3 4 2" xfId="13652" xr:uid="{08A6DA29-F444-46B4-B637-EEBD46CDFAEB}"/>
    <cellStyle name="Euro 32 3 5" xfId="12200" xr:uid="{58501936-5127-46F7-B2E5-40B20F6637E7}"/>
    <cellStyle name="Euro 32 4" xfId="1392" xr:uid="{00000000-0005-0000-0000-000024010000}"/>
    <cellStyle name="Euro 32 4 2" xfId="1393" xr:uid="{00000000-0005-0000-0000-000025010000}"/>
    <cellStyle name="Euro 32 4 2 2" xfId="9029" xr:uid="{651538AA-7883-4EA0-89F9-CA21ECD1B172}"/>
    <cellStyle name="Euro 32 4 2 3" xfId="17769" xr:uid="{13372584-7092-4BC3-86E9-46FDCFB99146}"/>
    <cellStyle name="Euro 32 4 2 4" xfId="17450" xr:uid="{F2232309-5C8B-4D6A-AFED-B89D9E614B20}"/>
    <cellStyle name="Euro 32 4 3" xfId="9030" xr:uid="{9962509C-2F33-4FBC-B505-8AEF2E7EDFF0}"/>
    <cellStyle name="Euro 32 5" xfId="1394" xr:uid="{00000000-0005-0000-0000-000026010000}"/>
    <cellStyle name="Euro 32 6" xfId="2733" xr:uid="{F4568375-EE0C-4897-981B-D61D8965453A}"/>
    <cellStyle name="Euro 32 6 2" xfId="9627" xr:uid="{6A5A2A7D-099F-45AC-8EE3-131AF0ECCB87}"/>
    <cellStyle name="Euro 33" xfId="159" xr:uid="{00000000-0005-0000-0000-000027010000}"/>
    <cellStyle name="Euro 33 2" xfId="160" xr:uid="{00000000-0005-0000-0000-000028010000}"/>
    <cellStyle name="Euro 33 2 2" xfId="2734" xr:uid="{F8E392CF-5595-46E0-BC24-2CE6C61869A0}"/>
    <cellStyle name="Euro 33 2 2 2" xfId="13403" xr:uid="{6320BCFE-CF0F-484A-8A9B-8D71EADCE3EA}"/>
    <cellStyle name="Euro 33 2 3" xfId="13083" xr:uid="{CE6D326F-4E57-48E9-B516-A881E6226784}"/>
    <cellStyle name="Euro 33 3" xfId="161" xr:uid="{00000000-0005-0000-0000-000029010000}"/>
    <cellStyle name="Euro 33 3 2" xfId="162" xr:uid="{00000000-0005-0000-0000-00002A010000}"/>
    <cellStyle name="Euro 33 3 2 2" xfId="1395" xr:uid="{00000000-0005-0000-0000-00002B010000}"/>
    <cellStyle name="Euro 33 3 2 3" xfId="7745" xr:uid="{1125FB1A-D373-49D3-BB8B-38AF26FFBAB5}"/>
    <cellStyle name="Euro 33 3 2 3 2" xfId="13865" xr:uid="{BE6F0D6B-706D-488D-BF40-0B65E546C04E}"/>
    <cellStyle name="Euro 33 3 3" xfId="2735" xr:uid="{ABB5720B-388D-45ED-9E91-6A6D62BCCE9E}"/>
    <cellStyle name="Euro 33 3 3 2" xfId="9031" xr:uid="{494F5E1A-6D85-43A1-A338-BAD0C49BF688}"/>
    <cellStyle name="Euro 33 3 4" xfId="2736" xr:uid="{03BCC889-9EB4-4E25-80DD-E9635791F2AA}"/>
    <cellStyle name="Euro 33 3 4 2" xfId="13653" xr:uid="{72CF3EB3-EE8A-48C5-A0D9-EB22EE884D9E}"/>
    <cellStyle name="Euro 33 3 5" xfId="11130" xr:uid="{336E3014-BF79-4830-AD8E-E98FAF9D6C47}"/>
    <cellStyle name="Euro 33 4" xfId="1396" xr:uid="{00000000-0005-0000-0000-00002C010000}"/>
    <cellStyle name="Euro 33 4 2" xfId="1397" xr:uid="{00000000-0005-0000-0000-00002D010000}"/>
    <cellStyle name="Euro 33 4 2 2" xfId="9032" xr:uid="{0501F22F-4E39-4262-9A34-417D3D63D0C1}"/>
    <cellStyle name="Euro 33 4 2 3" xfId="17770" xr:uid="{046B2451-2FAC-4819-8088-FE84521F53EA}"/>
    <cellStyle name="Euro 33 4 2 4" xfId="17449" xr:uid="{A8636EDA-4501-46B2-97AB-7A6B6E6E64C7}"/>
    <cellStyle name="Euro 33 4 3" xfId="9033" xr:uid="{EFAD4521-D038-464C-A6C6-29600DDC3B8E}"/>
    <cellStyle name="Euro 33 5" xfId="1398" xr:uid="{00000000-0005-0000-0000-00002E010000}"/>
    <cellStyle name="Euro 33 6" xfId="2737" xr:uid="{CDB4F35D-6F29-493B-82B7-C3AB16514BD7}"/>
    <cellStyle name="Euro 33 6 2" xfId="9628" xr:uid="{1A0B7A89-7D52-41D4-B8A2-1325A3C4637C}"/>
    <cellStyle name="Euro 34" xfId="163" xr:uid="{00000000-0005-0000-0000-00002F010000}"/>
    <cellStyle name="Euro 34 2" xfId="164" xr:uid="{00000000-0005-0000-0000-000030010000}"/>
    <cellStyle name="Euro 34 2 2" xfId="2738" xr:uid="{C4CE7A7B-5507-4854-9A7F-77AA5EEDADDA}"/>
    <cellStyle name="Euro 34 2 2 2" xfId="13404" xr:uid="{45D0CFD0-2189-46AB-BA70-81868657FB83}"/>
    <cellStyle name="Euro 34 2 3" xfId="13084" xr:uid="{A9E8A642-8497-4CAF-A164-EAE7CDB07AF7}"/>
    <cellStyle name="Euro 34 3" xfId="165" xr:uid="{00000000-0005-0000-0000-000031010000}"/>
    <cellStyle name="Euro 34 3 2" xfId="166" xr:uid="{00000000-0005-0000-0000-000032010000}"/>
    <cellStyle name="Euro 34 3 2 2" xfId="1399" xr:uid="{00000000-0005-0000-0000-000033010000}"/>
    <cellStyle name="Euro 34 3 2 3" xfId="7746" xr:uid="{07BFB06F-5AAB-4833-9D79-A79FE7D49C81}"/>
    <cellStyle name="Euro 34 3 2 3 2" xfId="13866" xr:uid="{76BA87C7-DC6D-4D75-B016-2E0455A3F3AA}"/>
    <cellStyle name="Euro 34 3 3" xfId="2739" xr:uid="{0C6029EB-E2A2-4B6E-A443-4666D7C7EDA2}"/>
    <cellStyle name="Euro 34 3 3 2" xfId="9034" xr:uid="{4D944345-9166-4181-A214-A7BD524191D9}"/>
    <cellStyle name="Euro 34 3 4" xfId="2740" xr:uid="{A752ED59-8DFE-4AE3-98FC-32F3AA5E3B86}"/>
    <cellStyle name="Euro 34 3 4 2" xfId="13654" xr:uid="{DC6D5127-FD07-4678-BE10-367B01119105}"/>
    <cellStyle name="Euro 34 3 5" xfId="12274" xr:uid="{BE9A5554-A26C-4BE7-B64E-1D208E1FEAF0}"/>
    <cellStyle name="Euro 34 4" xfId="1400" xr:uid="{00000000-0005-0000-0000-000034010000}"/>
    <cellStyle name="Euro 34 4 2" xfId="1401" xr:uid="{00000000-0005-0000-0000-000035010000}"/>
    <cellStyle name="Euro 34 4 2 2" xfId="9035" xr:uid="{5148D283-42D0-4A5C-9E40-D5042FEFFFF4}"/>
    <cellStyle name="Euro 34 4 2 3" xfId="17771" xr:uid="{9B77D00F-648E-4E7C-9797-21AD94633B2F}"/>
    <cellStyle name="Euro 34 4 2 4" xfId="17447" xr:uid="{BC3484E5-58E3-44A9-BB49-AE438C62A620}"/>
    <cellStyle name="Euro 34 4 3" xfId="9036" xr:uid="{502E5F9D-E9FE-444B-988F-D28D78F0D4FF}"/>
    <cellStyle name="Euro 34 5" xfId="1402" xr:uid="{00000000-0005-0000-0000-000036010000}"/>
    <cellStyle name="Euro 34 6" xfId="2741" xr:uid="{55A9E201-F218-4B57-BA59-0A3065C9D442}"/>
    <cellStyle name="Euro 34 6 2" xfId="9629" xr:uid="{9191992E-042E-4599-904A-E41D0252210F}"/>
    <cellStyle name="Euro 35" xfId="167" xr:uid="{00000000-0005-0000-0000-000037010000}"/>
    <cellStyle name="Euro 35 2" xfId="168" xr:uid="{00000000-0005-0000-0000-000038010000}"/>
    <cellStyle name="Euro 35 2 2" xfId="2742" xr:uid="{F0B4A86B-26D5-4D2B-87C6-D94914D4B03F}"/>
    <cellStyle name="Euro 35 2 2 2" xfId="13405" xr:uid="{5C58D123-E88C-4B0F-92EB-6167CA7EE80C}"/>
    <cellStyle name="Euro 35 2 3" xfId="13085" xr:uid="{FD4B7FF8-6762-4028-934A-4503DCBCDE22}"/>
    <cellStyle name="Euro 35 3" xfId="169" xr:uid="{00000000-0005-0000-0000-000039010000}"/>
    <cellStyle name="Euro 35 3 2" xfId="170" xr:uid="{00000000-0005-0000-0000-00003A010000}"/>
    <cellStyle name="Euro 35 3 2 2" xfId="1403" xr:uid="{00000000-0005-0000-0000-00003B010000}"/>
    <cellStyle name="Euro 35 3 2 3" xfId="7747" xr:uid="{32F016B1-DF13-48A1-8C7C-22D080C6C708}"/>
    <cellStyle name="Euro 35 3 2 3 2" xfId="13867" xr:uid="{6E337E4C-C185-47B5-ABF7-E107B160A51E}"/>
    <cellStyle name="Euro 35 3 3" xfId="2743" xr:uid="{2000A90D-8912-41B3-A6AD-B05ADFD8FD1A}"/>
    <cellStyle name="Euro 35 3 3 2" xfId="9037" xr:uid="{087B24B4-1960-4226-9B3F-677CE81F36E8}"/>
    <cellStyle name="Euro 35 3 4" xfId="2744" xr:uid="{7A83A180-7A43-48B0-99E9-0C9E7E75A693}"/>
    <cellStyle name="Euro 35 3 4 2" xfId="13655" xr:uid="{35377454-ED12-460A-8F1B-C4DBA6A75B12}"/>
    <cellStyle name="Euro 35 3 5" xfId="11540" xr:uid="{FE50A477-33E1-497F-9F44-FB6976EEBCEE}"/>
    <cellStyle name="Euro 35 4" xfId="1404" xr:uid="{00000000-0005-0000-0000-00003C010000}"/>
    <cellStyle name="Euro 35 4 2" xfId="1405" xr:uid="{00000000-0005-0000-0000-00003D010000}"/>
    <cellStyle name="Euro 35 4 2 2" xfId="9038" xr:uid="{46F4FBF4-A33F-40C8-9E34-60F9416B0B1A}"/>
    <cellStyle name="Euro 35 4 2 3" xfId="17772" xr:uid="{A7BBEEE1-38BA-4531-B1C6-F459AEDA4AFC}"/>
    <cellStyle name="Euro 35 4 2 4" xfId="17444" xr:uid="{F16714C2-7026-406A-89BE-95AD8E4FED99}"/>
    <cellStyle name="Euro 35 4 3" xfId="9039" xr:uid="{03D26B11-F158-4DEF-8797-BE4F1C18684C}"/>
    <cellStyle name="Euro 35 5" xfId="1406" xr:uid="{00000000-0005-0000-0000-00003E010000}"/>
    <cellStyle name="Euro 35 6" xfId="2745" xr:uid="{53521B25-13C8-4C1E-AF1E-26A90BA7AE5C}"/>
    <cellStyle name="Euro 35 6 2" xfId="9630" xr:uid="{D12A5F14-27E3-4F64-8BDF-21373260FBE4}"/>
    <cellStyle name="Euro 36" xfId="171" xr:uid="{00000000-0005-0000-0000-00003F010000}"/>
    <cellStyle name="Euro 36 2" xfId="172" xr:uid="{00000000-0005-0000-0000-000040010000}"/>
    <cellStyle name="Euro 36 2 2" xfId="2746" xr:uid="{B9584DE4-8A71-45A4-A229-333313AC54A9}"/>
    <cellStyle name="Euro 36 2 2 2" xfId="13406" xr:uid="{45CFF8C3-D0D9-42AA-860D-FD7B70780BA0}"/>
    <cellStyle name="Euro 36 2 3" xfId="13086" xr:uid="{E63D0BC8-FC9F-48BC-A41D-E38F37F35CC1}"/>
    <cellStyle name="Euro 36 3" xfId="173" xr:uid="{00000000-0005-0000-0000-000041010000}"/>
    <cellStyle name="Euro 36 3 2" xfId="174" xr:uid="{00000000-0005-0000-0000-000042010000}"/>
    <cellStyle name="Euro 36 3 2 2" xfId="1407" xr:uid="{00000000-0005-0000-0000-000043010000}"/>
    <cellStyle name="Euro 36 3 2 3" xfId="7748" xr:uid="{BCC89AFB-6C03-4B23-8FBE-2712D5372B6E}"/>
    <cellStyle name="Euro 36 3 2 3 2" xfId="13868" xr:uid="{E4D70D99-5F47-4C46-9A0F-8BB7512E8672}"/>
    <cellStyle name="Euro 36 3 3" xfId="2747" xr:uid="{30887B0A-BF65-4BB9-8C5B-FF885973C679}"/>
    <cellStyle name="Euro 36 3 3 2" xfId="9040" xr:uid="{A42C4D31-55AC-4B4E-908A-BF9625198C2F}"/>
    <cellStyle name="Euro 36 3 4" xfId="2748" xr:uid="{02DDE347-B7A0-4595-9C23-F699A0BC904A}"/>
    <cellStyle name="Euro 36 3 4 2" xfId="13656" xr:uid="{2AA58EE2-9370-4BA1-ADF3-FD58463422CC}"/>
    <cellStyle name="Euro 36 3 5" xfId="12273" xr:uid="{8EB27C54-F17F-4CA5-94EC-74FEF03251F9}"/>
    <cellStyle name="Euro 36 4" xfId="1408" xr:uid="{00000000-0005-0000-0000-000044010000}"/>
    <cellStyle name="Euro 36 4 2" xfId="1409" xr:uid="{00000000-0005-0000-0000-000045010000}"/>
    <cellStyle name="Euro 36 4 2 2" xfId="9041" xr:uid="{F9F51EF6-6EA9-404E-91CC-36CBD31B9920}"/>
    <cellStyle name="Euro 36 4 2 3" xfId="17773" xr:uid="{0F3250EA-4778-4EA4-9734-6C694A5B2037}"/>
    <cellStyle name="Euro 36 4 2 4" xfId="17443" xr:uid="{CF5EB8AE-C73A-4657-9546-3752D98F7AF3}"/>
    <cellStyle name="Euro 36 4 3" xfId="9042" xr:uid="{A0AA8BB2-825F-4319-B6FA-CC9FB05BE4F9}"/>
    <cellStyle name="Euro 36 5" xfId="1410" xr:uid="{00000000-0005-0000-0000-000046010000}"/>
    <cellStyle name="Euro 36 6" xfId="2749" xr:uid="{81FCC6A1-61F8-43FE-8165-B4F7B4DB2CE5}"/>
    <cellStyle name="Euro 36 6 2" xfId="9631" xr:uid="{87F864B2-3625-40F1-8994-4FE2E508CDBC}"/>
    <cellStyle name="Euro 37" xfId="175" xr:uid="{00000000-0005-0000-0000-000047010000}"/>
    <cellStyle name="Euro 37 2" xfId="176" xr:uid="{00000000-0005-0000-0000-000048010000}"/>
    <cellStyle name="Euro 37 2 2" xfId="2750" xr:uid="{E04E70E3-A6B6-4C9E-9A24-34AC3E435677}"/>
    <cellStyle name="Euro 37 2 2 2" xfId="13407" xr:uid="{7BD7DC8D-8122-49C4-8598-A0E5C9BB16A5}"/>
    <cellStyle name="Euro 37 2 3" xfId="13087" xr:uid="{2AF3F411-65DD-4E12-9854-8DC26827EC3D}"/>
    <cellStyle name="Euro 37 3" xfId="177" xr:uid="{00000000-0005-0000-0000-000049010000}"/>
    <cellStyle name="Euro 37 3 2" xfId="178" xr:uid="{00000000-0005-0000-0000-00004A010000}"/>
    <cellStyle name="Euro 37 3 2 2" xfId="1411" xr:uid="{00000000-0005-0000-0000-00004B010000}"/>
    <cellStyle name="Euro 37 3 2 3" xfId="7749" xr:uid="{237E32C4-0F69-4C17-A859-447DAA536D5C}"/>
    <cellStyle name="Euro 37 3 2 3 2" xfId="13869" xr:uid="{C8C134EC-0429-4FA6-8892-6F96618C4E79}"/>
    <cellStyle name="Euro 37 3 3" xfId="2751" xr:uid="{A6F22637-26EE-4071-B06F-9A77816F49B0}"/>
    <cellStyle name="Euro 37 3 3 2" xfId="9043" xr:uid="{77B75B29-0B34-4FA9-B7AC-B5151F554694}"/>
    <cellStyle name="Euro 37 3 4" xfId="2752" xr:uid="{590A254F-E152-49F6-B86E-FB2ABDAF27C6}"/>
    <cellStyle name="Euro 37 3 4 2" xfId="13657" xr:uid="{4A4EAF02-0753-479C-931F-AC5D2FD309D1}"/>
    <cellStyle name="Euro 37 3 5" xfId="11226" xr:uid="{4D20B028-21B9-4306-9F0F-BAC77D006F38}"/>
    <cellStyle name="Euro 37 4" xfId="1412" xr:uid="{00000000-0005-0000-0000-00004C010000}"/>
    <cellStyle name="Euro 37 4 2" xfId="1413" xr:uid="{00000000-0005-0000-0000-00004D010000}"/>
    <cellStyle name="Euro 37 4 2 2" xfId="9044" xr:uid="{EC103EBC-8B13-4025-8A88-641B9F5D1D07}"/>
    <cellStyle name="Euro 37 4 2 3" xfId="17774" xr:uid="{82289B0C-2F97-4713-B8B3-3D8B8A6A7D0D}"/>
    <cellStyle name="Euro 37 4 2 4" xfId="17442" xr:uid="{B2D02E51-2DE6-4E8E-B40B-F1F27249580A}"/>
    <cellStyle name="Euro 37 4 3" xfId="9045" xr:uid="{266D11AE-089B-49D6-8767-1052BCCD6F99}"/>
    <cellStyle name="Euro 37 5" xfId="1414" xr:uid="{00000000-0005-0000-0000-00004E010000}"/>
    <cellStyle name="Euro 37 6" xfId="2753" xr:uid="{457C010B-FF35-4DA0-BD44-564D4177A3E2}"/>
    <cellStyle name="Euro 37 6 2" xfId="9632" xr:uid="{B3D70F7B-EB04-4816-AA77-3B09971F1CE9}"/>
    <cellStyle name="Euro 38" xfId="179" xr:uid="{00000000-0005-0000-0000-00004F010000}"/>
    <cellStyle name="Euro 38 2" xfId="180" xr:uid="{00000000-0005-0000-0000-000050010000}"/>
    <cellStyle name="Euro 38 2 2" xfId="2754" xr:uid="{AEBF3F9D-7647-43CF-A5C2-F78ABE523F0D}"/>
    <cellStyle name="Euro 38 2 2 2" xfId="13408" xr:uid="{F0BC6312-E13C-4394-B45E-6BC0E7A97D33}"/>
    <cellStyle name="Euro 38 2 3" xfId="13088" xr:uid="{3CEAAFB1-C5D8-4EE5-8F44-3FE44270DFBE}"/>
    <cellStyle name="Euro 38 3" xfId="181" xr:uid="{00000000-0005-0000-0000-000051010000}"/>
    <cellStyle name="Euro 38 3 2" xfId="182" xr:uid="{00000000-0005-0000-0000-000052010000}"/>
    <cellStyle name="Euro 38 3 2 2" xfId="1415" xr:uid="{00000000-0005-0000-0000-000053010000}"/>
    <cellStyle name="Euro 38 3 2 3" xfId="7750" xr:uid="{B4065625-3F44-4112-B12C-8E6377B30592}"/>
    <cellStyle name="Euro 38 3 2 3 2" xfId="13870" xr:uid="{9B50877A-FE87-4097-B4D5-3BB7A49EFB22}"/>
    <cellStyle name="Euro 38 3 3" xfId="2755" xr:uid="{08DB3719-4E57-4C41-BBEA-2BB1D5E1D312}"/>
    <cellStyle name="Euro 38 3 3 2" xfId="9046" xr:uid="{358C0CBA-AD94-4269-B39C-9EE7B144F388}"/>
    <cellStyle name="Euro 38 3 4" xfId="2756" xr:uid="{7F6BB06B-11EC-499C-A7D4-9B95D9C53BE9}"/>
    <cellStyle name="Euro 38 3 4 2" xfId="13658" xr:uid="{976DB2AD-5EC0-4ADE-B7EB-789E5F3E23E8}"/>
    <cellStyle name="Euro 38 3 5" xfId="11520" xr:uid="{106E0B21-B5F5-4074-9D55-21900018470C}"/>
    <cellStyle name="Euro 38 4" xfId="1416" xr:uid="{00000000-0005-0000-0000-000054010000}"/>
    <cellStyle name="Euro 38 4 2" xfId="1417" xr:uid="{00000000-0005-0000-0000-000055010000}"/>
    <cellStyle name="Euro 38 4 2 2" xfId="9047" xr:uid="{F5643C78-35D3-4826-85AB-065062516B7E}"/>
    <cellStyle name="Euro 38 4 2 3" xfId="17775" xr:uid="{66798258-7BDB-47D1-8CFC-84C8DC3A2A4B}"/>
    <cellStyle name="Euro 38 4 2 4" xfId="17441" xr:uid="{B4B1389C-BDAB-43E3-AD6B-9330E3FDDA72}"/>
    <cellStyle name="Euro 38 4 3" xfId="9048" xr:uid="{7D8278C6-F483-4524-A9F1-58FEB25DED55}"/>
    <cellStyle name="Euro 38 5" xfId="1418" xr:uid="{00000000-0005-0000-0000-000056010000}"/>
    <cellStyle name="Euro 38 6" xfId="2757" xr:uid="{BE8D73F1-14AB-4158-B91A-3FD62EC6FCD4}"/>
    <cellStyle name="Euro 38 6 2" xfId="9633" xr:uid="{F721972A-D64B-433E-966D-A89BD27FE6EF}"/>
    <cellStyle name="Euro 39" xfId="183" xr:uid="{00000000-0005-0000-0000-000057010000}"/>
    <cellStyle name="Euro 39 2" xfId="184" xr:uid="{00000000-0005-0000-0000-000058010000}"/>
    <cellStyle name="Euro 39 2 2" xfId="2758" xr:uid="{D9057C53-7D7E-4F22-8607-B7DABF636F34}"/>
    <cellStyle name="Euro 39 2 2 2" xfId="13409" xr:uid="{FC82C8A7-59FE-4973-AD8A-F2AB73D4680F}"/>
    <cellStyle name="Euro 39 2 3" xfId="13089" xr:uid="{44474754-F341-41C9-A5A2-742ACCD3AB28}"/>
    <cellStyle name="Euro 39 3" xfId="185" xr:uid="{00000000-0005-0000-0000-000059010000}"/>
    <cellStyle name="Euro 39 3 2" xfId="186" xr:uid="{00000000-0005-0000-0000-00005A010000}"/>
    <cellStyle name="Euro 39 3 2 2" xfId="1419" xr:uid="{00000000-0005-0000-0000-00005B010000}"/>
    <cellStyle name="Euro 39 3 2 3" xfId="7751" xr:uid="{AD0968A3-9894-421A-917C-BD2E8E1DB978}"/>
    <cellStyle name="Euro 39 3 2 3 2" xfId="13871" xr:uid="{C329EACF-7D1B-4C77-A9D1-07DFCCC3D04A}"/>
    <cellStyle name="Euro 39 3 3" xfId="2759" xr:uid="{57D9087A-1D30-48FD-BB65-8C09DFD442E5}"/>
    <cellStyle name="Euro 39 3 3 2" xfId="9049" xr:uid="{0D1C1060-828E-46B7-90E9-63DE42E03249}"/>
    <cellStyle name="Euro 39 3 4" xfId="2760" xr:uid="{995C539C-7F7D-47D8-90DA-226CB2422EF3}"/>
    <cellStyle name="Euro 39 3 4 2" xfId="13659" xr:uid="{3FD5A229-8D3E-4AE2-9952-540A6F3BF617}"/>
    <cellStyle name="Euro 39 3 5" xfId="11508" xr:uid="{72257588-B14E-42E1-80D3-78E89C85F1DD}"/>
    <cellStyle name="Euro 39 4" xfId="1420" xr:uid="{00000000-0005-0000-0000-00005C010000}"/>
    <cellStyle name="Euro 39 4 2" xfId="1421" xr:uid="{00000000-0005-0000-0000-00005D010000}"/>
    <cellStyle name="Euro 39 4 2 2" xfId="9050" xr:uid="{076DB321-3C5C-46C1-A267-A3705E5747BA}"/>
    <cellStyle name="Euro 39 4 2 3" xfId="17776" xr:uid="{DF995862-856A-420C-A7E3-58AD9A4B91BB}"/>
    <cellStyle name="Euro 39 4 2 4" xfId="17440" xr:uid="{AED7C4A5-78BF-4D5A-8B81-445E16715E43}"/>
    <cellStyle name="Euro 39 4 3" xfId="9051" xr:uid="{18874FE5-49B0-458C-BD0B-70B22359E0E6}"/>
    <cellStyle name="Euro 39 5" xfId="1422" xr:uid="{00000000-0005-0000-0000-00005E010000}"/>
    <cellStyle name="Euro 39 6" xfId="2761" xr:uid="{96BEC250-9C31-4C49-857B-968E840864E9}"/>
    <cellStyle name="Euro 39 6 2" xfId="9634" xr:uid="{E13404EB-CDCD-481C-8777-FB337AE207A9}"/>
    <cellStyle name="Euro 4" xfId="187" xr:uid="{00000000-0005-0000-0000-00005F010000}"/>
    <cellStyle name="Euro 4 2" xfId="188" xr:uid="{00000000-0005-0000-0000-000060010000}"/>
    <cellStyle name="Euro 4 2 2" xfId="2762" xr:uid="{A3482B85-0F02-43C0-A434-FE690A8CD09F}"/>
    <cellStyle name="Euro 4 2 2 2" xfId="13410" xr:uid="{0B5F4722-C432-42F4-9757-1D17942E02B7}"/>
    <cellStyle name="Euro 4 2 3" xfId="13090" xr:uid="{EDC1562F-945B-41D5-9D0D-43E3A82FA0BB}"/>
    <cellStyle name="Euro 4 3" xfId="189" xr:uid="{00000000-0005-0000-0000-000061010000}"/>
    <cellStyle name="Euro 4 3 2" xfId="190" xr:uid="{00000000-0005-0000-0000-000062010000}"/>
    <cellStyle name="Euro 4 3 2 2" xfId="1423" xr:uid="{00000000-0005-0000-0000-000063010000}"/>
    <cellStyle name="Euro 4 3 2 3" xfId="7752" xr:uid="{51B914DC-028F-450E-B73C-B19AA0DEC3CE}"/>
    <cellStyle name="Euro 4 3 2 3 2" xfId="13872" xr:uid="{5FC3FA2B-ED37-42A9-8203-DDD3BD6AB7D0}"/>
    <cellStyle name="Euro 4 3 3" xfId="2763" xr:uid="{3BD4257B-C9E3-4A88-8108-0DE78A87560E}"/>
    <cellStyle name="Euro 4 3 3 2" xfId="9052" xr:uid="{35C40E93-1041-4559-875F-E888713A9EDB}"/>
    <cellStyle name="Euro 4 3 4" xfId="2764" xr:uid="{BC93E2D0-9AAF-4A54-B97B-B1809099C469}"/>
    <cellStyle name="Euro 4 3 4 2" xfId="13660" xr:uid="{0632A5D6-3983-4F17-9B49-168980D4B0EA}"/>
    <cellStyle name="Euro 4 3 5" xfId="11538" xr:uid="{4618DAB9-B9C6-4784-934F-2FE18B04E245}"/>
    <cellStyle name="Euro 4 4" xfId="1424" xr:uid="{00000000-0005-0000-0000-000064010000}"/>
    <cellStyle name="Euro 4 4 2" xfId="1425" xr:uid="{00000000-0005-0000-0000-000065010000}"/>
    <cellStyle name="Euro 4 4 2 2" xfId="9053" xr:uid="{07AA1854-AC11-4B17-B185-9836CB05574F}"/>
    <cellStyle name="Euro 4 4 2 3" xfId="17777" xr:uid="{E2A8FCC6-66FA-4A85-B047-B13EFE9D07F3}"/>
    <cellStyle name="Euro 4 4 2 4" xfId="17439" xr:uid="{38B27B04-CC98-4E67-8F8E-81E2E05DA591}"/>
    <cellStyle name="Euro 4 4 3" xfId="9054" xr:uid="{1A494FF2-78DD-4894-BAFD-D4B34FEF7DCD}"/>
    <cellStyle name="Euro 4 5" xfId="1426" xr:uid="{00000000-0005-0000-0000-000066010000}"/>
    <cellStyle name="Euro 4 6" xfId="2765" xr:uid="{D2B3C8F7-E7A5-4ECF-9F74-C564C6A51716}"/>
    <cellStyle name="Euro 4 6 2" xfId="9635" xr:uid="{367612B7-B5A3-48F0-9FB1-650E6A194FEC}"/>
    <cellStyle name="Euro 40" xfId="191" xr:uid="{00000000-0005-0000-0000-000067010000}"/>
    <cellStyle name="Euro 40 2" xfId="192" xr:uid="{00000000-0005-0000-0000-000068010000}"/>
    <cellStyle name="Euro 40 2 2" xfId="2766" xr:uid="{DC3492BA-6EA2-49E6-BB10-CD9BA4593D3D}"/>
    <cellStyle name="Euro 40 2 2 2" xfId="13411" xr:uid="{09972E95-F5FA-4B54-A9C1-4B52B69C6E07}"/>
    <cellStyle name="Euro 40 2 3" xfId="13091" xr:uid="{0905A938-A187-46F7-AB9E-02DFED935AB8}"/>
    <cellStyle name="Euro 40 3" xfId="193" xr:uid="{00000000-0005-0000-0000-000069010000}"/>
    <cellStyle name="Euro 40 3 2" xfId="194" xr:uid="{00000000-0005-0000-0000-00006A010000}"/>
    <cellStyle name="Euro 40 3 2 2" xfId="1427" xr:uid="{00000000-0005-0000-0000-00006B010000}"/>
    <cellStyle name="Euro 40 3 2 3" xfId="7753" xr:uid="{598CAC36-86AE-4256-B415-3756119C8D07}"/>
    <cellStyle name="Euro 40 3 2 3 2" xfId="13873" xr:uid="{19BEE157-EDF6-4584-A6D6-3CD0AA6CC8DB}"/>
    <cellStyle name="Euro 40 3 3" xfId="2767" xr:uid="{9B3908D0-8E9D-46FD-A78C-5FDC3ADDB1FC}"/>
    <cellStyle name="Euro 40 3 3 2" xfId="9055" xr:uid="{C03A9D0D-C666-421F-BE9C-D92029017FD9}"/>
    <cellStyle name="Euro 40 3 4" xfId="2768" xr:uid="{CBCBC6FA-B88E-4D61-8CC7-15CCA14E5581}"/>
    <cellStyle name="Euro 40 3 4 2" xfId="13661" xr:uid="{36E998B9-1796-4D90-931D-F088606EBCAE}"/>
    <cellStyle name="Euro 40 3 5" xfId="11539" xr:uid="{3AC50155-A6FC-498C-B310-A64FCB90E484}"/>
    <cellStyle name="Euro 40 4" xfId="1428" xr:uid="{00000000-0005-0000-0000-00006C010000}"/>
    <cellStyle name="Euro 40 4 2" xfId="1429" xr:uid="{00000000-0005-0000-0000-00006D010000}"/>
    <cellStyle name="Euro 40 4 2 2" xfId="9056" xr:uid="{8BDDC46E-6D5D-419F-A55A-088BAB92F15D}"/>
    <cellStyle name="Euro 40 4 2 3" xfId="17778" xr:uid="{734D3CA1-7F14-47CE-AE92-7B94D3896404}"/>
    <cellStyle name="Euro 40 4 2 4" xfId="17438" xr:uid="{57C1DD9C-C2E7-4603-9BED-6FED29BE5860}"/>
    <cellStyle name="Euro 40 4 3" xfId="9057" xr:uid="{68030D1C-B706-49F6-847D-81D8CF5443A7}"/>
    <cellStyle name="Euro 40 5" xfId="1430" xr:uid="{00000000-0005-0000-0000-00006E010000}"/>
    <cellStyle name="Euro 40 6" xfId="2769" xr:uid="{96EF9291-FF9D-4E63-B4DB-CE7995090597}"/>
    <cellStyle name="Euro 40 6 2" xfId="9636" xr:uid="{07F33BE3-A840-4ECD-A352-50EE64581E65}"/>
    <cellStyle name="Euro 41" xfId="195" xr:uid="{00000000-0005-0000-0000-00006F010000}"/>
    <cellStyle name="Euro 41 2" xfId="196" xr:uid="{00000000-0005-0000-0000-000070010000}"/>
    <cellStyle name="Euro 41 2 2" xfId="2770" xr:uid="{C97650D4-752D-4E55-956E-7B208AF13EE7}"/>
    <cellStyle name="Euro 41 2 2 2" xfId="13412" xr:uid="{02F097E9-A955-4BB3-8882-11ECADF86874}"/>
    <cellStyle name="Euro 41 2 3" xfId="13092" xr:uid="{BCBAF8C7-3367-4C0F-8F87-2C9AC34024FE}"/>
    <cellStyle name="Euro 41 3" xfId="197" xr:uid="{00000000-0005-0000-0000-000071010000}"/>
    <cellStyle name="Euro 41 3 2" xfId="198" xr:uid="{00000000-0005-0000-0000-000072010000}"/>
    <cellStyle name="Euro 41 3 2 2" xfId="1431" xr:uid="{00000000-0005-0000-0000-000073010000}"/>
    <cellStyle name="Euro 41 3 2 3" xfId="7754" xr:uid="{47AA4BA4-8ED9-4D42-B185-D5156A4D072F}"/>
    <cellStyle name="Euro 41 3 2 3 2" xfId="13874" xr:uid="{0AEF13C9-A5B2-4E91-835E-A8B0FD1BA8C3}"/>
    <cellStyle name="Euro 41 3 3" xfId="2771" xr:uid="{2557ADB5-E29D-4646-89FB-BD4C6110D934}"/>
    <cellStyle name="Euro 41 3 3 2" xfId="9058" xr:uid="{76991EB2-DCF2-485B-983B-ED3533FB1E21}"/>
    <cellStyle name="Euro 41 3 4" xfId="2772" xr:uid="{B1404088-A954-4710-A7AA-96266A2639BD}"/>
    <cellStyle name="Euro 41 3 4 2" xfId="13662" xr:uid="{32DFD588-A475-4682-B5AD-7AE8DA9030B8}"/>
    <cellStyle name="Euro 41 3 5" xfId="12275" xr:uid="{DB80E547-FE94-4AC5-B658-D8E03E0D3CEF}"/>
    <cellStyle name="Euro 41 4" xfId="1432" xr:uid="{00000000-0005-0000-0000-000074010000}"/>
    <cellStyle name="Euro 41 4 2" xfId="1433" xr:uid="{00000000-0005-0000-0000-000075010000}"/>
    <cellStyle name="Euro 41 4 2 2" xfId="9059" xr:uid="{3BD39EE9-5CB8-4A27-9A3A-87E177C6CE90}"/>
    <cellStyle name="Euro 41 4 2 3" xfId="17779" xr:uid="{3E025108-D25B-4C93-9A57-9E9F54A740CF}"/>
    <cellStyle name="Euro 41 4 2 4" xfId="17437" xr:uid="{3EEB89BE-0151-4FD3-ACA8-D972364A5EEF}"/>
    <cellStyle name="Euro 41 4 3" xfId="9060" xr:uid="{50D63496-F61F-4EBE-AA7C-DE9D9C7919BC}"/>
    <cellStyle name="Euro 41 5" xfId="1434" xr:uid="{00000000-0005-0000-0000-000076010000}"/>
    <cellStyle name="Euro 41 6" xfId="2773" xr:uid="{5E1BB319-D45F-4C84-AC87-6E351EF4F86F}"/>
    <cellStyle name="Euro 41 6 2" xfId="9637" xr:uid="{7E9CC084-27EB-46D5-A19E-63A063FFE85B}"/>
    <cellStyle name="Euro 42" xfId="199" xr:uid="{00000000-0005-0000-0000-000077010000}"/>
    <cellStyle name="Euro 42 2" xfId="200" xr:uid="{00000000-0005-0000-0000-000078010000}"/>
    <cellStyle name="Euro 42 2 2" xfId="2774" xr:uid="{D32EC4B1-0FF1-4A30-8429-17524946B732}"/>
    <cellStyle name="Euro 42 2 2 2" xfId="13413" xr:uid="{20FC44AF-C3FB-441C-A52F-FBB1F0BA4DA9}"/>
    <cellStyle name="Euro 42 2 3" xfId="13093" xr:uid="{A53262C1-00FE-4032-B04B-94AF1FAFA311}"/>
    <cellStyle name="Euro 42 3" xfId="201" xr:uid="{00000000-0005-0000-0000-000079010000}"/>
    <cellStyle name="Euro 42 3 2" xfId="202" xr:uid="{00000000-0005-0000-0000-00007A010000}"/>
    <cellStyle name="Euro 42 3 2 2" xfId="1435" xr:uid="{00000000-0005-0000-0000-00007B010000}"/>
    <cellStyle name="Euro 42 3 2 3" xfId="7755" xr:uid="{371F0057-61D2-4A6B-8FB3-7AADE82E9119}"/>
    <cellStyle name="Euro 42 3 2 3 2" xfId="13875" xr:uid="{947525FC-5BA4-40ED-A681-AC660B8C5B0C}"/>
    <cellStyle name="Euro 42 3 3" xfId="2775" xr:uid="{F012731B-4967-46AB-A7F7-2B4726A8670B}"/>
    <cellStyle name="Euro 42 3 3 2" xfId="9061" xr:uid="{FFBC5C3B-894D-4229-809D-7BDBFA0E446F}"/>
    <cellStyle name="Euro 42 3 4" xfId="2776" xr:uid="{4F3FE6A1-3053-4916-9913-33CD7EAD6365}"/>
    <cellStyle name="Euro 42 3 4 2" xfId="13663" xr:uid="{F806B68B-4A2C-43B7-8DBA-B5C7B1C824B1}"/>
    <cellStyle name="Euro 42 3 5" xfId="12237" xr:uid="{688D92A6-8B58-4825-A962-A9C163621D29}"/>
    <cellStyle name="Euro 42 4" xfId="1436" xr:uid="{00000000-0005-0000-0000-00007C010000}"/>
    <cellStyle name="Euro 42 4 2" xfId="1437" xr:uid="{00000000-0005-0000-0000-00007D010000}"/>
    <cellStyle name="Euro 42 4 2 2" xfId="9062" xr:uid="{C3C869CF-518B-457F-9A2A-D7A664FD99C0}"/>
    <cellStyle name="Euro 42 4 2 3" xfId="17780" xr:uid="{03EA794D-31C7-470B-BFB0-0D0C9F507C73}"/>
    <cellStyle name="Euro 42 4 2 4" xfId="17436" xr:uid="{7C9615EA-7E88-4170-8803-3302BF1E8BC6}"/>
    <cellStyle name="Euro 42 4 3" xfId="9063" xr:uid="{1699FBAC-ABA0-4E6A-953B-0100C4387555}"/>
    <cellStyle name="Euro 42 5" xfId="1438" xr:uid="{00000000-0005-0000-0000-00007E010000}"/>
    <cellStyle name="Euro 42 6" xfId="2777" xr:uid="{7EB66470-5D1D-41E2-A21C-074E1D426E16}"/>
    <cellStyle name="Euro 42 6 2" xfId="9638" xr:uid="{C15BBDD7-3619-4B91-8C4A-7251FD2C69A0}"/>
    <cellStyle name="Euro 43" xfId="203" xr:uid="{00000000-0005-0000-0000-00007F010000}"/>
    <cellStyle name="Euro 43 2" xfId="204" xr:uid="{00000000-0005-0000-0000-000080010000}"/>
    <cellStyle name="Euro 43 2 2" xfId="2778" xr:uid="{2CEE256B-2478-4FA5-904B-F9EC08CE3B55}"/>
    <cellStyle name="Euro 43 2 2 2" xfId="13414" xr:uid="{4A5BCAA1-03FB-4F1A-A7E0-8A005E6624BB}"/>
    <cellStyle name="Euro 43 2 3" xfId="13094" xr:uid="{F5B30EF4-9A5A-4FB0-B71E-6AAE4E4E8BF7}"/>
    <cellStyle name="Euro 43 3" xfId="205" xr:uid="{00000000-0005-0000-0000-000081010000}"/>
    <cellStyle name="Euro 43 3 2" xfId="206" xr:uid="{00000000-0005-0000-0000-000082010000}"/>
    <cellStyle name="Euro 43 3 2 2" xfId="1439" xr:uid="{00000000-0005-0000-0000-000083010000}"/>
    <cellStyle name="Euro 43 3 2 3" xfId="7756" xr:uid="{E179D5C3-741A-439C-9B5C-C8456DD80B36}"/>
    <cellStyle name="Euro 43 3 2 3 2" xfId="13876" xr:uid="{58726FF5-5AD8-45C1-992D-0A3DA61179B4}"/>
    <cellStyle name="Euro 43 3 3" xfId="2779" xr:uid="{FF869E05-9B77-441F-979C-BDFCF7BDDF11}"/>
    <cellStyle name="Euro 43 3 3 2" xfId="9064" xr:uid="{C382DC5E-0955-42F4-A8CF-8E2B07AAF1C1}"/>
    <cellStyle name="Euro 43 3 4" xfId="2780" xr:uid="{C925B9E8-48C2-428A-BFCF-5E2D71A7516B}"/>
    <cellStyle name="Euro 43 3 4 2" xfId="13664" xr:uid="{036767EB-443D-4436-B44A-F24763C1920E}"/>
    <cellStyle name="Euro 43 3 5" xfId="11225" xr:uid="{D874F628-6066-438A-9A10-DC8BC7698A4B}"/>
    <cellStyle name="Euro 43 4" xfId="1440" xr:uid="{00000000-0005-0000-0000-000084010000}"/>
    <cellStyle name="Euro 43 4 2" xfId="1441" xr:uid="{00000000-0005-0000-0000-000085010000}"/>
    <cellStyle name="Euro 43 4 2 2" xfId="9065" xr:uid="{5CABC535-01CF-4347-BF01-E12BF479E10C}"/>
    <cellStyle name="Euro 43 4 2 3" xfId="17781" xr:uid="{6BED0B78-4BD0-4750-96B1-48EE6E83E131}"/>
    <cellStyle name="Euro 43 4 2 4" xfId="17435" xr:uid="{911CF1AE-63B3-47EF-A729-8BC0DE36FAC6}"/>
    <cellStyle name="Euro 43 4 3" xfId="9066" xr:uid="{53E12142-B043-41BD-B0DB-7734D3B4422A}"/>
    <cellStyle name="Euro 43 5" xfId="1442" xr:uid="{00000000-0005-0000-0000-000086010000}"/>
    <cellStyle name="Euro 43 6" xfId="2781" xr:uid="{6A7A5863-F133-4EEF-8E2E-E7D986BF8635}"/>
    <cellStyle name="Euro 43 6 2" xfId="9639" xr:uid="{2BECFEA7-23AB-4B79-8E74-A5A2DF3417EC}"/>
    <cellStyle name="Euro 44" xfId="207" xr:uid="{00000000-0005-0000-0000-000087010000}"/>
    <cellStyle name="Euro 44 2" xfId="208" xr:uid="{00000000-0005-0000-0000-000088010000}"/>
    <cellStyle name="Euro 44 2 2" xfId="2782" xr:uid="{EB62E236-BAB2-417E-933D-71DC3CBC12B0}"/>
    <cellStyle name="Euro 44 2 2 2" xfId="13415" xr:uid="{CD596E45-C8D6-4C0A-9F76-831C1D4DC85E}"/>
    <cellStyle name="Euro 44 2 3" xfId="13095" xr:uid="{8F8E5E43-3433-4F22-9135-13D0B64424A0}"/>
    <cellStyle name="Euro 44 3" xfId="209" xr:uid="{00000000-0005-0000-0000-000089010000}"/>
    <cellStyle name="Euro 44 3 2" xfId="210" xr:uid="{00000000-0005-0000-0000-00008A010000}"/>
    <cellStyle name="Euro 44 3 2 2" xfId="1443" xr:uid="{00000000-0005-0000-0000-00008B010000}"/>
    <cellStyle name="Euro 44 3 2 3" xfId="7757" xr:uid="{F681CC20-8948-43C0-9165-B7E51AD9E383}"/>
    <cellStyle name="Euro 44 3 2 3 2" xfId="13877" xr:uid="{4B8923FC-F3AB-4E60-9B25-A55F4E6E638E}"/>
    <cellStyle name="Euro 44 3 3" xfId="2783" xr:uid="{D82C0626-F081-4427-B078-739EEDCEEF35}"/>
    <cellStyle name="Euro 44 3 3 2" xfId="9067" xr:uid="{F081D97A-A4F8-4E62-8158-E3EB0BF8577E}"/>
    <cellStyle name="Euro 44 3 4" xfId="2784" xr:uid="{0AEF48BD-DD17-44C6-BBE6-0F16FDC661BB}"/>
    <cellStyle name="Euro 44 3 4 2" xfId="13665" xr:uid="{FC9F55D8-4B49-4F55-97FC-1E273394E240}"/>
    <cellStyle name="Euro 44 3 5" xfId="11224" xr:uid="{E86D00BD-FB23-47F6-93EF-DAED140D2DA1}"/>
    <cellStyle name="Euro 44 4" xfId="1444" xr:uid="{00000000-0005-0000-0000-00008C010000}"/>
    <cellStyle name="Euro 44 4 2" xfId="1445" xr:uid="{00000000-0005-0000-0000-00008D010000}"/>
    <cellStyle name="Euro 44 4 2 2" xfId="9068" xr:uid="{D9889E26-3DC4-4056-9F55-1156AD7B1445}"/>
    <cellStyle name="Euro 44 4 2 3" xfId="17782" xr:uid="{CE4AF6B2-9532-4A7B-9ACB-B9CA55E1B4A5}"/>
    <cellStyle name="Euro 44 4 2 4" xfId="17434" xr:uid="{0BAE2BAA-CF70-466F-A95F-98D37F03E489}"/>
    <cellStyle name="Euro 44 4 3" xfId="9069" xr:uid="{74839028-77C0-4890-9DA6-02059526F61A}"/>
    <cellStyle name="Euro 44 5" xfId="1446" xr:uid="{00000000-0005-0000-0000-00008E010000}"/>
    <cellStyle name="Euro 44 6" xfId="2785" xr:uid="{BDF4F773-6D67-438F-84CA-F2916CB7326D}"/>
    <cellStyle name="Euro 44 6 2" xfId="9640" xr:uid="{8C8F27DF-F330-4BCF-89DD-18B042F10FB3}"/>
    <cellStyle name="Euro 45" xfId="211" xr:uid="{00000000-0005-0000-0000-00008F010000}"/>
    <cellStyle name="Euro 45 2" xfId="212" xr:uid="{00000000-0005-0000-0000-000090010000}"/>
    <cellStyle name="Euro 45 2 2" xfId="9070" xr:uid="{C7FB60F1-629E-4025-80F8-83B5E4DCCE6A}"/>
    <cellStyle name="Euro 45 2 2 2" xfId="13416" xr:uid="{FED80493-14A5-48E8-BD4D-E61E5FF182F5}"/>
    <cellStyle name="Euro 45 2 3" xfId="11708" xr:uid="{49F16A09-4BF6-400F-B5F6-92D402E9840D}"/>
    <cellStyle name="Euro 45 2 4" xfId="11229" xr:uid="{D42B178B-EF4A-4F8E-AA6D-6A73787CC04D}"/>
    <cellStyle name="Euro 45 3" xfId="2787" xr:uid="{1C29E9DF-CB16-4C99-907F-3A203DA31AA9}"/>
    <cellStyle name="Euro 45 4" xfId="2786" xr:uid="{3B7C3440-34CB-42FB-A379-1FA90B9C90BC}"/>
    <cellStyle name="Euro 45 4 2" xfId="18054" xr:uid="{1A339584-B6F1-4AAD-8EB3-8AEE7058727E}"/>
    <cellStyle name="Euro 45 4 3" xfId="17564" xr:uid="{A92C5ABD-4975-4D0E-BFB5-6FFB5DF0B6D0}"/>
    <cellStyle name="Euro 45 4 4" xfId="11228" xr:uid="{44D4948E-A97C-4A5A-BB42-751A813EC9ED}"/>
    <cellStyle name="Euro 45 5" xfId="11709" xr:uid="{1FA585E2-0DD2-4496-9BAD-E30DAC526D72}"/>
    <cellStyle name="Euro 45 6" xfId="11147" xr:uid="{6F20C8F8-6012-4415-B593-8DD3EEB92EB7}"/>
    <cellStyle name="Euro 45 7" xfId="23824" xr:uid="{7B31380D-D870-4975-AF13-C6BCA8A65B92}"/>
    <cellStyle name="Euro 46" xfId="213" xr:uid="{00000000-0005-0000-0000-000091010000}"/>
    <cellStyle name="Euro 46 2" xfId="214" xr:uid="{00000000-0005-0000-0000-000092010000}"/>
    <cellStyle name="Euro 46 2 2" xfId="13417" xr:uid="{85532EFD-9D3A-4D84-837C-FEE16FD728F0}"/>
    <cellStyle name="Euro 46 3" xfId="13096" xr:uid="{03DBB346-0109-44E5-8E24-791ED7A971B5}"/>
    <cellStyle name="Euro 47" xfId="215" xr:uid="{00000000-0005-0000-0000-000093010000}"/>
    <cellStyle name="Euro 47 2" xfId="216" xr:uid="{00000000-0005-0000-0000-000094010000}"/>
    <cellStyle name="Euro 47 2 2" xfId="1447" xr:uid="{00000000-0005-0000-0000-000095010000}"/>
    <cellStyle name="Euro 47 2 3" xfId="7758" xr:uid="{5DF12432-3814-467A-9515-63E706D2461A}"/>
    <cellStyle name="Euro 47 2 3 2" xfId="13878" xr:uid="{50B39EB8-CA15-431D-B8D2-AA6A1DEFBC1D}"/>
    <cellStyle name="Euro 47 3" xfId="2788" xr:uid="{2D373E04-786B-437F-B74E-9CD65F822A7A}"/>
    <cellStyle name="Euro 47 3 2" xfId="9071" xr:uid="{FA7B224A-B192-4B82-8F2E-86370A4B6151}"/>
    <cellStyle name="Euro 47 4" xfId="2789" xr:uid="{041FD63F-E2F3-43B4-B998-9533EB526FF8}"/>
    <cellStyle name="Euro 47 4 2" xfId="13666" xr:uid="{D33C01EB-2AA9-4FA0-9DD1-F54BADDD193C}"/>
    <cellStyle name="Euro 47 5" xfId="12438" xr:uid="{A3E65754-8BCC-43DB-9324-9999E258ADE5}"/>
    <cellStyle name="Euro 48" xfId="217" xr:uid="{00000000-0005-0000-0000-000096010000}"/>
    <cellStyle name="Euro 48 2" xfId="2790" xr:uid="{3B2C8E0C-850F-4944-87BB-E0864CBE5FCD}"/>
    <cellStyle name="Euro 48 2 2" xfId="13418" xr:uid="{9EDFAD3D-B7F6-40E2-B913-33F9850D257F}"/>
    <cellStyle name="Euro 48 3" xfId="13097" xr:uid="{9AC38BCC-0A92-4C92-9A7C-BB8993726E26}"/>
    <cellStyle name="Euro 49" xfId="1448" xr:uid="{00000000-0005-0000-0000-000097010000}"/>
    <cellStyle name="Euro 49 2" xfId="1449" xr:uid="{00000000-0005-0000-0000-000098010000}"/>
    <cellStyle name="Euro 49 2 2" xfId="9072" xr:uid="{1BD0BFED-A625-455B-919E-A1CC1AA92817}"/>
    <cellStyle name="Euro 49 2 3" xfId="17783" xr:uid="{15C85AD7-056D-483A-8F47-73E5230EC6CC}"/>
    <cellStyle name="Euro 49 2 4" xfId="17433" xr:uid="{05A23142-3A4B-4C1C-90B0-2445DC494AFF}"/>
    <cellStyle name="Euro 49 3" xfId="9073" xr:uid="{DC82413E-1991-4F99-94CF-29DB060E171F}"/>
    <cellStyle name="Euro 5" xfId="218" xr:uid="{00000000-0005-0000-0000-000099010000}"/>
    <cellStyle name="Euro 5 2" xfId="219" xr:uid="{00000000-0005-0000-0000-00009A010000}"/>
    <cellStyle name="Euro 5 2 2" xfId="2791" xr:uid="{9AAED175-3C19-4561-B62E-CA396A36D3DB}"/>
    <cellStyle name="Euro 5 2 2 2" xfId="13419" xr:uid="{7836D486-A69E-435D-9880-739DCA8BF6A4}"/>
    <cellStyle name="Euro 5 2 3" xfId="13098" xr:uid="{8546964F-4D2C-42A1-8211-2CC286ED586F}"/>
    <cellStyle name="Euro 5 3" xfId="220" xr:uid="{00000000-0005-0000-0000-00009B010000}"/>
    <cellStyle name="Euro 5 3 2" xfId="221" xr:uid="{00000000-0005-0000-0000-00009C010000}"/>
    <cellStyle name="Euro 5 3 2 2" xfId="1450" xr:uid="{00000000-0005-0000-0000-00009D010000}"/>
    <cellStyle name="Euro 5 3 2 3" xfId="7759" xr:uid="{4171F243-9E9E-4BD3-AF88-5EBFE4C579DF}"/>
    <cellStyle name="Euro 5 3 2 3 2" xfId="13879" xr:uid="{5B21F382-E803-43ED-930A-3EBB612E8A94}"/>
    <cellStyle name="Euro 5 3 3" xfId="2792" xr:uid="{75DF7CAC-087A-4374-A763-8282155D222A}"/>
    <cellStyle name="Euro 5 3 3 2" xfId="9074" xr:uid="{B0E82183-CF61-4C94-BEE9-129F529D344C}"/>
    <cellStyle name="Euro 5 3 4" xfId="2793" xr:uid="{EC43CB9C-0685-4992-96F3-89230F8CC3FC}"/>
    <cellStyle name="Euro 5 3 4 2" xfId="13667" xr:uid="{6EAA4B76-D3D8-4A72-A185-423696818698}"/>
    <cellStyle name="Euro 5 3 5" xfId="12239" xr:uid="{F464185C-2C85-4B8A-88D7-491828ECE33A}"/>
    <cellStyle name="Euro 5 4" xfId="1451" xr:uid="{00000000-0005-0000-0000-00009E010000}"/>
    <cellStyle name="Euro 5 4 2" xfId="1452" xr:uid="{00000000-0005-0000-0000-00009F010000}"/>
    <cellStyle name="Euro 5 4 2 2" xfId="9075" xr:uid="{4FC5E85C-2E0A-4599-8A88-4ABE09AB9607}"/>
    <cellStyle name="Euro 5 4 2 3" xfId="17784" xr:uid="{D1246FA5-20FD-41CB-8528-D90266574894}"/>
    <cellStyle name="Euro 5 4 2 4" xfId="17432" xr:uid="{83B36503-428D-4F33-81F9-5EDF7E3B9EA0}"/>
    <cellStyle name="Euro 5 4 3" xfId="9076" xr:uid="{73A9275B-6F65-40F4-A760-F251BF5AA0AA}"/>
    <cellStyle name="Euro 5 5" xfId="1453" xr:uid="{00000000-0005-0000-0000-0000A0010000}"/>
    <cellStyle name="Euro 5 6" xfId="2794" xr:uid="{C3883014-11A2-4879-947D-D664061B6402}"/>
    <cellStyle name="Euro 5 6 2" xfId="9641" xr:uid="{4B6CEFF0-8362-4A05-A6C1-5321FB7D1861}"/>
    <cellStyle name="Euro 50" xfId="1454" xr:uid="{00000000-0005-0000-0000-0000A1010000}"/>
    <cellStyle name="Euro 51" xfId="2795" xr:uid="{5CD19968-DF78-42F1-B008-0E0FD898890A}"/>
    <cellStyle name="Euro 51 2" xfId="9077" xr:uid="{C81C8E6E-89D5-4640-844C-0F90AE824461}"/>
    <cellStyle name="Euro 51 2 2" xfId="13377" xr:uid="{F637DB30-7134-4B10-9FE2-8278561F106D}"/>
    <cellStyle name="Euro 51 2 3" xfId="18162" xr:uid="{1DBD5060-9857-4A6B-ACB5-8FC5E309184F}"/>
    <cellStyle name="Euro 51 3" xfId="9602" xr:uid="{48783788-82ED-4F2D-B18F-03BD8F17DB7F}"/>
    <cellStyle name="Euro 51 4" xfId="11232" xr:uid="{5D8E77C8-1CF2-4D5D-93A4-CD2C9D53FA66}"/>
    <cellStyle name="Euro 51 5" xfId="18055" xr:uid="{EE22C441-5DA7-4795-AAD3-4B7DA930D43C}"/>
    <cellStyle name="Euro 6" xfId="222" xr:uid="{00000000-0005-0000-0000-0000A2010000}"/>
    <cellStyle name="Euro 6 2" xfId="223" xr:uid="{00000000-0005-0000-0000-0000A3010000}"/>
    <cellStyle name="Euro 6 2 2" xfId="2796" xr:uid="{EAA83E63-2EC4-431E-A3E3-FD65E9AE501F}"/>
    <cellStyle name="Euro 6 2 2 2" xfId="13420" xr:uid="{841B1187-3203-4BEE-BDA7-970ECE9633A2}"/>
    <cellStyle name="Euro 6 2 3" xfId="13099" xr:uid="{D8E4F83C-883C-4EF5-9C66-718BCF7900B4}"/>
    <cellStyle name="Euro 6 3" xfId="224" xr:uid="{00000000-0005-0000-0000-0000A4010000}"/>
    <cellStyle name="Euro 6 3 2" xfId="225" xr:uid="{00000000-0005-0000-0000-0000A5010000}"/>
    <cellStyle name="Euro 6 3 2 2" xfId="1455" xr:uid="{00000000-0005-0000-0000-0000A6010000}"/>
    <cellStyle name="Euro 6 3 2 3" xfId="7760" xr:uid="{C6BE2BBF-C0B0-4D94-A74A-0B06508EA967}"/>
    <cellStyle name="Euro 6 3 2 3 2" xfId="13880" xr:uid="{FF822028-6507-474B-8519-FECC04C13091}"/>
    <cellStyle name="Euro 6 3 3" xfId="2797" xr:uid="{E0B013FC-7BBE-42DE-BC33-7AF187AE6ED3}"/>
    <cellStyle name="Euro 6 3 3 2" xfId="9078" xr:uid="{11252954-28DA-4CCA-AE3D-0516BEDA5810}"/>
    <cellStyle name="Euro 6 3 4" xfId="2798" xr:uid="{C998797A-1F5B-4715-B4C0-1BA4CC778D4A}"/>
    <cellStyle name="Euro 6 3 4 2" xfId="13668" xr:uid="{CE31641C-32C9-448F-BA76-80FA2CB615EA}"/>
    <cellStyle name="Euro 6 3 5" xfId="12238" xr:uid="{6A65ECB3-6159-4920-BB12-2DA3423D923E}"/>
    <cellStyle name="Euro 6 4" xfId="1456" xr:uid="{00000000-0005-0000-0000-0000A7010000}"/>
    <cellStyle name="Euro 6 4 2" xfId="1457" xr:uid="{00000000-0005-0000-0000-0000A8010000}"/>
    <cellStyle name="Euro 6 4 2 2" xfId="9079" xr:uid="{63B52224-52EE-48F8-A059-912567C49646}"/>
    <cellStyle name="Euro 6 4 2 3" xfId="17785" xr:uid="{EDBD69A2-878A-4E0A-9DF1-F7FE5E18735A}"/>
    <cellStyle name="Euro 6 4 2 4" xfId="17431" xr:uid="{1C2CE145-E0CE-4041-A46B-122B393CCB47}"/>
    <cellStyle name="Euro 6 4 3" xfId="9080" xr:uid="{B32FB0B5-6562-46EB-9689-98F3795C04F9}"/>
    <cellStyle name="Euro 6 5" xfId="1458" xr:uid="{00000000-0005-0000-0000-0000A9010000}"/>
    <cellStyle name="Euro 6 6" xfId="2799" xr:uid="{DDC6D7BB-7C13-44AE-80B9-4209F77B16F4}"/>
    <cellStyle name="Euro 6 6 2" xfId="9642" xr:uid="{E9AEE392-452D-4D21-98AE-7AE8D824F21A}"/>
    <cellStyle name="Euro 7" xfId="226" xr:uid="{00000000-0005-0000-0000-0000AA010000}"/>
    <cellStyle name="Euro 7 2" xfId="227" xr:uid="{00000000-0005-0000-0000-0000AB010000}"/>
    <cellStyle name="Euro 7 2 2" xfId="2800" xr:uid="{CC454D83-CD78-4CAD-B372-0706F963DFFA}"/>
    <cellStyle name="Euro 7 2 2 2" xfId="13421" xr:uid="{5EA578F7-F6E9-4620-8EAC-E118586C8A20}"/>
    <cellStyle name="Euro 7 2 3" xfId="13100" xr:uid="{C313982F-DE11-4692-BE89-01D1AA37E103}"/>
    <cellStyle name="Euro 7 3" xfId="228" xr:uid="{00000000-0005-0000-0000-0000AC010000}"/>
    <cellStyle name="Euro 7 3 2" xfId="229" xr:uid="{00000000-0005-0000-0000-0000AD010000}"/>
    <cellStyle name="Euro 7 3 2 2" xfId="1459" xr:uid="{00000000-0005-0000-0000-0000AE010000}"/>
    <cellStyle name="Euro 7 3 2 3" xfId="7761" xr:uid="{C36354D4-0429-4799-A155-2516B6F38BA0}"/>
    <cellStyle name="Euro 7 3 2 3 2" xfId="13881" xr:uid="{8173A1F5-93F7-47D2-9F98-D14799A20D58}"/>
    <cellStyle name="Euro 7 3 3" xfId="2801" xr:uid="{BF10C45E-0E6B-4DBC-A46D-699F2601D1C8}"/>
    <cellStyle name="Euro 7 3 3 2" xfId="9081" xr:uid="{70A9E195-9259-4A5F-9ED0-1E9C474FE85F}"/>
    <cellStyle name="Euro 7 3 4" xfId="2802" xr:uid="{584E6976-125C-48CD-AAFE-FBE4CAE3C356}"/>
    <cellStyle name="Euro 7 3 4 2" xfId="13669" xr:uid="{6F005D91-267F-4927-B077-86407CFDF430}"/>
    <cellStyle name="Euro 7 3 5" xfId="11707" xr:uid="{61D31B28-5287-4250-996C-CC17E9DE366E}"/>
    <cellStyle name="Euro 7 4" xfId="1460" xr:uid="{00000000-0005-0000-0000-0000AF010000}"/>
    <cellStyle name="Euro 7 4 2" xfId="1461" xr:uid="{00000000-0005-0000-0000-0000B0010000}"/>
    <cellStyle name="Euro 7 4 2 2" xfId="9082" xr:uid="{E65AB352-DC2E-4646-9E33-61753AD1268A}"/>
    <cellStyle name="Euro 7 4 2 3" xfId="17786" xr:uid="{47C54A38-2368-45E1-90D2-1334E514F2D1}"/>
    <cellStyle name="Euro 7 4 2 4" xfId="17430" xr:uid="{CD0BB12E-5A3D-4D68-8060-CB1EA9F0593E}"/>
    <cellStyle name="Euro 7 4 3" xfId="9083" xr:uid="{DBFEDDD4-E4A4-4B4A-8630-0C6ADF37D62D}"/>
    <cellStyle name="Euro 7 5" xfId="1462" xr:uid="{00000000-0005-0000-0000-0000B1010000}"/>
    <cellStyle name="Euro 7 6" xfId="2803" xr:uid="{A2FDC9C4-D79D-4E8D-A66F-5DD100B06AB1}"/>
    <cellStyle name="Euro 7 6 2" xfId="9643" xr:uid="{02CCC245-BF44-4B66-8DA1-B611D17ACF0C}"/>
    <cellStyle name="Euro 8" xfId="230" xr:uid="{00000000-0005-0000-0000-0000B2010000}"/>
    <cellStyle name="Euro 8 2" xfId="231" xr:uid="{00000000-0005-0000-0000-0000B3010000}"/>
    <cellStyle name="Euro 8 2 2" xfId="2804" xr:uid="{3F3E1FB7-8983-41DB-BCA2-279AE1E5490B}"/>
    <cellStyle name="Euro 8 2 2 2" xfId="13422" xr:uid="{2B2DC066-F8EA-46F5-9457-C6C40FD9A2D7}"/>
    <cellStyle name="Euro 8 2 3" xfId="13101" xr:uid="{1DA852B3-05A5-4CFF-AB67-1A471D0C0B88}"/>
    <cellStyle name="Euro 8 3" xfId="232" xr:uid="{00000000-0005-0000-0000-0000B4010000}"/>
    <cellStyle name="Euro 8 3 2" xfId="233" xr:uid="{00000000-0005-0000-0000-0000B5010000}"/>
    <cellStyle name="Euro 8 3 2 2" xfId="1463" xr:uid="{00000000-0005-0000-0000-0000B6010000}"/>
    <cellStyle name="Euro 8 3 2 3" xfId="7762" xr:uid="{DED7CF59-91CA-4BA4-A468-F93875C8D5E5}"/>
    <cellStyle name="Euro 8 3 2 3 2" xfId="13882" xr:uid="{D50C9790-2142-4183-A403-4229BE304D1F}"/>
    <cellStyle name="Euro 8 3 3" xfId="2805" xr:uid="{0774113B-D4CD-4E75-A7A6-14263932FD40}"/>
    <cellStyle name="Euro 8 3 3 2" xfId="9084" xr:uid="{10F4C8B1-1B42-49B6-9BFE-B24EF90E9B82}"/>
    <cellStyle name="Euro 8 3 4" xfId="2806" xr:uid="{98042DA7-A808-4894-BD7F-67CE9B680396}"/>
    <cellStyle name="Euro 8 3 4 2" xfId="13670" xr:uid="{6CCF93ED-399B-4224-8C8C-F79F858FCE09}"/>
    <cellStyle name="Euro 8 3 5" xfId="12168" xr:uid="{12203702-E672-4FF9-A2D3-05B1A13B28DE}"/>
    <cellStyle name="Euro 8 4" xfId="1464" xr:uid="{00000000-0005-0000-0000-0000B7010000}"/>
    <cellStyle name="Euro 8 4 2" xfId="1465" xr:uid="{00000000-0005-0000-0000-0000B8010000}"/>
    <cellStyle name="Euro 8 4 2 2" xfId="9085" xr:uid="{63B66D20-A868-48C0-9BCF-6C00C8CB2ADA}"/>
    <cellStyle name="Euro 8 4 2 3" xfId="17787" xr:uid="{BFA1C69D-7ED8-4560-87A5-48CE050854E2}"/>
    <cellStyle name="Euro 8 4 2 4" xfId="17429" xr:uid="{60915237-9F7A-4610-B9C9-EE00581567E9}"/>
    <cellStyle name="Euro 8 4 3" xfId="9086" xr:uid="{3D301C84-19EA-44B4-8FB2-D62FF3BFD916}"/>
    <cellStyle name="Euro 8 5" xfId="1466" xr:uid="{00000000-0005-0000-0000-0000B9010000}"/>
    <cellStyle name="Euro 8 6" xfId="2807" xr:uid="{F0A6F14F-DB48-403B-B5A7-DD529AD7368B}"/>
    <cellStyle name="Euro 8 6 2" xfId="9644" xr:uid="{ED393FA8-9621-4FDD-91CB-454D4F15B5AF}"/>
    <cellStyle name="Euro 9" xfId="234" xr:uid="{00000000-0005-0000-0000-0000BA010000}"/>
    <cellStyle name="Euro 9 2" xfId="235" xr:uid="{00000000-0005-0000-0000-0000BB010000}"/>
    <cellStyle name="Euro 9 2 2" xfId="2808" xr:uid="{883CFC32-AF9F-4156-B184-D2E8CC2A726B}"/>
    <cellStyle name="Euro 9 2 2 2" xfId="13423" xr:uid="{3FCD1F98-8279-42CB-97FF-93D45E4587B1}"/>
    <cellStyle name="Euro 9 2 3" xfId="13102" xr:uid="{9923ED03-DF20-47DC-B700-878BC3188377}"/>
    <cellStyle name="Euro 9 3" xfId="236" xr:uid="{00000000-0005-0000-0000-0000BC010000}"/>
    <cellStyle name="Euro 9 3 2" xfId="237" xr:uid="{00000000-0005-0000-0000-0000BD010000}"/>
    <cellStyle name="Euro 9 3 2 2" xfId="1467" xr:uid="{00000000-0005-0000-0000-0000BE010000}"/>
    <cellStyle name="Euro 9 3 2 3" xfId="7763" xr:uid="{98B68C2D-4CF8-4162-A72C-BE544D66256B}"/>
    <cellStyle name="Euro 9 3 2 3 2" xfId="13883" xr:uid="{C9699F19-D175-4A81-BD69-98BB9B4BE7C8}"/>
    <cellStyle name="Euro 9 3 3" xfId="2809" xr:uid="{8D99E67A-5527-4696-9534-C18DB320C3A5}"/>
    <cellStyle name="Euro 9 3 3 2" xfId="9087" xr:uid="{7C5ECF63-C302-4D78-9610-BEE2567B63DD}"/>
    <cellStyle name="Euro 9 3 4" xfId="2810" xr:uid="{36FFD0E8-7D5E-4D70-8C8B-7DF530B645C2}"/>
    <cellStyle name="Euro 9 3 4 2" xfId="13671" xr:uid="{FA699BC5-D64C-4278-B3D8-155E12518492}"/>
    <cellStyle name="Euro 9 3 5" xfId="12277" xr:uid="{CEE00C91-C7C3-45C2-8EB5-1ED1816F19E2}"/>
    <cellStyle name="Euro 9 4" xfId="1468" xr:uid="{00000000-0005-0000-0000-0000BF010000}"/>
    <cellStyle name="Euro 9 4 2" xfId="1469" xr:uid="{00000000-0005-0000-0000-0000C0010000}"/>
    <cellStyle name="Euro 9 4 2 2" xfId="9088" xr:uid="{6DBB9F09-4075-4273-996A-5BB5AD9A91A4}"/>
    <cellStyle name="Euro 9 4 2 3" xfId="17788" xr:uid="{9274C356-E27E-48F3-92C6-B6F497D86BBA}"/>
    <cellStyle name="Euro 9 4 2 4" xfId="17428" xr:uid="{3022F5E8-44C8-49A2-97C8-43FDEE9D4DC5}"/>
    <cellStyle name="Euro 9 4 3" xfId="9089" xr:uid="{F3B125C2-FCE2-440D-8139-2DEBC7FE70FB}"/>
    <cellStyle name="Euro 9 5" xfId="1470" xr:uid="{00000000-0005-0000-0000-0000C1010000}"/>
    <cellStyle name="Euro 9 6" xfId="2811" xr:uid="{21BC70AD-71F4-4186-AF5E-A6C6D4637D6C}"/>
    <cellStyle name="Euro 9 6 2" xfId="9645" xr:uid="{F7D012B1-2E2C-4486-9689-CEF6A806171C}"/>
    <cellStyle name="Explanatory Text 2" xfId="1253" xr:uid="{00000000-0005-0000-0000-0000C2010000}"/>
    <cellStyle name="Explanatory Text 2 2" xfId="23825" xr:uid="{BFE34264-3946-4BDD-A813-CF18472F6E53}"/>
    <cellStyle name="Fixed" xfId="32273" xr:uid="{39826939-4703-4FD0-A551-840E1E9EEC4E}"/>
    <cellStyle name="Fixed2 - Type2" xfId="238" xr:uid="{00000000-0005-0000-0000-0000C3010000}"/>
    <cellStyle name="Good 2" xfId="1471" xr:uid="{00000000-0005-0000-0000-0000C4010000}"/>
    <cellStyle name="Good 2 2" xfId="23826" xr:uid="{B8E24522-BA63-41D9-B3A2-92CBEB2D6747}"/>
    <cellStyle name="Heading 1 2" xfId="1254" xr:uid="{00000000-0005-0000-0000-0000C5010000}"/>
    <cellStyle name="Heading 1 2 2" xfId="23827" xr:uid="{474ED899-1DA8-4AF7-9DEE-2671709E01E3}"/>
    <cellStyle name="Heading 1 3" xfId="1255" xr:uid="{00000000-0005-0000-0000-0000C6010000}"/>
    <cellStyle name="Heading 2 2" xfId="1256" xr:uid="{00000000-0005-0000-0000-0000C7010000}"/>
    <cellStyle name="Heading 2 2 2" xfId="23828" xr:uid="{ACC1E28D-B92F-4701-B16C-888087F42E99}"/>
    <cellStyle name="Heading 3 2" xfId="23829" xr:uid="{4B4F4F95-358E-4A97-8A18-ED215D9CBF8C}"/>
    <cellStyle name="Heading 4 2" xfId="23830" xr:uid="{2892199B-1DED-4E05-8B5D-C7D5C26A341D}"/>
    <cellStyle name="Headline" xfId="30236" xr:uid="{C9C11F8A-0143-49B0-BE1F-C94A2D40534C}"/>
    <cellStyle name="Hyperlink" xfId="1257" builtinId="8"/>
    <cellStyle name="Hyperlink 2" xfId="1472" xr:uid="{00000000-0005-0000-0000-0000C9010000}"/>
    <cellStyle name="Hyperlink 2 2" xfId="11710" xr:uid="{D870EF83-0527-4625-9F50-DABC2963ECC8}"/>
    <cellStyle name="Hyperlink 2 2 2" xfId="23831" xr:uid="{8F85E33E-3DA4-4BC8-AF7B-8660EDFE2D21}"/>
    <cellStyle name="Hyperlink 2 3" xfId="11233" xr:uid="{06386FD7-70BA-41A2-A891-461D20006B33}"/>
    <cellStyle name="Hyperlink 2 4" xfId="12193" xr:uid="{2042FE49-CA64-4E4D-B7B8-E7E945F76D32}"/>
    <cellStyle name="Hyperlink 2 5" xfId="10616" xr:uid="{39CF92D8-0B57-448B-9409-1BDDABF0035A}"/>
    <cellStyle name="Hyperlink 2 6" xfId="9090" xr:uid="{FFD2F9AB-A4BD-459B-9FE5-F506D9844EFB}"/>
    <cellStyle name="Hyperlink 3" xfId="6978" xr:uid="{6D9180E0-72F8-4B64-9472-57AAB153B8FC}"/>
    <cellStyle name="Hyperlink 3 2" xfId="23832" xr:uid="{E6AE486F-0079-4C85-9BE9-7312FDF02E9F}"/>
    <cellStyle name="Input 2" xfId="239" xr:uid="{00000000-0005-0000-0000-0000CA010000}"/>
    <cellStyle name="Input 2 10" xfId="32708" xr:uid="{7F71A6A0-CFC6-45FD-8E5C-3DEDF33B50B5}"/>
    <cellStyle name="Input 2 2" xfId="240" xr:uid="{00000000-0005-0000-0000-0000CB010000}"/>
    <cellStyle name="Input 2 2 2" xfId="1473" xr:uid="{00000000-0005-0000-0000-0000CC010000}"/>
    <cellStyle name="Input 2 2 2 2" xfId="17789" xr:uid="{A8FFBA0C-5AA8-4AB8-B5E3-9A277F663F1F}"/>
    <cellStyle name="Input 2 2 2 2 2" xfId="35572" xr:uid="{A7E68ADA-FD70-4237-8715-E7E447B8BE54}"/>
    <cellStyle name="Input 2 2 2 3" xfId="32710" xr:uid="{E2D4152E-736F-4DE6-92C4-566BB9200F6F}"/>
    <cellStyle name="Input 2 2 3" xfId="17707" xr:uid="{77C48FEA-D388-41CE-B7FA-FB91F0F99C6C}"/>
    <cellStyle name="Input 2 2 3 2" xfId="35057" xr:uid="{6213A8DF-60FF-4D5F-8D12-AF0F731DF361}"/>
    <cellStyle name="Input 2 2 4" xfId="30244" xr:uid="{B1DA42C3-7A1A-4AFA-B606-77422487F0C0}"/>
    <cellStyle name="Input 2 2 4 2" xfId="35058" xr:uid="{DB79899C-E4B6-4889-A015-F90F59179454}"/>
    <cellStyle name="Input 2 2 5" xfId="30245" xr:uid="{531E4C9D-03CD-4316-AAA0-05E10A10F511}"/>
    <cellStyle name="Input 2 2 5 2" xfId="35059" xr:uid="{B21F105C-1441-4034-882C-764138A66255}"/>
    <cellStyle name="Input 2 2 6" xfId="32709" xr:uid="{EA047669-B027-4EB8-A3B9-56342A6E922E}"/>
    <cellStyle name="Input 2 3" xfId="1474" xr:uid="{00000000-0005-0000-0000-0000CD010000}"/>
    <cellStyle name="Input 2 3 2" xfId="17701" xr:uid="{4668ACC9-5A86-4824-8F2F-6339F04EC724}"/>
    <cellStyle name="Input 2 3 2 2" xfId="35069" xr:uid="{21235F4A-40E2-4D87-8171-A6239F7833EA}"/>
    <cellStyle name="Input 2 3 3" xfId="32711" xr:uid="{C840B38A-B9D2-448C-A274-6B50DFA40076}"/>
    <cellStyle name="Input 2 4" xfId="9091" xr:uid="{E15EE4A9-D3F8-4022-A507-A9B567D75E7F}"/>
    <cellStyle name="Input 2 4 2" xfId="32623" xr:uid="{5744BD8B-A866-48F0-BD30-E37EB9D6F158}"/>
    <cellStyle name="Input 2 4 2 2" xfId="35573" xr:uid="{1A5B1314-6805-4881-AAB1-E26997E095EE}"/>
    <cellStyle name="Input 2 4 3" xfId="32712" xr:uid="{421505B6-3A2E-4342-8C5A-128EF35328DB}"/>
    <cellStyle name="Input 2 5" xfId="9092" xr:uid="{90196352-EE0A-40EC-96F1-BBCFFBAB7FAB}"/>
    <cellStyle name="Input 2 5 2" xfId="32624" xr:uid="{BAF2CD1E-7C3A-42CB-A39B-9284D3DF3AC5}"/>
    <cellStyle name="Input 2 5 2 2" xfId="35574" xr:uid="{1B3E53F9-D770-4741-A883-F6BE28A259BA}"/>
    <cellStyle name="Input 2 5 3" xfId="32713" xr:uid="{429704E0-8749-4E44-9AFC-F77864AD21F1}"/>
    <cellStyle name="Input 2 6" xfId="9093" xr:uid="{7DAE3F3B-AA19-40D7-9AB0-C0014A25585F}"/>
    <cellStyle name="Input 2 6 2" xfId="32625" xr:uid="{00CBA800-1E38-4BCF-84A4-2CE7AE55755D}"/>
    <cellStyle name="Input 2 6 2 2" xfId="35575" xr:uid="{F976C1E6-EA73-4756-8F2F-854A558C16EA}"/>
    <cellStyle name="Input 2 6 3" xfId="32714" xr:uid="{CAF8437F-A8C8-439A-BA47-0D07E4535DB4}"/>
    <cellStyle name="Input 2 7" xfId="9094" xr:uid="{4BEB6259-C0E2-4FFE-A18A-3878D1D02720}"/>
    <cellStyle name="Input 2 7 2" xfId="32626" xr:uid="{B41C46F3-EB9A-4A93-879B-360C42365D93}"/>
    <cellStyle name="Input 2 7 2 2" xfId="35576" xr:uid="{81E5EFE2-B725-4A3C-B40F-F9431302A38A}"/>
    <cellStyle name="Input 2 7 3" xfId="32715" xr:uid="{F210A871-9983-4C08-BC47-2BBDCCA7DC16}"/>
    <cellStyle name="Input 2 8" xfId="23833" xr:uid="{BBFFDD57-7DEC-4B20-9C86-02D6EC60E4E2}"/>
    <cellStyle name="Input 2 8 2" xfId="32627" xr:uid="{AB2FBEF2-077A-4AE2-BAEF-B8D2DB9C13AC}"/>
    <cellStyle name="Input 2 8 2 2" xfId="35577" xr:uid="{DE38578A-EED8-4B75-A87F-A50386CDDC5A}"/>
    <cellStyle name="Input 2 8 3" xfId="32716" xr:uid="{12DD70F5-A928-479F-9480-65CE75BF0BB1}"/>
    <cellStyle name="Input 2 9" xfId="32628" xr:uid="{5FDDAA63-0559-4105-9236-B0CA03D11312}"/>
    <cellStyle name="Input 2 9 2" xfId="35578" xr:uid="{4B0C2EC9-2F87-4F30-A7D2-4D07416AF170}"/>
    <cellStyle name="Input 3" xfId="241" xr:uid="{00000000-0005-0000-0000-0000CE010000}"/>
    <cellStyle name="Input 3 2" xfId="1475" xr:uid="{00000000-0005-0000-0000-0000CF010000}"/>
    <cellStyle name="Input 3 2 2" xfId="2812" xr:uid="{EF4791D3-2837-44D6-9F1E-8B294D314839}"/>
    <cellStyle name="Input 3 2 2 2" xfId="35579" xr:uid="{C4D2D2BF-CD6F-43F8-96A2-D599A4ED2A93}"/>
    <cellStyle name="Input 3 2 2 3" xfId="32629" xr:uid="{D39187F5-6DFB-4926-8EBC-9BF49F2539B0}"/>
    <cellStyle name="Input 3 2 3" xfId="10617" xr:uid="{A23077EF-3BEE-4232-AF33-1A6648AC1356}"/>
    <cellStyle name="Input 3 3" xfId="7764" xr:uid="{F2A59D17-11E4-4075-94F0-6E5F66BC6896}"/>
    <cellStyle name="Input 3 3 2" xfId="12162" xr:uid="{A1194578-315E-4685-9B92-721F3790953B}"/>
    <cellStyle name="Input 3 3 3" xfId="11711" xr:uid="{121742E5-C038-42A5-A5D0-EA5FBEB38F27}"/>
    <cellStyle name="Input 3 4" xfId="9095" xr:uid="{C5F6B28A-5B03-4F9A-B238-DB70EB7C7E14}"/>
    <cellStyle name="Input 3 4 2" xfId="11499" xr:uid="{9FF8AD37-6AC0-49D0-950C-E5219CA68631}"/>
    <cellStyle name="Input 3 4 2 2" xfId="35580" xr:uid="{E80339B2-3C73-4BA6-BB85-213D5D4544A6}"/>
    <cellStyle name="Input 3 4 3" xfId="11234" xr:uid="{507B8995-EF7F-4AFF-8352-E9901E78AE36}"/>
    <cellStyle name="Input 3 4 3 2" xfId="32718" xr:uid="{C41F4BFE-3DB6-474A-878A-D69D8314DF8E}"/>
    <cellStyle name="Input 3 5" xfId="9096" xr:uid="{599FAAD2-D003-458E-A78E-B3C2B7368166}"/>
    <cellStyle name="Input 3 5 2" xfId="32630" xr:uid="{873B1056-FF0F-43D7-B74F-98BC29925DEF}"/>
    <cellStyle name="Input 3 5 2 2" xfId="35581" xr:uid="{2E749988-948C-4564-B2DF-DF91E27DA1A3}"/>
    <cellStyle name="Input 3 5 3" xfId="32719" xr:uid="{B7F72FEE-762D-4C17-9B19-0DA6B28073DC}"/>
    <cellStyle name="Input 3 6" xfId="9097" xr:uid="{ECA7494D-C346-4FF2-BEB7-67BEECD405EE}"/>
    <cellStyle name="Input 3 6 2" xfId="32631" xr:uid="{AF5FF29A-2998-46A5-9A48-3CDC24EDA7F6}"/>
    <cellStyle name="Input 3 6 2 2" xfId="35582" xr:uid="{FC63643E-06EC-4BBE-9FD4-A601A7CFB634}"/>
    <cellStyle name="Input 3 6 3" xfId="32720" xr:uid="{3CFB08FC-5A37-4F55-9766-33759B513E69}"/>
    <cellStyle name="Input 3 7" xfId="23836" xr:uid="{93F7E831-2301-4B90-9085-A4D2CE167662}"/>
    <cellStyle name="Input 3 8" xfId="32632" xr:uid="{FD8E3543-81A5-4D88-9CAD-59F7FE41FECC}"/>
    <cellStyle name="Input 3 8 2" xfId="35583" xr:uid="{71184BEC-FD0C-4BD8-AF3E-D4826CD69E7E}"/>
    <cellStyle name="Input 3 9" xfId="32717" xr:uid="{09F6595D-FB0F-403E-9F39-00524E394964}"/>
    <cellStyle name="Input 4" xfId="9098" xr:uid="{ABD91A54-7A61-46BE-A44E-6ACE74D143F0}"/>
    <cellStyle name="Input 4 2" xfId="18036" xr:uid="{BBDAF0C3-A143-4D9B-92D8-3F6094F79B0A}"/>
    <cellStyle name="Input 4 2 2" xfId="35584" xr:uid="{B6714024-053A-4AC0-A8BC-F947B112C266}"/>
    <cellStyle name="Input 4 3" xfId="32721" xr:uid="{3BC45B3B-4F07-4946-99F7-C0C5448B649A}"/>
    <cellStyle name="InputCells" xfId="242" xr:uid="{00000000-0005-0000-0000-0000D0010000}"/>
    <cellStyle name="InputCells12_BBorder" xfId="30237" xr:uid="{B31086C5-C159-4D21-8A3C-D44DCE9812C4}"/>
    <cellStyle name="Komma 10" xfId="23839" xr:uid="{9EFBF389-645F-495A-A1EF-FF108DA4534B}"/>
    <cellStyle name="Komma 10 2" xfId="23840" xr:uid="{4ADC485A-6071-4A78-BD8E-C8977CAF1F9C}"/>
    <cellStyle name="Komma 10 2 2" xfId="48696" xr:uid="{1CF62CA9-AC7E-41B5-A487-DC84A804C516}"/>
    <cellStyle name="Komma 10 2 3" xfId="49604" xr:uid="{C1FDC9C1-C8A6-44EF-B26A-1870F8864DC3}"/>
    <cellStyle name="Komma 10 3" xfId="48695" xr:uid="{CEFFC0E7-05C2-4AB4-A444-279BE66547F0}"/>
    <cellStyle name="Komma 10 4" xfId="49603" xr:uid="{6AF6965B-7B6D-4587-BB28-7BEF5211C6A4}"/>
    <cellStyle name="Komma 11" xfId="23841" xr:uid="{969D2678-BAA2-4F80-BE4B-3D5D3AE5F07F}"/>
    <cellStyle name="Komma 11 2" xfId="48697" xr:uid="{F0A70F9C-01FE-43DA-AD06-3C42B411A00B}"/>
    <cellStyle name="Komma 11 3" xfId="49605" xr:uid="{21D36CDE-F8B1-4FF3-9519-B4262E7D9A10}"/>
    <cellStyle name="Komma 2" xfId="1476" xr:uid="{00000000-0005-0000-0000-0000D1010000}"/>
    <cellStyle name="Komma 2 10" xfId="14972" xr:uid="{223AF3EC-D5B1-4CED-9D26-08F3EA6ABFB0}"/>
    <cellStyle name="Komma 2 10 2" xfId="22514" xr:uid="{F761B4F7-DCE2-46F9-9C03-6890EEAAACF5}"/>
    <cellStyle name="Komma 2 10 3" xfId="32403" xr:uid="{C74C2BFE-B08C-4883-A6A9-43CE85A286F4}"/>
    <cellStyle name="Komma 2 10 4" xfId="51852" xr:uid="{CB2B434F-BEF8-488C-9964-7BC8C281A355}"/>
    <cellStyle name="Komma 2 10 5" xfId="54868" xr:uid="{5E1AF604-665F-46D6-9E1D-36DE3BF6A2A9}"/>
    <cellStyle name="Komma 2 11" xfId="15459" xr:uid="{343F928E-8D94-4F5C-9077-414B81907A9A}"/>
    <cellStyle name="Komma 2 11 2" xfId="22991" xr:uid="{6DD5BD2D-1770-4CC9-94D6-A2B03DDC3B76}"/>
    <cellStyle name="Komma 2 11 3" xfId="46693" xr:uid="{9D267C0C-3EAB-435C-9E6B-CE185C4ACBA6}"/>
    <cellStyle name="Komma 2 11 4" xfId="52329" xr:uid="{8428FAE6-2E48-4D07-8C83-AED18E314DE8}"/>
    <cellStyle name="Komma 2 11 5" xfId="55345" xr:uid="{61CD7D4C-DAC3-4812-A38C-AFA9B3539CA1}"/>
    <cellStyle name="Komma 2 12" xfId="10618" xr:uid="{3789FCAA-2E2B-4507-B866-B8E081BC0776}"/>
    <cellStyle name="Komma 2 12 2" xfId="21253" xr:uid="{F8AB18BC-B79C-40EC-9E20-D9B0C515DA69}"/>
    <cellStyle name="Komma 2 12 3" xfId="47560" xr:uid="{0CD46DA6-EF3F-484A-9419-F830FB15BDDF}"/>
    <cellStyle name="Komma 2 12 4" xfId="50268" xr:uid="{5F25B996-8558-42FF-ABEB-765CDDD6A99C}"/>
    <cellStyle name="Komma 2 12 5" xfId="53284" xr:uid="{9337ABF7-8DE5-48B0-BD13-8160FCDA7119}"/>
    <cellStyle name="Komma 2 13" xfId="19499" xr:uid="{567797AA-8618-482B-886C-D4601FFDC79A}"/>
    <cellStyle name="Komma 2 14" xfId="23842" xr:uid="{93670982-3F1D-4B68-80E0-D7411E52BEBF}"/>
    <cellStyle name="Komma 2 15" xfId="48698" xr:uid="{C9E66FA2-8CAB-4DBD-9F0F-50DD1C6F768B}"/>
    <cellStyle name="Komma 2 16" xfId="49606" xr:uid="{8431C1E4-5A7F-4EE5-86BE-86CED4D5A828}"/>
    <cellStyle name="Komma 2 17" xfId="49792" xr:uid="{DF7B4766-EDA5-42C3-BC4A-4029ECC45DE1}"/>
    <cellStyle name="Komma 2 18" xfId="52807" xr:uid="{DAD08A32-A16A-43D0-A6CC-6091D5C4D518}"/>
    <cellStyle name="Komma 2 2" xfId="2813" xr:uid="{3B8F8072-1FFC-430B-A0F4-6C721347CCFC}"/>
    <cellStyle name="Komma 2 2 10" xfId="15499" xr:uid="{F52EB95A-D6D1-4577-A45C-A38EF6588B04}"/>
    <cellStyle name="Komma 2 2 10 2" xfId="23029" xr:uid="{AED60F6E-0897-4DE9-8222-5324B5C11C86}"/>
    <cellStyle name="Komma 2 2 10 3" xfId="47347" xr:uid="{1D13422C-A540-4D9E-8C53-A672B727FC04}"/>
    <cellStyle name="Komma 2 2 10 4" xfId="52367" xr:uid="{1123ECA9-EC12-4317-9614-9D5D35C7A273}"/>
    <cellStyle name="Komma 2 2 10 5" xfId="55383" xr:uid="{8B5F09C8-9791-4D0C-812C-E77C7FE8DD77}"/>
    <cellStyle name="Komma 2 2 11" xfId="11236" xr:uid="{08CF095F-8A29-4B09-9A25-9D5139973957}"/>
    <cellStyle name="Komma 2 2 11 2" xfId="46279" xr:uid="{4554A073-F04B-43B0-B653-FCC0BB8ADA89}"/>
    <cellStyle name="Komma 2 2 11 3" xfId="50715" xr:uid="{FBE5DFD4-1A1D-428A-9B9D-C729AD85616A}"/>
    <cellStyle name="Komma 2 2 11 4" xfId="53731" xr:uid="{BF01F49E-9822-492E-8392-568C99E69BE1}"/>
    <cellStyle name="Komma 2 2 12" xfId="23843" xr:uid="{0873259C-D48D-4786-A1C5-004B190AF251}"/>
    <cellStyle name="Komma 2 2 13" xfId="48699" xr:uid="{1FB19D9C-4620-4FD9-9D39-4F2B18E66FBE}"/>
    <cellStyle name="Komma 2 2 14" xfId="49607" xr:uid="{B6D9A2A2-ACA2-40D8-A0DB-33E891B41E60}"/>
    <cellStyle name="Komma 2 2 15" xfId="49830" xr:uid="{BCA4E409-908D-4395-BE63-B754A9EDDB6A}"/>
    <cellStyle name="Komma 2 2 16" xfId="52845" xr:uid="{7552C780-88D5-4572-8680-D6872410E41B}"/>
    <cellStyle name="Komma 2 2 2" xfId="9099" xr:uid="{EE308707-EA12-481B-B003-BE62B3CA39F0}"/>
    <cellStyle name="Komma 2 2 2 10" xfId="12164" xr:uid="{9D312770-AE5C-42E5-AD9D-FF03C9C632AC}"/>
    <cellStyle name="Komma 2 2 2 10 2" xfId="46305" xr:uid="{05FF3C81-8C4D-41FD-B1E9-E556EA65BBDE}"/>
    <cellStyle name="Komma 2 2 2 10 3" xfId="50933" xr:uid="{A63E7EB2-6AA0-4781-9024-15BFFE4C87F6}"/>
    <cellStyle name="Komma 2 2 2 10 4" xfId="53949" xr:uid="{A6B575A2-B669-41A4-B959-9158EA61265C}"/>
    <cellStyle name="Komma 2 2 2 11" xfId="23844" xr:uid="{C25FD3F9-374E-4E11-A560-5024DF7A17C9}"/>
    <cellStyle name="Komma 2 2 2 12" xfId="48700" xr:uid="{A1B34CD7-F8AE-4FC5-B343-1ACFDC8516D7}"/>
    <cellStyle name="Komma 2 2 2 13" xfId="49608" xr:uid="{98F3FFC3-8E0F-4037-9AC9-D15B2F03C300}"/>
    <cellStyle name="Komma 2 2 2 14" xfId="49831" xr:uid="{87B2CA32-8DC6-43FD-8DB4-9CEA39B215D2}"/>
    <cellStyle name="Komma 2 2 2 15" xfId="52846" xr:uid="{73C39D2A-D8D2-4857-85D9-FA85F4AEC2B8}"/>
    <cellStyle name="Komma 2 2 2 2" xfId="10041" xr:uid="{C42621ED-86B9-43D6-AEC8-4E19157CBB86}"/>
    <cellStyle name="Komma 2 2 2 2 2" xfId="10349" xr:uid="{B9298C12-E32B-42A1-BC7F-70588CD382B7}"/>
    <cellStyle name="Komma 2 2 2 2 2 2" xfId="14794" xr:uid="{3C71AD2E-8A44-4C32-B08B-705347F08834}"/>
    <cellStyle name="Komma 2 2 2 2 2 2 2" xfId="22341" xr:uid="{4A5FBD4D-1D30-405A-8186-AE6586D3413F}"/>
    <cellStyle name="Komma 2 2 2 2 2 2 3" xfId="48210" xr:uid="{3C5B128D-5A66-442A-BF4D-36FA896CCE2F}"/>
    <cellStyle name="Komma 2 2 2 2 2 2 4" xfId="51679" xr:uid="{60647824-2B39-44C2-91C2-2BDB333016CC}"/>
    <cellStyle name="Komma 2 2 2 2 2 2 5" xfId="54695" xr:uid="{467BC4BD-2105-4BDE-939A-D2F9BB13CB69}"/>
    <cellStyle name="Komma 2 2 2 2 2 3" xfId="15279" xr:uid="{9C877B93-DD3E-4822-99FB-258FE1BCAF77}"/>
    <cellStyle name="Komma 2 2 2 2 2 3 2" xfId="22818" xr:uid="{522F90A6-1E5B-4D7E-8843-1F7EB21C34B7}"/>
    <cellStyle name="Komma 2 2 2 2 2 3 3" xfId="24659" xr:uid="{09AEA0F5-DDFF-4387-BB83-D72670496713}"/>
    <cellStyle name="Komma 2 2 2 2 2 3 4" xfId="52156" xr:uid="{3650644D-6074-40DC-9C84-5B5AFD9C3973}"/>
    <cellStyle name="Komma 2 2 2 2 2 3 5" xfId="55172" xr:uid="{9FFA5082-B807-4A6F-9DC9-DD956F7A0DF5}"/>
    <cellStyle name="Komma 2 2 2 2 2 4" xfId="15766" xr:uid="{873B1ADA-2EC2-4A90-A920-56A3E3341C96}"/>
    <cellStyle name="Komma 2 2 2 2 2 4 2" xfId="23295" xr:uid="{EF77F576-3F91-4D8E-B20E-AD56DCCAEE2C}"/>
    <cellStyle name="Komma 2 2 2 2 2 4 3" xfId="47200" xr:uid="{D859862D-3833-4248-A7C5-191AD83DBE5E}"/>
    <cellStyle name="Komma 2 2 2 2 2 4 4" xfId="52633" xr:uid="{D457E49F-C657-429D-9F6F-13C6E67910CF}"/>
    <cellStyle name="Komma 2 2 2 2 2 4 5" xfId="55649" xr:uid="{B14534E5-7420-484B-B24E-61CF62A51FA7}"/>
    <cellStyle name="Komma 2 2 2 2 2 5" xfId="12802" xr:uid="{8B1F90EE-6071-4FAD-A217-DA04B5CEBA7D}"/>
    <cellStyle name="Komma 2 2 2 2 2 5 2" xfId="47620" xr:uid="{2B955B14-649A-4413-B514-BC5B54400C26}"/>
    <cellStyle name="Komma 2 2 2 2 2 5 3" xfId="51202" xr:uid="{51474FB9-734D-4F24-9D47-79590B3A0996}"/>
    <cellStyle name="Komma 2 2 2 2 2 5 4" xfId="54218" xr:uid="{BC992FF6-795C-4E2F-9487-D901AFA487F2}"/>
    <cellStyle name="Komma 2 2 2 2 2 6" xfId="46095" xr:uid="{DA28C31E-A713-4097-A35E-895D042619A5}"/>
    <cellStyle name="Komma 2 2 2 2 2 7" xfId="50096" xr:uid="{F2E5199C-1BF1-45BD-8DE7-BB6090C3A632}"/>
    <cellStyle name="Komma 2 2 2 2 2 8" xfId="53112" xr:uid="{8246009A-34CA-43CD-B373-D216ED02DFEE}"/>
    <cellStyle name="Komma 2 2 2 2 3" xfId="14582" xr:uid="{446A2608-DA03-4A7B-B8C8-617C79E829E0}"/>
    <cellStyle name="Komma 2 2 2 2 3 2" xfId="22129" xr:uid="{2BB87012-3706-4081-A984-B605FBD4E612}"/>
    <cellStyle name="Komma 2 2 2 2 3 3" xfId="46838" xr:uid="{92083FB2-EBBE-4B70-9FF5-3023EE80F199}"/>
    <cellStyle name="Komma 2 2 2 2 3 4" xfId="51467" xr:uid="{251D83D4-B3F8-4709-A22F-83DB8F65B9A9}"/>
    <cellStyle name="Komma 2 2 2 2 3 5" xfId="54483" xr:uid="{87258AA4-3933-406E-8B3E-4F0E09241513}"/>
    <cellStyle name="Komma 2 2 2 2 4" xfId="15066" xr:uid="{F9160C92-016E-44D3-8664-F4D3D04F3919}"/>
    <cellStyle name="Komma 2 2 2 2 4 2" xfId="22606" xr:uid="{1D9706B8-2485-4F04-A2F4-6A73CFF6D481}"/>
    <cellStyle name="Komma 2 2 2 2 4 3" xfId="46876" xr:uid="{79E13506-8EF3-4BA4-9E00-E22B74F22CD6}"/>
    <cellStyle name="Komma 2 2 2 2 4 4" xfId="51944" xr:uid="{34CF4ADF-66C9-4D5E-B73F-1966544AE25E}"/>
    <cellStyle name="Komma 2 2 2 2 4 5" xfId="54960" xr:uid="{30C046F0-5442-42B0-8E4F-20B3317CE165}"/>
    <cellStyle name="Komma 2 2 2 2 5" xfId="15553" xr:uid="{B5C7E075-DD38-4284-85A2-1D874C7C50E2}"/>
    <cellStyle name="Komma 2 2 2 2 5 2" xfId="23083" xr:uid="{BFF3A105-8339-4987-8602-446A972EE617}"/>
    <cellStyle name="Komma 2 2 2 2 5 3" xfId="48078" xr:uid="{C8A65F5A-FE30-41A2-891E-50058B780239}"/>
    <cellStyle name="Komma 2 2 2 2 5 4" xfId="52421" xr:uid="{4C314DCA-AFDB-40A1-8980-34A048D1894B}"/>
    <cellStyle name="Komma 2 2 2 2 5 5" xfId="55437" xr:uid="{8460DADA-F5B1-4055-BFBF-09F586277C4B}"/>
    <cellStyle name="Komma 2 2 2 2 6" xfId="12501" xr:uid="{6B871243-A0AF-4B8E-A819-22EC808869A2}"/>
    <cellStyle name="Komma 2 2 2 2 6 2" xfId="46761" xr:uid="{CD1C8880-3F96-464D-9C51-F44C0B0CA203}"/>
    <cellStyle name="Komma 2 2 2 2 6 3" xfId="50990" xr:uid="{9251FD13-E824-4A6E-B10B-F29E7A8E028D}"/>
    <cellStyle name="Komma 2 2 2 2 6 4" xfId="54006" xr:uid="{EBA014DE-3B6C-4354-960A-E2B4216C2885}"/>
    <cellStyle name="Komma 2 2 2 2 7" xfId="47357" xr:uid="{FB9A68B7-4A82-4AA1-9D90-403BE0BDDA7A}"/>
    <cellStyle name="Komma 2 2 2 2 8" xfId="49884" xr:uid="{06441210-F1DD-4095-9FDB-B28F26D58200}"/>
    <cellStyle name="Komma 2 2 2 2 9" xfId="52900" xr:uid="{C1749CA5-8EC0-4F6F-B996-432D3C6D5CC7}"/>
    <cellStyle name="Komma 2 2 2 3" xfId="10115" xr:uid="{0BC79BD2-5C1B-4010-990A-DE46CE8D71FB}"/>
    <cellStyle name="Komma 2 2 2 3 2" xfId="10428" xr:uid="{10EB45F3-EA0A-4249-920A-FB775E61C870}"/>
    <cellStyle name="Komma 2 2 2 3 2 2" xfId="14847" xr:uid="{75B49FB3-7F80-4B16-8253-025209A7A36B}"/>
    <cellStyle name="Komma 2 2 2 3 2 2 2" xfId="22394" xr:uid="{2F8905E7-30E8-4C95-908E-128FA64D323A}"/>
    <cellStyle name="Komma 2 2 2 3 2 2 3" xfId="47107" xr:uid="{F0EF4061-4E9E-45C6-B29A-A98C53732EF7}"/>
    <cellStyle name="Komma 2 2 2 3 2 2 4" xfId="51732" xr:uid="{0FD103DA-715E-43E2-8F91-6978E53E7CEB}"/>
    <cellStyle name="Komma 2 2 2 3 2 2 5" xfId="54748" xr:uid="{2DE4904C-F1B9-43E1-A56C-377D5A0B2361}"/>
    <cellStyle name="Komma 2 2 2 3 2 3" xfId="15332" xr:uid="{30C27817-9138-42EE-A26B-EA65DA5BF167}"/>
    <cellStyle name="Komma 2 2 2 3 2 3 2" xfId="22871" xr:uid="{16C59773-9243-4733-A3FB-CB0220D5D342}"/>
    <cellStyle name="Komma 2 2 2 3 2 3 3" xfId="46516" xr:uid="{A154F279-EAA7-4DAC-8567-A335BC9F196C}"/>
    <cellStyle name="Komma 2 2 2 3 2 3 4" xfId="52209" xr:uid="{6F068C6C-CE5D-49EA-A3DC-618B403CD372}"/>
    <cellStyle name="Komma 2 2 2 3 2 3 5" xfId="55225" xr:uid="{293CDF6E-A6C8-48FC-A88D-7F0F40609E43}"/>
    <cellStyle name="Komma 2 2 2 3 2 4" xfId="15819" xr:uid="{DEF72972-1E51-413C-A92A-39B37BDAE409}"/>
    <cellStyle name="Komma 2 2 2 3 2 4 2" xfId="23348" xr:uid="{5EBABADA-E669-4640-8101-E3D55CFA599D}"/>
    <cellStyle name="Komma 2 2 2 3 2 4 3" xfId="47554" xr:uid="{7C30921E-45FF-4502-833C-3FA168D193AA}"/>
    <cellStyle name="Komma 2 2 2 3 2 4 4" xfId="52686" xr:uid="{BBEBDBEC-C22E-4451-AECF-2CAE9340A173}"/>
    <cellStyle name="Komma 2 2 2 3 2 4 5" xfId="55702" xr:uid="{62D7B3D7-9290-4171-9445-3D7DC67B410F}"/>
    <cellStyle name="Komma 2 2 2 3 2 5" xfId="12881" xr:uid="{1CA081F4-C4ED-42EE-830C-3864BEF09009}"/>
    <cellStyle name="Komma 2 2 2 3 2 5 2" xfId="48343" xr:uid="{679A5F08-DF9A-49C2-BDD2-B8849D53D899}"/>
    <cellStyle name="Komma 2 2 2 3 2 5 3" xfId="51255" xr:uid="{A2E2B1FC-3D81-456E-8C50-412EF6FF932C}"/>
    <cellStyle name="Komma 2 2 2 3 2 5 4" xfId="54271" xr:uid="{9317BF59-6D4F-46DD-8274-CF77FA5AA07C}"/>
    <cellStyle name="Komma 2 2 2 3 2 6" xfId="48030" xr:uid="{3861D9A7-32FC-4424-8759-5661D0A5AED7}"/>
    <cellStyle name="Komma 2 2 2 3 2 7" xfId="50149" xr:uid="{7F0CD24D-6318-41FC-84FE-A750198FA363}"/>
    <cellStyle name="Komma 2 2 2 3 2 8" xfId="53165" xr:uid="{8EFE6EE5-0BF3-4AF1-8BB5-437AB77D1C8D}"/>
    <cellStyle name="Komma 2 2 2 3 3" xfId="14635" xr:uid="{85034593-A872-4BDE-84B2-82D1E14291DB}"/>
    <cellStyle name="Komma 2 2 2 3 3 2" xfId="22182" xr:uid="{849059AC-A44C-45D1-BF99-022FDB6AD077}"/>
    <cellStyle name="Komma 2 2 2 3 3 3" xfId="25303" xr:uid="{31EA6A2A-AF30-41C2-88E4-8AFB89127E19}"/>
    <cellStyle name="Komma 2 2 2 3 3 4" xfId="51520" xr:uid="{4746A9EA-E230-41D8-84AA-CCBED683780B}"/>
    <cellStyle name="Komma 2 2 2 3 3 5" xfId="54536" xr:uid="{7B229813-1C95-4832-87EB-A6BA2195AF88}"/>
    <cellStyle name="Komma 2 2 2 3 4" xfId="15120" xr:uid="{B7BEB705-889B-48C5-812C-138A5565AF66}"/>
    <cellStyle name="Komma 2 2 2 3 4 2" xfId="22659" xr:uid="{5C5DE9DC-02FC-41D8-839B-ACCD2CDD34F4}"/>
    <cellStyle name="Komma 2 2 2 3 4 3" xfId="46484" xr:uid="{6606F60F-403E-40F7-BD35-D55BBAF3A0CE}"/>
    <cellStyle name="Komma 2 2 2 3 4 4" xfId="51997" xr:uid="{303D285B-BCDE-4712-901D-296A6484B542}"/>
    <cellStyle name="Komma 2 2 2 3 4 5" xfId="55013" xr:uid="{44B86FCB-D6DD-47B8-858E-6A911306185C}"/>
    <cellStyle name="Komma 2 2 2 3 5" xfId="15607" xr:uid="{DC8A3535-F964-4C93-9D86-A5F9FACAA179}"/>
    <cellStyle name="Komma 2 2 2 3 5 2" xfId="23136" xr:uid="{28508A8E-6249-4710-AC61-7B0CE674EB99}"/>
    <cellStyle name="Komma 2 2 2 3 5 3" xfId="48020" xr:uid="{464200EA-2A7C-470D-9465-9B9CAA436756}"/>
    <cellStyle name="Komma 2 2 2 3 5 4" xfId="52474" xr:uid="{32F74D68-3A30-4DCB-96C8-197062B1F1EB}"/>
    <cellStyle name="Komma 2 2 2 3 5 5" xfId="55490" xr:uid="{8D64B9B3-25D1-4F61-B4F5-D44E4B4DB7FB}"/>
    <cellStyle name="Komma 2 2 2 3 6" xfId="12572" xr:uid="{01C18950-9E34-4D8F-8197-D8D005817E5B}"/>
    <cellStyle name="Komma 2 2 2 3 6 2" xfId="48196" xr:uid="{C04A18D2-1D1A-4C72-9D1A-0DE67BCDB9A9}"/>
    <cellStyle name="Komma 2 2 2 3 6 3" xfId="51043" xr:uid="{E3BA1E47-C38F-4E36-99D3-5ACEF831CA1F}"/>
    <cellStyle name="Komma 2 2 2 3 6 4" xfId="54059" xr:uid="{EE7947FC-D433-4B22-9994-894E95033F97}"/>
    <cellStyle name="Komma 2 2 2 3 7" xfId="34574" xr:uid="{D7DF3A08-0FBB-4A3F-81D2-F84E44E2A8FE}"/>
    <cellStyle name="Komma 2 2 2 3 8" xfId="49937" xr:uid="{B8ED4905-F95D-4C8F-847E-E2DD906F0A9A}"/>
    <cellStyle name="Komma 2 2 2 3 9" xfId="52953" xr:uid="{F6C5996E-7505-43B3-A2E2-69100A6E6ADC}"/>
    <cellStyle name="Komma 2 2 2 4" xfId="10194" xr:uid="{0178CEB8-041E-48B5-A733-63AC80EC8D3D}"/>
    <cellStyle name="Komma 2 2 2 4 2" xfId="10508" xr:uid="{5C225131-E0CB-4792-8EBA-BEA1C358C697}"/>
    <cellStyle name="Komma 2 2 2 4 2 2" xfId="14900" xr:uid="{41B298A9-1698-4307-BC9A-25C98668DE60}"/>
    <cellStyle name="Komma 2 2 2 4 2 2 2" xfId="22447" xr:uid="{97840F8A-F7E9-4519-9B9F-D13410049D8E}"/>
    <cellStyle name="Komma 2 2 2 4 2 2 3" xfId="32524" xr:uid="{712D250D-6B3C-4858-80DF-1F1C6A125590}"/>
    <cellStyle name="Komma 2 2 2 4 2 2 4" xfId="51785" xr:uid="{77F93E99-60FF-4CAD-8EFD-DC15380177FD}"/>
    <cellStyle name="Komma 2 2 2 4 2 2 5" xfId="54801" xr:uid="{F8D0C82D-1AC8-40F2-92B1-7172F89297D3}"/>
    <cellStyle name="Komma 2 2 2 4 2 3" xfId="15385" xr:uid="{0542129B-C5AE-4C6A-A313-036273B1E137}"/>
    <cellStyle name="Komma 2 2 2 4 2 3 2" xfId="22924" xr:uid="{63ACF765-07FC-4D1C-BBC7-837A9E7E109B}"/>
    <cellStyle name="Komma 2 2 2 4 2 3 3" xfId="32282" xr:uid="{45CFF1CB-5E0E-4E3D-A581-784EC943F79B}"/>
    <cellStyle name="Komma 2 2 2 4 2 3 4" xfId="52262" xr:uid="{6ADD74DD-98F9-47BD-A422-CB56969C1BB6}"/>
    <cellStyle name="Komma 2 2 2 4 2 3 5" xfId="55278" xr:uid="{3C61E238-9E99-4E69-AFA8-3B74FC1CD2CC}"/>
    <cellStyle name="Komma 2 2 2 4 2 4" xfId="15872" xr:uid="{2B160122-6E92-4C9C-AF3E-5148857714C0}"/>
    <cellStyle name="Komma 2 2 2 4 2 4 2" xfId="23401" xr:uid="{AF895362-A86E-4F65-8613-BB2948EFBAB1}"/>
    <cellStyle name="Komma 2 2 2 4 2 4 3" xfId="47650" xr:uid="{2F792D8F-C253-4E4C-AB84-6F38F2441741}"/>
    <cellStyle name="Komma 2 2 2 4 2 4 4" xfId="52739" xr:uid="{8E7CE04F-983A-4D3F-8CF3-893A9E93375F}"/>
    <cellStyle name="Komma 2 2 2 4 2 4 5" xfId="55755" xr:uid="{D46F1415-EE6F-4A2C-9531-FBD7F32DF47B}"/>
    <cellStyle name="Komma 2 2 2 4 2 5" xfId="12961" xr:uid="{E4C73ECF-4551-4944-ACB8-E627DBBC4E2F}"/>
    <cellStyle name="Komma 2 2 2 4 2 5 2" xfId="36379" xr:uid="{90ECB1B0-B390-4517-A86A-A1ED225EFF08}"/>
    <cellStyle name="Komma 2 2 2 4 2 5 3" xfId="51308" xr:uid="{C6B405A7-1B24-4A85-8D38-A6E06A14582B}"/>
    <cellStyle name="Komma 2 2 2 4 2 5 4" xfId="54324" xr:uid="{2DEEC442-19E1-4BC5-BBAA-B85973A602B2}"/>
    <cellStyle name="Komma 2 2 2 4 2 6" xfId="46142" xr:uid="{0ECB5588-06FA-4362-813A-CAEA5800CE12}"/>
    <cellStyle name="Komma 2 2 2 4 2 7" xfId="50202" xr:uid="{279A796C-BDA1-47DF-B1F7-174EE63A677A}"/>
    <cellStyle name="Komma 2 2 2 4 2 8" xfId="53218" xr:uid="{41401243-EBE7-4466-A2B8-679EBEF9965E}"/>
    <cellStyle name="Komma 2 2 2 4 3" xfId="14688" xr:uid="{FF17A2F1-67B9-46FB-9B2B-66F555E5C38F}"/>
    <cellStyle name="Komma 2 2 2 4 3 2" xfId="22235" xr:uid="{198D20D6-E1AB-41AF-8FBE-192AA6DB20C8}"/>
    <cellStyle name="Komma 2 2 2 4 3 3" xfId="47480" xr:uid="{7697212A-A961-4DAE-8BD1-3629DE4635F4}"/>
    <cellStyle name="Komma 2 2 2 4 3 4" xfId="51573" xr:uid="{72D8D9CA-3C33-460A-BFB2-E9673222C2EE}"/>
    <cellStyle name="Komma 2 2 2 4 3 5" xfId="54589" xr:uid="{834C0330-5C5C-4C96-A274-C34FA4ABA0A6}"/>
    <cellStyle name="Komma 2 2 2 4 4" xfId="15173" xr:uid="{2497557A-8DFE-47A6-AFF1-66ACE2EF426F}"/>
    <cellStyle name="Komma 2 2 2 4 4 2" xfId="22712" xr:uid="{BC057868-F69C-484C-B198-8BD2676F3F39}"/>
    <cellStyle name="Komma 2 2 2 4 4 3" xfId="47247" xr:uid="{0C60555F-0322-41DA-BF65-FA38911AFE12}"/>
    <cellStyle name="Komma 2 2 2 4 4 4" xfId="52050" xr:uid="{E934793E-4069-48BF-9D8A-643303EF4123}"/>
    <cellStyle name="Komma 2 2 2 4 4 5" xfId="55066" xr:uid="{D72651A7-16F1-41DA-9BA1-4CD1851E253A}"/>
    <cellStyle name="Komma 2 2 2 4 5" xfId="15660" xr:uid="{39487EDD-20BC-48FF-A63A-48595F937525}"/>
    <cellStyle name="Komma 2 2 2 4 5 2" xfId="23189" xr:uid="{6401BDC9-9EBC-4472-8206-8424CEDC2466}"/>
    <cellStyle name="Komma 2 2 2 4 5 3" xfId="46566" xr:uid="{A4C302FD-7237-4E39-B9A0-84E625E12FD3}"/>
    <cellStyle name="Komma 2 2 2 4 5 4" xfId="52527" xr:uid="{E856F1AC-6F0B-49C7-859A-443AE4B4A95A}"/>
    <cellStyle name="Komma 2 2 2 4 5 5" xfId="55543" xr:uid="{87580844-DD54-4963-9ECC-D6902C0A9C32}"/>
    <cellStyle name="Komma 2 2 2 4 6" xfId="12648" xr:uid="{C05E0767-0695-49A3-8113-87E71BDDA594}"/>
    <cellStyle name="Komma 2 2 2 4 6 2" xfId="47693" xr:uid="{00A7406D-3C6C-4866-B65D-31FF90536878}"/>
    <cellStyle name="Komma 2 2 2 4 6 3" xfId="51096" xr:uid="{6DE696F2-6186-4A3D-A33F-9873236D5B41}"/>
    <cellStyle name="Komma 2 2 2 4 6 4" xfId="54112" xr:uid="{7CBD9D7E-4E5A-4A5D-9AD3-8AB0F5998CCB}"/>
    <cellStyle name="Komma 2 2 2 4 7" xfId="25378" xr:uid="{798366C3-B273-4D8E-B37C-57B7908B76B2}"/>
    <cellStyle name="Komma 2 2 2 4 8" xfId="49990" xr:uid="{F126A1B1-647C-4B8B-98A5-211558415863}"/>
    <cellStyle name="Komma 2 2 2 4 9" xfId="53006" xr:uid="{0DDE7203-18E5-4B18-ACD4-D9BF527BB485}"/>
    <cellStyle name="Komma 2 2 2 5" xfId="10274" xr:uid="{BE451B64-6065-4F1B-817B-C3757E1A06EF}"/>
    <cellStyle name="Komma 2 2 2 5 2" xfId="14741" xr:uid="{269FB44E-2A8B-4222-B07C-F05D39607DD3}"/>
    <cellStyle name="Komma 2 2 2 5 2 2" xfId="22288" xr:uid="{D355E02D-2D11-48D4-A705-6F58F7DBD88A}"/>
    <cellStyle name="Komma 2 2 2 5 2 3" xfId="46428" xr:uid="{5884F47E-98D9-4637-8BF9-E3A8D18DDC96}"/>
    <cellStyle name="Komma 2 2 2 5 2 4" xfId="51626" xr:uid="{C3BD4CB4-64C9-4B2F-AA34-0F3DEEE4497D}"/>
    <cellStyle name="Komma 2 2 2 5 2 5" xfId="54642" xr:uid="{01F40301-2360-47D8-9EF1-E86AD854A856}"/>
    <cellStyle name="Komma 2 2 2 5 3" xfId="15226" xr:uid="{3CA71284-B23E-47EF-98A1-E8811C2F2917}"/>
    <cellStyle name="Komma 2 2 2 5 3 2" xfId="22765" xr:uid="{876C7F95-1F2F-4715-A5F7-C4A7B91F9F4E}"/>
    <cellStyle name="Komma 2 2 2 5 3 3" xfId="46498" xr:uid="{67EBE3FD-D1F9-4821-B083-FA106E4EF870}"/>
    <cellStyle name="Komma 2 2 2 5 3 4" xfId="52103" xr:uid="{15272327-8A1C-4E86-B3DE-C16D2DBB1179}"/>
    <cellStyle name="Komma 2 2 2 5 3 5" xfId="55119" xr:uid="{6739D6D8-148B-46F0-BF08-5534E71A54A7}"/>
    <cellStyle name="Komma 2 2 2 5 4" xfId="15713" xr:uid="{641E76D0-604C-444F-9435-DA71A2A8DEE5}"/>
    <cellStyle name="Komma 2 2 2 5 4 2" xfId="23242" xr:uid="{68986F66-8A58-4D7D-AD48-F881823AF5EC}"/>
    <cellStyle name="Komma 2 2 2 5 4 3" xfId="46576" xr:uid="{4982A4A5-1C53-42D7-B491-2F2EA355A505}"/>
    <cellStyle name="Komma 2 2 2 5 4 4" xfId="52580" xr:uid="{EAF6BE03-60C2-4704-8889-003B925AC837}"/>
    <cellStyle name="Komma 2 2 2 5 4 5" xfId="55596" xr:uid="{437E48FE-E5FC-4FA3-8291-B4C2B3113FE4}"/>
    <cellStyle name="Komma 2 2 2 5 5" xfId="12727" xr:uid="{DFF9D5F6-E2C6-4CBE-B79D-F44C57583430}"/>
    <cellStyle name="Komma 2 2 2 5 5 2" xfId="47761" xr:uid="{376862D4-D5D2-4469-B9E3-DB7D665BD123}"/>
    <cellStyle name="Komma 2 2 2 5 5 3" xfId="51149" xr:uid="{647B8626-3769-4BA5-946F-BFFC7F9FAC36}"/>
    <cellStyle name="Komma 2 2 2 5 5 4" xfId="54165" xr:uid="{7626B5A0-706B-449E-938C-B9226EC14D59}"/>
    <cellStyle name="Komma 2 2 2 5 6" xfId="48572" xr:uid="{928E9001-0B12-4611-AC34-93857C41B448}"/>
    <cellStyle name="Komma 2 2 2 5 7" xfId="50043" xr:uid="{8C6B88BD-3448-4915-80BD-5BB4160F886E}"/>
    <cellStyle name="Komma 2 2 2 5 8" xfId="53059" xr:uid="{F89DE091-A3A0-4457-9E27-68E6B34A8B30}"/>
    <cellStyle name="Komma 2 2 2 6" xfId="10588" xr:uid="{E4FA0DD9-D36F-4CBD-A20D-AE6E92AA00AF}"/>
    <cellStyle name="Komma 2 2 2 6 2" xfId="14953" xr:uid="{323071FC-D40B-4E97-8805-78160F70A126}"/>
    <cellStyle name="Komma 2 2 2 6 2 2" xfId="22500" xr:uid="{EA7D941D-8DDC-418F-A7BB-D8DC53596AA0}"/>
    <cellStyle name="Komma 2 2 2 6 2 3" xfId="36971" xr:uid="{5BD0E645-ED19-45D1-855E-65CD48381549}"/>
    <cellStyle name="Komma 2 2 2 6 2 4" xfId="51838" xr:uid="{91276FDD-DB3D-4233-A5C4-5BAE9C714964}"/>
    <cellStyle name="Komma 2 2 2 6 2 5" xfId="54854" xr:uid="{3004D0BA-CE66-43BD-8C3B-5FE0D8982A12}"/>
    <cellStyle name="Komma 2 2 2 6 3" xfId="15438" xr:uid="{8DDC864F-2910-47DC-9602-50340133BDE1}"/>
    <cellStyle name="Komma 2 2 2 6 3 2" xfId="22977" xr:uid="{C0D76E69-8351-457B-931F-E1A911B67FB2}"/>
    <cellStyle name="Komma 2 2 2 6 3 3" xfId="46534" xr:uid="{F56E2044-FE1C-475C-AA93-8270ED237062}"/>
    <cellStyle name="Komma 2 2 2 6 3 4" xfId="52315" xr:uid="{6D59C060-79CD-475D-9742-AB661C1AD93E}"/>
    <cellStyle name="Komma 2 2 2 6 3 5" xfId="55331" xr:uid="{7A848AD9-202B-47C1-9DD0-742D62225A57}"/>
    <cellStyle name="Komma 2 2 2 6 4" xfId="15926" xr:uid="{FFD02A2D-60AB-463A-B5E1-5483C8967A20}"/>
    <cellStyle name="Komma 2 2 2 6 4 2" xfId="23454" xr:uid="{E7DB907F-FB88-44F5-AEB2-4397BD255A95}"/>
    <cellStyle name="Komma 2 2 2 6 4 3" xfId="47040" xr:uid="{68D9FD1F-4CC3-4265-868E-2BE219E44625}"/>
    <cellStyle name="Komma 2 2 2 6 4 4" xfId="52792" xr:uid="{FF5E7A43-829F-4EE1-8CDE-D9AD9E30E0F0}"/>
    <cellStyle name="Komma 2 2 2 6 4 5" xfId="55808" xr:uid="{74997ADF-75C0-4910-A14C-72FD032F7DBA}"/>
    <cellStyle name="Komma 2 2 2 6 5" xfId="13041" xr:uid="{61208090-FE87-4164-ABDE-56196FC19432}"/>
    <cellStyle name="Komma 2 2 2 6 5 2" xfId="25028" xr:uid="{CF6FE368-74E1-4323-9B20-B21A848A324B}"/>
    <cellStyle name="Komma 2 2 2 6 5 3" xfId="51361" xr:uid="{91701FC5-209B-4F29-9C2A-DDCC77364D42}"/>
    <cellStyle name="Komma 2 2 2 6 5 4" xfId="54377" xr:uid="{0FEA5A84-1EFC-4A3E-B9F4-405AFA6C2239}"/>
    <cellStyle name="Komma 2 2 2 6 6" xfId="46156" xr:uid="{A3E5139C-D232-4876-81A0-9489B8ABBDD0}"/>
    <cellStyle name="Komma 2 2 2 6 7" xfId="50255" xr:uid="{63EA43AC-8473-4433-AE23-F36FBF2E2887}"/>
    <cellStyle name="Komma 2 2 2 6 8" xfId="53271" xr:uid="{6B5C2F70-93A0-4DE1-99DD-8392774CE22B}"/>
    <cellStyle name="Komma 2 2 2 7" xfId="14529" xr:uid="{F468D129-4D29-40EA-A478-F7A629F61A7F}"/>
    <cellStyle name="Komma 2 2 2 7 2" xfId="22076" xr:uid="{90434C5D-F21F-425D-9228-955CF91EC397}"/>
    <cellStyle name="Komma 2 2 2 7 3" xfId="48112" xr:uid="{FBC84301-2563-4065-B976-96FBBFD7A531}"/>
    <cellStyle name="Komma 2 2 2 7 4" xfId="51414" xr:uid="{2B6F2A03-5A56-453F-90E9-EF0B5B1DE4DB}"/>
    <cellStyle name="Komma 2 2 2 7 5" xfId="54430" xr:uid="{9044F474-0D32-4C12-BA1C-91B60BDFED86}"/>
    <cellStyle name="Komma 2 2 2 8" xfId="15013" xr:uid="{1FEC5BAC-D9EC-4A9D-9D03-40E40E1CBC8D}"/>
    <cellStyle name="Komma 2 2 2 8 2" xfId="22553" xr:uid="{B75FA44A-D547-47D6-8731-C11EF029F919}"/>
    <cellStyle name="Komma 2 2 2 8 3" xfId="46466" xr:uid="{211D7D5D-D47F-46FD-B2FD-E552AAC612EA}"/>
    <cellStyle name="Komma 2 2 2 8 4" xfId="51891" xr:uid="{069ED766-9CEB-49FE-986E-A5F3353C4A41}"/>
    <cellStyle name="Komma 2 2 2 8 5" xfId="54907" xr:uid="{630468CD-1AE2-4E96-B059-ED3F316E1D66}"/>
    <cellStyle name="Komma 2 2 2 9" xfId="15500" xr:uid="{311D89ED-5079-4DEC-8AA9-8E6BF48CB238}"/>
    <cellStyle name="Komma 2 2 2 9 2" xfId="23030" xr:uid="{7C4FC4E0-941E-4825-B357-A0459B6CA89C}"/>
    <cellStyle name="Komma 2 2 2 9 3" xfId="46541" xr:uid="{F500C213-DC49-4F2D-BBB7-ECCEDDF82D96}"/>
    <cellStyle name="Komma 2 2 2 9 4" xfId="52368" xr:uid="{45B73F36-0106-41D1-92DB-745CC6DA5516}"/>
    <cellStyle name="Komma 2 2 2 9 5" xfId="55384" xr:uid="{E50C8C55-3C55-4547-9871-DD35D3ECE591}"/>
    <cellStyle name="Komma 2 2 3" xfId="10040" xr:uid="{EF8A8F4B-66BE-4F43-945F-3306E44A1592}"/>
    <cellStyle name="Komma 2 2 3 10" xfId="49609" xr:uid="{ABD2C343-E0A1-4047-961F-2C826DB97798}"/>
    <cellStyle name="Komma 2 2 3 11" xfId="49883" xr:uid="{E382FEDC-DFA7-4A75-86ED-11D08249126D}"/>
    <cellStyle name="Komma 2 2 3 12" xfId="52899" xr:uid="{F8F4D89C-9C94-48C8-A823-2B73736BD2DE}"/>
    <cellStyle name="Komma 2 2 3 2" xfId="10348" xr:uid="{4C8C9210-1873-4E8E-AAB1-63CEA510133F}"/>
    <cellStyle name="Komma 2 2 3 2 2" xfId="14793" xr:uid="{00B1E579-3D7D-44AA-8541-8A5ABDC5F72A}"/>
    <cellStyle name="Komma 2 2 3 2 2 2" xfId="22340" xr:uid="{17F35780-C26F-4D26-B898-08E5B8276289}"/>
    <cellStyle name="Komma 2 2 3 2 2 3" xfId="24664" xr:uid="{A9533F0C-5E97-4FC7-90A9-6CA4ACA4344A}"/>
    <cellStyle name="Komma 2 2 3 2 2 4" xfId="51678" xr:uid="{CEF3C4F4-1657-409F-A3A5-BDE781799A20}"/>
    <cellStyle name="Komma 2 2 3 2 2 5" xfId="54694" xr:uid="{2A49C6D0-3C20-426A-89BF-3CAC0FD1ADD4}"/>
    <cellStyle name="Komma 2 2 3 2 3" xfId="15278" xr:uid="{58B728CF-D801-4044-90B5-056F8305E677}"/>
    <cellStyle name="Komma 2 2 3 2 3 2" xfId="22817" xr:uid="{FF2C14E4-7377-4AE0-AF20-7CD0D7A42D44}"/>
    <cellStyle name="Komma 2 2 3 2 3 3" xfId="46901" xr:uid="{1D013420-5135-4C99-9194-5F1E49D8D02B}"/>
    <cellStyle name="Komma 2 2 3 2 3 4" xfId="52155" xr:uid="{6357774F-8485-44A1-878C-837E0D7484E9}"/>
    <cellStyle name="Komma 2 2 3 2 3 5" xfId="55171" xr:uid="{DAF19BE2-4A51-41F2-B78A-476E83CF64D1}"/>
    <cellStyle name="Komma 2 2 3 2 4" xfId="15765" xr:uid="{68F14199-2596-4E7B-8BBE-81C814966E04}"/>
    <cellStyle name="Komma 2 2 3 2 4 2" xfId="23294" xr:uid="{A53BE87F-E208-4AE7-976B-21898513EBE1}"/>
    <cellStyle name="Komma 2 2 3 2 4 3" xfId="46961" xr:uid="{FE423595-DF9B-4AF8-BBD9-E9AE320A16BB}"/>
    <cellStyle name="Komma 2 2 3 2 4 4" xfId="52632" xr:uid="{099FD788-FA8B-420C-8E4F-27167A05C846}"/>
    <cellStyle name="Komma 2 2 3 2 4 5" xfId="55648" xr:uid="{49B3FAC7-4917-45E2-83ED-D44BD9BF1C7D}"/>
    <cellStyle name="Komma 2 2 3 2 5" xfId="12801" xr:uid="{76F6D1C3-2E44-4CB4-89C5-5C9958447AEF}"/>
    <cellStyle name="Komma 2 2 3 2 5 2" xfId="33688" xr:uid="{1B3792BF-61A3-4D36-93AB-3E0A088A9A68}"/>
    <cellStyle name="Komma 2 2 3 2 5 3" xfId="51201" xr:uid="{ABEA8280-5D5E-47E1-A70E-9768DFAF8427}"/>
    <cellStyle name="Komma 2 2 3 2 5 4" xfId="54217" xr:uid="{4ACEE88E-AD8C-4742-85D3-9458267ACBFB}"/>
    <cellStyle name="Komma 2 2 3 2 6" xfId="47582" xr:uid="{DBB83A85-2C1A-4344-9126-FE37BD81BC0B}"/>
    <cellStyle name="Komma 2 2 3 2 7" xfId="50095" xr:uid="{5CC38AA9-31D4-4814-8385-203F3C469DB9}"/>
    <cellStyle name="Komma 2 2 3 2 8" xfId="53111" xr:uid="{110366F6-0177-4790-BBD2-F97C31DC2670}"/>
    <cellStyle name="Komma 2 2 3 3" xfId="14581" xr:uid="{0CB8962D-3A85-4BF1-8852-91FAF9EB68DC}"/>
    <cellStyle name="Komma 2 2 3 3 2" xfId="22128" xr:uid="{5A5F83E4-58C5-4B61-B05E-9DE62FF079DE}"/>
    <cellStyle name="Komma 2 2 3 3 3" xfId="47828" xr:uid="{55B06378-AE5F-45E8-8957-370DB266BC92}"/>
    <cellStyle name="Komma 2 2 3 3 4" xfId="51466" xr:uid="{2B2D909E-555C-4CDC-B114-ED555AFA3CD8}"/>
    <cellStyle name="Komma 2 2 3 3 5" xfId="54482" xr:uid="{394C0208-4768-4645-A021-77B848711402}"/>
    <cellStyle name="Komma 2 2 3 4" xfId="15065" xr:uid="{A8082900-F10A-499F-BDE6-7EC2F334B855}"/>
    <cellStyle name="Komma 2 2 3 4 2" xfId="22605" xr:uid="{B23AD9E2-540E-4DBE-BDDB-B9459D4CC084}"/>
    <cellStyle name="Komma 2 2 3 4 3" xfId="47991" xr:uid="{0BFED373-2A53-46F6-B1F7-41668B92812C}"/>
    <cellStyle name="Komma 2 2 3 4 4" xfId="51943" xr:uid="{EAB5FD7A-3AF9-43D4-943D-2E5198C33CA3}"/>
    <cellStyle name="Komma 2 2 3 4 5" xfId="54959" xr:uid="{530458A4-E223-4006-A352-DAA581B9F7C7}"/>
    <cellStyle name="Komma 2 2 3 5" xfId="15552" xr:uid="{2E049960-24CF-43D7-B49B-1A2370EB97A7}"/>
    <cellStyle name="Komma 2 2 3 5 2" xfId="23082" xr:uid="{2AF9E8EB-A70C-4ACF-BC0E-354206A4EBE6}"/>
    <cellStyle name="Komma 2 2 3 5 3" xfId="46934" xr:uid="{B729D01E-44C1-400C-9DE3-FB9D40900A6A}"/>
    <cellStyle name="Komma 2 2 3 5 4" xfId="52420" xr:uid="{2180B97A-F154-4ED7-8646-0405C4D4A04E}"/>
    <cellStyle name="Komma 2 2 3 5 5" xfId="55436" xr:uid="{9CE39A9B-C86B-41FD-8447-46202DFEBFC4}"/>
    <cellStyle name="Komma 2 2 3 6" xfId="12500" xr:uid="{82FD309F-E463-4D9D-A365-D5AAD2521982}"/>
    <cellStyle name="Komma 2 2 3 6 2" xfId="47819" xr:uid="{30860B87-0063-47C7-AF9D-F8C933305773}"/>
    <cellStyle name="Komma 2 2 3 6 3" xfId="50989" xr:uid="{AEA41A33-0DDE-48B5-A8E7-D5A462D8F158}"/>
    <cellStyle name="Komma 2 2 3 6 4" xfId="54005" xr:uid="{604B4927-E078-4FA5-994A-C1080FB86433}"/>
    <cellStyle name="Komma 2 2 3 7" xfId="23845" xr:uid="{7237D534-D9CD-4C32-AD6E-21722CD6FE59}"/>
    <cellStyle name="Komma 2 2 3 8" xfId="47852" xr:uid="{50EAD75B-EC47-4A6E-A900-A783DA7EF552}"/>
    <cellStyle name="Komma 2 2 3 9" xfId="48701" xr:uid="{C0D577F3-5949-445E-8594-31646E257243}"/>
    <cellStyle name="Komma 2 2 4" xfId="10114" xr:uid="{910D93FE-CA20-4067-90E4-269B80687180}"/>
    <cellStyle name="Komma 2 2 4 2" xfId="10427" xr:uid="{B308DB8B-E7DF-4F17-9EEB-ED0DBFB93F00}"/>
    <cellStyle name="Komma 2 2 4 2 2" xfId="14846" xr:uid="{DCF24804-3A90-43B0-A135-3213F5A001FB}"/>
    <cellStyle name="Komma 2 2 4 2 2 2" xfId="22393" xr:uid="{8E7AEBD1-82A7-4BCC-9B68-DCCF0DE809FC}"/>
    <cellStyle name="Komma 2 2 4 2 2 3" xfId="46445" xr:uid="{70D618E3-D8F6-4D6A-985F-3D17BCFFFBA3}"/>
    <cellStyle name="Komma 2 2 4 2 2 4" xfId="51731" xr:uid="{7F3A3E87-C994-482B-8C98-C90FEA4BA50F}"/>
    <cellStyle name="Komma 2 2 4 2 2 5" xfId="54747" xr:uid="{9BB8DB48-B0D8-4C21-807A-F8D81E883D17}"/>
    <cellStyle name="Komma 2 2 4 2 3" xfId="15331" xr:uid="{B6086826-FD36-4949-8534-BF553DBC8B31}"/>
    <cellStyle name="Komma 2 2 4 2 3 2" xfId="22870" xr:uid="{748ACA32-5AE4-440B-A06C-173A506A7149}"/>
    <cellStyle name="Komma 2 2 4 2 3 3" xfId="48539" xr:uid="{378F2CFA-84F3-4401-91F1-9B210122C05B}"/>
    <cellStyle name="Komma 2 2 4 2 3 4" xfId="52208" xr:uid="{41B9125C-A7CC-4058-AF3A-026E35F5235C}"/>
    <cellStyle name="Komma 2 2 4 2 3 5" xfId="55224" xr:uid="{73912AB8-BF49-45A2-A0E4-266E93884AB2}"/>
    <cellStyle name="Komma 2 2 4 2 4" xfId="15818" xr:uid="{74FFC370-16AA-4C53-A927-959EF422B09C}"/>
    <cellStyle name="Komma 2 2 4 2 4 2" xfId="23347" xr:uid="{91D80F57-1CF1-484A-8EFE-BA1941A9950A}"/>
    <cellStyle name="Komma 2 2 4 2 4 3" xfId="47730" xr:uid="{9F980992-3D46-4755-9A21-DCB1EFAADC89}"/>
    <cellStyle name="Komma 2 2 4 2 4 4" xfId="52685" xr:uid="{BA6F50B1-38A3-4603-98C4-1F09D590BCD5}"/>
    <cellStyle name="Komma 2 2 4 2 4 5" xfId="55701" xr:uid="{37CAD7B5-4136-4EF6-9879-363EBCD664B9}"/>
    <cellStyle name="Komma 2 2 4 2 5" xfId="12880" xr:uid="{8D9DB73A-778F-42A9-8F23-B3011E9A8DEE}"/>
    <cellStyle name="Komma 2 2 4 2 5 2" xfId="46804" xr:uid="{D97450B7-8910-4D27-9457-8FC244FDE892}"/>
    <cellStyle name="Komma 2 2 4 2 5 3" xfId="51254" xr:uid="{F4B3362C-6031-4449-A310-1ED651E2AB5C}"/>
    <cellStyle name="Komma 2 2 4 2 5 4" xfId="54270" xr:uid="{5E77A661-2F68-47B9-B6A3-00BB39AF0E39}"/>
    <cellStyle name="Komma 2 2 4 2 6" xfId="46626" xr:uid="{FC147540-F6A3-43EC-A098-2ACFC5EE3113}"/>
    <cellStyle name="Komma 2 2 4 2 7" xfId="50148" xr:uid="{C58B63EA-67FC-456B-82AE-B7F4E87F4A71}"/>
    <cellStyle name="Komma 2 2 4 2 8" xfId="53164" xr:uid="{40F4A7AF-3C6F-48E2-A8F5-6645FFA073F5}"/>
    <cellStyle name="Komma 2 2 4 3" xfId="14634" xr:uid="{469EC101-415F-47DE-8B88-8021C6D03A0A}"/>
    <cellStyle name="Komma 2 2 4 3 2" xfId="22181" xr:uid="{DCAC8E90-52FC-4AAD-AB18-6D15DE818B37}"/>
    <cellStyle name="Komma 2 2 4 3 3" xfId="48501" xr:uid="{BFAF4B27-95FE-4C04-B25E-2A00E62FBEC9}"/>
    <cellStyle name="Komma 2 2 4 3 4" xfId="51519" xr:uid="{4102C30A-C7AB-48F5-839D-D59EAD071935}"/>
    <cellStyle name="Komma 2 2 4 3 5" xfId="54535" xr:uid="{7A6ACFB3-590E-43B3-B884-FD5B1DF652FB}"/>
    <cellStyle name="Komma 2 2 4 4" xfId="15119" xr:uid="{5067F8F2-669F-4ECF-85BE-48E22018920F}"/>
    <cellStyle name="Komma 2 2 4 4 2" xfId="22658" xr:uid="{C526F57A-7420-45FF-AF79-D83737687751}"/>
    <cellStyle name="Komma 2 2 4 4 3" xfId="46483" xr:uid="{B1E7E1AC-7EC2-4460-A621-53ECBD713999}"/>
    <cellStyle name="Komma 2 2 4 4 4" xfId="51996" xr:uid="{D7E5C2D2-BD52-4B83-B166-CB08977A6AA7}"/>
    <cellStyle name="Komma 2 2 4 4 5" xfId="55012" xr:uid="{497EEA6D-C2A3-4AB2-A33D-9A734E4E2F69}"/>
    <cellStyle name="Komma 2 2 4 5" xfId="15606" xr:uid="{5D79DF45-7E5D-4FC4-A9B1-5A7ABF37907E}"/>
    <cellStyle name="Komma 2 2 4 5 2" xfId="23135" xr:uid="{EE469527-2B57-4287-992A-4B260E96FDEC}"/>
    <cellStyle name="Komma 2 2 4 5 3" xfId="46557" xr:uid="{AAC283DB-0361-48CF-A453-5BAF6A6BB551}"/>
    <cellStyle name="Komma 2 2 4 5 4" xfId="52473" xr:uid="{CC79853E-9C0C-471B-B429-0A39B0089B02}"/>
    <cellStyle name="Komma 2 2 4 5 5" xfId="55489" xr:uid="{4216965B-4583-46F8-AC17-2BC18E86A33D}"/>
    <cellStyle name="Komma 2 2 4 6" xfId="12571" xr:uid="{8BB2AADD-70CF-4B6C-A4AD-FDF5B3226E16}"/>
    <cellStyle name="Komma 2 2 4 6 2" xfId="24696" xr:uid="{3A963C44-3500-4D76-8858-D6B86F92C99D}"/>
    <cellStyle name="Komma 2 2 4 6 3" xfId="51042" xr:uid="{F530509D-1336-423F-A4E8-6A318B6A2D2F}"/>
    <cellStyle name="Komma 2 2 4 6 4" xfId="54058" xr:uid="{3EBDF250-38CF-4EAD-A027-BBB53163CC43}"/>
    <cellStyle name="Komma 2 2 4 7" xfId="47277" xr:uid="{F93A9FF6-7D40-46D1-87D5-01818CAF7A00}"/>
    <cellStyle name="Komma 2 2 4 8" xfId="49936" xr:uid="{B8689959-2055-4400-A1C8-2A46F0D40BBE}"/>
    <cellStyle name="Komma 2 2 4 9" xfId="52952" xr:uid="{0A3C7463-E653-4B53-9799-D6AE1532307D}"/>
    <cellStyle name="Komma 2 2 5" xfId="10193" xr:uid="{43601A1A-D948-4254-BF16-7C945AC269C2}"/>
    <cellStyle name="Komma 2 2 5 2" xfId="10507" xr:uid="{7B057934-16DD-4337-8D2D-80564AA3C8E7}"/>
    <cellStyle name="Komma 2 2 5 2 2" xfId="14899" xr:uid="{7AE6C7FE-4CC9-449B-8BE1-782FBD3AAB7A}"/>
    <cellStyle name="Komma 2 2 5 2 2 2" xfId="22446" xr:uid="{CFCF651A-16C5-4BB5-B85D-24634073E7B5}"/>
    <cellStyle name="Komma 2 2 5 2 2 3" xfId="47243" xr:uid="{C9C59A57-C4D7-443F-B53E-2B0641C1D281}"/>
    <cellStyle name="Komma 2 2 5 2 2 4" xfId="51784" xr:uid="{A8CACC7A-43D4-4D20-88F4-2C1E23C860EB}"/>
    <cellStyle name="Komma 2 2 5 2 2 5" xfId="54800" xr:uid="{CC90DFE2-C2B7-4D40-812B-04ECBA6B1F23}"/>
    <cellStyle name="Komma 2 2 5 2 3" xfId="15384" xr:uid="{61C2295D-F804-4D49-9A4C-6C60F5833F43}"/>
    <cellStyle name="Komma 2 2 5 2 3 2" xfId="22923" xr:uid="{3829BAB3-B0D3-482E-BDA4-D1EF3BFD1258}"/>
    <cellStyle name="Komma 2 2 5 2 3 3" xfId="47192" xr:uid="{654253CA-23AD-4A3B-B0D7-55F828C6CDC8}"/>
    <cellStyle name="Komma 2 2 5 2 3 4" xfId="52261" xr:uid="{9866CBA6-2F62-4912-BC00-8ECD6042E895}"/>
    <cellStyle name="Komma 2 2 5 2 3 5" xfId="55277" xr:uid="{547DFFFD-E23D-48A8-A476-678FD24370C5}"/>
    <cellStyle name="Komma 2 2 5 2 4" xfId="15871" xr:uid="{1E2ADB32-D5F0-4392-A7F7-FA1C1982D1BB}"/>
    <cellStyle name="Komma 2 2 5 2 4 2" xfId="23400" xr:uid="{BB20025D-2559-45B8-A4E6-20519A1FFA5D}"/>
    <cellStyle name="Komma 2 2 5 2 4 3" xfId="48085" xr:uid="{23D2EBAE-8CDD-4A00-B2A3-6C93B1CCD3D4}"/>
    <cellStyle name="Komma 2 2 5 2 4 4" xfId="52738" xr:uid="{7562CCF1-DECF-4013-B9D6-BFE5D9E62C9E}"/>
    <cellStyle name="Komma 2 2 5 2 4 5" xfId="55754" xr:uid="{85A51188-FC48-499D-BE5A-410886198D67}"/>
    <cellStyle name="Komma 2 2 5 2 5" xfId="12960" xr:uid="{8D96FF7F-4166-46B7-B8AF-E058A274CC6B}"/>
    <cellStyle name="Komma 2 2 5 2 5 2" xfId="25323" xr:uid="{874712A1-775A-45C9-B668-0D81F806295D}"/>
    <cellStyle name="Komma 2 2 5 2 5 3" xfId="51307" xr:uid="{09D7673C-6B8D-48E4-BDE2-8B12C5FA908C}"/>
    <cellStyle name="Komma 2 2 5 2 5 4" xfId="54323" xr:uid="{D8F9E15D-7E0A-41F0-A872-D9CF28C18EBA}"/>
    <cellStyle name="Komma 2 2 5 2 6" xfId="48163" xr:uid="{8A191121-67EB-4EAD-AF6A-085666C901CC}"/>
    <cellStyle name="Komma 2 2 5 2 7" xfId="50201" xr:uid="{E4C3A2C1-D6D6-4F9D-9F19-A167B5BD9A3A}"/>
    <cellStyle name="Komma 2 2 5 2 8" xfId="53217" xr:uid="{5140859A-73FC-4C48-88DC-BC490D71F5CC}"/>
    <cellStyle name="Komma 2 2 5 3" xfId="14687" xr:uid="{5E0F9D77-3AEF-4D62-9FDE-C3D1C5466A1B}"/>
    <cellStyle name="Komma 2 2 5 3 2" xfId="22234" xr:uid="{53A222A9-5869-426D-84C9-CBDDFF6BF25C}"/>
    <cellStyle name="Komma 2 2 5 3 3" xfId="46848" xr:uid="{54D3B3B2-DAB0-4DA6-9540-DDBF0AC71A49}"/>
    <cellStyle name="Komma 2 2 5 3 4" xfId="51572" xr:uid="{BB8278CA-E666-4D5E-9861-B5350906F13B}"/>
    <cellStyle name="Komma 2 2 5 3 5" xfId="54588" xr:uid="{1489D118-C453-4960-98BF-47073C59292B}"/>
    <cellStyle name="Komma 2 2 5 4" xfId="15172" xr:uid="{7A51D7A5-CDF2-4EBF-88E1-47BB9317F729}"/>
    <cellStyle name="Komma 2 2 5 4 2" xfId="22711" xr:uid="{FFB8AFEB-71DB-4444-8A78-B45B0D32B174}"/>
    <cellStyle name="Komma 2 2 5 4 3" xfId="48017" xr:uid="{A9993713-E6D0-41EC-8466-6C0FAC9F2F38}"/>
    <cellStyle name="Komma 2 2 5 4 4" xfId="52049" xr:uid="{6C6C6D04-2442-4456-A635-7321B74E0203}"/>
    <cellStyle name="Komma 2 2 5 4 5" xfId="55065" xr:uid="{18EE357A-860E-44B7-9D85-7E7EEBB86D2F}"/>
    <cellStyle name="Komma 2 2 5 5" xfId="15659" xr:uid="{455A5067-3048-4268-8A45-B066CB3074F7}"/>
    <cellStyle name="Komma 2 2 5 5 2" xfId="23188" xr:uid="{498E8CC5-94A9-4ABB-B50D-F175599AB932}"/>
    <cellStyle name="Komma 2 2 5 5 3" xfId="24163" xr:uid="{FD81376C-2DA9-4CFC-A585-B6AEC523DB29}"/>
    <cellStyle name="Komma 2 2 5 5 4" xfId="52526" xr:uid="{E33A3A9E-B403-435F-81BA-A7D28C199ED3}"/>
    <cellStyle name="Komma 2 2 5 5 5" xfId="55542" xr:uid="{E264FBE9-68FF-46C1-9B07-B13808FF1402}"/>
    <cellStyle name="Komma 2 2 5 6" xfId="12647" xr:uid="{1A7CECE8-0235-459D-BED0-D608E346FE60}"/>
    <cellStyle name="Komma 2 2 5 6 2" xfId="34169" xr:uid="{D9855B27-2FF5-48B8-8D6E-82C5D7970A21}"/>
    <cellStyle name="Komma 2 2 5 6 3" xfId="51095" xr:uid="{74FD97E0-536E-48B5-96A1-4F5F90C48CB6}"/>
    <cellStyle name="Komma 2 2 5 6 4" xfId="54111" xr:uid="{8B1480CF-2215-4509-BF55-813701D32227}"/>
    <cellStyle name="Komma 2 2 5 7" xfId="47281" xr:uid="{B88766DC-965C-4572-AA96-5F08135218B1}"/>
    <cellStyle name="Komma 2 2 5 8" xfId="49989" xr:uid="{0EE01640-712C-4571-869A-5CE805B43BF3}"/>
    <cellStyle name="Komma 2 2 5 9" xfId="53005" xr:uid="{F92C9A10-53C7-4590-8894-5461FDDC8CB8}"/>
    <cellStyle name="Komma 2 2 6" xfId="10273" xr:uid="{DFA38F3D-93F1-4F51-8A29-3FE96ECDF2FE}"/>
    <cellStyle name="Komma 2 2 6 2" xfId="14740" xr:uid="{B5E71092-B62D-4F77-B0A1-19F52664CEDB}"/>
    <cellStyle name="Komma 2 2 6 2 2" xfId="22287" xr:uid="{B4B25430-F327-4FE0-B48A-9DEB2FD4279B}"/>
    <cellStyle name="Komma 2 2 6 2 3" xfId="46427" xr:uid="{1104C605-0EEB-4EC3-9313-AEB1991097B8}"/>
    <cellStyle name="Komma 2 2 6 2 4" xfId="51625" xr:uid="{E9C23FC0-291E-4AB5-8CFE-FB501292F805}"/>
    <cellStyle name="Komma 2 2 6 2 5" xfId="54641" xr:uid="{FDDC5BA8-5D6A-4259-A4B2-B0150D4D874F}"/>
    <cellStyle name="Komma 2 2 6 3" xfId="15225" xr:uid="{2894ECB1-59B7-432B-8AEB-652D73E80B75}"/>
    <cellStyle name="Komma 2 2 6 3 2" xfId="22764" xr:uid="{40E4E1DE-4079-47CA-9939-E9F9F34C8326}"/>
    <cellStyle name="Komma 2 2 6 3 3" xfId="47937" xr:uid="{6A5218C5-D64A-407C-A0DF-4CDBA57B1045}"/>
    <cellStyle name="Komma 2 2 6 3 4" xfId="52102" xr:uid="{A9B91AC0-2943-44FB-9AAD-FD5569F53919}"/>
    <cellStyle name="Komma 2 2 6 3 5" xfId="55118" xr:uid="{64EC38F4-FD76-4D15-B059-65CF3E525F75}"/>
    <cellStyle name="Komma 2 2 6 4" xfId="15712" xr:uid="{728A81F7-01AB-4422-B86C-57775F43CF9F}"/>
    <cellStyle name="Komma 2 2 6 4 2" xfId="23241" xr:uid="{9B6C4EEE-F99C-4739-BACF-6C21660C7544}"/>
    <cellStyle name="Komma 2 2 6 4 3" xfId="46575" xr:uid="{3C626441-E281-43B9-8C8C-44C079591D70}"/>
    <cellStyle name="Komma 2 2 6 4 4" xfId="52579" xr:uid="{DABFC73D-EFD6-44E5-8748-1218FF588832}"/>
    <cellStyle name="Komma 2 2 6 4 5" xfId="55595" xr:uid="{13B0D221-E41C-4A99-9D1B-255BE41752D4}"/>
    <cellStyle name="Komma 2 2 6 5" xfId="12726" xr:uid="{DC78E3A3-00F4-428C-B0B6-3409577FC40B}"/>
    <cellStyle name="Komma 2 2 6 5 2" xfId="46786" xr:uid="{396528C8-32BA-469B-9F65-51D6BA7E784C}"/>
    <cellStyle name="Komma 2 2 6 5 3" xfId="51148" xr:uid="{03D0FA96-B1EE-447C-9A43-2ADE6429DE13}"/>
    <cellStyle name="Komma 2 2 6 5 4" xfId="54164" xr:uid="{668E80C7-11EE-4136-95E4-45349AF04825}"/>
    <cellStyle name="Komma 2 2 6 6" xfId="46080" xr:uid="{B23AF19F-53C7-423E-84DC-63DE3124589B}"/>
    <cellStyle name="Komma 2 2 6 7" xfId="50042" xr:uid="{4F6F3188-5557-4FBD-85A7-8CD60B7FA62F}"/>
    <cellStyle name="Komma 2 2 6 8" xfId="53058" xr:uid="{FF9CE6F1-F6B1-42C8-BC7C-D3638A5D2B81}"/>
    <cellStyle name="Komma 2 2 7" xfId="10587" xr:uid="{AB14A700-6DE1-4E90-91B1-5456A6B13CC6}"/>
    <cellStyle name="Komma 2 2 7 2" xfId="14952" xr:uid="{83E1B0E4-4ADA-43D0-A672-D7E15BA6324A}"/>
    <cellStyle name="Komma 2 2 7 2 2" xfId="22499" xr:uid="{0DABC6CF-E93A-45BE-8E1E-A2D629A6B9E3}"/>
    <cellStyle name="Komma 2 2 7 2 3" xfId="46459" xr:uid="{452E8F6E-3D93-4B10-99C2-61D5FB4BC645}"/>
    <cellStyle name="Komma 2 2 7 2 4" xfId="51837" xr:uid="{A1787FFE-8A81-4A14-9D9E-ED9E69F5BA99}"/>
    <cellStyle name="Komma 2 2 7 2 5" xfId="54853" xr:uid="{A58736FA-4A45-4244-8931-CB5E3E932D58}"/>
    <cellStyle name="Komma 2 2 7 3" xfId="15437" xr:uid="{F1170597-6920-4F28-9AD3-0663C565FBBD}"/>
    <cellStyle name="Komma 2 2 7 3 2" xfId="22976" xr:uid="{E356CC0F-40D7-46AF-A6B8-AFE381D8DF81}"/>
    <cellStyle name="Komma 2 2 7 3 3" xfId="46533" xr:uid="{3241C76E-B79A-491E-8DB8-ED34143D4F88}"/>
    <cellStyle name="Komma 2 2 7 3 4" xfId="52314" xr:uid="{63CB3420-EF19-44F6-9DA7-232A89FF4021}"/>
    <cellStyle name="Komma 2 2 7 3 5" xfId="55330" xr:uid="{A7148ED0-825F-4BEF-94A2-5CDBEA897959}"/>
    <cellStyle name="Komma 2 2 7 4" xfId="15925" xr:uid="{F09203EC-FA0D-4057-8957-C79C4E01E2CA}"/>
    <cellStyle name="Komma 2 2 7 4 2" xfId="23453" xr:uid="{5A3B769F-ECE9-4A30-87F0-509A0299CF35}"/>
    <cellStyle name="Komma 2 2 7 4 3" xfId="32498" xr:uid="{328F381A-7B5B-4643-8626-459B1945746A}"/>
    <cellStyle name="Komma 2 2 7 4 4" xfId="52791" xr:uid="{6C8D2CFA-22FA-4CC3-AC4F-A8A9355272C3}"/>
    <cellStyle name="Komma 2 2 7 4 5" xfId="55807" xr:uid="{72BFC2E6-6B85-4270-86F8-B474860F08E1}"/>
    <cellStyle name="Komma 2 2 7 5" xfId="13040" xr:uid="{D129619E-18E9-48DC-A638-51CA1B270393}"/>
    <cellStyle name="Komma 2 2 7 5 2" xfId="46385" xr:uid="{C3D4CB2A-42D4-422A-9129-7A08D6C7F73A}"/>
    <cellStyle name="Komma 2 2 7 5 3" xfId="51360" xr:uid="{1F80FAE0-D657-4787-9120-AEBF6A40E08C}"/>
    <cellStyle name="Komma 2 2 7 5 4" xfId="54376" xr:uid="{700597E4-4FF6-4883-97D1-5B63D8D2CA7C}"/>
    <cellStyle name="Komma 2 2 7 6" xfId="47361" xr:uid="{39FF4F6F-F6EE-497C-8537-101589762380}"/>
    <cellStyle name="Komma 2 2 7 7" xfId="50254" xr:uid="{FFBE77EB-165D-4C3F-A39C-239DCE695A6A}"/>
    <cellStyle name="Komma 2 2 7 8" xfId="53270" xr:uid="{8B01B3A7-9143-46C2-930A-CFB427790CF8}"/>
    <cellStyle name="Komma 2 2 8" xfId="14528" xr:uid="{D07A6EBF-22F6-4CB2-A447-98537B2747E9}"/>
    <cellStyle name="Komma 2 2 8 2" xfId="22075" xr:uid="{3820A587-27E4-4FB7-A4E7-C026A5685B47}"/>
    <cellStyle name="Komma 2 2 8 3" xfId="34068" xr:uid="{D61CFC31-BE5E-48A3-8A28-8EB0ABBB1853}"/>
    <cellStyle name="Komma 2 2 8 4" xfId="51413" xr:uid="{4E77AE01-C817-4F3A-AA18-5BFD0742AD87}"/>
    <cellStyle name="Komma 2 2 8 5" xfId="54429" xr:uid="{A44CC12C-7FF4-4A0B-84E5-8E24DF4A7A9E}"/>
    <cellStyle name="Komma 2 2 9" xfId="15012" xr:uid="{EA312A85-55E6-43C9-BF8B-344B0E862881}"/>
    <cellStyle name="Komma 2 2 9 2" xfId="22552" xr:uid="{A4491E2B-37D4-4791-B43E-2712F10A4E33}"/>
    <cellStyle name="Komma 2 2 9 3" xfId="24181" xr:uid="{F23FB679-7969-408C-94A8-BB6CA591DD6B}"/>
    <cellStyle name="Komma 2 2 9 4" xfId="51890" xr:uid="{B4EE75D6-172B-4174-BE8C-DA5E69C5E3FA}"/>
    <cellStyle name="Komma 2 2 9 5" xfId="54906" xr:uid="{638C6D76-0E96-48B5-97B6-833ABA2E123E}"/>
    <cellStyle name="Komma 2 3" xfId="9100" xr:uid="{4EDF592C-B92F-45BE-850F-E4B80958CA36}"/>
    <cellStyle name="Komma 2 3 10" xfId="11235" xr:uid="{581144AC-8765-4F69-93BA-774914DBF6D4}"/>
    <cellStyle name="Komma 2 3 10 2" xfId="48185" xr:uid="{348756EE-697C-40BB-9747-DAD66F67B521}"/>
    <cellStyle name="Komma 2 3 10 3" xfId="50714" xr:uid="{A3A49A9A-5F67-4673-B65E-6827CEEA706C}"/>
    <cellStyle name="Komma 2 3 10 4" xfId="53730" xr:uid="{EFAB5A30-53EF-4B9A-BCBF-C3677E03AC21}"/>
    <cellStyle name="Komma 2 3 11" xfId="23846" xr:uid="{556E82C1-9634-47C3-802D-7BEB0F1462F4}"/>
    <cellStyle name="Komma 2 3 12" xfId="46013" xr:uid="{572B05C6-3307-45E3-BFB7-F4BD1A151EC2}"/>
    <cellStyle name="Komma 2 3 13" xfId="49832" xr:uid="{17688DD8-85C7-4653-A6E7-17B5B0BCE4F6}"/>
    <cellStyle name="Komma 2 3 14" xfId="52847" xr:uid="{55D4FDEC-D716-4DCD-B2C7-8A95D008D2FF}"/>
    <cellStyle name="Komma 2 3 2" xfId="10042" xr:uid="{90EBD008-FEFC-40C5-B235-09AE872E8BEF}"/>
    <cellStyle name="Komma 2 3 2 10" xfId="49610" xr:uid="{F89C29B0-2942-4193-9905-7B6BA7BCE94E}"/>
    <cellStyle name="Komma 2 3 2 11" xfId="49885" xr:uid="{C5351914-73BA-4D70-AACB-09498D25C870}"/>
    <cellStyle name="Komma 2 3 2 12" xfId="52901" xr:uid="{656EDBF2-2A11-4C4E-8B95-F4FE78D10ECE}"/>
    <cellStyle name="Komma 2 3 2 2" xfId="10350" xr:uid="{3D91AB5E-EBA3-4DE3-9830-B09A58DFF8DC}"/>
    <cellStyle name="Komma 2 3 2 2 2" xfId="14795" xr:uid="{E494F4EA-CD55-47F0-B586-3AC5F950EAF1}"/>
    <cellStyle name="Komma 2 3 2 2 2 2" xfId="22342" xr:uid="{EB2BAD0E-B698-4F88-926B-CA12CFFA7EC5}"/>
    <cellStyle name="Komma 2 3 2 2 2 3" xfId="46434" xr:uid="{4EA71C86-2320-4D81-9A54-593285FC25F0}"/>
    <cellStyle name="Komma 2 3 2 2 2 4" xfId="51680" xr:uid="{C0AD9759-8CE0-4F26-BBDC-D024D8EFD4C6}"/>
    <cellStyle name="Komma 2 3 2 2 2 5" xfId="54696" xr:uid="{376060EB-D564-43D9-AFF2-2EFA317414E6}"/>
    <cellStyle name="Komma 2 3 2 2 3" xfId="15280" xr:uid="{6C06D7B5-E7B1-4F2D-9A40-55D075F5E11D}"/>
    <cellStyle name="Komma 2 3 2 2 3 2" xfId="22819" xr:uid="{528335A1-76AD-4BC8-9836-4A670C433D48}"/>
    <cellStyle name="Komma 2 3 2 2 3 3" xfId="48219" xr:uid="{EDD2A5E3-8D67-4A87-9DD0-C939A55C56B6}"/>
    <cellStyle name="Komma 2 3 2 2 3 4" xfId="52157" xr:uid="{953D1337-8FD8-450E-95ED-87C6E78C1DBB}"/>
    <cellStyle name="Komma 2 3 2 2 3 5" xfId="55173" xr:uid="{3CEA49AD-558F-415D-B0D8-385AE21E7098}"/>
    <cellStyle name="Komma 2 3 2 2 4" xfId="15767" xr:uid="{C8D9E99D-916B-4E00-A718-D949C9C4AA62}"/>
    <cellStyle name="Komma 2 3 2 2 4 2" xfId="23296" xr:uid="{4A54CB8D-C123-497D-A0D6-FB9DDC204AC4}"/>
    <cellStyle name="Komma 2 3 2 2 4 3" xfId="24160" xr:uid="{7E8ABF87-0C39-4C7E-B161-07704741F2C9}"/>
    <cellStyle name="Komma 2 3 2 2 4 4" xfId="52634" xr:uid="{13CB1BEB-E934-48EF-9EAA-115341DC363D}"/>
    <cellStyle name="Komma 2 3 2 2 4 5" xfId="55650" xr:uid="{215D7A1E-79CA-4422-818A-369B66D7FEE0}"/>
    <cellStyle name="Komma 2 3 2 2 5" xfId="12803" xr:uid="{0B640B8E-3C7A-47BF-BAA1-7C140A64D792}"/>
    <cellStyle name="Komma 2 3 2 2 5 2" xfId="46355" xr:uid="{77ECB97F-B412-4064-8430-4FC90E5E6521}"/>
    <cellStyle name="Komma 2 3 2 2 5 3" xfId="51203" xr:uid="{78CD0CD5-C32B-45A1-9158-8319B6920C09}"/>
    <cellStyle name="Komma 2 3 2 2 5 4" xfId="54219" xr:uid="{9DE9D51E-1A1E-4DD2-B71B-F1DF5E608C4B}"/>
    <cellStyle name="Komma 2 3 2 2 6" xfId="46096" xr:uid="{8559C7D1-3C4D-435B-93AC-C429E9F098EA}"/>
    <cellStyle name="Komma 2 3 2 2 7" xfId="50097" xr:uid="{AC16ACB6-0112-4A7B-9BD6-8B46A435D2C7}"/>
    <cellStyle name="Komma 2 3 2 2 8" xfId="53113" xr:uid="{20ABF62B-4BC7-4B02-B9D2-68A038211FE3}"/>
    <cellStyle name="Komma 2 3 2 3" xfId="14583" xr:uid="{7A91C5CF-B426-45A9-9129-8B62111DF6FC}"/>
    <cellStyle name="Komma 2 3 2 3 2" xfId="22130" xr:uid="{5B71BD22-2615-458B-9173-A8516B2A855C}"/>
    <cellStyle name="Komma 2 3 2 3 3" xfId="33661" xr:uid="{9A4B1FC1-E905-4400-BA9B-A94892555EF0}"/>
    <cellStyle name="Komma 2 3 2 3 4" xfId="51468" xr:uid="{00A763DF-89C4-4C86-998B-F00943BE49C5}"/>
    <cellStyle name="Komma 2 3 2 3 5" xfId="54484" xr:uid="{8758CEC2-4E88-4057-BE47-E46CB3A6B5EC}"/>
    <cellStyle name="Komma 2 3 2 4" xfId="15067" xr:uid="{C1486CDD-4195-4D80-A1AD-8A096025148A}"/>
    <cellStyle name="Komma 2 3 2 4 2" xfId="22607" xr:uid="{4C3A2B62-4BB4-4093-9BC9-2DFB8D4A9DDF}"/>
    <cellStyle name="Komma 2 3 2 4 3" xfId="47037" xr:uid="{DC21B1CD-889B-4E87-85A8-2D779BF1A5B6}"/>
    <cellStyle name="Komma 2 3 2 4 4" xfId="51945" xr:uid="{52FA124C-4AD2-42AC-97BF-466976F0E166}"/>
    <cellStyle name="Komma 2 3 2 4 5" xfId="54961" xr:uid="{BA92CB49-47D4-4CBF-A298-D408551D2B5E}"/>
    <cellStyle name="Komma 2 3 2 5" xfId="15554" xr:uid="{8390BCFA-2361-47F6-8A4D-53984003696A}"/>
    <cellStyle name="Komma 2 3 2 5 2" xfId="23084" xr:uid="{EEC06665-0CE9-4D62-92CF-DF503283EBA1}"/>
    <cellStyle name="Komma 2 3 2 5 3" xfId="47643" xr:uid="{A4716888-B421-4DD9-9CCF-0A5416816F70}"/>
    <cellStyle name="Komma 2 3 2 5 4" xfId="52422" xr:uid="{9B85C0E1-7981-4EC7-918C-1295DEB1C7F2}"/>
    <cellStyle name="Komma 2 3 2 5 5" xfId="55438" xr:uid="{63B7B0DF-5883-4BA4-A2F5-98134AD60A27}"/>
    <cellStyle name="Komma 2 3 2 6" xfId="12502" xr:uid="{4D87DB32-C9B0-42D6-AAD3-749F5B4092A2}"/>
    <cellStyle name="Komma 2 3 2 6 2" xfId="47465" xr:uid="{C716B1B2-91E2-4D88-9F4B-1D57DE0E6EAD}"/>
    <cellStyle name="Komma 2 3 2 6 3" xfId="50991" xr:uid="{BDA1D3ED-CD81-44FF-8F35-3F9436C332BD}"/>
    <cellStyle name="Komma 2 3 2 6 4" xfId="54007" xr:uid="{D99B4806-E01C-404D-99D1-2998A6D23F58}"/>
    <cellStyle name="Komma 2 3 2 7" xfId="23847" xr:uid="{1D63EBCC-D54C-41D6-BF4B-74AC7E44788D}"/>
    <cellStyle name="Komma 2 3 2 8" xfId="46034" xr:uid="{131E070F-72B8-4A6D-A593-2A57F58AC1DB}"/>
    <cellStyle name="Komma 2 3 2 9" xfId="48702" xr:uid="{813A957D-732F-4071-AA01-8570009CB21F}"/>
    <cellStyle name="Komma 2 3 3" xfId="10116" xr:uid="{BB908392-601A-42B4-B351-EAA6E5695D84}"/>
    <cellStyle name="Komma 2 3 3 10" xfId="52954" xr:uid="{FB3CDF17-E3D3-433D-BF62-DE482207B010}"/>
    <cellStyle name="Komma 2 3 3 2" xfId="10429" xr:uid="{CAFE75D6-0185-4685-A219-DB3DD40196D8}"/>
    <cellStyle name="Komma 2 3 3 2 2" xfId="14848" xr:uid="{7022C871-2CE5-47DC-91E7-62E1D12D83D8}"/>
    <cellStyle name="Komma 2 3 3 2 2 2" xfId="22395" xr:uid="{F7C813D8-C7EC-4354-9A9F-550BE9F71A66}"/>
    <cellStyle name="Komma 2 3 3 2 2 3" xfId="36980" xr:uid="{0B539B61-48D8-4708-A041-7A85EA42D7E3}"/>
    <cellStyle name="Komma 2 3 3 2 2 4" xfId="51733" xr:uid="{78735937-54E2-42E3-962B-B85A86D39DA8}"/>
    <cellStyle name="Komma 2 3 3 2 2 5" xfId="54749" xr:uid="{8EEEBC1A-0A41-47D1-BB40-ED9A4806BC0D}"/>
    <cellStyle name="Komma 2 3 3 2 3" xfId="15333" xr:uid="{85B2885E-C7FB-4C1E-A0A7-C8A4403AC94F}"/>
    <cellStyle name="Komma 2 3 3 2 3 2" xfId="22872" xr:uid="{5784984E-C04D-4EB1-933D-5F082004C09E}"/>
    <cellStyle name="Komma 2 3 3 2 3 3" xfId="24906" xr:uid="{6449D178-B2A2-4371-9E83-85D95D9E193B}"/>
    <cellStyle name="Komma 2 3 3 2 3 4" xfId="52210" xr:uid="{07440869-D69A-4AC2-9212-2A1B0F959687}"/>
    <cellStyle name="Komma 2 3 3 2 3 5" xfId="55226" xr:uid="{362BE9C1-4DB2-4734-A9E8-735FD990256A}"/>
    <cellStyle name="Komma 2 3 3 2 4" xfId="15820" xr:uid="{382C8A8E-AA10-47A6-87C0-D0A46AD18AB9}"/>
    <cellStyle name="Komma 2 3 3 2 4 2" xfId="23349" xr:uid="{BA232501-F247-4BD0-BBBC-E204A9B10A90}"/>
    <cellStyle name="Komma 2 3 3 2 4 3" xfId="46970" xr:uid="{D40A694D-3BBA-413C-A31C-79CCCCA747BC}"/>
    <cellStyle name="Komma 2 3 3 2 4 4" xfId="52687" xr:uid="{3E4995FF-F0A8-46FB-AA17-C5FB9A59DB50}"/>
    <cellStyle name="Komma 2 3 3 2 4 5" xfId="55703" xr:uid="{6B71775A-C9BE-427D-B096-55B6449F8681}"/>
    <cellStyle name="Komma 2 3 3 2 5" xfId="12882" xr:uid="{F21C873D-FA08-41A9-8155-3299A032522B}"/>
    <cellStyle name="Komma 2 3 3 2 5 2" xfId="47922" xr:uid="{E999B07C-4C55-423E-9675-5D6EAC5A3A8A}"/>
    <cellStyle name="Komma 2 3 3 2 5 3" xfId="51256" xr:uid="{D0B25609-B662-4405-9F06-C9EE00CF649B}"/>
    <cellStyle name="Komma 2 3 3 2 5 4" xfId="54272" xr:uid="{19C2FA27-8EDC-416A-B38B-8D4A7F0FEA12}"/>
    <cellStyle name="Komma 2 3 3 2 6" xfId="38075" xr:uid="{4B601643-2372-4AC6-B7D2-5DFE30337826}"/>
    <cellStyle name="Komma 2 3 3 2 7" xfId="48138" xr:uid="{F48C9EA8-8446-4607-A8F1-9367E6CAEC50}"/>
    <cellStyle name="Komma 2 3 3 2 8" xfId="50150" xr:uid="{E21561DE-8D0F-4DD8-8308-444C6B74DBE9}"/>
    <cellStyle name="Komma 2 3 3 2 9" xfId="53166" xr:uid="{3254F9FB-5387-4CF7-80F6-910E685B174E}"/>
    <cellStyle name="Komma 2 3 3 3" xfId="14636" xr:uid="{99D78595-0EDB-4684-A726-4FCD91AA0CE4}"/>
    <cellStyle name="Komma 2 3 3 3 2" xfId="22183" xr:uid="{0B9FA9EC-DF90-47E0-8FC8-85B9725C883D}"/>
    <cellStyle name="Komma 2 3 3 3 3" xfId="43377" xr:uid="{F885387C-AE53-4220-990D-A12A0DE286D2}"/>
    <cellStyle name="Komma 2 3 3 3 4" xfId="24531" xr:uid="{1727D2A3-1B34-4826-87BE-9E80C7D7EA8B}"/>
    <cellStyle name="Komma 2 3 3 3 5" xfId="51521" xr:uid="{A51330C1-D15D-4DAB-BD3D-CCFE6B9062C3}"/>
    <cellStyle name="Komma 2 3 3 3 6" xfId="54537" xr:uid="{E564B7C7-3E7D-4CC6-856A-71B6A65C3565}"/>
    <cellStyle name="Komma 2 3 3 4" xfId="15121" xr:uid="{758EDEFC-4B58-4250-BC44-7C43CFFF73D7}"/>
    <cellStyle name="Komma 2 3 3 4 2" xfId="22660" xr:uid="{E3C455CB-D5FC-4668-BFFD-7CDC9C39C5AF}"/>
    <cellStyle name="Komma 2 3 3 4 3" xfId="46485" xr:uid="{A9517D74-A2CA-460C-A90C-58B9EF776C5E}"/>
    <cellStyle name="Komma 2 3 3 4 4" xfId="51998" xr:uid="{91D4DE1D-BA9D-4E86-AB3D-1D6BFA325D13}"/>
    <cellStyle name="Komma 2 3 3 4 5" xfId="55014" xr:uid="{F5F0E4C6-66F0-459B-9ED9-4E6F31E0D244}"/>
    <cellStyle name="Komma 2 3 3 5" xfId="15608" xr:uid="{8880248C-B764-4ACB-8CA7-5BDECD88884D}"/>
    <cellStyle name="Komma 2 3 3 5 2" xfId="23137" xr:uid="{6AE7B11D-612C-4660-B198-3D3555F58C9C}"/>
    <cellStyle name="Komma 2 3 3 5 3" xfId="36260" xr:uid="{815173FF-4C17-4464-BA41-B8840C7F9DD0}"/>
    <cellStyle name="Komma 2 3 3 5 4" xfId="52475" xr:uid="{14EF6F44-B29B-4908-AF0B-2E1E6859F5D9}"/>
    <cellStyle name="Komma 2 3 3 5 5" xfId="55491" xr:uid="{B929F4EE-E174-4878-A6D4-C55EACB55CB9}"/>
    <cellStyle name="Komma 2 3 3 6" xfId="12573" xr:uid="{58A4BBEC-9ECB-4D28-A102-CCCC68D0139D}"/>
    <cellStyle name="Komma 2 3 3 6 2" xfId="25331" xr:uid="{30D0426B-B9C6-4D4F-B66A-7ED1B351E404}"/>
    <cellStyle name="Komma 2 3 3 6 3" xfId="51044" xr:uid="{5A7D0B0A-9AB7-46D9-B0DE-FF8E61EFA719}"/>
    <cellStyle name="Komma 2 3 3 6 4" xfId="54060" xr:uid="{15FA7D0B-A5DA-42DE-9BF6-9377FD14E0CB}"/>
    <cellStyle name="Komma 2 3 3 7" xfId="32722" xr:uid="{9063C3BA-84BD-4401-897B-1A6F1917F84A}"/>
    <cellStyle name="Komma 2 3 3 8" xfId="48375" xr:uid="{C1153A9F-A61D-401F-8B93-A5118BE3B73F}"/>
    <cellStyle name="Komma 2 3 3 9" xfId="49938" xr:uid="{D2F4B1F3-28E8-478E-AA2C-4D34C69A075E}"/>
    <cellStyle name="Komma 2 3 4" xfId="10195" xr:uid="{042A62EB-846E-49AA-BEAD-9943E8357FC0}"/>
    <cellStyle name="Komma 2 3 4 10" xfId="53007" xr:uid="{9E0967AA-75B1-490F-B56B-311494C8EDE2}"/>
    <cellStyle name="Komma 2 3 4 2" xfId="10509" xr:uid="{88F697EE-01B8-42E1-9AC9-8AF8B0C620B0}"/>
    <cellStyle name="Komma 2 3 4 2 2" xfId="14901" xr:uid="{DFC61971-D9DD-420A-A20D-FE7E2CC5B62D}"/>
    <cellStyle name="Komma 2 3 4 2 2 2" xfId="22448" xr:uid="{07EB5517-9B35-4A68-A321-65FE32283B2E}"/>
    <cellStyle name="Komma 2 3 4 2 2 3" xfId="48355" xr:uid="{D5907C83-B701-4F8A-B898-5D40E82C6E83}"/>
    <cellStyle name="Komma 2 3 4 2 2 4" xfId="51786" xr:uid="{407D2140-C8BD-4BF0-82E5-1E24B1388A47}"/>
    <cellStyle name="Komma 2 3 4 2 2 5" xfId="54802" xr:uid="{CD7C37CE-2A03-4A5F-985C-EDBB27A7E9A7}"/>
    <cellStyle name="Komma 2 3 4 2 3" xfId="15386" xr:uid="{93652026-8840-4923-9DFD-36C66718019E}"/>
    <cellStyle name="Komma 2 3 4 2 3 2" xfId="22925" xr:uid="{75271AAA-5E4E-4456-B2E1-F7DEDA38085D}"/>
    <cellStyle name="Komma 2 3 4 2 3 3" xfId="46524" xr:uid="{30B59BE1-F8AF-42EE-91FE-F040978988B7}"/>
    <cellStyle name="Komma 2 3 4 2 3 4" xfId="52263" xr:uid="{A04B96DA-77E3-4CC5-A249-A6965D0AB5AB}"/>
    <cellStyle name="Komma 2 3 4 2 3 5" xfId="55279" xr:uid="{2CA4B1E5-02CB-4679-842C-F3CE792B2D85}"/>
    <cellStyle name="Komma 2 3 4 2 4" xfId="15873" xr:uid="{F5BAE75D-1A1C-4CB1-8694-F963593207CE}"/>
    <cellStyle name="Komma 2 3 4 2 4 2" xfId="23402" xr:uid="{6ECBF6E9-9BE4-49A2-871A-77870618BE2D}"/>
    <cellStyle name="Komma 2 3 4 2 4 3" xfId="34466" xr:uid="{52A50EA1-ED97-4145-ABE7-FC8BA79AB69C}"/>
    <cellStyle name="Komma 2 3 4 2 4 4" xfId="52740" xr:uid="{E24C8B78-69D6-4860-A7C7-D023478E3CBD}"/>
    <cellStyle name="Komma 2 3 4 2 4 5" xfId="55756" xr:uid="{5DA77F89-2992-40F1-8ED3-D9B0A56B0C13}"/>
    <cellStyle name="Komma 2 3 4 2 5" xfId="12962" xr:uid="{95E2050A-1232-4B4F-A24E-C6BFB3DE4903}"/>
    <cellStyle name="Komma 2 3 4 2 5 2" xfId="46673" xr:uid="{26FD9211-B57B-4A4F-A372-861BFA1F8AAE}"/>
    <cellStyle name="Komma 2 3 4 2 5 3" xfId="51309" xr:uid="{05FF9A5A-E68C-4753-80A2-5D59145807F5}"/>
    <cellStyle name="Komma 2 3 4 2 5 4" xfId="54325" xr:uid="{59EEC905-736F-4B31-8641-FBD954055493}"/>
    <cellStyle name="Komma 2 3 4 2 6" xfId="24260" xr:uid="{4344C6CB-85A0-4CD2-8607-708841160970}"/>
    <cellStyle name="Komma 2 3 4 2 7" xfId="50203" xr:uid="{A3885C00-5F45-4673-9E75-3E1E67F1FCC4}"/>
    <cellStyle name="Komma 2 3 4 2 8" xfId="53219" xr:uid="{BB84AE07-41DE-4CD7-BBB7-239FEC0F6D2E}"/>
    <cellStyle name="Komma 2 3 4 3" xfId="14689" xr:uid="{5E5EB796-9B67-40FB-99DD-363C330280E6}"/>
    <cellStyle name="Komma 2 3 4 3 2" xfId="22236" xr:uid="{6A57A22E-88BA-4ACB-AB0B-88043820EEA9}"/>
    <cellStyle name="Komma 2 3 4 3 3" xfId="48502" xr:uid="{6F068638-85CE-463B-A284-58604E09695C}"/>
    <cellStyle name="Komma 2 3 4 3 4" xfId="51574" xr:uid="{C93DE7C7-4652-4B5E-AE4F-70A2A3325702}"/>
    <cellStyle name="Komma 2 3 4 3 5" xfId="54590" xr:uid="{3F7133E6-842A-44F1-B4C3-CBB057B652DE}"/>
    <cellStyle name="Komma 2 3 4 4" xfId="15174" xr:uid="{DC5BA5A2-2A75-489B-8DC0-50B3E92D06A0}"/>
    <cellStyle name="Komma 2 3 4 4 2" xfId="22713" xr:uid="{15199F93-A33C-4134-A093-506275E7FE80}"/>
    <cellStyle name="Komma 2 3 4 4 3" xfId="46889" xr:uid="{DBCADE43-6DE8-4FD1-91B8-78DCED728FC0}"/>
    <cellStyle name="Komma 2 3 4 4 4" xfId="52051" xr:uid="{CA3440A6-C442-4E36-AD68-8C058741D40F}"/>
    <cellStyle name="Komma 2 3 4 4 5" xfId="55067" xr:uid="{F3373482-2199-4CEA-A8E9-37216C41845A}"/>
    <cellStyle name="Komma 2 3 4 5" xfId="15661" xr:uid="{4D188056-6C30-4A54-BB09-44C722BCC45C}"/>
    <cellStyle name="Komma 2 3 4 5 2" xfId="23190" xr:uid="{CCC47464-EFC6-46C7-B99D-140437FDECDB}"/>
    <cellStyle name="Komma 2 3 4 5 3" xfId="47136" xr:uid="{585D250A-37D5-4CC4-8935-E90961CB2F56}"/>
    <cellStyle name="Komma 2 3 4 5 4" xfId="52528" xr:uid="{B93FC8A2-FB6E-4932-97E7-D26457FA7EA4}"/>
    <cellStyle name="Komma 2 3 4 5 5" xfId="55544" xr:uid="{95E715D9-F635-4E71-84E6-ACA5CC3C1908}"/>
    <cellStyle name="Komma 2 3 4 6" xfId="12649" xr:uid="{56D0A798-1899-4ED3-BB5C-6B54A91D5F6D}"/>
    <cellStyle name="Komma 2 3 4 6 2" xfId="46780" xr:uid="{452B5F3E-3CEA-4EA1-8B17-EF4548D24F55}"/>
    <cellStyle name="Komma 2 3 4 6 3" xfId="51097" xr:uid="{CE81AC21-8615-4EBD-8185-F23943105068}"/>
    <cellStyle name="Komma 2 3 4 6 4" xfId="54113" xr:uid="{69F33748-4697-4810-951D-2B6B6897C657}"/>
    <cellStyle name="Komma 2 3 4 7" xfId="35610" xr:uid="{5B6956D9-002E-4C08-A68C-EC67A250DB99}"/>
    <cellStyle name="Komma 2 3 4 8" xfId="47797" xr:uid="{F51E6FBE-CC4A-4632-8225-D07CB08EB947}"/>
    <cellStyle name="Komma 2 3 4 9" xfId="49991" xr:uid="{D94F602E-B1D5-421E-99C8-17710D6FA48E}"/>
    <cellStyle name="Komma 2 3 5" xfId="10275" xr:uid="{4BC599D3-DA8B-4A3F-9C68-C81442793E70}"/>
    <cellStyle name="Komma 2 3 5 2" xfId="14742" xr:uid="{53AB23D5-4225-40A0-A05C-24A5C9CA933A}"/>
    <cellStyle name="Komma 2 3 5 2 2" xfId="22289" xr:uid="{91C6713D-48ED-41A7-82C9-FCABFF75EEE4}"/>
    <cellStyle name="Komma 2 3 5 2 3" xfId="24953" xr:uid="{060FB549-4503-4E04-9004-5CF3F02DFDD7}"/>
    <cellStyle name="Komma 2 3 5 2 4" xfId="51627" xr:uid="{A54614A8-BBA1-4EC0-8C26-64E68BD8D5CF}"/>
    <cellStyle name="Komma 2 3 5 2 5" xfId="54643" xr:uid="{6CB1B16F-2666-4B21-996D-06798A79CBD9}"/>
    <cellStyle name="Komma 2 3 5 3" xfId="15227" xr:uid="{CDB5E46A-5766-4D5E-84E7-6F88C07BDDC9}"/>
    <cellStyle name="Komma 2 3 5 3 2" xfId="22766" xr:uid="{0D8688C1-45FD-4AD9-AA74-E0E7AC0F6DD2}"/>
    <cellStyle name="Komma 2 3 5 3 3" xfId="47673" xr:uid="{A90FE955-F200-473A-9179-6DADB3A99AFC}"/>
    <cellStyle name="Komma 2 3 5 3 4" xfId="52104" xr:uid="{F0115641-6C75-4F06-B109-1DE7ED53F084}"/>
    <cellStyle name="Komma 2 3 5 3 5" xfId="55120" xr:uid="{50036D49-993D-4B54-8B83-DE04E5A0478B}"/>
    <cellStyle name="Komma 2 3 5 4" xfId="15714" xr:uid="{E3EF93BF-AF6E-4ABB-880B-0E7B2A1B7C2E}"/>
    <cellStyle name="Komma 2 3 5 4 2" xfId="23243" xr:uid="{F95BC4BE-6792-48B2-B9C2-CAA3450E0E23}"/>
    <cellStyle name="Komma 2 3 5 4 3" xfId="24895" xr:uid="{F1F5C97A-B354-4E50-8F66-E3E32DC7A444}"/>
    <cellStyle name="Komma 2 3 5 4 4" xfId="52581" xr:uid="{CB56C7C9-F560-4669-B713-A668C946A75D}"/>
    <cellStyle name="Komma 2 3 5 4 5" xfId="55597" xr:uid="{667DABBF-868A-424E-A5A5-55E97B95FBAC}"/>
    <cellStyle name="Komma 2 3 5 5" xfId="12728" xr:uid="{69E44821-C11F-4AA2-839B-F87DB5F91EE6}"/>
    <cellStyle name="Komma 2 3 5 5 2" xfId="47321" xr:uid="{C27ED208-F9A8-4341-9397-293006B1A08F}"/>
    <cellStyle name="Komma 2 3 5 5 3" xfId="51150" xr:uid="{D9A45CDC-80B8-4BC9-B0D1-8686C04A1E9E}"/>
    <cellStyle name="Komma 2 3 5 5 4" xfId="54166" xr:uid="{44BD42BB-F494-4477-A774-6574F4D0D6C2}"/>
    <cellStyle name="Komma 2 3 5 6" xfId="40726" xr:uid="{A9ACE18A-B7BA-4332-BD55-9F3ED7D0A636}"/>
    <cellStyle name="Komma 2 3 5 7" xfId="47580" xr:uid="{E149E4C7-4E20-4863-B6EC-5B4A8C05B98B}"/>
    <cellStyle name="Komma 2 3 5 8" xfId="50044" xr:uid="{8E44DB81-79CF-4DB9-9212-87AFB6015BAB}"/>
    <cellStyle name="Komma 2 3 5 9" xfId="53060" xr:uid="{EB0E21B8-0FB9-4217-B343-815E6C23396A}"/>
    <cellStyle name="Komma 2 3 6" xfId="10589" xr:uid="{2EFFD187-8A12-43A0-9C31-711D9B5F5253}"/>
    <cellStyle name="Komma 2 3 6 2" xfId="14954" xr:uid="{528260F5-9F73-499C-B386-8E40626B349F}"/>
    <cellStyle name="Komma 2 3 6 2 2" xfId="22501" xr:uid="{A702F3F0-ED70-4E2D-A9AC-9A9E81139B4C}"/>
    <cellStyle name="Komma 2 3 6 2 3" xfId="47244" xr:uid="{E26175CB-716F-454A-9493-1373BA55D470}"/>
    <cellStyle name="Komma 2 3 6 2 4" xfId="51839" xr:uid="{C4A480EE-8BC4-42F7-B641-171B194BED44}"/>
    <cellStyle name="Komma 2 3 6 2 5" xfId="54855" xr:uid="{30FC2460-F256-42B8-B34C-604D71839E40}"/>
    <cellStyle name="Komma 2 3 6 3" xfId="15439" xr:uid="{A4560CEE-6496-45A3-AFDF-704FD14D45E5}"/>
    <cellStyle name="Komma 2 3 6 3 2" xfId="22978" xr:uid="{CB12B53E-D306-4123-9895-032DC26BE751}"/>
    <cellStyle name="Komma 2 3 6 3 3" xfId="46535" xr:uid="{0805FB4B-96EA-492A-B591-E45DEFB7D555}"/>
    <cellStyle name="Komma 2 3 6 3 4" xfId="52316" xr:uid="{DF9C80C9-48BC-4EBC-8C9A-94D6B81D3C70}"/>
    <cellStyle name="Komma 2 3 6 3 5" xfId="55332" xr:uid="{EAEF4EE6-8E45-4A43-A310-FBDE3E29EEB2}"/>
    <cellStyle name="Komma 2 3 6 4" xfId="15927" xr:uid="{0A39709D-719A-4BF3-9A4D-AF8B50301C0A}"/>
    <cellStyle name="Komma 2 3 6 4 2" xfId="23455" xr:uid="{98CBB567-4B3C-4D38-A078-5F78FA763088}"/>
    <cellStyle name="Komma 2 3 6 4 3" xfId="47714" xr:uid="{08E3474D-1E12-472E-B34B-D6D3D76C3A96}"/>
    <cellStyle name="Komma 2 3 6 4 4" xfId="52793" xr:uid="{ECAA7591-4A27-4E3D-A722-65C87A19B31C}"/>
    <cellStyle name="Komma 2 3 6 4 5" xfId="55809" xr:uid="{1496B708-8980-4823-8441-6B278D0197C2}"/>
    <cellStyle name="Komma 2 3 6 5" xfId="13042" xr:uid="{203F2E71-9D84-4584-9154-AC6FEAF37E80}"/>
    <cellStyle name="Komma 2 3 6 5 2" xfId="48111" xr:uid="{792011D6-6B13-4CAA-AFAC-E66BFD2FAD04}"/>
    <cellStyle name="Komma 2 3 6 5 3" xfId="51362" xr:uid="{E1661167-7CE8-42D8-B59C-A2716EBA47D3}"/>
    <cellStyle name="Komma 2 3 6 5 4" xfId="54378" xr:uid="{D745172D-862B-4824-9D06-FC01EBC7F20F}"/>
    <cellStyle name="Komma 2 3 6 6" xfId="47068" xr:uid="{399AACA4-D4A3-4991-9644-300DF926A0E1}"/>
    <cellStyle name="Komma 2 3 6 7" xfId="50256" xr:uid="{A6056099-3F81-4082-BB53-DE57021A394E}"/>
    <cellStyle name="Komma 2 3 6 8" xfId="53272" xr:uid="{91F2DE21-E2FE-4247-9EDE-5A80BCCEB6CB}"/>
    <cellStyle name="Komma 2 3 7" xfId="14530" xr:uid="{6C1C4F4D-8AAF-4611-9DB4-E3B73B620947}"/>
    <cellStyle name="Komma 2 3 7 2" xfId="22077" xr:uid="{6B7D59E2-4FD9-4C4E-8F5F-73666B136CF3}"/>
    <cellStyle name="Komma 2 3 7 3" xfId="32532" xr:uid="{28BACC8D-62D1-4420-9E2D-BA83559CFEDB}"/>
    <cellStyle name="Komma 2 3 7 4" xfId="51415" xr:uid="{ECEBD9EB-BDED-4601-8661-437E8B4B3D2A}"/>
    <cellStyle name="Komma 2 3 7 5" xfId="54431" xr:uid="{63899E44-5DCC-4719-BD0F-5094E075C7C3}"/>
    <cellStyle name="Komma 2 3 8" xfId="15014" xr:uid="{84EE7916-8DF3-4F2C-8E14-12DB0D775A74}"/>
    <cellStyle name="Komma 2 3 8 2" xfId="22554" xr:uid="{6647DF25-AA1C-4E0F-A1A1-9927C67E66DB}"/>
    <cellStyle name="Komma 2 3 8 3" xfId="46467" xr:uid="{9EB4DEB7-F29B-4076-8639-C80BD9F5B621}"/>
    <cellStyle name="Komma 2 3 8 4" xfId="51892" xr:uid="{80B70CBB-EDF4-4978-92B6-0D71EFE01C1B}"/>
    <cellStyle name="Komma 2 3 8 5" xfId="54908" xr:uid="{4C38AE7E-AF2B-4FB1-9126-D162D9BC334E}"/>
    <cellStyle name="Komma 2 3 9" xfId="15501" xr:uid="{754A43DA-6C06-40A2-A7BD-E3DA02FA2128}"/>
    <cellStyle name="Komma 2 3 9 2" xfId="23031" xr:uid="{CC3F032D-4C8E-48D3-B7C3-C3828D1FB350}"/>
    <cellStyle name="Komma 2 3 9 3" xfId="47973" xr:uid="{2BC0306F-CE0E-4CC3-87C8-D748C636A9B5}"/>
    <cellStyle name="Komma 2 3 9 4" xfId="52369" xr:uid="{9A646B6E-4FA8-43FF-81EB-BC8465814D1B}"/>
    <cellStyle name="Komma 2 3 9 5" xfId="55385" xr:uid="{C88121B7-9E0F-4E74-B169-1A17A2B729ED}"/>
    <cellStyle name="Komma 2 4" xfId="9874" xr:uid="{16E29590-B254-4B38-B695-EB5E226AF9E2}"/>
    <cellStyle name="Komma 2 4 10" xfId="49845" xr:uid="{B457BB06-AB4B-40FC-9457-4180FB384D9C}"/>
    <cellStyle name="Komma 2 4 11" xfId="52861" xr:uid="{AFEE2F42-648F-496E-8D2A-DAF20C881BE1}"/>
    <cellStyle name="Komma 2 4 12" xfId="18301" xr:uid="{755C740D-E023-49DC-A86E-5D3FDC9133AF}"/>
    <cellStyle name="Komma 2 4 2" xfId="10297" xr:uid="{70444F9F-04F5-4741-8C83-CB00D75DDE5B}"/>
    <cellStyle name="Komma 2 4 2 10" xfId="53073" xr:uid="{C8B68809-9572-4551-A2BB-0EDE91DDECFD}"/>
    <cellStyle name="Komma 2 4 2 2" xfId="14755" xr:uid="{EC1124BD-1B7C-4BB0-AB24-EF2379ED3A55}"/>
    <cellStyle name="Komma 2 4 2 2 2" xfId="22302" xr:uid="{08553D0E-1C3B-4569-8286-7F1D649573FE}"/>
    <cellStyle name="Komma 2 4 2 2 3" xfId="47240" xr:uid="{545586DD-0519-4452-8D05-C26D68B2E94D}"/>
    <cellStyle name="Komma 2 4 2 2 4" xfId="51640" xr:uid="{8A280D96-4006-4DCC-9FCC-375AB893E2C2}"/>
    <cellStyle name="Komma 2 4 2 2 5" xfId="54656" xr:uid="{7D7CB17A-D272-4C56-B80B-2693B22FEE29}"/>
    <cellStyle name="Komma 2 4 2 3" xfId="15240" xr:uid="{040E6768-8CC3-4373-B5F7-0563AFCD2E41}"/>
    <cellStyle name="Komma 2 4 2 3 2" xfId="22779" xr:uid="{D5FF28C5-6881-44AC-A1CC-60EB925C0857}"/>
    <cellStyle name="Komma 2 4 2 3 3" xfId="47993" xr:uid="{E11E40AA-4359-45F6-8698-AEBA50689989}"/>
    <cellStyle name="Komma 2 4 2 3 4" xfId="52117" xr:uid="{B78075EB-F5AB-4AA9-B0F2-1AB8929F1E83}"/>
    <cellStyle name="Komma 2 4 2 3 5" xfId="55133" xr:uid="{213824A6-1F8A-41DA-B0DC-87E30B178444}"/>
    <cellStyle name="Komma 2 4 2 4" xfId="15727" xr:uid="{1DADD38A-FB43-4D7F-A0B9-3F6C991CC7CE}"/>
    <cellStyle name="Komma 2 4 2 4 2" xfId="23256" xr:uid="{C3653F4E-E149-4D8B-B779-1771C90539FD}"/>
    <cellStyle name="Komma 2 4 2 4 3" xfId="47552" xr:uid="{E8D9E189-EEBA-44CC-8DD4-D86507EBAEDE}"/>
    <cellStyle name="Komma 2 4 2 4 4" xfId="52594" xr:uid="{950F52FF-1045-4338-BCFE-77F9DFB97203}"/>
    <cellStyle name="Komma 2 4 2 4 5" xfId="55610" xr:uid="{5F874E90-75CF-4F59-B0BF-C1899B0DDD1D}"/>
    <cellStyle name="Komma 2 4 2 5" xfId="12750" xr:uid="{616D5FEA-8B04-4F1F-AACD-232FA0DAB60B}"/>
    <cellStyle name="Komma 2 4 2 5 2" xfId="48560" xr:uid="{C913823A-06F8-4208-8B7E-952B839BE16B}"/>
    <cellStyle name="Komma 2 4 2 5 3" xfId="51163" xr:uid="{C341B703-EACF-4DC1-ADF9-2C958A19BB5D}"/>
    <cellStyle name="Komma 2 4 2 5 4" xfId="54179" xr:uid="{DED321B1-B17E-4576-93D6-75ADD77CA493}"/>
    <cellStyle name="Komma 2 4 2 6" xfId="23849" xr:uid="{B4C8C6D2-0197-446B-8A26-98CBA1531EB6}"/>
    <cellStyle name="Komma 2 4 2 7" xfId="48704" xr:uid="{36CAA009-6D5E-4DE0-976B-E8DA97ED7BFB}"/>
    <cellStyle name="Komma 2 4 2 8" xfId="49612" xr:uid="{4A49E392-62DD-44ED-8A1B-FC51C0898C79}"/>
    <cellStyle name="Komma 2 4 2 9" xfId="50057" xr:uid="{44BC4F97-DB4A-40E4-8321-0BD079F6F53A}"/>
    <cellStyle name="Komma 2 4 3" xfId="12453" xr:uid="{E9BD2A03-0AD2-40BF-ADC1-DDA2EB60C800}"/>
    <cellStyle name="Komma 2 4 3 2" xfId="21910" xr:uid="{15BBE580-3853-4E2F-8AE3-AA1DA1F1F4BE}"/>
    <cellStyle name="Komma 2 4 3 3" xfId="23850" xr:uid="{A0C39524-AD44-49EC-A73F-00FB97A8A354}"/>
    <cellStyle name="Komma 2 4 3 4" xfId="48705" xr:uid="{334B3C65-4B55-4010-BE48-4AF93E9640FF}"/>
    <cellStyle name="Komma 2 4 3 5" xfId="49613" xr:uid="{9203D480-F47A-4572-834A-89B69FD2B8C9}"/>
    <cellStyle name="Komma 2 4 3 6" xfId="50951" xr:uid="{24D1AF7A-D458-4A0A-B24E-D459DABE3CCC}"/>
    <cellStyle name="Komma 2 4 3 7" xfId="53967" xr:uid="{1A1CBE8E-5CE9-4624-9F97-DE4B97EFCC8E}"/>
    <cellStyle name="Komma 2 4 4" xfId="14543" xr:uid="{69D79854-261A-4AF7-8FD5-97430956B3B9}"/>
    <cellStyle name="Komma 2 4 4 2" xfId="22090" xr:uid="{C5F8416E-F429-42F1-8192-9198786C4B28}"/>
    <cellStyle name="Komma 2 4 4 3" xfId="46832" xr:uid="{B4E8F12B-83D2-4A30-B955-84AA6CC1CDE5}"/>
    <cellStyle name="Komma 2 4 4 4" xfId="51428" xr:uid="{08C901A6-A10C-4A47-A325-AAC6D5660C3D}"/>
    <cellStyle name="Komma 2 4 4 5" xfId="54444" xr:uid="{387C950D-F82A-45A7-91B8-A53E0BEFF4F7}"/>
    <cellStyle name="Komma 2 4 5" xfId="15027" xr:uid="{916E2002-A882-4794-8647-5E79DFFCE339}"/>
    <cellStyle name="Komma 2 4 5 2" xfId="22567" xr:uid="{3AEEFBB2-D03F-4D55-85BD-9D34E8D9594C}"/>
    <cellStyle name="Komma 2 4 5 3" xfId="46469" xr:uid="{95325C1F-8E84-490E-A940-B519975B0E92}"/>
    <cellStyle name="Komma 2 4 5 4" xfId="51905" xr:uid="{1290473A-D302-43C5-B810-1E13BC864BE9}"/>
    <cellStyle name="Komma 2 4 5 5" xfId="54921" xr:uid="{54F847D8-4017-467A-B6E2-956B6B47C986}"/>
    <cellStyle name="Komma 2 4 6" xfId="15514" xr:uid="{E07D220F-17A2-4312-BA14-9C2047F54A46}"/>
    <cellStyle name="Komma 2 4 6 2" xfId="23044" xr:uid="{CC398384-F62E-40C7-BF38-434B281FCE6C}"/>
    <cellStyle name="Komma 2 4 6 3" xfId="47251" xr:uid="{A1FD7A52-C0F1-44A6-BF4D-A5F5F14D67F3}"/>
    <cellStyle name="Komma 2 4 6 4" xfId="52382" xr:uid="{ECE531C3-EA0C-4EFA-92DA-4CA1DB9EB181}"/>
    <cellStyle name="Komma 2 4 6 5" xfId="55398" xr:uid="{481E4BEA-E098-4A70-AE48-7159BF00E684}"/>
    <cellStyle name="Komma 2 4 7" xfId="11712" xr:uid="{49BE37FA-CA9D-4C97-94AF-C1D1380882A4}"/>
    <cellStyle name="Komma 2 4 7 2" xfId="47461" xr:uid="{DC0D5712-28FE-4BE8-B27D-7BE1EB09BD23}"/>
    <cellStyle name="Komma 2 4 7 3" xfId="23848" xr:uid="{FA836193-7F0C-4A06-B48E-82E7573E1E72}"/>
    <cellStyle name="Komma 2 4 8" xfId="48703" xr:uid="{45335373-2FBE-4DFD-9E18-719CDF7350D5}"/>
    <cellStyle name="Komma 2 4 9" xfId="49611" xr:uid="{A8E18B87-6F8B-4532-BAFE-95A965EC4385}"/>
    <cellStyle name="Komma 2 5" xfId="10063" xr:uid="{5863C6F3-7402-455D-8CD9-11FC20D03B2F}"/>
    <cellStyle name="Komma 2 5 10" xfId="49614" xr:uid="{D3749A7D-BA27-42C3-B6F9-39CA9634CC0E}"/>
    <cellStyle name="Komma 2 5 11" xfId="49898" xr:uid="{BBD9FF5E-D50F-4850-8E64-32CC5E209876}"/>
    <cellStyle name="Komma 2 5 12" xfId="52914" xr:uid="{6E879AA6-382B-4826-8D54-E0FC0463E029}"/>
    <cellStyle name="Komma 2 5 13" xfId="18043" xr:uid="{9E68684F-78E1-400E-A87E-01A66B6726C2}"/>
    <cellStyle name="Komma 2 5 2" xfId="10372" xr:uid="{7BEC3F93-32D3-4B42-BBC3-7C4603885E4C}"/>
    <cellStyle name="Komma 2 5 2 2" xfId="14808" xr:uid="{768AC5C9-15D0-4FA1-B048-695F5A2B9B71}"/>
    <cellStyle name="Komma 2 5 2 2 2" xfId="22355" xr:uid="{C1F654D7-743B-4EFB-AE52-696122739983}"/>
    <cellStyle name="Komma 2 5 2 2 3" xfId="34037" xr:uid="{F900348B-C470-442B-A214-9E754181E98A}"/>
    <cellStyle name="Komma 2 5 2 2 4" xfId="51693" xr:uid="{678928AD-43DB-4BC5-AFE3-88340448B2E0}"/>
    <cellStyle name="Komma 2 5 2 2 5" xfId="54709" xr:uid="{9EF2397B-D6F7-4A4D-86A1-C11A932FE3A4}"/>
    <cellStyle name="Komma 2 5 2 3" xfId="15293" xr:uid="{EC3829F6-7F6D-4667-850E-B42D6ED8E9C8}"/>
    <cellStyle name="Komma 2 5 2 3 2" xfId="22832" xr:uid="{73D9DDC2-7D6B-4719-94E3-1BDE045B9A3D}"/>
    <cellStyle name="Komma 2 5 2 3 3" xfId="47783" xr:uid="{AE75F716-22F0-4A05-99FE-83181821BC0C}"/>
    <cellStyle name="Komma 2 5 2 3 4" xfId="52170" xr:uid="{F0C59905-00AC-47AC-B0F1-2FBA6D029121}"/>
    <cellStyle name="Komma 2 5 2 3 5" xfId="55186" xr:uid="{49E41C78-625B-45B9-ABBF-44A52A5C2A9A}"/>
    <cellStyle name="Komma 2 5 2 4" xfId="15780" xr:uid="{B95EC1B8-9512-462B-AD29-A25A9E4F86BD}"/>
    <cellStyle name="Komma 2 5 2 4 2" xfId="23309" xr:uid="{7E04114A-FF3D-4998-87BC-DE275D74481A}"/>
    <cellStyle name="Komma 2 5 2 4 3" xfId="46584" xr:uid="{5385E5A1-14EE-4A93-A8B9-49783DD35E4C}"/>
    <cellStyle name="Komma 2 5 2 4 4" xfId="52647" xr:uid="{017DC820-E55B-4AF8-91DA-8A3E92F11FA2}"/>
    <cellStyle name="Komma 2 5 2 4 5" xfId="55663" xr:uid="{8214E2FA-3F3C-4343-B75B-8AF3C86058D4}"/>
    <cellStyle name="Komma 2 5 2 5" xfId="12825" xr:uid="{6C48B870-F90B-4542-A2AC-993A3668520D}"/>
    <cellStyle name="Komma 2 5 2 5 2" xfId="47527" xr:uid="{D62A53C7-25F3-4C71-B789-2BB388300740}"/>
    <cellStyle name="Komma 2 5 2 5 3" xfId="51216" xr:uid="{AF099AD0-4413-4321-8680-4567FB5FCD84}"/>
    <cellStyle name="Komma 2 5 2 5 4" xfId="54232" xr:uid="{CC405F29-447A-4F5E-AD7C-61E5F5F79517}"/>
    <cellStyle name="Komma 2 5 2 6" xfId="32274" xr:uid="{E86352AD-AE3C-465E-8454-D8F65EA46ECB}"/>
    <cellStyle name="Komma 2 5 2 7" xfId="46103" xr:uid="{7AA65154-06F8-4546-A1A1-A476650DE3A0}"/>
    <cellStyle name="Komma 2 5 2 8" xfId="50110" xr:uid="{9A09B609-7F8F-4726-AB2C-53081131320B}"/>
    <cellStyle name="Komma 2 5 2 9" xfId="53126" xr:uid="{BEC411F4-3181-4139-BCF6-8617BFB96DD4}"/>
    <cellStyle name="Komma 2 5 3" xfId="12522" xr:uid="{4591F741-67C2-4B77-988E-7C8349DE2345}"/>
    <cellStyle name="Komma 2 5 3 2" xfId="21927" xr:uid="{C75B8743-D3BA-42C5-9D16-D5453AB59D2B}"/>
    <cellStyle name="Komma 2 5 3 3" xfId="32275" xr:uid="{233F2177-75FE-4845-BCCC-36F3B57B96A7}"/>
    <cellStyle name="Komma 2 5 3 4" xfId="32292" xr:uid="{D8DBA71D-1856-448A-A5F0-E809F3336691}"/>
    <cellStyle name="Komma 2 5 3 5" xfId="51004" xr:uid="{8D0E9333-4538-465C-8498-CBA71BA185F2}"/>
    <cellStyle name="Komma 2 5 3 6" xfId="54020" xr:uid="{17E7143A-A67A-4AC5-A5AD-1355505B35FF}"/>
    <cellStyle name="Komma 2 5 4" xfId="14596" xr:uid="{1047D8C0-3861-4152-80E7-7C9C10AD74F4}"/>
    <cellStyle name="Komma 2 5 4 2" xfId="22143" xr:uid="{07D3EE5C-9E4E-4A64-B9D2-414C3EA89578}"/>
    <cellStyle name="Komma 2 5 4 3" xfId="48206" xr:uid="{641B35EE-0D8B-4EDA-81FB-4F5E4AB2A252}"/>
    <cellStyle name="Komma 2 5 4 4" xfId="51481" xr:uid="{C7624E9E-DBFE-4236-B8A8-6BD750ABF849}"/>
    <cellStyle name="Komma 2 5 4 5" xfId="54497" xr:uid="{8AFC4682-E965-40D1-8EAD-B1899AA73AC3}"/>
    <cellStyle name="Komma 2 5 5" xfId="15081" xr:uid="{3BB3D005-DC1C-4503-A3FC-17F4DD77A71B}"/>
    <cellStyle name="Komma 2 5 5 2" xfId="22620" xr:uid="{3BAAAB15-8481-4D7E-873D-98F26794DF0A}"/>
    <cellStyle name="Komma 2 5 5 3" xfId="46475" xr:uid="{34E8C83F-C6E6-43E3-BB63-D6C46BC4E60E}"/>
    <cellStyle name="Komma 2 5 5 4" xfId="51958" xr:uid="{6AD95CB1-D665-43F5-A3B0-08197BDE28C5}"/>
    <cellStyle name="Komma 2 5 5 5" xfId="54974" xr:uid="{716F7ED1-8EDB-41C9-9B73-2813F42A3928}"/>
    <cellStyle name="Komma 2 5 6" xfId="15568" xr:uid="{CD3BBDA5-F6DC-4D89-858C-2ED6D32D7F1F}"/>
    <cellStyle name="Komma 2 5 6 2" xfId="23097" xr:uid="{EA86088F-4245-4ACD-9FD6-DC6907F2A894}"/>
    <cellStyle name="Komma 2 5 6 3" xfId="24165" xr:uid="{76CE44B0-FD41-4551-9971-AD8DC61A6C6A}"/>
    <cellStyle name="Komma 2 5 6 4" xfId="52435" xr:uid="{3A22D88D-D6A1-4236-81D5-8012ACB0DC8F}"/>
    <cellStyle name="Komma 2 5 6 5" xfId="55451" xr:uid="{EE0FE5D0-3A67-4616-BCCD-AD1FA32452A7}"/>
    <cellStyle name="Komma 2 5 7" xfId="11144" xr:uid="{7FC5BAA9-048B-4438-BE37-C825C524C1D4}"/>
    <cellStyle name="Komma 2 5 7 2" xfId="46273" xr:uid="{1926706F-E5D0-426E-9ED0-D4186A1B647F}"/>
    <cellStyle name="Komma 2 5 7 3" xfId="23851" xr:uid="{D9B82CFD-8599-4948-B8D5-D72417A909FD}"/>
    <cellStyle name="Komma 2 5 8" xfId="46035" xr:uid="{E1852AEB-BBDD-4ED8-9820-43F309F94AAE}"/>
    <cellStyle name="Komma 2 5 9" xfId="48706" xr:uid="{173568BE-D547-4D3D-88C5-C930315592AF}"/>
    <cellStyle name="Komma 2 6" xfId="10138" xr:uid="{827AB66F-774A-4CBE-BE6D-698173BBD2BB}"/>
    <cellStyle name="Komma 2 6 10" xfId="49951" xr:uid="{3C7E650F-046A-4CF2-961D-370C3532D6FF}"/>
    <cellStyle name="Komma 2 6 11" xfId="52967" xr:uid="{F7543BED-AF66-4D7C-B7E4-6B9C09FA4456}"/>
    <cellStyle name="Komma 2 6 2" xfId="10452" xr:uid="{8E916317-D446-4F6D-864F-80F3F600C8E5}"/>
    <cellStyle name="Komma 2 6 2 2" xfId="14861" xr:uid="{790ABCA7-6859-4551-AA55-210B3BE9E10D}"/>
    <cellStyle name="Komma 2 6 2 2 2" xfId="22408" xr:uid="{2D7F8F4F-66EB-4643-8D6C-BB3982385E10}"/>
    <cellStyle name="Komma 2 6 2 2 3" xfId="48410" xr:uid="{45B2976D-8CDB-42DB-9E7D-DC03DA138C42}"/>
    <cellStyle name="Komma 2 6 2 2 4" xfId="51746" xr:uid="{5D29C909-2EF1-464C-B8E0-2004DA2CB732}"/>
    <cellStyle name="Komma 2 6 2 2 5" xfId="54762" xr:uid="{B19C3442-4B2D-4A9C-8C10-92C2BE9E4F01}"/>
    <cellStyle name="Komma 2 6 2 3" xfId="15346" xr:uid="{8863053A-5E8A-42BB-8332-022B1B99BD8B}"/>
    <cellStyle name="Komma 2 6 2 3 2" xfId="22885" xr:uid="{5AC534A2-F691-41D8-997D-4C94E4AA2049}"/>
    <cellStyle name="Komma 2 6 2 3 3" xfId="46909" xr:uid="{D3EB03C8-5866-48A8-A367-B53C6D1D3D04}"/>
    <cellStyle name="Komma 2 6 2 3 4" xfId="52223" xr:uid="{5D7C679C-23AE-4125-BCA4-2D3ED9D9EDD4}"/>
    <cellStyle name="Komma 2 6 2 3 5" xfId="55239" xr:uid="{F2E94A1F-3507-47CF-B80B-9513228B4545}"/>
    <cellStyle name="Komma 2 6 2 4" xfId="15833" xr:uid="{D941FA85-1C81-4643-BF28-2C15C743B7A2}"/>
    <cellStyle name="Komma 2 6 2 4 2" xfId="23362" xr:uid="{83710A33-ACF5-48C6-8DA5-DCF0FBF8CC7D}"/>
    <cellStyle name="Komma 2 6 2 4 3" xfId="24645" xr:uid="{889D748B-D882-4B5E-A001-459E114D8DDD}"/>
    <cellStyle name="Komma 2 6 2 4 4" xfId="52700" xr:uid="{AEA80100-653D-4FFF-A017-EAF99171CC53}"/>
    <cellStyle name="Komma 2 6 2 4 5" xfId="55716" xr:uid="{1609E4B9-711E-49DE-A8BA-243864DEC58A}"/>
    <cellStyle name="Komma 2 6 2 5" xfId="12905" xr:uid="{4D567306-48BA-41FE-BF42-D3E8AC0242A9}"/>
    <cellStyle name="Komma 2 6 2 5 2" xfId="46809" xr:uid="{B3122795-C9BE-49EB-BE29-B018659AF41C}"/>
    <cellStyle name="Komma 2 6 2 5 3" xfId="51269" xr:uid="{7E99E300-133E-4AE4-988E-68DB2B06E467}"/>
    <cellStyle name="Komma 2 6 2 5 4" xfId="54285" xr:uid="{D60979B8-FCB0-440D-BD14-08C7228C1662}"/>
    <cellStyle name="Komma 2 6 2 6" xfId="47262" xr:uid="{26231CF8-3ED1-4F11-B140-DECBAF3055E8}"/>
    <cellStyle name="Komma 2 6 2 7" xfId="50163" xr:uid="{C7120145-A1C5-4837-BBA8-0F2A4212B3C0}"/>
    <cellStyle name="Komma 2 6 2 8" xfId="53179" xr:uid="{4CE9E5A6-5C66-426D-B71A-3F6C7AAAE3FB}"/>
    <cellStyle name="Komma 2 6 3" xfId="14649" xr:uid="{DEE27B54-A21C-40D8-9619-B47104B0B2EB}"/>
    <cellStyle name="Komma 2 6 3 2" xfId="22196" xr:uid="{98D62D4D-B960-4C9A-B6C7-0C5D4ED4B474}"/>
    <cellStyle name="Komma 2 6 3 3" xfId="46678" xr:uid="{4F43C802-7BE6-440A-BA6B-B479F5642DA3}"/>
    <cellStyle name="Komma 2 6 3 4" xfId="51534" xr:uid="{9F44BCA4-D586-4114-B122-6198B6106F98}"/>
    <cellStyle name="Komma 2 6 3 5" xfId="54550" xr:uid="{B95F7D90-BF62-4F91-A23C-8221A1D15FA1}"/>
    <cellStyle name="Komma 2 6 4" xfId="15134" xr:uid="{62C7D777-A5BB-4163-B931-79AEFE1CDC8C}"/>
    <cellStyle name="Komma 2 6 4 2" xfId="22673" xr:uid="{9A85CFCD-C464-4796-B531-02D32E1A57C2}"/>
    <cellStyle name="Komma 2 6 4 3" xfId="47127" xr:uid="{0EC00DE5-0175-403D-8D1C-81276CF22004}"/>
    <cellStyle name="Komma 2 6 4 4" xfId="52011" xr:uid="{34727BD6-5B84-4E19-8B44-D0A09C5C3578}"/>
    <cellStyle name="Komma 2 6 4 5" xfId="55027" xr:uid="{95A8DC6A-EE73-4F27-B0A6-DBB384F84BBA}"/>
    <cellStyle name="Komma 2 6 5" xfId="15621" xr:uid="{E01925A5-D0A1-4F6E-9215-8A737E384C4E}"/>
    <cellStyle name="Komma 2 6 5 2" xfId="23150" xr:uid="{9DB1D160-99CD-44BE-8F8C-F64F13997238}"/>
    <cellStyle name="Komma 2 6 5 3" xfId="47197" xr:uid="{7BC8607C-07B8-4D83-9128-B0C5CC42C423}"/>
    <cellStyle name="Komma 2 6 5 4" xfId="52488" xr:uid="{FF09E442-99B7-4E89-816F-4F9FEA154B65}"/>
    <cellStyle name="Komma 2 6 5 5" xfId="55504" xr:uid="{C19357D4-9491-44CB-995F-ED22C1CEF4A6}"/>
    <cellStyle name="Komma 2 6 6" xfId="12594" xr:uid="{A81C32CF-B473-4CF2-A33D-1A86836F093F}"/>
    <cellStyle name="Komma 2 6 6 2" xfId="33401" xr:uid="{121F76B3-20DD-4AD2-99B7-CE89555A4EEF}"/>
    <cellStyle name="Komma 2 6 6 3" xfId="51057" xr:uid="{A8D35940-490A-42B0-BBC0-B6DA2BC9CF03}"/>
    <cellStyle name="Komma 2 6 6 4" xfId="54073" xr:uid="{8EBA535C-D2F0-4C11-982C-568A715AF414}"/>
    <cellStyle name="Komma 2 6 7" xfId="23852" xr:uid="{8E183DD6-30E9-44F1-8F75-4C3D69E33F23}"/>
    <cellStyle name="Komma 2 6 8" xfId="48707" xr:uid="{A031EB6B-1633-460F-805C-BA0E83C8F8A1}"/>
    <cellStyle name="Komma 2 6 9" xfId="49615" xr:uid="{F08367E9-B5F7-49F4-AE3C-7F8442CD4213}"/>
    <cellStyle name="Komma 2 7" xfId="10218" xr:uid="{A1905E97-5B75-4E4C-8976-E59F6FBA3BD2}"/>
    <cellStyle name="Komma 2 7 10" xfId="53020" xr:uid="{D820182A-C7EE-4AE3-BCCB-AA77435CDE17}"/>
    <cellStyle name="Komma 2 7 2" xfId="14702" xr:uid="{F4BABD99-5BED-44F8-980F-501C89ABF812}"/>
    <cellStyle name="Komma 2 7 2 2" xfId="22249" xr:uid="{5E4DE7B8-B8E4-4343-8A07-64E64FD71B54}"/>
    <cellStyle name="Komma 2 7 2 3" xfId="48208" xr:uid="{47B1E204-FD5A-4591-95DE-0CD7D19F7765}"/>
    <cellStyle name="Komma 2 7 2 4" xfId="51587" xr:uid="{B6B71F77-FAD7-4BAB-807B-11982E30ADAE}"/>
    <cellStyle name="Komma 2 7 2 5" xfId="54603" xr:uid="{3FCE57E2-628C-4B75-80B7-1F107698FBB8}"/>
    <cellStyle name="Komma 2 7 3" xfId="15187" xr:uid="{702065F6-0961-4E96-B21D-52A327DEF7E5}"/>
    <cellStyle name="Komma 2 7 3 2" xfId="22726" xr:uid="{59570C6B-A4D4-4E58-B6A9-993692E4E4BE}"/>
    <cellStyle name="Komma 2 7 3 3" xfId="48442" xr:uid="{BB0E6A19-6B39-4DC7-B26B-0B71102A687E}"/>
    <cellStyle name="Komma 2 7 3 4" xfId="52064" xr:uid="{EA2923CB-1758-4149-8234-ECF584548E98}"/>
    <cellStyle name="Komma 2 7 3 5" xfId="55080" xr:uid="{827B4F7C-94C8-49D4-A00E-30CB0EC11FF8}"/>
    <cellStyle name="Komma 2 7 4" xfId="15674" xr:uid="{7A1018CB-EFA3-4AB8-8742-BC375FCE08FF}"/>
    <cellStyle name="Komma 2 7 4 2" xfId="23203" xr:uid="{0178EE8D-F182-4126-A381-D77AD1FD97DB}"/>
    <cellStyle name="Komma 2 7 4 3" xfId="47946" xr:uid="{7A75526E-AF7D-44E2-B0DE-8189C5E6C25D}"/>
    <cellStyle name="Komma 2 7 4 4" xfId="52541" xr:uid="{F6DD0DC7-54C1-43FB-813D-C272364F765D}"/>
    <cellStyle name="Komma 2 7 4 5" xfId="55557" xr:uid="{1CBC2EC0-C27C-47AA-9805-EBBFEC44B251}"/>
    <cellStyle name="Komma 2 7 5" xfId="12671" xr:uid="{36566C38-85C5-4268-A586-F8D8222CA550}"/>
    <cellStyle name="Komma 2 7 5 2" xfId="47760" xr:uid="{4F7778B5-16E7-421F-8019-8D00631F0F28}"/>
    <cellStyle name="Komma 2 7 5 3" xfId="51110" xr:uid="{BA0747E6-BC7F-4FE6-9DEA-053124623460}"/>
    <cellStyle name="Komma 2 7 5 4" xfId="54126" xr:uid="{E1809FCD-A405-47A9-9C06-AF4AA721E136}"/>
    <cellStyle name="Komma 2 7 6" xfId="23853" xr:uid="{C36C3BF7-C32C-4B46-AA5D-015BA1C63914}"/>
    <cellStyle name="Komma 2 7 7" xfId="48708" xr:uid="{04411F98-E12E-4BB1-AF4E-AC68ADDDE20C}"/>
    <cellStyle name="Komma 2 7 8" xfId="49616" xr:uid="{7B01A15C-7BC4-4302-8E2D-17B114980C7C}"/>
    <cellStyle name="Komma 2 7 9" xfId="50004" xr:uid="{43B35BB5-1F30-44FC-889E-F38E696C08DD}"/>
    <cellStyle name="Komma 2 8" xfId="10532" xr:uid="{BD4ECD5D-AFBE-4188-9ED2-180F9BF63CD9}"/>
    <cellStyle name="Komma 2 8 10" xfId="53232" xr:uid="{3CAD4A57-5DC9-4046-8F1B-5146AA50FDD6}"/>
    <cellStyle name="Komma 2 8 2" xfId="14914" xr:uid="{90F64A7C-DD9A-45E8-849F-824EFABF45DE}"/>
    <cellStyle name="Komma 2 8 2 2" xfId="22461" xr:uid="{2C9FC4DC-F4CB-46B0-98E2-87E179189B8A}"/>
    <cellStyle name="Komma 2 8 2 3" xfId="32723" xr:uid="{7E39E11F-FB29-4EE8-B198-347503C92458}"/>
    <cellStyle name="Komma 2 8 2 4" xfId="51799" xr:uid="{2CD8E949-E878-4AFA-9B9A-0222F050A131}"/>
    <cellStyle name="Komma 2 8 2 5" xfId="54815" xr:uid="{945AA853-39BC-4BDE-81DD-7CA6B7037DBA}"/>
    <cellStyle name="Komma 2 8 3" xfId="15399" xr:uid="{56F19E0D-8F29-458D-944E-1474FFF0258E}"/>
    <cellStyle name="Komma 2 8 3 2" xfId="22938" xr:uid="{A8C5BA67-4B9B-4EE6-A15E-4DE1454016ED}"/>
    <cellStyle name="Komma 2 8 3 3" xfId="48363" xr:uid="{F0D73622-1A4D-43A9-A935-84FC2B55FAEB}"/>
    <cellStyle name="Komma 2 8 3 4" xfId="52276" xr:uid="{8A1B3306-9142-4444-9FC5-A0D67B237790}"/>
    <cellStyle name="Komma 2 8 3 5" xfId="55292" xr:uid="{C7104224-F9CE-415D-B75B-7FFEE4485751}"/>
    <cellStyle name="Komma 2 8 4" xfId="15887" xr:uid="{C4953D1D-2369-4C38-89C2-9B95859AD582}"/>
    <cellStyle name="Komma 2 8 4 2" xfId="23415" xr:uid="{C33C1992-23B6-43C1-9172-81B2CAE734D3}"/>
    <cellStyle name="Komma 2 8 4 3" xfId="36254" xr:uid="{636A6932-B632-43E5-B961-BC127891201C}"/>
    <cellStyle name="Komma 2 8 4 4" xfId="52753" xr:uid="{0DC8FA2B-A67A-4698-9973-60E55E0EBA17}"/>
    <cellStyle name="Komma 2 8 4 5" xfId="55769" xr:uid="{2990B112-5368-481B-959B-CA7D7747F514}"/>
    <cellStyle name="Komma 2 8 5" xfId="12985" xr:uid="{AF3A543F-2DD5-4F2A-93C9-842904937CCA}"/>
    <cellStyle name="Komma 2 8 5 2" xfId="46380" xr:uid="{1F320973-EB17-4FB1-989B-1BB6501776C2}"/>
    <cellStyle name="Komma 2 8 5 3" xfId="51322" xr:uid="{3596A864-30F0-4B67-B036-7460C848317D}"/>
    <cellStyle name="Komma 2 8 5 4" xfId="54338" xr:uid="{F70C045C-39E1-4877-BBDD-8DC509BF9078}"/>
    <cellStyle name="Komma 2 8 6" xfId="23854" xr:uid="{25B5AE03-B0A7-44A2-9976-14F731F54075}"/>
    <cellStyle name="Komma 2 8 7" xfId="48709" xr:uid="{6FE66FAE-A152-4BAA-8A64-D606F9D45E68}"/>
    <cellStyle name="Komma 2 8 8" xfId="49617" xr:uid="{849B895F-2A3D-4BFB-8B6B-132C4FB25BF2}"/>
    <cellStyle name="Komma 2 8 9" xfId="50216" xr:uid="{0D661020-589D-4269-B1DB-AB11D19AF647}"/>
    <cellStyle name="Komma 2 9" xfId="14490" xr:uid="{92D3DC77-7AE3-445E-9C82-CA38FE73D7B7}"/>
    <cellStyle name="Komma 2 9 2" xfId="22037" xr:uid="{01108B0D-E510-4EDF-859A-FBE6FE5E7B7C}"/>
    <cellStyle name="Komma 2 9 3" xfId="23855" xr:uid="{936F42CD-6B46-44EB-9D1F-CC2915DEE619}"/>
    <cellStyle name="Komma 2 9 4" xfId="51375" xr:uid="{50251EEA-4487-4497-874D-7FEE22BF76D5}"/>
    <cellStyle name="Komma 2 9 5" xfId="54391" xr:uid="{890C1D9B-EB3B-4A2B-B228-38824DFB5028}"/>
    <cellStyle name="Komma 3" xfId="2814" xr:uid="{074034F4-947A-4275-9599-349D952D4503}"/>
    <cellStyle name="Komma 3 10" xfId="23857" xr:uid="{32FC7893-CF22-4BA7-9DA6-9C04D4099323}"/>
    <cellStyle name="Komma 3 10 2" xfId="48711" xr:uid="{CAACABAF-81B6-4D11-9D33-1DB96CEB095E}"/>
    <cellStyle name="Komma 3 10 3" xfId="49619" xr:uid="{A515E9DA-897F-4340-B8F4-3B7A314E19FD}"/>
    <cellStyle name="Komma 3 11" xfId="23858" xr:uid="{ED290BB6-3C70-4CE5-ABFC-4B56C7D6C177}"/>
    <cellStyle name="Komma 3 11 2" xfId="32724" xr:uid="{251BCA5E-D727-4CEF-8321-4EEBF8A1A481}"/>
    <cellStyle name="Komma 3 11 2 2" xfId="38076" xr:uid="{E987853B-B42E-4F34-A7B9-2DDCA60482D0}"/>
    <cellStyle name="Komma 3 11 2 3" xfId="43378" xr:uid="{DA2BAAEC-F1FF-4C98-A854-AC8E4825FE77}"/>
    <cellStyle name="Komma 3 11 3" xfId="35611" xr:uid="{EE235526-5CCF-42B5-B53C-CFD216EA1DF8}"/>
    <cellStyle name="Komma 3 11 4" xfId="40727" xr:uid="{6EE0FA59-1767-40BD-AB59-2CA5894BF65F}"/>
    <cellStyle name="Komma 3 12" xfId="23859" xr:uid="{29BD93A4-9AD0-452E-9D3B-23B334CF6E88}"/>
    <cellStyle name="Komma 3 12 2" xfId="48712" xr:uid="{970603A2-FB94-4279-874E-1300DFEE7354}"/>
    <cellStyle name="Komma 3 12 3" xfId="49620" xr:uid="{AAF511D0-FA3C-4791-9C84-B2AE1032D01C}"/>
    <cellStyle name="Komma 3 13" xfId="23860" xr:uid="{1F048BB6-AD8A-4040-A14D-A38C7964286D}"/>
    <cellStyle name="Komma 3 13 2" xfId="32725" xr:uid="{2A76261F-523E-48EC-BC39-00C0C519C738}"/>
    <cellStyle name="Komma 3 13 3" xfId="48713" xr:uid="{F751A5B2-E2A2-4312-B204-6FAFD6E6E236}"/>
    <cellStyle name="Komma 3 13 4" xfId="49621" xr:uid="{F87BE368-FB1F-4BBC-B52F-5037F629127F}"/>
    <cellStyle name="Komma 3 14" xfId="23856" xr:uid="{8FE820FE-8800-45C9-9C31-D8CA8B5BE476}"/>
    <cellStyle name="Komma 3 15" xfId="48710" xr:uid="{2EC313A2-5EBC-4C4F-9292-9D2767688CAE}"/>
    <cellStyle name="Komma 3 16" xfId="49618" xr:uid="{3534C6C2-33D2-4130-8485-1F21B3D8772E}"/>
    <cellStyle name="Komma 3 17" xfId="15950" xr:uid="{5CC7AB1A-3262-4988-82E3-4DC158C27617}"/>
    <cellStyle name="Komma 3 18" xfId="7656" xr:uid="{1D0CE5CC-6F70-4A71-81A0-378E923B23B8}"/>
    <cellStyle name="Komma 3 2" xfId="4548" xr:uid="{7A437492-B734-4BCC-8E9E-E00AA9D364D2}"/>
    <cellStyle name="Komma 3 2 10" xfId="15951" xr:uid="{45AB8D95-D048-4004-AEAF-15587184CFDF}"/>
    <cellStyle name="Komma 3 2 11" xfId="8846" xr:uid="{9C03A228-B3CC-4390-BE42-FF73468CEDE4}"/>
    <cellStyle name="Komma 3 2 2" xfId="18056" xr:uid="{BAB0C906-0D8C-4317-9E7F-FB54EC139083}"/>
    <cellStyle name="Komma 3 2 2 2" xfId="23863" xr:uid="{43A1A665-8605-42BE-800C-4A909A1073FB}"/>
    <cellStyle name="Komma 3 2 2 2 2" xfId="23864" xr:uid="{282267A5-01BF-4728-A670-D0CE5C171E93}"/>
    <cellStyle name="Komma 3 2 2 2 2 2" xfId="48716" xr:uid="{C94B831F-0530-45F0-A09C-2F2EEE5DE6FA}"/>
    <cellStyle name="Komma 3 2 2 2 2 3" xfId="49624" xr:uid="{B9EDF570-DCF4-4106-8876-8E1C56FF52BA}"/>
    <cellStyle name="Komma 3 2 2 2 3" xfId="48715" xr:uid="{C048C5FC-04C8-4EA0-9A01-89ED024B1013}"/>
    <cellStyle name="Komma 3 2 2 2 4" xfId="49623" xr:uid="{AB17039F-20B9-46B3-816F-8EFA8FC4E7F4}"/>
    <cellStyle name="Komma 3 2 2 3" xfId="23865" xr:uid="{73E1DC42-E66E-4DE0-ACE4-0F0FEA22A3C5}"/>
    <cellStyle name="Komma 3 2 2 3 2" xfId="48717" xr:uid="{8B4D3AAD-28C5-40C7-85D8-9A4B3C89234E}"/>
    <cellStyle name="Komma 3 2 2 3 3" xfId="49625" xr:uid="{54BE7934-2437-4EDA-A568-56A16A25EB33}"/>
    <cellStyle name="Komma 3 2 2 4" xfId="23862" xr:uid="{7CBC5F93-FB2F-4E02-BB29-801846A07C8A}"/>
    <cellStyle name="Komma 3 2 2 5" xfId="48714" xr:uid="{409AFD47-4E80-46AD-A5B8-D5D6335CE10F}"/>
    <cellStyle name="Komma 3 2 2 6" xfId="49622" xr:uid="{05C8F096-FB60-4802-8ED1-26C57E6F3FD1}"/>
    <cellStyle name="Komma 3 2 3" xfId="19501" xr:uid="{4C5C2F3A-C75F-4097-9829-A85380B3807F}"/>
    <cellStyle name="Komma 3 2 3 2" xfId="23867" xr:uid="{F7A868F5-1A1C-4B02-9B80-5D5D80D06148}"/>
    <cellStyle name="Komma 3 2 3 2 2" xfId="23868" xr:uid="{AB192512-2672-4749-B29C-8B9B185DBF92}"/>
    <cellStyle name="Komma 3 2 3 2 2 2" xfId="48720" xr:uid="{D16E8918-5AAD-4203-9BE5-D29FECBF91EA}"/>
    <cellStyle name="Komma 3 2 3 2 2 3" xfId="49628" xr:uid="{BAA0AF35-D7D1-4825-B1A0-C7E5094E53B9}"/>
    <cellStyle name="Komma 3 2 3 2 3" xfId="48719" xr:uid="{3AAD5F18-A484-4D58-BCDA-0CBD92760CC5}"/>
    <cellStyle name="Komma 3 2 3 2 4" xfId="49627" xr:uid="{C9B9F1B0-317B-4808-AFB8-111D1CC01C09}"/>
    <cellStyle name="Komma 3 2 3 3" xfId="23869" xr:uid="{89A9772E-DB88-42E4-8C17-7B5973FBB2FF}"/>
    <cellStyle name="Komma 3 2 3 3 2" xfId="48721" xr:uid="{8F079F7F-D0DF-4937-8DB9-E10117B49840}"/>
    <cellStyle name="Komma 3 2 3 3 3" xfId="49629" xr:uid="{DE622834-605E-4B85-8B46-EE5F04F3436B}"/>
    <cellStyle name="Komma 3 2 3 4" xfId="23866" xr:uid="{858F2108-A7FF-46C9-8104-7F1EE4D7ED30}"/>
    <cellStyle name="Komma 3 2 3 5" xfId="48718" xr:uid="{89747706-CF4C-434C-83E9-4A513C3F6EA2}"/>
    <cellStyle name="Komma 3 2 3 6" xfId="49626" xr:uid="{C3918F3F-FD1B-480C-93C0-780D07E7D959}"/>
    <cellStyle name="Komma 3 2 4" xfId="23870" xr:uid="{1146C0EC-5F4F-4C54-8346-4AB32864EDD7}"/>
    <cellStyle name="Komma 3 2 4 2" xfId="23871" xr:uid="{7631C446-B5E8-4D55-AFE8-22C91707A7EC}"/>
    <cellStyle name="Komma 3 2 4 2 2" xfId="48723" xr:uid="{72A2FC2B-9A71-42E9-8AAD-C5D95158D97E}"/>
    <cellStyle name="Komma 3 2 4 2 3" xfId="49631" xr:uid="{62816C23-4044-47EE-8F4F-9321297393E2}"/>
    <cellStyle name="Komma 3 2 4 3" xfId="48722" xr:uid="{8C3B9BB5-E98E-45D8-A972-9944FF759594}"/>
    <cellStyle name="Komma 3 2 4 4" xfId="49630" xr:uid="{9BC355C5-2B9F-4FDF-B10C-76616465B1B0}"/>
    <cellStyle name="Komma 3 2 5" xfId="23872" xr:uid="{6AAE2804-071D-4942-8CAC-F03ABBA897EA}"/>
    <cellStyle name="Komma 3 2 5 2" xfId="48724" xr:uid="{AD2504DD-4C4F-4D2F-9BC1-2183C9E9C3AD}"/>
    <cellStyle name="Komma 3 2 5 3" xfId="49632" xr:uid="{EB6EE651-CE4A-4FE7-9297-3BFF62F06A90}"/>
    <cellStyle name="Komma 3 2 6" xfId="23873" xr:uid="{B0E8CF52-FA7E-4307-A726-C078F046220A}"/>
    <cellStyle name="Komma 3 2 6 2" xfId="48725" xr:uid="{22CA20D8-1967-4A71-8513-2C93A23C8445}"/>
    <cellStyle name="Komma 3 2 6 3" xfId="49633" xr:uid="{1FB13C8E-AD04-486C-9994-BEEA66E862CE}"/>
    <cellStyle name="Komma 3 2 7" xfId="32726" xr:uid="{21FBD1BA-6531-4396-97D1-62D8CFF45099}"/>
    <cellStyle name="Komma 3 2 7 2" xfId="38077" xr:uid="{68FC7E8C-69B3-4C30-8B3F-22652E693A18}"/>
    <cellStyle name="Komma 3 2 7 3" xfId="43379" xr:uid="{FA16E089-70EF-4DF7-A3CF-D8D0C60CB050}"/>
    <cellStyle name="Komma 3 2 8" xfId="35612" xr:uid="{D81997A0-2C41-43CC-8742-67DA5EBE1CC6}"/>
    <cellStyle name="Komma 3 2 9" xfId="40728" xr:uid="{6A1E894E-A1C8-4D6B-88CC-0777BE50DC24}"/>
    <cellStyle name="Komma 3 3" xfId="5829" xr:uid="{26212406-E667-4EBB-99D9-0462CD66396B}"/>
    <cellStyle name="Komma 3 3 2" xfId="23875" xr:uid="{4409DF48-D13A-4F89-AEB0-31D7273E0FB5}"/>
    <cellStyle name="Komma 3 3 2 2" xfId="23876" xr:uid="{DCEFB652-F82E-49DC-A3A7-92AF948AF3F8}"/>
    <cellStyle name="Komma 3 3 2 2 2" xfId="48728" xr:uid="{4B7DBC9F-2AFB-4AF9-88ED-7DFA56F4B6CA}"/>
    <cellStyle name="Komma 3 3 2 2 3" xfId="49636" xr:uid="{993D3171-0AEF-4F72-81B6-EAFFE60D98BF}"/>
    <cellStyle name="Komma 3 3 2 3" xfId="48727" xr:uid="{20EE3EC7-6C4C-46D8-813F-E6F01E8D0802}"/>
    <cellStyle name="Komma 3 3 2 4" xfId="49635" xr:uid="{0666E638-FAB2-4B7E-AFFD-19F4AF3F5B95}"/>
    <cellStyle name="Komma 3 3 3" xfId="23877" xr:uid="{462FAFEE-C3E7-4536-BA0A-642E957FA5CC}"/>
    <cellStyle name="Komma 3 3 3 2" xfId="48729" xr:uid="{AE8EEAF8-1E9D-4AD2-9CB6-AD5E2C65EA22}"/>
    <cellStyle name="Komma 3 3 3 3" xfId="49637" xr:uid="{4B166F36-DFAE-45CF-9DC3-1B9494713A44}"/>
    <cellStyle name="Komma 3 3 4" xfId="23874" xr:uid="{97596E52-033D-440A-A9E6-F9E2BBDF5FDC}"/>
    <cellStyle name="Komma 3 3 5" xfId="48726" xr:uid="{83340C59-29DD-414B-94FE-EEC42534B421}"/>
    <cellStyle name="Komma 3 3 6" xfId="49634" xr:uid="{7F4EE828-7EDD-4D7E-A73B-C32E5FBB766E}"/>
    <cellStyle name="Komma 3 3 7" xfId="11237" xr:uid="{7016E711-8A53-4C5D-B4A1-52C22E4C46F7}"/>
    <cellStyle name="Komma 3 4" xfId="11230" xr:uid="{7E7902B0-FF17-4144-BC59-FF43CAED8CC9}"/>
    <cellStyle name="Komma 3 4 2" xfId="21696" xr:uid="{E237C295-F489-489C-A343-206B1015C5B0}"/>
    <cellStyle name="Komma 3 4 2 2" xfId="23880" xr:uid="{5276BDF4-AAC4-430C-A240-979C7F8E94B2}"/>
    <cellStyle name="Komma 3 4 2 2 2" xfId="48732" xr:uid="{C3958131-264E-45B3-BCBC-8BACAEB2BBA3}"/>
    <cellStyle name="Komma 3 4 2 2 3" xfId="49640" xr:uid="{EC2316D6-96C7-4B0E-B569-7B40CAB192F7}"/>
    <cellStyle name="Komma 3 4 2 3" xfId="23879" xr:uid="{7C94ACFD-F212-4CA7-BEC3-FE2074858BE4}"/>
    <cellStyle name="Komma 3 4 2 4" xfId="48731" xr:uid="{A901BF80-F1B9-4CDC-988D-98E8262D8470}"/>
    <cellStyle name="Komma 3 4 2 5" xfId="49639" xr:uid="{BA287A19-6D08-4136-8572-059188AA8C3A}"/>
    <cellStyle name="Komma 3 4 3" xfId="23881" xr:uid="{B1A5DD13-BC0A-4FC1-8BB7-427071C80733}"/>
    <cellStyle name="Komma 3 4 3 2" xfId="48733" xr:uid="{C07FB210-31B9-49D3-B98B-11AA467DA31E}"/>
    <cellStyle name="Komma 3 4 3 3" xfId="49641" xr:uid="{16133D90-B461-4C2D-AAA8-37E41200A1B0}"/>
    <cellStyle name="Komma 3 4 4" xfId="23878" xr:uid="{4474965F-411C-45E9-9C7E-060F7F1EF816}"/>
    <cellStyle name="Komma 3 4 5" xfId="48481" xr:uid="{1A3FA6B0-E9E0-4C15-AF62-9BEC551991A5}"/>
    <cellStyle name="Komma 3 4 6" xfId="48730" xr:uid="{2DB92C85-C84B-4AD9-B80E-F5B7D2006133}"/>
    <cellStyle name="Komma 3 4 7" xfId="49638" xr:uid="{B1928BC9-A218-41FC-BCE4-61675E2FD8F4}"/>
    <cellStyle name="Komma 3 4 8" xfId="50713" xr:uid="{2A29A1EE-5C3E-49B3-9345-AA99471ECF4C}"/>
    <cellStyle name="Komma 3 4 9" xfId="53729" xr:uid="{A1866C5D-B632-4927-A35C-3AC1E891DC2C}"/>
    <cellStyle name="Komma 3 5" xfId="11145" xr:uid="{905823E4-FDD1-4DAD-B0EA-A0B90F62DF35}"/>
    <cellStyle name="Komma 3 5 2" xfId="21676" xr:uid="{E9E14895-1ED6-44D2-94A3-F5384624B76A}"/>
    <cellStyle name="Komma 3 5 2 2" xfId="23883" xr:uid="{26DE2568-D16C-4F54-9A9D-9181E228367E}"/>
    <cellStyle name="Komma 3 5 2 3" xfId="48735" xr:uid="{2F339283-51A2-48FD-A813-A0C86D4E9F00}"/>
    <cellStyle name="Komma 3 5 2 4" xfId="49643" xr:uid="{8F7247B9-1823-4AD6-AE86-1321F7AC1217}"/>
    <cellStyle name="Komma 3 5 3" xfId="23882" xr:uid="{0F1B1ACA-BD3C-4FD2-A39B-BA4BA8BD02D3}"/>
    <cellStyle name="Komma 3 5 4" xfId="25164" xr:uid="{E6D67CE9-2986-4A6C-AA18-00F4543D501B}"/>
    <cellStyle name="Komma 3 5 5" xfId="48734" xr:uid="{8AAA527D-A926-4143-A76E-4EE491D3EE08}"/>
    <cellStyle name="Komma 3 5 6" xfId="49642" xr:uid="{53190E26-139F-41B3-BE05-1248D648EA21}"/>
    <cellStyle name="Komma 3 5 7" xfId="50692" xr:uid="{CEE18BAF-F786-4B00-A509-C91ED83E6C7F}"/>
    <cellStyle name="Komma 3 5 8" xfId="53708" xr:uid="{ACCF71BE-8885-4DC6-9D28-B5BACD93FDC2}"/>
    <cellStyle name="Komma 3 6" xfId="19500" xr:uid="{088F8F0E-A9C0-415A-B545-1D6DBCAF8106}"/>
    <cellStyle name="Komma 3 6 2" xfId="23884" xr:uid="{C5DFF40C-E043-4C37-9D9A-68FA7075DDBB}"/>
    <cellStyle name="Komma 3 6 3" xfId="48736" xr:uid="{6D11E5BD-95C1-4C23-86B9-D43A491CA4D2}"/>
    <cellStyle name="Komma 3 6 4" xfId="49644" xr:uid="{BD0302FF-E805-4740-859D-2FADC96C9921}"/>
    <cellStyle name="Komma 3 7" xfId="23885" xr:uid="{182B9160-E819-441A-B70C-1EFF04118978}"/>
    <cellStyle name="Komma 3 7 2" xfId="23886" xr:uid="{7091862F-FF19-4FD1-8D86-93E028E38BAF}"/>
    <cellStyle name="Komma 3 7 2 2" xfId="48738" xr:uid="{0AD14F11-7612-4524-B71F-C95C36B0973B}"/>
    <cellStyle name="Komma 3 7 2 3" xfId="49646" xr:uid="{908BDCEF-52B0-4E9E-9E5D-E1D4925CAEB1}"/>
    <cellStyle name="Komma 3 7 3" xfId="48737" xr:uid="{B86B7A89-C6F8-49CF-A5F3-93B0BEF71AA9}"/>
    <cellStyle name="Komma 3 7 4" xfId="49645" xr:uid="{66641A38-FCC8-4286-95AA-3495D195488D}"/>
    <cellStyle name="Komma 3 8" xfId="23887" xr:uid="{782FADF0-F3C8-42D3-852E-8145FC9D8B2C}"/>
    <cellStyle name="Komma 3 8 2" xfId="48739" xr:uid="{CD5F222B-D696-4875-802E-54D27D951204}"/>
    <cellStyle name="Komma 3 8 3" xfId="49647" xr:uid="{BD2B1008-DFC7-4EFF-9538-C1DB21B4B7E1}"/>
    <cellStyle name="Komma 3 9" xfId="23888" xr:uid="{3B83DC17-B6C3-438F-9E92-B546B9AD4F8C}"/>
    <cellStyle name="Komma 3 9 2" xfId="48740" xr:uid="{46DE425F-B00E-4CD7-AA87-4AA6CE3EF44C}"/>
    <cellStyle name="Komma 3 9 3" xfId="49648" xr:uid="{11BA9FF9-0F1D-456E-99FF-E04AA8D47698}"/>
    <cellStyle name="Komma 4" xfId="9101" xr:uid="{86B1E8B3-C1EC-48FC-BEE1-741B5F182423}"/>
    <cellStyle name="Komma 4 10" xfId="14531" xr:uid="{B26EFA05-7B09-48E7-AE3B-26ED7D0455DA}"/>
    <cellStyle name="Komma 4 10 2" xfId="22078" xr:uid="{F1DB1085-9863-4E55-AFBE-27ED3BAC1F7A}"/>
    <cellStyle name="Komma 4 10 2 2" xfId="38079" xr:uid="{A275C082-1F04-4A64-B689-D4F6B907A26C}"/>
    <cellStyle name="Komma 4 10 2 3" xfId="43381" xr:uid="{732D9DEE-A9DC-4BD2-9EBD-A07CBDB601FA}"/>
    <cellStyle name="Komma 4 10 2 4" xfId="32728" xr:uid="{D78C76D1-90E5-4E79-8129-125E12C8A09D}"/>
    <cellStyle name="Komma 4 10 3" xfId="35614" xr:uid="{A4CB3DE0-1972-42E9-B509-9F70445E36C7}"/>
    <cellStyle name="Komma 4 10 4" xfId="40730" xr:uid="{880C9506-CBD4-4486-8A15-93D31195C795}"/>
    <cellStyle name="Komma 4 10 5" xfId="23890" xr:uid="{A1720C58-DD08-4D0E-B331-A521156597A7}"/>
    <cellStyle name="Komma 4 10 6" xfId="47477" xr:uid="{9095F25F-98B5-4888-AA31-45B4C770454B}"/>
    <cellStyle name="Komma 4 10 7" xfId="51416" xr:uid="{32E82426-E6CA-407A-A052-C2F92A9C5BCA}"/>
    <cellStyle name="Komma 4 10 8" xfId="54432" xr:uid="{A5A71035-9A4C-4CC7-B49F-73E53EA69D65}"/>
    <cellStyle name="Komma 4 10 9" xfId="19051" xr:uid="{B52EA358-1222-4492-9C3E-2D9129E3A101}"/>
    <cellStyle name="Komma 4 11" xfId="15015" xr:uid="{2CF2C115-2DF2-4733-80A6-85FB2AE3E136}"/>
    <cellStyle name="Komma 4 11 10" xfId="19193" xr:uid="{1B20B051-1CC6-48D6-BAAD-D4124C3CC422}"/>
    <cellStyle name="Komma 4 11 2" xfId="22555" xr:uid="{59096435-B55D-4E0A-B4F9-B6BB428FF259}"/>
    <cellStyle name="Komma 4 11 2 2" xfId="38080" xr:uid="{44F3C86D-F263-410B-9B68-E8436F349E8C}"/>
    <cellStyle name="Komma 4 11 2 3" xfId="43382" xr:uid="{96BA76C2-61B2-4487-8717-5EE1CA46017D}"/>
    <cellStyle name="Komma 4 11 2 4" xfId="32729" xr:uid="{B4985440-9760-4339-B5D9-4DB3C96FC85F}"/>
    <cellStyle name="Komma 4 11 3" xfId="35615" xr:uid="{A84B3E26-C45F-4799-9D1E-CCB611195FEE}"/>
    <cellStyle name="Komma 4 11 4" xfId="40731" xr:uid="{E43048A4-6496-4E66-B79F-35C4E99D193A}"/>
    <cellStyle name="Komma 4 11 5" xfId="23891" xr:uid="{39088389-1863-4889-AC45-B2E2EBABD588}"/>
    <cellStyle name="Komma 4 11 6" xfId="47108" xr:uid="{29F39222-9AD9-41E9-B853-8890ED410F96}"/>
    <cellStyle name="Komma 4 11 7" xfId="48741" xr:uid="{815C91A4-C022-47B9-8D35-9F6696A03BF9}"/>
    <cellStyle name="Komma 4 11 8" xfId="51893" xr:uid="{B4C42CEC-FC52-4E55-AED1-3DBB99E5CBDC}"/>
    <cellStyle name="Komma 4 11 9" xfId="54909" xr:uid="{0EA68C5C-2A31-44CF-B0FB-836959EFC835}"/>
    <cellStyle name="Komma 4 12" xfId="15502" xr:uid="{887CD785-1B45-4CFB-A018-AC5898261E23}"/>
    <cellStyle name="Komma 4 12 10" xfId="19338" xr:uid="{BF24620F-B318-4EF2-8B9E-7527F98D1DE2}"/>
    <cellStyle name="Komma 4 12 2" xfId="23032" xr:uid="{15B59A4D-2B02-40AE-A1BE-F4E8FF9B27DC}"/>
    <cellStyle name="Komma 4 12 2 2" xfId="38081" xr:uid="{A3D769D4-31AE-416C-B01D-6039B112AECD}"/>
    <cellStyle name="Komma 4 12 2 3" xfId="43383" xr:uid="{9F6B67C1-EF88-484F-B0C3-F3FF6E10DE93}"/>
    <cellStyle name="Komma 4 12 2 4" xfId="32730" xr:uid="{75FB4715-2E1A-44D5-8434-B24832FF2C63}"/>
    <cellStyle name="Komma 4 12 3" xfId="35616" xr:uid="{38412AC5-5D89-4590-9FE2-EFB047B8DAF2}"/>
    <cellStyle name="Komma 4 12 4" xfId="40732" xr:uid="{23CCC7CD-6071-41B8-87E8-7198D4A1F4B8}"/>
    <cellStyle name="Komma 4 12 5" xfId="23892" xr:uid="{3A308067-7216-4E55-A200-1C1B0BA6CC1C}"/>
    <cellStyle name="Komma 4 12 6" xfId="47699" xr:uid="{F3719C40-441A-4ACA-8003-21F1EA26287D}"/>
    <cellStyle name="Komma 4 12 7" xfId="48742" xr:uid="{8B36086D-D3F9-4667-B630-EF50F725A18C}"/>
    <cellStyle name="Komma 4 12 8" xfId="52370" xr:uid="{8B58C70D-38B8-4E13-AE80-28CF47166FB0}"/>
    <cellStyle name="Komma 4 12 9" xfId="55386" xr:uid="{7F4A4C0A-3740-4937-A20C-3FE67A0A7227}"/>
    <cellStyle name="Komma 4 13" xfId="11238" xr:uid="{1922DAE1-D5F7-4577-84A9-583175F20B52}"/>
    <cellStyle name="Komma 4 13 2" xfId="38078" xr:uid="{4E161BB3-BED8-45AC-BDFF-2BCB46C306C6}"/>
    <cellStyle name="Komma 4 13 3" xfId="43380" xr:uid="{02CCA4D3-6472-4677-B55A-54FA96B524A9}"/>
    <cellStyle name="Komma 4 13 4" xfId="32727" xr:uid="{7474F113-AFE6-430D-8037-7C7B43ADAD50}"/>
    <cellStyle name="Komma 4 13 5" xfId="48389" xr:uid="{9934A49C-E080-4EA3-974B-409970F895EC}"/>
    <cellStyle name="Komma 4 13 6" xfId="50716" xr:uid="{37442507-C37F-4D6A-81F7-4F8CFB718C8E}"/>
    <cellStyle name="Komma 4 13 7" xfId="53732" xr:uid="{FF9BF814-9BD3-4377-AD09-FD1265B23AA6}"/>
    <cellStyle name="Komma 4 13 8" xfId="21697" xr:uid="{D2398773-788C-4CBF-A424-EC79922A02A6}"/>
    <cellStyle name="Komma 4 14" xfId="35613" xr:uid="{81F4E023-DDB1-4D66-8260-B29802CFF19C}"/>
    <cellStyle name="Komma 4 15" xfId="40729" xr:uid="{105219C4-5E7B-42F0-9568-7F403E9DBBFB}"/>
    <cellStyle name="Komma 4 16" xfId="23889" xr:uid="{5E6933FF-D5F8-4222-AFC0-088EFE1C1D8D}"/>
    <cellStyle name="Komma 4 17" xfId="47381" xr:uid="{501C4E31-A28C-46AC-A0BA-736953805912}"/>
    <cellStyle name="Komma 4 18" xfId="49833" xr:uid="{5A9FEF6A-3C45-4FDB-B5DA-509BD561550B}"/>
    <cellStyle name="Komma 4 19" xfId="52848" xr:uid="{CA28FF2D-F625-420F-B002-21F641968789}"/>
    <cellStyle name="Komma 4 2" xfId="9102" xr:uid="{9D7C5FAF-43F6-4833-B9DE-554A541B2B74}"/>
    <cellStyle name="Komma 4 2 10" xfId="15503" xr:uid="{2091A211-4A76-4D3D-83A0-F9BF31BF5688}"/>
    <cellStyle name="Komma 4 2 10 2" xfId="23033" xr:uid="{6CF6C3D2-9FD4-4FEA-B7CE-6ED194792851}"/>
    <cellStyle name="Komma 4 2 10 3" xfId="40733" xr:uid="{AA98A723-D51C-4168-B295-FEEAF220032C}"/>
    <cellStyle name="Komma 4 2 10 4" xfId="46928" xr:uid="{BAF2320F-6C12-4907-818F-0E0A7F8D2FBB}"/>
    <cellStyle name="Komma 4 2 10 5" xfId="52371" xr:uid="{5CC98739-CCEB-4ACF-9A80-8AC203A78B4B}"/>
    <cellStyle name="Komma 4 2 10 6" xfId="55387" xr:uid="{167937CC-B456-45BC-B120-C7C83B1F82C9}"/>
    <cellStyle name="Komma 4 2 10 7" xfId="19339" xr:uid="{E2F10D88-4F81-406D-9064-EF14C6CD4E0E}"/>
    <cellStyle name="Komma 4 2 11" xfId="11590" xr:uid="{40205128-2D6C-4DFD-9320-0CA4EB16EB70}"/>
    <cellStyle name="Komma 4 2 11 2" xfId="47661" xr:uid="{5A615E12-2254-43E5-8AAD-1556EF3F1E27}"/>
    <cellStyle name="Komma 4 2 11 3" xfId="50737" xr:uid="{A41385D5-B6F8-41C7-9637-3E04EDA90E4E}"/>
    <cellStyle name="Komma 4 2 11 4" xfId="53753" xr:uid="{64D2F9F1-8B16-4FE4-B80A-42EBE79DFA6B}"/>
    <cellStyle name="Komma 4 2 11 5" xfId="21713" xr:uid="{2191CF44-D682-4C62-B770-14A4C5AEA856}"/>
    <cellStyle name="Komma 4 2 12" xfId="23893" xr:uid="{F07CDCE4-B0E0-4633-925E-0DF9FD6FA63D}"/>
    <cellStyle name="Komma 4 2 13" xfId="46014" xr:uid="{4C3542AF-A124-44BC-B524-B4A430063499}"/>
    <cellStyle name="Komma 4 2 14" xfId="49834" xr:uid="{4CD99F51-CEA3-4FBC-8244-1134A953B233}"/>
    <cellStyle name="Komma 4 2 15" xfId="52849" xr:uid="{9AD12557-4FAC-4267-B676-0AEAA5CC5209}"/>
    <cellStyle name="Komma 4 2 16" xfId="18163" xr:uid="{B7A6B9EC-CDDE-4DB9-97A4-1B7FA7DEEE2B}"/>
    <cellStyle name="Komma 4 2 2" xfId="9103" xr:uid="{5C438930-DC72-47CA-BD69-E93357557F76}"/>
    <cellStyle name="Komma 4 2 2 10" xfId="12192" xr:uid="{6323C86E-57FF-4D3F-886A-ADFBE2682B10}"/>
    <cellStyle name="Komma 4 2 2 10 2" xfId="48193" xr:uid="{AB00C84D-A19D-4AAF-B8C4-D4C9E951DB8C}"/>
    <cellStyle name="Komma 4 2 2 10 3" xfId="50938" xr:uid="{4ACF20A0-678B-45DF-A8A4-ABF3694B98C2}"/>
    <cellStyle name="Komma 4 2 2 10 4" xfId="53954" xr:uid="{72EAAD83-6BC6-4FE6-AF80-D6188D5E0B44}"/>
    <cellStyle name="Komma 4 2 2 10 5" xfId="21905" xr:uid="{10E4B5CB-3659-49E7-BDB9-DD6642D97ECB}"/>
    <cellStyle name="Komma 4 2 2 11" xfId="23894" xr:uid="{5091BFBB-1D92-4129-9F07-8673B314E8CF}"/>
    <cellStyle name="Komma 4 2 2 12" xfId="47382" xr:uid="{8819F630-CC90-4395-AAC7-A36AA1724346}"/>
    <cellStyle name="Komma 4 2 2 13" xfId="48743" xr:uid="{E52F0058-5CF8-49F6-9949-7D3A31FB76F1}"/>
    <cellStyle name="Komma 4 2 2 14" xfId="49649" xr:uid="{A604C170-FE12-45A6-A0AE-8A4A740CE22D}"/>
    <cellStyle name="Komma 4 2 2 15" xfId="49835" xr:uid="{9FADC81C-41C6-4BD8-8F2A-A50DA35998A6}"/>
    <cellStyle name="Komma 4 2 2 16" xfId="52850" xr:uid="{F4AE5C05-323E-473A-9A5D-F3014C1EB054}"/>
    <cellStyle name="Komma 4 2 2 17" xfId="18569" xr:uid="{85A31FC4-6878-4F0A-BD21-1FACAE27DD1B}"/>
    <cellStyle name="Komma 4 2 2 2" xfId="10045" xr:uid="{E025266D-A543-437F-AE7D-5FEBCDD36D25}"/>
    <cellStyle name="Komma 4 2 2 2 10" xfId="49650" xr:uid="{7EEEAD7C-5D57-4EC7-BED9-867E4791A3CF}"/>
    <cellStyle name="Komma 4 2 2 2 11" xfId="49888" xr:uid="{6E554822-F108-41AF-88A6-13535591FFD5}"/>
    <cellStyle name="Komma 4 2 2 2 12" xfId="52904" xr:uid="{15CE8A8D-98EC-4B33-9E8D-97FCFBAB6571}"/>
    <cellStyle name="Komma 4 2 2 2 13" xfId="18758" xr:uid="{FD135C74-43BC-475F-9228-15E55D169390}"/>
    <cellStyle name="Komma 4 2 2 2 2" xfId="10353" xr:uid="{0E75F555-8090-485B-89D4-7E0ED3EB8F30}"/>
    <cellStyle name="Komma 4 2 2 2 2 2" xfId="14798" xr:uid="{ACC16F9B-96D9-4052-81E0-7940F3FB367F}"/>
    <cellStyle name="Komma 4 2 2 2 2 2 2" xfId="22345" xr:uid="{CAAF9404-FB2D-47F8-B55F-DAB701E20613}"/>
    <cellStyle name="Komma 4 2 2 2 2 2 3" xfId="46863" xr:uid="{94A10677-9F97-4862-89F7-C4F36B883DCF}"/>
    <cellStyle name="Komma 4 2 2 2 2 2 4" xfId="51683" xr:uid="{393D48AA-B919-467E-8313-7E2FDB8CF03D}"/>
    <cellStyle name="Komma 4 2 2 2 2 2 5" xfId="54699" xr:uid="{9F055F33-1431-4A15-BDE6-9F456C5EE737}"/>
    <cellStyle name="Komma 4 2 2 2 2 2 6" xfId="19128" xr:uid="{38BB8E62-C017-499B-AFFE-06C90A77923C}"/>
    <cellStyle name="Komma 4 2 2 2 2 3" xfId="15283" xr:uid="{E250AE92-1424-4068-A19A-FD0DC1EB5EDF}"/>
    <cellStyle name="Komma 4 2 2 2 2 3 2" xfId="22822" xr:uid="{D26277F8-CC8E-4159-A0D6-09CB81F5F50A}"/>
    <cellStyle name="Komma 4 2 2 2 2 3 3" xfId="47545" xr:uid="{DA288D80-D7A8-4E44-AB58-FA14BFB0DF49}"/>
    <cellStyle name="Komma 4 2 2 2 2 3 4" xfId="52160" xr:uid="{CFE3FBA7-16D9-4C9A-A6B0-95479D1089EE}"/>
    <cellStyle name="Komma 4 2 2 2 2 3 5" xfId="55176" xr:uid="{1B5F177D-AE00-4FEF-B8B9-AB7BED19302E}"/>
    <cellStyle name="Komma 4 2 2 2 2 3 6" xfId="19271" xr:uid="{FB3D7EA8-B5A4-4495-B7A8-7BAA1D0FA51F}"/>
    <cellStyle name="Komma 4 2 2 2 2 4" xfId="15770" xr:uid="{823D7C9F-75CA-4652-AB4F-3244E201828C}"/>
    <cellStyle name="Komma 4 2 2 2 2 4 2" xfId="23299" xr:uid="{3C5E928C-DF30-4842-908D-C39FF02A1850}"/>
    <cellStyle name="Komma 4 2 2 2 2 4 3" xfId="47848" xr:uid="{C0DF9AA4-672F-4395-BF05-F9BB6DE7BBD0}"/>
    <cellStyle name="Komma 4 2 2 2 2 4 4" xfId="52637" xr:uid="{9241C50A-9007-4BE0-8374-A40A8934A435}"/>
    <cellStyle name="Komma 4 2 2 2 2 4 5" xfId="55653" xr:uid="{631846FA-3899-4184-8BA2-0BFC8EF17423}"/>
    <cellStyle name="Komma 4 2 2 2 2 4 6" xfId="19416" xr:uid="{9FCC9DA7-9F59-4D52-880A-BDD024CD2C48}"/>
    <cellStyle name="Komma 4 2 2 2 2 5" xfId="12806" xr:uid="{C1FBFC6D-074B-4B06-989D-265D688CA103}"/>
    <cellStyle name="Komma 4 2 2 2 2 5 2" xfId="46797" xr:uid="{2C943A16-A26A-4C3D-B5D5-2B88FB930B8D}"/>
    <cellStyle name="Komma 4 2 2 2 2 5 3" xfId="51206" xr:uid="{6433C79F-6018-48AB-B18A-6E23E4F29487}"/>
    <cellStyle name="Komma 4 2 2 2 2 5 4" xfId="54222" xr:uid="{0C3CAE51-AE2D-4408-B4B0-FF727BC8925B}"/>
    <cellStyle name="Komma 4 2 2 2 2 5 5" xfId="21986" xr:uid="{E02733F8-C24C-44F2-9510-16870BD68208}"/>
    <cellStyle name="Komma 4 2 2 2 2 6" xfId="46097" xr:uid="{2E42ADB1-C510-4CFE-AD06-D72A9802BB2A}"/>
    <cellStyle name="Komma 4 2 2 2 2 7" xfId="50100" xr:uid="{814E79FE-2E7F-4204-9B18-F6F79BAC2BB8}"/>
    <cellStyle name="Komma 4 2 2 2 2 8" xfId="53116" xr:uid="{0806D236-F422-487C-BA48-F6DD546D53F5}"/>
    <cellStyle name="Komma 4 2 2 2 2 9" xfId="18907" xr:uid="{B319F6A6-0757-4AC4-A3B5-E7CF7A10703C}"/>
    <cellStyle name="Komma 4 2 2 2 3" xfId="14586" xr:uid="{A3E3AA3F-106E-42BC-95D9-F88EADF8D0E4}"/>
    <cellStyle name="Komma 4 2 2 2 3 2" xfId="22133" xr:uid="{A006879E-E75C-4201-AEB6-D2666A9F0463}"/>
    <cellStyle name="Komma 4 2 2 2 3 3" xfId="37008" xr:uid="{ADB063DC-F307-4708-8703-070C6F2ECFAF}"/>
    <cellStyle name="Komma 4 2 2 2 3 4" xfId="51471" xr:uid="{185074B3-2648-4D47-9709-A3AD0869270A}"/>
    <cellStyle name="Komma 4 2 2 2 3 5" xfId="54487" xr:uid="{524D9769-C512-4CC6-B4D8-F2DA17DB749D}"/>
    <cellStyle name="Komma 4 2 2 2 3 6" xfId="19068" xr:uid="{A43E9113-147E-45D4-9910-88BCA8C02616}"/>
    <cellStyle name="Komma 4 2 2 2 4" xfId="15070" xr:uid="{FA40348A-C47D-43E7-B8E6-3BF4E7E0500B}"/>
    <cellStyle name="Komma 4 2 2 2 4 2" xfId="22610" xr:uid="{E476A8A8-90C7-481B-BEBB-1B512C6C3C24}"/>
    <cellStyle name="Komma 4 2 2 2 4 3" xfId="24918" xr:uid="{7B875593-0406-4621-8373-EF50F1971B97}"/>
    <cellStyle name="Komma 4 2 2 2 4 4" xfId="51948" xr:uid="{53EE9BBA-9580-4860-9149-41BDB98F8EFA}"/>
    <cellStyle name="Komma 4 2 2 2 4 5" xfId="54964" xr:uid="{692C2204-86A0-466D-851D-2EBA0938BAF9}"/>
    <cellStyle name="Komma 4 2 2 2 4 6" xfId="19210" xr:uid="{9BF2286B-898B-4882-A5DF-258A43A8B94D}"/>
    <cellStyle name="Komma 4 2 2 2 5" xfId="15557" xr:uid="{ADF1454A-7906-4737-87FE-06DE54E7C8B6}"/>
    <cellStyle name="Komma 4 2 2 2 5 2" xfId="23087" xr:uid="{38F4D87D-B4CB-4D0C-B5D4-BA12C955E11C}"/>
    <cellStyle name="Komma 4 2 2 2 5 3" xfId="47844" xr:uid="{5D4908A1-8B97-4936-BE5C-5500CA4FE7B3}"/>
    <cellStyle name="Komma 4 2 2 2 5 4" xfId="52425" xr:uid="{848E714D-C15D-46FA-BF37-D4C8A28ECEC1}"/>
    <cellStyle name="Komma 4 2 2 2 5 5" xfId="55441" xr:uid="{6A3A7593-8FAA-4E6A-A5E3-0DC031DBF26F}"/>
    <cellStyle name="Komma 4 2 2 2 5 6" xfId="19355" xr:uid="{0A36A592-3E30-4A63-8767-2F04C414BD63}"/>
    <cellStyle name="Komma 4 2 2 2 6" xfId="12505" xr:uid="{6AF0BBE1-C1B3-40E9-ABB8-5D332820634F}"/>
    <cellStyle name="Komma 4 2 2 2 6 2" xfId="46316" xr:uid="{3CBE04F8-1AC0-40C8-A753-08B739534E68}"/>
    <cellStyle name="Komma 4 2 2 2 6 3" xfId="50994" xr:uid="{7FAB4F55-F781-445C-BA70-DD2D00E48482}"/>
    <cellStyle name="Komma 4 2 2 2 6 4" xfId="54010" xr:uid="{7CB7FB9C-BE4B-4227-9420-19A5ED34907A}"/>
    <cellStyle name="Komma 4 2 2 2 6 5" xfId="21925" xr:uid="{7A3C449E-B529-4AE8-83DB-7D32CB13206A}"/>
    <cellStyle name="Komma 4 2 2 2 7" xfId="23895" xr:uid="{D1D69809-653E-4F78-B3C7-2494A103F460}"/>
    <cellStyle name="Komma 4 2 2 2 8" xfId="24544" xr:uid="{555C9FE1-B237-44C0-939F-B09B98995DCB}"/>
    <cellStyle name="Komma 4 2 2 2 9" xfId="48744" xr:uid="{57C50B22-C1CA-4CE7-A73B-A4EFC94E7A99}"/>
    <cellStyle name="Komma 4 2 2 3" xfId="10119" xr:uid="{B83AB449-A158-4602-BC2C-E64BABB76E1D}"/>
    <cellStyle name="Komma 4 2 2 3 10" xfId="49651" xr:uid="{E0BDFE58-DE6A-4C26-AD58-D461F7A40D4B}"/>
    <cellStyle name="Komma 4 2 2 3 11" xfId="49941" xr:uid="{9C09F62B-B11E-4AF9-9367-78631BB70FFA}"/>
    <cellStyle name="Komma 4 2 2 3 12" xfId="52957" xr:uid="{8C927D10-E63D-4991-B700-2E14251007F3}"/>
    <cellStyle name="Komma 4 2 2 3 13" xfId="18791" xr:uid="{9CDF3EF3-1A1B-4EC0-80EA-FA36DDAF36DA}"/>
    <cellStyle name="Komma 4 2 2 3 2" xfId="10432" xr:uid="{050699B7-8B19-49A1-A367-215A0F926514}"/>
    <cellStyle name="Komma 4 2 2 3 2 2" xfId="14851" xr:uid="{2BE4874F-915D-4B80-9270-EC57B47985B6}"/>
    <cellStyle name="Komma 4 2 2 3 2 2 2" xfId="22398" xr:uid="{943973BA-7620-4728-9E0D-56D63286EA68}"/>
    <cellStyle name="Komma 4 2 2 3 2 2 3" xfId="48354" xr:uid="{15CAA261-4631-439D-AEAB-F64F78955771}"/>
    <cellStyle name="Komma 4 2 2 3 2 2 4" xfId="51736" xr:uid="{896AEA85-A69F-4056-BFF0-DA2A6AF00404}"/>
    <cellStyle name="Komma 4 2 2 3 2 2 5" xfId="54752" xr:uid="{5C421038-BF8B-46C4-8649-2127B05CD2B6}"/>
    <cellStyle name="Komma 4 2 2 3 2 2 6" xfId="19143" xr:uid="{81317202-915F-4AFE-A3FF-A49E79E0E174}"/>
    <cellStyle name="Komma 4 2 2 3 2 3" xfId="15336" xr:uid="{9232483C-1826-47E5-A6F3-0897A46600B1}"/>
    <cellStyle name="Komma 4 2 2 3 2 3 2" xfId="22875" xr:uid="{D800438B-E6A2-427A-BC49-3A0D015D17A2}"/>
    <cellStyle name="Komma 4 2 2 3 2 3 3" xfId="48074" xr:uid="{B54AAE2F-93F2-4DCD-8BA5-5D3281E87E36}"/>
    <cellStyle name="Komma 4 2 2 3 2 3 4" xfId="52213" xr:uid="{D96782D4-0A5F-4683-B525-A3D09ABACC06}"/>
    <cellStyle name="Komma 4 2 2 3 2 3 5" xfId="55229" xr:uid="{4912D403-87A8-43C0-AA9B-BCB1BF77543C}"/>
    <cellStyle name="Komma 4 2 2 3 2 3 6" xfId="19286" xr:uid="{07AE8826-20C5-4E35-8475-9A37086116A8}"/>
    <cellStyle name="Komma 4 2 2 3 2 4" xfId="15823" xr:uid="{923C0849-58EE-4310-8BEA-4B6FB45C3A0A}"/>
    <cellStyle name="Komma 4 2 2 3 2 4 2" xfId="23352" xr:uid="{6F30AF43-FFF3-44AE-8254-F11CB6F280BE}"/>
    <cellStyle name="Komma 4 2 2 3 2 4 3" xfId="46592" xr:uid="{12C894EF-1EAA-4202-A79D-A7D8CF6BBA8B}"/>
    <cellStyle name="Komma 4 2 2 3 2 4 4" xfId="52690" xr:uid="{168CDE21-590A-4CB7-A66D-202736E2F327}"/>
    <cellStyle name="Komma 4 2 2 3 2 4 5" xfId="55706" xr:uid="{DA86CDAC-2881-474B-877A-45758C7BFB40}"/>
    <cellStyle name="Komma 4 2 2 3 2 4 6" xfId="19431" xr:uid="{FCAFE731-9FC9-4EE8-AA4C-6E459AC6397D}"/>
    <cellStyle name="Komma 4 2 2 3 2 5" xfId="12885" xr:uid="{4F3D1856-9F16-4F11-835F-0488204763A8}"/>
    <cellStyle name="Komma 4 2 2 3 2 5 2" xfId="47529" xr:uid="{4148FB68-B22E-4D92-B0CB-120AA1A3BA92}"/>
    <cellStyle name="Komma 4 2 2 3 2 5 3" xfId="51259" xr:uid="{18DFFD8E-F509-4311-B268-85155F01A5CF}"/>
    <cellStyle name="Komma 4 2 2 3 2 5 4" xfId="54275" xr:uid="{7BD630C9-197B-4AB8-AABA-31C867699DAA}"/>
    <cellStyle name="Komma 4 2 2 3 2 5 5" xfId="22001" xr:uid="{774BAE59-6B5F-414A-8584-89F36CFE8C7E}"/>
    <cellStyle name="Komma 4 2 2 3 2 6" xfId="24264" xr:uid="{EE774EEF-714B-47BD-B379-B45DE3C7314B}"/>
    <cellStyle name="Komma 4 2 2 3 2 7" xfId="50153" xr:uid="{BC496FE0-3E79-465D-A015-268BB000F838}"/>
    <cellStyle name="Komma 4 2 2 3 2 8" xfId="53169" xr:uid="{6AD33D11-DBDF-42B1-A89B-78760539249B}"/>
    <cellStyle name="Komma 4 2 2 3 2 9" xfId="18948" xr:uid="{0FA1A102-EC6E-43F7-A976-F5B3A71A45A0}"/>
    <cellStyle name="Komma 4 2 2 3 3" xfId="14639" xr:uid="{4C4E5AC3-B2E1-4DC6-A4FE-504D3EB91231}"/>
    <cellStyle name="Komma 4 2 2 3 3 2" xfId="22186" xr:uid="{6A59A314-DAE0-40A8-88AC-145485082053}"/>
    <cellStyle name="Komma 4 2 2 3 3 3" xfId="47064" xr:uid="{2D6542C0-3F0F-4446-AAF1-22E1F54D8F1A}"/>
    <cellStyle name="Komma 4 2 2 3 3 4" xfId="51524" xr:uid="{0D8CF1D2-E50C-4C5D-90C8-4F341113BAF3}"/>
    <cellStyle name="Komma 4 2 2 3 3 5" xfId="54540" xr:uid="{EB07D09D-893A-47A2-865A-FCD9837F323F}"/>
    <cellStyle name="Komma 4 2 2 3 3 6" xfId="19083" xr:uid="{A3F1D9BF-0892-44DD-AFD9-70A4B3B09441}"/>
    <cellStyle name="Komma 4 2 2 3 4" xfId="15124" xr:uid="{B18993E8-44E2-48D0-8C80-F5CAC619DE03}"/>
    <cellStyle name="Komma 4 2 2 3 4 2" xfId="22663" xr:uid="{06E390E4-0937-4B6C-8677-06B8DA70FD0A}"/>
    <cellStyle name="Komma 4 2 2 3 4 3" xfId="46883" xr:uid="{39DC5EFB-314A-4387-B22E-257BD03C4617}"/>
    <cellStyle name="Komma 4 2 2 3 4 4" xfId="52001" xr:uid="{E656CB6D-3599-4B38-9E73-931662080219}"/>
    <cellStyle name="Komma 4 2 2 3 4 5" xfId="55017" xr:uid="{E0747B7E-4DAB-4F45-859A-7B6C9C152C2A}"/>
    <cellStyle name="Komma 4 2 2 3 4 6" xfId="19226" xr:uid="{A283E601-8690-442D-94D4-2B2ADDD4ED26}"/>
    <cellStyle name="Komma 4 2 2 3 5" xfId="15611" xr:uid="{D8BF80CD-EE43-4930-B2DC-37F63A5C0046}"/>
    <cellStyle name="Komma 4 2 2 3 5 2" xfId="23140" xr:uid="{2EC81047-B3B2-4E43-8F2C-A3429BDC6733}"/>
    <cellStyle name="Komma 4 2 2 3 5 3" xfId="48519" xr:uid="{4479E34C-3741-4227-BFD1-4F3F8B1E4279}"/>
    <cellStyle name="Komma 4 2 2 3 5 4" xfId="52478" xr:uid="{82C86504-220F-49CD-862B-01D0D594CBB9}"/>
    <cellStyle name="Komma 4 2 2 3 5 5" xfId="55494" xr:uid="{61330A8B-4A1C-42CD-BF6A-A19B4D1A94BC}"/>
    <cellStyle name="Komma 4 2 2 3 5 6" xfId="19371" xr:uid="{65270745-E0C8-4629-BD74-233AEF6B8407}"/>
    <cellStyle name="Komma 4 2 2 3 6" xfId="12576" xr:uid="{837280C6-A664-45FF-8D09-05D57FBADD80}"/>
    <cellStyle name="Komma 4 2 2 3 6 2" xfId="47741" xr:uid="{3B225F7A-207A-4344-ACC7-29366DF68BE0}"/>
    <cellStyle name="Komma 4 2 2 3 6 3" xfId="51047" xr:uid="{F3CDD8FD-3DF9-43BA-AC1D-8DC83F776CD0}"/>
    <cellStyle name="Komma 4 2 2 3 6 4" xfId="54063" xr:uid="{D2CACC4C-182B-416F-9612-3B5C9AA590B5}"/>
    <cellStyle name="Komma 4 2 2 3 6 5" xfId="21941" xr:uid="{E6BEB5A7-73C5-4069-A4C6-0721C8242646}"/>
    <cellStyle name="Komma 4 2 2 3 7" xfId="23896" xr:uid="{7264F1C1-7BF3-4678-AC92-1A74CF6C1BCE}"/>
    <cellStyle name="Komma 4 2 2 3 8" xfId="47061" xr:uid="{C2FD2787-A2B3-46BC-827C-7B5C189DE6D2}"/>
    <cellStyle name="Komma 4 2 2 3 9" xfId="48745" xr:uid="{65DFD3E3-6FFF-4667-A706-E3DA2BE3A639}"/>
    <cellStyle name="Komma 4 2 2 4" xfId="10198" xr:uid="{A90FEC32-65D7-407E-9E16-2E4139C68205}"/>
    <cellStyle name="Komma 4 2 2 4 10" xfId="18829" xr:uid="{E31D4E6D-FF11-4A30-AFBE-4F40326A8469}"/>
    <cellStyle name="Komma 4 2 2 4 2" xfId="10512" xr:uid="{40FC1F6D-BF49-4E93-B9EF-874BC3AC0F24}"/>
    <cellStyle name="Komma 4 2 2 4 2 2" xfId="14904" xr:uid="{E95B78D6-5834-4087-BC4F-B4A3C74FA6C7}"/>
    <cellStyle name="Komma 4 2 2 4 2 2 2" xfId="22451" xr:uid="{880232F6-3F45-47CD-B022-8A0F688CD502}"/>
    <cellStyle name="Komma 4 2 2 4 2 2 3" xfId="36975" xr:uid="{F57C4BCC-9CFC-458C-8142-D37166F5FEAE}"/>
    <cellStyle name="Komma 4 2 2 4 2 2 4" xfId="51789" xr:uid="{8F03DD1A-DD67-4F31-82BD-A3C0EBE19B49}"/>
    <cellStyle name="Komma 4 2 2 4 2 2 5" xfId="54805" xr:uid="{C3876A65-27D0-4272-B01C-921909FC4D53}"/>
    <cellStyle name="Komma 4 2 2 4 2 2 6" xfId="19158" xr:uid="{BF6D5F04-E100-48C2-8859-5BE25E422647}"/>
    <cellStyle name="Komma 4 2 2 4 2 3" xfId="15389" xr:uid="{CFF5B9A2-FD6D-4E29-869B-3B9912E4BFDE}"/>
    <cellStyle name="Komma 4 2 2 4 2 3 2" xfId="22928" xr:uid="{A28789AF-5749-4755-99FF-F067214C09CA}"/>
    <cellStyle name="Komma 4 2 2 4 2 3 3" xfId="46916" xr:uid="{72BB6382-60B7-4FAD-8495-E06E2561E3F3}"/>
    <cellStyle name="Komma 4 2 2 4 2 3 4" xfId="52266" xr:uid="{7ACB61C8-2758-4E17-9E17-0C5A0A741DBF}"/>
    <cellStyle name="Komma 4 2 2 4 2 3 5" xfId="55282" xr:uid="{8337228F-C1CA-48BC-9775-CFECD8332E05}"/>
    <cellStyle name="Komma 4 2 2 4 2 3 6" xfId="19301" xr:uid="{07E072FD-623F-469B-88B0-AFDADD5B8559}"/>
    <cellStyle name="Komma 4 2 2 4 2 4" xfId="15876" xr:uid="{5D9FC967-812D-4909-9534-8FE980739B2A}"/>
    <cellStyle name="Komma 4 2 2 4 2 4 2" xfId="23405" xr:uid="{6F1EF1A9-9CBF-4E79-8A48-E6F5920A00D9}"/>
    <cellStyle name="Komma 4 2 2 4 2 4 3" xfId="47452" xr:uid="{17512D3F-EE9C-49B8-B60B-6E3A416443B2}"/>
    <cellStyle name="Komma 4 2 2 4 2 4 4" xfId="52743" xr:uid="{DFFCBA22-1AB5-4C67-82F5-B16285A2750F}"/>
    <cellStyle name="Komma 4 2 2 4 2 4 5" xfId="55759" xr:uid="{8E64C39D-EF18-4043-9517-D2F5A84344C7}"/>
    <cellStyle name="Komma 4 2 2 4 2 4 6" xfId="19446" xr:uid="{F914682E-F759-479B-ADD3-5C17D2B2DF2E}"/>
    <cellStyle name="Komma 4 2 2 4 2 5" xfId="12965" xr:uid="{847C5820-5E33-4955-A827-11187624C850}"/>
    <cellStyle name="Komma 4 2 2 4 2 5 2" xfId="47368" xr:uid="{129EAE4E-CB41-4C5A-B0F6-925D843A4A48}"/>
    <cellStyle name="Komma 4 2 2 4 2 5 3" xfId="51312" xr:uid="{A616A121-1438-4EEE-9DBE-CB779475DDE5}"/>
    <cellStyle name="Komma 4 2 2 4 2 5 4" xfId="54328" xr:uid="{BE8504FA-B621-4FE1-97A7-E6DD15711B77}"/>
    <cellStyle name="Komma 4 2 2 4 2 5 5" xfId="22016" xr:uid="{9D4C615D-994E-40B1-9951-F64AD79E28D2}"/>
    <cellStyle name="Komma 4 2 2 4 2 6" xfId="46629" xr:uid="{102F60E1-109C-417C-ADE9-E95572777053}"/>
    <cellStyle name="Komma 4 2 2 4 2 7" xfId="50206" xr:uid="{3D144846-3C2B-4E7A-8164-7F1E04F898F8}"/>
    <cellStyle name="Komma 4 2 2 4 2 8" xfId="53222" xr:uid="{9E11BE4F-C0F8-4D75-9462-48A458A550CB}"/>
    <cellStyle name="Komma 4 2 2 4 2 9" xfId="18990" xr:uid="{B0B2E2F1-DBC1-46A0-A711-B9AB3501B709}"/>
    <cellStyle name="Komma 4 2 2 4 3" xfId="14692" xr:uid="{E4299360-664B-4AB4-8EA0-A23EF55AC364}"/>
    <cellStyle name="Komma 4 2 2 4 3 2" xfId="22239" xr:uid="{F87A7DC0-C063-4BBA-B200-FCEF149E8681}"/>
    <cellStyle name="Komma 4 2 2 4 3 3" xfId="48406" xr:uid="{A7975A96-3E7F-4E96-A323-EADBBABA366F}"/>
    <cellStyle name="Komma 4 2 2 4 3 4" xfId="51577" xr:uid="{429EF615-A12E-4A5D-96E1-4FEB1114860F}"/>
    <cellStyle name="Komma 4 2 2 4 3 5" xfId="54593" xr:uid="{4F1B48C8-9B26-4F58-8E4A-9067055A561E}"/>
    <cellStyle name="Komma 4 2 2 4 3 6" xfId="19098" xr:uid="{C4899154-6EDC-4113-8491-89DCEB4A03ED}"/>
    <cellStyle name="Komma 4 2 2 4 4" xfId="15177" xr:uid="{7E02F7C0-6918-4192-825D-49C3F8FA208E}"/>
    <cellStyle name="Komma 4 2 2 4 4 2" xfId="22716" xr:uid="{1D64B655-01C1-4345-8BD1-AF66E71ECC8E}"/>
    <cellStyle name="Komma 4 2 2 4 4 3" xfId="47109" xr:uid="{FED0EACB-720E-4AD2-B414-DB4504B51FDB}"/>
    <cellStyle name="Komma 4 2 2 4 4 4" xfId="52054" xr:uid="{BB1F783F-C1E6-4B3E-AB0E-E305BFE15165}"/>
    <cellStyle name="Komma 4 2 2 4 4 5" xfId="55070" xr:uid="{0633DFD7-9FFA-4E95-84EF-66B564DECB11}"/>
    <cellStyle name="Komma 4 2 2 4 4 6" xfId="19241" xr:uid="{3CDF3342-FDA3-4F45-B452-A56119F1E384}"/>
    <cellStyle name="Komma 4 2 2 4 5" xfId="15664" xr:uid="{64A8B6CC-54CA-4A22-9229-04225D633510}"/>
    <cellStyle name="Komma 4 2 2 4 5 2" xfId="23193" xr:uid="{7ECCC9AF-04E1-4C19-9C81-7326FEEA1CA0}"/>
    <cellStyle name="Komma 4 2 2 4 5 3" xfId="48368" xr:uid="{BB9F93E5-4E25-43BA-BAA0-A3E7374E6097}"/>
    <cellStyle name="Komma 4 2 2 4 5 4" xfId="52531" xr:uid="{0BEDDADF-278A-4888-B5A3-D09A45D2BE0F}"/>
    <cellStyle name="Komma 4 2 2 4 5 5" xfId="55547" xr:uid="{7C787140-5B93-4F05-91CB-B15044D8A4B5}"/>
    <cellStyle name="Komma 4 2 2 4 5 6" xfId="19386" xr:uid="{5181D14C-4C05-46C6-B3D0-BAEB83F9FC47}"/>
    <cellStyle name="Komma 4 2 2 4 6" xfId="12652" xr:uid="{330982EF-0C98-4435-8C89-3807D0FEAAB0}"/>
    <cellStyle name="Komma 4 2 2 4 6 2" xfId="46336" xr:uid="{188F8C10-5E46-44CE-AC18-0635FA29CD50}"/>
    <cellStyle name="Komma 4 2 2 4 6 3" xfId="51100" xr:uid="{D158E6CF-A08B-4BB2-AA80-4AD46FB61009}"/>
    <cellStyle name="Komma 4 2 2 4 6 4" xfId="54116" xr:uid="{42A847E4-1DA5-4D63-BFFE-316298F9F311}"/>
    <cellStyle name="Komma 4 2 2 4 6 5" xfId="21956" xr:uid="{2BF07CA0-7360-4CDF-91CA-B0C33B824FD7}"/>
    <cellStyle name="Komma 4 2 2 4 7" xfId="48280" xr:uid="{5979F6A7-3B2B-4C3B-8C7A-A9020C38853E}"/>
    <cellStyle name="Komma 4 2 2 4 8" xfId="49994" xr:uid="{C26BAFE7-6AB2-473A-B60C-F2357E10EEEC}"/>
    <cellStyle name="Komma 4 2 2 4 9" xfId="53010" xr:uid="{A6EC0803-B219-4863-9A1B-56C84253FF3F}"/>
    <cellStyle name="Komma 4 2 2 5" xfId="10278" xr:uid="{936DD5E3-1ECA-4530-A07A-5E63FD184187}"/>
    <cellStyle name="Komma 4 2 2 5 2" xfId="14745" xr:uid="{027DAF20-F17F-4CA9-BFFE-D320D4B85BB7}"/>
    <cellStyle name="Komma 4 2 2 5 2 2" xfId="22292" xr:uid="{A2F724DC-367C-4190-9D35-D2E2851A6E95}"/>
    <cellStyle name="Komma 4 2 2 5 2 3" xfId="47180" xr:uid="{DBC6D182-E6AF-4337-AE76-5A8F0D43531B}"/>
    <cellStyle name="Komma 4 2 2 5 2 4" xfId="51630" xr:uid="{20EA3F68-1645-444B-81D9-9024D04C7FAC}"/>
    <cellStyle name="Komma 4 2 2 5 2 5" xfId="54646" xr:uid="{BD786E8E-BA3F-4C6E-90AA-6D53B7CF80C6}"/>
    <cellStyle name="Komma 4 2 2 5 2 6" xfId="19113" xr:uid="{E7647E77-52A0-40AE-9447-D214233CE454}"/>
    <cellStyle name="Komma 4 2 2 5 3" xfId="15230" xr:uid="{C1D0CA42-7EA4-419A-A781-6C12B652D812}"/>
    <cellStyle name="Komma 4 2 2 5 3 2" xfId="22769" xr:uid="{71C1961E-6E98-4513-ACC5-828F6CC62E46}"/>
    <cellStyle name="Komma 4 2 2 5 3 3" xfId="47490" xr:uid="{99365B6A-7E0B-4F6D-B1C0-DA2496CF3EAD}"/>
    <cellStyle name="Komma 4 2 2 5 3 4" xfId="52107" xr:uid="{084E8156-CDA1-4553-8C99-F379C5BA1E8F}"/>
    <cellStyle name="Komma 4 2 2 5 3 5" xfId="55123" xr:uid="{B77C7749-E4FB-4C82-851E-9DAFF0680C0B}"/>
    <cellStyle name="Komma 4 2 2 5 3 6" xfId="19256" xr:uid="{ECEB0D2B-FAFA-4D47-9CB3-44600B44B81D}"/>
    <cellStyle name="Komma 4 2 2 5 4" xfId="15717" xr:uid="{F1EA1B39-2AE5-4D03-BD61-346F812549CF}"/>
    <cellStyle name="Komma 4 2 2 5 4 2" xfId="23246" xr:uid="{757C18DC-50BC-4D42-ABCE-1CE0CDC06D17}"/>
    <cellStyle name="Komma 4 2 2 5 4 3" xfId="47792" xr:uid="{1F7A25CC-4772-4B23-BE94-46F959FB1D5C}"/>
    <cellStyle name="Komma 4 2 2 5 4 4" xfId="52584" xr:uid="{50216C1F-3E44-428B-9FD5-F35583318F1E}"/>
    <cellStyle name="Komma 4 2 2 5 4 5" xfId="55600" xr:uid="{1C6A0318-CF53-432C-B581-FDFD328C9C15}"/>
    <cellStyle name="Komma 4 2 2 5 4 6" xfId="19401" xr:uid="{F1F3410C-CA5C-4D91-B627-3129CA8A85AC}"/>
    <cellStyle name="Komma 4 2 2 5 5" xfId="12731" xr:uid="{5D384ED0-E093-4481-8B6D-0F8BBB2FB180}"/>
    <cellStyle name="Komma 4 2 2 5 5 2" xfId="46668" xr:uid="{3B61D1A0-CB33-413B-B2D9-4F39ABB1051D}"/>
    <cellStyle name="Komma 4 2 2 5 5 3" xfId="51153" xr:uid="{9BFB6D00-B42E-4875-843D-479896686E6E}"/>
    <cellStyle name="Komma 4 2 2 5 5 4" xfId="54169" xr:uid="{3399EE2F-2844-4832-8A77-38A08D8777AF}"/>
    <cellStyle name="Komma 4 2 2 5 5 5" xfId="21971" xr:uid="{6E526598-6168-4D21-81BA-12E2088727D2}"/>
    <cellStyle name="Komma 4 2 2 5 6" xfId="46082" xr:uid="{EA3741A2-8221-431D-8D29-03A2BC995E9B}"/>
    <cellStyle name="Komma 4 2 2 5 7" xfId="50047" xr:uid="{4B372D3F-C31A-4D8B-B5E0-6E3659F2E1E1}"/>
    <cellStyle name="Komma 4 2 2 5 8" xfId="53063" xr:uid="{0065398B-4D8B-4B96-9822-C98B74301231}"/>
    <cellStyle name="Komma 4 2 2 5 9" xfId="18870" xr:uid="{5C9E358E-CC3A-430E-994F-8C0E72024FCF}"/>
    <cellStyle name="Komma 4 2 2 6" xfId="10592" xr:uid="{14221603-AB71-421B-AEFC-845C9AAFD93F}"/>
    <cellStyle name="Komma 4 2 2 6 2" xfId="14957" xr:uid="{463267CF-6B1F-41B2-8AEE-CAF7E651FF54}"/>
    <cellStyle name="Komma 4 2 2 6 2 2" xfId="22504" xr:uid="{AD3DCA0D-FBCA-430A-9FFE-2C93CD663C1E}"/>
    <cellStyle name="Komma 4 2 2 6 2 3" xfId="47934" xr:uid="{3FBD9BC5-5B2B-4B3B-ACCC-B638B5571A04}"/>
    <cellStyle name="Komma 4 2 2 6 2 4" xfId="51842" xr:uid="{16171123-2421-480A-9101-DBFCABB163B4}"/>
    <cellStyle name="Komma 4 2 2 6 2 5" xfId="54858" xr:uid="{DAB1707A-5752-44BC-AF41-E165BECFA2E5}"/>
    <cellStyle name="Komma 4 2 2 6 2 6" xfId="19173" xr:uid="{A7D4C9A5-135D-4155-98A5-3368A3C8F2CB}"/>
    <cellStyle name="Komma 4 2 2 6 3" xfId="15442" xr:uid="{A649DAA8-0F2D-49AB-A944-4D7BD8CE32CF}"/>
    <cellStyle name="Komma 4 2 2 6 3 2" xfId="22981" xr:uid="{A073EA67-5699-40AE-A063-AD1F71BE53FF}"/>
    <cellStyle name="Komma 4 2 2 6 3 3" xfId="46922" xr:uid="{C860DDC0-6B8F-4A55-B404-DC5DE8A7AB2B}"/>
    <cellStyle name="Komma 4 2 2 6 3 4" xfId="52319" xr:uid="{2E62B359-82D7-461F-BEFD-ABF20FE86179}"/>
    <cellStyle name="Komma 4 2 2 6 3 5" xfId="55335" xr:uid="{2E0F4CC3-B42E-4239-964A-6C591690018E}"/>
    <cellStyle name="Komma 4 2 2 6 3 6" xfId="19316" xr:uid="{A2FDD912-28D3-43D6-8F4E-B45CD36B0585}"/>
    <cellStyle name="Komma 4 2 2 6 4" xfId="15930" xr:uid="{2A0B606C-47C6-41D9-A33A-C28E82A01568}"/>
    <cellStyle name="Komma 4 2 2 6 4 2" xfId="23458" xr:uid="{0A7FCE64-14C5-4399-A6B9-21CB5938EBBE}"/>
    <cellStyle name="Komma 4 2 2 6 4 3" xfId="47260" xr:uid="{F5A0EE49-30A2-47B1-ADE7-EAF176176667}"/>
    <cellStyle name="Komma 4 2 2 6 4 4" xfId="52796" xr:uid="{B2F8F6B1-D830-41F6-BF2A-CE97AD0A3FAF}"/>
    <cellStyle name="Komma 4 2 2 6 4 5" xfId="55812" xr:uid="{BF1FAEF9-D75F-4409-8EF1-1CD4DF0B992C}"/>
    <cellStyle name="Komma 4 2 2 6 4 6" xfId="19462" xr:uid="{7579B31F-4151-456D-B261-668CFFE2691D}"/>
    <cellStyle name="Komma 4 2 2 6 5" xfId="13045" xr:uid="{F32889A1-79C2-4AE4-A87F-10DF180C7DC3}"/>
    <cellStyle name="Komma 4 2 2 6 5 2" xfId="48292" xr:uid="{97D65E3E-0693-43AD-A9EE-CE4FB729AF85}"/>
    <cellStyle name="Komma 4 2 2 6 5 3" xfId="51365" xr:uid="{0E31FE1B-88A8-4FDF-BFBB-252143A28C4A}"/>
    <cellStyle name="Komma 4 2 2 6 5 4" xfId="54381" xr:uid="{F6BBC0C2-F7F1-4F74-AC5C-CE6C4B3A26E7}"/>
    <cellStyle name="Komma 4 2 2 6 5 5" xfId="22031" xr:uid="{7F6B63BA-C79E-455D-9CE5-770AE83BEE1C}"/>
    <cellStyle name="Komma 4 2 2 6 6" xfId="46633" xr:uid="{FD102F6E-F29B-45B3-A691-08777DBFB1B2}"/>
    <cellStyle name="Komma 4 2 2 6 7" xfId="50259" xr:uid="{0343B750-3553-4F9B-A980-8A6E93A20141}"/>
    <cellStyle name="Komma 4 2 2 6 8" xfId="53275" xr:uid="{9D04EA68-0ED5-44CC-AB5B-4B6A9E386762}"/>
    <cellStyle name="Komma 4 2 2 6 9" xfId="19032" xr:uid="{9E6EFC73-F77E-4753-A1A5-4DA6446CBF5B}"/>
    <cellStyle name="Komma 4 2 2 7" xfId="14533" xr:uid="{FBD4E3EF-1190-4A02-9E22-55111C0F73B2}"/>
    <cellStyle name="Komma 4 2 2 7 2" xfId="22080" xr:uid="{AF1391EC-9EF9-47A3-8EB5-07ABB9F2A7D1}"/>
    <cellStyle name="Komma 4 2 2 7 3" xfId="46393" xr:uid="{7F533F6A-A173-4AC0-92DE-C2574A4843FE}"/>
    <cellStyle name="Komma 4 2 2 7 4" xfId="51418" xr:uid="{0817DFD2-4E07-4663-84AF-FB99CE03D9E5}"/>
    <cellStyle name="Komma 4 2 2 7 5" xfId="54434" xr:uid="{492E66A1-35C4-4A15-B544-A98BABBD8E22}"/>
    <cellStyle name="Komma 4 2 2 7 6" xfId="19053" xr:uid="{626549C8-F443-4D8D-9416-E6E854E67375}"/>
    <cellStyle name="Komma 4 2 2 8" xfId="15017" xr:uid="{5A056DF6-4E8C-436C-B83B-EBEC0CCA92B9}"/>
    <cellStyle name="Komma 4 2 2 8 2" xfId="22557" xr:uid="{4CCD5C4B-8CCB-4C90-BA1D-0DAF1ED8E41C}"/>
    <cellStyle name="Komma 4 2 2 8 3" xfId="48123" xr:uid="{CBFB98B7-2E2E-49BC-ABDF-4BB7D24331BB}"/>
    <cellStyle name="Komma 4 2 2 8 4" xfId="51895" xr:uid="{1AD08121-BA3E-4ED0-AB72-B7E32FC505D0}"/>
    <cellStyle name="Komma 4 2 2 8 5" xfId="54911" xr:uid="{57C2056A-334E-4764-8E67-16B078BEEB02}"/>
    <cellStyle name="Komma 4 2 2 8 6" xfId="19195" xr:uid="{0CCDAC0B-4359-4581-8F09-46A1BADBCC2E}"/>
    <cellStyle name="Komma 4 2 2 9" xfId="15504" xr:uid="{D284B5CC-CDDB-480B-AD12-3C59D6007C49}"/>
    <cellStyle name="Komma 4 2 2 9 2" xfId="23034" xr:uid="{BD28C102-CBE6-4748-803A-795223B63A99}"/>
    <cellStyle name="Komma 4 2 2 9 3" xfId="48364" xr:uid="{770569E9-E3EB-4A4F-AB39-98E06CC662BF}"/>
    <cellStyle name="Komma 4 2 2 9 4" xfId="52372" xr:uid="{02F81C7F-489B-4FA6-87BA-E775469B045E}"/>
    <cellStyle name="Komma 4 2 2 9 5" xfId="55388" xr:uid="{7DA8FEF1-39E6-4408-BFDF-30E209C44B9E}"/>
    <cellStyle name="Komma 4 2 2 9 6" xfId="19340" xr:uid="{427CA8F0-47FE-4076-BC4C-5CC70329A324}"/>
    <cellStyle name="Komma 4 2 3" xfId="10044" xr:uid="{94AC0871-DB2B-4992-B82D-52D7D22A4734}"/>
    <cellStyle name="Komma 4 2 3 10" xfId="49652" xr:uid="{1D0E8A14-A159-4B44-ACA9-589B6BC6409E}"/>
    <cellStyle name="Komma 4 2 3 11" xfId="49887" xr:uid="{A671FBA2-4D2E-4783-B6BC-C65103F24D79}"/>
    <cellStyle name="Komma 4 2 3 12" xfId="52903" xr:uid="{A4A446C4-64A0-4C87-A1DC-A2837D5F5E7F}"/>
    <cellStyle name="Komma 4 2 3 13" xfId="18757" xr:uid="{2B5E2520-B8B0-4B24-8396-2423AB81F9F3}"/>
    <cellStyle name="Komma 4 2 3 2" xfId="10352" xr:uid="{D6EAED5F-008F-4734-AD2A-B4B19B380C85}"/>
    <cellStyle name="Komma 4 2 3 2 10" xfId="50099" xr:uid="{BA194E35-D6AE-4A4B-9589-C776643F71EF}"/>
    <cellStyle name="Komma 4 2 3 2 11" xfId="53115" xr:uid="{D5316ECC-B4A9-4383-B1A4-FA012010C5EA}"/>
    <cellStyle name="Komma 4 2 3 2 12" xfId="18906" xr:uid="{CD3599C3-94E8-4312-919F-317F74D6481C}"/>
    <cellStyle name="Komma 4 2 3 2 2" xfId="14797" xr:uid="{EC8C7118-70C3-4F53-A956-AC5120767C9A}"/>
    <cellStyle name="Komma 4 2 3 2 2 2" xfId="22344" xr:uid="{CD19815F-CA30-4EB9-BFEA-0B6B3D1D5623}"/>
    <cellStyle name="Komma 4 2 3 2 2 3" xfId="48118" xr:uid="{CE626273-A7CB-49DC-B701-7C4B71FABF1B}"/>
    <cellStyle name="Komma 4 2 3 2 2 4" xfId="51682" xr:uid="{1744F30B-3C6A-4331-83DC-3E9DBE4AFB3F}"/>
    <cellStyle name="Komma 4 2 3 2 2 5" xfId="54698" xr:uid="{B49874E1-D969-4011-98F6-0DB8AAF0EA1C}"/>
    <cellStyle name="Komma 4 2 3 2 2 6" xfId="19127" xr:uid="{03668F7E-D67A-4F99-8ADD-D556F8B7108E}"/>
    <cellStyle name="Komma 4 2 3 2 3" xfId="15282" xr:uid="{BFA15ECE-88C7-4444-970D-60134C26A58C}"/>
    <cellStyle name="Komma 4 2 3 2 3 2" xfId="22821" xr:uid="{9935DD2B-2F1E-4AEC-B566-8E64AD918DE4}"/>
    <cellStyle name="Komma 4 2 3 2 3 3" xfId="47721" xr:uid="{0B5F133C-408F-4CBE-A368-C351A94E53DA}"/>
    <cellStyle name="Komma 4 2 3 2 3 4" xfId="52159" xr:uid="{FFD24BAA-A576-4E7C-A480-EAC565B31314}"/>
    <cellStyle name="Komma 4 2 3 2 3 5" xfId="55175" xr:uid="{1F351F2C-F276-428E-BDBF-C2D8DCB75787}"/>
    <cellStyle name="Komma 4 2 3 2 3 6" xfId="19270" xr:uid="{24A18476-5CD6-417D-9DE2-3DAA02EA1720}"/>
    <cellStyle name="Komma 4 2 3 2 4" xfId="15769" xr:uid="{BFF51AFF-D611-47D7-ADEC-6B3CB5E1C952}"/>
    <cellStyle name="Komma 4 2 3 2 4 2" xfId="23298" xr:uid="{71802185-E60F-4A6F-93C7-E51575C3D765}"/>
    <cellStyle name="Komma 4 2 3 2 4 3" xfId="24894" xr:uid="{65E7EFBB-B13B-4A1D-AD39-6213D697A982}"/>
    <cellStyle name="Komma 4 2 3 2 4 4" xfId="52636" xr:uid="{49C63361-0F42-4DFE-A373-5925095663C5}"/>
    <cellStyle name="Komma 4 2 3 2 4 5" xfId="55652" xr:uid="{2319EBC9-C5F0-4130-8735-1F8DEC8B781E}"/>
    <cellStyle name="Komma 4 2 3 2 4 6" xfId="19415" xr:uid="{225BE565-CBCF-48F7-9B06-691F04EDEE41}"/>
    <cellStyle name="Komma 4 2 3 2 5" xfId="12805" xr:uid="{FACCF953-9D64-406D-B913-F77755AD169D}"/>
    <cellStyle name="Komma 4 2 3 2 5 2" xfId="47230" xr:uid="{2EE26725-065A-4565-B77F-01DA397B3ED0}"/>
    <cellStyle name="Komma 4 2 3 2 5 3" xfId="51205" xr:uid="{4C0E1D10-553C-49D7-8D1E-A106BF63038F}"/>
    <cellStyle name="Komma 4 2 3 2 5 4" xfId="54221" xr:uid="{E78BFB4D-CF91-4520-91E6-838E4009DB82}"/>
    <cellStyle name="Komma 4 2 3 2 5 5" xfId="21985" xr:uid="{A72CE8C8-3D77-44E6-8954-001A739715D5}"/>
    <cellStyle name="Komma 4 2 3 2 6" xfId="23898" xr:uid="{BC4FB9E8-455D-408B-AEDE-573F4F6A806A}"/>
    <cellStyle name="Komma 4 2 3 2 7" xfId="33107" xr:uid="{BE1751ED-C920-4EA7-8375-2ECE41CA1D96}"/>
    <cellStyle name="Komma 4 2 3 2 8" xfId="48747" xr:uid="{E87D3ADF-AAA5-4B92-ABAF-BB3DBE4142AA}"/>
    <cellStyle name="Komma 4 2 3 2 9" xfId="49653" xr:uid="{B6CEC696-760C-4EC0-9B07-AB49330CAB8A}"/>
    <cellStyle name="Komma 4 2 3 3" xfId="14585" xr:uid="{A8687689-8DBD-4972-983C-BDF378A32609}"/>
    <cellStyle name="Komma 4 2 3 3 2" xfId="22132" xr:uid="{DF62CC88-6B98-466E-9542-E9D75286A025}"/>
    <cellStyle name="Komma 4 2 3 3 3" xfId="46404" xr:uid="{FB7593AC-BF36-4C14-8ABB-C24DD7613845}"/>
    <cellStyle name="Komma 4 2 3 3 4" xfId="51470" xr:uid="{35C076AD-E09E-4F12-B152-16A146A4EE13}"/>
    <cellStyle name="Komma 4 2 3 3 5" xfId="54486" xr:uid="{4EF89035-56E6-4A9C-9F6D-FC429E61A606}"/>
    <cellStyle name="Komma 4 2 3 3 6" xfId="19067" xr:uid="{98ED3E45-4821-4CD2-A9DA-9B1BB03C1084}"/>
    <cellStyle name="Komma 4 2 3 4" xfId="15069" xr:uid="{B9EF6291-1DB8-43D8-BCC8-EF7616AE458B}"/>
    <cellStyle name="Komma 4 2 3 4 2" xfId="22609" xr:uid="{5E5CAA23-EDB0-4415-A718-0F368992EBF2}"/>
    <cellStyle name="Komma 4 2 3 4 3" xfId="46473" xr:uid="{203E811B-DE6D-4AD5-AC18-554FDD3E22FB}"/>
    <cellStyle name="Komma 4 2 3 4 4" xfId="51947" xr:uid="{5E299E5A-476D-4B69-A7F8-8089923E48D7}"/>
    <cellStyle name="Komma 4 2 3 4 5" xfId="54963" xr:uid="{6EF1AA97-D038-4D16-B96F-D59859ACEBC3}"/>
    <cellStyle name="Komma 4 2 3 4 6" xfId="19209" xr:uid="{4C566D07-48E0-42C5-87ED-7ACDD96D5EF6}"/>
    <cellStyle name="Komma 4 2 3 5" xfId="15556" xr:uid="{60EF5C1D-18AA-4C2D-A19D-4DA79DF9A327}"/>
    <cellStyle name="Komma 4 2 3 5 2" xfId="23086" xr:uid="{CC06059F-9748-403E-A241-78776D594F1F}"/>
    <cellStyle name="Komma 4 2 3 5 3" xfId="24900" xr:uid="{3D7B01DF-FC89-47AF-AA6B-FB6E6D210F3E}"/>
    <cellStyle name="Komma 4 2 3 5 4" xfId="52424" xr:uid="{B7136C02-4DD8-4B82-AF19-FFAED8BBFE76}"/>
    <cellStyle name="Komma 4 2 3 5 5" xfId="55440" xr:uid="{1BE0D621-D498-45CF-9196-AEC5F37F5C2C}"/>
    <cellStyle name="Komma 4 2 3 5 6" xfId="19354" xr:uid="{DF2048C3-AA76-4A83-A8D4-34C787811EDC}"/>
    <cellStyle name="Komma 4 2 3 6" xfId="12504" xr:uid="{1A4F888F-46C2-4DA9-8110-CAE514878C38}"/>
    <cellStyle name="Komma 4 2 3 6 2" xfId="46315" xr:uid="{52C73B90-BE06-47F7-ACC6-B882226FA1A0}"/>
    <cellStyle name="Komma 4 2 3 6 3" xfId="50993" xr:uid="{CA7146D2-5C7B-4BF0-A77E-C98D55C08704}"/>
    <cellStyle name="Komma 4 2 3 6 4" xfId="54009" xr:uid="{2CF40730-37B1-4333-802C-821ADF3B04D8}"/>
    <cellStyle name="Komma 4 2 3 6 5" xfId="21924" xr:uid="{A45F5BCA-25F1-402A-AAA9-17C9EB286F24}"/>
    <cellStyle name="Komma 4 2 3 7" xfId="23897" xr:uid="{6FD81EBA-C217-4101-91DB-853187B10E99}"/>
    <cellStyle name="Komma 4 2 3 8" xfId="46612" xr:uid="{A6EC1397-5F58-4217-9362-54D892A33D25}"/>
    <cellStyle name="Komma 4 2 3 9" xfId="48746" xr:uid="{7F81301F-DE87-4784-90F7-55C2C5142CFF}"/>
    <cellStyle name="Komma 4 2 4" xfId="10118" xr:uid="{F0CBAB73-286C-49E6-A236-0B16189B663D}"/>
    <cellStyle name="Komma 4 2 4 10" xfId="49654" xr:uid="{BC8916ED-D104-43BF-A842-74EF4DE50FF5}"/>
    <cellStyle name="Komma 4 2 4 11" xfId="49940" xr:uid="{76A0059E-3BCE-4AEB-83D1-5327F0B0A1B0}"/>
    <cellStyle name="Komma 4 2 4 12" xfId="52956" xr:uid="{927AB4AE-16ED-4457-9D46-A06DBA953C8D}"/>
    <cellStyle name="Komma 4 2 4 13" xfId="18790" xr:uid="{C66402BF-C86E-44C4-A4BA-414D7D1941EF}"/>
    <cellStyle name="Komma 4 2 4 2" xfId="10431" xr:uid="{77ED9F5A-ECF9-4AD6-9BFB-B79A73BE001F}"/>
    <cellStyle name="Komma 4 2 4 2 10" xfId="50152" xr:uid="{7088A3C4-F3C6-44EE-9C86-7329F22BD432}"/>
    <cellStyle name="Komma 4 2 4 2 11" xfId="53168" xr:uid="{E0167E7F-A6BB-4858-BFCF-18BEEC1609C3}"/>
    <cellStyle name="Komma 4 2 4 2 12" xfId="18947" xr:uid="{1897EBDF-695C-4C46-9099-7476A84D7060}"/>
    <cellStyle name="Komma 4 2 4 2 2" xfId="14850" xr:uid="{048D4994-A345-4F76-B859-FD04A454B871}"/>
    <cellStyle name="Komma 4 2 4 2 2 2" xfId="22397" xr:uid="{537F0A51-DAA5-438B-9FD3-A4D3A30EBABA}"/>
    <cellStyle name="Komma 4 2 4 2 2 3" xfId="46869" xr:uid="{42960CD7-D530-4CB1-81B0-F22997ED09D6}"/>
    <cellStyle name="Komma 4 2 4 2 2 4" xfId="51735" xr:uid="{387DAB37-8602-4F2C-9406-617DFF8426D0}"/>
    <cellStyle name="Komma 4 2 4 2 2 5" xfId="54751" xr:uid="{D8B74F1C-F31A-4EA6-A73A-A73E95EE165A}"/>
    <cellStyle name="Komma 4 2 4 2 2 6" xfId="19142" xr:uid="{D2EF4453-2075-464B-A006-CEA66EA5EC22}"/>
    <cellStyle name="Komma 4 2 4 2 3" xfId="15335" xr:uid="{6258F26B-87D1-469D-B34E-4829148CF41F}"/>
    <cellStyle name="Komma 4 2 4 2 3 2" xfId="22874" xr:uid="{21ADCEA9-BBE1-4187-AAAF-DD4F69B45474}"/>
    <cellStyle name="Komma 4 2 4 2 3 3" xfId="46912" xr:uid="{59974CF7-9BB4-495C-90F8-4B44E016EAA0}"/>
    <cellStyle name="Komma 4 2 4 2 3 4" xfId="52212" xr:uid="{440E1D2F-E454-4A20-9DC9-5C27AE9588A8}"/>
    <cellStyle name="Komma 4 2 4 2 3 5" xfId="55228" xr:uid="{14879705-FCCB-443C-BC7F-081216C9ED05}"/>
    <cellStyle name="Komma 4 2 4 2 3 6" xfId="19285" xr:uid="{542FE232-27CF-47D5-B0F1-50C61D6FC4D3}"/>
    <cellStyle name="Komma 4 2 4 2 4" xfId="15822" xr:uid="{71AB4860-D0AC-418D-A9F2-A2255AE0BDE8}"/>
    <cellStyle name="Komma 4 2 4 2 4 2" xfId="23351" xr:uid="{316B28A1-E9A1-4B1A-A9BB-BE1BCBBB48EE}"/>
    <cellStyle name="Komma 4 2 4 2 4 3" xfId="48523" xr:uid="{373B88D2-89CD-4B83-92CE-2B567DD68DD0}"/>
    <cellStyle name="Komma 4 2 4 2 4 4" xfId="52689" xr:uid="{DD292F30-2F90-4B29-AD78-9BB88A3FF2E2}"/>
    <cellStyle name="Komma 4 2 4 2 4 5" xfId="55705" xr:uid="{9765331A-E7E5-4617-9CA3-CFC0E5636881}"/>
    <cellStyle name="Komma 4 2 4 2 4 6" xfId="19430" xr:uid="{07BB9549-B9A2-4D86-81B4-5489839742CB}"/>
    <cellStyle name="Komma 4 2 4 2 5" xfId="12884" xr:uid="{51FBF195-8F43-4251-9E95-961C45D563A7}"/>
    <cellStyle name="Komma 4 2 4 2 5 2" xfId="34153" xr:uid="{D85C579C-48BB-418E-8E44-38B3966E599F}"/>
    <cellStyle name="Komma 4 2 4 2 5 3" xfId="51258" xr:uid="{5E17BB8C-4E2B-41E2-9539-F02855E20325}"/>
    <cellStyle name="Komma 4 2 4 2 5 4" xfId="54274" xr:uid="{DF78766A-F371-45A5-B4B4-ED35E0C7DBF6}"/>
    <cellStyle name="Komma 4 2 4 2 5 5" xfId="22000" xr:uid="{A84BCE5F-8480-4B4D-B812-61FEEDCE85CA}"/>
    <cellStyle name="Komma 4 2 4 2 6" xfId="23900" xr:uid="{2979E7B6-A36D-4BCF-A11C-8840EC55B943}"/>
    <cellStyle name="Komma 4 2 4 2 7" xfId="46121" xr:uid="{D93F4550-A4C4-4BAB-9F94-43FC0814C0F8}"/>
    <cellStyle name="Komma 4 2 4 2 8" xfId="48749" xr:uid="{BBABA814-E8CB-4A15-9D1F-03F2BE254930}"/>
    <cellStyle name="Komma 4 2 4 2 9" xfId="49655" xr:uid="{6E1D9CD9-3006-46A1-BF1B-4732468DCA3A}"/>
    <cellStyle name="Komma 4 2 4 3" xfId="14638" xr:uid="{371DA584-4B55-481B-A3F5-5E68BFC3AD37}"/>
    <cellStyle name="Komma 4 2 4 3 2" xfId="22185" xr:uid="{A55547EC-6893-4EC1-A6D7-3B87BA3F40A3}"/>
    <cellStyle name="Komma 4 2 4 3 3" xfId="47743" xr:uid="{FB3A288F-8858-4F41-909D-1CC4529D683E}"/>
    <cellStyle name="Komma 4 2 4 3 4" xfId="51523" xr:uid="{E00748DF-EF77-4754-A458-33F953EB407A}"/>
    <cellStyle name="Komma 4 2 4 3 5" xfId="54539" xr:uid="{D34E01A9-7142-4027-88D9-9A433F5E4689}"/>
    <cellStyle name="Komma 4 2 4 3 6" xfId="19082" xr:uid="{98CF06B3-B1F6-4F11-A1D5-ACD70C7DC70A}"/>
    <cellStyle name="Komma 4 2 4 4" xfId="15123" xr:uid="{662A190F-1F16-48F5-8938-2A4954B46F79}"/>
    <cellStyle name="Komma 4 2 4 4 2" xfId="22662" xr:uid="{682EC7AA-9C18-4399-97F9-44A973F1EC0C}"/>
    <cellStyle name="Komma 4 2 4 4 3" xfId="47056" xr:uid="{9CC43B04-E22D-434B-8277-62ECDA14A2B8}"/>
    <cellStyle name="Komma 4 2 4 4 4" xfId="52000" xr:uid="{F2916EED-DC06-46EB-BEF5-C848048AB2C3}"/>
    <cellStyle name="Komma 4 2 4 4 5" xfId="55016" xr:uid="{29EBA63B-3CC1-4497-BB3A-9244BEDE9A80}"/>
    <cellStyle name="Komma 4 2 4 4 6" xfId="19225" xr:uid="{75E98CFD-2399-4F94-AFB0-E20BC05AD368}"/>
    <cellStyle name="Komma 4 2 4 5" xfId="15610" xr:uid="{33A0DDAB-6BD7-42E0-AF02-5D011E77686E}"/>
    <cellStyle name="Komma 4 2 4 5 2" xfId="23139" xr:uid="{61FB38DF-C8DB-497F-82B4-841A1D3B1C2A}"/>
    <cellStyle name="Komma 4 2 4 5 3" xfId="47499" xr:uid="{8E1BA9A3-853A-4510-8266-F8AD519D5712}"/>
    <cellStyle name="Komma 4 2 4 5 4" xfId="52477" xr:uid="{A4F163C4-5BE7-455A-AAEE-7BC3762F668C}"/>
    <cellStyle name="Komma 4 2 4 5 5" xfId="55493" xr:uid="{B8A6C5DC-71C4-46AE-82C3-1CA4AC142791}"/>
    <cellStyle name="Komma 4 2 4 5 6" xfId="19370" xr:uid="{B4634B9E-8001-4343-B445-71A01037C080}"/>
    <cellStyle name="Komma 4 2 4 6" xfId="12575" xr:uid="{321C7BAF-548E-4E83-A466-63F3056986FB}"/>
    <cellStyle name="Komma 4 2 4 6 2" xfId="46664" xr:uid="{438EFB42-04BD-47DB-A6CD-40C12883138C}"/>
    <cellStyle name="Komma 4 2 4 6 3" xfId="51046" xr:uid="{B72FA7BE-048F-43BF-882F-C882BD7CA016}"/>
    <cellStyle name="Komma 4 2 4 6 4" xfId="54062" xr:uid="{AC3047D1-FAAB-45A4-AA98-52BABF06FE9B}"/>
    <cellStyle name="Komma 4 2 4 6 5" xfId="21940" xr:uid="{D15D37DE-8067-498A-BAB3-4804F9546C81}"/>
    <cellStyle name="Komma 4 2 4 7" xfId="23899" xr:uid="{76B62F09-C909-4A0B-9C9B-7187F7832A74}"/>
    <cellStyle name="Komma 4 2 4 8" xfId="47031" xr:uid="{8639DE01-FBF5-44E0-B4E4-644E43734BB0}"/>
    <cellStyle name="Komma 4 2 4 9" xfId="48748" xr:uid="{EF61C33E-AE1D-47E5-A64B-2F56A071612D}"/>
    <cellStyle name="Komma 4 2 5" xfId="10197" xr:uid="{0E03B00C-B14D-4F8E-998D-609A82745E54}"/>
    <cellStyle name="Komma 4 2 5 10" xfId="49656" xr:uid="{A5FDE707-8F10-4F24-8251-E104016E3426}"/>
    <cellStyle name="Komma 4 2 5 11" xfId="49993" xr:uid="{D66BC82C-4ADC-4AFA-BA7D-A2A7D58F072C}"/>
    <cellStyle name="Komma 4 2 5 12" xfId="53009" xr:uid="{0105BFEB-413F-4649-84FE-73C33AF9B38E}"/>
    <cellStyle name="Komma 4 2 5 13" xfId="18828" xr:uid="{2E296A59-DB35-437E-8A3A-67289501B705}"/>
    <cellStyle name="Komma 4 2 5 2" xfId="10511" xr:uid="{4CA71952-2039-4CF4-BC88-2EB350238D04}"/>
    <cellStyle name="Komma 4 2 5 2 2" xfId="14903" xr:uid="{2696A226-ADB3-46EC-A883-6C697408B935}"/>
    <cellStyle name="Komma 4 2 5 2 2 2" xfId="22450" xr:uid="{E476A229-2DE8-48E2-B56D-53FE1C1818D7}"/>
    <cellStyle name="Komma 4 2 5 2 2 3" xfId="46454" xr:uid="{3045F9A6-662A-49F4-B130-36C3B86376B5}"/>
    <cellStyle name="Komma 4 2 5 2 2 4" xfId="51788" xr:uid="{0139D3DE-B88B-45BD-A51F-E270ACB959D6}"/>
    <cellStyle name="Komma 4 2 5 2 2 5" xfId="54804" xr:uid="{58273586-3B60-4D2D-AD53-10675F6E493C}"/>
    <cellStyle name="Komma 4 2 5 2 2 6" xfId="19157" xr:uid="{1F43122B-5642-47BD-8322-173E40A1B97F}"/>
    <cellStyle name="Komma 4 2 5 2 3" xfId="15388" xr:uid="{4E3B8F2E-7A05-4116-8775-2CCB4D7C5C67}"/>
    <cellStyle name="Komma 4 2 5 2 3 2" xfId="22927" xr:uid="{F6D3C7A8-EEBC-4AB0-9D2B-5B0FD6C5A6F6}"/>
    <cellStyle name="Komma 4 2 5 2 3 3" xfId="47547" xr:uid="{7E52565B-ABAF-4A36-9F20-BE73F55683F2}"/>
    <cellStyle name="Komma 4 2 5 2 3 4" xfId="52265" xr:uid="{58EDC9B2-BBE8-4482-8249-CA58E00EBFF6}"/>
    <cellStyle name="Komma 4 2 5 2 3 5" xfId="55281" xr:uid="{9E2EA00F-594B-477C-8467-9543CBD5FE07}"/>
    <cellStyle name="Komma 4 2 5 2 3 6" xfId="19300" xr:uid="{B82A44FA-0262-4D76-ABD3-78992D165997}"/>
    <cellStyle name="Komma 4 2 5 2 4" xfId="15875" xr:uid="{88C018B2-B256-4E97-976A-814FB6E6771F}"/>
    <cellStyle name="Komma 4 2 5 2 4 2" xfId="23404" xr:uid="{3EAABEE1-0D7A-404E-91DB-683F3E9594F4}"/>
    <cellStyle name="Komma 4 2 5 2 4 3" xfId="46704" xr:uid="{A4B699ED-EDBC-44B5-8810-C06E0186F783}"/>
    <cellStyle name="Komma 4 2 5 2 4 4" xfId="52742" xr:uid="{B1E3EDE7-5ED8-4F65-B1FC-D8430210A872}"/>
    <cellStyle name="Komma 4 2 5 2 4 5" xfId="55758" xr:uid="{142E24FE-C681-4DF7-9C30-AF66F1183074}"/>
    <cellStyle name="Komma 4 2 5 2 4 6" xfId="19445" xr:uid="{D28ECFD1-8765-4DB1-B150-D564D72E9D02}"/>
    <cellStyle name="Komma 4 2 5 2 5" xfId="12964" xr:uid="{6D1DF2FC-80CB-4241-A6EA-A75632DA62E4}"/>
    <cellStyle name="Komma 4 2 5 2 5 2" xfId="24323" xr:uid="{2B70EDF7-D30E-40EB-B39A-3AC1DD00A3E4}"/>
    <cellStyle name="Komma 4 2 5 2 5 3" xfId="51311" xr:uid="{DA7EF3CE-B08C-4BD3-B77F-0D71B29BB0A7}"/>
    <cellStyle name="Komma 4 2 5 2 5 4" xfId="54327" xr:uid="{B0D24454-2637-4910-B6EC-4FB33C8CE404}"/>
    <cellStyle name="Komma 4 2 5 2 5 5" xfId="22015" xr:uid="{C0FA1C33-DF36-4D65-BE56-97DA78783310}"/>
    <cellStyle name="Komma 4 2 5 2 6" xfId="47204" xr:uid="{AE76C77F-ED59-4AD5-A8C5-AAC1DFA65A76}"/>
    <cellStyle name="Komma 4 2 5 2 7" xfId="50205" xr:uid="{EAEF3F62-F0DB-47F6-B35B-19DC45A4F42F}"/>
    <cellStyle name="Komma 4 2 5 2 8" xfId="53221" xr:uid="{7B30D0C4-7C94-4A6C-B5D2-BD8E9B0283CB}"/>
    <cellStyle name="Komma 4 2 5 2 9" xfId="18989" xr:uid="{FAC68C61-9162-48DE-84F0-505FEA430841}"/>
    <cellStyle name="Komma 4 2 5 3" xfId="14691" xr:uid="{FE3665BB-529B-4FBB-925A-22E03C15B3F0}"/>
    <cellStyle name="Komma 4 2 5 3 2" xfId="22238" xr:uid="{A9D039AE-3408-481F-A735-3C8B6EBCE475}"/>
    <cellStyle name="Komma 4 2 5 3 3" xfId="24964" xr:uid="{C08C5667-31FE-4665-88DA-E4EA9CCFB13C}"/>
    <cellStyle name="Komma 4 2 5 3 4" xfId="51576" xr:uid="{0A894318-22EC-4A8C-B862-3F11B8D258C9}"/>
    <cellStyle name="Komma 4 2 5 3 5" xfId="54592" xr:uid="{1A7ECE98-561F-4E25-9C81-2ADE765EDF99}"/>
    <cellStyle name="Komma 4 2 5 3 6" xfId="19097" xr:uid="{910F42BE-4AB4-4E7B-B2E9-31A3E4D9F46B}"/>
    <cellStyle name="Komma 4 2 5 4" xfId="15176" xr:uid="{E307CD23-1BAE-4C28-9281-1F859499FD71}"/>
    <cellStyle name="Komma 4 2 5 4 2" xfId="22715" xr:uid="{9A13F651-D79E-41D8-B44F-62F5FE486BE0}"/>
    <cellStyle name="Komma 4 2 5 4 3" xfId="48510" xr:uid="{15E299D7-0459-441C-8AFB-1E18FC1DFFE8}"/>
    <cellStyle name="Komma 4 2 5 4 4" xfId="52053" xr:uid="{87627076-CF1D-411F-9698-463F66CBEB9C}"/>
    <cellStyle name="Komma 4 2 5 4 5" xfId="55069" xr:uid="{35B057AD-0B14-4DFA-B395-5CB9A62FF53B}"/>
    <cellStyle name="Komma 4 2 5 4 6" xfId="19240" xr:uid="{3ADA24A8-3831-4FCA-B569-1A468CD34E38}"/>
    <cellStyle name="Komma 4 2 5 5" xfId="15663" xr:uid="{DAFC22F7-F08B-4278-A4DA-C4D4255E57E3}"/>
    <cellStyle name="Komma 4 2 5 5 2" xfId="23192" xr:uid="{4A724E45-DC08-4D62-9093-5F690F2FF647}"/>
    <cellStyle name="Komma 4 2 5 5 3" xfId="46950" xr:uid="{DF59E833-8CEB-4F24-80B6-2BE0C21F02AB}"/>
    <cellStyle name="Komma 4 2 5 5 4" xfId="52530" xr:uid="{1CE09930-97FD-498A-9C88-EB5FAF279A45}"/>
    <cellStyle name="Komma 4 2 5 5 5" xfId="55546" xr:uid="{795A9363-3C93-4EF3-8BF2-A5E1281FD846}"/>
    <cellStyle name="Komma 4 2 5 5 6" xfId="19385" xr:uid="{1F61E222-1A76-4AB4-9D93-DCC3076C1048}"/>
    <cellStyle name="Komma 4 2 5 6" xfId="12651" xr:uid="{E9107907-D8DA-424A-97DF-835FE9C5CCE2}"/>
    <cellStyle name="Komma 4 2 5 6 2" xfId="47616" xr:uid="{271662B1-ABA5-4AE9-8B2B-D126AA2EE60E}"/>
    <cellStyle name="Komma 4 2 5 6 3" xfId="51099" xr:uid="{9398058E-6F8A-4484-A1EE-2C6F905E3E64}"/>
    <cellStyle name="Komma 4 2 5 6 4" xfId="54115" xr:uid="{72CE8F54-AD5C-4DCC-959A-5C72CFDEB748}"/>
    <cellStyle name="Komma 4 2 5 6 5" xfId="21955" xr:uid="{FE26342D-CCCA-472D-BFCB-41AD5B850B7B}"/>
    <cellStyle name="Komma 4 2 5 7" xfId="23901" xr:uid="{0EC4FFB8-32D5-4369-9B58-3AB284B914E0}"/>
    <cellStyle name="Komma 4 2 5 8" xfId="48256" xr:uid="{37520CD5-6C15-4CD5-BB82-A1A36FC939F4}"/>
    <cellStyle name="Komma 4 2 5 9" xfId="48750" xr:uid="{8EE8CA23-AA98-47BC-83F9-62D89F01F618}"/>
    <cellStyle name="Komma 4 2 6" xfId="10277" xr:uid="{A332FCEA-54DD-4677-BBC0-1CC4647E72F1}"/>
    <cellStyle name="Komma 4 2 6 10" xfId="50046" xr:uid="{24E0259E-25D9-4545-AAEB-3E0CDF913750}"/>
    <cellStyle name="Komma 4 2 6 11" xfId="53062" xr:uid="{7652A476-69E3-40EE-B61F-96587F2E2338}"/>
    <cellStyle name="Komma 4 2 6 12" xfId="18869" xr:uid="{9F6B6524-F089-4889-AD5A-FFD8D38A237B}"/>
    <cellStyle name="Komma 4 2 6 2" xfId="14744" xr:uid="{DD043904-31AE-42A3-9435-E9073A74C751}"/>
    <cellStyle name="Komma 4 2 6 2 2" xfId="22291" xr:uid="{A079C73F-8A13-4F9B-A465-9C0AF34AFE5B}"/>
    <cellStyle name="Komma 4 2 6 2 3" xfId="46857" xr:uid="{33E693EC-3281-42A1-8714-ED5938F4DF10}"/>
    <cellStyle name="Komma 4 2 6 2 4" xfId="51629" xr:uid="{4650F5CC-B3DC-4A6B-BFC0-35CDA1B3E7EB}"/>
    <cellStyle name="Komma 4 2 6 2 5" xfId="54645" xr:uid="{5B622826-BAD1-4A17-8EC7-9DF6861D8F3C}"/>
    <cellStyle name="Komma 4 2 6 2 6" xfId="19112" xr:uid="{9FBA31F4-B1A5-40C2-B736-873C6E38676B}"/>
    <cellStyle name="Komma 4 2 6 3" xfId="15229" xr:uid="{F387FACD-1779-4FE4-A126-CBAF986EE306}"/>
    <cellStyle name="Komma 4 2 6 3 2" xfId="22768" xr:uid="{08D3E54D-366C-4D08-A909-087D6549AF03}"/>
    <cellStyle name="Komma 4 2 6 3 3" xfId="46895" xr:uid="{F7B239F7-28E7-415E-A4A3-99B2C7E858BE}"/>
    <cellStyle name="Komma 4 2 6 3 4" xfId="52106" xr:uid="{4AD4E2A9-073C-41C3-93E5-4AAD22B5DB74}"/>
    <cellStyle name="Komma 4 2 6 3 5" xfId="55122" xr:uid="{DE26F453-0C0F-4FC7-9529-662AB01DCA3C}"/>
    <cellStyle name="Komma 4 2 6 3 6" xfId="19255" xr:uid="{2D185CE0-CE19-4DC4-946E-C53D1C547FAA}"/>
    <cellStyle name="Komma 4 2 6 4" xfId="15716" xr:uid="{BA51AA1B-B506-40B1-9F55-B375ADE8C45F}"/>
    <cellStyle name="Komma 4 2 6 4 2" xfId="23245" xr:uid="{40B01239-83D5-4242-9320-2B42BACE41CA}"/>
    <cellStyle name="Komma 4 2 6 4 3" xfId="46956" xr:uid="{90191756-A9D6-40E4-9BDC-C098EBB188F1}"/>
    <cellStyle name="Komma 4 2 6 4 4" xfId="52583" xr:uid="{97017D2F-B47C-4D95-BD40-344767B0C640}"/>
    <cellStyle name="Komma 4 2 6 4 5" xfId="55599" xr:uid="{52F03889-8DAA-4206-B255-CD5C8848040A}"/>
    <cellStyle name="Komma 4 2 6 4 6" xfId="19400" xr:uid="{7926ADF6-8A76-49B8-8513-F120C1FD7CD7}"/>
    <cellStyle name="Komma 4 2 6 5" xfId="12730" xr:uid="{3C8C7218-323B-4929-ACFD-37760DD1D745}"/>
    <cellStyle name="Komma 4 2 6 5 2" xfId="47214" xr:uid="{02A3070D-259A-4816-8560-C9C29B75D8BC}"/>
    <cellStyle name="Komma 4 2 6 5 3" xfId="51152" xr:uid="{37148724-03EE-4EDB-84D4-EF309471D029}"/>
    <cellStyle name="Komma 4 2 6 5 4" xfId="54168" xr:uid="{8F886D91-D4D0-4D89-AFC7-4C370AD855DE}"/>
    <cellStyle name="Komma 4 2 6 5 5" xfId="21970" xr:uid="{78C1A7BE-F489-4FB1-B904-43FF706D9E31}"/>
    <cellStyle name="Komma 4 2 6 6" xfId="23902" xr:uid="{4A6E6ADF-7F6E-4DCD-9D76-16EA02E2C190}"/>
    <cellStyle name="Komma 4 2 6 7" xfId="48155" xr:uid="{3F1D64D6-B5C1-4B29-AC72-5E6EEC3AC4ED}"/>
    <cellStyle name="Komma 4 2 6 8" xfId="48751" xr:uid="{471488AC-36E7-4E08-9913-7A2016CC3A0D}"/>
    <cellStyle name="Komma 4 2 6 9" xfId="49657" xr:uid="{629AA7CE-DA45-4BDA-9F5C-207F53FE76FC}"/>
    <cellStyle name="Komma 4 2 7" xfId="10591" xr:uid="{5832A0B2-0A7E-41BE-A584-834DA86BB800}"/>
    <cellStyle name="Komma 4 2 7 10" xfId="50258" xr:uid="{B7D63B2F-3DD5-40DE-8AD4-DA1D9D2364DE}"/>
    <cellStyle name="Komma 4 2 7 11" xfId="53274" xr:uid="{C63C4D91-81E9-4E9E-AFF7-3325197DCEEF}"/>
    <cellStyle name="Komma 4 2 7 12" xfId="19031" xr:uid="{A78A4464-1888-47FF-8297-08976C1E2B86}"/>
    <cellStyle name="Komma 4 2 7 2" xfId="14956" xr:uid="{E1DB450B-495E-477D-A459-AB053F3A10A1}"/>
    <cellStyle name="Komma 4 2 7 2 2" xfId="22503" xr:uid="{5921C897-B22E-49FC-A751-8BFE544D8C80}"/>
    <cellStyle name="Komma 4 2 7 2 3" xfId="48356" xr:uid="{A4D1DE18-C04F-4800-9379-DD1D8411CB33}"/>
    <cellStyle name="Komma 4 2 7 2 4" xfId="51841" xr:uid="{F847CBA6-455B-47F1-B47C-C3B192F2124C}"/>
    <cellStyle name="Komma 4 2 7 2 5" xfId="54857" xr:uid="{5E1777B2-BD90-4F28-8197-43AF2EBEDD98}"/>
    <cellStyle name="Komma 4 2 7 2 6" xfId="19172" xr:uid="{D1966E45-77F7-4CB7-A83A-7A2557DF1650}"/>
    <cellStyle name="Komma 4 2 7 3" xfId="15441" xr:uid="{E89DC604-EA17-4B90-9F18-05708E8D68C5}"/>
    <cellStyle name="Komma 4 2 7 3 2" xfId="22980" xr:uid="{36E72E8D-8893-4A25-8DFF-09781EEB75F1}"/>
    <cellStyle name="Komma 4 2 7 3 3" xfId="47698" xr:uid="{29FD0569-D624-463B-8AFB-51FFB791CC99}"/>
    <cellStyle name="Komma 4 2 7 3 4" xfId="52318" xr:uid="{8D898DC2-D586-472D-913B-640007513A39}"/>
    <cellStyle name="Komma 4 2 7 3 5" xfId="55334" xr:uid="{360F20AC-3C3A-4536-B197-96D0287569C4}"/>
    <cellStyle name="Komma 4 2 7 3 6" xfId="19315" xr:uid="{E62869E1-9CF5-4830-89A9-5B6E83127D15}"/>
    <cellStyle name="Komma 4 2 7 4" xfId="15929" xr:uid="{1743D700-6FBC-4AEF-BD67-AE2A997586D6}"/>
    <cellStyle name="Komma 4 2 7 4 2" xfId="23457" xr:uid="{B24396B0-273B-4FD9-93EF-F95E6B27A57A}"/>
    <cellStyle name="Komma 4 2 7 4 3" xfId="24891" xr:uid="{536D0F6B-086B-4CCC-9317-67AD3111C9C0}"/>
    <cellStyle name="Komma 4 2 7 4 4" xfId="52795" xr:uid="{9D81B4C2-BD12-408B-AFF4-A72A5C75070A}"/>
    <cellStyle name="Komma 4 2 7 4 5" xfId="55811" xr:uid="{17410358-54D3-411D-AD97-9713AA4713FB}"/>
    <cellStyle name="Komma 4 2 7 4 6" xfId="19461" xr:uid="{D604F7C7-8EBF-4428-8A9A-A01F9DA5285B}"/>
    <cellStyle name="Komma 4 2 7 5" xfId="13044" xr:uid="{E9E6D5FB-9DD8-46B8-84B6-2468B06CE744}"/>
    <cellStyle name="Komma 4 2 7 5 2" xfId="47036" xr:uid="{C07D3B86-6041-4205-B5E2-55AF24C82721}"/>
    <cellStyle name="Komma 4 2 7 5 3" xfId="51364" xr:uid="{84A156B9-E0E6-4480-A2AA-F70EE82CE5DF}"/>
    <cellStyle name="Komma 4 2 7 5 4" xfId="54380" xr:uid="{6FEBE261-6E13-4FFB-AA75-BA1613B70C14}"/>
    <cellStyle name="Komma 4 2 7 5 5" xfId="22030" xr:uid="{8AEA28FB-9C5E-49CF-B949-32C4C708E072}"/>
    <cellStyle name="Komma 4 2 7 6" xfId="23903" xr:uid="{6CB327A4-92CA-4C9E-978E-B5A86D5E1BE0}"/>
    <cellStyle name="Komma 4 2 7 7" xfId="24540" xr:uid="{E2C50669-1A16-4371-8E55-26D545305A79}"/>
    <cellStyle name="Komma 4 2 7 8" xfId="48752" xr:uid="{21DB9EDD-CD82-4F11-9D84-8AC30FD9E3D5}"/>
    <cellStyle name="Komma 4 2 7 9" xfId="49658" xr:uid="{78F5D524-3E49-4E6D-B01A-CB299D0DFFF0}"/>
    <cellStyle name="Komma 4 2 8" xfId="14532" xr:uid="{FC14DEC7-7B2B-4953-ABAF-D655CFF30709}"/>
    <cellStyle name="Komma 4 2 8 2" xfId="22079" xr:uid="{FD1C6624-3546-4730-B361-12EAB47D2CF6}"/>
    <cellStyle name="Komma 4 2 8 2 2" xfId="38082" xr:uid="{37C5B538-F103-4185-96AD-B7529AC3C6C3}"/>
    <cellStyle name="Komma 4 2 8 3" xfId="43384" xr:uid="{D962BFFF-84E5-4897-B43F-B344F7A41A26}"/>
    <cellStyle name="Komma 4 2 8 4" xfId="32731" xr:uid="{BEEC9D3D-BB51-4B96-8BE4-FA2481C88618}"/>
    <cellStyle name="Komma 4 2 8 5" xfId="48499" xr:uid="{8B4E4C42-0840-4AD8-8BBC-640E98278E77}"/>
    <cellStyle name="Komma 4 2 8 6" xfId="51417" xr:uid="{FD25B56D-6B1E-4BE9-93DE-42AF8AF3BCF0}"/>
    <cellStyle name="Komma 4 2 8 7" xfId="54433" xr:uid="{E3C6F1D9-5600-4236-8AED-48EFB6348893}"/>
    <cellStyle name="Komma 4 2 8 8" xfId="19052" xr:uid="{F97BAE07-A8D0-47D2-85C4-D54A6B762E40}"/>
    <cellStyle name="Komma 4 2 9" xfId="15016" xr:uid="{F9E3278D-3F2F-443C-8A2E-7B16C4CE5B25}"/>
    <cellStyle name="Komma 4 2 9 2" xfId="22556" xr:uid="{50345BD3-4E25-4882-B7BD-72E1C9908CA8}"/>
    <cellStyle name="Komma 4 2 9 3" xfId="35617" xr:uid="{643F9745-605F-4F2A-8F55-AE161B111A16}"/>
    <cellStyle name="Komma 4 2 9 4" xfId="24921" xr:uid="{C64B09D2-AC5B-4BE1-91EE-0CCA39189B4A}"/>
    <cellStyle name="Komma 4 2 9 5" xfId="51894" xr:uid="{DC6EDE37-2239-44B3-8419-E93C4806C81F}"/>
    <cellStyle name="Komma 4 2 9 6" xfId="54910" xr:uid="{C0C0227A-00DA-45A2-AB10-4861CE8F2601}"/>
    <cellStyle name="Komma 4 2 9 7" xfId="19194" xr:uid="{0AE6790A-8127-484E-8376-B34474B8693C}"/>
    <cellStyle name="Komma 4 20" xfId="18057" xr:uid="{4BF998D2-8954-4638-B514-569301F01B39}"/>
    <cellStyle name="Komma 4 3" xfId="9104" xr:uid="{45F38CA5-E114-4933-AA39-CA6174507747}"/>
    <cellStyle name="Komma 4 3 10" xfId="11500" xr:uid="{7D32E9E5-E212-4763-BA11-4F53CB8B3E36}"/>
    <cellStyle name="Komma 4 3 10 2" xfId="47009" xr:uid="{8C894F10-BF74-44BB-B00D-40DDC120B15E}"/>
    <cellStyle name="Komma 4 3 10 3" xfId="50723" xr:uid="{C4384213-E9C4-42D4-B416-0003FAD10C1C}"/>
    <cellStyle name="Komma 4 3 10 4" xfId="53739" xr:uid="{D734BFDA-8E12-4C97-A930-399FB8E4A267}"/>
    <cellStyle name="Komma 4 3 10 5" xfId="21700" xr:uid="{F25B64C6-2F39-487F-A37F-D812615FF087}"/>
    <cellStyle name="Komma 4 3 11" xfId="23904" xr:uid="{5791CCC1-26FF-4338-B359-97BE2566C8BF}"/>
    <cellStyle name="Komma 4 3 12" xfId="47380" xr:uid="{9FC3E401-81CD-4CC6-B14D-D24E1966CB84}"/>
    <cellStyle name="Komma 4 3 13" xfId="48753" xr:uid="{BF44749E-6F83-486F-ABA8-CA48F54A53D4}"/>
    <cellStyle name="Komma 4 3 14" xfId="49659" xr:uid="{367E9D45-6A69-4C1F-A427-5C777A192884}"/>
    <cellStyle name="Komma 4 3 15" xfId="49836" xr:uid="{D07DF8C0-0643-415A-A561-B850F76F9BB8}"/>
    <cellStyle name="Komma 4 3 16" xfId="52851" xr:uid="{197712DD-59A5-4547-938F-57501D2A734B}"/>
    <cellStyle name="Komma 4 3 17" xfId="18140" xr:uid="{0C4F3DCD-B468-47FF-B9CD-381F670F6E4C}"/>
    <cellStyle name="Komma 4 3 2" xfId="10046" xr:uid="{30921DB6-1982-40E2-92A3-CC1186D570D6}"/>
    <cellStyle name="Komma 4 3 2 10" xfId="49660" xr:uid="{BAAB8446-78AC-4423-BC76-B062588DAF6B}"/>
    <cellStyle name="Komma 4 3 2 11" xfId="49889" xr:uid="{0994B97D-88AE-466D-8581-F83680C8DDEB}"/>
    <cellStyle name="Komma 4 3 2 12" xfId="52905" xr:uid="{3A73F912-A44A-4203-A357-F8D0DB40924F}"/>
    <cellStyle name="Komma 4 3 2 13" xfId="18759" xr:uid="{7EEA4EE3-D51B-4D1A-A631-6C18B22F1F6E}"/>
    <cellStyle name="Komma 4 3 2 2" xfId="10354" xr:uid="{AC8C635F-3674-48DC-A84D-569D286D0CF3}"/>
    <cellStyle name="Komma 4 3 2 2 10" xfId="50101" xr:uid="{0EB5DF9C-864F-4799-A824-37FBEFE698E1}"/>
    <cellStyle name="Komma 4 3 2 2 11" xfId="53117" xr:uid="{1F2255CC-318D-402B-BDBF-D29C6C8082C2}"/>
    <cellStyle name="Komma 4 3 2 2 12" xfId="18908" xr:uid="{CDA40B31-72E9-4D0C-8F87-8A1E6D6134A4}"/>
    <cellStyle name="Komma 4 3 2 2 2" xfId="14799" xr:uid="{B5AAAEBA-205E-4617-B4A0-96C64764E2DA}"/>
    <cellStyle name="Komma 4 3 2 2 2 2" xfId="22346" xr:uid="{46D853DC-EDFC-410B-9B0C-93944DB8182D}"/>
    <cellStyle name="Komma 4 3 2 2 2 3" xfId="47181" xr:uid="{4FE45C77-58C6-473D-91F0-8DF9450C20EE}"/>
    <cellStyle name="Komma 4 3 2 2 2 4" xfId="51684" xr:uid="{F8D6E9EB-3694-4132-80D7-BBCEA63AEDF1}"/>
    <cellStyle name="Komma 4 3 2 2 2 5" xfId="54700" xr:uid="{3AA3BA60-6E09-4C6A-8CD5-EC1F3C3B21F5}"/>
    <cellStyle name="Komma 4 3 2 2 2 6" xfId="19129" xr:uid="{78E76A0C-13B8-4DF4-9D42-3F718B2286A7}"/>
    <cellStyle name="Komma 4 3 2 2 3" xfId="15284" xr:uid="{89E55525-7288-443B-ACB8-B1FC7400A08E}"/>
    <cellStyle name="Komma 4 3 2 2 3 2" xfId="22823" xr:uid="{17E59625-AA91-4CE3-B6F8-E5A0BE95B642}"/>
    <cellStyle name="Komma 4 3 2 2 3 3" xfId="46902" xr:uid="{5E43DA0F-1B2A-48CC-B6F9-A8AA9FCABE03}"/>
    <cellStyle name="Komma 4 3 2 2 3 4" xfId="52161" xr:uid="{9F9BE8AF-A5E2-405C-9A50-B79889AE1967}"/>
    <cellStyle name="Komma 4 3 2 2 3 5" xfId="55177" xr:uid="{CE678731-43A0-405B-8125-23E12463D309}"/>
    <cellStyle name="Komma 4 3 2 2 3 6" xfId="19272" xr:uid="{4859B1F1-027E-4069-9438-4ECFD703CCBA}"/>
    <cellStyle name="Komma 4 3 2 2 4" xfId="15771" xr:uid="{4E00206C-C6A9-4B5E-B5C8-562DDCE7DB83}"/>
    <cellStyle name="Komma 4 3 2 2 4 2" xfId="23300" xr:uid="{99387810-FF6F-4875-B77A-54C64EF73A33}"/>
    <cellStyle name="Komma 4 3 2 2 4 3" xfId="46962" xr:uid="{995A809A-47C2-48EF-974B-7E30885F31BF}"/>
    <cellStyle name="Komma 4 3 2 2 4 4" xfId="52638" xr:uid="{499B2727-7D8E-47D5-991A-77C3DB3A6FB5}"/>
    <cellStyle name="Komma 4 3 2 2 4 5" xfId="55654" xr:uid="{57513828-1884-4281-9DD7-8F1EF6F8A77B}"/>
    <cellStyle name="Komma 4 3 2 2 4 6" xfId="19417" xr:uid="{25D3A06C-B3A2-4E85-AC79-A4421D8222DD}"/>
    <cellStyle name="Komma 4 3 2 2 5" xfId="12807" xr:uid="{C8AFDB05-73E5-4310-BE65-22EEABE2CD0B}"/>
    <cellStyle name="Komma 4 3 2 2 5 2" xfId="24691" xr:uid="{46BAC93A-5EDE-4E75-82FC-0BD41BE61479}"/>
    <cellStyle name="Komma 4 3 2 2 5 3" xfId="51207" xr:uid="{E898CB81-54E4-4527-8991-7D3D1F550980}"/>
    <cellStyle name="Komma 4 3 2 2 5 4" xfId="54223" xr:uid="{03CB2EFF-1F20-478E-B516-44B872F58FDC}"/>
    <cellStyle name="Komma 4 3 2 2 5 5" xfId="21987" xr:uid="{BE602383-12FB-418C-85FC-83BDC333C39B}"/>
    <cellStyle name="Komma 4 3 2 2 6" xfId="23906" xr:uid="{03BC613D-69BB-4A5B-B744-F43AD9BFF346}"/>
    <cellStyle name="Komma 4 3 2 2 7" xfId="47285" xr:uid="{84046B4B-B331-4B2B-B841-E9C74DA37792}"/>
    <cellStyle name="Komma 4 3 2 2 8" xfId="48755" xr:uid="{4A25C58A-645F-480A-809F-13F6AFF6D157}"/>
    <cellStyle name="Komma 4 3 2 2 9" xfId="49661" xr:uid="{74710270-B457-47C2-9F8A-0197B895D1C9}"/>
    <cellStyle name="Komma 4 3 2 3" xfId="14587" xr:uid="{AAB6D7D3-556B-4D7D-8DEC-9FB9AC5E3128}"/>
    <cellStyle name="Komma 4 3 2 3 2" xfId="22134" xr:uid="{D0AD60B4-7F44-4516-8853-35FB44090D2D}"/>
    <cellStyle name="Komma 4 3 2 3 3" xfId="48404" xr:uid="{267CDB12-D6C7-4E97-81A1-97665B5AE736}"/>
    <cellStyle name="Komma 4 3 2 3 4" xfId="51472" xr:uid="{3DF05FFE-F970-4605-A5C8-0F2353B7BEA9}"/>
    <cellStyle name="Komma 4 3 2 3 5" xfId="54488" xr:uid="{7EA369DD-AF61-4882-8BAD-057E5D43C67D}"/>
    <cellStyle name="Komma 4 3 2 3 6" xfId="19069" xr:uid="{D56F007E-8EAA-4C7A-A62F-DAEB931F1E68}"/>
    <cellStyle name="Komma 4 3 2 4" xfId="15071" xr:uid="{E124A3FE-7845-44F8-8577-B1DA59BF7980}"/>
    <cellStyle name="Komma 4 3 2 4 2" xfId="22611" xr:uid="{2C620DDC-0804-4DD4-9186-99D1F91EABF7}"/>
    <cellStyle name="Komma 4 3 2 4 3" xfId="48562" xr:uid="{913AB286-7A67-4752-A805-AF302939C243}"/>
    <cellStyle name="Komma 4 3 2 4 4" xfId="51949" xr:uid="{0AA6460E-45A4-49B0-B3C3-35DA2E19AC85}"/>
    <cellStyle name="Komma 4 3 2 4 5" xfId="54965" xr:uid="{78C23476-042C-4728-BE43-C0A9489AEC7F}"/>
    <cellStyle name="Komma 4 3 2 4 6" xfId="19211" xr:uid="{F4599760-80BF-42D7-8218-5741B862A177}"/>
    <cellStyle name="Komma 4 3 2 5" xfId="15558" xr:uid="{03226AB7-C23A-488A-BED2-D04AB2A0EF87}"/>
    <cellStyle name="Komma 4 3 2 5 2" xfId="23088" xr:uid="{3A1A5CDF-3AFB-4F4D-A2F8-0294F6D59DE8}"/>
    <cellStyle name="Komma 4 3 2 5 3" xfId="46935" xr:uid="{37DC4E01-5FA8-45C0-9DE7-8C0057F75F90}"/>
    <cellStyle name="Komma 4 3 2 5 4" xfId="52426" xr:uid="{CDF254D8-9DAD-4ECF-B021-E17A37C80A47}"/>
    <cellStyle name="Komma 4 3 2 5 5" xfId="55442" xr:uid="{AFBD0216-8B08-48FC-AA6F-1B0B08D5F314}"/>
    <cellStyle name="Komma 4 3 2 5 6" xfId="19356" xr:uid="{27E70F3E-A456-466F-9998-AD38BB15EA8C}"/>
    <cellStyle name="Komma 4 3 2 6" xfId="12506" xr:uid="{00D87EA5-CA0C-40B3-A775-B7FE4A461174}"/>
    <cellStyle name="Komma 4 3 2 6 2" xfId="32430" xr:uid="{F5D8C3A4-BE77-4F78-B60B-7D18CC21D956}"/>
    <cellStyle name="Komma 4 3 2 6 3" xfId="50995" xr:uid="{AAA07EB3-93D2-4F98-9042-EE315B09F05B}"/>
    <cellStyle name="Komma 4 3 2 6 4" xfId="54011" xr:uid="{D5A1AA3A-F348-47D0-A3CA-1DC998D73E74}"/>
    <cellStyle name="Komma 4 3 2 6 5" xfId="21926" xr:uid="{74AD859C-3D7A-4DF5-BAA4-CF3D3068DC67}"/>
    <cellStyle name="Komma 4 3 2 7" xfId="23905" xr:uid="{488E1703-90F3-4C6F-992E-0C1342D4B204}"/>
    <cellStyle name="Komma 4 3 2 8" xfId="46615" xr:uid="{8D9F79D1-855F-44CC-9447-9D744DEE12F3}"/>
    <cellStyle name="Komma 4 3 2 9" xfId="48754" xr:uid="{11134733-0982-44C5-B67F-FA029995A19C}"/>
    <cellStyle name="Komma 4 3 3" xfId="10120" xr:uid="{EC8DEA9E-9018-4B4F-81EE-C9841B9D6D0A}"/>
    <cellStyle name="Komma 4 3 3 10" xfId="49662" xr:uid="{BFF18DD6-8DC8-49FE-BEA5-1F3E5BC9C937}"/>
    <cellStyle name="Komma 4 3 3 11" xfId="49942" xr:uid="{4C6BABE0-317E-48BB-9062-4BF3D00DAEAB}"/>
    <cellStyle name="Komma 4 3 3 12" xfId="52958" xr:uid="{BA5276F8-E76C-49A0-8FDE-7A7AC11FDB1F}"/>
    <cellStyle name="Komma 4 3 3 13" xfId="18792" xr:uid="{745EA105-E34A-45F2-9762-EEC76F4497E7}"/>
    <cellStyle name="Komma 4 3 3 2" xfId="10433" xr:uid="{767CA34D-3698-4ABA-9FE8-BB052ED014D7}"/>
    <cellStyle name="Komma 4 3 3 2 10" xfId="50154" xr:uid="{BD8FAD49-EFA1-4321-9B83-AD5664056D90}"/>
    <cellStyle name="Komma 4 3 3 2 11" xfId="53170" xr:uid="{285633BF-6297-4430-A624-96E422A3DA36}"/>
    <cellStyle name="Komma 4 3 3 2 12" xfId="18949" xr:uid="{A967EF1B-A573-47FC-BF31-31794F61D98D}"/>
    <cellStyle name="Komma 4 3 3 2 2" xfId="14852" xr:uid="{F2BA651A-29CE-4BB6-B99D-82C921A8D86C}"/>
    <cellStyle name="Komma 4 3 3 2 2 2" xfId="22399" xr:uid="{184FC7A8-E93E-4902-A802-57930478EFB4}"/>
    <cellStyle name="Komma 4 3 3 2 2 3" xfId="47932" xr:uid="{DAC6EF20-8840-4482-838A-E087B93C154D}"/>
    <cellStyle name="Komma 4 3 3 2 2 4" xfId="51737" xr:uid="{BA9E00ED-92E9-435E-8FFD-FC7EA5F2B793}"/>
    <cellStyle name="Komma 4 3 3 2 2 5" xfId="54753" xr:uid="{5A724FBE-89E5-424B-9A51-E6C34C6858F9}"/>
    <cellStyle name="Komma 4 3 3 2 2 6" xfId="19144" xr:uid="{0BAF1E73-24DE-4E50-9413-D021C6180D71}"/>
    <cellStyle name="Komma 4 3 3 2 3" xfId="15337" xr:uid="{52A44BFC-532E-43FB-B925-3DA2946E1955}"/>
    <cellStyle name="Komma 4 3 3 2 3 2" xfId="22876" xr:uid="{D5662DF6-9582-46D4-9602-8EA73A72F7A7}"/>
    <cellStyle name="Komma 4 3 3 2 3 3" xfId="47940" xr:uid="{DFA8D57E-CF57-463F-BE30-93D54E0E0311}"/>
    <cellStyle name="Komma 4 3 3 2 3 4" xfId="52214" xr:uid="{E70AD4D0-58E0-4DF1-81C9-B42B2A3B13F8}"/>
    <cellStyle name="Komma 4 3 3 2 3 5" xfId="55230" xr:uid="{0AE3455C-50DE-4C0D-AA2D-01FA613EDFD8}"/>
    <cellStyle name="Komma 4 3 3 2 3 6" xfId="19287" xr:uid="{62CA6F68-3F37-451E-A96B-493FC7FFE7F7}"/>
    <cellStyle name="Komma 4 3 3 2 4" xfId="15824" xr:uid="{0835C5AA-0997-4A1A-B534-6F0EDDD1C093}"/>
    <cellStyle name="Komma 4 3 3 2 4 2" xfId="23353" xr:uid="{8F8837AE-0AA4-43B9-85E8-62F3F074DFC8}"/>
    <cellStyle name="Komma 4 3 3 2 4 3" xfId="48311" xr:uid="{195BD049-C596-4BBC-8B0E-B8DD1BF7E2B9}"/>
    <cellStyle name="Komma 4 3 3 2 4 4" xfId="52691" xr:uid="{5349AAED-A766-4D14-92D2-E103B5FBB308}"/>
    <cellStyle name="Komma 4 3 3 2 4 5" xfId="55707" xr:uid="{C58AEEF1-3BE4-4DB2-BC12-AF8DA83EF2A9}"/>
    <cellStyle name="Komma 4 3 3 2 4 6" xfId="19432" xr:uid="{C595A021-A3A6-465F-926B-9D6FA27C8F21}"/>
    <cellStyle name="Komma 4 3 3 2 5" xfId="12886" xr:uid="{B904B640-216F-4921-AB13-EA7D801EF7F2}"/>
    <cellStyle name="Komma 4 3 3 2 5 2" xfId="46805" xr:uid="{B66F10CD-D863-44FA-A7DE-6437612BBF4A}"/>
    <cellStyle name="Komma 4 3 3 2 5 3" xfId="51260" xr:uid="{8B7BE68D-6CDD-4C18-8130-F0BE733EB42A}"/>
    <cellStyle name="Komma 4 3 3 2 5 4" xfId="54276" xr:uid="{5F204EDE-09EE-41F2-A238-6C765E3BAFDE}"/>
    <cellStyle name="Komma 4 3 3 2 5 5" xfId="22002" xr:uid="{9E82607A-03D7-4184-A2F9-0C2EEE3062A9}"/>
    <cellStyle name="Komma 4 3 3 2 6" xfId="23908" xr:uid="{A2950937-A937-4729-8CB4-4AD428817D5B}"/>
    <cellStyle name="Komma 4 3 3 2 7" xfId="25371" xr:uid="{C9289F20-BCDE-4A83-9572-57949AB78246}"/>
    <cellStyle name="Komma 4 3 3 2 8" xfId="48757" xr:uid="{376F5885-E709-4670-B7AD-B1FE04A0260E}"/>
    <cellStyle name="Komma 4 3 3 2 9" xfId="49663" xr:uid="{6E0120D5-EF29-4309-9941-1A9657196A82}"/>
    <cellStyle name="Komma 4 3 3 3" xfId="14640" xr:uid="{F16CB047-2EB0-4E78-8919-E3CEE6606EDE}"/>
    <cellStyle name="Komma 4 3 3 3 2" xfId="22187" xr:uid="{8A9389EB-40E8-4736-BC98-8B0F24D8CE43}"/>
    <cellStyle name="Komma 4 3 3 3 3" xfId="48535" xr:uid="{017A8466-260C-4490-B7BF-F42B66A01343}"/>
    <cellStyle name="Komma 4 3 3 3 4" xfId="51525" xr:uid="{B912A841-743C-4C13-A562-1469F879B6FD}"/>
    <cellStyle name="Komma 4 3 3 3 5" xfId="54541" xr:uid="{20981FF3-F7D0-4AA9-8A40-7182C7F884BF}"/>
    <cellStyle name="Komma 4 3 3 3 6" xfId="19084" xr:uid="{ECCE479E-F693-4821-BCD3-4627BA3102C6}"/>
    <cellStyle name="Komma 4 3 3 4" xfId="15125" xr:uid="{75211547-66C6-4841-ACA2-93075A00C990}"/>
    <cellStyle name="Komma 4 3 3 4 2" xfId="22664" xr:uid="{10773C37-8499-4B9A-AAA1-1134E57F1705}"/>
    <cellStyle name="Komma 4 3 3 4 3" xfId="47489" xr:uid="{3E753596-46EF-42A4-94D2-3C11090FFAB2}"/>
    <cellStyle name="Komma 4 3 3 4 4" xfId="52002" xr:uid="{B10C731E-98D4-4A63-AEC6-43CDD881F61A}"/>
    <cellStyle name="Komma 4 3 3 4 5" xfId="55018" xr:uid="{089DDF7C-3689-419E-9FED-C953E9E60996}"/>
    <cellStyle name="Komma 4 3 3 4 6" xfId="19227" xr:uid="{BC7C1FF4-5B6B-4C87-8C9E-6451568F0B97}"/>
    <cellStyle name="Komma 4 3 3 5" xfId="15612" xr:uid="{BBD5C2A0-39BA-43BF-B6B7-ED806D3BF9D7}"/>
    <cellStyle name="Komma 4 3 3 5 2" xfId="23141" xr:uid="{8D91A543-86F5-492D-9379-69B6DD4CF0D5}"/>
    <cellStyle name="Komma 4 3 3 5 3" xfId="47130" xr:uid="{4167EB44-CF1E-402A-87E1-DD3DE3D5DCAC}"/>
    <cellStyle name="Komma 4 3 3 5 4" xfId="52479" xr:uid="{AC94D1D8-DA60-44F7-97B2-AD736A05EC8B}"/>
    <cellStyle name="Komma 4 3 3 5 5" xfId="55495" xr:uid="{83095687-17D4-4C27-8FFC-8A915DBDEACF}"/>
    <cellStyle name="Komma 4 3 3 5 6" xfId="19372" xr:uid="{4727A35B-AA3C-47AC-9E57-FCA0F2F876E3}"/>
    <cellStyle name="Komma 4 3 3 6" xfId="12577" xr:uid="{CF1FFC5D-A6DE-4229-B64D-5CB095FAC222}"/>
    <cellStyle name="Komma 4 3 3 6 2" xfId="48437" xr:uid="{5E010F44-DCBF-4509-8519-6DAD4E6DE24E}"/>
    <cellStyle name="Komma 4 3 3 6 3" xfId="51048" xr:uid="{267265C4-4969-45E4-A284-82E6DCD49FAA}"/>
    <cellStyle name="Komma 4 3 3 6 4" xfId="54064" xr:uid="{AF778104-BB1C-4EA5-9EBD-33B4086002A4}"/>
    <cellStyle name="Komma 4 3 3 6 5" xfId="21942" xr:uid="{5C8F8934-4D51-4E10-9B4D-A6F6801CE4A0}"/>
    <cellStyle name="Komma 4 3 3 7" xfId="23907" xr:uid="{D9644506-820D-48F5-BFC8-11879C656D13}"/>
    <cellStyle name="Komma 4 3 3 8" xfId="47358" xr:uid="{89EE4CBF-4B18-421E-9A0B-1CCBD67B83B0}"/>
    <cellStyle name="Komma 4 3 3 9" xfId="48756" xr:uid="{09802B0F-2A1E-43A0-8101-2677916A6E96}"/>
    <cellStyle name="Komma 4 3 4" xfId="10199" xr:uid="{FFE25BD8-7B8C-4433-9590-15E03D922053}"/>
    <cellStyle name="Komma 4 3 4 10" xfId="49664" xr:uid="{852BF6D0-9AA1-4C99-8810-1A2341B49EBF}"/>
    <cellStyle name="Komma 4 3 4 11" xfId="49995" xr:uid="{DE43C7E4-E4DC-47DB-849A-416720189E60}"/>
    <cellStyle name="Komma 4 3 4 12" xfId="53011" xr:uid="{97E3393A-5EE6-4D66-88F8-C44E6C0A2FCA}"/>
    <cellStyle name="Komma 4 3 4 13" xfId="18830" xr:uid="{B4ED5068-5B2D-420C-AEB8-ED0F7348C38F}"/>
    <cellStyle name="Komma 4 3 4 2" xfId="10513" xr:uid="{FD45994B-7D7A-45E2-AA1F-6850B3C82B25}"/>
    <cellStyle name="Komma 4 3 4 2 2" xfId="14905" xr:uid="{F929BA9A-E4A3-447D-9D82-E3B1195CFE6D}"/>
    <cellStyle name="Komma 4 3 4 2 2 2" xfId="22452" xr:uid="{5CF39FAC-1BB7-46BE-8DCC-09880AD705B4}"/>
    <cellStyle name="Komma 4 3 4 2 2 3" xfId="47835" xr:uid="{C19C5134-2311-48BB-B56C-2EE1A283F42E}"/>
    <cellStyle name="Komma 4 3 4 2 2 4" xfId="51790" xr:uid="{3A8CDAF6-0F8A-4300-B797-31BB1B0EA36E}"/>
    <cellStyle name="Komma 4 3 4 2 2 5" xfId="54806" xr:uid="{7D0FAFA9-2317-433F-B344-1F9DABA4D602}"/>
    <cellStyle name="Komma 4 3 4 2 2 6" xfId="19159" xr:uid="{D96C498B-D495-42E7-BD9F-012CF274CCFA}"/>
    <cellStyle name="Komma 4 3 4 2 3" xfId="15390" xr:uid="{2D0B3D37-1502-4032-B814-D79EACA77645}"/>
    <cellStyle name="Komma 4 3 4 2 3 2" xfId="22929" xr:uid="{5D6DAA95-812E-4F17-8CD0-7BFDA6A07C04}"/>
    <cellStyle name="Komma 4 3 4 2 3 3" xfId="47785" xr:uid="{2DF2CF90-CFC6-4DF3-A5E9-8BB5EECB0E4D}"/>
    <cellStyle name="Komma 4 3 4 2 3 4" xfId="52267" xr:uid="{96353291-C64D-44EF-932A-0B6196BFDF1F}"/>
    <cellStyle name="Komma 4 3 4 2 3 5" xfId="55283" xr:uid="{47CEDA92-F787-45A5-A8BD-7D6971EBDAA9}"/>
    <cellStyle name="Komma 4 3 4 2 3 6" xfId="19302" xr:uid="{F42BE17F-8D5D-401B-89C8-2121D9C52171}"/>
    <cellStyle name="Komma 4 3 4 2 4" xfId="15877" xr:uid="{110F47AE-1776-4422-9480-5A96B0FF0C3F}"/>
    <cellStyle name="Komma 4 3 4 2 4 2" xfId="23406" xr:uid="{AF192894-C751-41CF-AA5C-F61B309982B5}"/>
    <cellStyle name="Komma 4 3 4 2 4 3" xfId="47272" xr:uid="{8F7DCBFB-CB28-46C5-8B28-1F6C500DD3CB}"/>
    <cellStyle name="Komma 4 3 4 2 4 4" xfId="52744" xr:uid="{2C4ADE73-E485-4AD3-949C-B8A27B0A477F}"/>
    <cellStyle name="Komma 4 3 4 2 4 5" xfId="55760" xr:uid="{700033AD-641B-4720-A6EF-BD1939C5F426}"/>
    <cellStyle name="Komma 4 3 4 2 4 6" xfId="19447" xr:uid="{E4B897D6-4E00-41D4-A4B9-B877D860AAA7}"/>
    <cellStyle name="Komma 4 3 4 2 5" xfId="12966" xr:uid="{F27CC4DC-BA97-4442-9096-5B37889F8873}"/>
    <cellStyle name="Komma 4 3 4 2 5 2" xfId="47024" xr:uid="{6101560B-8093-447E-B29B-BD30FB014B01}"/>
    <cellStyle name="Komma 4 3 4 2 5 3" xfId="51313" xr:uid="{7C805E8F-A7F6-425F-9A25-CFC96DC0726B}"/>
    <cellStyle name="Komma 4 3 4 2 5 4" xfId="54329" xr:uid="{955178CC-6C1B-4E89-BFCC-CD3B087563E0}"/>
    <cellStyle name="Komma 4 3 4 2 5 5" xfId="22017" xr:uid="{35047775-C6FB-4580-A0AF-2CC70BC945A1}"/>
    <cellStyle name="Komma 4 3 4 2 6" xfId="48029" xr:uid="{AC7431A3-F13B-4066-8CA8-76CDC2ED1BA0}"/>
    <cellStyle name="Komma 4 3 4 2 7" xfId="50207" xr:uid="{C68862BE-DB3E-4BA9-B837-C82C15938D37}"/>
    <cellStyle name="Komma 4 3 4 2 8" xfId="53223" xr:uid="{E7A2C9B9-A731-4355-9E3E-50338FC1380A}"/>
    <cellStyle name="Komma 4 3 4 2 9" xfId="18991" xr:uid="{6675602D-C28C-46F6-953B-4397A8BA79FD}"/>
    <cellStyle name="Komma 4 3 4 3" xfId="14693" xr:uid="{1857FEC0-7838-4ACF-A57E-2C6450A0EF88}"/>
    <cellStyle name="Komma 4 3 4 3 2" xfId="22240" xr:uid="{2CA8D4B3-4987-4F66-B6AA-B10BD0230495}"/>
    <cellStyle name="Komma 4 3 4 3 3" xfId="46849" xr:uid="{3E9E52DD-8C14-4B62-938C-EFC9283D9DD4}"/>
    <cellStyle name="Komma 4 3 4 3 4" xfId="51578" xr:uid="{9F48CA27-D654-4F23-BC51-71CF8C06F44A}"/>
    <cellStyle name="Komma 4 3 4 3 5" xfId="54594" xr:uid="{D0D8BDB2-2666-442B-B3DD-6B4AA0FB9186}"/>
    <cellStyle name="Komma 4 3 4 3 6" xfId="19099" xr:uid="{1E7F0E09-710D-44C7-857F-B629B598776A}"/>
    <cellStyle name="Komma 4 3 4 4" xfId="15178" xr:uid="{9A25018C-C247-43A0-B3E5-8E98E73613B7}"/>
    <cellStyle name="Komma 4 3 4 4 2" xfId="22717" xr:uid="{4D70611F-8E7F-4AC4-AD5E-CCD0BA8FB91C}"/>
    <cellStyle name="Komma 4 3 4 4 3" xfId="34005" xr:uid="{72D342EA-4D89-43F5-9905-790C415DF0D1}"/>
    <cellStyle name="Komma 4 3 4 4 4" xfId="52055" xr:uid="{3661E6C1-A382-4B80-82DE-72379F13CD67}"/>
    <cellStyle name="Komma 4 3 4 4 5" xfId="55071" xr:uid="{14EF1C87-82C4-4169-967B-5B3B902E863A}"/>
    <cellStyle name="Komma 4 3 4 4 6" xfId="19242" xr:uid="{97D338B0-D09C-4CD2-AABD-6BA99546C21E}"/>
    <cellStyle name="Komma 4 3 4 5" xfId="15665" xr:uid="{7D8EF635-44A6-4A6C-B138-BE986F31BB3A}"/>
    <cellStyle name="Komma 4 3 4 5 2" xfId="23194" xr:uid="{C538640B-A49D-47A4-97BE-A84ADAFD31AC}"/>
    <cellStyle name="Komma 4 3 4 5 3" xfId="47351" xr:uid="{BD7F30E0-0168-4872-AE91-0A2C1713AFB0}"/>
    <cellStyle name="Komma 4 3 4 5 4" xfId="52532" xr:uid="{D3A4EBFC-F1DE-4196-8E71-5873F54531D2}"/>
    <cellStyle name="Komma 4 3 4 5 5" xfId="55548" xr:uid="{7C04D039-C38E-45E9-AF60-357EF622B694}"/>
    <cellStyle name="Komma 4 3 4 5 6" xfId="19387" xr:uid="{C9169416-E6F5-4E44-BF28-D3CBEC9F3E3D}"/>
    <cellStyle name="Komma 4 3 4 6" xfId="12653" xr:uid="{1A5B3113-331B-4344-88B8-27B2065D45CF}"/>
    <cellStyle name="Komma 4 3 4 6 2" xfId="46337" xr:uid="{C393A987-5888-41D8-B5DE-E09B91DF08BD}"/>
    <cellStyle name="Komma 4 3 4 6 3" xfId="51101" xr:uid="{4E5BE1F9-D93D-4B48-A3BA-3B0A2978B4BF}"/>
    <cellStyle name="Komma 4 3 4 6 4" xfId="54117" xr:uid="{B438298C-699F-470E-84E6-56EC83F711C2}"/>
    <cellStyle name="Komma 4 3 4 6 5" xfId="21957" xr:uid="{249D1CE9-654C-41AA-A8B4-8DCD02B77ED8}"/>
    <cellStyle name="Komma 4 3 4 7" xfId="23909" xr:uid="{CB52463B-7A9D-4680-BD19-49B5151AA7E5}"/>
    <cellStyle name="Komma 4 3 4 8" xfId="47359" xr:uid="{72D0DD26-DD12-45CA-B00A-97BB603AD8D4}"/>
    <cellStyle name="Komma 4 3 4 9" xfId="48758" xr:uid="{8D82B41E-38CE-4A36-8CFC-B7F5F0AD2E04}"/>
    <cellStyle name="Komma 4 3 5" xfId="10279" xr:uid="{3E36742E-7F3A-419C-9922-8E5EF577635E}"/>
    <cellStyle name="Komma 4 3 5 10" xfId="50048" xr:uid="{CCB3DE6B-1399-4C28-8A07-05FAF17DE0C8}"/>
    <cellStyle name="Komma 4 3 5 11" xfId="53064" xr:uid="{64FC3897-75A7-4846-A2B5-265C79BA0503}"/>
    <cellStyle name="Komma 4 3 5 12" xfId="18871" xr:uid="{45F2D56A-9997-4F75-A31B-9035BDE8B6F4}"/>
    <cellStyle name="Komma 4 3 5 2" xfId="14746" xr:uid="{DDFBB61F-8AC9-4AC2-89A0-94614619E85B}"/>
    <cellStyle name="Komma 4 3 5 2 2" xfId="22293" xr:uid="{5D7B4A54-901D-4CC0-B731-67ABEE74F3EA}"/>
    <cellStyle name="Komma 4 3 5 2 3" xfId="24189" xr:uid="{BBF3FDC8-6A15-4102-A058-7B99559CD110}"/>
    <cellStyle name="Komma 4 3 5 2 4" xfId="51631" xr:uid="{D5485A2C-4826-445C-927C-B121B7850086}"/>
    <cellStyle name="Komma 4 3 5 2 5" xfId="54647" xr:uid="{9C98B795-422F-4226-A0D3-FA0E6B7C6D7D}"/>
    <cellStyle name="Komma 4 3 5 2 6" xfId="19114" xr:uid="{F9685FCC-1726-48A8-8C86-5026AF2E4C32}"/>
    <cellStyle name="Komma 4 3 5 3" xfId="15231" xr:uid="{C778D44A-2EEF-4C12-B918-C7C2656C14B5}"/>
    <cellStyle name="Komma 4 3 5 3 2" xfId="22770" xr:uid="{A0DC2B4E-C196-43F9-8497-34E2E855CFB3}"/>
    <cellStyle name="Komma 4 3 5 3 3" xfId="48511" xr:uid="{89C937DE-1CA8-433B-92DE-FDD9F06469FC}"/>
    <cellStyle name="Komma 4 3 5 3 4" xfId="52108" xr:uid="{243CD937-9D23-445F-BE21-195CDFE58FDE}"/>
    <cellStyle name="Komma 4 3 5 3 5" xfId="55124" xr:uid="{C9237C17-E868-4D21-A6E4-5B127DAAA2DD}"/>
    <cellStyle name="Komma 4 3 5 3 6" xfId="19257" xr:uid="{CCE50BB2-8C8D-4B54-B8E1-A1CDBE2DDA58}"/>
    <cellStyle name="Komma 4 3 5 4" xfId="15718" xr:uid="{EC09A295-28BF-4196-86ED-6421FA514898}"/>
    <cellStyle name="Komma 4 3 5 4 2" xfId="23247" xr:uid="{93028018-5509-4844-A2BA-1E4C2947D27D}"/>
    <cellStyle name="Komma 4 3 5 4 3" xfId="47352" xr:uid="{B53D897B-70C7-4ADE-B3E2-F7C6D13C63BB}"/>
    <cellStyle name="Komma 4 3 5 4 4" xfId="52585" xr:uid="{307A94F4-3CAE-4806-A3CF-DFB52A2D4B2A}"/>
    <cellStyle name="Komma 4 3 5 4 5" xfId="55601" xr:uid="{0C7B67E6-0FC6-434B-BAE0-667FAFA2C057}"/>
    <cellStyle name="Komma 4 3 5 4 6" xfId="19402" xr:uid="{2166B9B5-F913-4426-8AAC-F394FA0A8B06}"/>
    <cellStyle name="Komma 4 3 5 5" xfId="12732" xr:uid="{4E0E3301-98C0-48E6-8FC7-7435BBD56ADA}"/>
    <cellStyle name="Komma 4 3 5 5 2" xfId="47739" xr:uid="{8F27A20C-CEBA-4AE0-A232-1B5415ABA0BE}"/>
    <cellStyle name="Komma 4 3 5 5 3" xfId="51154" xr:uid="{56AB2DE6-AD84-47B0-BF89-69360D5C38B7}"/>
    <cellStyle name="Komma 4 3 5 5 4" xfId="54170" xr:uid="{924970A0-2FDD-4CEA-8912-A8F81AA1A89D}"/>
    <cellStyle name="Komma 4 3 5 5 5" xfId="21972" xr:uid="{EEE1CDF7-131A-44C3-8C1D-DD06A11B0F1A}"/>
    <cellStyle name="Komma 4 3 5 6" xfId="23910" xr:uid="{B7F6F5BA-6911-4366-AFE6-E356A0691F55}"/>
    <cellStyle name="Komma 4 3 5 7" xfId="24275" xr:uid="{63796409-D15D-4B2B-AD66-D7324D682A67}"/>
    <cellStyle name="Komma 4 3 5 8" xfId="48759" xr:uid="{4CDDDCB9-009A-4082-9480-37FCADB43911}"/>
    <cellStyle name="Komma 4 3 5 9" xfId="49665" xr:uid="{E37F823D-877B-4E6D-96E8-482BCB5BE0A7}"/>
    <cellStyle name="Komma 4 3 6" xfId="10593" xr:uid="{BE229392-E876-472A-87D4-ACFEDCC2A646}"/>
    <cellStyle name="Komma 4 3 6 2" xfId="14958" xr:uid="{3C88C620-F8D8-4E91-B088-D83B0D9C2294}"/>
    <cellStyle name="Komma 4 3 6 2 2" xfId="22505" xr:uid="{A9B6E1A7-DD0A-4B7B-9241-6A2E59DB5DF4}"/>
    <cellStyle name="Komma 4 3 6 2 3" xfId="46460" xr:uid="{39F5B90F-65CB-4279-9D66-78F954095C3C}"/>
    <cellStyle name="Komma 4 3 6 2 4" xfId="51843" xr:uid="{0E44F247-F05A-4B06-993D-9FD50FB2D051}"/>
    <cellStyle name="Komma 4 3 6 2 5" xfId="54859" xr:uid="{D7E42EAF-652B-4F5E-B6E5-D590DF672040}"/>
    <cellStyle name="Komma 4 3 6 2 6" xfId="19174" xr:uid="{15590748-E9FC-419E-910C-228CB06E0F48}"/>
    <cellStyle name="Komma 4 3 6 3" xfId="15443" xr:uid="{CB48F617-95BA-4764-9CEE-6452EFEF3EB1}"/>
    <cellStyle name="Komma 4 3 6 3 2" xfId="22982" xr:uid="{C0E1D89A-D09C-48F1-B46A-91D1315E1F7A}"/>
    <cellStyle name="Komma 4 3 6 3 3" xfId="47786" xr:uid="{D3861688-7CBE-4F22-9B3A-C2991CD4ABC3}"/>
    <cellStyle name="Komma 4 3 6 3 4" xfId="52320" xr:uid="{B9E124BF-9B20-4AC6-863D-549D55324792}"/>
    <cellStyle name="Komma 4 3 6 3 5" xfId="55336" xr:uid="{6B532B1D-E7DB-49D5-8E0B-68217299C951}"/>
    <cellStyle name="Komma 4 3 6 3 6" xfId="19317" xr:uid="{E5F1B862-534F-431D-B8D5-6F7F00279497}"/>
    <cellStyle name="Komma 4 3 6 4" xfId="15931" xr:uid="{A09C287A-03B8-4EB0-AE9F-34CCEEEC0BAB}"/>
    <cellStyle name="Komma 4 3 6 4 2" xfId="23459" xr:uid="{E75AF667-F16E-4A49-84A3-2ECC322C1938}"/>
    <cellStyle name="Komma 4 3 6 4 3" xfId="46984" xr:uid="{DD44E84B-5672-4199-B398-623901C41286}"/>
    <cellStyle name="Komma 4 3 6 4 4" xfId="52797" xr:uid="{E110239D-7FEF-4D8E-B373-2E1AA1393AD5}"/>
    <cellStyle name="Komma 4 3 6 4 5" xfId="55813" xr:uid="{B4076FE6-4C4E-471B-8757-8869EFCAF06D}"/>
    <cellStyle name="Komma 4 3 6 4 6" xfId="19463" xr:uid="{4C94ACFC-1F77-4058-9AF7-F5F7E19E61A6}"/>
    <cellStyle name="Komma 4 3 6 5" xfId="13046" xr:uid="{9C7A3DAC-683C-40B3-996D-C66D44F47B7C}"/>
    <cellStyle name="Komma 4 3 6 5 2" xfId="46386" xr:uid="{B2B6FD45-18F7-4497-8CCC-5AD47EAC0A63}"/>
    <cellStyle name="Komma 4 3 6 5 3" xfId="51366" xr:uid="{CE83EA9D-5F20-4FA4-BE07-FEA279F30080}"/>
    <cellStyle name="Komma 4 3 6 5 4" xfId="54382" xr:uid="{42C9B482-78C6-45EF-843A-257D6D4A0453}"/>
    <cellStyle name="Komma 4 3 6 5 5" xfId="22032" xr:uid="{84C92574-1AF1-46E5-9E26-98CD1A9ED57E}"/>
    <cellStyle name="Komma 4 3 6 6" xfId="47142" xr:uid="{083C109A-739C-4175-84B6-0E7FC9393904}"/>
    <cellStyle name="Komma 4 3 6 7" xfId="50260" xr:uid="{BFF00D49-83F3-47D7-B528-6EBF5EDAF65D}"/>
    <cellStyle name="Komma 4 3 6 8" xfId="53276" xr:uid="{50EC8A39-D93F-4DAA-B504-AC60AC0160DF}"/>
    <cellStyle name="Komma 4 3 6 9" xfId="19033" xr:uid="{5A32F212-21A5-4C90-8665-A2670879BD13}"/>
    <cellStyle name="Komma 4 3 7" xfId="14534" xr:uid="{81DED184-4EF0-43D9-B9B3-87068C9E49DE}"/>
    <cellStyle name="Komma 4 3 7 2" xfId="22081" xr:uid="{265AA8E7-A30E-45E6-8A12-3B762B2611D3}"/>
    <cellStyle name="Komma 4 3 7 3" xfId="24983" xr:uid="{6442F5BD-8E18-47BD-93F4-04342E96977C}"/>
    <cellStyle name="Komma 4 3 7 4" xfId="51419" xr:uid="{9DBA3DA0-E8E0-48ED-ACFD-F17390321B8A}"/>
    <cellStyle name="Komma 4 3 7 5" xfId="54435" xr:uid="{C8B06FFE-7A3C-4753-AB4E-45C08F7F92F8}"/>
    <cellStyle name="Komma 4 3 7 6" xfId="19054" xr:uid="{A565F2DB-E026-43F9-97C7-423F09C20DCB}"/>
    <cellStyle name="Komma 4 3 8" xfId="15018" xr:uid="{CDD741AF-B330-4B25-A9BB-7214509EF23E}"/>
    <cellStyle name="Komma 4 3 8 2" xfId="22558" xr:uid="{FD82F886-B684-482F-B716-AE90FB319FF7}"/>
    <cellStyle name="Komma 4 3 8 3" xfId="46610" xr:uid="{6B5DF50F-D77B-4E3D-901F-181F2D072F7C}"/>
    <cellStyle name="Komma 4 3 8 4" xfId="51896" xr:uid="{7F5CED1D-1A45-4D76-8F82-F2BC18C8930B}"/>
    <cellStyle name="Komma 4 3 8 5" xfId="54912" xr:uid="{85508994-C551-44F5-AC36-98A26A04C561}"/>
    <cellStyle name="Komma 4 3 8 6" xfId="19196" xr:uid="{22C02D38-71B1-4E44-9803-12CBF1B8BD3E}"/>
    <cellStyle name="Komma 4 3 9" xfId="15505" xr:uid="{45931543-A2AA-4220-805A-DD8DD55D3AEC}"/>
    <cellStyle name="Komma 4 3 9 2" xfId="23035" xr:uid="{35CD4D99-F374-4E86-A4E5-4BD4862FCB91}"/>
    <cellStyle name="Komma 4 3 9 3" xfId="47942" xr:uid="{D7239F30-D81C-4463-B9CE-19481CAA8526}"/>
    <cellStyle name="Komma 4 3 9 4" xfId="52373" xr:uid="{847E20EA-A4D9-49A6-B53B-6AEE4E147476}"/>
    <cellStyle name="Komma 4 3 9 5" xfId="55389" xr:uid="{8440DF02-F7FF-4C44-8476-F0D82AEE50B5}"/>
    <cellStyle name="Komma 4 3 9 6" xfId="19341" xr:uid="{077936CF-C523-44D4-9D3B-2BC816E5A76B}"/>
    <cellStyle name="Komma 4 4" xfId="10043" xr:uid="{87262027-483F-4F49-8EE3-BA5D22C4BBD4}"/>
    <cellStyle name="Komma 4 4 10" xfId="49666" xr:uid="{817F06B6-4F8B-44C1-98E5-CF42E586BD5F}"/>
    <cellStyle name="Komma 4 4 11" xfId="49886" xr:uid="{69DDE406-0374-41D1-BEDB-0097788500C9}"/>
    <cellStyle name="Komma 4 4 12" xfId="52902" xr:uid="{ED8888F9-C97B-4145-AFD7-533D74F3E729}"/>
    <cellStyle name="Komma 4 4 13" xfId="18756" xr:uid="{0540400E-0F62-45D9-AFD1-582EA1081022}"/>
    <cellStyle name="Komma 4 4 2" xfId="10351" xr:uid="{A86295B5-FD0D-4C48-992B-BF99D15F50E1}"/>
    <cellStyle name="Komma 4 4 2 10" xfId="50098" xr:uid="{07C529F3-A704-4CAA-8B2F-5EE97D1107A4}"/>
    <cellStyle name="Komma 4 4 2 11" xfId="53114" xr:uid="{832F5575-D2E0-4024-8BD2-C4FD7FD05FAA}"/>
    <cellStyle name="Komma 4 4 2 12" xfId="18905" xr:uid="{4FD75F26-49FD-446E-8311-A0D9E41B71EE}"/>
    <cellStyle name="Komma 4 4 2 2" xfId="14796" xr:uid="{7A0433F5-2460-4A6E-93E1-44D356A2F9B6}"/>
    <cellStyle name="Komma 4 4 2 2 2" xfId="22343" xr:uid="{68802A1B-097E-40CC-88E0-82CFA77C1C02}"/>
    <cellStyle name="Komma 4 4 2 2 3" xfId="24945" xr:uid="{58D961A0-05D5-4DC0-A253-BD9693ECCBA6}"/>
    <cellStyle name="Komma 4 4 2 2 4" xfId="51681" xr:uid="{1DECD374-718C-4AAE-8CF9-200597901497}"/>
    <cellStyle name="Komma 4 4 2 2 5" xfId="54697" xr:uid="{22B27B55-7FDB-461E-AE2A-5325EBA95B4D}"/>
    <cellStyle name="Komma 4 4 2 2 6" xfId="19126" xr:uid="{20139CFD-CDC7-4C8A-98E4-EEAC9A7C0D37}"/>
    <cellStyle name="Komma 4 4 2 3" xfId="15281" xr:uid="{F76589A1-E35B-422D-A354-DCBA877E618F}"/>
    <cellStyle name="Komma 4 4 2 3 2" xfId="22820" xr:uid="{589A575F-64B5-46EF-97A8-875D76B70650}"/>
    <cellStyle name="Komma 4 4 2 3 3" xfId="46508" xr:uid="{FFC40B01-2D52-452E-A4A1-4FA68D628166}"/>
    <cellStyle name="Komma 4 4 2 3 4" xfId="52158" xr:uid="{F51896A4-C45E-4218-82EB-D4204521936B}"/>
    <cellStyle name="Komma 4 4 2 3 5" xfId="55174" xr:uid="{8F6CE619-D0E0-4BB4-9FD4-E2DF4DC418C5}"/>
    <cellStyle name="Komma 4 4 2 3 6" xfId="19269" xr:uid="{A5EBCD12-C9FE-42ED-9860-C43362BAE449}"/>
    <cellStyle name="Komma 4 4 2 4" xfId="15768" xr:uid="{FFA459D5-9C0F-400B-992B-55B9D3E659F6}"/>
    <cellStyle name="Komma 4 4 2 4 2" xfId="23297" xr:uid="{9D3ABB00-FDC2-49B9-9B12-023AF391978B}"/>
    <cellStyle name="Komma 4 4 2 4 3" xfId="46582" xr:uid="{86E2467D-2F9B-438E-AA40-7D0C5C561AC4}"/>
    <cellStyle name="Komma 4 4 2 4 4" xfId="52635" xr:uid="{CFE33823-DBCE-4F16-B1A9-603A58A1EB9E}"/>
    <cellStyle name="Komma 4 4 2 4 5" xfId="55651" xr:uid="{90AAE060-9197-444C-B365-64A9E2068A49}"/>
    <cellStyle name="Komma 4 4 2 4 6" xfId="19414" xr:uid="{F90D2C1B-E5FE-4621-9FD1-43212B2D2928}"/>
    <cellStyle name="Komma 4 4 2 5" xfId="12804" xr:uid="{E6FEC178-FB72-4654-88F2-F7B64B27611F}"/>
    <cellStyle name="Komma 4 4 2 5 2" xfId="25049" xr:uid="{10638C0D-DE0A-4B4A-840D-CFC1562DFCC6}"/>
    <cellStyle name="Komma 4 4 2 5 3" xfId="51204" xr:uid="{20C616EA-41C7-4887-84D6-8D9BC02D90DD}"/>
    <cellStyle name="Komma 4 4 2 5 4" xfId="54220" xr:uid="{D5AD6FFB-CD93-4D66-A057-278B60C6AFF8}"/>
    <cellStyle name="Komma 4 4 2 5 5" xfId="21984" xr:uid="{17B81D7A-8A8B-44C2-9F4E-4B6E1D6F3E10}"/>
    <cellStyle name="Komma 4 4 2 6" xfId="23912" xr:uid="{BF58AD35-2BC1-46C5-AFB3-CB176A97402F}"/>
    <cellStyle name="Komma 4 4 2 7" xfId="24269" xr:uid="{46AC928D-0839-4ADA-9DBE-9F6969C75A7E}"/>
    <cellStyle name="Komma 4 4 2 8" xfId="48761" xr:uid="{E00BF121-912C-48AB-A727-17DFE4E3B07D}"/>
    <cellStyle name="Komma 4 4 2 9" xfId="49667" xr:uid="{6C5AFB12-196B-4DCF-8D36-00B2275D213E}"/>
    <cellStyle name="Komma 4 4 3" xfId="14584" xr:uid="{B1E224FA-E8B9-4CA7-A00D-45CBECB3B536}"/>
    <cellStyle name="Komma 4 4 3 2" xfId="22131" xr:uid="{9B2E6891-E20D-428A-9962-BA9DD362AD8C}"/>
    <cellStyle name="Komma 4 4 3 3" xfId="48500" xr:uid="{106887DB-1BD6-417A-92A6-73613F3A5E25}"/>
    <cellStyle name="Komma 4 4 3 4" xfId="51469" xr:uid="{DDAD0CBE-0359-42DD-AF78-E7F682A52F2A}"/>
    <cellStyle name="Komma 4 4 3 5" xfId="54485" xr:uid="{24B24C51-3470-45B7-8659-E0EA15010E0D}"/>
    <cellStyle name="Komma 4 4 3 6" xfId="19066" xr:uid="{D0347856-7161-4763-BA52-DA215BE51C62}"/>
    <cellStyle name="Komma 4 4 4" xfId="15068" xr:uid="{F70E0E60-4268-482A-920A-0473A6CA3288}"/>
    <cellStyle name="Komma 4 4 4 2" xfId="22608" xr:uid="{336FB25E-5704-48C1-8206-8C809DD41D7F}"/>
    <cellStyle name="Komma 4 4 4 3" xfId="47712" xr:uid="{76F6FD18-1D58-4FF6-86C3-5237BB7F1961}"/>
    <cellStyle name="Komma 4 4 4 4" xfId="51946" xr:uid="{B5466475-08C6-4C65-9FA2-24FE2BCFAF6F}"/>
    <cellStyle name="Komma 4 4 4 5" xfId="54962" xr:uid="{03744B36-3E33-4728-8962-BFE26F828ABB}"/>
    <cellStyle name="Komma 4 4 4 6" xfId="19208" xr:uid="{91BBCD3C-8273-413D-A845-9059605B0B90}"/>
    <cellStyle name="Komma 4 4 5" xfId="15555" xr:uid="{BE8F02CF-E6C7-420B-AA56-643ED58CAA01}"/>
    <cellStyle name="Komma 4 4 5 2" xfId="23085" xr:uid="{3AC7E4C8-A17A-4DE4-A309-32DFCAC98D35}"/>
    <cellStyle name="Komma 4 4 5 3" xfId="46550" xr:uid="{3F840DBB-7C0A-43EC-BCD3-61F3BB1B65E6}"/>
    <cellStyle name="Komma 4 4 5 4" xfId="52423" xr:uid="{DAED7B9A-1918-42F8-A7ED-03BABD13FD66}"/>
    <cellStyle name="Komma 4 4 5 5" xfId="55439" xr:uid="{38C6FA9F-D2ED-4DA9-B902-E09B7DE8120E}"/>
    <cellStyle name="Komma 4 4 5 6" xfId="19353" xr:uid="{AFE7E760-A291-4BD8-8F14-26DD560C65FA}"/>
    <cellStyle name="Komma 4 4 6" xfId="12503" xr:uid="{DF661303-695B-43C8-B672-5CE24B2FA196}"/>
    <cellStyle name="Komma 4 4 6 2" xfId="48488" xr:uid="{5079AD63-EFB0-4DC0-B827-437F9123ED94}"/>
    <cellStyle name="Komma 4 4 6 3" xfId="50992" xr:uid="{02C15979-7F79-48E3-8C37-0CB5D03E8816}"/>
    <cellStyle name="Komma 4 4 6 4" xfId="54008" xr:uid="{DB0C037C-977B-4985-8115-46C78BF0FD76}"/>
    <cellStyle name="Komma 4 4 6 5" xfId="21923" xr:uid="{AD4F39FD-399B-4A84-9A3D-5BC8B01EACD7}"/>
    <cellStyle name="Komma 4 4 7" xfId="23911" xr:uid="{12327B67-F115-4B54-9DF3-1B85E31B8ECD}"/>
    <cellStyle name="Komma 4 4 8" xfId="48446" xr:uid="{AEE954A6-B74E-44D0-97EB-977CF1E50628}"/>
    <cellStyle name="Komma 4 4 9" xfId="48760" xr:uid="{7053E83C-E655-4D2A-B5F7-FE271C257F02}"/>
    <cellStyle name="Komma 4 5" xfId="10117" xr:uid="{447A9350-2F88-40FF-9E7C-697E2E78DCE2}"/>
    <cellStyle name="Komma 4 5 10" xfId="49668" xr:uid="{68D454BF-3CE2-4B01-8831-554B8BFC511F}"/>
    <cellStyle name="Komma 4 5 11" xfId="49939" xr:uid="{2130BAE2-5BF2-4612-BCCF-B17D3C90C032}"/>
    <cellStyle name="Komma 4 5 12" xfId="52955" xr:uid="{C6524EC5-EEF8-407B-AC03-E0184C0E6D54}"/>
    <cellStyle name="Komma 4 5 13" xfId="18789" xr:uid="{D5398701-95EB-41E5-BBEE-A53C44A91605}"/>
    <cellStyle name="Komma 4 5 2" xfId="10430" xr:uid="{004998D4-4FB5-4DB6-8181-D590EEC5413A}"/>
    <cellStyle name="Komma 4 5 2 10" xfId="50151" xr:uid="{2B404ACB-9787-4F69-9F8B-6AE22AE2BC03}"/>
    <cellStyle name="Komma 4 5 2 11" xfId="53167" xr:uid="{FD190298-03C1-4ABB-9FE8-7AEA69926BAC}"/>
    <cellStyle name="Komma 4 5 2 12" xfId="18946" xr:uid="{96DF04B5-E92E-4B5F-AFD3-91C055B1FAF8}"/>
    <cellStyle name="Komma 4 5 2 2" xfId="14849" xr:uid="{29A5FC27-82D2-42CB-A4F3-E16DBDF40655}"/>
    <cellStyle name="Komma 4 5 2 2 2" xfId="22396" xr:uid="{D0B4AF17-2356-422A-803E-807D47FB0B12}"/>
    <cellStyle name="Komma 4 5 2 2 3" xfId="47242" xr:uid="{E833DED7-AC05-4045-95F5-FE769AAC28E9}"/>
    <cellStyle name="Komma 4 5 2 2 4" xfId="51734" xr:uid="{136B4A2C-E81E-46FE-83D4-F7C59D071D77}"/>
    <cellStyle name="Komma 4 5 2 2 5" xfId="54750" xr:uid="{CBEB692E-50B3-4CFD-9B45-FAB77927FC24}"/>
    <cellStyle name="Komma 4 5 2 2 6" xfId="19141" xr:uid="{619C3C06-B85C-4F6A-A52C-CA56B5542EA4}"/>
    <cellStyle name="Komma 4 5 2 3" xfId="15334" xr:uid="{ABFB07E4-0251-4C5B-9BE4-F604120EC270}"/>
    <cellStyle name="Komma 4 5 2 3 2" xfId="22873" xr:uid="{A9383452-0E49-415B-859D-5BED205461DB}"/>
    <cellStyle name="Komma 4 5 2 3 3" xfId="33356" xr:uid="{18596629-6AC8-4C25-BDC8-D31E81D969B1}"/>
    <cellStyle name="Komma 4 5 2 3 4" xfId="52211" xr:uid="{DB12C560-9A00-4484-B898-AB960A602483}"/>
    <cellStyle name="Komma 4 5 2 3 5" xfId="55227" xr:uid="{43EB2E01-7414-4677-8E44-85F9ABDFE7AC}"/>
    <cellStyle name="Komma 4 5 2 3 6" xfId="19284" xr:uid="{8B444263-00B2-46FF-BF2D-E136968AA171}"/>
    <cellStyle name="Komma 4 5 2 4" xfId="15821" xr:uid="{9677C238-D156-453D-A6A7-205894BA5D17}"/>
    <cellStyle name="Komma 4 5 2 4 2" xfId="23350" xr:uid="{CC5D3CCD-BA0C-4E15-AB79-807B4DEA7EF6}"/>
    <cellStyle name="Komma 4 5 2 4 3" xfId="47503" xr:uid="{1F071EEE-5664-408B-B766-732BBC636FF7}"/>
    <cellStyle name="Komma 4 5 2 4 4" xfId="52688" xr:uid="{DE773B4B-B2FB-4B67-8BF7-3FCC77817640}"/>
    <cellStyle name="Komma 4 5 2 4 5" xfId="55704" xr:uid="{85911DBE-358D-4440-B6E8-4164A9FE1279}"/>
    <cellStyle name="Komma 4 5 2 4 6" xfId="19429" xr:uid="{F4DD7D48-4BC5-4A07-835B-3575EA866BFD}"/>
    <cellStyle name="Komma 4 5 2 5" xfId="12883" xr:uid="{F0CE65A6-41BD-4447-B7D5-970492299706}"/>
    <cellStyle name="Komma 4 5 2 5 2" xfId="47099" xr:uid="{4C313EE5-9566-4E7D-B204-4F2694D5C03B}"/>
    <cellStyle name="Komma 4 5 2 5 3" xfId="51257" xr:uid="{9A18A736-B915-453C-AF06-E183531EF325}"/>
    <cellStyle name="Komma 4 5 2 5 4" xfId="54273" xr:uid="{5EA08585-1FB6-495B-B38F-468C7A678418}"/>
    <cellStyle name="Komma 4 5 2 5 5" xfId="21999" xr:uid="{BE0A7778-2DEB-4BC1-BBAE-ACA00BF9768A}"/>
    <cellStyle name="Komma 4 5 2 6" xfId="23914" xr:uid="{4CF437C2-3E30-4FE1-B9FE-58BF7DD25FCE}"/>
    <cellStyle name="Komma 4 5 2 7" xfId="47953" xr:uid="{27927A36-85D0-4152-9624-FFE48C98877D}"/>
    <cellStyle name="Komma 4 5 2 8" xfId="48763" xr:uid="{2465051C-D215-4A17-A3C8-3663433FF670}"/>
    <cellStyle name="Komma 4 5 2 9" xfId="49669" xr:uid="{2A0DC26C-0873-49B2-9FA9-6D87E436E0F2}"/>
    <cellStyle name="Komma 4 5 3" xfId="14637" xr:uid="{E375E389-AC58-415B-A1ED-C3F9D1C3C8DD}"/>
    <cellStyle name="Komma 4 5 3 2" xfId="22184" xr:uid="{2996D6B7-6EBB-42DE-9DF6-C0F1836F7346}"/>
    <cellStyle name="Komma 4 5 3 3" xfId="46677" xr:uid="{8FD09C30-A71E-4C38-949E-06B57D169ADE}"/>
    <cellStyle name="Komma 4 5 3 4" xfId="51522" xr:uid="{78C67732-D8D1-4803-9AD9-FC91010A14E9}"/>
    <cellStyle name="Komma 4 5 3 5" xfId="54538" xr:uid="{0852D11C-8027-4CBA-AE24-A1DA3BBF2781}"/>
    <cellStyle name="Komma 4 5 3 6" xfId="19081" xr:uid="{02FA40D1-FB79-41BB-9B8B-9E677EF2B02A}"/>
    <cellStyle name="Komma 4 5 4" xfId="15122" xr:uid="{E69D6014-859F-4B45-BB59-32BBEC1D6BB7}"/>
    <cellStyle name="Komma 4 5 4 2" xfId="22661" xr:uid="{121EBCDC-5AA9-4426-B3A4-8130B7358F53}"/>
    <cellStyle name="Komma 4 5 4 3" xfId="24910" xr:uid="{EA21FDCF-60C0-4AE5-B7C2-1218CCC0C0C0}"/>
    <cellStyle name="Komma 4 5 4 4" xfId="51999" xr:uid="{8A7E0C75-5A8A-4963-855B-E0238A95CFDF}"/>
    <cellStyle name="Komma 4 5 4 5" xfId="55015" xr:uid="{83F8DDE1-D390-4AC1-80F1-6622F5AB15C2}"/>
    <cellStyle name="Komma 4 5 4 6" xfId="19224" xr:uid="{6E398B50-C10D-418D-B5CE-A7CA6821C1DB}"/>
    <cellStyle name="Komma 4 5 5" xfId="15609" xr:uid="{F8885442-48FA-4816-A8E3-25C8ED92662A}"/>
    <cellStyle name="Komma 4 5 5 2" xfId="23138" xr:uid="{461E758F-D18C-41E5-82AE-9BD17855EEF5}"/>
    <cellStyle name="Komma 4 5 5 3" xfId="46945" xr:uid="{3F29AC16-55A3-4F74-9AA8-4DDB35F539DA}"/>
    <cellStyle name="Komma 4 5 5 4" xfId="52476" xr:uid="{18B491B5-BBF2-4218-8C7E-5B7BF1C6C3D8}"/>
    <cellStyle name="Komma 4 5 5 5" xfId="55492" xr:uid="{E58F077B-9252-498B-8C6B-DA9EB7115C6D}"/>
    <cellStyle name="Komma 4 5 5 6" xfId="19369" xr:uid="{84536A48-E171-4380-BC78-3B7AFE2B9365}"/>
    <cellStyle name="Komma 4 5 6" xfId="12574" xr:uid="{48DD8075-335A-42E3-B03D-10C927565331}"/>
    <cellStyle name="Komma 4 5 6 2" xfId="47805" xr:uid="{CA6022F8-7A57-4566-8DF5-E63C2A929EEB}"/>
    <cellStyle name="Komma 4 5 6 3" xfId="51045" xr:uid="{65C14C55-91A0-4EE3-AB67-BE654EAF72E4}"/>
    <cellStyle name="Komma 4 5 6 4" xfId="54061" xr:uid="{A722CD37-0F87-4E17-911F-29A1F4E1907E}"/>
    <cellStyle name="Komma 4 5 6 5" xfId="21939" xr:uid="{1E0DBBD5-1F45-4BB1-BEDC-61E0D36A0907}"/>
    <cellStyle name="Komma 4 5 7" xfId="23913" xr:uid="{FE966144-99FF-49C0-BCDA-BD219E84010D}"/>
    <cellStyle name="Komma 4 5 8" xfId="46616" xr:uid="{822F51DA-7547-46F1-B359-2EEB1F53C42C}"/>
    <cellStyle name="Komma 4 5 9" xfId="48762" xr:uid="{8DC4B57B-9387-4A94-9B33-547D76E5B67D}"/>
    <cellStyle name="Komma 4 6" xfId="10196" xr:uid="{6998AD83-B8BD-4C93-BA48-897C9A0EB99F}"/>
    <cellStyle name="Komma 4 6 10" xfId="49670" xr:uid="{CF317293-A848-4CAC-A00F-5D04F619482C}"/>
    <cellStyle name="Komma 4 6 11" xfId="49992" xr:uid="{E7EBA5B3-9115-483D-B4B6-16A8585908DE}"/>
    <cellStyle name="Komma 4 6 12" xfId="53008" xr:uid="{1B49EDC9-F18A-4124-AC4A-07C754052E88}"/>
    <cellStyle name="Komma 4 6 13" xfId="18827" xr:uid="{F6902E4B-C21C-4F88-A596-953ED6278F5C}"/>
    <cellStyle name="Komma 4 6 2" xfId="10510" xr:uid="{5E4EF090-FCCF-4B27-9642-B53697AC994E}"/>
    <cellStyle name="Komma 4 6 2 10" xfId="50204" xr:uid="{BB7E22A5-D61C-49D3-8024-B37D701EA7E3}"/>
    <cellStyle name="Komma 4 6 2 11" xfId="53220" xr:uid="{BC904157-37C0-47F8-809A-A2276AE28CE8}"/>
    <cellStyle name="Komma 4 6 2 12" xfId="18988" xr:uid="{724B0C8D-BD05-4718-AFEF-E15C250BB13D}"/>
    <cellStyle name="Komma 4 6 2 2" xfId="14902" xr:uid="{CFFFFD3A-4585-4D34-A2FD-4136123BE0F3}"/>
    <cellStyle name="Komma 4 6 2 2 2" xfId="22449" xr:uid="{35674CE4-FC87-4D60-A9B4-F2354F9D4DD6}"/>
    <cellStyle name="Komma 4 6 2 2 3" xfId="47933" xr:uid="{CEB3CEA1-0E8F-4243-92D8-670D47E93EA8}"/>
    <cellStyle name="Komma 4 6 2 2 4" xfId="51787" xr:uid="{738C5656-1B5E-41F8-AFDC-17FFF0C68969}"/>
    <cellStyle name="Komma 4 6 2 2 5" xfId="54803" xr:uid="{15FAA147-084B-4647-B072-2D12228A1BDA}"/>
    <cellStyle name="Komma 4 6 2 2 6" xfId="19156" xr:uid="{A7568486-3395-4FC8-B161-270A717DE525}"/>
    <cellStyle name="Komma 4 6 2 3" xfId="15387" xr:uid="{123F1125-FD4F-4EC1-A5AE-00726AE0FBD3}"/>
    <cellStyle name="Komma 4 6 2 3 2" xfId="22926" xr:uid="{F5DA49CF-6512-4F91-AC88-F90F5D254BDC}"/>
    <cellStyle name="Komma 4 6 2 3 3" xfId="48304" xr:uid="{711DA11C-F83F-4821-B51A-9133F96F96EB}"/>
    <cellStyle name="Komma 4 6 2 3 4" xfId="52264" xr:uid="{913C6F81-430A-4D0C-A5DE-572BAD83E4A3}"/>
    <cellStyle name="Komma 4 6 2 3 5" xfId="55280" xr:uid="{A9D88E15-4C86-447F-A965-3E949EFA9F6A}"/>
    <cellStyle name="Komma 4 6 2 3 6" xfId="19299" xr:uid="{CAE62EC0-3FBE-455E-AA54-6B1144345087}"/>
    <cellStyle name="Komma 4 6 2 4" xfId="15874" xr:uid="{C23CBA32-5556-4050-9A67-2138FBB711A6}"/>
    <cellStyle name="Komma 4 6 2 4 2" xfId="23403" xr:uid="{A9050C95-889D-4D9F-AC59-7D357F929E65}"/>
    <cellStyle name="Komma 4 6 2 4 3" xfId="47218" xr:uid="{91B9B7EB-6F58-4D3E-8DF9-0D1B29FC47AE}"/>
    <cellStyle name="Komma 4 6 2 4 4" xfId="52741" xr:uid="{2AD24B62-5C89-4791-B2D4-625235097E44}"/>
    <cellStyle name="Komma 4 6 2 4 5" xfId="55757" xr:uid="{B1989405-6ADE-444D-AD66-EAF10339EBBE}"/>
    <cellStyle name="Komma 4 6 2 4 6" xfId="19444" xr:uid="{AB924DF2-3C22-4396-96DB-86300743D725}"/>
    <cellStyle name="Komma 4 6 2 5" xfId="12963" xr:uid="{B1DE1930-53F4-45D0-B29D-33DCCAE95DF6}"/>
    <cellStyle name="Komma 4 6 2 5 2" xfId="33774" xr:uid="{39C19D08-7207-4DEB-9B6C-FE83632CDC57}"/>
    <cellStyle name="Komma 4 6 2 5 3" xfId="51310" xr:uid="{3E6F3DBB-BD52-4040-A0DD-92D0FAEE1C03}"/>
    <cellStyle name="Komma 4 6 2 5 4" xfId="54326" xr:uid="{1DB9B57C-6D40-4523-B61C-2C0CF8662A2D}"/>
    <cellStyle name="Komma 4 6 2 5 5" xfId="22014" xr:uid="{F7E48782-87C2-41A7-B5F2-EDFDE7B2BA56}"/>
    <cellStyle name="Komma 4 6 2 6" xfId="23916" xr:uid="{9B42328C-6377-446D-961A-7CAE2F7E9E53}"/>
    <cellStyle name="Komma 4 6 2 7" xfId="46987" xr:uid="{1A3ED775-8E09-422B-BB25-03B9F6608D3F}"/>
    <cellStyle name="Komma 4 6 2 8" xfId="48765" xr:uid="{FF9FB5D6-B1B7-495E-B84A-B0593B23A4E3}"/>
    <cellStyle name="Komma 4 6 2 9" xfId="49671" xr:uid="{FB274E8D-3A81-42C6-8BD9-68B9EDD9F274}"/>
    <cellStyle name="Komma 4 6 3" xfId="14690" xr:uid="{843FFE3E-B14B-482F-AA03-D39DC7B6F046}"/>
    <cellStyle name="Komma 4 6 3 2" xfId="22237" xr:uid="{691FF77C-D498-4215-A152-284748858CC0}"/>
    <cellStyle name="Komma 4 6 3 3" xfId="46418" xr:uid="{8C9B1DCD-7DD7-45AC-BA56-3EA16A755B6F}"/>
    <cellStyle name="Komma 4 6 3 4" xfId="51575" xr:uid="{5EE5E1E3-4C23-4096-85DE-4134BFADF361}"/>
    <cellStyle name="Komma 4 6 3 5" xfId="54591" xr:uid="{4172A741-F678-4876-879A-E3657F75D22A}"/>
    <cellStyle name="Komma 4 6 3 6" xfId="19096" xr:uid="{9A134FFA-8334-4DD2-BD66-301B64AD9BE9}"/>
    <cellStyle name="Komma 4 6 4" xfId="15175" xr:uid="{74B98CA1-90A1-4A66-A60D-F8BAD5C955C7}"/>
    <cellStyle name="Komma 4 6 4 2" xfId="22714" xr:uid="{7029F230-DCF5-4C9E-893B-B9F83E02E6B2}"/>
    <cellStyle name="Komma 4 6 4 3" xfId="48550" xr:uid="{4CB3CDC2-A32E-4C53-B572-66DD5DB89A4D}"/>
    <cellStyle name="Komma 4 6 4 4" xfId="52052" xr:uid="{DB65F211-850C-4710-ACAE-9D5FFA55C297}"/>
    <cellStyle name="Komma 4 6 4 5" xfId="55068" xr:uid="{3C4C9E19-6A61-4F7C-AB56-76654C67DF2B}"/>
    <cellStyle name="Komma 4 6 4 6" xfId="19239" xr:uid="{7F85831F-571F-453D-9143-69FC87A97212}"/>
    <cellStyle name="Komma 4 6 5" xfId="15662" xr:uid="{7A96D605-8BCC-4410-A62C-D775733E2F24}"/>
    <cellStyle name="Komma 4 6 5 2" xfId="23191" xr:uid="{614D3DA1-1D82-4E63-9F75-A7896EE6DB63}"/>
    <cellStyle name="Komma 4 6 5 3" xfId="48132" xr:uid="{EC1A9A5F-3944-43FE-99D5-62DA58D3ACF9}"/>
    <cellStyle name="Komma 4 6 5 4" xfId="52529" xr:uid="{40FB92A4-F947-4246-A880-42FAEFDB8BC7}"/>
    <cellStyle name="Komma 4 6 5 5" xfId="55545" xr:uid="{C4356BC6-F3A7-4A10-B46E-57CA9B0E9AF5}"/>
    <cellStyle name="Komma 4 6 5 6" xfId="19384" xr:uid="{2B2628BB-06F2-41D7-AD1B-D71FA747DCB0}"/>
    <cellStyle name="Komma 4 6 6" xfId="12650" xr:uid="{83ECB4DF-F3D8-4DCB-BC11-2DE01FD6FE96}"/>
    <cellStyle name="Komma 4 6 6 2" xfId="48049" xr:uid="{69C4F319-0BC4-4DF8-AF1D-88649BA1609D}"/>
    <cellStyle name="Komma 4 6 6 3" xfId="51098" xr:uid="{6468CD85-B9E6-41A8-89D5-9723C88E4CFA}"/>
    <cellStyle name="Komma 4 6 6 4" xfId="54114" xr:uid="{BF48B47B-BE2A-4993-A596-D8ADBEA7D68E}"/>
    <cellStyle name="Komma 4 6 6 5" xfId="21954" xr:uid="{5CD8D9E6-C91D-4883-9FE6-47C74314B375}"/>
    <cellStyle name="Komma 4 6 7" xfId="23915" xr:uid="{7FF22E3E-EEE4-4491-9CC3-B8AE1B7170E8}"/>
    <cellStyle name="Komma 4 6 8" xfId="46620" xr:uid="{7FB9D0F2-E2CE-480A-B23C-20109E9923E9}"/>
    <cellStyle name="Komma 4 6 9" xfId="48764" xr:uid="{42DFAA78-0876-43B7-B47D-E9CC5D7F4129}"/>
    <cellStyle name="Komma 4 7" xfId="10276" xr:uid="{D4ED2092-B5C4-4F04-BA2B-E8A3B860066E}"/>
    <cellStyle name="Komma 4 7 10" xfId="50045" xr:uid="{395DF562-2D92-455B-9AD9-D4EF28AE7A2F}"/>
    <cellStyle name="Komma 4 7 11" xfId="53061" xr:uid="{BD910AD4-8029-4E12-A293-EADB31484009}"/>
    <cellStyle name="Komma 4 7 12" xfId="18868" xr:uid="{51EAC82E-CD46-4B7B-A702-D3A1D19C491E}"/>
    <cellStyle name="Komma 4 7 2" xfId="14743" xr:uid="{DD4FF581-A54F-47CA-BBA9-A59FEFF1FF76}"/>
    <cellStyle name="Komma 4 7 2 2" xfId="22290" xr:uid="{A92AB878-3C9C-40B5-8607-4BE2C5F66C37}"/>
    <cellStyle name="Komma 4 7 2 3" xfId="48117" xr:uid="{DB6F0DC7-CE9E-4F0E-AD83-BEFE16961015}"/>
    <cellStyle name="Komma 4 7 2 4" xfId="51628" xr:uid="{E3B184A7-6B9B-4FF0-9EA7-3FE34848224B}"/>
    <cellStyle name="Komma 4 7 2 5" xfId="54644" xr:uid="{F8196A5C-B20D-43B5-B9F6-A8B1F0BBB3C5}"/>
    <cellStyle name="Komma 4 7 2 6" xfId="19111" xr:uid="{FCE603CF-2E70-4A0B-9C97-E3D57FD64BA8}"/>
    <cellStyle name="Komma 4 7 3" xfId="15228" xr:uid="{01BA37F0-C460-4A34-B581-000C0F12528F}"/>
    <cellStyle name="Komma 4 7 3 2" xfId="22767" xr:uid="{F7C4BC45-99B0-4739-B118-9A38F3D904FC}"/>
    <cellStyle name="Komma 4 7 3 3" xfId="47057" xr:uid="{BACEE3A9-0C77-4D5E-9A2B-FC770BF57B56}"/>
    <cellStyle name="Komma 4 7 3 4" xfId="52105" xr:uid="{A695E3F7-9187-4B2E-9CD4-91BC132997B6}"/>
    <cellStyle name="Komma 4 7 3 5" xfId="55121" xr:uid="{BFF26A97-A448-4074-93B5-19E5B62E0F03}"/>
    <cellStyle name="Komma 4 7 3 6" xfId="19254" xr:uid="{9A4580DB-BD80-488B-8B82-9926053AF666}"/>
    <cellStyle name="Komma 4 7 4" xfId="15715" xr:uid="{EBBC189B-B22A-4D06-9085-87074CF5A403}"/>
    <cellStyle name="Komma 4 7 4 2" xfId="23244" xr:uid="{84EDA469-8049-4AF3-B3F4-C9226CF2C3F2}"/>
    <cellStyle name="Komma 4 7 4 3" xfId="47847" xr:uid="{8249DBA4-A134-4151-ACF1-A7DC7AD2B90A}"/>
    <cellStyle name="Komma 4 7 4 4" xfId="52582" xr:uid="{7643E4A4-5A01-4B82-84A6-DF04967DF624}"/>
    <cellStyle name="Komma 4 7 4 5" xfId="55598" xr:uid="{F1E07915-92AE-4479-9F82-AB0CE8D5A150}"/>
    <cellStyle name="Komma 4 7 4 6" xfId="19399" xr:uid="{3C9136A8-DC60-4ACD-9113-C59EBBF8F4A9}"/>
    <cellStyle name="Komma 4 7 5" xfId="12729" xr:uid="{8FEDE4F9-47C3-4A84-8CE3-ECB3373AD7F7}"/>
    <cellStyle name="Komma 4 7 5 2" xfId="34514" xr:uid="{C9D461C8-7956-43DD-AE83-DF28A1A6A632}"/>
    <cellStyle name="Komma 4 7 5 3" xfId="51151" xr:uid="{CFE4B12E-3E59-49E7-8A9D-49784912A3E1}"/>
    <cellStyle name="Komma 4 7 5 4" xfId="54167" xr:uid="{90337E3A-2F07-47C7-8099-065E40D5CB42}"/>
    <cellStyle name="Komma 4 7 5 5" xfId="21969" xr:uid="{589B4B16-7E2B-41E4-AFDD-C7AA60F14AB8}"/>
    <cellStyle name="Komma 4 7 6" xfId="23917" xr:uid="{70F4E5C1-2AFD-4504-B7BD-8AE41E7F76F1}"/>
    <cellStyle name="Komma 4 7 7" xfId="46081" xr:uid="{3DE71123-A175-4F78-8A07-99ED79CF459F}"/>
    <cellStyle name="Komma 4 7 8" xfId="48766" xr:uid="{DE2ACF56-4FC7-4773-B11F-0BAC5191E82B}"/>
    <cellStyle name="Komma 4 7 9" xfId="49672" xr:uid="{31F85E20-AFEC-4054-8B2F-0935434741AA}"/>
    <cellStyle name="Komma 4 8" xfId="10590" xr:uid="{3A33E737-E65D-47C0-9DA3-70ECD1D03FEA}"/>
    <cellStyle name="Komma 4 8 10" xfId="50257" xr:uid="{19AD55EB-5084-436B-A04A-1A995352830F}"/>
    <cellStyle name="Komma 4 8 11" xfId="53273" xr:uid="{F6AB5305-F5E5-4B90-817B-E4731718464A}"/>
    <cellStyle name="Komma 4 8 12" xfId="19030" xr:uid="{4825BB03-F7A6-4EBB-B4C0-753F342D532F}"/>
    <cellStyle name="Komma 4 8 2" xfId="14955" xr:uid="{A0CA0C19-A779-4F58-878D-FC30A0E8AC1F}"/>
    <cellStyle name="Komma 4 8 2 2" xfId="22502" xr:uid="{ECB1733B-EEF9-4634-9A4E-1A3BD976069B}"/>
    <cellStyle name="Komma 4 8 2 3" xfId="32518" xr:uid="{BE1A2D0A-F131-4BB5-A01C-AF4FD37D8669}"/>
    <cellStyle name="Komma 4 8 2 4" xfId="51840" xr:uid="{A170D369-1BC9-4E32-921F-875058EB0058}"/>
    <cellStyle name="Komma 4 8 2 5" xfId="54856" xr:uid="{F20D9AD5-22E2-4632-A575-A4B3EEB25DAF}"/>
    <cellStyle name="Komma 4 8 2 6" xfId="19171" xr:uid="{B1490327-0F3D-4747-843F-D73F6F470259}"/>
    <cellStyle name="Komma 4 8 3" xfId="15440" xr:uid="{115A0543-25D1-4237-8906-99474D185A5B}"/>
    <cellStyle name="Komma 4 8 3 2" xfId="22979" xr:uid="{C96EAF5F-694C-48C4-B3EE-DAE8E5FB9C9D}"/>
    <cellStyle name="Komma 4 8 3 3" xfId="47724" xr:uid="{DEC28D58-4FC4-49DA-96C7-53A0A6CCFA12}"/>
    <cellStyle name="Komma 4 8 3 4" xfId="52317" xr:uid="{A6D513AD-E658-4530-A148-F615260411B7}"/>
    <cellStyle name="Komma 4 8 3 5" xfId="55333" xr:uid="{A67CBB1E-626C-417F-B9F2-A7420FD735AA}"/>
    <cellStyle name="Komma 4 8 3 6" xfId="19314" xr:uid="{B275C24D-4CF9-49EA-B9FA-863E3B0A12CC}"/>
    <cellStyle name="Komma 4 8 4" xfId="15928" xr:uid="{E1241901-B93E-42A2-B18F-04F1F4643D77}"/>
    <cellStyle name="Komma 4 8 4 2" xfId="23456" xr:uid="{DB48A04F-55F6-4FA9-A59B-5416BF4D917A}"/>
    <cellStyle name="Komma 4 8 4 3" xfId="46608" xr:uid="{9AC50228-D6CE-41D5-B26F-398DCE553F8C}"/>
    <cellStyle name="Komma 4 8 4 4" xfId="52794" xr:uid="{C6DB4C38-927F-4759-93D6-7C31370262C0}"/>
    <cellStyle name="Komma 4 8 4 5" xfId="55810" xr:uid="{3FFC8B67-538B-496F-AE27-D1322AE5B343}"/>
    <cellStyle name="Komma 4 8 4 6" xfId="19460" xr:uid="{FC77C441-8035-453A-AABD-DFEC591A8650}"/>
    <cellStyle name="Komma 4 8 5" xfId="13043" xr:uid="{ABA2FF95-105D-4859-8541-4E61684F22EF}"/>
    <cellStyle name="Komma 4 8 5 2" xfId="46825" xr:uid="{CA8D1229-3D8F-4032-84CB-E13408E13277}"/>
    <cellStyle name="Komma 4 8 5 3" xfId="51363" xr:uid="{ECDCD074-7775-45FA-8084-7971F75901FD}"/>
    <cellStyle name="Komma 4 8 5 4" xfId="54379" xr:uid="{BF846414-4867-40E9-AD3E-F515A1CF84DA}"/>
    <cellStyle name="Komma 4 8 5 5" xfId="22029" xr:uid="{CC6DDDC0-3713-432E-A5B3-6838984F6E2A}"/>
    <cellStyle name="Komma 4 8 6" xfId="23918" xr:uid="{52CE9BA4-E53B-4311-A285-48C0125A4ED1}"/>
    <cellStyle name="Komma 4 8 7" xfId="25367" xr:uid="{CC831B7D-70CF-4F1A-AF20-8C9E4B177CBB}"/>
    <cellStyle name="Komma 4 8 8" xfId="48767" xr:uid="{1D1E6F64-653F-4E72-932A-F889AEEE2396}"/>
    <cellStyle name="Komma 4 8 9" xfId="49673" xr:uid="{C8456892-1113-451C-B49F-C109A9959C3E}"/>
    <cellStyle name="Komma 4 9" xfId="13055" xr:uid="{B17AF00F-FA9B-43B9-8D86-BB7860E3BD99}"/>
    <cellStyle name="Komma 4 9 2" xfId="23919" xr:uid="{A8FF952C-7FDE-4B7C-9FEA-5A2F84994B20}"/>
    <cellStyle name="Komma 4 9 3" xfId="48768" xr:uid="{749252F8-AB92-4122-A41B-B53069499BA5}"/>
    <cellStyle name="Komma 4 9 4" xfId="49674" xr:uid="{5E979C39-72AF-4F58-982B-68268F9D004E}"/>
    <cellStyle name="Komma 5" xfId="9105" xr:uid="{9EBAD1F2-010F-4ABA-9530-03CD8C092790}"/>
    <cellStyle name="Komma 5 10" xfId="15019" xr:uid="{EA090EBE-9F8D-4407-83DB-4839974B734A}"/>
    <cellStyle name="Komma 5 10 2" xfId="22559" xr:uid="{A28FC2FE-3B0D-4F79-B989-511ABE0E62CB}"/>
    <cellStyle name="Komma 5 10 3" xfId="47775" xr:uid="{C268085B-D446-4A09-BE7C-726B0D7A8D8E}"/>
    <cellStyle name="Komma 5 10 4" xfId="51897" xr:uid="{480E195C-B3AF-447B-876D-B55CDAF2F84F}"/>
    <cellStyle name="Komma 5 10 5" xfId="54913" xr:uid="{B987E180-FD95-421D-899A-3525828EF1C4}"/>
    <cellStyle name="Komma 5 11" xfId="15506" xr:uid="{9C317A3E-3447-4CF0-87A7-AAC9AC5C7F6A}"/>
    <cellStyle name="Komma 5 11 2" xfId="23036" xr:uid="{D574579E-FB77-4143-A730-5C5E1AE2A154}"/>
    <cellStyle name="Komma 5 11 3" xfId="46542" xr:uid="{5690B805-374B-4632-B46B-E86C293152E2}"/>
    <cellStyle name="Komma 5 11 4" xfId="52374" xr:uid="{1BFC837C-9FE7-443E-8DFB-CB291AD127B0}"/>
    <cellStyle name="Komma 5 11 5" xfId="55390" xr:uid="{AB4B9AC4-1B11-42D1-98CD-B9C279FA6F92}"/>
    <cellStyle name="Komma 5 12" xfId="11239" xr:uid="{42F113AE-0B82-49A3-B315-714EEC67F5C1}"/>
    <cellStyle name="Komma 5 12 2" xfId="46729" xr:uid="{AD544653-1505-4696-9E9D-5C1E5220801C}"/>
    <cellStyle name="Komma 5 12 3" xfId="50717" xr:uid="{9DA8107A-D907-4A54-959F-527020E00E6B}"/>
    <cellStyle name="Komma 5 12 4" xfId="53733" xr:uid="{BA9C608D-5A32-4D04-A4BF-EE6129426FEA}"/>
    <cellStyle name="Komma 5 13" xfId="23920" xr:uid="{898567B0-F80E-4087-B690-B92FAF2A651F}"/>
    <cellStyle name="Komma 5 14" xfId="48769" xr:uid="{EC77B6D1-4AF3-4557-8F2A-605DCB88C1A7}"/>
    <cellStyle name="Komma 5 15" xfId="49675" xr:uid="{C70F07CF-E821-40C1-8A80-DEA58CE8696D}"/>
    <cellStyle name="Komma 5 16" xfId="49837" xr:uid="{38C44003-D7E6-4D49-AC7E-BDFDDFAA5C6D}"/>
    <cellStyle name="Komma 5 17" xfId="52852" xr:uid="{8D812B12-9380-4D1A-8611-7AAFB3D08975}"/>
    <cellStyle name="Komma 5 2" xfId="9106" xr:uid="{F25A8F37-40E1-446F-85ED-50CD28735DB6}"/>
    <cellStyle name="Komma 5 2 10" xfId="15507" xr:uid="{AAFA82E1-B66C-4E24-8AA4-4F34202EC3E3}"/>
    <cellStyle name="Komma 5 2 10 2" xfId="23037" xr:uid="{5BDC9D4E-C516-4410-BAD5-8FD51D5E4343}"/>
    <cellStyle name="Komma 5 2 10 3" xfId="48543" xr:uid="{B49B1178-E032-4B42-A684-DE1C106B529D}"/>
    <cellStyle name="Komma 5 2 10 4" xfId="52375" xr:uid="{9E9B445F-8553-42CF-BE38-16A4EA131817}"/>
    <cellStyle name="Komma 5 2 10 5" xfId="55391" xr:uid="{F32C732A-68EF-4AF0-80F1-1194DD916AC7}"/>
    <cellStyle name="Komma 5 2 11" xfId="11591" xr:uid="{CAF38906-6004-46FF-AB2D-138A33398625}"/>
    <cellStyle name="Komma 5 2 11 2" xfId="46281" xr:uid="{9B798425-0872-4519-83A4-DE98C820CB9E}"/>
    <cellStyle name="Komma 5 2 11 3" xfId="50738" xr:uid="{D1EB331A-A809-4504-823E-26C7E7251AB8}"/>
    <cellStyle name="Komma 5 2 11 4" xfId="53754" xr:uid="{E78A58A7-D145-484D-95F7-06D126D0B7FE}"/>
    <cellStyle name="Komma 5 2 12" xfId="23921" xr:uid="{BDCE8FAD-8447-415C-9A8F-AA2884C2AFD8}"/>
    <cellStyle name="Komma 5 2 13" xfId="48770" xr:uid="{84462A12-EEF7-4C0E-ADCB-7B5C6E0AC2F3}"/>
    <cellStyle name="Komma 5 2 14" xfId="49676" xr:uid="{BDD6EB24-05A3-482E-8726-5CBAEB1203EC}"/>
    <cellStyle name="Komma 5 2 15" xfId="49838" xr:uid="{A2537381-EC6E-41C9-BDF0-5D3FE69B3249}"/>
    <cellStyle name="Komma 5 2 16" xfId="52853" xr:uid="{AEB4135D-8941-40F9-A640-A49D20E1EEE7}"/>
    <cellStyle name="Komma 5 2 2" xfId="9107" xr:uid="{CA96F8FC-AA84-4883-84B7-F562676941F1}"/>
    <cellStyle name="Komma 5 2 2 10" xfId="12191" xr:uid="{262317E9-AEB5-43C1-86E5-7C7C6137E4D7}"/>
    <cellStyle name="Komma 5 2 2 10 2" xfId="24702" xr:uid="{4C8E3BF9-7C89-4702-921B-41F25233D749}"/>
    <cellStyle name="Komma 5 2 2 10 3" xfId="50937" xr:uid="{A0528575-88D0-415E-8FA4-7AFF21F84F71}"/>
    <cellStyle name="Komma 5 2 2 10 4" xfId="53953" xr:uid="{2B5B9767-FEE1-4E70-A522-AE1FED7B15C0}"/>
    <cellStyle name="Komma 5 2 2 11" xfId="23922" xr:uid="{87DA5BB1-695D-40D8-9B8C-D3F77C70EE2A}"/>
    <cellStyle name="Komma 5 2 2 12" xfId="48771" xr:uid="{B9DA8277-68E8-4A00-843F-1E6030761F43}"/>
    <cellStyle name="Komma 5 2 2 13" xfId="49677" xr:uid="{1CC5CF14-0F94-44CD-BC63-9AF5C3D751DC}"/>
    <cellStyle name="Komma 5 2 2 14" xfId="49839" xr:uid="{26B3AF0D-6B57-4993-82D4-7CD534801B20}"/>
    <cellStyle name="Komma 5 2 2 15" xfId="52854" xr:uid="{3F55D513-C9A1-4D7E-8957-FE3DA31230D8}"/>
    <cellStyle name="Komma 5 2 2 2" xfId="10049" xr:uid="{CBBBEB96-1F26-4ABC-B477-C1450D0A1EFB}"/>
    <cellStyle name="Komma 5 2 2 2 10" xfId="49678" xr:uid="{397FD930-81DF-4FF0-9532-57B992E821FD}"/>
    <cellStyle name="Komma 5 2 2 2 11" xfId="49892" xr:uid="{6E921982-3828-497B-899D-6BD3F5C2D6C3}"/>
    <cellStyle name="Komma 5 2 2 2 12" xfId="52908" xr:uid="{FA6E7957-483B-4AF9-AF2F-3711660EBC1D}"/>
    <cellStyle name="Komma 5 2 2 2 2" xfId="10357" xr:uid="{3D5A98B5-093F-42EE-BB0F-531E1BE31982}"/>
    <cellStyle name="Komma 5 2 2 2 2 2" xfId="14802" xr:uid="{56832933-7337-47BF-9EC7-7635B9E3430A}"/>
    <cellStyle name="Komma 5 2 2 2 2 2 2" xfId="22349" xr:uid="{87D82E1C-5F63-46F1-B5B3-3C056ED55F25}"/>
    <cellStyle name="Komma 5 2 2 2 2 2 3" xfId="36986" xr:uid="{FDE99555-8306-46A1-8F60-002DC1BCB5F3}"/>
    <cellStyle name="Komma 5 2 2 2 2 2 4" xfId="51687" xr:uid="{BF8F7BA7-7C1C-4A12-A32F-9DFDB59F3A2C}"/>
    <cellStyle name="Komma 5 2 2 2 2 2 5" xfId="54703" xr:uid="{480FDEBD-A55B-4131-8E47-E0EB04C62D35}"/>
    <cellStyle name="Komma 5 2 2 2 2 3" xfId="15287" xr:uid="{26350F5B-30BE-4B53-AFFB-03088382E447}"/>
    <cellStyle name="Komma 5 2 2 2 2 3 2" xfId="22826" xr:uid="{40EFC893-B975-46B5-8A59-165FC2C8A301}"/>
    <cellStyle name="Komma 5 2 2 2 2 3 3" xfId="46509" xr:uid="{7C1DCCE7-3E68-434F-AB57-3C0071FAE4E3}"/>
    <cellStyle name="Komma 5 2 2 2 2 3 4" xfId="52164" xr:uid="{FBD2EEFF-FD02-49BE-A349-27E11A91DABA}"/>
    <cellStyle name="Komma 5 2 2 2 2 3 5" xfId="55180" xr:uid="{A1FDA5DB-9AA9-4389-A670-91EC40346983}"/>
    <cellStyle name="Komma 5 2 2 2 2 4" xfId="15774" xr:uid="{F57D3196-5688-4609-999C-57B388B792EA}"/>
    <cellStyle name="Komma 5 2 2 2 2 4 2" xfId="23303" xr:uid="{73ED45B9-3443-46CE-8FAA-61E19E628E1C}"/>
    <cellStyle name="Komma 5 2 2 2 2 4 3" xfId="46583" xr:uid="{1593DB6D-BB8E-49C5-A763-F3A41D23725F}"/>
    <cellStyle name="Komma 5 2 2 2 2 4 4" xfId="52641" xr:uid="{F8F37C28-5137-4277-ACD4-B2AF92C503BB}"/>
    <cellStyle name="Komma 5 2 2 2 2 4 5" xfId="55657" xr:uid="{4A5A3D5F-BB9E-4199-ABFF-33F19BF36AC8}"/>
    <cellStyle name="Komma 5 2 2 2 2 5" xfId="12810" xr:uid="{D69DD30F-47D0-41DD-832B-38922214DF27}"/>
    <cellStyle name="Komma 5 2 2 2 2 5 2" xfId="37108" xr:uid="{B207FF7D-4E50-43AC-8AE0-7874D8552E0D}"/>
    <cellStyle name="Komma 5 2 2 2 2 5 3" xfId="51210" xr:uid="{65CDCC3C-3A2D-460F-B8C7-8055246DC55D}"/>
    <cellStyle name="Komma 5 2 2 2 2 5 4" xfId="54226" xr:uid="{63DAC05E-E12A-4D56-84AA-7668CDAE4382}"/>
    <cellStyle name="Komma 5 2 2 2 2 6" xfId="46099" xr:uid="{23EAD587-E21D-41A2-A8B7-7A7B3CE404CC}"/>
    <cellStyle name="Komma 5 2 2 2 2 7" xfId="50104" xr:uid="{38407ECB-51ED-408D-9CBF-47403595A819}"/>
    <cellStyle name="Komma 5 2 2 2 2 8" xfId="53120" xr:uid="{793660E2-FCA4-4C50-814F-6D51DDD4F124}"/>
    <cellStyle name="Komma 5 2 2 2 3" xfId="14590" xr:uid="{3151195F-1A88-4E9C-979F-29672BAF493D}"/>
    <cellStyle name="Komma 5 2 2 2 3 2" xfId="22137" xr:uid="{19FE5E41-78DA-407F-8446-B0237C6B53C7}"/>
    <cellStyle name="Komma 5 2 2 2 3 3" xfId="47624" xr:uid="{DDD839E7-4E53-46D3-A8BD-B29F88E5425E}"/>
    <cellStyle name="Komma 5 2 2 2 3 4" xfId="51475" xr:uid="{2CB9367A-F4E4-4872-8251-9B2B2D2B147C}"/>
    <cellStyle name="Komma 5 2 2 2 3 5" xfId="54491" xr:uid="{6D6E6EA7-87ED-40A4-98E9-8B0C37D42EA8}"/>
    <cellStyle name="Komma 5 2 2 2 4" xfId="15074" xr:uid="{E0949DC3-09E4-4C4B-9BE8-2665110C050F}"/>
    <cellStyle name="Komma 5 2 2 2 4 2" xfId="22614" xr:uid="{FC3F3B3B-7407-4866-997D-13D0DB7DDDDB}"/>
    <cellStyle name="Komma 5 2 2 2 4 3" xfId="48293" xr:uid="{91FDEEC0-8F7F-4AD2-8DC9-66159FA6503F}"/>
    <cellStyle name="Komma 5 2 2 2 4 4" xfId="51952" xr:uid="{715B9849-2DA1-4F80-B13C-C2DAD3994B0E}"/>
    <cellStyle name="Komma 5 2 2 2 4 5" xfId="54968" xr:uid="{2F82227A-E997-4B7D-9B90-CC2BB23B0F82}"/>
    <cellStyle name="Komma 5 2 2 2 5" xfId="15561" xr:uid="{E88474D4-8BA3-4BE3-B6D8-448D85A5D1DF}"/>
    <cellStyle name="Komma 5 2 2 2 5 2" xfId="23091" xr:uid="{B543E97A-766D-4091-B7CC-C1E8E1407A7F}"/>
    <cellStyle name="Komma 5 2 2 2 5 3" xfId="46551" xr:uid="{840B74E0-B6F5-47AC-ABE6-B124DAA7953E}"/>
    <cellStyle name="Komma 5 2 2 2 5 4" xfId="52429" xr:uid="{1D630A26-8A63-494D-B85B-CED179D0B168}"/>
    <cellStyle name="Komma 5 2 2 2 5 5" xfId="55445" xr:uid="{81885F95-838F-43B3-8A80-0AFB1BC89545}"/>
    <cellStyle name="Komma 5 2 2 2 6" xfId="12509" xr:uid="{AC1B9B0F-F2A1-44E1-AEEE-C583916DDBB9}"/>
    <cellStyle name="Komma 5 2 2 2 6 2" xfId="48046" xr:uid="{D047CCB3-BCDA-4C1A-BE6B-8A122C1A290D}"/>
    <cellStyle name="Komma 5 2 2 2 6 3" xfId="50998" xr:uid="{F3119336-D395-449F-9837-12C8E72C273C}"/>
    <cellStyle name="Komma 5 2 2 2 6 4" xfId="54014" xr:uid="{E610570D-99E5-4974-AEC6-872DC063112F}"/>
    <cellStyle name="Komma 5 2 2 2 7" xfId="23923" xr:uid="{75840744-5537-428E-92B7-4CD07A595980}"/>
    <cellStyle name="Komma 5 2 2 2 8" xfId="47951" xr:uid="{3A8B17F3-7DFD-4274-B39A-EDAFF1017171}"/>
    <cellStyle name="Komma 5 2 2 2 9" xfId="48772" xr:uid="{5D8CBAE8-023B-40DD-8B43-69E25866AD80}"/>
    <cellStyle name="Komma 5 2 2 3" xfId="10123" xr:uid="{B64DE828-E65C-4538-9E38-938BF5F83666}"/>
    <cellStyle name="Komma 5 2 2 3 10" xfId="49679" xr:uid="{7B7E04EF-3FF8-4EDB-8DB1-C1F88430BBAB}"/>
    <cellStyle name="Komma 5 2 2 3 11" xfId="49945" xr:uid="{2B8D1183-EF4B-4311-B39E-D73ABC63D82F}"/>
    <cellStyle name="Komma 5 2 2 3 12" xfId="52961" xr:uid="{19A38644-804A-4780-BEEE-7B29F62C5809}"/>
    <cellStyle name="Komma 5 2 2 3 2" xfId="10436" xr:uid="{E816BDD7-4BF9-46B7-B79A-2AC24BC536A9}"/>
    <cellStyle name="Komma 5 2 2 3 2 2" xfId="14855" xr:uid="{2EB4C0F8-67DC-43A7-ADA2-F4D71B570E7C}"/>
    <cellStyle name="Komma 5 2 2 3 2 2 2" xfId="22402" xr:uid="{994E3B0E-5586-44E9-87D5-834070CFCC7A}"/>
    <cellStyle name="Komma 5 2 2 3 2 2 3" xfId="47834" xr:uid="{59A14A81-E153-493F-A4B7-6C2705EAE28A}"/>
    <cellStyle name="Komma 5 2 2 3 2 2 4" xfId="51740" xr:uid="{C4EECB34-42E3-4D98-9C95-0255AE7B0904}"/>
    <cellStyle name="Komma 5 2 2 3 2 2 5" xfId="54756" xr:uid="{716B1E43-2472-4E55-B582-3B03504520C5}"/>
    <cellStyle name="Komma 5 2 2 3 2 3" xfId="15340" xr:uid="{401D44DA-E25D-4267-806F-C7B46F6C06A5}"/>
    <cellStyle name="Komma 5 2 2 3 2 3 2" xfId="22879" xr:uid="{039C6608-DEBE-4959-999F-887E32828D7E}"/>
    <cellStyle name="Komma 5 2 2 3 2 3 3" xfId="46908" xr:uid="{1293D999-4F9B-45D6-925A-D71734475BC7}"/>
    <cellStyle name="Komma 5 2 2 3 2 3 4" xfId="52217" xr:uid="{7100A54C-0410-4C37-8E2F-D033D3FA1C3F}"/>
    <cellStyle name="Komma 5 2 2 3 2 3 5" xfId="55233" xr:uid="{536B3F5B-52C9-4704-A21B-0620DCB04A1C}"/>
    <cellStyle name="Komma 5 2 2 3 2 4" xfId="15827" xr:uid="{A10E71A5-C71E-4443-960D-D318F4AAE15A}"/>
    <cellStyle name="Komma 5 2 2 3 2 4 2" xfId="23356" xr:uid="{BF1718B2-789B-49CA-B02C-00D900F78B07}"/>
    <cellStyle name="Komma 5 2 2 3 2 4 3" xfId="48084" xr:uid="{D2A1B140-2059-410C-9D6C-30952D79A353}"/>
    <cellStyle name="Komma 5 2 2 3 2 4 4" xfId="52694" xr:uid="{995D7F2D-7193-4804-BBE9-1A1D258B8387}"/>
    <cellStyle name="Komma 5 2 2 3 2 4 5" xfId="55710" xr:uid="{7DB9FB56-014C-4007-BF10-6FD0DDCCCDE2}"/>
    <cellStyle name="Komma 5 2 2 3 2 5" xfId="12889" xr:uid="{A23316A8-829B-4273-8365-73A14E043C96}"/>
    <cellStyle name="Komma 5 2 2 3 2 5 2" xfId="47100" xr:uid="{0CD0F94B-5A48-46C2-A428-EAAB65064259}"/>
    <cellStyle name="Komma 5 2 2 3 2 5 3" xfId="51263" xr:uid="{0FD1A243-3EF0-45E7-85E9-CF22CE01056D}"/>
    <cellStyle name="Komma 5 2 2 3 2 5 4" xfId="54279" xr:uid="{CCB3FCE9-10F1-4BCF-82D3-4210AC4EF037}"/>
    <cellStyle name="Komma 5 2 2 3 2 6" xfId="47140" xr:uid="{D406B29A-AE07-4704-A166-C026B71C982F}"/>
    <cellStyle name="Komma 5 2 2 3 2 7" xfId="50157" xr:uid="{99969E83-02C1-4A9F-9AE0-A05B36E7A9AD}"/>
    <cellStyle name="Komma 5 2 2 3 2 8" xfId="53173" xr:uid="{842E5C43-50F8-4454-B87B-485C34C46169}"/>
    <cellStyle name="Komma 5 2 2 3 3" xfId="14643" xr:uid="{FE56E580-A052-41CF-9A9D-0240966490E7}"/>
    <cellStyle name="Komma 5 2 2 3 3 2" xfId="22190" xr:uid="{CFA53357-3CEF-4ADB-96C7-371D49C077D9}"/>
    <cellStyle name="Komma 5 2 2 3 3 3" xfId="48405" xr:uid="{7DCD8F3F-8409-4247-A88C-36A6A6D8DC4F}"/>
    <cellStyle name="Komma 5 2 2 3 3 4" xfId="51528" xr:uid="{0AD10709-3132-4FEB-A98D-E7C8F6B6F07C}"/>
    <cellStyle name="Komma 5 2 2 3 3 5" xfId="54544" xr:uid="{DDEBF28E-1FD0-4F8E-ABE9-E91EDB0395B7}"/>
    <cellStyle name="Komma 5 2 2 3 4" xfId="15128" xr:uid="{DA696BBD-4A56-40F2-9493-D4D95B830200}"/>
    <cellStyle name="Komma 5 2 2 3 4 2" xfId="22667" xr:uid="{0B582801-35E3-4AF9-A2B5-2C58BC21B154}"/>
    <cellStyle name="Komma 5 2 2 3 4 3" xfId="24909" xr:uid="{6B4F48E2-1DBB-4525-929E-F99A2B10582F}"/>
    <cellStyle name="Komma 5 2 2 3 4 4" xfId="52005" xr:uid="{BBDAA947-9AEB-4695-9644-5B132557290D}"/>
    <cellStyle name="Komma 5 2 2 3 4 5" xfId="55021" xr:uid="{F4D09C73-004E-4175-BA3A-A50E3E025CB8}"/>
    <cellStyle name="Komma 5 2 2 3 5" xfId="15615" xr:uid="{FB8A2405-2EFC-4728-B262-7C1B5B123F17}"/>
    <cellStyle name="Komma 5 2 2 3 5 2" xfId="23144" xr:uid="{5AE186D0-2292-49E2-B4B5-900CE713A49C}"/>
    <cellStyle name="Komma 5 2 2 3 5 3" xfId="36573" xr:uid="{1BA2F10D-3668-4498-9C4D-DDBB085C7487}"/>
    <cellStyle name="Komma 5 2 2 3 5 4" xfId="52482" xr:uid="{E6A03F9A-79BD-420F-A0D8-96B3F41ADE31}"/>
    <cellStyle name="Komma 5 2 2 3 5 5" xfId="55498" xr:uid="{B74B5BBC-59B5-44FD-99BA-358E96959BEA}"/>
    <cellStyle name="Komma 5 2 2 3 6" xfId="12580" xr:uid="{CDEE65F2-DA09-453A-A273-10E837C78170}"/>
    <cellStyle name="Komma 5 2 2 3 6 2" xfId="25074" xr:uid="{7B1D15C3-7B59-4EFF-A8AF-D56A07F6946E}"/>
    <cellStyle name="Komma 5 2 2 3 6 3" xfId="51051" xr:uid="{72F205D6-7040-448B-8607-1ABA22C51E2F}"/>
    <cellStyle name="Komma 5 2 2 3 6 4" xfId="54067" xr:uid="{95A35BB0-8871-4F85-B5DE-11C442E7BCCF}"/>
    <cellStyle name="Komma 5 2 2 3 7" xfId="23924" xr:uid="{3D552921-0C52-4A04-9B19-2F44D18CD3B7}"/>
    <cellStyle name="Komma 5 2 2 3 8" xfId="25380" xr:uid="{26C7B35F-F9A7-4DFF-9435-A239F497BD81}"/>
    <cellStyle name="Komma 5 2 2 3 9" xfId="48773" xr:uid="{414E35FB-B250-4D86-B3D0-2B154BB8DE36}"/>
    <cellStyle name="Komma 5 2 2 4" xfId="10202" xr:uid="{EB50A3DF-81FD-491D-AF05-1CC682A6830B}"/>
    <cellStyle name="Komma 5 2 2 4 2" xfId="10516" xr:uid="{F62D90E7-7ECC-4934-8593-94AA1FFC1737}"/>
    <cellStyle name="Komma 5 2 2 4 2 2" xfId="14908" xr:uid="{6F3DDED5-F3D5-4E60-A4BD-ACA0CD065206}"/>
    <cellStyle name="Komma 5 2 2 4 2 2 2" xfId="22455" xr:uid="{DA5B85C8-ECFC-482C-8D6F-26B82E9AE0B0}"/>
    <cellStyle name="Komma 5 2 2 4 2 2 3" xfId="48508" xr:uid="{F2C734D1-65D2-486F-941F-9ACF72E899FB}"/>
    <cellStyle name="Komma 5 2 2 4 2 2 4" xfId="51793" xr:uid="{D57FA7B3-4E5C-41C8-B46A-09965582BA11}"/>
    <cellStyle name="Komma 5 2 2 4 2 2 5" xfId="54809" xr:uid="{F146DA0F-D386-41E7-A273-280BEC8F3314}"/>
    <cellStyle name="Komma 5 2 2 4 2 3" xfId="15393" xr:uid="{9416FDF8-E66E-4E18-B4EF-6C84140B935C}"/>
    <cellStyle name="Komma 5 2 2 4 2 3 2" xfId="22932" xr:uid="{43D82C70-0601-4D28-BDF6-68163EF2CFAF}"/>
    <cellStyle name="Komma 5 2 2 4 2 3 3" xfId="46526" xr:uid="{CE53B28F-D895-46F2-B1EE-0FADA966B686}"/>
    <cellStyle name="Komma 5 2 2 4 2 3 4" xfId="52270" xr:uid="{50A31214-2762-4CDA-9621-A8E8A7EFD874}"/>
    <cellStyle name="Komma 5 2 2 4 2 3 5" xfId="55286" xr:uid="{4DA5C1A6-C3FA-4244-90F7-0D45A5445597}"/>
    <cellStyle name="Komma 5 2 2 4 2 4" xfId="15880" xr:uid="{5FA9AFE6-606B-40F1-AB83-8C5B04218610}"/>
    <cellStyle name="Komma 5 2 2 4 2 4 2" xfId="23409" xr:uid="{49B90AD2-A512-4399-9218-2495D17A8428}"/>
    <cellStyle name="Komma 5 2 2 4 2 4 3" xfId="46600" xr:uid="{894FD563-9BFF-40F6-8ADF-3AE88966C32E}"/>
    <cellStyle name="Komma 5 2 2 4 2 4 4" xfId="52747" xr:uid="{ED0E5EF9-EA71-4FA8-9BB0-06E77A40D29F}"/>
    <cellStyle name="Komma 5 2 2 4 2 4 5" xfId="55763" xr:uid="{4BEC4AB9-9AF5-4367-A6CD-AD8EDB6FDE12}"/>
    <cellStyle name="Komma 5 2 2 4 2 5" xfId="12969" xr:uid="{4850FD08-9078-4F37-BF0B-E42557991144}"/>
    <cellStyle name="Komma 5 2 2 4 2 5 2" xfId="47476" xr:uid="{4AA47BD0-722F-4F0D-BD94-068797DE22F3}"/>
    <cellStyle name="Komma 5 2 2 4 2 5 3" xfId="51316" xr:uid="{43E6CA00-386C-4AEB-9019-D5B8882FF62C}"/>
    <cellStyle name="Komma 5 2 2 4 2 5 4" xfId="54332" xr:uid="{05F54672-A154-4FDE-A650-0D4C600E649B}"/>
    <cellStyle name="Komma 5 2 2 4 2 6" xfId="46143" xr:uid="{AEE1D646-EA93-4713-BC5E-68FF04B8B393}"/>
    <cellStyle name="Komma 5 2 2 4 2 7" xfId="50210" xr:uid="{CCD33871-0FF0-432F-96C5-B53556316019}"/>
    <cellStyle name="Komma 5 2 2 4 2 8" xfId="53226" xr:uid="{2B784889-04E6-40D4-82CE-B3FB0C021EBC}"/>
    <cellStyle name="Komma 5 2 2 4 3" xfId="14696" xr:uid="{12E980D7-E33B-4EA3-A1A6-3D44078107E6}"/>
    <cellStyle name="Komma 5 2 2 4 3 2" xfId="22243" xr:uid="{61CE01AC-8413-4FA1-AC51-B4B7471282A4}"/>
    <cellStyle name="Komma 5 2 2 4 3 3" xfId="46419" xr:uid="{D1314643-8B92-4782-A12B-DE3C94A60423}"/>
    <cellStyle name="Komma 5 2 2 4 3 4" xfId="51581" xr:uid="{5619AD8C-CA5A-4DFA-85DD-5D930AA6C918}"/>
    <cellStyle name="Komma 5 2 2 4 3 5" xfId="54597" xr:uid="{06B3A02A-554C-453A-9E1E-88567CD7E675}"/>
    <cellStyle name="Komma 5 2 2 4 4" xfId="15181" xr:uid="{3C495611-7F5A-4136-8F6C-0B73D65BC620}"/>
    <cellStyle name="Komma 5 2 2 4 4 2" xfId="22720" xr:uid="{F14F3A4C-93FD-42BA-8961-9664D98BF7F4}"/>
    <cellStyle name="Komma 5 2 2 4 4 3" xfId="47682" xr:uid="{ADA41B72-BC77-4389-932E-A802183CA5E2}"/>
    <cellStyle name="Komma 5 2 2 4 4 4" xfId="52058" xr:uid="{7A51A870-3B9F-4423-9D38-35C46B2BDCB3}"/>
    <cellStyle name="Komma 5 2 2 4 4 5" xfId="55074" xr:uid="{1197548A-5745-413B-BD59-0B71CFBA9CAC}"/>
    <cellStyle name="Komma 5 2 2 4 5" xfId="15668" xr:uid="{64704DB5-0E40-4A8D-9498-F249BCBC1030}"/>
    <cellStyle name="Komma 5 2 2 4 5 2" xfId="23197" xr:uid="{26D7FC25-5580-4B27-AA0A-624403A741D4}"/>
    <cellStyle name="Komma 5 2 2 4 5 3" xfId="46569" xr:uid="{99E5D092-4A51-40D3-9511-FED9BB4A26F6}"/>
    <cellStyle name="Komma 5 2 2 4 5 4" xfId="52535" xr:uid="{568512A4-2679-46FF-A213-B564FD352E30}"/>
    <cellStyle name="Komma 5 2 2 4 5 5" xfId="55551" xr:uid="{3C3A27AB-5CEA-4505-9114-0B18709C2217}"/>
    <cellStyle name="Komma 5 2 2 4 6" xfId="12656" xr:uid="{DFE4CE31-E573-4CC2-ADBD-B8A927547AA9}"/>
    <cellStyle name="Komma 5 2 2 4 6 2" xfId="25066" xr:uid="{3B69A5E0-DB54-489D-9C6E-409463371362}"/>
    <cellStyle name="Komma 5 2 2 4 6 3" xfId="51104" xr:uid="{DC23D4CF-75B7-4351-9B78-04EA917D2DAF}"/>
    <cellStyle name="Komma 5 2 2 4 6 4" xfId="54120" xr:uid="{A6643CEB-2B4E-439F-8937-B690F0606041}"/>
    <cellStyle name="Komma 5 2 2 4 7" xfId="25373" xr:uid="{11594B74-7BDA-472C-AAFC-B7497849CFA7}"/>
    <cellStyle name="Komma 5 2 2 4 8" xfId="49998" xr:uid="{4926873A-5D75-4E60-9C35-BC3D963FC5E6}"/>
    <cellStyle name="Komma 5 2 2 4 9" xfId="53014" xr:uid="{24BC9FDC-5A46-4C1E-9501-1879EACB4D1E}"/>
    <cellStyle name="Komma 5 2 2 5" xfId="10282" xr:uid="{42AD9D73-003E-49DB-8244-C4CAFD5DAC37}"/>
    <cellStyle name="Komma 5 2 2 5 2" xfId="14749" xr:uid="{0EFF1A06-5ABC-4E24-B6F4-F1FDCD7384DC}"/>
    <cellStyle name="Komma 5 2 2 5 2 2" xfId="22296" xr:uid="{9C3FDC46-9433-4084-B5E4-16C37DC23202}"/>
    <cellStyle name="Komma 5 2 2 5 2 3" xfId="24459" xr:uid="{87AAD9AB-380F-43D4-AC0B-F5E9F5C1984D}"/>
    <cellStyle name="Komma 5 2 2 5 2 4" xfId="51634" xr:uid="{CC534C29-16E6-4096-9F31-39A6B6C1E436}"/>
    <cellStyle name="Komma 5 2 2 5 2 5" xfId="54650" xr:uid="{EBF242E9-BEDC-4907-8981-74451BDAE3B0}"/>
    <cellStyle name="Komma 5 2 2 5 3" xfId="15234" xr:uid="{7B45A723-EA28-4D88-8C19-4C28DCFA6C65}"/>
    <cellStyle name="Komma 5 2 2 5 3 2" xfId="22773" xr:uid="{405DDBD9-91BA-4D59-B997-28D5E97723A1}"/>
    <cellStyle name="Komma 5 2 2 5 3 3" xfId="47403" xr:uid="{6F1A77E5-71F9-4DD2-93AF-763175B64078}"/>
    <cellStyle name="Komma 5 2 2 5 3 4" xfId="52111" xr:uid="{8CCCC509-743F-4F90-AD8C-260E3381238A}"/>
    <cellStyle name="Komma 5 2 2 5 3 5" xfId="55127" xr:uid="{B2D13C33-CC6C-4254-8FE6-E67129C33E54}"/>
    <cellStyle name="Komma 5 2 2 5 4" xfId="15721" xr:uid="{5D11FA1C-0E10-42A9-890E-C09FF93EF672}"/>
    <cellStyle name="Komma 5 2 2 5 4 2" xfId="23250" xr:uid="{1F5D60E1-F482-4BA5-B50B-EBA2ADFBCA64}"/>
    <cellStyle name="Komma 5 2 2 5 4 3" xfId="48423" xr:uid="{7B33261B-52C9-4D07-8AB2-B586D920C7B4}"/>
    <cellStyle name="Komma 5 2 2 5 4 4" xfId="52588" xr:uid="{90BD5732-8FA3-44C2-BC98-E89D3DF82C97}"/>
    <cellStyle name="Komma 5 2 2 5 4 5" xfId="55604" xr:uid="{F3E56D27-921B-4467-87B3-C99EAF907A75}"/>
    <cellStyle name="Komma 5 2 2 5 5" xfId="12735" xr:uid="{8ED4DE4C-BF0D-4E37-9682-1D8791BD1DDE}"/>
    <cellStyle name="Komma 5 2 2 5 5 2" xfId="46347" xr:uid="{B2BDAE27-DEE1-48B8-B452-69D3298A2D68}"/>
    <cellStyle name="Komma 5 2 2 5 5 3" xfId="51157" xr:uid="{2D014EAE-42D7-49FC-94BA-BE887A0309D0}"/>
    <cellStyle name="Komma 5 2 2 5 5 4" xfId="54173" xr:uid="{70C25728-2A22-48EA-A95C-1B2AF6CEF625}"/>
    <cellStyle name="Komma 5 2 2 5 6" xfId="46084" xr:uid="{104F7E98-6334-47D4-B038-C5AE120165D1}"/>
    <cellStyle name="Komma 5 2 2 5 7" xfId="50051" xr:uid="{091C8814-AA6D-4C00-872C-C1D382E17CEE}"/>
    <cellStyle name="Komma 5 2 2 5 8" xfId="53067" xr:uid="{3C4DADB6-2378-4ED2-828B-8BDFD4C1143E}"/>
    <cellStyle name="Komma 5 2 2 6" xfId="10596" xr:uid="{DCAFB002-1BA9-4C14-BA78-E756F6CFBAA7}"/>
    <cellStyle name="Komma 5 2 2 6 2" xfId="14961" xr:uid="{DCE1CFD1-8E8E-4CBC-BC2D-2ABD261A0892}"/>
    <cellStyle name="Komma 5 2 2 6 2 2" xfId="22508" xr:uid="{45ACD1A6-177F-4290-B998-7809E6E94ACB}"/>
    <cellStyle name="Komma 5 2 2 6 2 3" xfId="32517" xr:uid="{037A1CEB-2F0F-4901-9854-954322469BA3}"/>
    <cellStyle name="Komma 5 2 2 6 2 4" xfId="51846" xr:uid="{6384145F-BB4C-43AD-8D0F-E53FB32130D5}"/>
    <cellStyle name="Komma 5 2 2 6 2 5" xfId="54862" xr:uid="{C2C8C451-758B-4FE8-B647-6B25BB1CF43D}"/>
    <cellStyle name="Komma 5 2 2 6 3" xfId="15446" xr:uid="{07FB9C30-2776-4B04-AF78-349F47CF9F47}"/>
    <cellStyle name="Komma 5 2 2 6 3 2" xfId="22985" xr:uid="{3FE95696-F3D7-4D44-9986-5438845D33C6}"/>
    <cellStyle name="Komma 5 2 2 6 3 3" xfId="48305" xr:uid="{C4E4FF9B-A620-41D7-955F-091BC8E863C5}"/>
    <cellStyle name="Komma 5 2 2 6 3 4" xfId="52323" xr:uid="{F88586D2-0F98-446B-A918-E0C72BBAD083}"/>
    <cellStyle name="Komma 5 2 2 6 3 5" xfId="55339" xr:uid="{53369100-45A6-4A8F-A7D8-1D5E4EFAB156}"/>
    <cellStyle name="Komma 5 2 2 6 4" xfId="15934" xr:uid="{B309D8F9-D730-42F8-B2FE-ACC4242C414B}"/>
    <cellStyle name="Komma 5 2 2 6 4 2" xfId="23462" xr:uid="{FB642F9B-851C-4800-9EF2-C1E4F79195CE}"/>
    <cellStyle name="Komma 5 2 2 6 4 3" xfId="46609" xr:uid="{6436D0DA-F6D2-4BC5-8DE3-6C93A07FFA9D}"/>
    <cellStyle name="Komma 5 2 2 6 4 4" xfId="52800" xr:uid="{E2FFB2D9-E8C3-4209-B653-CB2C041010C7}"/>
    <cellStyle name="Komma 5 2 2 6 4 5" xfId="55816" xr:uid="{357FAA3A-3191-42C6-9933-B189980BA05F}"/>
    <cellStyle name="Komma 5 2 2 6 5" xfId="13049" xr:uid="{3435D779-D3E3-4A3E-8A8A-E709FEC8A16B}"/>
    <cellStyle name="Komma 5 2 2 6 5 2" xfId="46826" xr:uid="{8D6C081E-6E53-4BDC-AB18-114B8ECD40BF}"/>
    <cellStyle name="Komma 5 2 2 6 5 3" xfId="51369" xr:uid="{D0B78E5A-E963-4CF9-9660-6F789811BB46}"/>
    <cellStyle name="Komma 5 2 2 6 5 4" xfId="54385" xr:uid="{9579C10E-35D7-4287-994F-665D6ECE5DF9}"/>
    <cellStyle name="Komma 5 2 2 6 6" xfId="46157" xr:uid="{355F164E-CC60-4A22-8D54-4E34FCF0BE12}"/>
    <cellStyle name="Komma 5 2 2 6 7" xfId="50263" xr:uid="{0C506546-CCBA-4A1A-A954-F6DAEF9F46D0}"/>
    <cellStyle name="Komma 5 2 2 6 8" xfId="53279" xr:uid="{E5CC1D7D-2952-462B-93FE-CB5B17C19CEF}"/>
    <cellStyle name="Komma 5 2 2 7" xfId="14537" xr:uid="{31034648-8DB6-4C1F-BE03-1FF170B1EC6C}"/>
    <cellStyle name="Komma 5 2 2 7 2" xfId="22084" xr:uid="{E574FABF-B440-4CAA-BA8D-DC2A42408865}"/>
    <cellStyle name="Komma 5 2 2 7 3" xfId="48058" xr:uid="{045A6DA6-CEEC-4CCA-B137-3828064A3E3E}"/>
    <cellStyle name="Komma 5 2 2 7 4" xfId="51422" xr:uid="{BC509813-82A4-48CC-B5C3-11F4BBEC1159}"/>
    <cellStyle name="Komma 5 2 2 7 5" xfId="54438" xr:uid="{06D126AF-A9BD-48F5-8BA3-861792ECC7D6}"/>
    <cellStyle name="Komma 5 2 2 8" xfId="15021" xr:uid="{B881F4FF-56AA-45E0-8437-827907E0783C}"/>
    <cellStyle name="Komma 5 2 2 8 2" xfId="22561" xr:uid="{A9B6B5E2-1ABF-437D-8D64-AF98A6D468E1}"/>
    <cellStyle name="Komma 5 2 2 8 3" xfId="46468" xr:uid="{CCA3E3C9-C683-4EEC-BC44-5F73DF2E97A2}"/>
    <cellStyle name="Komma 5 2 2 8 4" xfId="51899" xr:uid="{272B5C39-650F-4823-97B1-EE158564367C}"/>
    <cellStyle name="Komma 5 2 2 8 5" xfId="54915" xr:uid="{FCEF2EAC-23FE-4DCF-B1A2-B76792428CB4}"/>
    <cellStyle name="Komma 5 2 2 9" xfId="15508" xr:uid="{73C4DCFF-ED89-463B-A14D-8CBA10DA0E8B}"/>
    <cellStyle name="Komma 5 2 2 9 2" xfId="23038" xr:uid="{219D12E4-31AA-46D5-B7AD-3F3BDA764A54}"/>
    <cellStyle name="Komma 5 2 2 9 3" xfId="48279" xr:uid="{E4E23DED-E17F-4DA2-876D-E28A133A8A9B}"/>
    <cellStyle name="Komma 5 2 2 9 4" xfId="52376" xr:uid="{B8D2C6D2-659B-45E3-997B-152A1C2A45C6}"/>
    <cellStyle name="Komma 5 2 2 9 5" xfId="55392" xr:uid="{3BC95E04-A75F-48AE-AF8E-430447B5D28A}"/>
    <cellStyle name="Komma 5 2 3" xfId="10048" xr:uid="{6D26F375-A95D-4798-B3ED-8715944D7EA1}"/>
    <cellStyle name="Komma 5 2 3 10" xfId="49680" xr:uid="{C81D3187-956A-4411-8E88-37C711E24D9E}"/>
    <cellStyle name="Komma 5 2 3 11" xfId="49891" xr:uid="{549ED2E5-B057-4610-9EE3-ADB04E8BD4AC}"/>
    <cellStyle name="Komma 5 2 3 12" xfId="52907" xr:uid="{F1B01149-1653-4C0D-93A6-CEF8B108E0D6}"/>
    <cellStyle name="Komma 5 2 3 2" xfId="10356" xr:uid="{D778BFA5-A5D1-45AE-B37B-15D614793D6B}"/>
    <cellStyle name="Komma 5 2 3 2 10" xfId="50103" xr:uid="{6B69E809-3B49-47B8-BE22-18A032864E60}"/>
    <cellStyle name="Komma 5 2 3 2 11" xfId="53119" xr:uid="{AA6CFD46-249A-4CBF-8D74-E3499B3CA44C}"/>
    <cellStyle name="Komma 5 2 3 2 2" xfId="14801" xr:uid="{6B518636-F11F-4882-88C5-A5770C7E6B39}"/>
    <cellStyle name="Komma 5 2 3 2 2 2" xfId="22348" xr:uid="{0CAFE970-8F5C-4EED-97AC-276FB01B705C}"/>
    <cellStyle name="Komma 5 2 3 2 2 3" xfId="46435" xr:uid="{A4C6EFEF-1D39-4D71-9AE6-160E5C1B4F82}"/>
    <cellStyle name="Komma 5 2 3 2 2 4" xfId="51686" xr:uid="{96AC1346-2EDA-4114-8020-139F62D482F7}"/>
    <cellStyle name="Komma 5 2 3 2 2 5" xfId="54702" xr:uid="{D64162FB-BFC1-4F5B-A298-FD57AB3580F4}"/>
    <cellStyle name="Komma 5 2 3 2 3" xfId="15286" xr:uid="{B8B70CF6-EE68-4C61-BA69-DBE85873887F}"/>
    <cellStyle name="Komma 5 2 3 2 3 2" xfId="22825" xr:uid="{EFB34082-C32D-4F5A-83C6-34063B1DF50F}"/>
    <cellStyle name="Komma 5 2 3 2 3 3" xfId="24178" xr:uid="{2165B8DA-0C3B-404D-9871-7EE4320C55F6}"/>
    <cellStyle name="Komma 5 2 3 2 3 4" xfId="52163" xr:uid="{78630F49-A584-4A0B-9D96-0AF3FEF9CEB9}"/>
    <cellStyle name="Komma 5 2 3 2 3 5" xfId="55179" xr:uid="{780E4C01-0D77-49A6-87C1-16D13B7FDAA1}"/>
    <cellStyle name="Komma 5 2 3 2 4" xfId="15773" xr:uid="{87BC07D0-8A3F-4050-8800-01C109704D0B}"/>
    <cellStyle name="Komma 5 2 3 2 4 2" xfId="23302" xr:uid="{65972067-3B13-4CA7-8645-EF68F3AEAE5B}"/>
    <cellStyle name="Komma 5 2 3 2 4 3" xfId="47353" xr:uid="{CCF3273D-3522-4B6C-A8EB-9B6053C8CC1B}"/>
    <cellStyle name="Komma 5 2 3 2 4 4" xfId="52640" xr:uid="{880D297F-4FF0-4834-9CB0-10F143FF509E}"/>
    <cellStyle name="Komma 5 2 3 2 4 5" xfId="55656" xr:uid="{EB172D87-E6B8-47E5-AF70-760F44955568}"/>
    <cellStyle name="Komma 5 2 3 2 5" xfId="12809" xr:uid="{A610C2E1-A0BB-4F0B-B34E-FDA7A65DBFF0}"/>
    <cellStyle name="Komma 5 2 3 2 5 2" xfId="46356" xr:uid="{618AFA74-8EA0-4979-B6E2-96156A25A8A3}"/>
    <cellStyle name="Komma 5 2 3 2 5 3" xfId="51209" xr:uid="{A5B3573F-4DB8-4D72-92DF-E9E20463C9C3}"/>
    <cellStyle name="Komma 5 2 3 2 5 4" xfId="54225" xr:uid="{40CC33EA-0E84-4650-9A08-FE1597B65813}"/>
    <cellStyle name="Komma 5 2 3 2 6" xfId="23926" xr:uid="{4866DE52-80CE-4CE0-BBC7-CA941AFC294D}"/>
    <cellStyle name="Komma 5 2 3 2 7" xfId="47879" xr:uid="{E1950374-562C-4F33-A9DD-EE26728B49C0}"/>
    <cellStyle name="Komma 5 2 3 2 8" xfId="48775" xr:uid="{2DC3A3E4-8F42-400A-B3E1-756FB44078D4}"/>
    <cellStyle name="Komma 5 2 3 2 9" xfId="49681" xr:uid="{3EBE7CF3-B454-4CBC-83A4-7EFE3BC9151F}"/>
    <cellStyle name="Komma 5 2 3 3" xfId="14589" xr:uid="{B55AF7EA-6F84-45C7-A1E9-4D324F274AFA}"/>
    <cellStyle name="Komma 5 2 3 3 2" xfId="22136" xr:uid="{88E28F86-5892-4E50-87A6-8C2ED2FF256F}"/>
    <cellStyle name="Komma 5 2 3 3 3" xfId="24669" xr:uid="{2CB0BC7C-8762-4316-A532-7948BC0BA586}"/>
    <cellStyle name="Komma 5 2 3 3 4" xfId="51474" xr:uid="{3BD8B224-EF79-4509-83C3-95771D1EA168}"/>
    <cellStyle name="Komma 5 2 3 3 5" xfId="54490" xr:uid="{320E95F2-CB92-4A39-86B3-9A782912D163}"/>
    <cellStyle name="Komma 5 2 3 4" xfId="15073" xr:uid="{0E2A7DF2-C5BA-4B4A-A305-80791C61DEE3}"/>
    <cellStyle name="Komma 5 2 3 4 2" xfId="22613" xr:uid="{1F7ED3D9-FDAA-49B1-A1ED-1F5D809B953F}"/>
    <cellStyle name="Komma 5 2 3 4 3" xfId="47038" xr:uid="{B1432783-8F1C-45A0-B801-483289BFC42E}"/>
    <cellStyle name="Komma 5 2 3 4 4" xfId="51951" xr:uid="{1A963F20-A481-41A5-BA33-5CBE2642AED7}"/>
    <cellStyle name="Komma 5 2 3 4 5" xfId="54967" xr:uid="{4937B691-16B2-4D21-B9AB-C899B7A8AF3C}"/>
    <cellStyle name="Komma 5 2 3 5" xfId="15560" xr:uid="{B044E91B-BF2B-4E94-97B5-9F46439F7B3F}"/>
    <cellStyle name="Komma 5 2 3 5 2" xfId="23090" xr:uid="{4DE9BF88-6977-4E93-933E-D08AD5EF3B35}"/>
    <cellStyle name="Komma 5 2 3 5 3" xfId="48225" xr:uid="{BE3379FA-45DA-468E-A45B-03AB9C204664}"/>
    <cellStyle name="Komma 5 2 3 5 4" xfId="52428" xr:uid="{16875C19-F17F-4EE7-BFD2-9C3C8C7932B1}"/>
    <cellStyle name="Komma 5 2 3 5 5" xfId="55444" xr:uid="{75A379A6-C411-4DA1-9109-3C1A83637A70}"/>
    <cellStyle name="Komma 5 2 3 6" xfId="12508" xr:uid="{1D4C6A9F-64B9-451A-B98A-90CA91E87B10}"/>
    <cellStyle name="Komma 5 2 3 6 2" xfId="46762" xr:uid="{2B23F67D-E6F3-45D4-B99C-56A18AC497F2}"/>
    <cellStyle name="Komma 5 2 3 6 3" xfId="50997" xr:uid="{30E09DC3-EF70-4219-8428-9C9B66866E01}"/>
    <cellStyle name="Komma 5 2 3 6 4" xfId="54013" xr:uid="{85BFE13B-F25B-4BC8-AB94-041D30EC6916}"/>
    <cellStyle name="Komma 5 2 3 7" xfId="23925" xr:uid="{B958830D-8EB4-4F37-8AF3-BAF79E4CCC74}"/>
    <cellStyle name="Komma 5 2 3 8" xfId="48430" xr:uid="{AFE0C999-266D-4425-AB95-08CE94656DD5}"/>
    <cellStyle name="Komma 5 2 3 9" xfId="48774" xr:uid="{595A257D-51D2-4A53-A9BF-C03C726F9154}"/>
    <cellStyle name="Komma 5 2 4" xfId="10122" xr:uid="{60310247-4FD2-4E71-A61C-A14B484BAC98}"/>
    <cellStyle name="Komma 5 2 4 10" xfId="49682" xr:uid="{53ECD7FE-F13E-481C-9523-E54A2755D2DF}"/>
    <cellStyle name="Komma 5 2 4 11" xfId="49944" xr:uid="{0607862A-1CFA-468C-BCCF-3C527D48C691}"/>
    <cellStyle name="Komma 5 2 4 12" xfId="52960" xr:uid="{5195D341-8177-460F-AF98-6E2632CBDE9F}"/>
    <cellStyle name="Komma 5 2 4 2" xfId="10435" xr:uid="{5265E06D-707C-4CB8-B930-619F4EA0B32A}"/>
    <cellStyle name="Komma 5 2 4 2 2" xfId="14854" xr:uid="{03226763-D588-4284-A517-444BF4509BCF}"/>
    <cellStyle name="Komma 5 2 4 2 2 2" xfId="22401" xr:uid="{D126D79C-5B0F-4F2B-9451-F4ECF01109E4}"/>
    <cellStyle name="Komma 5 2 4 2 2 3" xfId="34031" xr:uid="{EA0AA647-E96E-4D03-BF6C-0A8F59BBA855}"/>
    <cellStyle name="Komma 5 2 4 2 2 4" xfId="51739" xr:uid="{AAC3000E-5628-4A9F-AB35-53F9D9EEA8F2}"/>
    <cellStyle name="Komma 5 2 4 2 2 5" xfId="54755" xr:uid="{BDEA32F3-4E5A-4E6C-8D73-D70B49EDCB88}"/>
    <cellStyle name="Komma 5 2 4 2 3" xfId="15339" xr:uid="{C098CF2B-50B5-4159-8867-C1BE6CBEA813}"/>
    <cellStyle name="Komma 5 2 4 2 3 2" xfId="22878" xr:uid="{26F5083E-4654-4123-A4A4-D3E5143D807E}"/>
    <cellStyle name="Komma 5 2 4 2 3 3" xfId="48417" xr:uid="{CE91B16F-04F9-4CA6-89FE-F9B6EBF95A0A}"/>
    <cellStyle name="Komma 5 2 4 2 3 4" xfId="52216" xr:uid="{B8C6B58B-E6A0-455E-B8FC-BAA5D8D490B7}"/>
    <cellStyle name="Komma 5 2 4 2 3 5" xfId="55232" xr:uid="{4EBC77DD-8F75-42DD-8C3B-D9447E7C8203}"/>
    <cellStyle name="Komma 5 2 4 2 4" xfId="15826" xr:uid="{EE948814-CCDD-4526-B339-7B70D35CAFCA}"/>
    <cellStyle name="Komma 5 2 4 2 4 2" xfId="23355" xr:uid="{FD1ECE90-5CAD-4FE5-B98B-31ED3CBA35C5}"/>
    <cellStyle name="Komma 5 2 4 2 4 3" xfId="46971" xr:uid="{F3238A9D-D889-455F-91C8-3D4549611F23}"/>
    <cellStyle name="Komma 5 2 4 2 4 4" xfId="52693" xr:uid="{2DE24DCD-28D9-4501-9BDB-128EAF6F5CB2}"/>
    <cellStyle name="Komma 5 2 4 2 4 5" xfId="55709" xr:uid="{169E7D4A-C319-40A9-ADF1-69A12414EB3B}"/>
    <cellStyle name="Komma 5 2 4 2 5" xfId="12888" xr:uid="{B7F47397-010F-40B6-8D61-88C51B5FBCB2}"/>
    <cellStyle name="Komma 5 2 4 2 5 2" xfId="48497" xr:uid="{8CE2CDAE-1EC9-4471-8746-D7B6BBAD66A5}"/>
    <cellStyle name="Komma 5 2 4 2 5 3" xfId="51262" xr:uid="{45773C63-49B5-47B1-8FBA-1A7EA18C2A86}"/>
    <cellStyle name="Komma 5 2 4 2 5 4" xfId="54278" xr:uid="{59745FFD-35BC-4F39-9919-6139EC788DA9}"/>
    <cellStyle name="Komma 5 2 4 2 6" xfId="46627" xr:uid="{62D2B8D2-2302-403F-ADC4-380FBADCED12}"/>
    <cellStyle name="Komma 5 2 4 2 7" xfId="50156" xr:uid="{28108241-C524-4128-96E4-72D33379034F}"/>
    <cellStyle name="Komma 5 2 4 2 8" xfId="53172" xr:uid="{FCC1B7BA-1F2A-45C0-9D44-56A5CFF43D7A}"/>
    <cellStyle name="Komma 5 2 4 3" xfId="14642" xr:uid="{09D88721-82CD-4E3B-897A-D3746E8EDA41}"/>
    <cellStyle name="Komma 5 2 4 3 2" xfId="22189" xr:uid="{BE5AD4A3-32F3-490F-B176-08AE3B002AD1}"/>
    <cellStyle name="Komma 5 2 4 3 3" xfId="37006" xr:uid="{8EB09CDA-69F0-4335-9789-B23C07EB285E}"/>
    <cellStyle name="Komma 5 2 4 3 4" xfId="51527" xr:uid="{F219567B-DF07-469D-81EE-EE0136776E82}"/>
    <cellStyle name="Komma 5 2 4 3 5" xfId="54543" xr:uid="{422B5C23-4B68-45B9-9B91-C484E9FF2241}"/>
    <cellStyle name="Komma 5 2 4 4" xfId="15127" xr:uid="{82ED0766-4E05-4047-BEA5-54A5317E5E04}"/>
    <cellStyle name="Komma 5 2 4 4 2" xfId="22666" xr:uid="{A3F0E36D-498A-4014-B387-8CC44958E20B}"/>
    <cellStyle name="Komma 5 2 4 4 3" xfId="46486" xr:uid="{62BBE29B-526D-4B38-A405-E8857F3525C8}"/>
    <cellStyle name="Komma 5 2 4 4 4" xfId="52004" xr:uid="{CBF4EAAC-B089-432E-9B41-96C542087D75}"/>
    <cellStyle name="Komma 5 2 4 4 5" xfId="55020" xr:uid="{4E910EAD-D380-463C-927A-65A8822A1597}"/>
    <cellStyle name="Komma 5 2 4 5" xfId="15614" xr:uid="{416F89A0-943C-4018-9A1E-3F8872E2DD7C}"/>
    <cellStyle name="Komma 5 2 4 5 2" xfId="23143" xr:uid="{0ED9C226-ACDC-4FE6-88A1-7066A69CB153}"/>
    <cellStyle name="Komma 5 2 4 5 3" xfId="46941" xr:uid="{AB13F773-CA1A-4B9E-AA26-F61920E99703}"/>
    <cellStyle name="Komma 5 2 4 5 4" xfId="52481" xr:uid="{000C4AD0-6D7C-4C2D-972E-74B831D31B15}"/>
    <cellStyle name="Komma 5 2 4 5 5" xfId="55497" xr:uid="{868F855F-B635-46ED-92B1-4A5053B6C6FF}"/>
    <cellStyle name="Komma 5 2 4 6" xfId="12579" xr:uid="{609BC24E-ECB5-4175-B097-3B2897A20C09}"/>
    <cellStyle name="Komma 5 2 4 6 2" xfId="46326" xr:uid="{10BEB181-3A70-44A6-B7FF-51F627BB7E67}"/>
    <cellStyle name="Komma 5 2 4 6 3" xfId="51050" xr:uid="{B9DA1869-A7E9-40AF-B1F3-63FC2799628F}"/>
    <cellStyle name="Komma 5 2 4 6 4" xfId="54066" xr:uid="{483552EC-1B2C-464E-9214-078BD9A689E2}"/>
    <cellStyle name="Komma 5 2 4 7" xfId="23927" xr:uid="{3F236356-F490-4323-AE84-912F17DDC18E}"/>
    <cellStyle name="Komma 5 2 4 8" xfId="47871" xr:uid="{29BE3FCB-6113-437D-9BD3-5235EC2CD489}"/>
    <cellStyle name="Komma 5 2 4 9" xfId="48776" xr:uid="{E19E33D7-2A5B-44BC-84AE-FDD10462B771}"/>
    <cellStyle name="Komma 5 2 5" xfId="10201" xr:uid="{D1CE8DEC-D5C3-44DA-A195-A57A689EBF63}"/>
    <cellStyle name="Komma 5 2 5 10" xfId="49683" xr:uid="{A037DC92-2A6F-47F0-A472-93DB8A22F55C}"/>
    <cellStyle name="Komma 5 2 5 11" xfId="49997" xr:uid="{30CA6EDB-0442-425A-A245-15C54F4EF433}"/>
    <cellStyle name="Komma 5 2 5 12" xfId="53013" xr:uid="{2940329E-B600-4E90-AD2D-FD88BBFB4A54}"/>
    <cellStyle name="Komma 5 2 5 2" xfId="10515" xr:uid="{159D91A0-F303-4B23-ABDA-1F103110D7E8}"/>
    <cellStyle name="Komma 5 2 5 2 2" xfId="14907" xr:uid="{163A1AF3-D21C-4B34-A314-781FB8C49A30}"/>
    <cellStyle name="Komma 5 2 5 2 2 2" xfId="22454" xr:uid="{D493E840-373F-47F2-9610-4FAECF761C49}"/>
    <cellStyle name="Komma 5 2 5 2 2 3" xfId="47486" xr:uid="{63396AC4-B14B-421F-94D8-5EAD6174C60F}"/>
    <cellStyle name="Komma 5 2 5 2 2 4" xfId="51792" xr:uid="{4005FF69-C738-4BED-9777-C938ABDE491B}"/>
    <cellStyle name="Komma 5 2 5 2 2 5" xfId="54808" xr:uid="{EF5CC5EA-151A-4CBC-9EDA-78FEC90FCEA6}"/>
    <cellStyle name="Komma 5 2 5 2 3" xfId="15392" xr:uid="{745D820F-A853-4876-B315-FEE214293FF0}"/>
    <cellStyle name="Komma 5 2 5 2 3 2" xfId="22931" xr:uid="{607CA071-8DDB-4FA1-9D5F-AD4A23C27F51}"/>
    <cellStyle name="Komma 5 2 5 2 3 3" xfId="46525" xr:uid="{35E86865-BACB-4E80-AD46-8B3B5AFD35CE}"/>
    <cellStyle name="Komma 5 2 5 2 3 4" xfId="52269" xr:uid="{450B0A3F-C75B-4E98-949E-5C3EABBA2B26}"/>
    <cellStyle name="Komma 5 2 5 2 3 5" xfId="55285" xr:uid="{8160690E-7570-4BEA-8C48-235D3A8830E1}"/>
    <cellStyle name="Komma 5 2 5 2 4" xfId="15879" xr:uid="{3A70F15F-C8E0-4C42-8A27-D128C52048A5}"/>
    <cellStyle name="Komma 5 2 5 2 4 2" xfId="23408" xr:uid="{65C1A83B-23BE-4AB2-A886-714E8ED30FBE}"/>
    <cellStyle name="Komma 5 2 5 2 4 3" xfId="47971" xr:uid="{0DBF6706-83A7-41BC-974C-030372D9E73D}"/>
    <cellStyle name="Komma 5 2 5 2 4 4" xfId="52746" xr:uid="{B7322458-5F0C-4F49-9FD3-9FAFAEA53DB2}"/>
    <cellStyle name="Komma 5 2 5 2 4 5" xfId="55762" xr:uid="{20FA08B6-03BA-4214-B753-D09BCB393ECE}"/>
    <cellStyle name="Komma 5 2 5 2 5" xfId="12968" xr:uid="{60854466-3D3A-4BFE-AC8E-91FCD9D790ED}"/>
    <cellStyle name="Komma 5 2 5 2 5 2" xfId="46817" xr:uid="{BEEC8084-84DF-47A0-B1C6-9524D87E1926}"/>
    <cellStyle name="Komma 5 2 5 2 5 3" xfId="51315" xr:uid="{3E8FE961-9527-42F9-94DA-F139915BA4AA}"/>
    <cellStyle name="Komma 5 2 5 2 5 4" xfId="54331" xr:uid="{95154E9F-CB0C-43E2-BB8F-1CA5575796D9}"/>
    <cellStyle name="Komma 5 2 5 2 6" xfId="47954" xr:uid="{A29B9650-A2A4-4043-B6B2-F0CC6802CF04}"/>
    <cellStyle name="Komma 5 2 5 2 7" xfId="50209" xr:uid="{DC4E99D0-F056-4FD8-982A-E29551C83A18}"/>
    <cellStyle name="Komma 5 2 5 2 8" xfId="53225" xr:uid="{F3C898DE-CA0C-454A-9647-FA797773D5D5}"/>
    <cellStyle name="Komma 5 2 5 3" xfId="14695" xr:uid="{A025FABD-00F1-4435-8A7B-3669F86AE5BE}"/>
    <cellStyle name="Komma 5 2 5 3 2" xfId="22242" xr:uid="{08C576ED-45B3-4A03-AE0C-EC991CFAD196}"/>
    <cellStyle name="Komma 5 2 5 3 3" xfId="47626" xr:uid="{A10A4918-81DA-4923-AD0B-47B371312584}"/>
    <cellStyle name="Komma 5 2 5 3 4" xfId="51580" xr:uid="{684CAFB7-8BC5-4E8D-9163-8227553F63E7}"/>
    <cellStyle name="Komma 5 2 5 3 5" xfId="54596" xr:uid="{BB5FE053-251D-4DA8-B7EF-5248D2E3B102}"/>
    <cellStyle name="Komma 5 2 5 4" xfId="15180" xr:uid="{F6997AA1-057B-4D9A-AAEB-33D8985CAB79}"/>
    <cellStyle name="Komma 5 2 5 4 2" xfId="22719" xr:uid="{20B2E187-ADF6-422B-AABA-938611A309B0}"/>
    <cellStyle name="Komma 5 2 5 4 3" xfId="46890" xr:uid="{548233B4-A266-4C89-B05F-9FA6B37C3731}"/>
    <cellStyle name="Komma 5 2 5 4 4" xfId="52057" xr:uid="{198AC1B4-108D-4DD8-B97C-D7644FF53D71}"/>
    <cellStyle name="Komma 5 2 5 4 5" xfId="55073" xr:uid="{D3C57059-5B19-4430-BC54-C671029167BC}"/>
    <cellStyle name="Komma 5 2 5 5" xfId="15667" xr:uid="{88204B4F-C353-423F-947A-D045D1AD5C01}"/>
    <cellStyle name="Komma 5 2 5 5 2" xfId="23196" xr:uid="{26CA4838-9A62-4FF5-BA64-3413A98E1B88}"/>
    <cellStyle name="Komma 5 2 5 5 3" xfId="46568" xr:uid="{79036E19-A268-4838-8150-FCCC903F5CFE}"/>
    <cellStyle name="Komma 5 2 5 5 4" xfId="52534" xr:uid="{8FEE2239-D95F-44B0-9935-1C8B0DA5A3DB}"/>
    <cellStyle name="Komma 5 2 5 5 5" xfId="55550" xr:uid="{46AA4E97-732A-4ABC-8533-07BB8226CDC7}"/>
    <cellStyle name="Komma 5 2 5 6" xfId="12655" xr:uid="{6556BE8D-C97F-4971-8FF4-D93945DDFA51}"/>
    <cellStyle name="Komma 5 2 5 6 2" xfId="47093" xr:uid="{379BAAF1-5662-4259-B02A-1A282AC4E938}"/>
    <cellStyle name="Komma 5 2 5 6 3" xfId="51103" xr:uid="{20D5E5AF-4188-4AD1-A3D7-C55D0A901322}"/>
    <cellStyle name="Komma 5 2 5 6 4" xfId="54119" xr:uid="{A01A56D7-DE3D-48B1-A0A2-615EADAEFDF8}"/>
    <cellStyle name="Komma 5 2 5 7" xfId="23928" xr:uid="{17E99C51-EDC7-4641-AA7F-401EAEE9D6C6}"/>
    <cellStyle name="Komma 5 2 5 8" xfId="47875" xr:uid="{74493FD5-CA23-4B90-BCA8-B3B149508C8E}"/>
    <cellStyle name="Komma 5 2 5 9" xfId="48777" xr:uid="{0BB7FC9E-C35F-4935-8D77-ED9315DCAFA6}"/>
    <cellStyle name="Komma 5 2 6" xfId="10281" xr:uid="{F3488F8A-DA39-4ED8-A106-C00DB30E9888}"/>
    <cellStyle name="Komma 5 2 6 2" xfId="14748" xr:uid="{09C06137-4536-45E3-8C77-C2CB233FA844}"/>
    <cellStyle name="Komma 5 2 6 2 2" xfId="22295" xr:uid="{C1A9E064-9371-406D-97DD-36BA86D1261D}"/>
    <cellStyle name="Komma 5 2 6 2 3" xfId="24952" xr:uid="{318BC09C-8207-49BE-A2B4-284320477234}"/>
    <cellStyle name="Komma 5 2 6 2 4" xfId="51633" xr:uid="{69252948-53FF-4DFA-90A0-88F6CAFFF256}"/>
    <cellStyle name="Komma 5 2 6 2 5" xfId="54649" xr:uid="{1703DF55-7837-493F-B2B5-34CE537AE435}"/>
    <cellStyle name="Komma 5 2 6 3" xfId="15233" xr:uid="{1B8089DB-DE2B-451A-9B50-0017FB90A742}"/>
    <cellStyle name="Komma 5 2 6 3 2" xfId="22772" xr:uid="{95D572FB-7CBA-499C-BB4B-E9C015D98794}"/>
    <cellStyle name="Komma 5 2 6 3 3" xfId="48253" xr:uid="{272BF97B-70E8-438F-8BF4-F1BB41C7C98C}"/>
    <cellStyle name="Komma 5 2 6 3 4" xfId="52110" xr:uid="{5779C1F5-DBAA-42C7-A04A-6E56E8AF508D}"/>
    <cellStyle name="Komma 5 2 6 3 5" xfId="55126" xr:uid="{D869A481-8609-46EF-B02A-101254082BE3}"/>
    <cellStyle name="Komma 5 2 6 4" xfId="15720" xr:uid="{3E52CCB3-C939-466C-990C-F80C2ECA79B9}"/>
    <cellStyle name="Komma 5 2 6 4 2" xfId="23249" xr:uid="{9EDBEC5C-CAB7-4D6B-B018-481311941B17}"/>
    <cellStyle name="Komma 5 2 6 4 3" xfId="47137" xr:uid="{D23F9B87-7DF4-4365-8AF6-813A0EE54BE4}"/>
    <cellStyle name="Komma 5 2 6 4 4" xfId="52587" xr:uid="{FEA607E8-97BC-4D86-A168-DC0C719975BC}"/>
    <cellStyle name="Komma 5 2 6 4 5" xfId="55603" xr:uid="{83A8F47E-73B2-4BE2-BFA1-6745DC8D0153}"/>
    <cellStyle name="Komma 5 2 6 5" xfId="12734" xr:uid="{5C15354A-E569-420D-9664-2B1DC9334169}"/>
    <cellStyle name="Komma 5 2 6 5 2" xfId="32277" xr:uid="{497516C4-6D2D-43BF-B896-EE3909FD8FF9}"/>
    <cellStyle name="Komma 5 2 6 5 3" xfId="51156" xr:uid="{CB2E8229-2087-472B-8212-19A0131823AC}"/>
    <cellStyle name="Komma 5 2 6 5 4" xfId="54172" xr:uid="{3A3803FD-00A7-4319-8BC6-1DFA79CF6D90}"/>
    <cellStyle name="Komma 5 2 6 6" xfId="47067" xr:uid="{A7D7C029-DAD4-40EB-BE85-0B00C41D2F13}"/>
    <cellStyle name="Komma 5 2 6 7" xfId="50050" xr:uid="{B9BEDF79-1A81-47BF-8778-814B5331DC8C}"/>
    <cellStyle name="Komma 5 2 6 8" xfId="53066" xr:uid="{C4156AEF-C00D-4755-81B1-D2ECC86C7677}"/>
    <cellStyle name="Komma 5 2 7" xfId="10595" xr:uid="{AE06B94D-C300-4057-97FF-96B1E625D392}"/>
    <cellStyle name="Komma 5 2 7 2" xfId="14960" xr:uid="{7B8F0738-F2FC-4574-AD4B-0D763CCF9167}"/>
    <cellStyle name="Komma 5 2 7 2 2" xfId="22507" xr:uid="{A289A0CC-B242-4DB1-908F-78D8D28BB7A4}"/>
    <cellStyle name="Komma 5 2 7 2 3" xfId="47836" xr:uid="{13A800E8-E22A-472E-9184-C32C0722C33E}"/>
    <cellStyle name="Komma 5 2 7 2 4" xfId="51845" xr:uid="{7D4E9D62-F509-4AB4-9A97-55365C5AF100}"/>
    <cellStyle name="Komma 5 2 7 2 5" xfId="54861" xr:uid="{E1683A22-805A-4F4E-A49B-9D3A6FC58FE1}"/>
    <cellStyle name="Komma 5 2 7 3" xfId="15445" xr:uid="{2261BD99-E217-44F3-87CC-E759B1C833B5}"/>
    <cellStyle name="Komma 5 2 7 3 2" xfId="22984" xr:uid="{32C1F509-599A-450E-A881-749E459DCD76}"/>
    <cellStyle name="Komma 5 2 7 3 3" xfId="46536" xr:uid="{772AAB39-8990-4A5F-9D67-7E93848827C2}"/>
    <cellStyle name="Komma 5 2 7 3 4" xfId="52322" xr:uid="{EA278920-4A2E-40D8-86B3-7F4C84AB395D}"/>
    <cellStyle name="Komma 5 2 7 3 5" xfId="55338" xr:uid="{70DC8716-40D3-4F30-A967-68F42AD6F3FE}"/>
    <cellStyle name="Komma 5 2 7 4" xfId="15933" xr:uid="{E7AC21FB-9A66-4148-A506-62C74392848D}"/>
    <cellStyle name="Komma 5 2 7 4 2" xfId="23461" xr:uid="{6380D6DF-6F70-4DCF-AAC2-717373631DA1}"/>
    <cellStyle name="Komma 5 2 7 4 3" xfId="48295" xr:uid="{C157A3D5-E2B4-4DD1-AD3F-857A647A560C}"/>
    <cellStyle name="Komma 5 2 7 4 4" xfId="52799" xr:uid="{8A88CDE7-CA23-4C11-AACC-88C85A3E9935}"/>
    <cellStyle name="Komma 5 2 7 4 5" xfId="55815" xr:uid="{022C600E-77E3-4E7D-A096-666E23E5CFF1}"/>
    <cellStyle name="Komma 5 2 7 5" xfId="13048" xr:uid="{115C733A-2A0E-4D9B-9200-FF01BA8B817B}"/>
    <cellStyle name="Komma 5 2 7 5 2" xfId="47053" xr:uid="{71134296-99E5-4FD2-929F-8A2B961BE50F}"/>
    <cellStyle name="Komma 5 2 7 5 3" xfId="51368" xr:uid="{14054DDF-C8B3-4FAA-A532-048FE4713497}"/>
    <cellStyle name="Komma 5 2 7 5 4" xfId="54384" xr:uid="{C28DFEFC-E4D1-47AF-A92C-62CE6087F773}"/>
    <cellStyle name="Komma 5 2 7 6" xfId="47955" xr:uid="{39309A10-CA71-4C4C-919B-E698A325BBA3}"/>
    <cellStyle name="Komma 5 2 7 7" xfId="50262" xr:uid="{B96628A9-5D81-44BA-A380-5F3E663E66B0}"/>
    <cellStyle name="Komma 5 2 7 8" xfId="53278" xr:uid="{F15D0319-2B94-443D-A304-D2629F576C11}"/>
    <cellStyle name="Komma 5 2 8" xfId="14536" xr:uid="{E9666176-1FA9-48D9-B134-4BFD51A3F1FA}"/>
    <cellStyle name="Komma 5 2 8 2" xfId="22083" xr:uid="{8FAAE03E-48E1-4CB8-92EF-FF203B722206}"/>
    <cellStyle name="Komma 5 2 8 3" xfId="46830" xr:uid="{C9EB6983-0DF1-4A20-BB5B-1F218356B68A}"/>
    <cellStyle name="Komma 5 2 8 4" xfId="51421" xr:uid="{E96DB36A-A37F-4B23-A620-7B044D5FEE4E}"/>
    <cellStyle name="Komma 5 2 8 5" xfId="54437" xr:uid="{ED66D3BF-9722-4999-B82E-6A3F8FBDC847}"/>
    <cellStyle name="Komma 5 2 9" xfId="15020" xr:uid="{8E811419-D889-4E92-900D-CFB687CD1247}"/>
    <cellStyle name="Komma 5 2 9 2" xfId="22560" xr:uid="{A33FCDD3-8A92-4941-A071-1C663AD319EB}"/>
    <cellStyle name="Komma 5 2 9 3" xfId="47080" xr:uid="{5BE93E47-C651-42F3-90AC-766209E3AF07}"/>
    <cellStyle name="Komma 5 2 9 4" xfId="51898" xr:uid="{E473E711-F942-41D5-9CFC-B351F2D05F89}"/>
    <cellStyle name="Komma 5 2 9 5" xfId="54914" xr:uid="{8ED3D3CD-590A-4AA4-904E-37917BECFD5D}"/>
    <cellStyle name="Komma 5 3" xfId="9108" xr:uid="{8E7D15EB-1B94-48DA-A105-BED638D42DCF}"/>
    <cellStyle name="Komma 5 3 10" xfId="12156" xr:uid="{D386ED27-FA8D-456E-95DD-91DB8019D657}"/>
    <cellStyle name="Komma 5 3 10 2" xfId="47754" xr:uid="{87BB0311-F64E-4BE0-8CC4-5D44FAE74C39}"/>
    <cellStyle name="Komma 5 3 10 3" xfId="50931" xr:uid="{018E1EB7-FE1A-4421-A126-8C4CA6C87EC0}"/>
    <cellStyle name="Komma 5 3 10 4" xfId="53947" xr:uid="{B6269EF9-2EED-41D6-8A54-6282FF049320}"/>
    <cellStyle name="Komma 5 3 11" xfId="23929" xr:uid="{8C35DA4B-F533-4F6A-B6EA-7C6BCF876BAD}"/>
    <cellStyle name="Komma 5 3 12" xfId="48778" xr:uid="{448F299C-8698-44A1-AF4C-69E58BDB937C}"/>
    <cellStyle name="Komma 5 3 13" xfId="49684" xr:uid="{0AE7695F-FB99-4B43-9F56-89D0C950A47E}"/>
    <cellStyle name="Komma 5 3 14" xfId="49840" xr:uid="{49C2939B-1964-4CA2-8061-A1609D8B61B4}"/>
    <cellStyle name="Komma 5 3 15" xfId="52855" xr:uid="{8878104E-B6DE-460F-B0AF-17A763910480}"/>
    <cellStyle name="Komma 5 3 2" xfId="10050" xr:uid="{3177E329-0A92-4D5D-A1BB-DA783898788E}"/>
    <cellStyle name="Komma 5 3 2 10" xfId="49685" xr:uid="{3AFD17BA-DBBA-4785-B519-990964385707}"/>
    <cellStyle name="Komma 5 3 2 11" xfId="49893" xr:uid="{77692B32-86E1-4544-AA87-DC72BF82B766}"/>
    <cellStyle name="Komma 5 3 2 12" xfId="52909" xr:uid="{3B0C3203-4ABE-41FD-BC04-1CB00BC2823E}"/>
    <cellStyle name="Komma 5 3 2 2" xfId="10358" xr:uid="{FC62D252-EBD7-4865-A5AC-7C3BE8046223}"/>
    <cellStyle name="Komma 5 3 2 2 2" xfId="14803" xr:uid="{A7EA6137-CDDA-4FA6-A7CB-F9F28D1F555A}"/>
    <cellStyle name="Komma 5 3 2 2 2 2" xfId="22350" xr:uid="{2491A9A0-0F47-4882-8102-AACD57D18B9E}"/>
    <cellStyle name="Komma 5 3 2 2 2 3" xfId="24456" xr:uid="{7E51AE91-EC2B-4545-AE95-B6E8D384ECD0}"/>
    <cellStyle name="Komma 5 3 2 2 2 4" xfId="51688" xr:uid="{DAF0A4C9-8A8C-4A36-AB40-565336489741}"/>
    <cellStyle name="Komma 5 3 2 2 2 5" xfId="54704" xr:uid="{8B613120-6B6D-4AA1-9A61-A8A56F71DD20}"/>
    <cellStyle name="Komma 5 3 2 2 3" xfId="15288" xr:uid="{C9CA479F-D20C-4967-B663-32E24DBD6751}"/>
    <cellStyle name="Komma 5 3 2 2 3 2" xfId="22827" xr:uid="{E2762A36-3808-4034-BC0A-57820736FD64}"/>
    <cellStyle name="Komma 5 3 2 2 3 3" xfId="46510" xr:uid="{D4928050-9450-4F43-85D4-C55C36B25F58}"/>
    <cellStyle name="Komma 5 3 2 2 3 4" xfId="52165" xr:uid="{EE042505-40D7-4615-BFC3-1B3F0A931ECD}"/>
    <cellStyle name="Komma 5 3 2 2 3 5" xfId="55181" xr:uid="{EF308958-ADE4-4CA9-A37E-290DB0FFAF91}"/>
    <cellStyle name="Komma 5 3 2 2 4" xfId="15775" xr:uid="{3C7B9724-96DD-4EE7-9253-5CEA70874EB6}"/>
    <cellStyle name="Komma 5 3 2 2 4 2" xfId="23304" xr:uid="{7DAD2B00-8A10-4CB6-A5DE-3A75AA4EE706}"/>
    <cellStyle name="Komma 5 3 2 2 4 3" xfId="47030" xr:uid="{70BCAAC7-667F-4B2A-8EBB-70F8DC7D37AB}"/>
    <cellStyle name="Komma 5 3 2 2 4 4" xfId="52642" xr:uid="{044B5EDC-F896-4B25-8564-C6A7A5B7872A}"/>
    <cellStyle name="Komma 5 3 2 2 4 5" xfId="55658" xr:uid="{DEF21040-6F23-4A8F-AF31-B1FBD8FD5E8B}"/>
    <cellStyle name="Komma 5 3 2 2 5" xfId="12811" xr:uid="{04EA31F5-2ACA-425E-BAB1-58E868207EFB}"/>
    <cellStyle name="Komma 5 3 2 2 5 2" xfId="47822" xr:uid="{0930ADBE-AAFF-4C4E-9C37-93B9B83275EE}"/>
    <cellStyle name="Komma 5 3 2 2 5 3" xfId="51211" xr:uid="{B91AD8C9-1659-47DA-BA28-33C8CA51E730}"/>
    <cellStyle name="Komma 5 3 2 2 5 4" xfId="54227" xr:uid="{5239FD68-C0AF-471C-AF29-A5552F91B648}"/>
    <cellStyle name="Komma 5 3 2 2 6" xfId="48455" xr:uid="{EEC8CE48-BC12-4406-BAFA-64496428F79A}"/>
    <cellStyle name="Komma 5 3 2 2 7" xfId="50105" xr:uid="{EC795EDE-4052-4EFA-AF22-7688F0510EC2}"/>
    <cellStyle name="Komma 5 3 2 2 8" xfId="53121" xr:uid="{8CE27D10-954A-425E-BDD5-E90CB5A8C1D7}"/>
    <cellStyle name="Komma 5 3 2 3" xfId="14591" xr:uid="{591AA9A3-8725-40F8-8079-E50EB6618686}"/>
    <cellStyle name="Komma 5 3 2 3 2" xfId="22138" xr:uid="{94FC6ECF-79A1-41CE-838C-D23031F160B9}"/>
    <cellStyle name="Komma 5 3 2 3 3" xfId="46405" xr:uid="{32491BC7-FB09-42C6-A397-33DC47043D1E}"/>
    <cellStyle name="Komma 5 3 2 3 4" xfId="51476" xr:uid="{86890B73-5A39-496B-AD24-2FC26BC18858}"/>
    <cellStyle name="Komma 5 3 2 3 5" xfId="54492" xr:uid="{E2BB5423-0C2D-46A6-A191-F1C6C0F635C0}"/>
    <cellStyle name="Komma 5 3 2 4" xfId="15075" xr:uid="{B9B9B293-0A02-4239-9760-949AFABB6B05}"/>
    <cellStyle name="Komma 5 3 2 4 2" xfId="22615" xr:uid="{92BEF4D6-900D-4C75-B8A6-EE67CDBB9478}"/>
    <cellStyle name="Komma 5 3 2 4 3" xfId="46474" xr:uid="{94DB997B-E9EC-44B5-B364-7B6BD8E02CA0}"/>
    <cellStyle name="Komma 5 3 2 4 4" xfId="51953" xr:uid="{CA48CCF1-06C8-46EB-8CEB-6CE304463F70}"/>
    <cellStyle name="Komma 5 3 2 4 5" xfId="54969" xr:uid="{9FEEC6EC-5554-4AA4-8B63-E24CD731376A}"/>
    <cellStyle name="Komma 5 3 2 5" xfId="15562" xr:uid="{4779CFB3-298C-40DE-83F5-318CA5265021}"/>
    <cellStyle name="Komma 5 3 2 5 2" xfId="23092" xr:uid="{D9ACFF1A-A715-483A-A949-56EB75E59862}"/>
    <cellStyle name="Komma 5 3 2 5 3" xfId="46552" xr:uid="{3A359C45-4B27-4D9F-B761-8291B5450D21}"/>
    <cellStyle name="Komma 5 3 2 5 4" xfId="52430" xr:uid="{1006724E-E866-4DFD-9AD5-CDC527343D5C}"/>
    <cellStyle name="Komma 5 3 2 5 5" xfId="55446" xr:uid="{6A060860-CE41-4AAF-93A5-9AFF017E194D}"/>
    <cellStyle name="Komma 5 3 2 6" xfId="12510" xr:uid="{F2827B2D-EC00-430B-BC0F-BDB4F7869D1D}"/>
    <cellStyle name="Komma 5 3 2 6 2" xfId="47613" xr:uid="{6510D9E5-B8D8-4F1D-85EC-2A64E248BE8B}"/>
    <cellStyle name="Komma 5 3 2 6 3" xfId="50999" xr:uid="{BAEF107E-4B10-4A9A-88FA-1F9408F1A3F5}"/>
    <cellStyle name="Komma 5 3 2 6 4" xfId="54015" xr:uid="{B7E5C7FB-64E5-444A-9481-E89966A3241A}"/>
    <cellStyle name="Komma 5 3 2 7" xfId="23930" xr:uid="{FEFA9A05-EAFF-47E2-AA88-FD474DF21BA2}"/>
    <cellStyle name="Komma 5 3 2 8" xfId="47867" xr:uid="{4193F3FC-1FA5-434F-83B6-0FE7F538F47F}"/>
    <cellStyle name="Komma 5 3 2 9" xfId="48779" xr:uid="{0A9E61F9-F221-4A71-8931-E07874A7B4CE}"/>
    <cellStyle name="Komma 5 3 3" xfId="10124" xr:uid="{FC363D1B-B446-40F2-A421-CE5D9E24670A}"/>
    <cellStyle name="Komma 5 3 3 10" xfId="49686" xr:uid="{A57744A3-E561-4509-9E15-4F711BD93ABF}"/>
    <cellStyle name="Komma 5 3 3 11" xfId="49946" xr:uid="{142DE25D-FD2E-4C9E-93DE-C4739E5EBC06}"/>
    <cellStyle name="Komma 5 3 3 12" xfId="52962" xr:uid="{14ADF31A-5737-4137-B792-DB466189ADD9}"/>
    <cellStyle name="Komma 5 3 3 2" xfId="10437" xr:uid="{FED3E955-B70F-4FB1-A473-974F058CE2BC}"/>
    <cellStyle name="Komma 5 3 3 2 2" xfId="14856" xr:uid="{E9E42D56-72C6-4AE3-BB80-A42F4E27958F}"/>
    <cellStyle name="Komma 5 3 3 2 2 2" xfId="22403" xr:uid="{0057F90C-1D0B-42EC-8798-9274EC253541}"/>
    <cellStyle name="Komma 5 3 3 2 2 3" xfId="46870" xr:uid="{F2B2C2EA-EEF7-4BE4-8969-3878EBC21811}"/>
    <cellStyle name="Komma 5 3 3 2 2 4" xfId="51741" xr:uid="{C89304D3-C36E-4A7F-AFC2-274E0947B464}"/>
    <cellStyle name="Komma 5 3 3 2 2 5" xfId="54757" xr:uid="{024AAFDF-A25B-4462-97D0-C429379E1CB2}"/>
    <cellStyle name="Komma 5 3 3 2 3" xfId="15341" xr:uid="{B7CA2B43-9FDA-49E4-86A4-3FF1AECF9F4C}"/>
    <cellStyle name="Komma 5 3 3 2 3 2" xfId="22880" xr:uid="{6A83B8A3-715C-4629-B303-92B49937A921}"/>
    <cellStyle name="Komma 5 3 3 2 3 3" xfId="47191" xr:uid="{C2D4B748-F154-4725-9B5E-93D9185C6917}"/>
    <cellStyle name="Komma 5 3 3 2 3 4" xfId="52218" xr:uid="{6F73B450-4188-453A-B8E4-98C893822ACE}"/>
    <cellStyle name="Komma 5 3 3 2 3 5" xfId="55234" xr:uid="{F7FB557F-BA0D-498A-B55C-321B2BB84D06}"/>
    <cellStyle name="Komma 5 3 3 2 4" xfId="15828" xr:uid="{E32186C1-2B86-4807-9F12-94D317F60C29}"/>
    <cellStyle name="Komma 5 3 3 2 4 2" xfId="23357" xr:uid="{D655054E-3BBC-4E3A-9306-CA028BEE676D}"/>
    <cellStyle name="Komma 5 3 3 2 4 3" xfId="47649" xr:uid="{D98BD519-285A-4095-AD35-8F10250D2FE7}"/>
    <cellStyle name="Komma 5 3 3 2 4 4" xfId="52695" xr:uid="{35C3DADC-48AF-4C46-B52F-1798386C4D79}"/>
    <cellStyle name="Komma 5 3 3 2 4 5" xfId="55711" xr:uid="{C5677F94-1564-41B7-A2DC-0D5E8716C062}"/>
    <cellStyle name="Komma 5 3 3 2 5" xfId="12890" xr:uid="{B8420D37-E166-4F4B-9A6A-512E81642C7A}"/>
    <cellStyle name="Komma 5 3 3 2 5 2" xfId="25046" xr:uid="{99A83176-D654-40C9-BE38-C63BD6F29310}"/>
    <cellStyle name="Komma 5 3 3 2 5 3" xfId="51264" xr:uid="{FC268953-F233-4855-84A6-9E4D6CFBCB76}"/>
    <cellStyle name="Komma 5 3 3 2 5 4" xfId="54280" xr:uid="{60FB08E5-7461-401D-B31F-79C86A9E9853}"/>
    <cellStyle name="Komma 5 3 3 2 6" xfId="24328" xr:uid="{37AA7A21-EB15-481E-9E19-C679C79AD981}"/>
    <cellStyle name="Komma 5 3 3 2 7" xfId="50158" xr:uid="{3AEBAA37-5CFB-4433-B7FD-1DE574636916}"/>
    <cellStyle name="Komma 5 3 3 2 8" xfId="53174" xr:uid="{0FBE4C1B-FD55-45F9-9673-156546B4E1EC}"/>
    <cellStyle name="Komma 5 3 3 3" xfId="14644" xr:uid="{0D48FDFA-CD56-4916-80AF-20CA54EAC94C}"/>
    <cellStyle name="Komma 5 3 3 3 2" xfId="22191" xr:uid="{BF9CC31A-12D7-498A-B147-A4CC202DDCF9}"/>
    <cellStyle name="Komma 5 3 3 3 3" xfId="46845" xr:uid="{88A27345-84B7-43C3-9A1A-1CAEE542AD3F}"/>
    <cellStyle name="Komma 5 3 3 3 4" xfId="51529" xr:uid="{462543EB-62AE-49D9-AF29-BC8EC9756CEE}"/>
    <cellStyle name="Komma 5 3 3 3 5" xfId="54545" xr:uid="{1D4D4491-9927-4229-AD7C-273DE30A56C4}"/>
    <cellStyle name="Komma 5 3 3 4" xfId="15129" xr:uid="{5859137D-E731-45DF-9FA0-863599E9242D}"/>
    <cellStyle name="Komma 5 3 3 4 2" xfId="22668" xr:uid="{776857E4-DF18-400F-95DE-075768EB7DFA}"/>
    <cellStyle name="Komma 5 3 3 4 3" xfId="47402" xr:uid="{BD4C2CCF-F76B-4790-B412-99BEB1D305D4}"/>
    <cellStyle name="Komma 5 3 3 4 4" xfId="52006" xr:uid="{F7176A4F-7606-4AE3-9064-FAABC493C5D7}"/>
    <cellStyle name="Komma 5 3 3 4 5" xfId="55022" xr:uid="{9E696842-8DDA-4D61-BAD1-F3274F58B319}"/>
    <cellStyle name="Komma 5 3 3 5" xfId="15616" xr:uid="{FAD41FFB-227C-442F-8A3B-B5B2186BF5A8}"/>
    <cellStyle name="Komma 5 3 3 5 2" xfId="23145" xr:uid="{E113CD96-4387-4819-B1E2-E79A29EDA469}"/>
    <cellStyle name="Komma 5 3 3 5 3" xfId="48226" xr:uid="{3249F323-C98E-47F1-9300-B691A7B97A2B}"/>
    <cellStyle name="Komma 5 3 3 5 4" xfId="52483" xr:uid="{0211B1D2-AF9B-42ED-ACA6-B6667A7C821E}"/>
    <cellStyle name="Komma 5 3 3 5 5" xfId="55499" xr:uid="{B0DFFACB-53EF-4D86-BA17-AB376B2332EC}"/>
    <cellStyle name="Komma 5 3 3 6" xfId="12581" xr:uid="{127A3BB8-A8CB-43F0-A500-22BD8609093B}"/>
    <cellStyle name="Komma 5 3 3 6 2" xfId="47227" xr:uid="{FBB5BD35-C33B-4836-977A-28A4C5E5E372}"/>
    <cellStyle name="Komma 5 3 3 6 3" xfId="51052" xr:uid="{0B4660B6-DAF9-46C3-977F-62D13983689A}"/>
    <cellStyle name="Komma 5 3 3 6 4" xfId="54068" xr:uid="{ACB006E4-A4A2-4829-BEC7-A066065CE340}"/>
    <cellStyle name="Komma 5 3 3 7" xfId="23931" xr:uid="{7DDDE807-792C-4843-B601-F5E57F9C5DC0}"/>
    <cellStyle name="Komma 5 3 3 8" xfId="47507" xr:uid="{A64514D3-E9E3-48FB-AEE1-BD1BA1B6863E}"/>
    <cellStyle name="Komma 5 3 3 9" xfId="48780" xr:uid="{A294071D-B605-4014-AC72-A649C96501F7}"/>
    <cellStyle name="Komma 5 3 4" xfId="10203" xr:uid="{E72A256F-803B-4926-B1EF-26394604CC69}"/>
    <cellStyle name="Komma 5 3 4 2" xfId="10517" xr:uid="{6320774E-15ED-4C09-937A-C390B59E8B95}"/>
    <cellStyle name="Komma 5 3 4 2 2" xfId="14909" xr:uid="{AEE2614C-BDB3-4F7B-8BC4-83A771454D3C}"/>
    <cellStyle name="Komma 5 3 4 2 2 2" xfId="22456" xr:uid="{674A6EB0-8B72-4541-BAB0-B3A959F977C7}"/>
    <cellStyle name="Komma 5 3 4 2 2 3" xfId="25296" xr:uid="{5DC580D7-E2F2-4088-BAE7-2D94844A63A6}"/>
    <cellStyle name="Komma 5 3 4 2 2 4" xfId="51794" xr:uid="{D05F1DA4-2E5A-4421-A268-B83D02AEF475}"/>
    <cellStyle name="Komma 5 3 4 2 2 5" xfId="54810" xr:uid="{3823A35C-83E5-4AD0-BE5B-D36828B2EEBC}"/>
    <cellStyle name="Komma 5 3 4 2 3" xfId="15394" xr:uid="{C7009931-65CF-44BD-9A3A-51A3792F4FFF}"/>
    <cellStyle name="Komma 5 3 4 2 3 2" xfId="22933" xr:uid="{D8DDB1CB-8B15-43F5-A3F6-272BAE0331F5}"/>
    <cellStyle name="Komma 5 3 4 2 3 3" xfId="46527" xr:uid="{8AF8BA32-03CD-4F64-A050-76CADC53650C}"/>
    <cellStyle name="Komma 5 3 4 2 3 4" xfId="52271" xr:uid="{6683B6BE-27A0-493C-9E1D-FECE9C7C3EE8}"/>
    <cellStyle name="Komma 5 3 4 2 3 5" xfId="55287" xr:uid="{9C923731-4903-4847-B313-D44063D10D9A}"/>
    <cellStyle name="Komma 5 3 4 2 4" xfId="15881" xr:uid="{4C0BB81E-041C-4923-9803-7FA72AED51F9}"/>
    <cellStyle name="Komma 5 3 4 2 4 2" xfId="23410" xr:uid="{B6638C40-E03E-4669-A38D-00731BEFC807}"/>
    <cellStyle name="Komma 5 3 4 2 4 3" xfId="48308" xr:uid="{C031C42B-C52D-4883-8126-1B747AF0F2E3}"/>
    <cellStyle name="Komma 5 3 4 2 4 4" xfId="52748" xr:uid="{47417DD5-86A5-4463-8AA7-E7E6E52C5E13}"/>
    <cellStyle name="Komma 5 3 4 2 4 5" xfId="55764" xr:uid="{F94165AB-DDE2-4451-8F9F-F6FA897C10C0}"/>
    <cellStyle name="Komma 5 3 4 2 5" xfId="12970" xr:uid="{25C074C0-0106-466F-BB5A-64203305F6FF}"/>
    <cellStyle name="Komma 5 3 4 2 5 2" xfId="47619" xr:uid="{4A2C3EE2-72DA-4972-8FE7-CF657B338204}"/>
    <cellStyle name="Komma 5 3 4 2 5 3" xfId="51317" xr:uid="{26F64332-08A6-4BD4-A8EF-EA070E83D5BE}"/>
    <cellStyle name="Komma 5 3 4 2 5 4" xfId="54333" xr:uid="{59F32A88-E5A6-4FAE-B118-918FC4B1F9C9}"/>
    <cellStyle name="Komma 5 3 4 2 6" xfId="47293" xr:uid="{57F49511-3DF6-471F-8BFA-AB5B8F265FD9}"/>
    <cellStyle name="Komma 5 3 4 2 7" xfId="50211" xr:uid="{C5F2DF1A-E063-46C6-8894-91271A6BDB72}"/>
    <cellStyle name="Komma 5 3 4 2 8" xfId="53227" xr:uid="{EE48D3F7-4384-4000-B63B-E1FB2333D560}"/>
    <cellStyle name="Komma 5 3 4 3" xfId="14697" xr:uid="{14EC0E4C-5BF9-43AC-A106-93216B16EE23}"/>
    <cellStyle name="Komma 5 3 4 3 2" xfId="22244" xr:uid="{07D50310-BBC4-4AA0-86E2-F69FF820F10A}"/>
    <cellStyle name="Komma 5 3 4 3 3" xfId="47106" xr:uid="{81CCFA21-B6C9-4EA2-A713-36A0C95ECF40}"/>
    <cellStyle name="Komma 5 3 4 3 4" xfId="51582" xr:uid="{CF8795EF-EC09-44DD-8782-A7A468BA2224}"/>
    <cellStyle name="Komma 5 3 4 3 5" xfId="54598" xr:uid="{69DED852-B0FE-48A2-AC64-A03112A9CBB1}"/>
    <cellStyle name="Komma 5 3 4 4" xfId="15182" xr:uid="{4EAF92B2-8C6E-4A13-8FA4-3CD3EDCB68C6}"/>
    <cellStyle name="Komma 5 3 4 4 2" xfId="22721" xr:uid="{D7FA0074-7AB0-4983-B0A1-38F1B9A628BC}"/>
    <cellStyle name="Komma 5 3 4 4 3" xfId="47635" xr:uid="{30A0113B-B77C-45A9-A949-374421423518}"/>
    <cellStyle name="Komma 5 3 4 4 4" xfId="52059" xr:uid="{5EF3F358-5211-41A5-AF0E-9F42793A9ADE}"/>
    <cellStyle name="Komma 5 3 4 4 5" xfId="55075" xr:uid="{971DE28A-D916-45B0-97EC-A58E2C38463E}"/>
    <cellStyle name="Komma 5 3 4 5" xfId="15669" xr:uid="{B00AD593-18B4-425D-983E-DC947F6A6B03}"/>
    <cellStyle name="Komma 5 3 4 5 2" xfId="23198" xr:uid="{27B43D1B-369C-4A75-9B91-8D2A97315B03}"/>
    <cellStyle name="Komma 5 3 4 5 3" xfId="47112" xr:uid="{FCF96EE9-9E54-4B9D-BA4E-80664DDEC363}"/>
    <cellStyle name="Komma 5 3 4 5 4" xfId="52536" xr:uid="{B42AC8AD-1653-4FBE-90BC-898FA29CA92E}"/>
    <cellStyle name="Komma 5 3 4 5 5" xfId="55552" xr:uid="{EC9EA70A-B28A-4DC7-BF1B-4A68AAC08113}"/>
    <cellStyle name="Komma 5 3 4 6" xfId="12657" xr:uid="{57B8C908-8B23-4750-A03B-9CCEF23428DE}"/>
    <cellStyle name="Komma 5 3 4 6 2" xfId="48272" xr:uid="{9ACEEBF6-8C6B-41C1-BBAA-1EB41755223F}"/>
    <cellStyle name="Komma 5 3 4 6 3" xfId="51105" xr:uid="{21FBF92F-9958-48B8-BD41-CC788A2DFF4C}"/>
    <cellStyle name="Komma 5 3 4 6 4" xfId="54121" xr:uid="{366188F0-73C1-4197-84C7-C6FF629D7929}"/>
    <cellStyle name="Komma 5 3 4 7" xfId="48376" xr:uid="{E7A49F90-45E5-498D-869B-F9839EA720FB}"/>
    <cellStyle name="Komma 5 3 4 8" xfId="49999" xr:uid="{2CC5A4DF-4C6D-4391-A69F-797BC455C605}"/>
    <cellStyle name="Komma 5 3 4 9" xfId="53015" xr:uid="{16AFD2E3-78F5-4532-8437-39522EDEFBCA}"/>
    <cellStyle name="Komma 5 3 5" xfId="10283" xr:uid="{4209DE3B-68DB-4DE5-A97C-483826ED2313}"/>
    <cellStyle name="Komma 5 3 5 2" xfId="14750" xr:uid="{E1C6B737-8EBC-4DEA-9C76-F4A34532A3B7}"/>
    <cellStyle name="Komma 5 3 5 2 2" xfId="22297" xr:uid="{56C59C40-3681-499A-ABE1-689D247638BA}"/>
    <cellStyle name="Komma 5 3 5 2 3" xfId="46858" xr:uid="{93C3E2C1-9070-4376-8B82-BBC3879606B7}"/>
    <cellStyle name="Komma 5 3 5 2 4" xfId="51635" xr:uid="{E0ACA9CF-98D8-43C3-9F6C-7665CD912A47}"/>
    <cellStyle name="Komma 5 3 5 2 5" xfId="54651" xr:uid="{EB9493DB-E7DF-4891-A458-D22C1FCD3D8A}"/>
    <cellStyle name="Komma 5 3 5 3" xfId="15235" xr:uid="{CB22BCA8-CCE1-40F3-8C4A-17D188045198}"/>
    <cellStyle name="Komma 5 3 5 3 2" xfId="22774" xr:uid="{B353B381-AF34-44D1-9461-BE388B81C52C}"/>
    <cellStyle name="Komma 5 3 5 3 3" xfId="46896" xr:uid="{22AADF57-D4B8-4BF3-8A83-CCF0CFDA76CB}"/>
    <cellStyle name="Komma 5 3 5 3 4" xfId="52112" xr:uid="{DF8E5211-1A35-4328-A6A7-AFBB9D2B769F}"/>
    <cellStyle name="Komma 5 3 5 3 5" xfId="55128" xr:uid="{5EE2CD2C-2942-4032-9792-79A5C663E23D}"/>
    <cellStyle name="Komma 5 3 5 4" xfId="15722" xr:uid="{129F8163-73BD-4879-A5F0-27527EE6D869}"/>
    <cellStyle name="Komma 5 3 5 4 2" xfId="23251" xr:uid="{489176B9-37DF-4D5E-AE24-8503F2BD6103}"/>
    <cellStyle name="Komma 5 3 5 4 3" xfId="46957" xr:uid="{4D274E0D-AF5D-4FDE-BE1D-1FCADE9C5C3A}"/>
    <cellStyle name="Komma 5 3 5 4 4" xfId="52589" xr:uid="{81223BD9-BE9C-43C2-B44D-629D6772A1E7}"/>
    <cellStyle name="Komma 5 3 5 4 5" xfId="55605" xr:uid="{94BA7CFB-C5BB-498F-97A0-9869F26CAD3D}"/>
    <cellStyle name="Komma 5 3 5 5" xfId="12736" xr:uid="{65045410-1E97-490F-B027-60D4C3008FB5}"/>
    <cellStyle name="Komma 5 3 5 5 2" xfId="34163" xr:uid="{C6873D8F-918A-41C8-BFF8-1DB4ECC7A3A6}"/>
    <cellStyle name="Komma 5 3 5 5 3" xfId="51158" xr:uid="{641902A4-BD86-4E47-8662-9180EB53A158}"/>
    <cellStyle name="Komma 5 3 5 5 4" xfId="54174" xr:uid="{FE64C947-9E26-46BE-9FA2-302C41EE89F5}"/>
    <cellStyle name="Komma 5 3 5 6" xfId="48001" xr:uid="{547A1D26-EFE6-415D-B133-B9564BCD3F78}"/>
    <cellStyle name="Komma 5 3 5 7" xfId="50052" xr:uid="{45A175EA-F2BA-4EEF-811B-921A59DA03E0}"/>
    <cellStyle name="Komma 5 3 5 8" xfId="53068" xr:uid="{F077485D-6157-4B59-88B2-15A89ECD3C69}"/>
    <cellStyle name="Komma 5 3 6" xfId="10597" xr:uid="{D9DAEFF0-DD5B-4851-8644-88C5E28F0A74}"/>
    <cellStyle name="Komma 5 3 6 2" xfId="14962" xr:uid="{FF2B7640-E99A-4E04-9B47-A42664B54703}"/>
    <cellStyle name="Komma 5 3 6 2 2" xfId="22509" xr:uid="{C6C03111-1849-4BAC-89BE-37569869FE44}"/>
    <cellStyle name="Komma 5 3 6 2 3" xfId="47487" xr:uid="{76989DAF-0052-4BA4-B6A6-6CC28B5E2983}"/>
    <cellStyle name="Komma 5 3 6 2 4" xfId="51847" xr:uid="{173A4432-6636-4C15-A9BD-45B8C51663F9}"/>
    <cellStyle name="Komma 5 3 6 2 5" xfId="54863" xr:uid="{86944595-2E4A-4C52-9CB0-60A1907D34D8}"/>
    <cellStyle name="Komma 5 3 6 3" xfId="15447" xr:uid="{E9EAFBA8-6964-4C09-9D0A-FA528D0088F2}"/>
    <cellStyle name="Komma 5 3 6 3 2" xfId="22986" xr:uid="{EEE84F82-83EE-4DFE-9157-12C027830D83}"/>
    <cellStyle name="Komma 5 3 6 3 3" xfId="48278" xr:uid="{84E614B5-653E-4EA6-935D-0280B5C2000B}"/>
    <cellStyle name="Komma 5 3 6 3 4" xfId="52324" xr:uid="{67291578-5846-46B8-9D6E-AC9B825FFBCB}"/>
    <cellStyle name="Komma 5 3 6 3 5" xfId="55340" xr:uid="{C2A90776-C743-4E7B-B99C-A1AC7177B18C}"/>
    <cellStyle name="Komma 5 3 6 4" xfId="15935" xr:uid="{E6F233FC-4B3A-4FB4-B22C-9F3F9CCA565B}"/>
    <cellStyle name="Komma 5 3 6 4 2" xfId="23463" xr:uid="{22919864-EB95-4304-AD1B-0DB19E96D442}"/>
    <cellStyle name="Komma 5 3 6 4 3" xfId="36938" xr:uid="{8ED38A35-F97F-4A37-A31A-47EF9FA08909}"/>
    <cellStyle name="Komma 5 3 6 4 4" xfId="52801" xr:uid="{14611A71-28BA-426E-A8DA-237AC1B6E892}"/>
    <cellStyle name="Komma 5 3 6 4 5" xfId="55817" xr:uid="{9A83F7BB-03F1-4ED4-8B20-696F8FE5F97E}"/>
    <cellStyle name="Komma 5 3 6 5" xfId="13050" xr:uid="{EEF2238B-05B4-42ED-91C6-D89D0130DB02}"/>
    <cellStyle name="Komma 5 3 6 5 2" xfId="47389" xr:uid="{D29B495A-70C9-400A-A2A6-063ACBF97BB5}"/>
    <cellStyle name="Komma 5 3 6 5 3" xfId="51370" xr:uid="{C064B3FA-AC1D-4EC3-8C2A-8CA171ADB3CC}"/>
    <cellStyle name="Komma 5 3 6 5 4" xfId="54386" xr:uid="{7D6BD9AA-3217-4A41-B8D1-27BBAC7AE906}"/>
    <cellStyle name="Komma 5 3 6 6" xfId="47069" xr:uid="{8CDBC79F-2807-4AB1-AE07-CCCBEDA56310}"/>
    <cellStyle name="Komma 5 3 6 7" xfId="50264" xr:uid="{A51DB8E2-AC2A-44B4-853D-E2C86184710C}"/>
    <cellStyle name="Komma 5 3 6 8" xfId="53280" xr:uid="{BD80D988-F8DB-4E8E-8F00-C6140B847178}"/>
    <cellStyle name="Komma 5 3 7" xfId="14538" xr:uid="{0279EE67-3B67-413B-A175-B1563451B4D1}"/>
    <cellStyle name="Komma 5 3 7 2" xfId="22085" xr:uid="{A5A741B2-C247-4904-83A5-A5E47B746DF4}"/>
    <cellStyle name="Komma 5 3 7 3" xfId="47623" xr:uid="{BB718B30-128C-4CAD-B3C6-6F973A461FFA}"/>
    <cellStyle name="Komma 5 3 7 4" xfId="51423" xr:uid="{2BDB35D0-0AD1-44DF-917F-4BFBC07F5F9D}"/>
    <cellStyle name="Komma 5 3 7 5" xfId="54439" xr:uid="{93328868-183C-45FD-A669-7A133FB3C72E}"/>
    <cellStyle name="Komma 5 3 8" xfId="15022" xr:uid="{39BC33D7-B18B-41F1-B77A-ACF85666E1FD}"/>
    <cellStyle name="Komma 5 3 8 2" xfId="22562" xr:uid="{299934D1-08E4-452C-9079-5B2B6D08D826}"/>
    <cellStyle name="Komma 5 3 8 3" xfId="32401" xr:uid="{C7B41E01-1B59-420D-8E65-6E16C2FF831E}"/>
    <cellStyle name="Komma 5 3 8 4" xfId="51900" xr:uid="{203BC3A4-893F-4ACE-8757-C393616BF5D4}"/>
    <cellStyle name="Komma 5 3 8 5" xfId="54916" xr:uid="{B5117245-3F61-426B-91CC-78F331D66642}"/>
    <cellStyle name="Komma 5 3 9" xfId="15509" xr:uid="{355C529B-20D0-4133-8CA8-E51B50D0C6F6}"/>
    <cellStyle name="Komma 5 3 9 2" xfId="23039" xr:uid="{4D16C03A-6B00-41BF-8817-584769E3D14E}"/>
    <cellStyle name="Komma 5 3 9 3" xfId="32501" xr:uid="{C70EF057-45D2-4259-A3B7-9BF77744E70F}"/>
    <cellStyle name="Komma 5 3 9 4" xfId="52377" xr:uid="{191AB6C0-109E-4C0F-BF9D-03B489E25CBA}"/>
    <cellStyle name="Komma 5 3 9 5" xfId="55393" xr:uid="{DE2AB0DD-0CCD-4BD0-B42A-249509C9CB3F}"/>
    <cellStyle name="Komma 5 4" xfId="10047" xr:uid="{F04227E0-1264-461B-BB20-4BBF587A1E18}"/>
    <cellStyle name="Komma 5 4 10" xfId="49687" xr:uid="{5CD21016-857F-4D4D-BE5E-D6611CE8AF15}"/>
    <cellStyle name="Komma 5 4 11" xfId="49890" xr:uid="{9924BA32-56E7-4328-B3A4-10A07A870DA0}"/>
    <cellStyle name="Komma 5 4 12" xfId="52906" xr:uid="{7970095D-C9CC-4313-9AC8-B521171AE794}"/>
    <cellStyle name="Komma 5 4 2" xfId="10355" xr:uid="{284943D7-0D50-4164-8E88-4141D87FD578}"/>
    <cellStyle name="Komma 5 4 2 10" xfId="50102" xr:uid="{15063D14-52CA-4A2A-8C1D-EF7B4EB0079E}"/>
    <cellStyle name="Komma 5 4 2 11" xfId="53118" xr:uid="{FC2EB5CC-DF1E-487D-ABFC-D323F318FB34}"/>
    <cellStyle name="Komma 5 4 2 2" xfId="14800" xr:uid="{8173EC42-2E94-4422-8CFF-5D9D90649DE5}"/>
    <cellStyle name="Komma 5 4 2 2 2" xfId="22347" xr:uid="{8A76CEB1-A042-442F-BB36-B8905B1BD442}"/>
    <cellStyle name="Komma 5 4 2 2 3" xfId="24188" xr:uid="{0098427B-AABF-44AA-AB0B-640BEF9AE42C}"/>
    <cellStyle name="Komma 5 4 2 2 4" xfId="51685" xr:uid="{976B66BA-0389-4FC7-A4AB-ED675EA1C254}"/>
    <cellStyle name="Komma 5 4 2 2 5" xfId="54701" xr:uid="{6C7DBB4D-EB4F-4F96-9E1B-CE770360E15D}"/>
    <cellStyle name="Komma 5 4 2 3" xfId="15285" xr:uid="{4B547553-9E85-46F5-A21A-5C61DA458263}"/>
    <cellStyle name="Komma 5 4 2 3 2" xfId="22824" xr:uid="{F42780E8-C766-412E-8A25-C262D4DB77C4}"/>
    <cellStyle name="Komma 5 4 2 3 3" xfId="47190" xr:uid="{37F1655A-5BDE-4611-86E8-03900FF26E33}"/>
    <cellStyle name="Komma 5 4 2 3 4" xfId="52162" xr:uid="{81FC696D-F8D2-4D0C-837A-DF0A19891212}"/>
    <cellStyle name="Komma 5 4 2 3 5" xfId="55178" xr:uid="{A256A51E-02AA-490A-950E-C6DAEB4434DE}"/>
    <cellStyle name="Komma 5 4 2 4" xfId="15772" xr:uid="{9FDAB156-798D-41CE-A5F1-1DA1FDE99789}"/>
    <cellStyle name="Komma 5 4 2 4 2" xfId="23301" xr:uid="{377CFF2F-FA7E-4365-84AD-85E2FADD3CDE}"/>
    <cellStyle name="Komma 5 4 2 4 3" xfId="47793" xr:uid="{1796430B-7EAF-4C20-AB85-9D138672C6B2}"/>
    <cellStyle name="Komma 5 4 2 4 4" xfId="52639" xr:uid="{15BDF047-091F-4D52-BEF5-74734F2DB74C}"/>
    <cellStyle name="Komma 5 4 2 4 5" xfId="55655" xr:uid="{6DFD0F2B-B22B-45F8-9C54-B5719011C055}"/>
    <cellStyle name="Komma 5 4 2 5" xfId="12808" xr:uid="{99A4CE20-A661-4814-B3C0-0E8BDA28B6CD}"/>
    <cellStyle name="Komma 5 4 2 5 2" xfId="48201" xr:uid="{BE089FEE-AEB4-4D48-8533-E90FE75A0F88}"/>
    <cellStyle name="Komma 5 4 2 5 3" xfId="51208" xr:uid="{AE197692-09E2-451F-901E-8C70D7F422C8}"/>
    <cellStyle name="Komma 5 4 2 5 4" xfId="54224" xr:uid="{2241693F-D1E7-4566-9F8E-14719DB24C05}"/>
    <cellStyle name="Komma 5 4 2 6" xfId="23933" xr:uid="{1EBB836B-C141-41D0-825A-52DEA20433A1}"/>
    <cellStyle name="Komma 5 4 2 7" xfId="46098" xr:uid="{F6FBF5C6-D526-499B-8A42-184397E0E37E}"/>
    <cellStyle name="Komma 5 4 2 8" xfId="48782" xr:uid="{E20CE9AE-4977-4500-B2D2-EF80C6277891}"/>
    <cellStyle name="Komma 5 4 2 9" xfId="49688" xr:uid="{74382D2A-246B-48A8-A6CB-3F9D2CBA35EF}"/>
    <cellStyle name="Komma 5 4 3" xfId="14588" xr:uid="{BBA5C5C6-346C-4C58-9CA8-22C7E2518B43}"/>
    <cellStyle name="Komma 5 4 3 2" xfId="22135" xr:uid="{FF424730-B246-44CD-BABA-9E019582D90B}"/>
    <cellStyle name="Komma 5 4 3 3" xfId="46839" xr:uid="{8E14D350-9C98-4BC4-AA98-8039C0A1E5AB}"/>
    <cellStyle name="Komma 5 4 3 4" xfId="51473" xr:uid="{F36DE1CA-45DC-4CF4-9D46-BED53C40071C}"/>
    <cellStyle name="Komma 5 4 3 5" xfId="54489" xr:uid="{0FDB79AE-B1D0-4997-B4D3-53C3D9053236}"/>
    <cellStyle name="Komma 5 4 4" xfId="15072" xr:uid="{AB749B18-A315-42F4-8C57-28024ED1B32A}"/>
    <cellStyle name="Komma 5 4 4 2" xfId="22612" xr:uid="{4B885D90-8B32-44A7-B0FF-E761083FA995}"/>
    <cellStyle name="Komma 5 4 4 3" xfId="46877" xr:uid="{6BD1536A-11FD-43B3-8DBB-DE21DA06DDF9}"/>
    <cellStyle name="Komma 5 4 4 4" xfId="51950" xr:uid="{298A1A38-1B5B-422A-A2F9-0714EDE47F67}"/>
    <cellStyle name="Komma 5 4 4 5" xfId="54966" xr:uid="{09D4E41F-4EFE-4223-A9C6-836BB6449D6C}"/>
    <cellStyle name="Komma 5 4 5" xfId="15559" xr:uid="{F4158B76-C3AF-462D-B481-ED84AE89FCA9}"/>
    <cellStyle name="Komma 5 4 5 2" xfId="23089" xr:uid="{A027C359-C7B2-4E97-852F-86C488B817EF}"/>
    <cellStyle name="Komma 5 4 5 3" xfId="32359" xr:uid="{FA8597E1-D82E-4F2E-A850-D09773FFB071}"/>
    <cellStyle name="Komma 5 4 5 4" xfId="52427" xr:uid="{4FC1136B-41FE-47EA-A3DB-414A84078048}"/>
    <cellStyle name="Komma 5 4 5 5" xfId="55443" xr:uid="{0DAD67FA-92FA-456F-9782-CB4E95404CDC}"/>
    <cellStyle name="Komma 5 4 6" xfId="12507" xr:uid="{D4BF0D12-714B-4606-ACF2-3313DC020AF2}"/>
    <cellStyle name="Komma 5 4 6 2" xfId="48394" xr:uid="{0D8C4B98-CA50-4B46-AD9A-D5DC3A1FB468}"/>
    <cellStyle name="Komma 5 4 6 3" xfId="50996" xr:uid="{47D960C4-2259-4AB0-BE6A-A7136E90AD27}"/>
    <cellStyle name="Komma 5 4 6 4" xfId="54012" xr:uid="{0506044C-EF87-456E-9345-0A779E06B9DC}"/>
    <cellStyle name="Komma 5 4 7" xfId="23932" xr:uid="{741C7683-82C1-48FA-A055-D960275DFA64}"/>
    <cellStyle name="Komma 5 4 8" xfId="48313" xr:uid="{9CCE386B-504F-4F8E-8E57-EFD69709CEC0}"/>
    <cellStyle name="Komma 5 4 9" xfId="48781" xr:uid="{1B9ADA45-B5A3-4344-A6D5-1F71F1B238D7}"/>
    <cellStyle name="Komma 5 5" xfId="10121" xr:uid="{A5B8B010-571C-4AE2-87CE-1EF131D9EBE0}"/>
    <cellStyle name="Komma 5 5 10" xfId="49689" xr:uid="{F443EF80-FD90-4159-94E6-9094AEE33504}"/>
    <cellStyle name="Komma 5 5 11" xfId="49943" xr:uid="{BB0A7300-023E-4B52-A29B-65F6F5B0B17A}"/>
    <cellStyle name="Komma 5 5 12" xfId="52959" xr:uid="{6092B67E-F619-4297-BA4E-BA12A7A887B0}"/>
    <cellStyle name="Komma 5 5 2" xfId="10434" xr:uid="{9FA2574B-E8AB-487B-B48E-A9D284A2DAEC}"/>
    <cellStyle name="Komma 5 5 2 10" xfId="50155" xr:uid="{5CA59928-858B-4CDD-8ADA-17EE80052F82}"/>
    <cellStyle name="Komma 5 5 2 11" xfId="53171" xr:uid="{DA3A1972-55D1-41D0-83CB-AF22E2C3A24E}"/>
    <cellStyle name="Komma 5 5 2 2" xfId="14853" xr:uid="{F1570E14-F93C-4C55-8057-4C0FBFC330D8}"/>
    <cellStyle name="Komma 5 5 2 2 2" xfId="22400" xr:uid="{39142C16-C07C-4579-87D1-7C09E773FF32}"/>
    <cellStyle name="Komma 5 5 2 2 3" xfId="46446" xr:uid="{3966E0A7-3DE8-4023-B032-6056C42A6B34}"/>
    <cellStyle name="Komma 5 5 2 2 4" xfId="51738" xr:uid="{4BE983AD-B96D-4742-9B3B-7FBFCB4B652B}"/>
    <cellStyle name="Komma 5 5 2 2 5" xfId="54754" xr:uid="{4D188605-CBFF-441A-9B2A-6B322ED1D51B}"/>
    <cellStyle name="Komma 5 5 2 3" xfId="15338" xr:uid="{8D70F18C-D4CA-4568-81AB-94362F6EFECD}"/>
    <cellStyle name="Komma 5 5 2 3 2" xfId="22877" xr:uid="{D88891A5-A556-4EA3-A380-33D01114F964}"/>
    <cellStyle name="Komma 5 5 2 3 3" xfId="48298" xr:uid="{4665354C-AD51-4159-9723-92EAEC468F1A}"/>
    <cellStyle name="Komma 5 5 2 3 4" xfId="52215" xr:uid="{0BFB71AD-B9E1-4D24-A7DF-7DB82EB451E2}"/>
    <cellStyle name="Komma 5 5 2 3 5" xfId="55231" xr:uid="{38DCD5F1-BA7D-418A-B32E-549B7412A145}"/>
    <cellStyle name="Komma 5 5 2 4" xfId="15825" xr:uid="{CC8020BD-CFE4-4C43-91D4-10FCB5F9DBD1}"/>
    <cellStyle name="Komma 5 5 2 4 2" xfId="23354" xr:uid="{89E840F4-9D2E-4D2A-ADEF-3A23449B6275}"/>
    <cellStyle name="Komma 5 5 2 4 3" xfId="48135" xr:uid="{25B13A13-2DD0-46D3-9D8A-2704DCCE5408}"/>
    <cellStyle name="Komma 5 5 2 4 4" xfId="52692" xr:uid="{A60AD7D1-F1A4-4238-9369-26C1ABEA93A8}"/>
    <cellStyle name="Komma 5 5 2 4 5" xfId="55708" xr:uid="{08130BB0-56DC-46AA-B010-E684FAAAB193}"/>
    <cellStyle name="Komma 5 5 2 5" xfId="12887" xr:uid="{2B23C202-2F54-4897-85A9-78027BC18D2B}"/>
    <cellStyle name="Komma 5 5 2 5 2" xfId="47474" xr:uid="{308BEAA7-5AE7-43DB-A57E-F758CE930C2D}"/>
    <cellStyle name="Komma 5 5 2 5 3" xfId="51261" xr:uid="{01303D65-C4E1-419F-9658-8C84D05E4C2B}"/>
    <cellStyle name="Komma 5 5 2 5 4" xfId="54277" xr:uid="{52F5B2C8-8A9F-4EA5-AAEC-0BDAB2C81659}"/>
    <cellStyle name="Komma 5 5 2 6" xfId="23935" xr:uid="{000527B8-5A25-430F-A745-288BCA746462}"/>
    <cellStyle name="Komma 5 5 2 7" xfId="47799" xr:uid="{D38FCD08-EECF-417B-B83E-919ABA601D3C}"/>
    <cellStyle name="Komma 5 5 2 8" xfId="48784" xr:uid="{55E7FF76-80E0-404A-ACF9-6E2354C37E9A}"/>
    <cellStyle name="Komma 5 5 2 9" xfId="49690" xr:uid="{B4DE210D-CEBF-4603-ACBA-89CD56F0C28F}"/>
    <cellStyle name="Komma 5 5 3" xfId="14641" xr:uid="{ABCCBEA7-4619-444A-9016-98F5804D6797}"/>
    <cellStyle name="Komma 5 5 3 2" xfId="22188" xr:uid="{65E94B35-2E1C-4385-8BEE-47577F1B0F4F}"/>
    <cellStyle name="Komma 5 5 3 3" xfId="46412" xr:uid="{F5301A4D-A57E-420D-8782-30F392777051}"/>
    <cellStyle name="Komma 5 5 3 4" xfId="51526" xr:uid="{46BCA193-AC30-4BE3-8CEC-619394EA2C5D}"/>
    <cellStyle name="Komma 5 5 3 5" xfId="54542" xr:uid="{7725CE4F-E6F4-464C-AAB3-6832569BB0F0}"/>
    <cellStyle name="Komma 5 5 4" xfId="15126" xr:uid="{C8CDD3AA-9CF0-49EB-A9DA-0635A5F47739}"/>
    <cellStyle name="Komma 5 5 4 2" xfId="22665" xr:uid="{56C9FF2D-7F3F-4EF1-AD30-5F9138FFF5B3}"/>
    <cellStyle name="Komma 5 5 4 3" xfId="48009" xr:uid="{ADD5E635-EFBC-459A-A954-5AF71366D16A}"/>
    <cellStyle name="Komma 5 5 4 4" xfId="52003" xr:uid="{B06FE508-3EFB-4276-BA4A-832A1B489CF6}"/>
    <cellStyle name="Komma 5 5 4 5" xfId="55019" xr:uid="{7AAEA938-89DF-4DB2-AD78-E767065DBD73}"/>
    <cellStyle name="Komma 5 5 5" xfId="15613" xr:uid="{1D2D2C25-9731-4EA1-81D6-80234DA5950D}"/>
    <cellStyle name="Komma 5 5 5 2" xfId="23142" xr:uid="{AEFE0676-91B5-40B2-8DE7-E90999FC5BB0}"/>
    <cellStyle name="Komma 5 5 5 3" xfId="47845" xr:uid="{27F9E02E-442E-4B9E-A348-06A367E3EE4D}"/>
    <cellStyle name="Komma 5 5 5 4" xfId="52480" xr:uid="{F9F75AC6-B462-4229-BF30-B14B8CB0A39E}"/>
    <cellStyle name="Komma 5 5 5 5" xfId="55496" xr:uid="{D686B99E-82BE-45AC-9F50-2330A2DA7DC2}"/>
    <cellStyle name="Komma 5 5 6" xfId="12578" xr:uid="{91A2421A-3510-41A8-B41B-7F56B49EDBE9}"/>
    <cellStyle name="Komma 5 5 6 2" xfId="48297" xr:uid="{307F045E-DAF8-4E5C-835A-6E25A2EC6BD2}"/>
    <cellStyle name="Komma 5 5 6 3" xfId="51049" xr:uid="{976A64D6-AE4B-45B7-9D31-B74AFA8C0DBF}"/>
    <cellStyle name="Komma 5 5 6 4" xfId="54065" xr:uid="{64D98E39-B32B-47CC-8BA2-F931F492E300}"/>
    <cellStyle name="Komma 5 5 7" xfId="23934" xr:uid="{B3400B56-B433-4E03-B391-039F4D92F42D}"/>
    <cellStyle name="Komma 5 5 8" xfId="46053" xr:uid="{A5381F65-6294-4395-8EFD-02F40F012D89}"/>
    <cellStyle name="Komma 5 5 9" xfId="48783" xr:uid="{3DF02474-CB5F-41F0-A022-13E54B449040}"/>
    <cellStyle name="Komma 5 6" xfId="10200" xr:uid="{9D5762E2-70A6-496C-BAE8-FDFD42BEA2D6}"/>
    <cellStyle name="Komma 5 6 10" xfId="49691" xr:uid="{AB590E32-81E6-4F18-9E42-845FF9D89EF5}"/>
    <cellStyle name="Komma 5 6 11" xfId="49996" xr:uid="{DCA54C82-E863-43EC-891D-41CB9B91E8EA}"/>
    <cellStyle name="Komma 5 6 12" xfId="53012" xr:uid="{CE66BFD0-0695-49F3-8433-4188E8BE94C7}"/>
    <cellStyle name="Komma 5 6 2" xfId="10514" xr:uid="{C355B48B-8B1F-499B-B961-92FA5469FA16}"/>
    <cellStyle name="Komma 5 6 2 2" xfId="14906" xr:uid="{3FB79611-0674-405D-A65A-07F8635E55A6}"/>
    <cellStyle name="Komma 5 6 2 2 2" xfId="22453" xr:uid="{45212148-D67D-491C-801B-537439B17AC5}"/>
    <cellStyle name="Komma 5 6 2 2 3" xfId="32523" xr:uid="{7A598F61-57C2-4C07-94E8-CBEE47BD54D9}"/>
    <cellStyle name="Komma 5 6 2 2 4" xfId="51791" xr:uid="{8340449C-FCF4-4615-A1D5-B717F9EDA9F6}"/>
    <cellStyle name="Komma 5 6 2 2 5" xfId="54807" xr:uid="{B5417020-5197-48BA-8C05-712E7FD7FC41}"/>
    <cellStyle name="Komma 5 6 2 3" xfId="15391" xr:uid="{AF7539B8-8DD4-4334-8A2E-93084E25CF4A}"/>
    <cellStyle name="Komma 5 6 2 3 2" xfId="22930" xr:uid="{7ACA2561-688D-4191-880B-BE989D9E7E89}"/>
    <cellStyle name="Komma 5 6 2 3 3" xfId="47345" xr:uid="{C184AA4B-944B-4BCA-9F11-4282E7D2C53B}"/>
    <cellStyle name="Komma 5 6 2 3 4" xfId="52268" xr:uid="{F18F0C17-AFC2-4EEB-B23E-48329ED0B198}"/>
    <cellStyle name="Komma 5 6 2 3 5" xfId="55284" xr:uid="{FF3E39FB-924A-4BF0-A395-232EA53F4183}"/>
    <cellStyle name="Komma 5 6 2 4" xfId="15878" xr:uid="{564913EB-6A66-416F-9794-876D629753AA}"/>
    <cellStyle name="Komma 5 6 2 4 2" xfId="23407" xr:uid="{80AA6ED3-C612-4B5A-985E-D3A2B22A6BAD}"/>
    <cellStyle name="Komma 5 6 2 4 3" xfId="47376" xr:uid="{DAA17A7E-F11B-4882-B1DD-B1A1E3E08650}"/>
    <cellStyle name="Komma 5 6 2 4 4" xfId="52745" xr:uid="{DD48802F-6933-4DC6-BFEB-07E06925F7ED}"/>
    <cellStyle name="Komma 5 6 2 4 5" xfId="55761" xr:uid="{0EFBAD3F-FFE5-4D1A-8E04-1DBEACBCACCE}"/>
    <cellStyle name="Komma 5 6 2 5" xfId="12967" xr:uid="{19A90983-3431-4515-B13B-6C355E79B029}"/>
    <cellStyle name="Komma 5 6 2 5 2" xfId="47990" xr:uid="{3DD8D7E5-A9FD-40AD-BE7B-B8A807A83503}"/>
    <cellStyle name="Komma 5 6 2 5 3" xfId="51314" xr:uid="{151330B4-8E74-47CE-AED3-A8287ABA8034}"/>
    <cellStyle name="Komma 5 6 2 5 4" xfId="54330" xr:uid="{840F233A-FD53-46FF-9543-5F9D4CD857DA}"/>
    <cellStyle name="Komma 5 6 2 6" xfId="47559" xr:uid="{7C74B7F6-64FB-488E-BF76-12DDA7C87305}"/>
    <cellStyle name="Komma 5 6 2 7" xfId="50208" xr:uid="{CDCF5989-ABEB-42C4-89A6-186B0F2E922D}"/>
    <cellStyle name="Komma 5 6 2 8" xfId="53224" xr:uid="{E20D6604-C083-4284-880A-9F8C2058A5D3}"/>
    <cellStyle name="Komma 5 6 3" xfId="14694" xr:uid="{1587FD37-56A6-4ED1-A1D3-CDA94244276E}"/>
    <cellStyle name="Komma 5 6 3 2" xfId="22241" xr:uid="{959E838D-52C8-4DA2-90E0-8B92B912ED66}"/>
    <cellStyle name="Komma 5 6 3 3" xfId="48061" xr:uid="{34036D0C-D76B-4EBB-8EA0-1131AEF3CB91}"/>
    <cellStyle name="Komma 5 6 3 4" xfId="51579" xr:uid="{D0B0ACDC-8316-49E5-9005-701F4C43992B}"/>
    <cellStyle name="Komma 5 6 3 5" xfId="54595" xr:uid="{0FC6184C-E4B9-40BC-8D7D-0FDF19F99AE5}"/>
    <cellStyle name="Komma 5 6 4" xfId="15179" xr:uid="{303EAB1D-2362-4468-85F6-84A7FCF647CE}"/>
    <cellStyle name="Komma 5 6 4 2" xfId="22718" xr:uid="{E0735FCC-FBF6-4B32-B966-4CDD816DE37A}"/>
    <cellStyle name="Komma 5 6 4 3" xfId="47839" xr:uid="{0FFD7891-2473-4C4C-AB28-D3257B63A2D4}"/>
    <cellStyle name="Komma 5 6 4 4" xfId="52056" xr:uid="{C8A03C8A-2969-4C45-9685-057B7A904E13}"/>
    <cellStyle name="Komma 5 6 4 5" xfId="55072" xr:uid="{F3E80113-A2B9-4802-ABF9-701B6AC9E2FE}"/>
    <cellStyle name="Komma 5 6 5" xfId="15666" xr:uid="{8AE2DA3F-5445-4A25-A13E-2664395894CF}"/>
    <cellStyle name="Komma 5 6 5 2" xfId="23195" xr:uid="{DB27CC3B-42F7-4933-9B7C-043B8A342F37}"/>
    <cellStyle name="Komma 5 6 5 3" xfId="46567" xr:uid="{F9BED371-5B59-4202-82AD-F138884F94EC}"/>
    <cellStyle name="Komma 5 6 5 4" xfId="52533" xr:uid="{418D7904-7F0F-4EE0-987B-065036F66722}"/>
    <cellStyle name="Komma 5 6 5 5" xfId="55549" xr:uid="{FA71D792-7314-4A2E-813A-D84DA061CA21}"/>
    <cellStyle name="Komma 5 6 6" xfId="12654" xr:uid="{C14B2505-805B-41EE-BDC5-3228C24A06CF}"/>
    <cellStyle name="Komma 5 6 6 2" xfId="46338" xr:uid="{144BD606-540F-4016-8DE2-2AA89E938EFF}"/>
    <cellStyle name="Komma 5 6 6 3" xfId="51102" xr:uid="{923EC674-4BE3-417C-97ED-A8804C46F13F}"/>
    <cellStyle name="Komma 5 6 6 4" xfId="54118" xr:uid="{3288D6BA-9F9C-476A-BB72-34676BD3334F}"/>
    <cellStyle name="Komma 5 6 7" xfId="23936" xr:uid="{3F3CAFED-10FF-4F0C-B536-D927F7456C69}"/>
    <cellStyle name="Komma 5 6 8" xfId="46065" xr:uid="{E7347234-1DE1-42BC-BC53-C62D31E700BA}"/>
    <cellStyle name="Komma 5 6 9" xfId="48785" xr:uid="{BA857FC1-9FE2-4C3E-BD4C-ADB608C4992F}"/>
    <cellStyle name="Komma 5 7" xfId="10280" xr:uid="{5A20BCBB-AF32-4CCC-944F-BC5E095774E1}"/>
    <cellStyle name="Komma 5 7 10" xfId="50049" xr:uid="{1F2534D8-94DF-4B50-AC86-5C8EEB446733}"/>
    <cellStyle name="Komma 5 7 11" xfId="53065" xr:uid="{F92D2E48-6480-45BA-9A32-42587A635787}"/>
    <cellStyle name="Komma 5 7 2" xfId="14747" xr:uid="{C0DD59C9-75EF-46AE-B856-1D2CFD9D757D}"/>
    <cellStyle name="Komma 5 7 2 2" xfId="22294" xr:uid="{C59DBE76-40F2-4AE4-A44F-4B71D6BA529C}"/>
    <cellStyle name="Komma 5 7 2 3" xfId="46429" xr:uid="{D3C0C3F6-BDBD-4928-B30D-54B6A27FFD4D}"/>
    <cellStyle name="Komma 5 7 2 4" xfId="51632" xr:uid="{DC268E8D-A677-45DD-8E2E-3133EE80C764}"/>
    <cellStyle name="Komma 5 7 2 5" xfId="54648" xr:uid="{F4C2857E-847E-42F0-8DB2-4F27CE5F8237}"/>
    <cellStyle name="Komma 5 7 3" xfId="15232" xr:uid="{AC953AF3-166B-43B0-B11C-6015311542DD}"/>
    <cellStyle name="Komma 5 7 3 2" xfId="22771" xr:uid="{762F35DD-B62B-4F5A-90C3-5035F1922CD1}"/>
    <cellStyle name="Komma 5 7 3 3" xfId="46499" xr:uid="{CADB0027-F1E6-4A75-A092-FA9EDAD09D8F}"/>
    <cellStyle name="Komma 5 7 3 4" xfId="52109" xr:uid="{539DF033-E383-4B9C-9171-8E8FBF87C6A2}"/>
    <cellStyle name="Komma 5 7 3 5" xfId="55125" xr:uid="{3A093D38-C3C8-492E-B321-4EE2043EF040}"/>
    <cellStyle name="Komma 5 7 4" xfId="15719" xr:uid="{3D192A92-6926-4B9E-9FE2-1D115E4B40D2}"/>
    <cellStyle name="Komma 5 7 4 2" xfId="23248" xr:uid="{DEA774C5-332E-49EF-96DC-BB659695D99C}"/>
    <cellStyle name="Komma 5 7 4 3" xfId="46577" xr:uid="{1F85C19F-E2DD-423F-9BD9-0654CE22F1AC}"/>
    <cellStyle name="Komma 5 7 4 4" xfId="52586" xr:uid="{5971DAA0-8C85-442B-B71D-C7C1051C9CCF}"/>
    <cellStyle name="Komma 5 7 4 5" xfId="55602" xr:uid="{F54B16DA-A567-4369-A958-05D67B84FC61}"/>
    <cellStyle name="Komma 5 7 5" xfId="12733" xr:uid="{21C02F16-83DA-4AB2-93FC-BDB74AD40988}"/>
    <cellStyle name="Komma 5 7 5 2" xfId="47859" xr:uid="{A0B726E3-4D9B-41AC-8F2D-686C5287EB0D}"/>
    <cellStyle name="Komma 5 7 5 3" xfId="51155" xr:uid="{CCCD03A0-556F-4D5D-8E89-F91AC151189B}"/>
    <cellStyle name="Komma 5 7 5 4" xfId="54171" xr:uid="{3AAF1F32-CD4F-4394-95F1-917680D78707}"/>
    <cellStyle name="Komma 5 7 6" xfId="23937" xr:uid="{179D1D70-52E3-4CD8-AF2A-D651EEB0A438}"/>
    <cellStyle name="Komma 5 7 7" xfId="46083" xr:uid="{FA080E1D-0915-4928-9012-A2F7BE3B2319}"/>
    <cellStyle name="Komma 5 7 8" xfId="48786" xr:uid="{568C6ED6-E8C7-4BB5-B4AC-FC32939BA806}"/>
    <cellStyle name="Komma 5 7 9" xfId="49692" xr:uid="{98F803FD-54EA-4EAF-BAF2-A63D7AF81DEB}"/>
    <cellStyle name="Komma 5 8" xfId="10594" xr:uid="{58C5FE4B-28BE-4981-9EEC-F351CE60E77D}"/>
    <cellStyle name="Komma 5 8 2" xfId="14959" xr:uid="{26071D13-49A0-4D0D-B815-7E37DF6D3A73}"/>
    <cellStyle name="Komma 5 8 2 2" xfId="22506" xr:uid="{B6CA523E-A144-4157-B670-F98326E9071E}"/>
    <cellStyle name="Komma 5 8 2 3" xfId="34022" xr:uid="{F15757A7-F5C2-41BF-B49C-C74ADE4DD1B0}"/>
    <cellStyle name="Komma 5 8 2 4" xfId="51844" xr:uid="{5A892A3F-4F06-422D-921B-6DEDAA4F2665}"/>
    <cellStyle name="Komma 5 8 2 5" xfId="54860" xr:uid="{B2B2DF44-DE13-4C19-A3BF-85132D89FCD4}"/>
    <cellStyle name="Komma 5 8 3" xfId="15444" xr:uid="{2F3CA59D-E74A-4AEE-9EEB-16FDF1EF66A0}"/>
    <cellStyle name="Komma 5 8 3 2" xfId="22983" xr:uid="{B5B1E322-83D4-4E89-A4E9-8D3570B268AA}"/>
    <cellStyle name="Komma 5 8 3 3" xfId="47346" xr:uid="{A84F0837-15EF-478F-964F-03E3D6499A9E}"/>
    <cellStyle name="Komma 5 8 3 4" xfId="52321" xr:uid="{743DD685-D42C-487A-9479-2CDE1764E007}"/>
    <cellStyle name="Komma 5 8 3 5" xfId="55337" xr:uid="{FC107AD1-A24D-4DE9-BA37-DCBC40BAB603}"/>
    <cellStyle name="Komma 5 8 4" xfId="15932" xr:uid="{22439A85-A822-430A-AB38-3E7A3CACBE7A}"/>
    <cellStyle name="Komma 5 8 4 2" xfId="23460" xr:uid="{7CF4A58E-1301-4D8D-8D53-8F3FFD8F8FCB}"/>
    <cellStyle name="Komma 5 8 4 3" xfId="47041" xr:uid="{DDE62E65-A548-47AB-AFEB-4222F367E8D1}"/>
    <cellStyle name="Komma 5 8 4 4" xfId="52798" xr:uid="{F9A05F14-FD5D-4652-97C9-25B0BCE5D14A}"/>
    <cellStyle name="Komma 5 8 4 5" xfId="55814" xr:uid="{12341F4C-70C2-4200-B453-5F894415BA7C}"/>
    <cellStyle name="Komma 5 8 5" xfId="13047" xr:uid="{AB8FF0A5-E933-47AB-9018-860A5B6820E3}"/>
    <cellStyle name="Komma 5 8 5 2" xfId="25027" xr:uid="{0AC1979C-EC12-488F-9B02-7313E90F07E5}"/>
    <cellStyle name="Komma 5 8 5 3" xfId="51367" xr:uid="{007B960E-DF37-4AC8-90FE-578BAC24B335}"/>
    <cellStyle name="Komma 5 8 5 4" xfId="54383" xr:uid="{22BC3D43-CA88-4C23-8CAD-13C182035D48}"/>
    <cellStyle name="Komma 5 8 6" xfId="47263" xr:uid="{5E38C7EE-B77B-48F5-A6C3-E6C54613EC73}"/>
    <cellStyle name="Komma 5 8 7" xfId="50261" xr:uid="{0BF92FA6-6085-4CA6-9F82-C337577C077E}"/>
    <cellStyle name="Komma 5 8 8" xfId="53277" xr:uid="{599F5F7B-0C50-4E9A-90CE-3B615DE57B5E}"/>
    <cellStyle name="Komma 5 9" xfId="14535" xr:uid="{96B68AFA-1402-4B98-A821-9642A882CAF4}"/>
    <cellStyle name="Komma 5 9 2" xfId="22082" xr:uid="{504EBFF7-3D78-42C0-AA4E-0B66A52A9A6B}"/>
    <cellStyle name="Komma 5 9 3" xfId="32330" xr:uid="{66C5E76B-C643-458A-9FDD-F297625C3B07}"/>
    <cellStyle name="Komma 5 9 4" xfId="51420" xr:uid="{FD0A19C4-D2B5-4047-B215-8FDE10F6AE07}"/>
    <cellStyle name="Komma 5 9 5" xfId="54436" xr:uid="{FD2B15BE-D6B9-4FAA-8BD1-6CBE7D4EE4B0}"/>
    <cellStyle name="Komma 6" xfId="23938" xr:uid="{915CFC3D-317E-4934-98CA-C8BE0990E8FD}"/>
    <cellStyle name="Komma 6 2" xfId="23939" xr:uid="{95CF93AE-269D-42DE-953D-2B201E944DB1}"/>
    <cellStyle name="Komma 6 2 2" xfId="23940" xr:uid="{BEB9DCAA-1565-4B70-9403-D0C6B2E794EB}"/>
    <cellStyle name="Komma 6 2 2 2" xfId="23941" xr:uid="{E6869202-790A-4892-A09C-9B0E7435F5CA}"/>
    <cellStyle name="Komma 6 2 2 2 2" xfId="48790" xr:uid="{9C602C9D-835E-4612-89F7-7F30D0584282}"/>
    <cellStyle name="Komma 6 2 2 2 3" xfId="49696" xr:uid="{8A5AE7C3-EB32-4382-A530-7938A45C2351}"/>
    <cellStyle name="Komma 6 2 2 3" xfId="48789" xr:uid="{220D5C3E-735F-482B-838F-E15DC71EF8BC}"/>
    <cellStyle name="Komma 6 2 2 4" xfId="49695" xr:uid="{19360BEF-CDC3-4AC7-83E3-1BC20631FAB5}"/>
    <cellStyle name="Komma 6 2 3" xfId="23942" xr:uid="{CC05C90A-014C-43AA-9811-A8F0D5CBA658}"/>
    <cellStyle name="Komma 6 2 3 2" xfId="23943" xr:uid="{DFAC453D-F288-47C8-B692-218C3B4E384A}"/>
    <cellStyle name="Komma 6 2 3 2 2" xfId="48792" xr:uid="{AC612A99-209C-49FA-9FA5-F226E15A4A36}"/>
    <cellStyle name="Komma 6 2 3 2 3" xfId="49698" xr:uid="{7C38E726-AFE9-4A24-ADAF-4F95A0263E34}"/>
    <cellStyle name="Komma 6 2 3 3" xfId="48791" xr:uid="{EF8BF227-13A7-4700-818B-38D13E51E5A8}"/>
    <cellStyle name="Komma 6 2 3 4" xfId="49697" xr:uid="{A2C4CB5F-4A8F-47B5-B69D-91834FD1DE0D}"/>
    <cellStyle name="Komma 6 2 4" xfId="23944" xr:uid="{B93A2606-202B-406E-BEC9-C549664F2508}"/>
    <cellStyle name="Komma 6 2 4 2" xfId="48793" xr:uid="{DF82BEDB-1B5F-4A51-8F07-338CA0633D34}"/>
    <cellStyle name="Komma 6 2 4 3" xfId="49699" xr:uid="{E063EEB4-42A0-4960-A27E-53BE8DB3B1F4}"/>
    <cellStyle name="Komma 6 2 5" xfId="48788" xr:uid="{B09EC451-E24D-4A88-BEC8-077680A8B1EE}"/>
    <cellStyle name="Komma 6 2 6" xfId="49694" xr:uid="{93CB4648-2C06-4A59-B3B9-BD3F9CEAA5BC}"/>
    <cellStyle name="Komma 6 3" xfId="23945" xr:uid="{BBB03D39-BCCA-4D45-9E3F-A476AD7D777B}"/>
    <cellStyle name="Komma 6 3 2" xfId="23946" xr:uid="{BDAAB513-C6A2-4081-8A66-0245F7A43395}"/>
    <cellStyle name="Komma 6 3 2 2" xfId="48795" xr:uid="{5A1961C7-9147-4418-B4F9-9CF84D68DFF8}"/>
    <cellStyle name="Komma 6 3 2 3" xfId="49701" xr:uid="{BF14CA1C-8DFD-4B22-A825-F8195B4A792A}"/>
    <cellStyle name="Komma 6 3 3" xfId="48794" xr:uid="{DAECF47B-EBA3-4297-A508-D10C54A3AFDA}"/>
    <cellStyle name="Komma 6 3 4" xfId="49700" xr:uid="{25BEC5BD-781D-488C-9536-01880F9D801F}"/>
    <cellStyle name="Komma 6 4" xfId="23947" xr:uid="{376AB3FC-AA81-40B3-AA3B-B9DCB7F4E828}"/>
    <cellStyle name="Komma 6 4 2" xfId="23948" xr:uid="{413153A4-6193-48EA-A18F-6EA2C30363CF}"/>
    <cellStyle name="Komma 6 4 2 2" xfId="48797" xr:uid="{B93E1182-8660-425B-809C-C6D41788A53E}"/>
    <cellStyle name="Komma 6 4 2 3" xfId="49703" xr:uid="{2746FE56-2A22-4B9A-82EA-4A1E0B70F8FD}"/>
    <cellStyle name="Komma 6 4 3" xfId="48796" xr:uid="{5A9C7E42-866E-4A07-9D83-6F59D154A200}"/>
    <cellStyle name="Komma 6 4 4" xfId="49702" xr:uid="{30F10BC7-B075-451B-AF57-8CDE5B541B1D}"/>
    <cellStyle name="Komma 6 5" xfId="23949" xr:uid="{F72276CE-43CE-48B2-A997-51EA1CC165C6}"/>
    <cellStyle name="Komma 6 5 2" xfId="23950" xr:uid="{B8976D5B-20C5-41C1-8342-91438A4B7F55}"/>
    <cellStyle name="Komma 6 5 2 2" xfId="48799" xr:uid="{DACAD481-CB50-42DF-B3E9-4CAD91EEF18C}"/>
    <cellStyle name="Komma 6 5 2 3" xfId="49705" xr:uid="{371ECFF3-B7A8-4911-82E2-5592266E6071}"/>
    <cellStyle name="Komma 6 5 3" xfId="48798" xr:uid="{861F970A-42B4-4AE4-BF38-469BC12587CF}"/>
    <cellStyle name="Komma 6 5 4" xfId="49704" xr:uid="{AF4F598C-6BC2-43D3-9CB9-376A58F0C1D7}"/>
    <cellStyle name="Komma 6 6" xfId="23951" xr:uid="{16CC6304-7884-4D43-BAB1-6099BB4F7466}"/>
    <cellStyle name="Komma 6 6 2" xfId="48800" xr:uid="{127DEE5A-3549-49B1-921A-785A3A0D191D}"/>
    <cellStyle name="Komma 6 6 3" xfId="49706" xr:uid="{CEBF468F-275A-4A15-9256-C4778E348D73}"/>
    <cellStyle name="Komma 6 7" xfId="48787" xr:uid="{110E0404-6D21-4C5D-A46B-1C3F27075DC4}"/>
    <cellStyle name="Komma 6 8" xfId="49693" xr:uid="{BE9F23B4-8382-4421-8AA6-F7459BA36434}"/>
    <cellStyle name="Komma 7" xfId="23952" xr:uid="{1D8A062A-1BCC-405D-9935-9ECE156C6CA2}"/>
    <cellStyle name="Komma 7 2" xfId="23953" xr:uid="{4E01A6ED-6106-4F9E-A101-7F67D1EFF47D}"/>
    <cellStyle name="Komma 7 2 2" xfId="23954" xr:uid="{64471E7B-B18C-4995-B81F-56F5FD037BA1}"/>
    <cellStyle name="Komma 7 2 2 2" xfId="23955" xr:uid="{8E25BE94-E841-4A39-8B05-80BBDA7D07B6}"/>
    <cellStyle name="Komma 7 2 2 2 2" xfId="48804" xr:uid="{77BE0716-3983-4761-8D3E-A381FD0EB9EA}"/>
    <cellStyle name="Komma 7 2 2 2 3" xfId="49710" xr:uid="{FC43EC45-A642-4A66-A302-429B6680BED7}"/>
    <cellStyle name="Komma 7 2 2 3" xfId="48803" xr:uid="{BA3650C2-35B8-4865-ACBA-377A80F72F64}"/>
    <cellStyle name="Komma 7 2 2 4" xfId="49709" xr:uid="{A3FB947D-C95A-4B22-A892-D547F1883FBB}"/>
    <cellStyle name="Komma 7 2 3" xfId="23956" xr:uid="{1BC373EB-19A6-44BE-BABD-4051A22621E6}"/>
    <cellStyle name="Komma 7 2 3 2" xfId="23957" xr:uid="{B39A7DD0-FB83-4221-B362-AEE7B9B33195}"/>
    <cellStyle name="Komma 7 2 3 2 2" xfId="48806" xr:uid="{571A36EB-94C2-4166-A26F-BE8B370A2750}"/>
    <cellStyle name="Komma 7 2 3 2 3" xfId="49712" xr:uid="{D09F8EBE-3E06-4A14-836C-650C124A8620}"/>
    <cellStyle name="Komma 7 2 3 3" xfId="48805" xr:uid="{1B846500-984C-4C5F-ACFD-96850CD3A7C5}"/>
    <cellStyle name="Komma 7 2 3 4" xfId="49711" xr:uid="{75F5C528-3BE4-467A-B56F-0B8B550F52AA}"/>
    <cellStyle name="Komma 7 2 4" xfId="23958" xr:uid="{C77E6C71-C93B-4B75-BB85-4973CBC6B864}"/>
    <cellStyle name="Komma 7 2 4 2" xfId="48807" xr:uid="{30259BBB-DFC6-4DD4-BA27-4F761A3A28F7}"/>
    <cellStyle name="Komma 7 2 4 3" xfId="49713" xr:uid="{C3194813-D121-4330-A378-4E87A9E1F32B}"/>
    <cellStyle name="Komma 7 2 5" xfId="48802" xr:uid="{02D274B7-B9F7-456D-8BE0-82C628AE1AEE}"/>
    <cellStyle name="Komma 7 2 6" xfId="49708" xr:uid="{A3138AF2-F1F9-4236-8658-49031BE72E22}"/>
    <cellStyle name="Komma 7 3" xfId="23959" xr:uid="{14C54A22-B256-4697-A65C-5820AE6D6E5F}"/>
    <cellStyle name="Komma 7 3 2" xfId="23960" xr:uid="{450A260C-54A5-4300-8874-1AE1EC47D759}"/>
    <cellStyle name="Komma 7 3 2 2" xfId="48809" xr:uid="{2DF1588F-CDFB-4760-81C6-C7E56DF9558F}"/>
    <cellStyle name="Komma 7 3 2 3" xfId="49715" xr:uid="{8E117AD9-17DD-4A36-8C71-E2126F98CFF5}"/>
    <cellStyle name="Komma 7 3 3" xfId="48808" xr:uid="{33E6EA07-B8A0-4495-B4CE-087ECF433AD5}"/>
    <cellStyle name="Komma 7 3 4" xfId="49714" xr:uid="{CDE3088D-6598-4A47-B322-11961631875E}"/>
    <cellStyle name="Komma 7 4" xfId="23961" xr:uid="{75C7E4BB-80D8-43D2-A97F-63DA8E84FF7B}"/>
    <cellStyle name="Komma 7 4 2" xfId="23962" xr:uid="{C2E77558-9823-494F-8EC8-513D73ED28E6}"/>
    <cellStyle name="Komma 7 4 2 2" xfId="48811" xr:uid="{F7324EDE-9E44-4C26-9959-64DAD5D62016}"/>
    <cellStyle name="Komma 7 4 2 3" xfId="49717" xr:uid="{F805735B-F673-470A-AF11-E157427D79A7}"/>
    <cellStyle name="Komma 7 4 3" xfId="48810" xr:uid="{272BB4F1-B1B9-4CBB-8446-94E862E905E8}"/>
    <cellStyle name="Komma 7 4 4" xfId="49716" xr:uid="{D3D7BAEF-5CD4-470A-92B3-CCE2499F15C2}"/>
    <cellStyle name="Komma 7 5" xfId="23963" xr:uid="{C4D49F6B-3811-4D8F-A6E8-2B0D10A3E60A}"/>
    <cellStyle name="Komma 7 5 2" xfId="48812" xr:uid="{A4B2AC08-A387-43CB-9268-E9F312049F31}"/>
    <cellStyle name="Komma 7 5 3" xfId="49718" xr:uid="{FB184FAA-7471-4C8C-BCB0-AFD56B7E6F2B}"/>
    <cellStyle name="Komma 7 6" xfId="48801" xr:uid="{06F257E0-769F-42FB-8966-CB4D02F70C73}"/>
    <cellStyle name="Komma 7 7" xfId="49707" xr:uid="{8435B76B-EA68-4DB5-8908-B1C11921B9F9}"/>
    <cellStyle name="Komma 8" xfId="23964" xr:uid="{E37648E3-635A-4375-9130-F5250E209941}"/>
    <cellStyle name="Komma 8 2" xfId="23965" xr:uid="{C28819C8-E983-4E13-8504-BAF83957BA24}"/>
    <cellStyle name="Komma 8 2 2" xfId="23966" xr:uid="{8D2C34E6-A74B-485F-93D2-16982F78AF60}"/>
    <cellStyle name="Komma 8 2 2 2" xfId="48815" xr:uid="{281D1F52-CA87-455B-A618-390AACD98072}"/>
    <cellStyle name="Komma 8 2 2 3" xfId="49721" xr:uid="{5C8F197E-5FC3-4FAB-BA56-74930F3751D1}"/>
    <cellStyle name="Komma 8 2 3" xfId="48814" xr:uid="{04B5CC8B-3AF5-4696-BEE8-AF329B68A767}"/>
    <cellStyle name="Komma 8 2 4" xfId="49720" xr:uid="{F92B3295-E16E-4CEA-94AB-E408663DBFB6}"/>
    <cellStyle name="Komma 8 3" xfId="23967" xr:uid="{FABD3982-9B0A-44A2-A175-3C66DE247244}"/>
    <cellStyle name="Komma 8 3 2" xfId="23968" xr:uid="{CB5C3BAD-A20B-4725-BF57-D303109CD75C}"/>
    <cellStyle name="Komma 8 3 2 2" xfId="48817" xr:uid="{E065ADDE-5BA4-4835-9EC4-549A07DAD424}"/>
    <cellStyle name="Komma 8 3 2 3" xfId="49723" xr:uid="{A654F653-68A3-4DC8-A382-040FBF6B0E83}"/>
    <cellStyle name="Komma 8 3 3" xfId="48816" xr:uid="{55F8611C-7CA1-4307-A272-23FECC31E705}"/>
    <cellStyle name="Komma 8 3 4" xfId="49722" xr:uid="{C12A6FEB-9EF4-49D4-B7E4-2D9D523F3319}"/>
    <cellStyle name="Komma 8 4" xfId="23969" xr:uid="{19CF459C-5E1E-42FD-B95F-86A99E39E68F}"/>
    <cellStyle name="Komma 8 4 2" xfId="48818" xr:uid="{00C030B9-4C3D-4843-A6CF-755EA092A437}"/>
    <cellStyle name="Komma 8 4 3" xfId="49724" xr:uid="{67ACB8FE-328C-46E4-B3D2-A80CD46DC853}"/>
    <cellStyle name="Komma 8 5" xfId="48813" xr:uid="{A558B3CC-95B6-41B4-A3C5-7374A76F1E36}"/>
    <cellStyle name="Komma 8 6" xfId="49719" xr:uid="{5045F1C2-5EB8-4F97-AB6B-252D5E28F3AB}"/>
    <cellStyle name="Komma 9" xfId="23970" xr:uid="{6E9586EB-9DD9-4F28-8D97-9D8FF1299F62}"/>
    <cellStyle name="Komma 9 2" xfId="23971" xr:uid="{17A9B4AA-0B3A-40E0-B99C-893C9329299B}"/>
    <cellStyle name="Komma 9 2 2" xfId="48820" xr:uid="{6A6076D8-83CC-4041-A5DB-DC4850B7F4CD}"/>
    <cellStyle name="Komma 9 2 3" xfId="49726" xr:uid="{AC3051C1-BD80-45DB-89A3-2F217D3DDB21}"/>
    <cellStyle name="Komma 9 3" xfId="48819" xr:uid="{F6AD35DC-46ED-4B69-B763-8A284E57DB6F}"/>
    <cellStyle name="Komma 9 4" xfId="49725" xr:uid="{3FDA722E-38BE-4D44-B65D-461AA63DE35E}"/>
    <cellStyle name="Kontroller celle" xfId="1477" xr:uid="{00000000-0005-0000-0000-0000D2010000}"/>
    <cellStyle name="Kontroller celle 2" xfId="2815" xr:uid="{EF563239-A846-4A75-B4EB-742116F49614}"/>
    <cellStyle name="Link" xfId="17478" xr:uid="{0A51B8DE-0901-410F-8893-396FEFADF2B1}"/>
    <cellStyle name="Link 2" xfId="2816" xr:uid="{8FE95863-50C7-473F-BFE4-6B40BE51BFA1}"/>
    <cellStyle name="Link 2 2" xfId="23973" xr:uid="{55CA0FBE-D732-4608-96F0-01594653A610}"/>
    <cellStyle name="Link 2 3" xfId="23974" xr:uid="{20E6816A-2EE0-49C1-BDC4-DB3E1F67FA71}"/>
    <cellStyle name="Link 2 4" xfId="23975" xr:uid="{6AB095B5-8742-485F-9F54-3ADC912A2BF7}"/>
    <cellStyle name="Link 2 5" xfId="23976" xr:uid="{7CEED332-9645-4B2C-A838-51F4B87DD822}"/>
    <cellStyle name="Link 3" xfId="9109" xr:uid="{4565C5C8-8D68-4DD6-BC0B-4F68054D4FC6}"/>
    <cellStyle name="Link 3 2" xfId="23978" xr:uid="{A024A1F3-5B0F-41A3-8899-2EB0507C5093}"/>
    <cellStyle name="Link 4" xfId="23979" xr:uid="{73CCA873-0132-41F6-B715-8DDF5E3FEE9B}"/>
    <cellStyle name="Link 5" xfId="23980" xr:uid="{BB4F5403-ED06-4738-B868-1F5AD9B9BDC7}"/>
    <cellStyle name="Link 6" xfId="23981" xr:uid="{F96987CA-5841-417B-A86D-A86CD4267BEB}"/>
    <cellStyle name="Linked Cell 2" xfId="23982" xr:uid="{306710AB-47A4-4DF1-8BE0-264E4217601B}"/>
    <cellStyle name="Markeringsfarve1" xfId="1478" xr:uid="{00000000-0005-0000-0000-0000D3010000}"/>
    <cellStyle name="Markeringsfarve1 2" xfId="2817" xr:uid="{9174A573-A411-4F25-8E6E-D88B7A67C871}"/>
    <cellStyle name="Markeringsfarve2" xfId="1479" xr:uid="{00000000-0005-0000-0000-0000D4010000}"/>
    <cellStyle name="Markeringsfarve2 2" xfId="2818" xr:uid="{934FF41D-523B-4BF6-8FF2-6FEEE49E8FEE}"/>
    <cellStyle name="Markeringsfarve3" xfId="1480" xr:uid="{00000000-0005-0000-0000-0000D5010000}"/>
    <cellStyle name="Markeringsfarve3 2" xfId="2819" xr:uid="{4D22709D-6B1B-4EAC-853D-701431AF4CB1}"/>
    <cellStyle name="Markeringsfarve4" xfId="1481" xr:uid="{00000000-0005-0000-0000-0000D6010000}"/>
    <cellStyle name="Markeringsfarve4 2" xfId="2820" xr:uid="{A8D99893-C516-43AF-9013-B091C9E6945F}"/>
    <cellStyle name="Markeringsfarve5" xfId="1482" xr:uid="{00000000-0005-0000-0000-0000D7010000}"/>
    <cellStyle name="Markeringsfarve5 2" xfId="2821" xr:uid="{8403B1B9-6540-4934-87AF-75FA9FD50CB9}"/>
    <cellStyle name="Markeringsfarve6" xfId="1483" xr:uid="{00000000-0005-0000-0000-0000D8010000}"/>
    <cellStyle name="Markeringsfarve6 2" xfId="2822" xr:uid="{F09F4017-0BF0-41AE-BD29-43EEE77E5D56}"/>
    <cellStyle name="Migliaia [0] 10" xfId="243" xr:uid="{00000000-0005-0000-0000-0000D9010000}"/>
    <cellStyle name="Migliaia [0] 10 2" xfId="1484" xr:uid="{00000000-0005-0000-0000-0000DA010000}"/>
    <cellStyle name="Migliaia [0] 10 2 2" xfId="1485" xr:uid="{00000000-0005-0000-0000-0000DB010000}"/>
    <cellStyle name="Migliaia [0] 10 2 2 2" xfId="4551" xr:uid="{999B3FD6-67AE-44AB-907A-C4AFA58230E8}"/>
    <cellStyle name="Migliaia [0] 10 2 2 2 2" xfId="21722" xr:uid="{88FF259B-9516-4898-9338-0F8DDAACF31B}"/>
    <cellStyle name="Migliaia [0] 10 2 2 2 3" xfId="47908" xr:uid="{14F5871B-F3CC-4038-B363-8BC00CA4B78E}"/>
    <cellStyle name="Migliaia [0] 10 2 2 2 4" xfId="50750" xr:uid="{027201AF-44DA-4A43-BF48-D3CA5DD64216}"/>
    <cellStyle name="Migliaia [0] 10 2 2 2 5" xfId="53766" xr:uid="{ABE26B7D-3EBD-4032-B940-6E31D1814680}"/>
    <cellStyle name="Migliaia [0] 10 2 2 2 6" xfId="11713" xr:uid="{6DE73F8B-FFEB-4F17-8680-2EB6F6D619FA}"/>
    <cellStyle name="Migliaia [0] 10 2 2 3" xfId="2825" xr:uid="{4A2A0D4B-26C8-409B-862C-0C1DB0D91680}"/>
    <cellStyle name="Migliaia [0] 10 2 2 3 2" xfId="12359" xr:uid="{6EFCE08E-410A-4548-87C2-57E28AEC1C0A}"/>
    <cellStyle name="Migliaia [0] 10 2 2 4" xfId="10619" xr:uid="{DA389CF1-FA40-49A7-B77A-7D7FA06BED99}"/>
    <cellStyle name="Migliaia [0] 10 2 2 4 2" xfId="21254" xr:uid="{F240B5F3-761A-4BED-A808-C918E5CBB4EC}"/>
    <cellStyle name="Migliaia [0] 10 2 2 4 3" xfId="46161" xr:uid="{BB0C014C-096D-47F9-AFFB-FCD7A10A90A0}"/>
    <cellStyle name="Migliaia [0] 10 2 2 4 4" xfId="50269" xr:uid="{6F14E0BA-12C8-4C4A-A7E4-FB28C7DA425E}"/>
    <cellStyle name="Migliaia [0] 10 2 2 4 5" xfId="53285" xr:uid="{860A1E31-EFC3-44A6-BC91-F399E74D50F9}"/>
    <cellStyle name="Migliaia [0] 10 2 2 5" xfId="19504" xr:uid="{E6FBCAB8-60F9-44DF-BA20-002F2688FE77}"/>
    <cellStyle name="Migliaia [0] 10 2 2 6" xfId="23985" xr:uid="{2D7E598C-BA38-4693-887E-5D2534003D08}"/>
    <cellStyle name="Migliaia [0] 10 2 2 7" xfId="48821" xr:uid="{75A3F66D-7CED-4889-91FC-C73299755F2B}"/>
    <cellStyle name="Migliaia [0] 10 2 2 8" xfId="49727" xr:uid="{20FF7DE4-43E4-4796-B19F-2C92EDCB15B4}"/>
    <cellStyle name="Migliaia [0] 10 2 2 9" xfId="8427" xr:uid="{C6D476F6-2F38-41B9-8B4D-59378E0177FD}"/>
    <cellStyle name="Migliaia [0] 10 2 3" xfId="4550" xr:uid="{CA0CB759-0B9A-45D6-A0AE-2F917C5081E3}"/>
    <cellStyle name="Migliaia [0] 10 2 3 2" xfId="32733" xr:uid="{5626A5AD-2B33-4E30-A09F-5F72EAC4CB3F}"/>
    <cellStyle name="Migliaia [0] 10 2 3 2 2" xfId="38084" xr:uid="{DDFDC9F7-71CF-414C-A9F4-CF3A3C22BDDF}"/>
    <cellStyle name="Migliaia [0] 10 2 3 2 3" xfId="43386" xr:uid="{5E8F5ECB-3903-4531-AAEF-94CB2F70562A}"/>
    <cellStyle name="Migliaia [0] 10 2 3 3" xfId="35619" xr:uid="{B86983FA-AD49-4B82-9F07-469C278C5AE5}"/>
    <cellStyle name="Migliaia [0] 10 2 3 4" xfId="40735" xr:uid="{50978E45-1B73-42F5-B744-E40886DA0AE0}"/>
    <cellStyle name="Migliaia [0] 10 2 3 5" xfId="11714" xr:uid="{C7F83385-28B8-4B0B-ACB0-DC1E93976AC8}"/>
    <cellStyle name="Migliaia [0] 10 2 4" xfId="5831" xr:uid="{7AEB3FF7-432E-44AA-8172-CE9C777C0198}"/>
    <cellStyle name="Migliaia [0] 10 2 4 2" xfId="19503" xr:uid="{79F0B802-2C73-4EB8-ACD4-A093828450BE}"/>
    <cellStyle name="Migliaia [0] 10 2 5" xfId="2824" xr:uid="{56BAC4E8-C04D-4429-B195-E3FD40ABE7D3}"/>
    <cellStyle name="Migliaia [0] 10 2 5 2" xfId="23984" xr:uid="{F8462D53-4F88-45F5-951D-F72629C1D8D3}"/>
    <cellStyle name="Migliaia [0] 10 2 6" xfId="7237" xr:uid="{5BF25373-2736-4137-8FFF-FC687EB30CBC}"/>
    <cellStyle name="Migliaia [0] 10 3" xfId="1486" xr:uid="{00000000-0005-0000-0000-0000DC010000}"/>
    <cellStyle name="Migliaia [0] 10 3 2" xfId="4552" xr:uid="{E030A518-07C0-487F-9BD6-245C69FE5AA8}"/>
    <cellStyle name="Migliaia [0] 10 3 2 2" xfId="18302" xr:uid="{32603424-25C0-4E7A-B124-11D6318B7E9A}"/>
    <cellStyle name="Migliaia [0] 10 3 2 2 2" xfId="21723" xr:uid="{B55E9B35-D8D5-4425-888D-FC061736927C}"/>
    <cellStyle name="Migliaia [0] 10 3 2 2 2 2" xfId="38085" xr:uid="{53CBF2D1-AF5B-4943-B4CE-B4A4FF774E89}"/>
    <cellStyle name="Migliaia [0] 10 3 2 2 3" xfId="43387" xr:uid="{A025FC7B-4049-4A56-96BB-88731E50AEA7}"/>
    <cellStyle name="Migliaia [0] 10 3 2 2 4" xfId="32734" xr:uid="{1C46630B-6798-4381-8381-D5130AEA195D}"/>
    <cellStyle name="Migliaia [0] 10 3 2 3" xfId="35620" xr:uid="{9EDC6265-693B-4332-B40D-DDB676E0F40F}"/>
    <cellStyle name="Migliaia [0] 10 3 2 4" xfId="40736" xr:uid="{B3DF3B86-EFB9-4C5B-92CD-47436DC69C6C}"/>
    <cellStyle name="Migliaia [0] 10 3 2 5" xfId="25138" xr:uid="{D77F61D1-618C-40A8-B4A6-92508FABC97C}"/>
    <cellStyle name="Migliaia [0] 10 3 2 6" xfId="50751" xr:uid="{FF83ED88-1DBC-43C2-BE46-51E60A675DF8}"/>
    <cellStyle name="Migliaia [0] 10 3 2 7" xfId="53767" xr:uid="{C6E4B7EF-3ACC-45CC-8C6B-F1CCD52A869E}"/>
    <cellStyle name="Migliaia [0] 10 3 2 8" xfId="17578" xr:uid="{EB7A93AF-C30D-41D9-BA60-1F204A59136F}"/>
    <cellStyle name="Migliaia [0] 10 3 2 9" xfId="11715" xr:uid="{8EDB09B1-09F0-4999-931E-E1783FB289F6}"/>
    <cellStyle name="Migliaia [0] 10 3 3" xfId="5832" xr:uid="{A664D942-F57E-411A-83AD-BBFC362ADD73}"/>
    <cellStyle name="Migliaia [0] 10 3 3 2" xfId="12388" xr:uid="{375ADC1E-238A-47BF-86D3-A0AD03D2FEB5}"/>
    <cellStyle name="Migliaia [0] 10 3 4" xfId="2826" xr:uid="{47FA5C3F-DCD9-4510-BDA4-730F76541B70}"/>
    <cellStyle name="Migliaia [0] 10 3 4 2" xfId="21255" xr:uid="{6E92C856-AB1D-4C88-B067-614861E62CFD}"/>
    <cellStyle name="Migliaia [0] 10 3 4 3" xfId="33094" xr:uid="{30B05481-11B5-4059-A147-A97427969A1C}"/>
    <cellStyle name="Migliaia [0] 10 3 4 4" xfId="50270" xr:uid="{728DC9DE-EAF2-4285-A5BA-20B8AA5B571E}"/>
    <cellStyle name="Migliaia [0] 10 3 4 5" xfId="53286" xr:uid="{68A4F107-607B-46AB-BCCB-D8C56ACF1D40}"/>
    <cellStyle name="Migliaia [0] 10 3 4 6" xfId="10620" xr:uid="{E3673C0C-EDD6-4400-A49A-54ECA7F226A4}"/>
    <cellStyle name="Migliaia [0] 10 3 5" xfId="19505" xr:uid="{75B72AF4-049B-497F-82FA-CBA905F7FE88}"/>
    <cellStyle name="Migliaia [0] 10 3 6" xfId="23986" xr:uid="{8EAC935D-6239-440A-924B-AD0BB9CD3FF7}"/>
    <cellStyle name="Migliaia [0] 10 3 7" xfId="8185" xr:uid="{3F69B0C8-6595-4716-AAAC-8FBDC3B88228}"/>
    <cellStyle name="Migliaia [0] 10 4" xfId="2827" xr:uid="{7CB6AC36-41A6-4376-BA12-9F99B415003A}"/>
    <cellStyle name="Migliaia [0] 10 4 2" xfId="4553" xr:uid="{42CAF7B4-D30F-4275-97DC-72D8FD76F764}"/>
    <cellStyle name="Migliaia [0] 10 4 2 2" xfId="35070" xr:uid="{0203F989-F9A5-41FB-B4F3-677823A5A27C}"/>
    <cellStyle name="Migliaia [0] 10 4 2 2 2" xfId="40228" xr:uid="{BC420652-3EA6-45BA-B0E0-D028B556FF45}"/>
    <cellStyle name="Migliaia [0] 10 4 2 2 3" xfId="45530" xr:uid="{8C2A7826-2D03-469D-A662-6FA29887FCA9}"/>
    <cellStyle name="Migliaia [0] 10 4 2 3" xfId="37577" xr:uid="{1EBE42A6-57D0-4799-8762-46104B6E3E26}"/>
    <cellStyle name="Migliaia [0] 10 4 2 4" xfId="42879" xr:uid="{F0A2A182-72B8-4050-B3DF-40E13DA82845}"/>
    <cellStyle name="Migliaia [0] 10 4 2 5" xfId="17010" xr:uid="{9B45364C-8140-4302-A772-5A7D562A9FCB}"/>
    <cellStyle name="Migliaia [0] 10 4 3" xfId="5833" xr:uid="{9D19FBA8-D655-4015-8F82-2F1261C500C5}"/>
    <cellStyle name="Migliaia [0] 10 4 3 2" xfId="38086" xr:uid="{9BF09399-8D8F-4B13-9B46-01F42D376C54}"/>
    <cellStyle name="Migliaia [0] 10 4 3 3" xfId="43388" xr:uid="{9D415892-79A2-45DB-B514-07D9B44BEE08}"/>
    <cellStyle name="Migliaia [0] 10 4 3 4" xfId="32735" xr:uid="{1B66F756-07E5-4EDF-9D85-F83675B47CEB}"/>
    <cellStyle name="Migliaia [0] 10 4 3 5" xfId="19506" xr:uid="{E4192D5D-7313-456D-A2A1-CD8FFFAE5307}"/>
    <cellStyle name="Migliaia [0] 10 4 4" xfId="35621" xr:uid="{8F5FD01F-9208-4CA4-B825-463092DB04A5}"/>
    <cellStyle name="Migliaia [0] 10 4 5" xfId="40737" xr:uid="{25D40F3C-120D-476E-8937-C49091570518}"/>
    <cellStyle name="Migliaia [0] 10 4 6" xfId="15952" xr:uid="{23E03374-7AB0-4764-A3F7-719C8C52A3EF}"/>
    <cellStyle name="Migliaia [0] 10 4 7" xfId="7765" xr:uid="{6474B145-34F5-4874-9E7D-64DD6D38D430}"/>
    <cellStyle name="Migliaia [0] 10 5" xfId="4549" xr:uid="{BCEB1AC9-0C9F-4486-8C45-0A9276028903}"/>
    <cellStyle name="Migliaia [0] 10 5 2" xfId="32736" xr:uid="{8FBD2449-E8B8-4B3B-821F-CEE83F84C65C}"/>
    <cellStyle name="Migliaia [0] 10 5 2 2" xfId="38087" xr:uid="{81CF2E92-2BBE-4950-876F-EF5DD1C8371B}"/>
    <cellStyle name="Migliaia [0] 10 5 2 3" xfId="43389" xr:uid="{3DA72E82-13BC-4717-B1BE-E5A774F18128}"/>
    <cellStyle name="Migliaia [0] 10 5 3" xfId="35622" xr:uid="{A817DF38-282D-44E1-B3C5-A38B4DCD9CA9}"/>
    <cellStyle name="Migliaia [0] 10 5 4" xfId="40738" xr:uid="{AA5237BF-EAB2-40FB-8392-1FE748E52317}"/>
    <cellStyle name="Migliaia [0] 10 5 5" xfId="17079" xr:uid="{F4A2546B-BD34-47F8-B6DA-068ABB41E019}"/>
    <cellStyle name="Migliaia [0] 10 6" xfId="5830" xr:uid="{13C84C13-B035-47AE-AFE6-38877BACBA26}"/>
    <cellStyle name="Migliaia [0] 10 6 2" xfId="38083" xr:uid="{D01AEB97-B037-4193-9858-6300C14F9137}"/>
    <cellStyle name="Migliaia [0] 10 6 3" xfId="43385" xr:uid="{6D835CC4-D0A6-45B6-8813-C8D2D6326CE7}"/>
    <cellStyle name="Migliaia [0] 10 6 4" xfId="32732" xr:uid="{984B2C36-D113-40AD-8DD8-48E32317A54F}"/>
    <cellStyle name="Migliaia [0] 10 6 5" xfId="19502" xr:uid="{81453B89-2FAE-443C-A0D8-5E180877A01E}"/>
    <cellStyle name="Migliaia [0] 10 7" xfId="2823" xr:uid="{61A91452-1E55-4A98-80FE-70069A3AE398}"/>
    <cellStyle name="Migliaia [0] 10 7 2" xfId="35618" xr:uid="{AB44F613-8D51-47F8-B25A-69BCCF9EC97F}"/>
    <cellStyle name="Migliaia [0] 10 8" xfId="40734" xr:uid="{02F87CE4-AF30-44A5-A095-E62CF7C7B86A}"/>
    <cellStyle name="Migliaia [0] 10 9" xfId="6986" xr:uid="{E08FF961-AC1F-4055-AA16-955B75A8367A}"/>
    <cellStyle name="Migliaia [0] 11" xfId="244" xr:uid="{00000000-0005-0000-0000-0000DD010000}"/>
    <cellStyle name="Migliaia [0] 11 2" xfId="1487" xr:uid="{00000000-0005-0000-0000-0000DE010000}"/>
    <cellStyle name="Migliaia [0] 11 2 2" xfId="1488" xr:uid="{00000000-0005-0000-0000-0000DF010000}"/>
    <cellStyle name="Migliaia [0] 11 2 2 2" xfId="4556" xr:uid="{23E24C56-AEA8-4643-B43E-3036F456A968}"/>
    <cellStyle name="Migliaia [0] 11 2 2 2 2" xfId="21724" xr:uid="{59264761-ABB9-483E-85AF-FDAC3FFC8BD5}"/>
    <cellStyle name="Migliaia [0] 11 2 2 2 3" xfId="47812" xr:uid="{D68201A6-9C51-4FD5-B049-A16D6B2B8BE7}"/>
    <cellStyle name="Migliaia [0] 11 2 2 2 4" xfId="50752" xr:uid="{D7E08D1A-00BF-45AD-8C37-36B9E620974C}"/>
    <cellStyle name="Migliaia [0] 11 2 2 2 5" xfId="53768" xr:uid="{62BFE074-3374-44BB-90F9-07E0D5934BF0}"/>
    <cellStyle name="Migliaia [0] 11 2 2 2 6" xfId="11716" xr:uid="{01604F2D-ABF8-4F7B-B13D-E48DE27C1B58}"/>
    <cellStyle name="Migliaia [0] 11 2 2 3" xfId="2830" xr:uid="{764840E9-B2A5-47C9-96B6-BF71D57B73E0}"/>
    <cellStyle name="Migliaia [0] 11 2 2 3 2" xfId="12187" xr:uid="{301D48AF-0F35-4158-AAB6-BC1717B77763}"/>
    <cellStyle name="Migliaia [0] 11 2 2 4" xfId="10621" xr:uid="{496B0F99-36AE-45A7-8F12-9C2E2C4B6742}"/>
    <cellStyle name="Migliaia [0] 11 2 2 4 2" xfId="21256" xr:uid="{942DFF25-3718-4F85-8AB0-501A2CE9382D}"/>
    <cellStyle name="Migliaia [0] 11 2 2 4 3" xfId="46162" xr:uid="{EA675B6C-8892-4487-8DEE-792947EEF3E6}"/>
    <cellStyle name="Migliaia [0] 11 2 2 4 4" xfId="50271" xr:uid="{40E9D9AF-D88A-4769-984D-F50D3F80260F}"/>
    <cellStyle name="Migliaia [0] 11 2 2 4 5" xfId="53287" xr:uid="{10C293B6-1E94-4D08-AA33-0DCBF81FC23A}"/>
    <cellStyle name="Migliaia [0] 11 2 2 5" xfId="19509" xr:uid="{32CAEAF4-C108-4C5E-8E47-7940C84A1D4D}"/>
    <cellStyle name="Migliaia [0] 11 2 2 6" xfId="23990" xr:uid="{862203CA-B2D6-4C82-887C-809FCC27D248}"/>
    <cellStyle name="Migliaia [0] 11 2 2 7" xfId="48822" xr:uid="{2A388936-ACF8-4A1B-9D17-E51B1BC9A319}"/>
    <cellStyle name="Migliaia [0] 11 2 2 8" xfId="49728" xr:uid="{A514DFD4-5663-445B-9F44-4730C277F543}"/>
    <cellStyle name="Migliaia [0] 11 2 2 9" xfId="8428" xr:uid="{2E4FBF28-B65A-4074-A954-4745ECF71553}"/>
    <cellStyle name="Migliaia [0] 11 2 3" xfId="4555" xr:uid="{493F877F-2E9F-4705-ACED-B510ADEFCC3A}"/>
    <cellStyle name="Migliaia [0] 11 2 3 2" xfId="32738" xr:uid="{DFC9CE0D-977F-4431-8184-ED9E96CD1E7F}"/>
    <cellStyle name="Migliaia [0] 11 2 3 2 2" xfId="38089" xr:uid="{F7217520-C4FC-4661-AB42-2EDEFBA1D975}"/>
    <cellStyle name="Migliaia [0] 11 2 3 2 3" xfId="43391" xr:uid="{45E2CC32-0E4C-46A0-9287-09321FA439E7}"/>
    <cellStyle name="Migliaia [0] 11 2 3 3" xfId="35624" xr:uid="{6EC3EFFF-3E4B-4C5E-8D75-00C218342A8F}"/>
    <cellStyle name="Migliaia [0] 11 2 3 4" xfId="40740" xr:uid="{A76DFA3D-6318-47E3-8689-43019C1015F9}"/>
    <cellStyle name="Migliaia [0] 11 2 3 5" xfId="11717" xr:uid="{E1E6FC8B-E92A-4E34-A961-521912063968}"/>
    <cellStyle name="Migliaia [0] 11 2 4" xfId="5835" xr:uid="{CE80F89E-96EC-4755-ABBD-25897286F924}"/>
    <cellStyle name="Migliaia [0] 11 2 4 2" xfId="19508" xr:uid="{EC8CD040-248E-447A-80A0-7C659D2BF32B}"/>
    <cellStyle name="Migliaia [0] 11 2 5" xfId="2829" xr:uid="{E593B6A2-C878-4D71-9452-E4317F029FF2}"/>
    <cellStyle name="Migliaia [0] 11 2 5 2" xfId="23989" xr:uid="{639FCF0F-1CCF-4593-97CF-D4749EBF89DF}"/>
    <cellStyle name="Migliaia [0] 11 2 6" xfId="7238" xr:uid="{C14CBBC9-E9FA-49AA-86EC-E2B22A0C09C1}"/>
    <cellStyle name="Migliaia [0] 11 3" xfId="1489" xr:uid="{00000000-0005-0000-0000-0000E0010000}"/>
    <cellStyle name="Migliaia [0] 11 3 2" xfId="4557" xr:uid="{4F45E4F8-7A27-4FC4-9579-672B92584CD5}"/>
    <cellStyle name="Migliaia [0] 11 3 2 2" xfId="18303" xr:uid="{09E64380-6CCA-4A63-9101-AFD1AD3B3E8E}"/>
    <cellStyle name="Migliaia [0] 11 3 2 2 2" xfId="21725" xr:uid="{E58DEF30-8078-48D5-B61B-41FDDCFBDFD3}"/>
    <cellStyle name="Migliaia [0] 11 3 2 2 2 2" xfId="38090" xr:uid="{3CBA23F5-D233-4B3B-B82F-6023AE2B1F26}"/>
    <cellStyle name="Migliaia [0] 11 3 2 2 3" xfId="43392" xr:uid="{293A6D71-350E-4377-B2DE-7C6929045628}"/>
    <cellStyle name="Migliaia [0] 11 3 2 2 4" xfId="32739" xr:uid="{6D3F1EC3-29C3-4901-AC0E-2182F0206ECE}"/>
    <cellStyle name="Migliaia [0] 11 3 2 3" xfId="35625" xr:uid="{F7AE41D5-8767-4FD6-9DFC-83022328024B}"/>
    <cellStyle name="Migliaia [0] 11 3 2 4" xfId="40741" xr:uid="{57F18934-5F7B-4EBF-924D-454182003AFD}"/>
    <cellStyle name="Migliaia [0] 11 3 2 5" xfId="48041" xr:uid="{1A8B819F-731C-45C0-82E0-F8814C0E01E1}"/>
    <cellStyle name="Migliaia [0] 11 3 2 6" xfId="50753" xr:uid="{E2D2D743-5E82-4FF1-9423-C97C93B4DE64}"/>
    <cellStyle name="Migliaia [0] 11 3 2 7" xfId="53769" xr:uid="{0C24C65F-3CF1-46AB-85A8-0C0FEAE0A30C}"/>
    <cellStyle name="Migliaia [0] 11 3 2 8" xfId="17579" xr:uid="{F37EA7CF-8F4F-4B27-A940-4AE56FEECBA5}"/>
    <cellStyle name="Migliaia [0] 11 3 2 9" xfId="11718" xr:uid="{68BB5301-97C8-4603-B742-45AF7AB019E0}"/>
    <cellStyle name="Migliaia [0] 11 3 3" xfId="5836" xr:uid="{9E6DAAAF-7D03-4C4F-A45C-FB356F2B8D6F}"/>
    <cellStyle name="Migliaia [0] 11 3 3 2" xfId="12387" xr:uid="{51E193AB-6371-411A-AEA3-A405E11BF761}"/>
    <cellStyle name="Migliaia [0] 11 3 4" xfId="2831" xr:uid="{0CA9844A-4371-4CB6-9E73-D18C81EB3EB8}"/>
    <cellStyle name="Migliaia [0] 11 3 4 2" xfId="21257" xr:uid="{EDEC153A-F870-4031-990C-4EB2B66A414D}"/>
    <cellStyle name="Migliaia [0] 11 3 4 3" xfId="47070" xr:uid="{87FD6517-FE96-42F6-B74F-6FDB8A0A0CB7}"/>
    <cellStyle name="Migliaia [0] 11 3 4 4" xfId="50272" xr:uid="{73982BB7-078A-434A-92A8-B920C018F3E3}"/>
    <cellStyle name="Migliaia [0] 11 3 4 5" xfId="53288" xr:uid="{B3B50D06-DB39-411B-AD52-7AF32E822727}"/>
    <cellStyle name="Migliaia [0] 11 3 4 6" xfId="10622" xr:uid="{592F767C-1C40-42B1-A533-E1CBD15B33FB}"/>
    <cellStyle name="Migliaia [0] 11 3 5" xfId="19510" xr:uid="{54BF0388-1414-42B4-AE44-68BE58322081}"/>
    <cellStyle name="Migliaia [0] 11 3 6" xfId="23991" xr:uid="{AD4A1204-D213-41DE-B28F-09437049005E}"/>
    <cellStyle name="Migliaia [0] 11 3 7" xfId="8186" xr:uid="{6DF17F47-207B-4838-B6C7-9006DEFAB58E}"/>
    <cellStyle name="Migliaia [0] 11 4" xfId="2832" xr:uid="{2F2731B5-BD61-4E8F-B816-BDA9DBB55759}"/>
    <cellStyle name="Migliaia [0] 11 4 2" xfId="4558" xr:uid="{8544E5B5-9610-4D5E-A25A-031A731D95BD}"/>
    <cellStyle name="Migliaia [0] 11 4 2 2" xfId="35071" xr:uid="{67DB0429-CCEE-4583-B5CD-37F905DC0E4B}"/>
    <cellStyle name="Migliaia [0] 11 4 2 2 2" xfId="40229" xr:uid="{D765A415-7CDC-4FFF-A69B-6EAFFCF4E67E}"/>
    <cellStyle name="Migliaia [0] 11 4 2 2 3" xfId="45531" xr:uid="{934C9767-4A86-4EDE-9AD5-DECDEFF71955}"/>
    <cellStyle name="Migliaia [0] 11 4 2 3" xfId="37578" xr:uid="{E18E2008-CA7E-4B04-AAA0-CC517EFA28E2}"/>
    <cellStyle name="Migliaia [0] 11 4 2 4" xfId="42880" xr:uid="{F586F849-ABAF-4A32-8281-41B62293C7E0}"/>
    <cellStyle name="Migliaia [0] 11 4 2 5" xfId="17011" xr:uid="{73C72A76-2D87-43FC-8B4F-212ABC80AAC9}"/>
    <cellStyle name="Migliaia [0] 11 4 3" xfId="5837" xr:uid="{7C2C0142-35DD-4656-97ED-44B09C2560A4}"/>
    <cellStyle name="Migliaia [0] 11 4 3 2" xfId="38091" xr:uid="{E11DAC6C-636C-4B2A-A58B-765591CBC6B9}"/>
    <cellStyle name="Migliaia [0] 11 4 3 3" xfId="43393" xr:uid="{9EB3241F-49AD-406A-A470-AB2994A828A1}"/>
    <cellStyle name="Migliaia [0] 11 4 3 4" xfId="32740" xr:uid="{9E12FBCB-4D52-4954-9541-E2F062857A96}"/>
    <cellStyle name="Migliaia [0] 11 4 3 5" xfId="19511" xr:uid="{7B1E7D23-A6A8-4518-8942-5F5EDD428ABD}"/>
    <cellStyle name="Migliaia [0] 11 4 4" xfId="35626" xr:uid="{B5848ED3-5E11-41E9-B88C-F7FDA1A5022C}"/>
    <cellStyle name="Migliaia [0] 11 4 5" xfId="40742" xr:uid="{891D0BC9-7FC2-4058-993D-B7C632B8A36C}"/>
    <cellStyle name="Migliaia [0] 11 4 6" xfId="15953" xr:uid="{3E220F18-4C81-4657-9E80-07F6F16D1153}"/>
    <cellStyle name="Migliaia [0] 11 4 7" xfId="7766" xr:uid="{067A2235-FA15-41A1-BEA7-A1153E6956F4}"/>
    <cellStyle name="Migliaia [0] 11 5" xfId="4554" xr:uid="{DFEB13CA-4012-4558-A3E4-8DFCB6B4784B}"/>
    <cellStyle name="Migliaia [0] 11 5 2" xfId="32741" xr:uid="{7B0FFA3A-80D7-46A2-BD4E-EDF2F2D7FCF7}"/>
    <cellStyle name="Migliaia [0] 11 5 2 2" xfId="38092" xr:uid="{24C7AB53-9D67-4EB1-AA5C-37847DB16385}"/>
    <cellStyle name="Migliaia [0] 11 5 2 3" xfId="43394" xr:uid="{022D26D2-2285-4EE4-8000-2B00F7806CC1}"/>
    <cellStyle name="Migliaia [0] 11 5 3" xfId="35627" xr:uid="{260E286C-4C73-4767-BA57-960BBB019ECA}"/>
    <cellStyle name="Migliaia [0] 11 5 4" xfId="40743" xr:uid="{CFF6DFE9-563C-437F-BCC9-3F4A63DEB14E}"/>
    <cellStyle name="Migliaia [0] 11 5 5" xfId="17080" xr:uid="{B97CB089-D2B3-4521-8093-0F9C7A7C25CB}"/>
    <cellStyle name="Migliaia [0] 11 6" xfId="5834" xr:uid="{F191B135-8A2F-4D89-8C7E-3B7E08CB70FB}"/>
    <cellStyle name="Migliaia [0] 11 6 2" xfId="38088" xr:uid="{95D28DEB-BB54-4B22-8389-1B31741C8BE8}"/>
    <cellStyle name="Migliaia [0] 11 6 3" xfId="43390" xr:uid="{29BE119B-C6AE-4B50-A6FA-FE89BB0C1517}"/>
    <cellStyle name="Migliaia [0] 11 6 4" xfId="32737" xr:uid="{D04CD689-0E08-45D9-AB6F-304A820773F9}"/>
    <cellStyle name="Migliaia [0] 11 6 5" xfId="19507" xr:uid="{7C21942A-8C7E-4C52-9E89-C5010238BE3A}"/>
    <cellStyle name="Migliaia [0] 11 7" xfId="2828" xr:uid="{58B0FE29-850A-4580-97E4-0F16E310B732}"/>
    <cellStyle name="Migliaia [0] 11 7 2" xfId="35623" xr:uid="{399ECD98-AF54-4F35-B9B4-5263AD650D82}"/>
    <cellStyle name="Migliaia [0] 11 8" xfId="40739" xr:uid="{AE83EADC-09B2-4092-A9AD-9068511853F6}"/>
    <cellStyle name="Migliaia [0] 11 9" xfId="6987" xr:uid="{38547FD6-10E9-48D5-AB9B-35BC9CDBA81A}"/>
    <cellStyle name="Migliaia [0] 12" xfId="245" xr:uid="{00000000-0005-0000-0000-0000E1010000}"/>
    <cellStyle name="Migliaia [0] 12 2" xfId="1490" xr:uid="{00000000-0005-0000-0000-0000E2010000}"/>
    <cellStyle name="Migliaia [0] 12 2 2" xfId="1491" xr:uid="{00000000-0005-0000-0000-0000E3010000}"/>
    <cellStyle name="Migliaia [0] 12 2 2 2" xfId="4561" xr:uid="{10A5570A-6DB3-4D72-954F-5F02503D261A}"/>
    <cellStyle name="Migliaia [0] 12 2 2 2 2" xfId="21726" xr:uid="{312674E8-83E4-4EAC-8507-FC39B1DC6FA0}"/>
    <cellStyle name="Migliaia [0] 12 2 2 2 3" xfId="48482" xr:uid="{9286573A-3570-44DF-9833-70E41F870C9E}"/>
    <cellStyle name="Migliaia [0] 12 2 2 2 4" xfId="50754" xr:uid="{796AB16E-8734-4751-9E94-55FAB8B83DF8}"/>
    <cellStyle name="Migliaia [0] 12 2 2 2 5" xfId="53770" xr:uid="{D15ED7BB-CF80-4BDF-8DCD-02DB71B37271}"/>
    <cellStyle name="Migliaia [0] 12 2 2 2 6" xfId="11719" xr:uid="{E4A34C93-F4D9-4AA3-A838-ACFD196DB5B6}"/>
    <cellStyle name="Migliaia [0] 12 2 2 3" xfId="2835" xr:uid="{531F8008-F03F-46E7-95F0-49C85054C880}"/>
    <cellStyle name="Migliaia [0] 12 2 2 3 2" xfId="11550" xr:uid="{01A78761-5E8C-4054-A35A-7C0207F95ABF}"/>
    <cellStyle name="Migliaia [0] 12 2 2 4" xfId="10623" xr:uid="{F04DF626-4091-4FC4-938B-AFAFC69B0D7D}"/>
    <cellStyle name="Migliaia [0] 12 2 2 4 2" xfId="21258" xr:uid="{3F28FE20-8B5F-426A-A222-7085AB5BE8E2}"/>
    <cellStyle name="Migliaia [0] 12 2 2 4 3" xfId="46163" xr:uid="{E3FE9A07-1294-43B5-828F-508A3838E030}"/>
    <cellStyle name="Migliaia [0] 12 2 2 4 4" xfId="50273" xr:uid="{D898A422-ABAF-472B-BC6C-8F19ED2BE4B4}"/>
    <cellStyle name="Migliaia [0] 12 2 2 4 5" xfId="53289" xr:uid="{BB3C2FEF-33AC-4769-A323-65DBCC6085D4}"/>
    <cellStyle name="Migliaia [0] 12 2 2 5" xfId="19514" xr:uid="{8577F54C-5695-41A5-A523-699C96D5B3AC}"/>
    <cellStyle name="Migliaia [0] 12 2 2 6" xfId="23995" xr:uid="{E674F004-7ACF-4D36-8B0F-091C3CC69618}"/>
    <cellStyle name="Migliaia [0] 12 2 2 7" xfId="48823" xr:uid="{6E2459DA-D245-4A14-B85C-05D758E91B04}"/>
    <cellStyle name="Migliaia [0] 12 2 2 8" xfId="49729" xr:uid="{0C3F1757-98BA-42B4-9358-9FCA3C27B5E8}"/>
    <cellStyle name="Migliaia [0] 12 2 2 9" xfId="8429" xr:uid="{EE606C00-A3AE-4F37-B2A9-FA0B25ECED00}"/>
    <cellStyle name="Migliaia [0] 12 2 3" xfId="4560" xr:uid="{EC24913A-74EC-4D9B-8800-6114077B579C}"/>
    <cellStyle name="Migliaia [0] 12 2 3 2" xfId="32743" xr:uid="{8A134422-01B6-4F6C-83B4-680EEAFCDDB1}"/>
    <cellStyle name="Migliaia [0] 12 2 3 2 2" xfId="38094" xr:uid="{D3234E57-20EC-4152-A0A4-64D5A50BA9A8}"/>
    <cellStyle name="Migliaia [0] 12 2 3 2 3" xfId="43396" xr:uid="{51AB5F9A-065E-4F5C-8FE8-7B0E6C7EB83A}"/>
    <cellStyle name="Migliaia [0] 12 2 3 3" xfId="35629" xr:uid="{B4222F0D-0363-4A26-9A82-1EB87726368C}"/>
    <cellStyle name="Migliaia [0] 12 2 3 4" xfId="40745" xr:uid="{D3016EE9-1532-4C27-AB9A-D4732A6D52C5}"/>
    <cellStyle name="Migliaia [0] 12 2 3 5" xfId="11720" xr:uid="{1B522BB0-2759-43B2-8A9F-95CAA6FCBBF2}"/>
    <cellStyle name="Migliaia [0] 12 2 4" xfId="5839" xr:uid="{FAB03C12-8009-4821-8474-7E56BB49616C}"/>
    <cellStyle name="Migliaia [0] 12 2 4 2" xfId="19513" xr:uid="{11A29F8F-8377-46F1-863D-23F38725A659}"/>
    <cellStyle name="Migliaia [0] 12 2 5" xfId="2834" xr:uid="{991B8689-4909-4645-A50A-0CE6E70C88F2}"/>
    <cellStyle name="Migliaia [0] 12 2 5 2" xfId="23994" xr:uid="{C837F339-0469-4A79-AA58-D11635802C36}"/>
    <cellStyle name="Migliaia [0] 12 2 6" xfId="7239" xr:uid="{CE080944-5604-452B-B697-86285E33C36C}"/>
    <cellStyle name="Migliaia [0] 12 3" xfId="1492" xr:uid="{00000000-0005-0000-0000-0000E4010000}"/>
    <cellStyle name="Migliaia [0] 12 3 2" xfId="4562" xr:uid="{9B8EFC47-D882-4B05-9B6B-3048D7C90C16}"/>
    <cellStyle name="Migliaia [0] 12 3 2 2" xfId="18304" xr:uid="{B9106936-4F54-4891-B3B3-7FFDEBE21988}"/>
    <cellStyle name="Migliaia [0] 12 3 2 2 2" xfId="21727" xr:uid="{39592346-4631-4797-8A16-514297F15D7D}"/>
    <cellStyle name="Migliaia [0] 12 3 2 2 2 2" xfId="38095" xr:uid="{9F66644D-3ED7-4E3F-AABF-35395D4FB514}"/>
    <cellStyle name="Migliaia [0] 12 3 2 2 3" xfId="43397" xr:uid="{14ECD713-CE7C-4565-A5C1-4F1DA792CB7C}"/>
    <cellStyle name="Migliaia [0] 12 3 2 2 4" xfId="32744" xr:uid="{F2AA1D52-DA13-4FFA-B7A7-745A27D6302D}"/>
    <cellStyle name="Migliaia [0] 12 3 2 3" xfId="35630" xr:uid="{4B4D9441-2E77-448C-AA0A-AE7F7179F265}"/>
    <cellStyle name="Migliaia [0] 12 3 2 4" xfId="40746" xr:uid="{EA904707-BDCC-4381-A52C-D70C5CD183BF}"/>
    <cellStyle name="Migliaia [0] 12 3 2 5" xfId="32439" xr:uid="{95B64247-B9BC-4D05-A0B5-E4B543CC9E77}"/>
    <cellStyle name="Migliaia [0] 12 3 2 6" xfId="50755" xr:uid="{C0289138-5744-4E63-A83E-21318387986A}"/>
    <cellStyle name="Migliaia [0] 12 3 2 7" xfId="53771" xr:uid="{BEE6C16C-5CD6-49A7-80DA-E1B66BE788DE}"/>
    <cellStyle name="Migliaia [0] 12 3 2 8" xfId="17580" xr:uid="{60528423-7AA3-4ACD-9482-3954D35FCAE9}"/>
    <cellStyle name="Migliaia [0] 12 3 2 9" xfId="11721" xr:uid="{E8C7B4F5-8F06-4F33-BCF0-800C6CF6810C}"/>
    <cellStyle name="Migliaia [0] 12 3 3" xfId="5840" xr:uid="{303721FE-7B31-4311-B01E-B04D41D6AC62}"/>
    <cellStyle name="Migliaia [0] 12 3 3 2" xfId="11664" xr:uid="{2AA52962-801B-4F8B-8E90-A078EDD4C985}"/>
    <cellStyle name="Migliaia [0] 12 3 4" xfId="2836" xr:uid="{7B69FA74-4B5B-487B-AA7E-0745D5A5CF56}"/>
    <cellStyle name="Migliaia [0] 12 3 4 2" xfId="21259" xr:uid="{00487C59-AB9B-46FE-90F5-3943CADA93EB}"/>
    <cellStyle name="Migliaia [0] 12 3 4 3" xfId="46164" xr:uid="{9CB3F2D8-10AD-40F4-AC9F-5A90A9A43528}"/>
    <cellStyle name="Migliaia [0] 12 3 4 4" xfId="50274" xr:uid="{500B735A-5D07-4ADE-A804-0F2A1823B0A2}"/>
    <cellStyle name="Migliaia [0] 12 3 4 5" xfId="53290" xr:uid="{A50CFA90-1040-4BDA-AF2F-77B3BD426ECD}"/>
    <cellStyle name="Migliaia [0] 12 3 4 6" xfId="10624" xr:uid="{AE910FD3-9F5D-45C4-B560-1BB76C9EEE30}"/>
    <cellStyle name="Migliaia [0] 12 3 5" xfId="19515" xr:uid="{1AA380B3-D41C-4F19-B82E-E71566B44313}"/>
    <cellStyle name="Migliaia [0] 12 3 6" xfId="23997" xr:uid="{7752C9CE-7E27-4D1D-86FB-0F861E969802}"/>
    <cellStyle name="Migliaia [0] 12 3 7" xfId="8187" xr:uid="{74C8D24A-022B-4DCE-B8E5-D312840EBE1C}"/>
    <cellStyle name="Migliaia [0] 12 4" xfId="2837" xr:uid="{3B749466-A29E-4335-A3B7-3D4672B57B9A}"/>
    <cellStyle name="Migliaia [0] 12 4 2" xfId="4563" xr:uid="{C7753B1D-1C34-4A30-B14C-36F3682D889B}"/>
    <cellStyle name="Migliaia [0] 12 4 2 2" xfId="35072" xr:uid="{5ED4E584-6050-4F3F-A86C-E514DF89B635}"/>
    <cellStyle name="Migliaia [0] 12 4 2 2 2" xfId="40230" xr:uid="{398FE18B-E345-4A8F-8A39-A4171490C20D}"/>
    <cellStyle name="Migliaia [0] 12 4 2 2 3" xfId="45532" xr:uid="{350A72E1-81DB-4606-8B1B-B3F3EB1316D1}"/>
    <cellStyle name="Migliaia [0] 12 4 2 3" xfId="37579" xr:uid="{423FC20E-1C11-4673-B4F3-FDF719ED2617}"/>
    <cellStyle name="Migliaia [0] 12 4 2 4" xfId="42881" xr:uid="{C40BF727-16BD-4BCA-AFD9-3A777F31C4D8}"/>
    <cellStyle name="Migliaia [0] 12 4 2 5" xfId="17012" xr:uid="{1322B188-635D-41D8-A4F3-C00396C5EEB7}"/>
    <cellStyle name="Migliaia [0] 12 4 3" xfId="5841" xr:uid="{F7D59A87-2DA1-43DE-A02C-8853FA03EBC5}"/>
    <cellStyle name="Migliaia [0] 12 4 3 2" xfId="38096" xr:uid="{0F104E4A-DB54-4A63-B0ED-D5672A2B029E}"/>
    <cellStyle name="Migliaia [0] 12 4 3 3" xfId="43398" xr:uid="{7A0BEA5E-C02D-40C4-8105-D30E2A212FC5}"/>
    <cellStyle name="Migliaia [0] 12 4 3 4" xfId="32745" xr:uid="{F27A24D7-821B-4D40-B3A7-E650F494C53A}"/>
    <cellStyle name="Migliaia [0] 12 4 3 5" xfId="19516" xr:uid="{E8C638F3-601A-4889-B436-1C343C8717A0}"/>
    <cellStyle name="Migliaia [0] 12 4 4" xfId="35631" xr:uid="{5CAA192F-AEDD-4045-A293-AF8CB32DDFC5}"/>
    <cellStyle name="Migliaia [0] 12 4 5" xfId="40747" xr:uid="{F9EDFFE8-BF5D-4529-BA25-1AD0EE27D1D3}"/>
    <cellStyle name="Migliaia [0] 12 4 6" xfId="15954" xr:uid="{89F68A9F-4EE1-45BC-B729-16F1F8BA14E3}"/>
    <cellStyle name="Migliaia [0] 12 4 7" xfId="7767" xr:uid="{96B9447D-1B4A-49A1-9192-94D221997803}"/>
    <cellStyle name="Migliaia [0] 12 5" xfId="4559" xr:uid="{990C6E4F-784B-4711-AB35-D0E15F9A54C7}"/>
    <cellStyle name="Migliaia [0] 12 5 2" xfId="32746" xr:uid="{39DB7B07-0921-4324-BFB8-59EEFEAF3DF8}"/>
    <cellStyle name="Migliaia [0] 12 5 2 2" xfId="38097" xr:uid="{E7BB2B29-989E-4560-9385-1C37491AB143}"/>
    <cellStyle name="Migliaia [0] 12 5 2 3" xfId="43399" xr:uid="{B8EDCD85-C31A-4596-9375-44976FD73735}"/>
    <cellStyle name="Migliaia [0] 12 5 3" xfId="35632" xr:uid="{F3DA76BE-D540-494C-8918-9DD725C9449B}"/>
    <cellStyle name="Migliaia [0] 12 5 4" xfId="40748" xr:uid="{957E11F4-D868-435A-BDD5-1E55B1F947CC}"/>
    <cellStyle name="Migliaia [0] 12 5 5" xfId="17081" xr:uid="{E44F532E-8038-4A89-99B8-99E069E1AE1F}"/>
    <cellStyle name="Migliaia [0] 12 6" xfId="5838" xr:uid="{544904AB-2049-4D94-9672-2E5FC2179FFC}"/>
    <cellStyle name="Migliaia [0] 12 6 2" xfId="38093" xr:uid="{B14A59F5-5799-45E0-813D-C3E8F445CBB6}"/>
    <cellStyle name="Migliaia [0] 12 6 3" xfId="43395" xr:uid="{BA3B21FC-EDD7-42FD-A886-3B09EEC64F7A}"/>
    <cellStyle name="Migliaia [0] 12 6 4" xfId="32742" xr:uid="{0785C0DD-756F-482F-8EA5-26506EBDB76E}"/>
    <cellStyle name="Migliaia [0] 12 6 5" xfId="19512" xr:uid="{BA18C566-0173-46B6-8849-E17B63E95903}"/>
    <cellStyle name="Migliaia [0] 12 7" xfId="2833" xr:uid="{8251F09E-C866-4E04-A61C-CA02C7D30EF3}"/>
    <cellStyle name="Migliaia [0] 12 7 2" xfId="35628" xr:uid="{98726E57-27BF-4303-A589-2BF84E342ED9}"/>
    <cellStyle name="Migliaia [0] 12 8" xfId="40744" xr:uid="{7300E5D2-DAEB-4AD7-BC81-D33F84091B03}"/>
    <cellStyle name="Migliaia [0] 12 9" xfId="6988" xr:uid="{6AE3A55B-2F2E-4466-A510-1AE4A3EE4430}"/>
    <cellStyle name="Migliaia [0] 13" xfId="246" xr:uid="{00000000-0005-0000-0000-0000E5010000}"/>
    <cellStyle name="Migliaia [0] 13 2" xfId="1493" xr:uid="{00000000-0005-0000-0000-0000E6010000}"/>
    <cellStyle name="Migliaia [0] 13 2 2" xfId="1494" xr:uid="{00000000-0005-0000-0000-0000E7010000}"/>
    <cellStyle name="Migliaia [0] 13 2 2 2" xfId="4566" xr:uid="{22A955E1-BEBD-46C5-A2BA-429E60A57550}"/>
    <cellStyle name="Migliaia [0] 13 2 2 2 2" xfId="21728" xr:uid="{B30E7192-1A05-4B37-989A-ED19BD001978}"/>
    <cellStyle name="Migliaia [0] 13 2 2 2 3" xfId="48391" xr:uid="{BD51BEF0-F5D8-46AF-9524-888F03809EA7}"/>
    <cellStyle name="Migliaia [0] 13 2 2 2 4" xfId="50756" xr:uid="{9D5EB198-F7C4-4F34-8B96-8202AAF2A347}"/>
    <cellStyle name="Migliaia [0] 13 2 2 2 5" xfId="53772" xr:uid="{784DA9F3-B823-44CB-A975-A169C56110AD}"/>
    <cellStyle name="Migliaia [0] 13 2 2 2 6" xfId="11722" xr:uid="{F2CEDF97-C560-431F-B0BB-A4735EAEBE96}"/>
    <cellStyle name="Migliaia [0] 13 2 2 3" xfId="2840" xr:uid="{2BD6047C-9890-41A6-B215-077D73343DA6}"/>
    <cellStyle name="Migliaia [0] 13 2 2 3 2" xfId="12358" xr:uid="{9DB7C7ED-DAE0-4DD7-BFED-14329B23BD50}"/>
    <cellStyle name="Migliaia [0] 13 2 2 4" xfId="10625" xr:uid="{9E84268D-A082-4168-BA2E-1AD723B3CE79}"/>
    <cellStyle name="Migliaia [0] 13 2 2 4 2" xfId="21260" xr:uid="{42AA7629-F62A-4C35-9DE8-00FD6F106E29}"/>
    <cellStyle name="Migliaia [0] 13 2 2 4 3" xfId="48464" xr:uid="{ACBD954F-0930-4047-A851-041C0D48BF0D}"/>
    <cellStyle name="Migliaia [0] 13 2 2 4 4" xfId="50275" xr:uid="{F48BA1DA-8564-483D-A6D2-BEAE5284D5DC}"/>
    <cellStyle name="Migliaia [0] 13 2 2 4 5" xfId="53291" xr:uid="{F3BBAD1A-7B63-4EA5-91A6-02DDE318FD7F}"/>
    <cellStyle name="Migliaia [0] 13 2 2 5" xfId="19519" xr:uid="{290156F5-16B8-4EF1-AB77-788A955E0A9C}"/>
    <cellStyle name="Migliaia [0] 13 2 2 6" xfId="24002" xr:uid="{484925DF-5331-4976-8295-FD31B2A88D81}"/>
    <cellStyle name="Migliaia [0] 13 2 2 7" xfId="48824" xr:uid="{D245AB43-29E5-4295-BEB9-9D4EBD42D1B3}"/>
    <cellStyle name="Migliaia [0] 13 2 2 8" xfId="49730" xr:uid="{E2FF0F76-FFF6-48AE-8D90-1FEA8E685DDA}"/>
    <cellStyle name="Migliaia [0] 13 2 2 9" xfId="8430" xr:uid="{7B341595-62C6-407F-A212-A7E3390547A2}"/>
    <cellStyle name="Migliaia [0] 13 2 3" xfId="4565" xr:uid="{2AA102CB-5459-4977-8D27-116E6057F4AB}"/>
    <cellStyle name="Migliaia [0] 13 2 3 2" xfId="32748" xr:uid="{7C7388AF-A660-4AC4-9FE6-DCC39AFDAFED}"/>
    <cellStyle name="Migliaia [0] 13 2 3 2 2" xfId="38099" xr:uid="{187FC267-7E1C-442F-9D26-5F7DF00A2355}"/>
    <cellStyle name="Migliaia [0] 13 2 3 2 3" xfId="43401" xr:uid="{DD662706-23D0-47F6-993D-436B4AB4BC93}"/>
    <cellStyle name="Migliaia [0] 13 2 3 3" xfId="35634" xr:uid="{FD951A6E-C76E-4BB0-83FB-58E34C89DAB1}"/>
    <cellStyle name="Migliaia [0] 13 2 3 4" xfId="40750" xr:uid="{7BAA5306-AE38-4708-9524-C2994FBD150D}"/>
    <cellStyle name="Migliaia [0] 13 2 3 5" xfId="11723" xr:uid="{405E3665-CC22-418D-BA6B-E5EA86B8E7A9}"/>
    <cellStyle name="Migliaia [0] 13 2 4" xfId="5843" xr:uid="{05522FDB-75D0-4E38-B8D1-A8C5C62D2260}"/>
    <cellStyle name="Migliaia [0] 13 2 4 2" xfId="19518" xr:uid="{F157ABB2-9D74-4700-9FE0-AD97AE76B61E}"/>
    <cellStyle name="Migliaia [0] 13 2 5" xfId="2839" xr:uid="{6ED0F1EC-DEAE-4D28-98DE-8AEF01466F64}"/>
    <cellStyle name="Migliaia [0] 13 2 5 2" xfId="24001" xr:uid="{E176E979-0827-4BAC-BC3F-2B35B12F4E03}"/>
    <cellStyle name="Migliaia [0] 13 2 6" xfId="7240" xr:uid="{081FEDC0-A335-470E-B909-E20A419CDFCD}"/>
    <cellStyle name="Migliaia [0] 13 3" xfId="1495" xr:uid="{00000000-0005-0000-0000-0000E8010000}"/>
    <cellStyle name="Migliaia [0] 13 3 2" xfId="4567" xr:uid="{80644B9A-D30C-4E61-91AC-21DE9E960AF0}"/>
    <cellStyle name="Migliaia [0] 13 3 2 2" xfId="18305" xr:uid="{E2076EED-CD44-4D03-86FA-63F146BA9B0C}"/>
    <cellStyle name="Migliaia [0] 13 3 2 2 2" xfId="21729" xr:uid="{E4DE9AE8-DFC2-4CBA-B2D7-217FDD268166}"/>
    <cellStyle name="Migliaia [0] 13 3 2 2 2 2" xfId="38100" xr:uid="{34BD45CE-7510-44D7-8794-226BA0E6C75D}"/>
    <cellStyle name="Migliaia [0] 13 3 2 2 3" xfId="43402" xr:uid="{698429CB-2791-47CD-9E53-234EC7423CAB}"/>
    <cellStyle name="Migliaia [0] 13 3 2 2 4" xfId="32749" xr:uid="{8587E112-8644-4FD6-BDB0-5CA813E3DE3F}"/>
    <cellStyle name="Migliaia [0] 13 3 2 3" xfId="35635" xr:uid="{9426542D-19EB-46A5-AC88-80A1B5DBC321}"/>
    <cellStyle name="Migliaia [0] 13 3 2 4" xfId="40751" xr:uid="{946EE8C2-E680-4859-952E-F3D88C41EE5B}"/>
    <cellStyle name="Migliaia [0] 13 3 2 5" xfId="24709" xr:uid="{CB9DA9FD-5357-43A9-9E42-EFFD5BE1CD40}"/>
    <cellStyle name="Migliaia [0] 13 3 2 6" xfId="50757" xr:uid="{B497E358-D0DD-4A64-A83A-616161187D0D}"/>
    <cellStyle name="Migliaia [0] 13 3 2 7" xfId="53773" xr:uid="{78B2329A-5435-4F2C-B6FB-FDC58AA43C47}"/>
    <cellStyle name="Migliaia [0] 13 3 2 8" xfId="17581" xr:uid="{A9857665-0EEE-4966-B0BC-9D4DFA62A284}"/>
    <cellStyle name="Migliaia [0] 13 3 2 9" xfId="11724" xr:uid="{7376C0B6-E7AA-4CED-A811-4A592325063D}"/>
    <cellStyle name="Migliaia [0] 13 3 3" xfId="5844" xr:uid="{C19A80FE-D3A2-4D78-9792-C18C46D4F4E1}"/>
    <cellStyle name="Migliaia [0] 13 3 3 2" xfId="11113" xr:uid="{3E54BF78-DF35-4818-B301-8EAF5C1E4E9B}"/>
    <cellStyle name="Migliaia [0] 13 3 4" xfId="2841" xr:uid="{A2673999-0FDE-4D25-AA1C-129A443560CA}"/>
    <cellStyle name="Migliaia [0] 13 3 4 2" xfId="21261" xr:uid="{1459DB63-64C5-4519-9188-2B6A1833D8F1}"/>
    <cellStyle name="Migliaia [0] 13 3 4 3" xfId="48002" xr:uid="{D087DEF7-C63A-4B09-A43D-14C0DCBF5ADF}"/>
    <cellStyle name="Migliaia [0] 13 3 4 4" xfId="50276" xr:uid="{C7D6E192-183F-4777-B082-A694BD6AAEB6}"/>
    <cellStyle name="Migliaia [0] 13 3 4 5" xfId="53292" xr:uid="{91AE3256-97E0-42B5-8C01-1449A52D696C}"/>
    <cellStyle name="Migliaia [0] 13 3 4 6" xfId="10626" xr:uid="{110E46B4-DE55-434C-A3C2-7DD6EEFAAEC2}"/>
    <cellStyle name="Migliaia [0] 13 3 5" xfId="19520" xr:uid="{3F4766ED-0DBA-455D-A909-B7EB22EE2722}"/>
    <cellStyle name="Migliaia [0] 13 3 6" xfId="24003" xr:uid="{2DBFE104-A4BA-4DE4-A6E0-7549321292B8}"/>
    <cellStyle name="Migliaia [0] 13 3 7" xfId="8188" xr:uid="{5D48CDAF-849C-40A4-ACBD-4E340F367D27}"/>
    <cellStyle name="Migliaia [0] 13 4" xfId="2842" xr:uid="{723AD6DC-79C1-44AF-8540-A3888F9770F3}"/>
    <cellStyle name="Migliaia [0] 13 4 2" xfId="4568" xr:uid="{95CAB4F8-932D-48A4-9A44-7411EA5F8638}"/>
    <cellStyle name="Migliaia [0] 13 4 2 2" xfId="35073" xr:uid="{23C316FE-42CD-4A53-94D0-255B204656D8}"/>
    <cellStyle name="Migliaia [0] 13 4 2 2 2" xfId="40231" xr:uid="{F359AD6A-51A8-4128-BF72-9D2EE53AF5E2}"/>
    <cellStyle name="Migliaia [0] 13 4 2 2 3" xfId="45533" xr:uid="{AA031D34-C355-4F3A-AD04-4F2D8CF45DC9}"/>
    <cellStyle name="Migliaia [0] 13 4 2 3" xfId="37580" xr:uid="{EA3231A4-F951-403E-91C7-7BDDDA1B17F9}"/>
    <cellStyle name="Migliaia [0] 13 4 2 4" xfId="42882" xr:uid="{8B8478D5-0A93-4960-8230-159291DC8230}"/>
    <cellStyle name="Migliaia [0] 13 4 2 5" xfId="17013" xr:uid="{A35742EF-E151-4678-8A35-5A406FE05FDC}"/>
    <cellStyle name="Migliaia [0] 13 4 3" xfId="5845" xr:uid="{02BDF1B5-77FB-47EA-ADB0-BE6A51EDC4B3}"/>
    <cellStyle name="Migliaia [0] 13 4 3 2" xfId="38101" xr:uid="{D9CD3EDD-DBA0-4F26-B264-321677D68420}"/>
    <cellStyle name="Migliaia [0] 13 4 3 3" xfId="43403" xr:uid="{49086156-A3BE-4D56-9A3A-815F197E244C}"/>
    <cellStyle name="Migliaia [0] 13 4 3 4" xfId="32750" xr:uid="{EBDDC1BE-8A91-463D-B2D6-3765D5D7A9DA}"/>
    <cellStyle name="Migliaia [0] 13 4 3 5" xfId="19521" xr:uid="{FFF33640-B02E-4F3F-B86C-76EBCB8C467C}"/>
    <cellStyle name="Migliaia [0] 13 4 4" xfId="35636" xr:uid="{7E0DF0B4-8278-49D0-8A00-0480C126AB89}"/>
    <cellStyle name="Migliaia [0] 13 4 5" xfId="40752" xr:uid="{7EAE7C78-C453-43D8-B4B5-104D993D9F7B}"/>
    <cellStyle name="Migliaia [0] 13 4 6" xfId="15955" xr:uid="{44091016-3889-4578-822C-07763D17FC6E}"/>
    <cellStyle name="Migliaia [0] 13 4 7" xfId="7768" xr:uid="{32E2F25B-35B2-4211-B8A5-610460AD202F}"/>
    <cellStyle name="Migliaia [0] 13 5" xfId="4564" xr:uid="{E90BE0A7-9E4D-451E-85C8-6695A8BA0BB1}"/>
    <cellStyle name="Migliaia [0] 13 5 2" xfId="32751" xr:uid="{8C11338B-8B51-4418-BBF8-81158D957638}"/>
    <cellStyle name="Migliaia [0] 13 5 2 2" xfId="38102" xr:uid="{C741E9CC-B207-461A-ACE6-E21427F60DDA}"/>
    <cellStyle name="Migliaia [0] 13 5 2 3" xfId="43404" xr:uid="{9518B17A-96A0-4B8F-A2E5-2BD9BE494BF1}"/>
    <cellStyle name="Migliaia [0] 13 5 3" xfId="35637" xr:uid="{B7BD78AD-AEBF-456E-B688-8D400E6AE844}"/>
    <cellStyle name="Migliaia [0] 13 5 4" xfId="40753" xr:uid="{0F4B3995-D003-49D5-91CC-8A5D1031E97E}"/>
    <cellStyle name="Migliaia [0] 13 5 5" xfId="17082" xr:uid="{2EDDDEA4-A526-435F-B4C7-C176F332A543}"/>
    <cellStyle name="Migliaia [0] 13 6" xfId="5842" xr:uid="{212C7313-C6A8-4446-A528-BBEC49AB03AE}"/>
    <cellStyle name="Migliaia [0] 13 6 2" xfId="38098" xr:uid="{65641FC5-F1CC-4E1F-84FD-FCD45266256A}"/>
    <cellStyle name="Migliaia [0] 13 6 3" xfId="43400" xr:uid="{8B498F6E-4A14-4C36-901F-AFB5F1DE5A4E}"/>
    <cellStyle name="Migliaia [0] 13 6 4" xfId="32747" xr:uid="{AEB3B061-E576-48AB-90E6-7B023ABFE84E}"/>
    <cellStyle name="Migliaia [0] 13 6 5" xfId="19517" xr:uid="{26080A2B-954F-4624-9B5C-B1174874AEEB}"/>
    <cellStyle name="Migliaia [0] 13 7" xfId="2838" xr:uid="{7808D493-6B0E-4594-9481-FFC3283BD970}"/>
    <cellStyle name="Migliaia [0] 13 7 2" xfId="35633" xr:uid="{A6061D53-AECB-47CE-9716-852B99C68DB0}"/>
    <cellStyle name="Migliaia [0] 13 8" xfId="40749" xr:uid="{3C8FEEF7-D916-41A0-9B02-41EE7475D0B1}"/>
    <cellStyle name="Migliaia [0] 13 9" xfId="6989" xr:uid="{599285C6-7BD5-4773-8555-DAFE24DE7D1D}"/>
    <cellStyle name="Migliaia [0] 14" xfId="247" xr:uid="{00000000-0005-0000-0000-0000E9010000}"/>
    <cellStyle name="Migliaia [0] 14 2" xfId="1496" xr:uid="{00000000-0005-0000-0000-0000EA010000}"/>
    <cellStyle name="Migliaia [0] 14 2 2" xfId="1497" xr:uid="{00000000-0005-0000-0000-0000EB010000}"/>
    <cellStyle name="Migliaia [0] 14 2 2 2" xfId="4571" xr:uid="{4B859229-5D16-49C7-8662-7DB5E915B04D}"/>
    <cellStyle name="Migliaia [0] 14 2 2 2 2" xfId="21730" xr:uid="{A1A31355-5A6E-4800-89AC-141CEF6208BA}"/>
    <cellStyle name="Migliaia [0] 14 2 2 2 3" xfId="47607" xr:uid="{ADF679CD-087A-495E-828D-3570415B5CF9}"/>
    <cellStyle name="Migliaia [0] 14 2 2 2 4" xfId="50758" xr:uid="{D774E036-6F83-4A6F-ABA2-A3AC68C3EEA9}"/>
    <cellStyle name="Migliaia [0] 14 2 2 2 5" xfId="53774" xr:uid="{B462B00F-9C96-4631-9E3F-76BE89114B58}"/>
    <cellStyle name="Migliaia [0] 14 2 2 2 6" xfId="11725" xr:uid="{CAF73EE3-62D1-4EF6-8E02-30E8C6232B1A}"/>
    <cellStyle name="Migliaia [0] 14 2 2 3" xfId="2845" xr:uid="{67AD4763-4FC5-4356-8372-B99F71F7F15B}"/>
    <cellStyle name="Migliaia [0] 14 2 2 3 2" xfId="12357" xr:uid="{C1BB61B1-E59F-4E40-A5DE-C23F91EA052C}"/>
    <cellStyle name="Migliaia [0] 14 2 2 4" xfId="10627" xr:uid="{A90FD8CE-CA90-41C9-BAE5-346EBDB4D9D0}"/>
    <cellStyle name="Migliaia [0] 14 2 2 4 2" xfId="21262" xr:uid="{1DEB2FBA-F1E9-4C9B-8A2C-0D243DC05A63}"/>
    <cellStyle name="Migliaia [0] 14 2 2 4 3" xfId="46165" xr:uid="{C18C957E-1B13-453B-ACEA-DE4EE6BF5979}"/>
    <cellStyle name="Migliaia [0] 14 2 2 4 4" xfId="50277" xr:uid="{DD8B337C-B780-42A3-887A-538B4E7A4D6A}"/>
    <cellStyle name="Migliaia [0] 14 2 2 4 5" xfId="53293" xr:uid="{7856293D-788A-4110-8C7A-EC067054D6A6}"/>
    <cellStyle name="Migliaia [0] 14 2 2 5" xfId="19524" xr:uid="{F9E9A84B-784E-416E-8605-371B0F68638B}"/>
    <cellStyle name="Migliaia [0] 14 2 2 6" xfId="24006" xr:uid="{15A46DE5-F412-49AB-84E5-D2E17CAAEDF2}"/>
    <cellStyle name="Migliaia [0] 14 2 2 7" xfId="48825" xr:uid="{B6C4B3E6-5D52-4430-9B57-06E22FF81410}"/>
    <cellStyle name="Migliaia [0] 14 2 2 8" xfId="49731" xr:uid="{3C7FCF96-97CE-42C6-A58F-FB0AE7CDEAB2}"/>
    <cellStyle name="Migliaia [0] 14 2 2 9" xfId="8431" xr:uid="{CAD8DAF0-7EAD-4B2C-8B19-C3FBA484A861}"/>
    <cellStyle name="Migliaia [0] 14 2 3" xfId="4570" xr:uid="{706E171F-38F3-4276-BBBA-1E4A7F57691A}"/>
    <cellStyle name="Migliaia [0] 14 2 3 2" xfId="32753" xr:uid="{D6D2359F-C21A-4E69-B106-FB76D5FD202A}"/>
    <cellStyle name="Migliaia [0] 14 2 3 2 2" xfId="38104" xr:uid="{BCD9E1B1-D20D-4552-AB84-41D50D2DCA78}"/>
    <cellStyle name="Migliaia [0] 14 2 3 2 3" xfId="43406" xr:uid="{FDCD0709-FFBE-47B7-8CBA-CD2766AFDD4E}"/>
    <cellStyle name="Migliaia [0] 14 2 3 3" xfId="35639" xr:uid="{CA6B068E-C28D-40FC-9032-2B36C9DED7BA}"/>
    <cellStyle name="Migliaia [0] 14 2 3 4" xfId="40755" xr:uid="{EDDF3D59-E142-4F28-B422-690B54391F82}"/>
    <cellStyle name="Migliaia [0] 14 2 3 5" xfId="11726" xr:uid="{6B854891-2310-4306-B270-3266AF3620C9}"/>
    <cellStyle name="Migliaia [0] 14 2 4" xfId="5847" xr:uid="{6A0F0231-28DD-4134-9FFE-140B9219FEAA}"/>
    <cellStyle name="Migliaia [0] 14 2 4 2" xfId="19523" xr:uid="{D767C497-22CE-48CA-8117-AB23D0D05B1F}"/>
    <cellStyle name="Migliaia [0] 14 2 5" xfId="2844" xr:uid="{9CB4BD41-B5ED-4A8C-89E5-E0B9BFB162B4}"/>
    <cellStyle name="Migliaia [0] 14 2 5 2" xfId="24005" xr:uid="{E313EC58-1090-45FF-8D2A-998F34E2D47B}"/>
    <cellStyle name="Migliaia [0] 14 2 6" xfId="7241" xr:uid="{6B34D51C-329E-4911-BFD5-09AFD57B7112}"/>
    <cellStyle name="Migliaia [0] 14 3" xfId="1498" xr:uid="{00000000-0005-0000-0000-0000EC010000}"/>
    <cellStyle name="Migliaia [0] 14 3 2" xfId="4572" xr:uid="{3BD8CF32-A1F8-47EA-800F-A555EE7DD0ED}"/>
    <cellStyle name="Migliaia [0] 14 3 2 2" xfId="18306" xr:uid="{F8CF4DCD-E8E5-48D0-836B-D11536730919}"/>
    <cellStyle name="Migliaia [0] 14 3 2 2 2" xfId="21731" xr:uid="{F7567ED8-82C4-403B-BB56-615C09F6EDC6}"/>
    <cellStyle name="Migliaia [0] 14 3 2 2 2 2" xfId="38105" xr:uid="{3840001A-C2BF-45A8-96AE-DF33B98941D3}"/>
    <cellStyle name="Migliaia [0] 14 3 2 2 3" xfId="43407" xr:uid="{D6045750-54C8-49BC-98C4-C9D676811B87}"/>
    <cellStyle name="Migliaia [0] 14 3 2 2 4" xfId="32754" xr:uid="{91CE7C3F-131A-4AD9-AB40-8091C70DA3D9}"/>
    <cellStyle name="Migliaia [0] 14 3 2 3" xfId="35640" xr:uid="{356B08E6-9DB9-4E00-9542-8A1134B4F589}"/>
    <cellStyle name="Migliaia [0] 14 3 2 4" xfId="40756" xr:uid="{F78571F4-AD0A-4F71-A6BF-2A4A1E1F19C6}"/>
    <cellStyle name="Migliaia [0] 14 3 2 5" xfId="46284" xr:uid="{ACC1BD1A-2ACE-4DF8-BA74-7B85AA5491B1}"/>
    <cellStyle name="Migliaia [0] 14 3 2 6" xfId="50759" xr:uid="{53CAB725-DD19-4F9A-9E04-F5B14455A545}"/>
    <cellStyle name="Migliaia [0] 14 3 2 7" xfId="53775" xr:uid="{33AFA821-776C-4722-8C82-0AB046CC1AC7}"/>
    <cellStyle name="Migliaia [0] 14 3 2 8" xfId="17582" xr:uid="{A85E98CC-CBC0-46AC-9271-1904F037DC8A}"/>
    <cellStyle name="Migliaia [0] 14 3 2 9" xfId="11727" xr:uid="{1E2C7C16-B5F0-482B-BC06-86C651544796}"/>
    <cellStyle name="Migliaia [0] 14 3 3" xfId="5848" xr:uid="{19BA2A60-42D9-4949-9CDE-EF976C477F4A}"/>
    <cellStyle name="Migliaia [0] 14 3 3 2" xfId="12386" xr:uid="{F81F8ACE-E00F-40A5-B2A7-6941B68CC621}"/>
    <cellStyle name="Migliaia [0] 14 3 4" xfId="2846" xr:uid="{F1904C38-82FD-46AC-89CC-381E91BD65C0}"/>
    <cellStyle name="Migliaia [0] 14 3 4 2" xfId="21263" xr:uid="{6E7E7A59-A603-442F-A5D5-A37957420C90}"/>
    <cellStyle name="Migliaia [0] 14 3 4 3" xfId="48573" xr:uid="{2DE227DC-9659-4AA8-B04A-E344BA567DD0}"/>
    <cellStyle name="Migliaia [0] 14 3 4 4" xfId="50278" xr:uid="{BBC0DB2B-3E70-40B6-9178-B77BD3446ECA}"/>
    <cellStyle name="Migliaia [0] 14 3 4 5" xfId="53294" xr:uid="{EAC80A2F-EE00-4A80-A9BE-DFD73EA140E0}"/>
    <cellStyle name="Migliaia [0] 14 3 4 6" xfId="10628" xr:uid="{C771ECC5-233F-4BB9-98E5-C716EA049E06}"/>
    <cellStyle name="Migliaia [0] 14 3 5" xfId="19525" xr:uid="{0C7430E8-B3D3-4BBB-94CA-F71A65452020}"/>
    <cellStyle name="Migliaia [0] 14 3 6" xfId="24007" xr:uid="{A01D685F-8B56-43F0-9984-C3279716BC95}"/>
    <cellStyle name="Migliaia [0] 14 3 7" xfId="8189" xr:uid="{7AFD6014-15D8-4DC7-8A93-2E1B759E3D1A}"/>
    <cellStyle name="Migliaia [0] 14 4" xfId="2847" xr:uid="{5B8F95D6-E059-4E23-AE14-5C0127C487C7}"/>
    <cellStyle name="Migliaia [0] 14 4 2" xfId="4573" xr:uid="{ACD20E1E-8D79-46BF-8941-879447BDC5B1}"/>
    <cellStyle name="Migliaia [0] 14 4 2 2" xfId="35074" xr:uid="{03651B7B-BC02-4B6E-BF1D-4D0A12480DD0}"/>
    <cellStyle name="Migliaia [0] 14 4 2 2 2" xfId="40232" xr:uid="{B6CA159A-3FF2-445A-92B8-2EEE15FE38A9}"/>
    <cellStyle name="Migliaia [0] 14 4 2 2 3" xfId="45534" xr:uid="{0AC6E227-6BC7-4FCD-BCFA-2C5E5AEA406C}"/>
    <cellStyle name="Migliaia [0] 14 4 2 3" xfId="37581" xr:uid="{EFD49093-36CD-4061-B7A2-0D2593FB2D22}"/>
    <cellStyle name="Migliaia [0] 14 4 2 4" xfId="42883" xr:uid="{3499B8EF-273C-4A63-8F0E-01427D8F65F4}"/>
    <cellStyle name="Migliaia [0] 14 4 2 5" xfId="17014" xr:uid="{2A7F4C09-295F-41D5-8872-431AE5E254A0}"/>
    <cellStyle name="Migliaia [0] 14 4 3" xfId="5849" xr:uid="{AC166BDD-2F64-43F8-AD68-9A08C32B7F54}"/>
    <cellStyle name="Migliaia [0] 14 4 3 2" xfId="38106" xr:uid="{8A4C35AB-128B-4A5F-871F-05956429F16B}"/>
    <cellStyle name="Migliaia [0] 14 4 3 3" xfId="43408" xr:uid="{35679702-90BA-4121-A9DB-3A796C35B7A6}"/>
    <cellStyle name="Migliaia [0] 14 4 3 4" xfId="32755" xr:uid="{ED81C4B7-1F35-47EF-AF2D-67FFA29860A9}"/>
    <cellStyle name="Migliaia [0] 14 4 3 5" xfId="19526" xr:uid="{805C883D-5DE6-44D4-8591-B6E3C52F4EBB}"/>
    <cellStyle name="Migliaia [0] 14 4 4" xfId="35641" xr:uid="{312FBC91-F61D-4DD7-B84D-51516D1E3A9C}"/>
    <cellStyle name="Migliaia [0] 14 4 5" xfId="40757" xr:uid="{E106C77E-5100-4B5E-BB73-C84993AF8F4F}"/>
    <cellStyle name="Migliaia [0] 14 4 6" xfId="15956" xr:uid="{AD1CD625-8096-4C42-A0A9-C9EBBFD4852A}"/>
    <cellStyle name="Migliaia [0] 14 4 7" xfId="7769" xr:uid="{2AC10B6D-CBCD-452A-9FDA-8C3802E1F8D3}"/>
    <cellStyle name="Migliaia [0] 14 5" xfId="4569" xr:uid="{1E51847D-9162-4D4C-BDEA-44657EAAD08C}"/>
    <cellStyle name="Migliaia [0] 14 5 2" xfId="32756" xr:uid="{82ECD832-C24F-4A5B-B11D-B6C4F4B7F3C7}"/>
    <cellStyle name="Migliaia [0] 14 5 2 2" xfId="38107" xr:uid="{65F11FB1-2CAA-48F9-9C20-7A541B405A99}"/>
    <cellStyle name="Migliaia [0] 14 5 2 3" xfId="43409" xr:uid="{58CBD9F8-F024-4E27-8DA5-4284307C3DED}"/>
    <cellStyle name="Migliaia [0] 14 5 3" xfId="35642" xr:uid="{D399F8BD-8FE5-4B4C-A13D-FC8BE2C01990}"/>
    <cellStyle name="Migliaia [0] 14 5 4" xfId="40758" xr:uid="{E6CF99A1-0392-4811-A70D-4AF50B4EF6EC}"/>
    <cellStyle name="Migliaia [0] 14 5 5" xfId="17083" xr:uid="{2EC6A7A5-E21F-4854-8087-F9C38B3AC323}"/>
    <cellStyle name="Migliaia [0] 14 6" xfId="5846" xr:uid="{C5E7C4FC-D559-485A-B54A-E34324DF3DC5}"/>
    <cellStyle name="Migliaia [0] 14 6 2" xfId="38103" xr:uid="{C673C48A-1B5B-4DC0-8C65-CA76756BCDF5}"/>
    <cellStyle name="Migliaia [0] 14 6 3" xfId="43405" xr:uid="{3ED1CB5E-4524-47BD-9C7B-6E4EFC0BBC4F}"/>
    <cellStyle name="Migliaia [0] 14 6 4" xfId="32752" xr:uid="{39C8899D-5A20-4A1A-BB58-8182FB3E8FF9}"/>
    <cellStyle name="Migliaia [0] 14 6 5" xfId="19522" xr:uid="{51E8590D-3565-4DD2-A5F5-85E338272B5E}"/>
    <cellStyle name="Migliaia [0] 14 7" xfId="2843" xr:uid="{FA0507C9-7694-48E4-9C1B-3840448FE102}"/>
    <cellStyle name="Migliaia [0] 14 7 2" xfId="35638" xr:uid="{AEC77780-FAA1-42A2-AE17-01E68A7B3132}"/>
    <cellStyle name="Migliaia [0] 14 8" xfId="40754" xr:uid="{3F3E3515-F585-4880-8D0E-57459A29F6EC}"/>
    <cellStyle name="Migliaia [0] 14 9" xfId="6990" xr:uid="{83CDB192-F3B8-4495-B65E-4F26F1BA5D3A}"/>
    <cellStyle name="Migliaia [0] 15" xfId="248" xr:uid="{00000000-0005-0000-0000-0000ED010000}"/>
    <cellStyle name="Migliaia [0] 15 2" xfId="1499" xr:uid="{00000000-0005-0000-0000-0000EE010000}"/>
    <cellStyle name="Migliaia [0] 15 2 2" xfId="1500" xr:uid="{00000000-0005-0000-0000-0000EF010000}"/>
    <cellStyle name="Migliaia [0] 15 2 2 2" xfId="4576" xr:uid="{2CF2CC20-B1B1-40EB-A717-B447D3015A3C}"/>
    <cellStyle name="Migliaia [0] 15 2 2 2 2" xfId="21732" xr:uid="{5D9E470F-5587-4DFB-8BE0-715A6027EEA9}"/>
    <cellStyle name="Migliaia [0] 15 2 2 2 3" xfId="46285" xr:uid="{BA64E2F8-BEA3-4953-915B-18FCB65935B3}"/>
    <cellStyle name="Migliaia [0] 15 2 2 2 4" xfId="50760" xr:uid="{D02D75FF-B955-4A09-8CCD-05CAAFF64D65}"/>
    <cellStyle name="Migliaia [0] 15 2 2 2 5" xfId="53776" xr:uid="{238C55A1-D2A5-42F5-94E5-6281C2DBD6BB}"/>
    <cellStyle name="Migliaia [0] 15 2 2 2 6" xfId="11728" xr:uid="{AC8B0422-6A36-4372-AC1C-BBFD44D5AD4F}"/>
    <cellStyle name="Migliaia [0] 15 2 2 3" xfId="2850" xr:uid="{B4386033-71A7-4FD1-BFD2-FE7F2F51D49F}"/>
    <cellStyle name="Migliaia [0] 15 2 2 3 2" xfId="12356" xr:uid="{0FBA8B92-78D1-486A-B118-61598CBCA93E}"/>
    <cellStyle name="Migliaia [0] 15 2 2 4" xfId="10629" xr:uid="{945D58E7-A812-4102-8B7E-D5F308E75C8F}"/>
    <cellStyle name="Migliaia [0] 15 2 2 4 2" xfId="21264" xr:uid="{6217A064-B024-4F13-A19F-533ACE96BF3F}"/>
    <cellStyle name="Migliaia [0] 15 2 2 4 3" xfId="46166" xr:uid="{DCEF5317-5A7D-4124-B0CD-8C06343F83BA}"/>
    <cellStyle name="Migliaia [0] 15 2 2 4 4" xfId="50279" xr:uid="{585A2C7B-1EA6-4859-9B8E-842EDE1A654A}"/>
    <cellStyle name="Migliaia [0] 15 2 2 4 5" xfId="53295" xr:uid="{386D8D52-A14F-4B1A-9907-9ED2759B3A18}"/>
    <cellStyle name="Migliaia [0] 15 2 2 5" xfId="19529" xr:uid="{3DDE2B10-122E-4BBF-A606-E043D7BA4EA4}"/>
    <cellStyle name="Migliaia [0] 15 2 2 6" xfId="24010" xr:uid="{8D53E68A-A2BD-4A5A-A5DF-0777A628F37C}"/>
    <cellStyle name="Migliaia [0] 15 2 2 7" xfId="48826" xr:uid="{9B2B2E77-BEF7-4D13-988F-28833622A882}"/>
    <cellStyle name="Migliaia [0] 15 2 2 8" xfId="49732" xr:uid="{82A423A5-9448-4936-97A0-2D5EFFD653F2}"/>
    <cellStyle name="Migliaia [0] 15 2 2 9" xfId="8432" xr:uid="{ABED72E8-9D4A-42D5-B2BC-072A1608EA9B}"/>
    <cellStyle name="Migliaia [0] 15 2 3" xfId="4575" xr:uid="{873F8A1F-7632-4CDC-9129-8DF3C7C092AE}"/>
    <cellStyle name="Migliaia [0] 15 2 3 2" xfId="32758" xr:uid="{433AEDFA-5533-4855-8F7B-F22EDF8C10A9}"/>
    <cellStyle name="Migliaia [0] 15 2 3 2 2" xfId="38109" xr:uid="{225B0CA6-0783-43CC-81B0-C2036EED0589}"/>
    <cellStyle name="Migliaia [0] 15 2 3 2 3" xfId="43411" xr:uid="{50DF9358-8E0F-452C-88DA-FB31134AD856}"/>
    <cellStyle name="Migliaia [0] 15 2 3 3" xfId="35644" xr:uid="{0788C92F-381C-4A37-9AB5-A6940EB1C8DF}"/>
    <cellStyle name="Migliaia [0] 15 2 3 4" xfId="40760" xr:uid="{19A80CBD-934E-4F67-A8F5-8636BFD19ABE}"/>
    <cellStyle name="Migliaia [0] 15 2 3 5" xfId="11729" xr:uid="{31B630AA-E2EB-4469-82C8-0AAFCC5E5925}"/>
    <cellStyle name="Migliaia [0] 15 2 4" xfId="5851" xr:uid="{B3CC6D4A-D5E5-4610-9916-2CFEF82DA286}"/>
    <cellStyle name="Migliaia [0] 15 2 4 2" xfId="19528" xr:uid="{8E6F6A1B-804D-4F3B-84D8-A5DAC4E3FFD3}"/>
    <cellStyle name="Migliaia [0] 15 2 5" xfId="2849" xr:uid="{723DDF5C-E621-4F6C-A450-C482F512ECA8}"/>
    <cellStyle name="Migliaia [0] 15 2 5 2" xfId="24009" xr:uid="{6531D1D7-029A-4B65-A002-CE06DC51ED23}"/>
    <cellStyle name="Migliaia [0] 15 2 6" xfId="7242" xr:uid="{CE1D0E9D-8656-4244-B2EE-7DBF12BDC82B}"/>
    <cellStyle name="Migliaia [0] 15 3" xfId="1501" xr:uid="{00000000-0005-0000-0000-0000F0010000}"/>
    <cellStyle name="Migliaia [0] 15 3 2" xfId="4577" xr:uid="{87FC15DD-8648-4300-94B0-D31DBC0E6182}"/>
    <cellStyle name="Migliaia [0] 15 3 2 2" xfId="18307" xr:uid="{7F75384F-84C2-421D-928C-605F902BF4F6}"/>
    <cellStyle name="Migliaia [0] 15 3 2 2 2" xfId="21733" xr:uid="{7E50F335-BC50-4A38-84C4-030BCF11F631}"/>
    <cellStyle name="Migliaia [0] 15 3 2 2 2 2" xfId="38110" xr:uid="{1FF29A06-DEDB-4554-89D9-0F3D73E24ECB}"/>
    <cellStyle name="Migliaia [0] 15 3 2 2 3" xfId="43412" xr:uid="{2F1C5AC9-D657-4FF9-A1C8-805F65104844}"/>
    <cellStyle name="Migliaia [0] 15 3 2 2 4" xfId="32759" xr:uid="{ACEDCE07-5207-42E2-8BA3-261C05F3BD18}"/>
    <cellStyle name="Migliaia [0] 15 3 2 3" xfId="35645" xr:uid="{F86D32D0-13C7-4813-B07D-59AB1AAA2CE4}"/>
    <cellStyle name="Migliaia [0] 15 3 2 4" xfId="40761" xr:uid="{D05BAE20-41A9-44AA-8F05-D271029DF883}"/>
    <cellStyle name="Migliaia [0] 15 3 2 5" xfId="47518" xr:uid="{5B41EDFA-49CD-49AF-AC79-20AD0104D7F2}"/>
    <cellStyle name="Migliaia [0] 15 3 2 6" xfId="50761" xr:uid="{CECD8D56-878C-4662-8D33-A4D11BD7FE4B}"/>
    <cellStyle name="Migliaia [0] 15 3 2 7" xfId="53777" xr:uid="{F382F9B4-6C38-4F7C-B19E-287405147FE0}"/>
    <cellStyle name="Migliaia [0] 15 3 2 8" xfId="17583" xr:uid="{7FF2254B-EE8F-4780-98C9-DB1E737202BA}"/>
    <cellStyle name="Migliaia [0] 15 3 2 9" xfId="11730" xr:uid="{FFFA9CB1-5867-4412-8017-CF20CBF598F9}"/>
    <cellStyle name="Migliaia [0] 15 3 3" xfId="5852" xr:uid="{D9674381-51FB-4D46-A02F-DF04278FF65E}"/>
    <cellStyle name="Migliaia [0] 15 3 3 2" xfId="12385" xr:uid="{16BE58A9-376E-4255-B27D-144AC71B32FB}"/>
    <cellStyle name="Migliaia [0] 15 3 4" xfId="2851" xr:uid="{4DBAE9B9-3C6F-4BFD-846E-E8F36C51606C}"/>
    <cellStyle name="Migliaia [0] 15 3 4 2" xfId="21265" xr:uid="{1A31439E-793B-47EF-8A85-EB23BB46FA88}"/>
    <cellStyle name="Migliaia [0] 15 3 4 3" xfId="47707" xr:uid="{8BE1930E-B89C-4DAA-83A3-D0F529FA1D5C}"/>
    <cellStyle name="Migliaia [0] 15 3 4 4" xfId="50280" xr:uid="{62D7FC25-81DE-4623-9E67-0A1022B97D17}"/>
    <cellStyle name="Migliaia [0] 15 3 4 5" xfId="53296" xr:uid="{1F85D2F7-0DC5-4A11-9DD3-93EEB8E3B895}"/>
    <cellStyle name="Migliaia [0] 15 3 4 6" xfId="10630" xr:uid="{FCA0A34B-46FA-4EB6-A30B-AA2AC4168BF7}"/>
    <cellStyle name="Migliaia [0] 15 3 5" xfId="19530" xr:uid="{6DA74619-B8E7-40DE-A498-F53418552E65}"/>
    <cellStyle name="Migliaia [0] 15 3 6" xfId="24011" xr:uid="{8C1B7386-A63D-4884-9828-4B96369765ED}"/>
    <cellStyle name="Migliaia [0] 15 3 7" xfId="8190" xr:uid="{6D85692C-317A-4F3B-AFEC-5DE3A02CA42D}"/>
    <cellStyle name="Migliaia [0] 15 4" xfId="2852" xr:uid="{01B6110A-7A8D-4FB2-B063-D4A75CFDC6E1}"/>
    <cellStyle name="Migliaia [0] 15 4 2" xfId="4578" xr:uid="{B1590FC4-568A-43D1-9E5F-7DCF91C67C56}"/>
    <cellStyle name="Migliaia [0] 15 4 2 2" xfId="35075" xr:uid="{D2457C8F-27D5-4D1C-A258-CF6AACAE19FD}"/>
    <cellStyle name="Migliaia [0] 15 4 2 2 2" xfId="40233" xr:uid="{90E9EB77-4D8C-49B7-8589-A70954D45989}"/>
    <cellStyle name="Migliaia [0] 15 4 2 2 3" xfId="45535" xr:uid="{74BF8F9F-8212-4B2E-A74B-20B1AB41D623}"/>
    <cellStyle name="Migliaia [0] 15 4 2 3" xfId="37582" xr:uid="{0649576A-AC53-4679-ACF7-E6DD8B9F302C}"/>
    <cellStyle name="Migliaia [0] 15 4 2 4" xfId="42884" xr:uid="{453DA8DF-30B9-4F3E-8299-0DC1FB41A5B2}"/>
    <cellStyle name="Migliaia [0] 15 4 2 5" xfId="17015" xr:uid="{96E72D25-66B9-4D17-8EBE-DCEC2D569FA2}"/>
    <cellStyle name="Migliaia [0] 15 4 3" xfId="5853" xr:uid="{539D3572-1822-4CEC-A7F3-6B6B19EA3DEA}"/>
    <cellStyle name="Migliaia [0] 15 4 3 2" xfId="38111" xr:uid="{870704E5-814A-4FBC-AFC1-23959C9D1A3F}"/>
    <cellStyle name="Migliaia [0] 15 4 3 3" xfId="43413" xr:uid="{657040A1-31E0-4F3D-8733-EB36A0E77610}"/>
    <cellStyle name="Migliaia [0] 15 4 3 4" xfId="32760" xr:uid="{205246C8-9879-4D4B-BEF7-CB64FB5C9A2C}"/>
    <cellStyle name="Migliaia [0] 15 4 3 5" xfId="19531" xr:uid="{6214EE86-9466-4926-935A-B6F31B405E83}"/>
    <cellStyle name="Migliaia [0] 15 4 4" xfId="35646" xr:uid="{4227563C-25AC-40BA-9326-50D4E4AA3363}"/>
    <cellStyle name="Migliaia [0] 15 4 5" xfId="40762" xr:uid="{F864973A-DE82-4C4D-ACA8-8A83268E2370}"/>
    <cellStyle name="Migliaia [0] 15 4 6" xfId="15957" xr:uid="{E59C8662-6EA8-428B-BDCA-2CC53DD88157}"/>
    <cellStyle name="Migliaia [0] 15 4 7" xfId="7770" xr:uid="{0B922E9B-CCE9-4DB4-8B40-E8CC6F80F3BB}"/>
    <cellStyle name="Migliaia [0] 15 5" xfId="4574" xr:uid="{B5100868-4EA1-4890-9B77-B418811CFD68}"/>
    <cellStyle name="Migliaia [0] 15 5 2" xfId="32761" xr:uid="{9D109004-B241-41FD-9217-4957BF34FC0A}"/>
    <cellStyle name="Migliaia [0] 15 5 2 2" xfId="38112" xr:uid="{476EA9B4-87AA-41E6-A54D-1092ACA8D911}"/>
    <cellStyle name="Migliaia [0] 15 5 2 3" xfId="43414" xr:uid="{A503778B-D6EE-45CC-B95C-D671C35437AF}"/>
    <cellStyle name="Migliaia [0] 15 5 3" xfId="35647" xr:uid="{C12783BD-7837-4788-A469-5F1633A5C1F4}"/>
    <cellStyle name="Migliaia [0] 15 5 4" xfId="40763" xr:uid="{7A240E80-B2C3-4941-B793-4A92CA721210}"/>
    <cellStyle name="Migliaia [0] 15 5 5" xfId="17084" xr:uid="{35255DB7-125C-4EBD-8339-710870E2D597}"/>
    <cellStyle name="Migliaia [0] 15 6" xfId="5850" xr:uid="{082127E1-11AC-42CF-8338-361B49A5E550}"/>
    <cellStyle name="Migliaia [0] 15 6 2" xfId="38108" xr:uid="{E80AD7C7-80DB-4F1F-A555-BD3CD4642F1F}"/>
    <cellStyle name="Migliaia [0] 15 6 3" xfId="43410" xr:uid="{B1F9900B-B0EC-4128-9466-13181B9FC488}"/>
    <cellStyle name="Migliaia [0] 15 6 4" xfId="32757" xr:uid="{023ACD14-C080-44E9-91F6-2099E22EFAFB}"/>
    <cellStyle name="Migliaia [0] 15 6 5" xfId="19527" xr:uid="{E753A2C5-73E3-4C4B-B8BB-CEA098CC2B4B}"/>
    <cellStyle name="Migliaia [0] 15 7" xfId="2848" xr:uid="{320658C5-3F48-43A9-99DB-57080F51EDB5}"/>
    <cellStyle name="Migliaia [0] 15 7 2" xfId="35643" xr:uid="{8CEA2AF2-AC4C-496B-B9FF-E1ECE247DFBE}"/>
    <cellStyle name="Migliaia [0] 15 8" xfId="40759" xr:uid="{268BB731-AA80-464C-8C0A-C5F681A19BDC}"/>
    <cellStyle name="Migliaia [0] 15 9" xfId="6991" xr:uid="{A2C13152-C05B-4F76-A37F-1254AB0CEEA3}"/>
    <cellStyle name="Migliaia [0] 16" xfId="249" xr:uid="{00000000-0005-0000-0000-0000F1010000}"/>
    <cellStyle name="Migliaia [0] 16 2" xfId="1502" xr:uid="{00000000-0005-0000-0000-0000F2010000}"/>
    <cellStyle name="Migliaia [0] 16 2 2" xfId="1503" xr:uid="{00000000-0005-0000-0000-0000F3010000}"/>
    <cellStyle name="Migliaia [0] 16 2 2 2" xfId="4581" xr:uid="{42293C67-41CF-4FA5-960F-186CA322B323}"/>
    <cellStyle name="Migliaia [0] 16 2 2 2 2" xfId="21734" xr:uid="{9E01B380-EB39-4095-BD87-B66B8CE50F0F}"/>
    <cellStyle name="Migliaia [0] 16 2 2 2 3" xfId="46734" xr:uid="{3608E89B-2A92-484B-9554-478ECD46C66D}"/>
    <cellStyle name="Migliaia [0] 16 2 2 2 4" xfId="50762" xr:uid="{0859DD87-012B-4A20-A311-1D4F5EF63DF3}"/>
    <cellStyle name="Migliaia [0] 16 2 2 2 5" xfId="53778" xr:uid="{76D09CF7-42F4-4BCB-B1B0-6D22B3C953F9}"/>
    <cellStyle name="Migliaia [0] 16 2 2 2 6" xfId="11731" xr:uid="{B4163801-4DB5-45D7-B182-7C681533ACC3}"/>
    <cellStyle name="Migliaia [0] 16 2 2 3" xfId="2855" xr:uid="{7DFE3B25-2BBE-4754-B93B-2B4D3466CBE9}"/>
    <cellStyle name="Migliaia [0] 16 2 2 3 2" xfId="12355" xr:uid="{9B9060C1-57AE-4A46-816F-D1A93971E3D4}"/>
    <cellStyle name="Migliaia [0] 16 2 2 4" xfId="10631" xr:uid="{420C8833-7EBA-4DDE-8326-ECFA22482B15}"/>
    <cellStyle name="Migliaia [0] 16 2 2 4 2" xfId="21266" xr:uid="{DF9C3D39-6B18-41EC-A88D-C2515820574C}"/>
    <cellStyle name="Migliaia [0] 16 2 2 4 3" xfId="46167" xr:uid="{6FA46C28-6828-4E7D-9290-2B2311599A63}"/>
    <cellStyle name="Migliaia [0] 16 2 2 4 4" xfId="50281" xr:uid="{CD080143-63C4-42A6-9081-1C042F2B491C}"/>
    <cellStyle name="Migliaia [0] 16 2 2 4 5" xfId="53297" xr:uid="{5680DB22-6B79-42F0-B1A4-590EE2F5E289}"/>
    <cellStyle name="Migliaia [0] 16 2 2 5" xfId="19534" xr:uid="{878BFC3A-6162-478E-BE10-63C8634F3A51}"/>
    <cellStyle name="Migliaia [0] 16 2 2 6" xfId="24013" xr:uid="{B5E2F5C1-054C-4E1D-BF01-7248BEF9215E}"/>
    <cellStyle name="Migliaia [0] 16 2 2 7" xfId="48827" xr:uid="{7ECAB708-F50B-453C-A3B1-B26201C0475C}"/>
    <cellStyle name="Migliaia [0] 16 2 2 8" xfId="49733" xr:uid="{CFCA9972-E6B4-4437-B8FD-1F8C67B7A56A}"/>
    <cellStyle name="Migliaia [0] 16 2 2 9" xfId="8433" xr:uid="{9C3A3F6A-47AC-4F86-B0C0-8B86E2665F19}"/>
    <cellStyle name="Migliaia [0] 16 2 3" xfId="4580" xr:uid="{118DC9DF-979F-4883-BB66-9009AB29B3BF}"/>
    <cellStyle name="Migliaia [0] 16 2 3 2" xfId="32763" xr:uid="{9830B410-527D-4095-BA46-0B7483BF0BA4}"/>
    <cellStyle name="Migliaia [0] 16 2 3 2 2" xfId="38114" xr:uid="{C5D3C951-8C12-486B-9DE1-C3AB9034652D}"/>
    <cellStyle name="Migliaia [0] 16 2 3 2 3" xfId="43416" xr:uid="{A418BA38-82FC-451C-9FD1-20B798D701C4}"/>
    <cellStyle name="Migliaia [0] 16 2 3 3" xfId="35649" xr:uid="{72F8EB5A-AA8E-417E-8860-C23022B87488}"/>
    <cellStyle name="Migliaia [0] 16 2 3 4" xfId="40765" xr:uid="{2FB77614-E2C6-46CC-9FEC-74807E30E2CC}"/>
    <cellStyle name="Migliaia [0] 16 2 3 5" xfId="11732" xr:uid="{792A93E6-4372-4446-B761-E53E6DB435B6}"/>
    <cellStyle name="Migliaia [0] 16 2 4" xfId="5855" xr:uid="{9279FAE0-1441-43B7-8DE4-299CC35F871C}"/>
    <cellStyle name="Migliaia [0] 16 2 4 2" xfId="19533" xr:uid="{913AD5E3-32C8-4620-B00D-F0E8B5A96971}"/>
    <cellStyle name="Migliaia [0] 16 2 5" xfId="2854" xr:uid="{5DB5DB4F-0935-4C0F-8308-93F1F6AE441C}"/>
    <cellStyle name="Migliaia [0] 16 2 5 2" xfId="24012" xr:uid="{76674159-D835-42BB-88EB-F5D1E7E59F36}"/>
    <cellStyle name="Migliaia [0] 16 2 6" xfId="7243" xr:uid="{FAA2F182-738F-4E8E-A06C-D0280693C655}"/>
    <cellStyle name="Migliaia [0] 16 3" xfId="1504" xr:uid="{00000000-0005-0000-0000-0000F4010000}"/>
    <cellStyle name="Migliaia [0] 16 3 2" xfId="4582" xr:uid="{5AF2D3C7-CC2C-4B00-93C0-9E77A872BFEE}"/>
    <cellStyle name="Migliaia [0] 16 3 2 2" xfId="18308" xr:uid="{970F68BF-F333-48E1-9330-15619403A90B}"/>
    <cellStyle name="Migliaia [0] 16 3 2 2 2" xfId="21735" xr:uid="{DA25D871-2ED0-4D50-AFDC-432E01F9CD07}"/>
    <cellStyle name="Migliaia [0] 16 3 2 2 2 2" xfId="38115" xr:uid="{859FAF6C-8726-495C-A662-A8707ED97C57}"/>
    <cellStyle name="Migliaia [0] 16 3 2 2 3" xfId="43417" xr:uid="{7C6D5772-6D90-4BD0-AC82-EE1EAE70DCC0}"/>
    <cellStyle name="Migliaia [0] 16 3 2 2 4" xfId="32764" xr:uid="{B07164EC-99E0-404B-A567-C279867F961F}"/>
    <cellStyle name="Migliaia [0] 16 3 2 3" xfId="35650" xr:uid="{C0A13E9E-9F53-4D65-95DD-7A8C498E2344}"/>
    <cellStyle name="Migliaia [0] 16 3 2 4" xfId="40766" xr:uid="{84BA2FF8-365C-4712-8F1F-C92F3080D2AE}"/>
    <cellStyle name="Migliaia [0] 16 3 2 5" xfId="48189" xr:uid="{F2DA3795-5DCA-422C-8CC5-791EF08105EA}"/>
    <cellStyle name="Migliaia [0] 16 3 2 6" xfId="50763" xr:uid="{59AE7C24-5C6C-49CE-AAA1-8A62A7E61144}"/>
    <cellStyle name="Migliaia [0] 16 3 2 7" xfId="53779" xr:uid="{BD1D0C24-5E5B-4B43-8284-BEE60A9972A6}"/>
    <cellStyle name="Migliaia [0] 16 3 2 8" xfId="17584" xr:uid="{97FE16D3-AD45-4AEB-AEE2-8DE9ADEDC225}"/>
    <cellStyle name="Migliaia [0] 16 3 2 9" xfId="11733" xr:uid="{8D300038-C2AD-4EEA-8CE6-E64ED859A05E}"/>
    <cellStyle name="Migliaia [0] 16 3 3" xfId="5856" xr:uid="{6D1A37DA-7FEC-457F-B6CF-6C19FA5A59D2}"/>
    <cellStyle name="Migliaia [0] 16 3 3 2" xfId="12215" xr:uid="{C2D877DF-6C5D-49BC-B0EE-16BDE4869CAC}"/>
    <cellStyle name="Migliaia [0] 16 3 4" xfId="2856" xr:uid="{2663A5EB-FC83-49A6-AE4C-5519AF05CD01}"/>
    <cellStyle name="Migliaia [0] 16 3 4 2" xfId="21267" xr:uid="{3A32DE91-D45A-41D8-B9A4-6613CD7C5FBE}"/>
    <cellStyle name="Migliaia [0] 16 3 4 3" xfId="48286" xr:uid="{4641C4CE-6315-45B7-A854-4336E785D3AA}"/>
    <cellStyle name="Migliaia [0] 16 3 4 4" xfId="50282" xr:uid="{B7DB3E22-20CD-4A93-AA86-08A7346FAA3E}"/>
    <cellStyle name="Migliaia [0] 16 3 4 5" xfId="53298" xr:uid="{C10A8DAE-87F3-447B-928E-51979E852EC2}"/>
    <cellStyle name="Migliaia [0] 16 3 4 6" xfId="10632" xr:uid="{190BD210-13F7-4567-B17B-8F61F75757F7}"/>
    <cellStyle name="Migliaia [0] 16 3 5" xfId="19535" xr:uid="{0882E388-545A-45A7-B42F-DF3A437CAEDA}"/>
    <cellStyle name="Migliaia [0] 16 3 6" xfId="24014" xr:uid="{97CD3500-5F70-47B8-887F-2182BD22AC3E}"/>
    <cellStyle name="Migliaia [0] 16 3 7" xfId="8191" xr:uid="{745854A3-ACFD-4955-BF61-E143EDCDF9A2}"/>
    <cellStyle name="Migliaia [0] 16 4" xfId="2857" xr:uid="{2BC7E25F-7FC4-4735-B03B-A633849DF74D}"/>
    <cellStyle name="Migliaia [0] 16 4 2" xfId="4583" xr:uid="{17E3B84D-33A7-44A6-8624-C6ACE3024BD8}"/>
    <cellStyle name="Migliaia [0] 16 4 2 2" xfId="35076" xr:uid="{AD5D2094-D376-42EE-99FE-DAD204E9CC0E}"/>
    <cellStyle name="Migliaia [0] 16 4 2 2 2" xfId="40234" xr:uid="{0849BC59-2C84-4B20-A36A-1421CDA28765}"/>
    <cellStyle name="Migliaia [0] 16 4 2 2 3" xfId="45536" xr:uid="{F9600F36-39F4-463F-9896-B0EFD7B4A878}"/>
    <cellStyle name="Migliaia [0] 16 4 2 3" xfId="37583" xr:uid="{970C617B-0E34-41AD-9A2D-44B4A7BE719A}"/>
    <cellStyle name="Migliaia [0] 16 4 2 4" xfId="42885" xr:uid="{CE0B0887-817D-45D7-9799-E19595687485}"/>
    <cellStyle name="Migliaia [0] 16 4 2 5" xfId="17016" xr:uid="{ED02822A-77DE-4CAD-A028-D90881C39546}"/>
    <cellStyle name="Migliaia [0] 16 4 3" xfId="5857" xr:uid="{A67C460F-F99E-47EA-B49B-4848AFA75DA4}"/>
    <cellStyle name="Migliaia [0] 16 4 3 2" xfId="38116" xr:uid="{DA608E12-D3F2-4998-9478-C3FE78EE5AD2}"/>
    <cellStyle name="Migliaia [0] 16 4 3 3" xfId="43418" xr:uid="{462F2AD8-D515-4A1D-8B41-A33481A5674E}"/>
    <cellStyle name="Migliaia [0] 16 4 3 4" xfId="32765" xr:uid="{3BC1C22C-D4FC-4518-BFBA-DFF978C0D8A0}"/>
    <cellStyle name="Migliaia [0] 16 4 3 5" xfId="19536" xr:uid="{F973B91E-7EC9-45D5-83DC-0DC40DD4CB28}"/>
    <cellStyle name="Migliaia [0] 16 4 4" xfId="35651" xr:uid="{8A4DE0C6-5A9C-49EF-AE95-C14AA82EFE4D}"/>
    <cellStyle name="Migliaia [0] 16 4 5" xfId="40767" xr:uid="{257C5A9F-F038-4ADC-8F03-9AEB6C67E8AE}"/>
    <cellStyle name="Migliaia [0] 16 4 6" xfId="15958" xr:uid="{9F09D49D-4483-49DE-B623-D0ACF5715B5B}"/>
    <cellStyle name="Migliaia [0] 16 4 7" xfId="7771" xr:uid="{109631B8-092B-4016-A95B-FDBD8251D972}"/>
    <cellStyle name="Migliaia [0] 16 5" xfId="4579" xr:uid="{B9F4973C-0DA8-4C34-AF44-321695546224}"/>
    <cellStyle name="Migliaia [0] 16 5 2" xfId="32766" xr:uid="{03CD5899-45E1-4B07-86F1-8CE4540B2E7A}"/>
    <cellStyle name="Migliaia [0] 16 5 2 2" xfId="38117" xr:uid="{D80A802E-CBA7-4AE6-9D1C-9210A3AB3C1C}"/>
    <cellStyle name="Migliaia [0] 16 5 2 3" xfId="43419" xr:uid="{2646E51E-31CE-4F68-91CD-5AEFCDF9012A}"/>
    <cellStyle name="Migliaia [0] 16 5 3" xfId="35652" xr:uid="{FC82FB2E-28FD-4E22-AE1A-AE9321454CAA}"/>
    <cellStyle name="Migliaia [0] 16 5 4" xfId="40768" xr:uid="{054743C0-4523-45EF-AA77-4F3B96970E77}"/>
    <cellStyle name="Migliaia [0] 16 5 5" xfId="17085" xr:uid="{8AB6430F-0DC5-4E21-96C9-82BDE4DE4C4D}"/>
    <cellStyle name="Migliaia [0] 16 6" xfId="5854" xr:uid="{C9808045-6E27-4000-8651-4EC8EA5BEC2D}"/>
    <cellStyle name="Migliaia [0] 16 6 2" xfId="38113" xr:uid="{EACE2553-B932-4555-939A-63BFB60DCB8F}"/>
    <cellStyle name="Migliaia [0] 16 6 3" xfId="43415" xr:uid="{82B5616D-793C-43D4-B99D-57098ABCB2D1}"/>
    <cellStyle name="Migliaia [0] 16 6 4" xfId="32762" xr:uid="{5897CC43-9BB6-49A6-A648-E5EED6355BC4}"/>
    <cellStyle name="Migliaia [0] 16 6 5" xfId="19532" xr:uid="{5B831CAB-6295-41EB-807C-54F83CEFCAB2}"/>
    <cellStyle name="Migliaia [0] 16 7" xfId="2853" xr:uid="{B959A1C6-9D3F-4F0A-800F-2D7566A28395}"/>
    <cellStyle name="Migliaia [0] 16 7 2" xfId="35648" xr:uid="{2638D96B-DD99-4F35-9263-E5E15555EA34}"/>
    <cellStyle name="Migliaia [0] 16 8" xfId="40764" xr:uid="{D9D76532-2525-405F-8576-B6EF3D395D20}"/>
    <cellStyle name="Migliaia [0] 16 9" xfId="6992" xr:uid="{CB054FE2-DB67-4C83-A8E5-838C6EEA28A3}"/>
    <cellStyle name="Migliaia [0] 17" xfId="250" xr:uid="{00000000-0005-0000-0000-0000F5010000}"/>
    <cellStyle name="Migliaia [0] 17 2" xfId="1505" xr:uid="{00000000-0005-0000-0000-0000F6010000}"/>
    <cellStyle name="Migliaia [0] 17 2 2" xfId="1506" xr:uid="{00000000-0005-0000-0000-0000F7010000}"/>
    <cellStyle name="Migliaia [0] 17 2 2 2" xfId="4586" xr:uid="{F1FBBD86-94CA-4B9B-9DC5-FBDD765BB64A}"/>
    <cellStyle name="Migliaia [0] 17 2 2 2 2" xfId="21736" xr:uid="{0DADD3AF-21B8-4D81-98DB-911189B3145B}"/>
    <cellStyle name="Migliaia [0] 17 2 2 2 3" xfId="46286" xr:uid="{FBC469D2-F002-45F3-A032-7201B3184CFC}"/>
    <cellStyle name="Migliaia [0] 17 2 2 2 4" xfId="50764" xr:uid="{BC2059F6-6A97-4E74-B47E-29F1BDA656B7}"/>
    <cellStyle name="Migliaia [0] 17 2 2 2 5" xfId="53780" xr:uid="{40DEC6AF-CC80-496E-8A13-49F44C956D6F}"/>
    <cellStyle name="Migliaia [0] 17 2 2 2 6" xfId="11734" xr:uid="{9E8EB538-6212-487B-97B5-08A8866CF2CF}"/>
    <cellStyle name="Migliaia [0] 17 2 2 3" xfId="2860" xr:uid="{9950277F-9D4C-499C-AEDB-4955E596D37D}"/>
    <cellStyle name="Migliaia [0] 17 2 2 3 2" xfId="12186" xr:uid="{F796D638-CA92-47DD-B6AE-2A9107640883}"/>
    <cellStyle name="Migliaia [0] 17 2 2 4" xfId="10633" xr:uid="{7271F169-24F5-404A-B11A-D0166F5E418C}"/>
    <cellStyle name="Migliaia [0] 17 2 2 4 2" xfId="21268" xr:uid="{70F266CB-871D-4D48-8799-E9C2229529FA}"/>
    <cellStyle name="Migliaia [0] 17 2 2 4 3" xfId="46168" xr:uid="{E5BDF340-A90F-469E-96DE-053397D07F10}"/>
    <cellStyle name="Migliaia [0] 17 2 2 4 4" xfId="50283" xr:uid="{2AF07512-0146-4E26-A508-5CAF63D8B709}"/>
    <cellStyle name="Migliaia [0] 17 2 2 4 5" xfId="53299" xr:uid="{32930395-EC09-4FCB-AE8C-CCD79C4A5AB1}"/>
    <cellStyle name="Migliaia [0] 17 2 2 5" xfId="19539" xr:uid="{C52764A1-B8FE-4605-ACEF-ECA5B7EAF9C0}"/>
    <cellStyle name="Migliaia [0] 17 2 2 6" xfId="24016" xr:uid="{EB9E37C1-716B-46AA-A073-4F89ABAE063A}"/>
    <cellStyle name="Migliaia [0] 17 2 2 7" xfId="48828" xr:uid="{7FFFC0A0-C0F6-46E3-8C39-9F31225B9B3C}"/>
    <cellStyle name="Migliaia [0] 17 2 2 8" xfId="49734" xr:uid="{F51B0482-D5CD-4841-8E7D-EFE0387998D3}"/>
    <cellStyle name="Migliaia [0] 17 2 2 9" xfId="8434" xr:uid="{B114D36C-96D3-471B-A863-7C314A68111E}"/>
    <cellStyle name="Migliaia [0] 17 2 3" xfId="4585" xr:uid="{E34047E6-CC60-49F4-912F-5CC30B295292}"/>
    <cellStyle name="Migliaia [0] 17 2 3 2" xfId="32768" xr:uid="{75E73383-E97A-4A50-8AA2-59F69E26C8BA}"/>
    <cellStyle name="Migliaia [0] 17 2 3 2 2" xfId="38119" xr:uid="{541444E9-1D52-4807-B3D9-6B0633898A50}"/>
    <cellStyle name="Migliaia [0] 17 2 3 2 3" xfId="43421" xr:uid="{975D54E1-E7D1-42C8-AE23-AD72A27E315E}"/>
    <cellStyle name="Migliaia [0] 17 2 3 3" xfId="35654" xr:uid="{8E87BE47-6E4E-4C62-A3EC-FA2D90A042CB}"/>
    <cellStyle name="Migliaia [0] 17 2 3 4" xfId="40770" xr:uid="{339F0493-AEFA-4121-B83A-BDB6CEECD55C}"/>
    <cellStyle name="Migliaia [0] 17 2 3 5" xfId="11735" xr:uid="{9D9B2B8F-D59B-4C0F-861B-E42858E23643}"/>
    <cellStyle name="Migliaia [0] 17 2 4" xfId="5859" xr:uid="{5380DA51-669E-4756-9E77-9DAFB60A64A3}"/>
    <cellStyle name="Migliaia [0] 17 2 4 2" xfId="19538" xr:uid="{4ABBEE9B-9FA3-4413-B640-E76113C7E969}"/>
    <cellStyle name="Migliaia [0] 17 2 5" xfId="2859" xr:uid="{3469B607-9104-4372-9C79-57A915B5CFC6}"/>
    <cellStyle name="Migliaia [0] 17 2 5 2" xfId="24015" xr:uid="{62C1AC2C-05B9-40D7-8E32-A3D431CE87A2}"/>
    <cellStyle name="Migliaia [0] 17 2 6" xfId="7244" xr:uid="{28AF575A-FC0C-4E54-93F7-E86D74E191BD}"/>
    <cellStyle name="Migliaia [0] 17 3" xfId="1507" xr:uid="{00000000-0005-0000-0000-0000F8010000}"/>
    <cellStyle name="Migliaia [0] 17 3 2" xfId="4587" xr:uid="{14C121D0-B4DA-4EBF-8630-EF82BE993059}"/>
    <cellStyle name="Migliaia [0] 17 3 2 2" xfId="18309" xr:uid="{7ECD340F-92B9-4748-BD1F-B43D5B64859A}"/>
    <cellStyle name="Migliaia [0] 17 3 2 2 2" xfId="21737" xr:uid="{03AE767E-FAA7-4B2E-8D23-C066D325C3C3}"/>
    <cellStyle name="Migliaia [0] 17 3 2 2 2 2" xfId="38120" xr:uid="{05617599-177D-49BF-8F6F-F64AA7E21D59}"/>
    <cellStyle name="Migliaia [0] 17 3 2 2 3" xfId="43422" xr:uid="{B3E13B3B-AA05-4474-92D9-1F1E1C10F9BA}"/>
    <cellStyle name="Migliaia [0] 17 3 2 2 4" xfId="32769" xr:uid="{AC9C13C1-F2AF-4530-A477-4011A34DD0EE}"/>
    <cellStyle name="Migliaia [0] 17 3 2 3" xfId="35655" xr:uid="{958C904F-C594-44B8-9201-E1DFC6CBEF38}"/>
    <cellStyle name="Migliaia [0] 17 3 2 4" xfId="40771" xr:uid="{46151754-BEF9-4477-BFFC-352E8A1F127A}"/>
    <cellStyle name="Migliaia [0] 17 3 2 5" xfId="48099" xr:uid="{1191FBD3-B776-446E-ABAB-E69F5E7E7D74}"/>
    <cellStyle name="Migliaia [0] 17 3 2 6" xfId="50765" xr:uid="{BF5F1EF0-7EF3-4561-B3C5-2B30966D680E}"/>
    <cellStyle name="Migliaia [0] 17 3 2 7" xfId="53781" xr:uid="{7F672404-95BD-4D34-819C-AF5B2DD22924}"/>
    <cellStyle name="Migliaia [0] 17 3 2 8" xfId="17585" xr:uid="{FE14AA89-9F2E-4A2A-BE9A-81DC471CF3A0}"/>
    <cellStyle name="Migliaia [0] 17 3 2 9" xfId="11736" xr:uid="{6C3BA5F4-0CE2-4B2A-99B0-704EA98B3AF6}"/>
    <cellStyle name="Migliaia [0] 17 3 3" xfId="5860" xr:uid="{DDF2A1B8-D9C9-4B31-9B78-D1C6D62D34C6}"/>
    <cellStyle name="Migliaia [0] 17 3 3 2" xfId="11165" xr:uid="{7264CE37-479C-4BD4-B4D3-EE6F18860971}"/>
    <cellStyle name="Migliaia [0] 17 3 4" xfId="2861" xr:uid="{2D1A1BFB-4086-42AD-B1D1-1C2254173431}"/>
    <cellStyle name="Migliaia [0] 17 3 4 2" xfId="21269" xr:uid="{79B7BB8C-29F3-4E8B-B6E7-D59035C600E5}"/>
    <cellStyle name="Migliaia [0] 17 3 4 3" xfId="47889" xr:uid="{C11DB687-AB82-4B9E-BE8F-1D74980C821E}"/>
    <cellStyle name="Migliaia [0] 17 3 4 4" xfId="50284" xr:uid="{FD6F929D-A62D-453E-94B9-FD11465A5BB7}"/>
    <cellStyle name="Migliaia [0] 17 3 4 5" xfId="53300" xr:uid="{FF695F01-06A9-479B-B486-FB4EDA45B717}"/>
    <cellStyle name="Migliaia [0] 17 3 4 6" xfId="10634" xr:uid="{FD8C02BF-4255-4432-B29A-2713165D2D94}"/>
    <cellStyle name="Migliaia [0] 17 3 5" xfId="19540" xr:uid="{29D7928F-1D25-4C98-B96F-87E4986BF243}"/>
    <cellStyle name="Migliaia [0] 17 3 6" xfId="24017" xr:uid="{675EAFE3-0C2C-420B-AFC2-4A4B3D510F1C}"/>
    <cellStyle name="Migliaia [0] 17 3 7" xfId="8192" xr:uid="{626044EA-FA3A-4589-811C-64E5180039A1}"/>
    <cellStyle name="Migliaia [0] 17 4" xfId="2862" xr:uid="{BDE0EA76-A509-4E7F-BB3F-D3D726ACD764}"/>
    <cellStyle name="Migliaia [0] 17 4 2" xfId="4588" xr:uid="{F7B3D99D-EB1C-4485-BDC8-3111557CDD00}"/>
    <cellStyle name="Migliaia [0] 17 4 2 2" xfId="35077" xr:uid="{40B28078-D26D-4198-AFB7-F7E75AB9E3E3}"/>
    <cellStyle name="Migliaia [0] 17 4 2 2 2" xfId="40235" xr:uid="{D1F57C40-4C2B-4126-82FD-8A47558BE8AC}"/>
    <cellStyle name="Migliaia [0] 17 4 2 2 3" xfId="45537" xr:uid="{F6C90AB2-6A7F-4457-A15E-7162F767CA8F}"/>
    <cellStyle name="Migliaia [0] 17 4 2 3" xfId="37584" xr:uid="{41322DDA-616D-4D4E-A437-7D7DFA691201}"/>
    <cellStyle name="Migliaia [0] 17 4 2 4" xfId="42886" xr:uid="{12386966-E402-4D46-9835-CECD343D538B}"/>
    <cellStyle name="Migliaia [0] 17 4 2 5" xfId="17017" xr:uid="{644F972E-8541-462B-888F-1FA023C27FDB}"/>
    <cellStyle name="Migliaia [0] 17 4 3" xfId="5861" xr:uid="{14AB56A1-3C05-4162-9377-B8E9D88DB402}"/>
    <cellStyle name="Migliaia [0] 17 4 3 2" xfId="38121" xr:uid="{86AA039A-CE66-42E5-AB1C-2F9F8D558D52}"/>
    <cellStyle name="Migliaia [0] 17 4 3 3" xfId="43423" xr:uid="{47726381-6136-4777-8FF9-38DC660538E0}"/>
    <cellStyle name="Migliaia [0] 17 4 3 4" xfId="32770" xr:uid="{0A222ADC-46B8-45CE-BB28-B0730C7C66C0}"/>
    <cellStyle name="Migliaia [0] 17 4 3 5" xfId="19541" xr:uid="{09A109CB-B914-4883-A82D-B13FF4846313}"/>
    <cellStyle name="Migliaia [0] 17 4 4" xfId="35656" xr:uid="{F9379CC3-DEE2-424D-ADFB-6924535F9719}"/>
    <cellStyle name="Migliaia [0] 17 4 5" xfId="40772" xr:uid="{54E9F44E-CFB7-4F2C-A6E7-C5F51A9A23C1}"/>
    <cellStyle name="Migliaia [0] 17 4 6" xfId="15959" xr:uid="{5E8EACDA-474F-48F6-95F3-8F895D7307C2}"/>
    <cellStyle name="Migliaia [0] 17 4 7" xfId="7772" xr:uid="{875677D0-6428-4D24-8271-97DF733C5537}"/>
    <cellStyle name="Migliaia [0] 17 5" xfId="4584" xr:uid="{FDF3D697-A78F-4D9F-98F6-D63E0EF9F157}"/>
    <cellStyle name="Migliaia [0] 17 5 2" xfId="32771" xr:uid="{EA604285-8F61-4DBB-BEB6-D2EDEE83DD2E}"/>
    <cellStyle name="Migliaia [0] 17 5 2 2" xfId="38122" xr:uid="{15DA75BA-B7FD-47A1-81FA-EB296714FD49}"/>
    <cellStyle name="Migliaia [0] 17 5 2 3" xfId="43424" xr:uid="{8B86C8D2-1DF6-4A6D-BD33-B10C47DFE9D7}"/>
    <cellStyle name="Migliaia [0] 17 5 3" xfId="35657" xr:uid="{E4D40D9F-57F5-49A0-B31F-61CD2F14F582}"/>
    <cellStyle name="Migliaia [0] 17 5 4" xfId="40773" xr:uid="{CA40F2FC-53A8-4C7A-9279-46A019B848E8}"/>
    <cellStyle name="Migliaia [0] 17 5 5" xfId="17086" xr:uid="{7326BA90-D4E7-46DB-8052-5F5069C80FDD}"/>
    <cellStyle name="Migliaia [0] 17 6" xfId="5858" xr:uid="{7687D6DC-C27C-4423-A9B5-931BD7065F74}"/>
    <cellStyle name="Migliaia [0] 17 6 2" xfId="38118" xr:uid="{C82D60FE-61E9-4015-8898-3529662AF85E}"/>
    <cellStyle name="Migliaia [0] 17 6 3" xfId="43420" xr:uid="{A24991AD-D265-4477-968A-EB57280F4504}"/>
    <cellStyle name="Migliaia [0] 17 6 4" xfId="32767" xr:uid="{E1F381ED-C4AD-44B4-BD48-E0E5966637A4}"/>
    <cellStyle name="Migliaia [0] 17 6 5" xfId="19537" xr:uid="{D6BAFF15-6683-4430-9312-F840FEA5A4FA}"/>
    <cellStyle name="Migliaia [0] 17 7" xfId="2858" xr:uid="{7D91B9B4-FD1D-4560-82FF-7748BCDB0C53}"/>
    <cellStyle name="Migliaia [0] 17 7 2" xfId="35653" xr:uid="{79C45933-7135-4C6D-A3B0-EE5B457AD7C3}"/>
    <cellStyle name="Migliaia [0] 17 8" xfId="40769" xr:uid="{AC4904B0-91C5-4822-A082-D5DCC7099990}"/>
    <cellStyle name="Migliaia [0] 17 9" xfId="6993" xr:uid="{89D01E6A-76A5-4F8B-ABDB-7945BD65456E}"/>
    <cellStyle name="Migliaia [0] 18" xfId="251" xr:uid="{00000000-0005-0000-0000-0000F9010000}"/>
    <cellStyle name="Migliaia [0] 18 2" xfId="1508" xr:uid="{00000000-0005-0000-0000-0000FA010000}"/>
    <cellStyle name="Migliaia [0] 18 2 2" xfId="1509" xr:uid="{00000000-0005-0000-0000-0000FB010000}"/>
    <cellStyle name="Migliaia [0] 18 2 2 2" xfId="4591" xr:uid="{F505F408-46B4-43A6-80A3-90FAA0F025D3}"/>
    <cellStyle name="Migliaia [0] 18 2 2 2 2" xfId="21738" xr:uid="{97F03B8C-DA67-4610-A473-7CFB57F892C5}"/>
    <cellStyle name="Migliaia [0] 18 2 2 2 3" xfId="46735" xr:uid="{D130AAA9-48A7-4938-B41B-C1E2BCB44CB8}"/>
    <cellStyle name="Migliaia [0] 18 2 2 2 4" xfId="50766" xr:uid="{C1DEE424-FF47-4D64-B56D-465E69EB5AF0}"/>
    <cellStyle name="Migliaia [0] 18 2 2 2 5" xfId="53782" xr:uid="{E60A1457-1CAE-4B88-BCA5-887634CBFE8D}"/>
    <cellStyle name="Migliaia [0] 18 2 2 2 6" xfId="11737" xr:uid="{377682E3-A368-45A5-8055-DA41A093065C}"/>
    <cellStyle name="Migliaia [0] 18 2 2 3" xfId="2865" xr:uid="{A22E6125-3EFB-42B0-87DC-B40D706D6A1C}"/>
    <cellStyle name="Migliaia [0] 18 2 2 3 2" xfId="11551" xr:uid="{E86D6CDA-C38E-43B8-9960-9C928EA79245}"/>
    <cellStyle name="Migliaia [0] 18 2 2 4" xfId="10635" xr:uid="{0DEA23CF-7F9F-48D1-8A14-76584FDE9B6E}"/>
    <cellStyle name="Migliaia [0] 18 2 2 4 2" xfId="21270" xr:uid="{57E2CF73-8F49-48F8-AFC4-23BF4427E33C}"/>
    <cellStyle name="Migliaia [0] 18 2 2 4 3" xfId="47296" xr:uid="{CE1EE66A-9DAC-4CD4-A211-DD5547387F09}"/>
    <cellStyle name="Migliaia [0] 18 2 2 4 4" xfId="50285" xr:uid="{C2BDBB96-082C-4EB0-A4AE-4E90605F1F89}"/>
    <cellStyle name="Migliaia [0] 18 2 2 4 5" xfId="53301" xr:uid="{0E51DBF7-21F8-4516-92A1-2B46808264A5}"/>
    <cellStyle name="Migliaia [0] 18 2 2 5" xfId="19544" xr:uid="{4A84BD9B-FE69-4607-98B5-FBE0B713701B}"/>
    <cellStyle name="Migliaia [0] 18 2 2 6" xfId="24019" xr:uid="{64DBC5C1-20EB-44A1-9002-F8764BCED07A}"/>
    <cellStyle name="Migliaia [0] 18 2 2 7" xfId="48829" xr:uid="{56402C37-BFA3-47BC-87CE-32EA6D1CBC82}"/>
    <cellStyle name="Migliaia [0] 18 2 2 8" xfId="49735" xr:uid="{BF7CF1A0-42ED-42D1-835A-8CCDC8BFEB9C}"/>
    <cellStyle name="Migliaia [0] 18 2 2 9" xfId="8435" xr:uid="{EEB7A450-4C85-4882-AC13-1097B94FF607}"/>
    <cellStyle name="Migliaia [0] 18 2 3" xfId="4590" xr:uid="{13429661-C425-45F6-90A2-866C2FDC7EF0}"/>
    <cellStyle name="Migliaia [0] 18 2 3 2" xfId="32773" xr:uid="{71C2425A-1993-4115-8D06-30CF27262FCA}"/>
    <cellStyle name="Migliaia [0] 18 2 3 2 2" xfId="38124" xr:uid="{33165B8E-5323-4BDC-B35A-545AAE58B7A4}"/>
    <cellStyle name="Migliaia [0] 18 2 3 2 3" xfId="43426" xr:uid="{AD8094C9-416A-4EF6-8390-343AD2B3545F}"/>
    <cellStyle name="Migliaia [0] 18 2 3 3" xfId="35659" xr:uid="{517D14D9-A5B2-4995-A0C0-683CA72B6256}"/>
    <cellStyle name="Migliaia [0] 18 2 3 4" xfId="40775" xr:uid="{2DEC65B5-D568-4CEF-B484-A246F7DCA241}"/>
    <cellStyle name="Migliaia [0] 18 2 3 5" xfId="11738" xr:uid="{FFE4698B-A072-4C3F-8CF3-83248C4AA9AA}"/>
    <cellStyle name="Migliaia [0] 18 2 4" xfId="5863" xr:uid="{63FD39A2-DDBF-4E70-AB7F-6C0E93707D1C}"/>
    <cellStyle name="Migliaia [0] 18 2 4 2" xfId="19543" xr:uid="{4DDADC73-0EA2-4C4F-9417-B3CCDF227064}"/>
    <cellStyle name="Migliaia [0] 18 2 5" xfId="2864" xr:uid="{61DD176E-D810-443E-8FCD-8DCFE10B37CF}"/>
    <cellStyle name="Migliaia [0] 18 2 5 2" xfId="24018" xr:uid="{79880F87-C54B-407E-9DAB-A33CC9EC4463}"/>
    <cellStyle name="Migliaia [0] 18 2 6" xfId="7245" xr:uid="{9C30BFA1-51E8-46B8-AF1B-8A11A6E6B95D}"/>
    <cellStyle name="Migliaia [0] 18 3" xfId="1510" xr:uid="{00000000-0005-0000-0000-0000FC010000}"/>
    <cellStyle name="Migliaia [0] 18 3 2" xfId="4592" xr:uid="{1797A264-FBC6-4482-9D92-A6B54AAE14DC}"/>
    <cellStyle name="Migliaia [0] 18 3 2 2" xfId="18310" xr:uid="{E26449A6-4CB3-45E0-BC0C-133F15A8E3C4}"/>
    <cellStyle name="Migliaia [0] 18 3 2 2 2" xfId="21739" xr:uid="{85D23446-A178-4883-A061-3CDA3E2499A1}"/>
    <cellStyle name="Migliaia [0] 18 3 2 2 2 2" xfId="38125" xr:uid="{B2ACEB25-5741-4748-80E2-FCC614E98C34}"/>
    <cellStyle name="Migliaia [0] 18 3 2 2 3" xfId="43427" xr:uid="{6580B1A6-A079-4589-9A6A-E7D3EA5F9DDF}"/>
    <cellStyle name="Migliaia [0] 18 3 2 2 4" xfId="32774" xr:uid="{0E626646-AB50-45CB-8056-BF02C26471CE}"/>
    <cellStyle name="Migliaia [0] 18 3 2 3" xfId="35660" xr:uid="{3B36A86B-EDB9-4D0F-8384-57EC3D47E5D6}"/>
    <cellStyle name="Migliaia [0] 18 3 2 4" xfId="40776" xr:uid="{1406EABF-BDB7-475E-923F-3E604BA2FA19}"/>
    <cellStyle name="Migliaia [0] 18 3 2 5" xfId="35951" xr:uid="{303D1360-7C1B-4D42-8761-9400061E9496}"/>
    <cellStyle name="Migliaia [0] 18 3 2 6" xfId="50767" xr:uid="{B8A58E68-5529-44B4-B99D-A70C69EFED02}"/>
    <cellStyle name="Migliaia [0] 18 3 2 7" xfId="53783" xr:uid="{702F0A7B-B9B6-4D97-BAAF-0783415A024C}"/>
    <cellStyle name="Migliaia [0] 18 3 2 8" xfId="17586" xr:uid="{51C0CE53-E3C2-4CB3-8475-B4335A5B2A97}"/>
    <cellStyle name="Migliaia [0] 18 3 2 9" xfId="11739" xr:uid="{92F366EC-A8EB-4C62-8BC7-D47168076BD5}"/>
    <cellStyle name="Migliaia [0] 18 3 3" xfId="5864" xr:uid="{98B6DE05-E60F-438C-8707-4097884BF390}"/>
    <cellStyle name="Migliaia [0] 18 3 3 2" xfId="11547" xr:uid="{7E7698E4-9E2F-4865-9D42-8C767C30243B}"/>
    <cellStyle name="Migliaia [0] 18 3 4" xfId="2866" xr:uid="{5322999B-0CDA-487C-B58D-AF0050E74636}"/>
    <cellStyle name="Migliaia [0] 18 3 4 2" xfId="21271" xr:uid="{0534C7AC-84B6-455D-BBF2-B88A1E266838}"/>
    <cellStyle name="Migliaia [0] 18 3 4 3" xfId="46169" xr:uid="{5BDC5978-F9FD-44AA-9FB6-6F9D4BD01052}"/>
    <cellStyle name="Migliaia [0] 18 3 4 4" xfId="50286" xr:uid="{292A5217-FBA5-4A4D-9E90-63A7F9D5DCFA}"/>
    <cellStyle name="Migliaia [0] 18 3 4 5" xfId="53302" xr:uid="{FDA475FC-5073-4A9A-A6FF-A6FB54A846C7}"/>
    <cellStyle name="Migliaia [0] 18 3 4 6" xfId="10636" xr:uid="{FA855DE5-AE12-419F-A084-72ED155293CE}"/>
    <cellStyle name="Migliaia [0] 18 3 5" xfId="19545" xr:uid="{E77DB494-DE03-4F6B-89B5-34E9840B0970}"/>
    <cellStyle name="Migliaia [0] 18 3 6" xfId="24020" xr:uid="{7AC2689E-7B61-4DE1-8A8E-F5E2437CD559}"/>
    <cellStyle name="Migliaia [0] 18 3 7" xfId="8193" xr:uid="{43E076BE-DEE3-4F1C-9CB0-B67B4A6ED5C7}"/>
    <cellStyle name="Migliaia [0] 18 4" xfId="2867" xr:uid="{C26C3942-7771-4D14-9CE8-AB97671F23E7}"/>
    <cellStyle name="Migliaia [0] 18 4 2" xfId="4593" xr:uid="{00AABA45-ABB0-4A6B-99D5-8CFACC41315E}"/>
    <cellStyle name="Migliaia [0] 18 4 2 2" xfId="35078" xr:uid="{A0516A2E-5C4B-41FC-AEB4-B96FB657C0EE}"/>
    <cellStyle name="Migliaia [0] 18 4 2 2 2" xfId="40236" xr:uid="{F7DDE961-DB22-496E-AB37-14888BE4F3FB}"/>
    <cellStyle name="Migliaia [0] 18 4 2 2 3" xfId="45538" xr:uid="{F92BCC99-C572-46C2-B332-54A4AA546251}"/>
    <cellStyle name="Migliaia [0] 18 4 2 3" xfId="37585" xr:uid="{ACE8A591-EAA1-482A-AA1C-93F58F7C7DF7}"/>
    <cellStyle name="Migliaia [0] 18 4 2 4" xfId="42887" xr:uid="{D0960B89-1213-4951-9B0A-15FA53B29590}"/>
    <cellStyle name="Migliaia [0] 18 4 2 5" xfId="17018" xr:uid="{4330AFC4-1295-4B6E-A008-C4A4D060C6FE}"/>
    <cellStyle name="Migliaia [0] 18 4 3" xfId="5865" xr:uid="{01AB2B8E-950A-40E9-95B8-8B9E7AD29E5E}"/>
    <cellStyle name="Migliaia [0] 18 4 3 2" xfId="38126" xr:uid="{786814BD-56D8-4F8E-AD6C-8404D5190F4F}"/>
    <cellStyle name="Migliaia [0] 18 4 3 3" xfId="43428" xr:uid="{63C28CB4-0CF0-42B4-92B4-6959DC3DDA95}"/>
    <cellStyle name="Migliaia [0] 18 4 3 4" xfId="32775" xr:uid="{4878F397-6250-40E2-BCDF-C3E57D719CF9}"/>
    <cellStyle name="Migliaia [0] 18 4 3 5" xfId="19546" xr:uid="{80F7C104-2400-477C-9215-1E6D460F3386}"/>
    <cellStyle name="Migliaia [0] 18 4 4" xfId="35661" xr:uid="{42258AF7-02B4-4AAE-84A7-278238A56CEB}"/>
    <cellStyle name="Migliaia [0] 18 4 5" xfId="40777" xr:uid="{3C2EC2DD-BC8F-46FB-A4F8-01BEF072E841}"/>
    <cellStyle name="Migliaia [0] 18 4 6" xfId="15960" xr:uid="{DC577D89-88D0-4208-9365-9BC713EE9195}"/>
    <cellStyle name="Migliaia [0] 18 4 7" xfId="7773" xr:uid="{81B67FA3-FF3D-46F1-BC16-51A5BC4E2712}"/>
    <cellStyle name="Migliaia [0] 18 5" xfId="4589" xr:uid="{8E4BAA47-B919-490B-A7D4-01359FF6CF58}"/>
    <cellStyle name="Migliaia [0] 18 5 2" xfId="32776" xr:uid="{796518F4-388B-4E22-876E-51DFF8137C43}"/>
    <cellStyle name="Migliaia [0] 18 5 2 2" xfId="38127" xr:uid="{43EF3F86-F52C-4AF6-B165-AAF6FF2D198B}"/>
    <cellStyle name="Migliaia [0] 18 5 2 3" xfId="43429" xr:uid="{F0F88EA1-5AC3-464B-A1FD-E43DFA2E274E}"/>
    <cellStyle name="Migliaia [0] 18 5 3" xfId="35662" xr:uid="{DF68FBC2-6A71-431C-8D03-FA924EA40636}"/>
    <cellStyle name="Migliaia [0] 18 5 4" xfId="40778" xr:uid="{6E6CE4B8-3E30-48AC-A670-054FC157A6C1}"/>
    <cellStyle name="Migliaia [0] 18 5 5" xfId="17087" xr:uid="{4C1260C2-6468-4D3B-8F67-F85526C6E0C0}"/>
    <cellStyle name="Migliaia [0] 18 6" xfId="5862" xr:uid="{D5C4B93D-77EC-4134-8FF8-34E07775EE3E}"/>
    <cellStyle name="Migliaia [0] 18 6 2" xfId="38123" xr:uid="{A997339E-1B7D-4D11-A76F-56574B6BE05F}"/>
    <cellStyle name="Migliaia [0] 18 6 3" xfId="43425" xr:uid="{8F6799FC-540E-4F4A-8582-06DDB214A421}"/>
    <cellStyle name="Migliaia [0] 18 6 4" xfId="32772" xr:uid="{70FFDF0A-113C-4230-B8FA-CEAC92208CF7}"/>
    <cellStyle name="Migliaia [0] 18 6 5" xfId="19542" xr:uid="{AB451DE7-B7B6-4918-BA5F-02722951C9DD}"/>
    <cellStyle name="Migliaia [0] 18 7" xfId="2863" xr:uid="{DD37CF0F-097D-4274-8F7B-6C89475AA05A}"/>
    <cellStyle name="Migliaia [0] 18 7 2" xfId="35658" xr:uid="{A416635D-3188-47CE-9044-EBECF9CAB1CD}"/>
    <cellStyle name="Migliaia [0] 18 8" xfId="40774" xr:uid="{CE741FE1-E509-4B7F-9713-76FBE78E68D7}"/>
    <cellStyle name="Migliaia [0] 18 9" xfId="6994" xr:uid="{221A4964-515C-4A99-B97F-9627CB0F527F}"/>
    <cellStyle name="Migliaia [0] 19" xfId="252" xr:uid="{00000000-0005-0000-0000-0000FD010000}"/>
    <cellStyle name="Migliaia [0] 19 2" xfId="1511" xr:uid="{00000000-0005-0000-0000-0000FE010000}"/>
    <cellStyle name="Migliaia [0] 19 2 2" xfId="1512" xr:uid="{00000000-0005-0000-0000-0000FF010000}"/>
    <cellStyle name="Migliaia [0] 19 2 2 2" xfId="4596" xr:uid="{5356398C-A651-4D19-8C07-B176DA22E8F7}"/>
    <cellStyle name="Migliaia [0] 19 2 2 2 2" xfId="21740" xr:uid="{B87DB490-BF75-4A45-8E96-4C153D09F158}"/>
    <cellStyle name="Migliaia [0] 19 2 2 2 3" xfId="46287" xr:uid="{88C46F25-DFE6-4BA0-A4A7-B452172AC30F}"/>
    <cellStyle name="Migliaia [0] 19 2 2 2 4" xfId="50768" xr:uid="{493A293A-22CC-43DA-87DD-E708DAB845E4}"/>
    <cellStyle name="Migliaia [0] 19 2 2 2 5" xfId="53784" xr:uid="{857CE5A9-0BD7-4BA2-A0B0-EE91895BF58A}"/>
    <cellStyle name="Migliaia [0] 19 2 2 2 6" xfId="11740" xr:uid="{2784E933-E061-4859-AB4A-2FFFC794A5E6}"/>
    <cellStyle name="Migliaia [0] 19 2 2 3" xfId="2870" xr:uid="{E3E17C4D-34A8-4528-A88B-5C1E5307A0BF}"/>
    <cellStyle name="Migliaia [0] 19 2 2 3 2" xfId="12354" xr:uid="{832FF789-DBA6-41AF-9008-AA67601ADB92}"/>
    <cellStyle name="Migliaia [0] 19 2 2 4" xfId="10637" xr:uid="{986E48EC-A214-4D33-BE8D-E7A532FAC6A9}"/>
    <cellStyle name="Migliaia [0] 19 2 2 4 2" xfId="21272" xr:uid="{CF76B18D-FDCA-4EBC-92B8-CFCA29BA1840}"/>
    <cellStyle name="Migliaia [0] 19 2 2 4 3" xfId="46170" xr:uid="{6D3D43F5-AB76-412C-8046-9B849D542771}"/>
    <cellStyle name="Migliaia [0] 19 2 2 4 4" xfId="50287" xr:uid="{911A0D6F-40C3-4B65-9EAA-00BFAFEEE4B5}"/>
    <cellStyle name="Migliaia [0] 19 2 2 4 5" xfId="53303" xr:uid="{C15805F9-D0FE-4298-A290-974BA23F55F3}"/>
    <cellStyle name="Migliaia [0] 19 2 2 5" xfId="19549" xr:uid="{8A2E4530-6ABF-47CC-B7E1-05F5FE458868}"/>
    <cellStyle name="Migliaia [0] 19 2 2 6" xfId="24022" xr:uid="{DD4C3784-90B8-4544-AD21-20722A78ED99}"/>
    <cellStyle name="Migliaia [0] 19 2 2 7" xfId="48830" xr:uid="{F68AAA17-7EB8-40FD-8314-2533CA5B3B65}"/>
    <cellStyle name="Migliaia [0] 19 2 2 8" xfId="49736" xr:uid="{3DB6E478-380F-4FAD-AC91-6259AC62642F}"/>
    <cellStyle name="Migliaia [0] 19 2 2 9" xfId="8436" xr:uid="{7D63F8D6-A9B6-4381-AC3D-44BA763529D2}"/>
    <cellStyle name="Migliaia [0] 19 2 3" xfId="4595" xr:uid="{40B5E304-7698-4E99-9C70-58EAD436BBA9}"/>
    <cellStyle name="Migliaia [0] 19 2 3 2" xfId="32778" xr:uid="{2B195BD6-C85B-46A2-A496-AF99F247F0C7}"/>
    <cellStyle name="Migliaia [0] 19 2 3 2 2" xfId="38129" xr:uid="{F4EE5B1F-06D0-4D08-8317-FEA1088F8FFC}"/>
    <cellStyle name="Migliaia [0] 19 2 3 2 3" xfId="43431" xr:uid="{744407BC-04B5-4A1E-BE61-163BFBE5D2A6}"/>
    <cellStyle name="Migliaia [0] 19 2 3 3" xfId="35664" xr:uid="{736F7141-6F76-451C-9613-9C5A117553AD}"/>
    <cellStyle name="Migliaia [0] 19 2 3 4" xfId="40780" xr:uid="{3592855D-4FEA-4DAB-B2AE-FEF5E4E99D3D}"/>
    <cellStyle name="Migliaia [0] 19 2 3 5" xfId="11741" xr:uid="{27B26C2D-1A97-4040-8F9F-D036E27F30AF}"/>
    <cellStyle name="Migliaia [0] 19 2 4" xfId="5867" xr:uid="{F12D0934-D320-4614-B905-91DCC1899198}"/>
    <cellStyle name="Migliaia [0] 19 2 4 2" xfId="19548" xr:uid="{A3CE42F1-E6B9-4066-B68A-6B2CAC22C6B3}"/>
    <cellStyle name="Migliaia [0] 19 2 5" xfId="2869" xr:uid="{65F382B3-2DDE-4CAF-BDA8-B0148BB8953F}"/>
    <cellStyle name="Migliaia [0] 19 2 5 2" xfId="24021" xr:uid="{DB7C797D-C349-43C3-B39A-B4BCB3A4E1C5}"/>
    <cellStyle name="Migliaia [0] 19 2 6" xfId="7246" xr:uid="{3776386B-67C7-4D1D-BD5C-1210EDEE3B77}"/>
    <cellStyle name="Migliaia [0] 19 3" xfId="1513" xr:uid="{00000000-0005-0000-0000-000000020000}"/>
    <cellStyle name="Migliaia [0] 19 3 2" xfId="4597" xr:uid="{B6FEC387-C1AE-4CAF-885B-B1692C07FAEF}"/>
    <cellStyle name="Migliaia [0] 19 3 2 2" xfId="18311" xr:uid="{1122C167-B520-4D40-98D6-FEF735900C21}"/>
    <cellStyle name="Migliaia [0] 19 3 2 2 2" xfId="21741" xr:uid="{4FDF75D0-9D24-4B54-A63E-3C730A4BB79F}"/>
    <cellStyle name="Migliaia [0] 19 3 2 2 2 2" xfId="38130" xr:uid="{5256DB92-AC31-42D8-8823-56B622E5E249}"/>
    <cellStyle name="Migliaia [0] 19 3 2 2 3" xfId="43432" xr:uid="{CF246FDD-7C00-416C-AAC9-F8901ED58F57}"/>
    <cellStyle name="Migliaia [0] 19 3 2 2 4" xfId="32779" xr:uid="{715000F1-C5DA-494F-81C6-A9AAF205F086}"/>
    <cellStyle name="Migliaia [0] 19 3 2 3" xfId="35665" xr:uid="{5FE76993-FA93-40D2-918B-2D92ADB7237D}"/>
    <cellStyle name="Migliaia [0] 19 3 2 4" xfId="40781" xr:uid="{50F7E3BB-D1F2-4561-BEA3-0ADD065360DF}"/>
    <cellStyle name="Migliaia [0] 19 3 2 5" xfId="24494" xr:uid="{F414E7E3-DA4E-428B-AFC2-4821FA38CCA1}"/>
    <cellStyle name="Migliaia [0] 19 3 2 6" xfId="50769" xr:uid="{3FD13C3D-9C38-4015-ABF4-828799CF1BD9}"/>
    <cellStyle name="Migliaia [0] 19 3 2 7" xfId="53785" xr:uid="{A535B1A7-F9FA-41CB-87ED-A17C77EA16E6}"/>
    <cellStyle name="Migliaia [0] 19 3 2 8" xfId="17587" xr:uid="{7F21FC6B-0038-4F6C-B020-92F788807061}"/>
    <cellStyle name="Migliaia [0] 19 3 2 9" xfId="11742" xr:uid="{EF94833F-9ED6-4B03-A077-0CBF14BA05B6}"/>
    <cellStyle name="Migliaia [0] 19 3 3" xfId="5868" xr:uid="{A4081059-7674-4794-93F1-40CD361D0383}"/>
    <cellStyle name="Migliaia [0] 19 3 3 2" xfId="11133" xr:uid="{BA5E1400-717B-4324-B804-843468ABB3D5}"/>
    <cellStyle name="Migliaia [0] 19 3 4" xfId="2871" xr:uid="{12AB1581-2A95-4546-B214-7E38BB96C26E}"/>
    <cellStyle name="Migliaia [0] 19 3 4 2" xfId="21273" xr:uid="{AEE94781-694B-4125-8613-3BFFD1B9063B}"/>
    <cellStyle name="Migliaia [0] 19 3 4 3" xfId="46171" xr:uid="{66258777-8C7E-4B63-A741-E6650114E70B}"/>
    <cellStyle name="Migliaia [0] 19 3 4 4" xfId="50288" xr:uid="{34095717-F7FC-4A62-A8DF-00A17D62AA5B}"/>
    <cellStyle name="Migliaia [0] 19 3 4 5" xfId="53304" xr:uid="{064D9458-480D-411A-BD99-81B29B581EBC}"/>
    <cellStyle name="Migliaia [0] 19 3 4 6" xfId="10638" xr:uid="{B93EB72C-687F-4D32-9021-C62FA2C72383}"/>
    <cellStyle name="Migliaia [0] 19 3 5" xfId="19550" xr:uid="{3601ACFB-1E45-4968-BF2D-2C427615675C}"/>
    <cellStyle name="Migliaia [0] 19 3 6" xfId="24023" xr:uid="{8820AE9F-F001-4278-8DE8-96A32714746F}"/>
    <cellStyle name="Migliaia [0] 19 3 7" xfId="8194" xr:uid="{0C1A6ED1-7161-453B-8DCB-95361E0C6F14}"/>
    <cellStyle name="Migliaia [0] 19 4" xfId="2872" xr:uid="{AFCEB89A-DD55-4599-80ED-151B98AA9A5A}"/>
    <cellStyle name="Migliaia [0] 19 4 2" xfId="4598" xr:uid="{923C6A1A-9C63-4187-8639-E23A93D47026}"/>
    <cellStyle name="Migliaia [0] 19 4 2 2" xfId="35079" xr:uid="{B8BD1607-48AB-4F59-871D-FFE642B4633C}"/>
    <cellStyle name="Migliaia [0] 19 4 2 2 2" xfId="40237" xr:uid="{18D80F1B-8724-4AD5-9B36-F19B8B27B995}"/>
    <cellStyle name="Migliaia [0] 19 4 2 2 3" xfId="45539" xr:uid="{887D5026-1AEA-4A70-9724-177AA36F2537}"/>
    <cellStyle name="Migliaia [0] 19 4 2 3" xfId="37586" xr:uid="{FA3253EA-7412-405C-88CA-643CCC066733}"/>
    <cellStyle name="Migliaia [0] 19 4 2 4" xfId="42888" xr:uid="{60E44604-E360-4A31-BF4B-3BD06DF13AAE}"/>
    <cellStyle name="Migliaia [0] 19 4 2 5" xfId="17019" xr:uid="{7556E6F6-BD0A-44A2-B67F-AC10D72DB6DB}"/>
    <cellStyle name="Migliaia [0] 19 4 3" xfId="5869" xr:uid="{604F9DF5-5E35-49DC-93AA-F4C152CC4DFA}"/>
    <cellStyle name="Migliaia [0] 19 4 3 2" xfId="38131" xr:uid="{178453C1-C1F1-41F9-BC66-AB5A6C067640}"/>
    <cellStyle name="Migliaia [0] 19 4 3 3" xfId="43433" xr:uid="{8C6B8AB8-F86F-485C-B2BE-3B9F1D3FCDDE}"/>
    <cellStyle name="Migliaia [0] 19 4 3 4" xfId="32780" xr:uid="{FE1903E4-3C7A-4CDB-9314-D7340D9DF46D}"/>
    <cellStyle name="Migliaia [0] 19 4 3 5" xfId="19551" xr:uid="{6B7D5F95-8B2D-447E-9A72-C828F313D3CA}"/>
    <cellStyle name="Migliaia [0] 19 4 4" xfId="35666" xr:uid="{3D5FACD7-CBD7-4EBE-A501-DCDDBB0F12A5}"/>
    <cellStyle name="Migliaia [0] 19 4 5" xfId="40782" xr:uid="{0A67B684-081F-4AF5-83B5-65956E3F1259}"/>
    <cellStyle name="Migliaia [0] 19 4 6" xfId="15961" xr:uid="{2C34DABC-B2DC-41F5-BD00-7A1690D683F5}"/>
    <cellStyle name="Migliaia [0] 19 4 7" xfId="7774" xr:uid="{162B6D5C-465A-49DF-8968-5B7FEED9F8D5}"/>
    <cellStyle name="Migliaia [0] 19 5" xfId="4594" xr:uid="{5E1F27F8-0D36-4D21-830A-59B617EA311F}"/>
    <cellStyle name="Migliaia [0] 19 5 2" xfId="32781" xr:uid="{E34EA662-964F-47F4-B0C6-C526E866567E}"/>
    <cellStyle name="Migliaia [0] 19 5 2 2" xfId="38132" xr:uid="{645586D2-FE40-436A-BA6D-F991A13B9E05}"/>
    <cellStyle name="Migliaia [0] 19 5 2 3" xfId="43434" xr:uid="{F4972093-9C46-4566-9022-4D642F5DB4DE}"/>
    <cellStyle name="Migliaia [0] 19 5 3" xfId="35667" xr:uid="{B8236145-A8E6-4B4E-8FDC-20195B92D32D}"/>
    <cellStyle name="Migliaia [0] 19 5 4" xfId="40783" xr:uid="{C0A8480C-B2BF-4B03-A6B9-3B02902513E7}"/>
    <cellStyle name="Migliaia [0] 19 5 5" xfId="17088" xr:uid="{83FEFF4D-34FD-4E81-B32F-5C56FD89E3F7}"/>
    <cellStyle name="Migliaia [0] 19 6" xfId="5866" xr:uid="{435F2CA6-0C35-4118-86A8-230721F2278A}"/>
    <cellStyle name="Migliaia [0] 19 6 2" xfId="38128" xr:uid="{92029ADD-4700-47D4-BE1D-84D547AB29CD}"/>
    <cellStyle name="Migliaia [0] 19 6 3" xfId="43430" xr:uid="{B1CB19C7-0602-4731-8056-12E51A126A03}"/>
    <cellStyle name="Migliaia [0] 19 6 4" xfId="32777" xr:uid="{6E47C35B-7602-49D3-8FCD-DA12773BB306}"/>
    <cellStyle name="Migliaia [0] 19 6 5" xfId="19547" xr:uid="{5BE878CE-D9D0-429C-8260-537AB71E0563}"/>
    <cellStyle name="Migliaia [0] 19 7" xfId="2868" xr:uid="{EEB27739-E584-4494-A640-FE53D3149E08}"/>
    <cellStyle name="Migliaia [0] 19 7 2" xfId="35663" xr:uid="{3C8EFFC9-C353-47A1-812C-B2EF3C8BF1F6}"/>
    <cellStyle name="Migliaia [0] 19 8" xfId="40779" xr:uid="{9C87CA7F-0DBF-436F-9F5D-71ACE2DA24E1}"/>
    <cellStyle name="Migliaia [0] 19 9" xfId="6995" xr:uid="{3782C50D-F6D6-4957-88F9-41F1DFB7AA74}"/>
    <cellStyle name="Migliaia [0] 2" xfId="253" xr:uid="{00000000-0005-0000-0000-000001020000}"/>
    <cellStyle name="Migliaia [0] 2 2" xfId="1514" xr:uid="{00000000-0005-0000-0000-000002020000}"/>
    <cellStyle name="Migliaia [0] 2 2 2" xfId="1515" xr:uid="{00000000-0005-0000-0000-000003020000}"/>
    <cellStyle name="Migliaia [0] 2 2 2 2" xfId="4601" xr:uid="{F9DF5DF2-E6E9-4871-AF91-8AC0E3A655B6}"/>
    <cellStyle name="Migliaia [0] 2 2 2 2 2" xfId="21742" xr:uid="{2CCF6917-01EE-4351-836B-A4F6990FA5AD}"/>
    <cellStyle name="Migliaia [0] 2 2 2 2 3" xfId="46736" xr:uid="{580176CE-23AD-4745-AA3F-BD0049F4F158}"/>
    <cellStyle name="Migliaia [0] 2 2 2 2 4" xfId="50770" xr:uid="{E25C32A1-9A17-4BEA-8D3B-3A68027DAD26}"/>
    <cellStyle name="Migliaia [0] 2 2 2 2 5" xfId="53786" xr:uid="{27787995-BE90-42A5-AD4A-74874C439D0C}"/>
    <cellStyle name="Migliaia [0] 2 2 2 2 6" xfId="11743" xr:uid="{8A770743-14D0-4AA6-BB4F-6CADFD48BD2D}"/>
    <cellStyle name="Migliaia [0] 2 2 2 3" xfId="2875" xr:uid="{765F5C51-ECC4-4806-BE3F-C42227B1D082}"/>
    <cellStyle name="Migliaia [0] 2 2 2 3 2" xfId="12353" xr:uid="{73D5CAC1-D228-4BB2-942F-8C9B026933ED}"/>
    <cellStyle name="Migliaia [0] 2 2 2 4" xfId="10639" xr:uid="{F4F59DAC-9850-4E0A-9D9B-D2C9631E74D2}"/>
    <cellStyle name="Migliaia [0] 2 2 2 4 2" xfId="21274" xr:uid="{E7F40280-82F3-4CD7-AC98-D8583350873A}"/>
    <cellStyle name="Migliaia [0] 2 2 2 4 3" xfId="46172" xr:uid="{729BA8BE-83B9-4CC7-8219-39B7630485D8}"/>
    <cellStyle name="Migliaia [0] 2 2 2 4 4" xfId="50289" xr:uid="{C8E8D0EA-69B2-4F61-AA04-F8A9B8B3E536}"/>
    <cellStyle name="Migliaia [0] 2 2 2 4 5" xfId="53305" xr:uid="{5C3EE4AF-ABFE-4AE6-8F7C-DECE630309E0}"/>
    <cellStyle name="Migliaia [0] 2 2 2 5" xfId="19554" xr:uid="{6642810C-1E72-4C58-A023-4BFFA7935346}"/>
    <cellStyle name="Migliaia [0] 2 2 2 6" xfId="24025" xr:uid="{28D62344-3B64-40C0-9031-6176702E272D}"/>
    <cellStyle name="Migliaia [0] 2 2 2 7" xfId="48831" xr:uid="{28DA3A7B-605D-4A47-AEF8-9279A4D0281C}"/>
    <cellStyle name="Migliaia [0] 2 2 2 8" xfId="49737" xr:uid="{096E61E5-6BEC-43E3-A354-FFA116D3F207}"/>
    <cellStyle name="Migliaia [0] 2 2 2 9" xfId="8437" xr:uid="{E4AE0F94-989B-4E4D-8336-62E6BEFA1E89}"/>
    <cellStyle name="Migliaia [0] 2 2 3" xfId="4600" xr:uid="{47F78B4F-B1F9-42B5-BEAA-F5102EB58557}"/>
    <cellStyle name="Migliaia [0] 2 2 3 2" xfId="32783" xr:uid="{67F0AEBF-D27C-4FC5-BB0F-5886774145E9}"/>
    <cellStyle name="Migliaia [0] 2 2 3 2 2" xfId="38134" xr:uid="{B8339F86-9339-4C19-B94C-CD5C35F5DB7C}"/>
    <cellStyle name="Migliaia [0] 2 2 3 2 3" xfId="43436" xr:uid="{C67BA298-66A3-4469-ADD7-889987653F06}"/>
    <cellStyle name="Migliaia [0] 2 2 3 3" xfId="35669" xr:uid="{EFCCF537-8C2E-4346-82DB-B7C0D984DA57}"/>
    <cellStyle name="Migliaia [0] 2 2 3 4" xfId="40785" xr:uid="{C44176F3-F6DC-4DCF-89DE-D7584AC1EE90}"/>
    <cellStyle name="Migliaia [0] 2 2 3 5" xfId="11744" xr:uid="{5790C498-229B-4B8F-BCAF-A5BCB49C0A80}"/>
    <cellStyle name="Migliaia [0] 2 2 4" xfId="5871" xr:uid="{9A672F3E-0C3F-49EC-B9A4-6FF5E7D47D44}"/>
    <cellStyle name="Migliaia [0] 2 2 4 2" xfId="19553" xr:uid="{18149816-0264-4195-94AF-B1DD1D452582}"/>
    <cellStyle name="Migliaia [0] 2 2 5" xfId="2874" xr:uid="{F42E8338-90B5-420E-8F31-26443C4878CF}"/>
    <cellStyle name="Migliaia [0] 2 2 5 2" xfId="24024" xr:uid="{C61A5884-B7CC-481E-BF54-E28A61E0D4FC}"/>
    <cellStyle name="Migliaia [0] 2 2 6" xfId="7247" xr:uid="{E2EAEA68-A618-4B11-BAF3-DD1E36083BE3}"/>
    <cellStyle name="Migliaia [0] 2 3" xfId="1516" xr:uid="{00000000-0005-0000-0000-000004020000}"/>
    <cellStyle name="Migliaia [0] 2 3 2" xfId="4602" xr:uid="{9E82E883-FF98-46BA-957F-1A673D16F561}"/>
    <cellStyle name="Migliaia [0] 2 3 2 2" xfId="18312" xr:uid="{1E61C106-A22B-4388-A940-2CB77FE4B3F0}"/>
    <cellStyle name="Migliaia [0] 2 3 2 2 2" xfId="21743" xr:uid="{66051DB0-03F7-4D7D-83DF-91AA3B1129C0}"/>
    <cellStyle name="Migliaia [0] 2 3 2 2 2 2" xfId="38135" xr:uid="{417885A9-1669-4E8A-9BBF-DB93045C82C9}"/>
    <cellStyle name="Migliaia [0] 2 3 2 2 3" xfId="43437" xr:uid="{95077384-6F9C-40E0-BC68-8FC5A1DEA9A7}"/>
    <cellStyle name="Migliaia [0] 2 3 2 2 4" xfId="32784" xr:uid="{A88B5509-3453-4B63-A750-8E0E4E918BE5}"/>
    <cellStyle name="Migliaia [0] 2 3 2 3" xfId="35670" xr:uid="{C153FA8B-0357-4026-B314-797A09B4EED5}"/>
    <cellStyle name="Migliaia [0] 2 3 2 4" xfId="40786" xr:uid="{3B7431CB-8674-4DED-A068-59C49B0E1ACC}"/>
    <cellStyle name="Migliaia [0] 2 3 2 5" xfId="47314" xr:uid="{BC7A6E6A-1C57-496A-B53A-FD9127925CAE}"/>
    <cellStyle name="Migliaia [0] 2 3 2 6" xfId="50771" xr:uid="{DA2DE5C0-D673-487C-85C0-D433319DDAF2}"/>
    <cellStyle name="Migliaia [0] 2 3 2 7" xfId="53787" xr:uid="{C4F162E2-C943-4CB2-A62C-D87937C0DB9D}"/>
    <cellStyle name="Migliaia [0] 2 3 2 8" xfId="17588" xr:uid="{5493A9F9-CBAA-44A1-8A4D-07175762BF19}"/>
    <cellStyle name="Migliaia [0] 2 3 2 9" xfId="11745" xr:uid="{11484F59-F6DB-427A-90D5-548E4F30AD4F}"/>
    <cellStyle name="Migliaia [0] 2 3 3" xfId="5872" xr:uid="{1F2E59E2-85A7-428F-9F2E-FA425B16EF1F}"/>
    <cellStyle name="Migliaia [0] 2 3 3 2" xfId="12384" xr:uid="{BD595953-24E4-4D42-B86B-7833723804FB}"/>
    <cellStyle name="Migliaia [0] 2 3 4" xfId="2876" xr:uid="{94790294-20A6-44B3-80CD-84B38E881449}"/>
    <cellStyle name="Migliaia [0] 2 3 4 2" xfId="21275" xr:uid="{BA75B008-CD9D-400F-A42B-58CDF2D22A5B}"/>
    <cellStyle name="Migliaia [0] 2 3 4 3" xfId="48168" xr:uid="{D1CF855A-0030-4CE7-B291-4C924F4FA937}"/>
    <cellStyle name="Migliaia [0] 2 3 4 4" xfId="50290" xr:uid="{EEC64141-A23B-40F0-B328-184D2CA89CE5}"/>
    <cellStyle name="Migliaia [0] 2 3 4 5" xfId="53306" xr:uid="{BF16960F-D5F2-4851-961B-FA72E69AE2FA}"/>
    <cellStyle name="Migliaia [0] 2 3 4 6" xfId="10640" xr:uid="{C0A0FA2F-D410-4B58-9C61-692BDD53AB59}"/>
    <cellStyle name="Migliaia [0] 2 3 5" xfId="19555" xr:uid="{5B4F3856-5987-4A26-889F-BF2E564B6EAD}"/>
    <cellStyle name="Migliaia [0] 2 3 6" xfId="24026" xr:uid="{D173E924-6588-46D4-87F7-2DC4A091962D}"/>
    <cellStyle name="Migliaia [0] 2 3 7" xfId="8195" xr:uid="{3C2FE1C1-7476-45A3-9890-EE08FFB23118}"/>
    <cellStyle name="Migliaia [0] 2 4" xfId="2877" xr:uid="{51B5AC5F-46C9-43C4-9596-74D34DC4C39E}"/>
    <cellStyle name="Migliaia [0] 2 4 2" xfId="4603" xr:uid="{493ACE53-F27E-487D-A611-5A1B905F1C2B}"/>
    <cellStyle name="Migliaia [0] 2 4 2 2" xfId="35080" xr:uid="{2A06D95E-15D6-46E7-95B8-35BDA4CB24B9}"/>
    <cellStyle name="Migliaia [0] 2 4 2 2 2" xfId="40238" xr:uid="{7DF047F8-664A-4ED9-8191-BD318EC231DA}"/>
    <cellStyle name="Migliaia [0] 2 4 2 2 3" xfId="45540" xr:uid="{B04E4E19-73D0-47F6-BD77-E891723B87F1}"/>
    <cellStyle name="Migliaia [0] 2 4 2 3" xfId="37587" xr:uid="{27196F91-8091-4CB2-AF66-4F4860AEDDF5}"/>
    <cellStyle name="Migliaia [0] 2 4 2 4" xfId="42889" xr:uid="{822BEB04-0134-4856-A307-E2BEC1BF4ED5}"/>
    <cellStyle name="Migliaia [0] 2 4 2 5" xfId="17020" xr:uid="{B85DCA82-E1A9-443B-B14A-3AF458272A50}"/>
    <cellStyle name="Migliaia [0] 2 4 3" xfId="5873" xr:uid="{F0775D07-6571-4F67-A263-DE5495F4DFEB}"/>
    <cellStyle name="Migliaia [0] 2 4 3 2" xfId="38136" xr:uid="{4FBD933E-2844-4CD8-AC69-636A7B5BBB16}"/>
    <cellStyle name="Migliaia [0] 2 4 3 3" xfId="43438" xr:uid="{9CE06AEB-1DEA-45A2-A895-143C32D0F557}"/>
    <cellStyle name="Migliaia [0] 2 4 3 4" xfId="32785" xr:uid="{57EAB48A-1730-4392-83EE-2D1827E9F142}"/>
    <cellStyle name="Migliaia [0] 2 4 3 5" xfId="19556" xr:uid="{1516A09A-C050-4716-8CD1-0CB7122AEA2D}"/>
    <cellStyle name="Migliaia [0] 2 4 4" xfId="35671" xr:uid="{1007A017-CC2F-4FF5-A79D-93CBF877E9D2}"/>
    <cellStyle name="Migliaia [0] 2 4 5" xfId="40787" xr:uid="{D96A4046-7AE1-44C8-AB6C-4CE3E84084CD}"/>
    <cellStyle name="Migliaia [0] 2 4 6" xfId="15962" xr:uid="{29141237-5402-4CE7-9AF3-D7613E9C47B1}"/>
    <cellStyle name="Migliaia [0] 2 4 7" xfId="7775" xr:uid="{335F9C20-A5C7-4465-9CFC-B4E4FEBF2E5E}"/>
    <cellStyle name="Migliaia [0] 2 5" xfId="4599" xr:uid="{869155F0-6455-49D2-BE20-04EACF6AE4A0}"/>
    <cellStyle name="Migliaia [0] 2 5 2" xfId="32786" xr:uid="{642FA565-7B93-4F43-96D1-E8F1709900E6}"/>
    <cellStyle name="Migliaia [0] 2 5 2 2" xfId="38137" xr:uid="{CE31C697-9765-4BD9-B8EF-E16BC1CD0C92}"/>
    <cellStyle name="Migliaia [0] 2 5 2 3" xfId="43439" xr:uid="{84EE645F-7A4A-4E8E-9D34-254A002B7037}"/>
    <cellStyle name="Migliaia [0] 2 5 3" xfId="35672" xr:uid="{0E040590-9F64-4DCA-BB4B-7DE85FC21905}"/>
    <cellStyle name="Migliaia [0] 2 5 4" xfId="40788" xr:uid="{73A92FC6-22C5-4BFE-A16D-0C6261A24458}"/>
    <cellStyle name="Migliaia [0] 2 5 5" xfId="17089" xr:uid="{B7285538-1765-432F-971C-DBD4554757CF}"/>
    <cellStyle name="Migliaia [0] 2 6" xfId="5870" xr:uid="{0A6F5C26-E0D3-491A-B70D-1AAEEA6CE942}"/>
    <cellStyle name="Migliaia [0] 2 6 2" xfId="38133" xr:uid="{BA0C9A04-0082-4C61-A643-521846AEA56B}"/>
    <cellStyle name="Migliaia [0] 2 6 3" xfId="43435" xr:uid="{2B7EDB90-65C6-4E3E-BA86-5FD5ED952E1F}"/>
    <cellStyle name="Migliaia [0] 2 6 4" xfId="32782" xr:uid="{96A16E5C-777B-485A-880C-68299A4C59E7}"/>
    <cellStyle name="Migliaia [0] 2 6 5" xfId="19552" xr:uid="{E4D265D4-28CD-4A20-A2E4-378E486DD1B9}"/>
    <cellStyle name="Migliaia [0] 2 7" xfId="2873" xr:uid="{AEAEA709-F113-4B9A-AD16-BCFA3D549B09}"/>
    <cellStyle name="Migliaia [0] 2 7 2" xfId="35668" xr:uid="{C089AD1E-D38B-4CCF-928F-2AA50F2F5CFE}"/>
    <cellStyle name="Migliaia [0] 2 8" xfId="40784" xr:uid="{308720E0-4427-454A-BAEF-8950A2F8F949}"/>
    <cellStyle name="Migliaia [0] 2 9" xfId="6996" xr:uid="{8F7AD582-C2EF-4DF0-AD37-B76B84C8F293}"/>
    <cellStyle name="Migliaia [0] 20" xfId="254" xr:uid="{00000000-0005-0000-0000-000005020000}"/>
    <cellStyle name="Migliaia [0] 20 2" xfId="1517" xr:uid="{00000000-0005-0000-0000-000006020000}"/>
    <cellStyle name="Migliaia [0] 20 2 2" xfId="1518" xr:uid="{00000000-0005-0000-0000-000007020000}"/>
    <cellStyle name="Migliaia [0] 20 2 2 2" xfId="4606" xr:uid="{52A86C9F-F69F-4E2E-8052-D3615F821DCE}"/>
    <cellStyle name="Migliaia [0] 20 2 2 2 2" xfId="21744" xr:uid="{00BF5CFC-9F29-416F-B150-9913B11B2D54}"/>
    <cellStyle name="Migliaia [0] 20 2 2 2 3" xfId="46288" xr:uid="{E111B9AD-18E7-451D-AC55-F7D0C1EA52E7}"/>
    <cellStyle name="Migliaia [0] 20 2 2 2 4" xfId="50772" xr:uid="{8C5B55ED-639E-441E-BE1D-C8B9A89919B1}"/>
    <cellStyle name="Migliaia [0] 20 2 2 2 5" xfId="53788" xr:uid="{F55F7AD3-022A-4905-8B9F-5979913E9507}"/>
    <cellStyle name="Migliaia [0] 20 2 2 2 6" xfId="11746" xr:uid="{00D50E8B-B204-4B45-8239-8DBEAF90623E}"/>
    <cellStyle name="Migliaia [0] 20 2 2 3" xfId="2880" xr:uid="{0EBE50B9-81AB-4B9C-AC37-4B0221795BE5}"/>
    <cellStyle name="Migliaia [0] 20 2 2 3 2" xfId="12352" xr:uid="{85ECD3C9-6D11-4C9B-897D-022C6D7769F2}"/>
    <cellStyle name="Migliaia [0] 20 2 2 4" xfId="10641" xr:uid="{F61B56AE-9731-463C-892E-11F76F67C90C}"/>
    <cellStyle name="Migliaia [0] 20 2 2 4 2" xfId="21276" xr:uid="{5FB2147B-6E91-483A-B358-100A74C0E0A7}"/>
    <cellStyle name="Migliaia [0] 20 2 2 4 3" xfId="48167" xr:uid="{AFCA838C-6CFD-4248-80CC-CABFFC6D0614}"/>
    <cellStyle name="Migliaia [0] 20 2 2 4 4" xfId="50291" xr:uid="{F0D65F01-8F3E-4113-BE0D-0511C2028DCE}"/>
    <cellStyle name="Migliaia [0] 20 2 2 4 5" xfId="53307" xr:uid="{FB1AC092-CE25-4289-8380-141F077CDAAD}"/>
    <cellStyle name="Migliaia [0] 20 2 2 5" xfId="19559" xr:uid="{75C3B893-1F94-452F-8CB5-7B0E4133ED24}"/>
    <cellStyle name="Migliaia [0] 20 2 2 6" xfId="24028" xr:uid="{4EFEC2BC-94A3-484A-947E-5DB4CCD4EDF7}"/>
    <cellStyle name="Migliaia [0] 20 2 2 7" xfId="48832" xr:uid="{211008E7-FE6F-4F28-BBAE-58800E7CCAAE}"/>
    <cellStyle name="Migliaia [0] 20 2 2 8" xfId="49738" xr:uid="{4A5A14D6-D62D-49C8-A53D-A466198FF053}"/>
    <cellStyle name="Migliaia [0] 20 2 2 9" xfId="8438" xr:uid="{5050254D-B329-4995-83CE-9ED3197CC6FE}"/>
    <cellStyle name="Migliaia [0] 20 2 3" xfId="4605" xr:uid="{EC9EBDDA-F0F5-4D46-9836-3C974E17BC16}"/>
    <cellStyle name="Migliaia [0] 20 2 3 2" xfId="32788" xr:uid="{5690DE97-0BCB-4287-AB93-A25C9AC07121}"/>
    <cellStyle name="Migliaia [0] 20 2 3 2 2" xfId="38139" xr:uid="{697F5D36-C2C6-4463-B36D-E7A839E8673D}"/>
    <cellStyle name="Migliaia [0] 20 2 3 2 3" xfId="43441" xr:uid="{F2F5F650-2DA0-492F-BA62-F1D655CE9277}"/>
    <cellStyle name="Migliaia [0] 20 2 3 3" xfId="35674" xr:uid="{38EC5C73-5C1C-4F44-8A3B-7695B8344079}"/>
    <cellStyle name="Migliaia [0] 20 2 3 4" xfId="40790" xr:uid="{81054739-74BA-4B9B-8F53-B34B2479DB8E}"/>
    <cellStyle name="Migliaia [0] 20 2 3 5" xfId="11747" xr:uid="{2482E50B-AD7D-499C-B0BE-D9D02D801D62}"/>
    <cellStyle name="Migliaia [0] 20 2 4" xfId="5875" xr:uid="{6E765C4A-F353-4E58-9DFA-485D4C803AFA}"/>
    <cellStyle name="Migliaia [0] 20 2 4 2" xfId="19558" xr:uid="{5E6D47D7-FB10-45E7-8056-C69113A70182}"/>
    <cellStyle name="Migliaia [0] 20 2 5" xfId="2879" xr:uid="{C126D240-A4F0-4AF9-BDB0-C53E71A62866}"/>
    <cellStyle name="Migliaia [0] 20 2 5 2" xfId="24027" xr:uid="{597F3B21-AF0C-4EA0-A46A-B402238649F4}"/>
    <cellStyle name="Migliaia [0] 20 2 6" xfId="7248" xr:uid="{FEF5F78A-E403-4463-BD53-72C71F431B72}"/>
    <cellStyle name="Migliaia [0] 20 3" xfId="1519" xr:uid="{00000000-0005-0000-0000-000008020000}"/>
    <cellStyle name="Migliaia [0] 20 3 2" xfId="4607" xr:uid="{D4583889-12CC-4DDE-94A5-87BC78D061F9}"/>
    <cellStyle name="Migliaia [0] 20 3 2 2" xfId="18313" xr:uid="{72D70D79-8A34-453B-9075-B3088D9B49D9}"/>
    <cellStyle name="Migliaia [0] 20 3 2 2 2" xfId="21745" xr:uid="{3ED5D33F-3990-4339-8C7E-3B8648620328}"/>
    <cellStyle name="Migliaia [0] 20 3 2 2 2 2" xfId="38140" xr:uid="{66CBB1D9-DF22-4B28-B4CA-A1D774AAC8E7}"/>
    <cellStyle name="Migliaia [0] 20 3 2 2 3" xfId="43442" xr:uid="{360A79E3-915A-402F-A8C1-CB633C142D72}"/>
    <cellStyle name="Migliaia [0] 20 3 2 2 4" xfId="32789" xr:uid="{9A56B3A6-703F-4F76-9685-DBE503CE4139}"/>
    <cellStyle name="Migliaia [0] 20 3 2 3" xfId="35675" xr:uid="{1F8AEE8E-CCE4-417D-BF86-FD6C8F199E2E}"/>
    <cellStyle name="Migliaia [0] 20 3 2 4" xfId="40791" xr:uid="{0A7C7E68-0481-4BE4-8BD2-45CF34DA91B2}"/>
    <cellStyle name="Migliaia [0] 20 3 2 5" xfId="47047" xr:uid="{A1B3129A-EAEF-46C5-8607-0D1B73B7AE0D}"/>
    <cellStyle name="Migliaia [0] 20 3 2 6" xfId="50773" xr:uid="{3A417226-8C86-45CF-B620-69F05DD87BA1}"/>
    <cellStyle name="Migliaia [0] 20 3 2 7" xfId="53789" xr:uid="{2DB0F941-DBF1-4541-9711-0F3F5B4E4A9B}"/>
    <cellStyle name="Migliaia [0] 20 3 2 8" xfId="17589" xr:uid="{AEC4D581-C38D-47ED-AE5A-D970BEDDA61C}"/>
    <cellStyle name="Migliaia [0] 20 3 2 9" xfId="11748" xr:uid="{06353A56-BCA2-4369-9904-C27DBA1875E1}"/>
    <cellStyle name="Migliaia [0] 20 3 3" xfId="5876" xr:uid="{63565DD2-2723-4171-B4F7-5AE7BDBA5573}"/>
    <cellStyle name="Migliaia [0] 20 3 3 2" xfId="12383" xr:uid="{FE626A81-90CB-44C7-9215-AB1A1CF73879}"/>
    <cellStyle name="Migliaia [0] 20 3 4" xfId="2881" xr:uid="{64AE63C1-0B94-4485-A269-78EAB0B89268}"/>
    <cellStyle name="Migliaia [0] 20 3 4 2" xfId="21277" xr:uid="{B3FFA2BE-863E-4686-B4C0-E2D38367962C}"/>
    <cellStyle name="Migliaia [0] 20 3 4 3" xfId="46173" xr:uid="{3F4791C3-9B0C-489B-B8B2-ECA76FB4430F}"/>
    <cellStyle name="Migliaia [0] 20 3 4 4" xfId="50292" xr:uid="{F64D4052-2D57-428D-847D-BC8909255D1B}"/>
    <cellStyle name="Migliaia [0] 20 3 4 5" xfId="53308" xr:uid="{D159AFAF-FB01-47D7-9116-2DE6F6729BA5}"/>
    <cellStyle name="Migliaia [0] 20 3 4 6" xfId="10642" xr:uid="{1D594380-CFB9-4527-AF17-936059D38BAB}"/>
    <cellStyle name="Migliaia [0] 20 3 5" xfId="19560" xr:uid="{F54EB79E-8EE8-4E91-9E3F-AAA12AC9D0B5}"/>
    <cellStyle name="Migliaia [0] 20 3 6" xfId="24029" xr:uid="{FA451901-354A-41F3-AEB6-84651407A6C2}"/>
    <cellStyle name="Migliaia [0] 20 3 7" xfId="8196" xr:uid="{EDFE3FCE-64CD-4FA8-B6E3-63DDEAF2DE3A}"/>
    <cellStyle name="Migliaia [0] 20 4" xfId="2882" xr:uid="{1FAEDA49-C93A-4B4F-A77E-0AB9AEFF4EDA}"/>
    <cellStyle name="Migliaia [0] 20 4 2" xfId="4608" xr:uid="{A9A52AF6-7F88-4525-A7AA-62344FC314FF}"/>
    <cellStyle name="Migliaia [0] 20 4 2 2" xfId="35081" xr:uid="{3279C44E-C767-445E-8394-5DA7F2BAE39E}"/>
    <cellStyle name="Migliaia [0] 20 4 2 2 2" xfId="40239" xr:uid="{4CA29C3A-461A-490D-BC28-80F5CCEF189E}"/>
    <cellStyle name="Migliaia [0] 20 4 2 2 3" xfId="45541" xr:uid="{7E73D2AA-CDC3-4F6D-8EEA-839C3CF77DD5}"/>
    <cellStyle name="Migliaia [0] 20 4 2 3" xfId="37588" xr:uid="{5EA4CD1D-8934-4699-884A-5CCF0291BCD4}"/>
    <cellStyle name="Migliaia [0] 20 4 2 4" xfId="42890" xr:uid="{82A8A398-22DA-4431-88FB-9B83B0A38261}"/>
    <cellStyle name="Migliaia [0] 20 4 2 5" xfId="17021" xr:uid="{E976973E-D20F-453C-93D2-2679C8F2AE6D}"/>
    <cellStyle name="Migliaia [0] 20 4 3" xfId="5877" xr:uid="{19C71ECC-7AA7-42C0-9E97-314E7E80EEF7}"/>
    <cellStyle name="Migliaia [0] 20 4 3 2" xfId="38141" xr:uid="{49065F7E-3DB2-4A28-8981-56FE5F534898}"/>
    <cellStyle name="Migliaia [0] 20 4 3 3" xfId="43443" xr:uid="{F7E5C754-E5C4-43AE-9138-F91062EF9F2B}"/>
    <cellStyle name="Migliaia [0] 20 4 3 4" xfId="32790" xr:uid="{C737E46B-7583-4DB9-B1F5-7A7A48FC796A}"/>
    <cellStyle name="Migliaia [0] 20 4 3 5" xfId="19561" xr:uid="{A7261DE7-6BBC-4643-8164-DC3CAFCE08CF}"/>
    <cellStyle name="Migliaia [0] 20 4 4" xfId="35676" xr:uid="{2E751E32-610C-4FDD-814F-60CA884FAD6B}"/>
    <cellStyle name="Migliaia [0] 20 4 5" xfId="40792" xr:uid="{65561662-578F-4E48-9FFA-33A4AAE56983}"/>
    <cellStyle name="Migliaia [0] 20 4 6" xfId="15963" xr:uid="{426DE6E8-D6F6-4F6B-AD4C-9E838FEB7279}"/>
    <cellStyle name="Migliaia [0] 20 4 7" xfId="7776" xr:uid="{16DEDEE4-5F98-424F-BB20-11D89FC953A0}"/>
    <cellStyle name="Migliaia [0] 20 5" xfId="4604" xr:uid="{833261F3-9554-486B-98FE-9383D34F9773}"/>
    <cellStyle name="Migliaia [0] 20 5 2" xfId="32791" xr:uid="{BB4407F8-D728-4787-A2CA-35B30C0C1DC4}"/>
    <cellStyle name="Migliaia [0] 20 5 2 2" xfId="38142" xr:uid="{6EFBE5A8-C1BB-40AF-88E9-F94AC6289A42}"/>
    <cellStyle name="Migliaia [0] 20 5 2 3" xfId="43444" xr:uid="{2349C10E-9CAC-4303-8B51-DB16196C799D}"/>
    <cellStyle name="Migliaia [0] 20 5 3" xfId="35677" xr:uid="{FC3D445E-45DA-4EF2-8E3D-2349787F94BB}"/>
    <cellStyle name="Migliaia [0] 20 5 4" xfId="40793" xr:uid="{E8D2E37E-CF1F-42EE-878D-052FD0245194}"/>
    <cellStyle name="Migliaia [0] 20 5 5" xfId="17090" xr:uid="{A250D002-100F-4E3B-B538-7C8A14C62A8B}"/>
    <cellStyle name="Migliaia [0] 20 6" xfId="5874" xr:uid="{D8814754-014C-406A-935E-8C5F32EB63AE}"/>
    <cellStyle name="Migliaia [0] 20 6 2" xfId="38138" xr:uid="{AC97DC74-E00B-4E72-880D-79E7EC852B8B}"/>
    <cellStyle name="Migliaia [0] 20 6 3" xfId="43440" xr:uid="{7D76D05E-2537-4DDA-B66B-589C33D20BE3}"/>
    <cellStyle name="Migliaia [0] 20 6 4" xfId="32787" xr:uid="{C7A8B175-3BD1-47C1-BB80-A9E3F70E905A}"/>
    <cellStyle name="Migliaia [0] 20 6 5" xfId="19557" xr:uid="{39E1B5B5-30DE-4A7D-B294-5096E517BAB7}"/>
    <cellStyle name="Migliaia [0] 20 7" xfId="2878" xr:uid="{68FF80A9-D920-41D9-9142-D0CEC8DDEAC1}"/>
    <cellStyle name="Migliaia [0] 20 7 2" xfId="35673" xr:uid="{717AA19C-A0F6-4F51-B7D1-E997A752F73F}"/>
    <cellStyle name="Migliaia [0] 20 8" xfId="40789" xr:uid="{54A898CC-79B8-465E-BC8E-D77580AFF876}"/>
    <cellStyle name="Migliaia [0] 20 9" xfId="6997" xr:uid="{8CA010AD-CEC7-42E0-AB8F-88FF449BB98B}"/>
    <cellStyle name="Migliaia [0] 21" xfId="255" xr:uid="{00000000-0005-0000-0000-000009020000}"/>
    <cellStyle name="Migliaia [0] 21 2" xfId="1520" xr:uid="{00000000-0005-0000-0000-00000A020000}"/>
    <cellStyle name="Migliaia [0] 21 2 2" xfId="1521" xr:uid="{00000000-0005-0000-0000-00000B020000}"/>
    <cellStyle name="Migliaia [0] 21 2 2 2" xfId="4611" xr:uid="{9687E629-5B31-432A-81A3-28B134626BD6}"/>
    <cellStyle name="Migliaia [0] 21 2 2 2 2" xfId="21746" xr:uid="{BC31849D-781B-4C96-BF77-A3D65979D3F4}"/>
    <cellStyle name="Migliaia [0] 21 2 2 2 3" xfId="46737" xr:uid="{2275DD56-CA89-4433-9F1A-2AC4BD4321BC}"/>
    <cellStyle name="Migliaia [0] 21 2 2 2 4" xfId="50774" xr:uid="{17CD443D-E352-4447-9A04-E45F1A4252FC}"/>
    <cellStyle name="Migliaia [0] 21 2 2 2 5" xfId="53790" xr:uid="{4B39B86D-863C-4C3A-ACBF-DB153888C3FB}"/>
    <cellStyle name="Migliaia [0] 21 2 2 2 6" xfId="11749" xr:uid="{7BB14790-88B0-45C1-AC77-12BC992EDC1D}"/>
    <cellStyle name="Migliaia [0] 21 2 2 3" xfId="2885" xr:uid="{94AF720E-573A-42F3-B8D4-13FA00DF4623}"/>
    <cellStyle name="Migliaia [0] 21 2 2 3 2" xfId="12351" xr:uid="{7845695B-1BB7-4CA7-A23F-F2FED5772E4E}"/>
    <cellStyle name="Migliaia [0] 21 2 2 4" xfId="10643" xr:uid="{B97A1A17-B472-4078-AF18-30339D208281}"/>
    <cellStyle name="Migliaia [0] 21 2 2 4 2" xfId="21278" xr:uid="{D607CAE4-DD53-4068-A2B8-1460A3CC0F71}"/>
    <cellStyle name="Migliaia [0] 21 2 2 4 3" xfId="24256" xr:uid="{686CCFD0-EE75-4EFC-9636-19AE3E9C1F98}"/>
    <cellStyle name="Migliaia [0] 21 2 2 4 4" xfId="50293" xr:uid="{CB192A79-F484-48F8-97D4-396ACBD59DF0}"/>
    <cellStyle name="Migliaia [0] 21 2 2 4 5" xfId="53309" xr:uid="{CA06FFA9-B83D-4E1B-A827-D41C762ADE7D}"/>
    <cellStyle name="Migliaia [0] 21 2 2 5" xfId="19564" xr:uid="{D0AC0FF0-C557-4B8A-BCBD-DA5B7CF086EA}"/>
    <cellStyle name="Migliaia [0] 21 2 2 6" xfId="24031" xr:uid="{231777F0-0DD9-4627-B7F9-DF23D0B470E5}"/>
    <cellStyle name="Migliaia [0] 21 2 2 7" xfId="48833" xr:uid="{F91837DB-0E60-4CFE-B37F-28568D30AEA9}"/>
    <cellStyle name="Migliaia [0] 21 2 2 8" xfId="49739" xr:uid="{C9E06E5D-5315-462E-A05D-A3A397DDB6A4}"/>
    <cellStyle name="Migliaia [0] 21 2 2 9" xfId="8439" xr:uid="{55EF5724-BF1C-4FEA-8D8E-05E9DC6F0496}"/>
    <cellStyle name="Migliaia [0] 21 2 3" xfId="4610" xr:uid="{B9FDA454-756D-491C-8D16-21409F98C66B}"/>
    <cellStyle name="Migliaia [0] 21 2 3 2" xfId="32793" xr:uid="{9D1407E7-A4E5-46A8-94A2-DC7231235B9B}"/>
    <cellStyle name="Migliaia [0] 21 2 3 2 2" xfId="38144" xr:uid="{0D72D47F-9292-46FF-9609-CA0D4DAB41CF}"/>
    <cellStyle name="Migliaia [0] 21 2 3 2 3" xfId="43446" xr:uid="{053A11ED-1B43-44D7-B94E-E02A1847DFB0}"/>
    <cellStyle name="Migliaia [0] 21 2 3 3" xfId="35679" xr:uid="{43FBA8A2-C055-4377-86F6-7F769BEF2BB6}"/>
    <cellStyle name="Migliaia [0] 21 2 3 4" xfId="40795" xr:uid="{F1EB3C91-7285-4902-B9BC-D0D6758539DF}"/>
    <cellStyle name="Migliaia [0] 21 2 3 5" xfId="11750" xr:uid="{CCB84F60-E20E-425B-A8BB-ACDEF30BB717}"/>
    <cellStyle name="Migliaia [0] 21 2 4" xfId="5879" xr:uid="{A3B07057-FAFF-4CB3-B3AD-CA47116F49C3}"/>
    <cellStyle name="Migliaia [0] 21 2 4 2" xfId="19563" xr:uid="{085F2294-F84B-4AED-8728-0016FF50B198}"/>
    <cellStyle name="Migliaia [0] 21 2 5" xfId="2884" xr:uid="{B6280AB1-31AB-4966-BFD9-558C77E56D40}"/>
    <cellStyle name="Migliaia [0] 21 2 5 2" xfId="24030" xr:uid="{CC1213AB-7A5C-4906-9C1D-78310FEDB4C0}"/>
    <cellStyle name="Migliaia [0] 21 2 6" xfId="7249" xr:uid="{1DB7DC2A-D80F-4994-B826-B4B7356F2688}"/>
    <cellStyle name="Migliaia [0] 21 3" xfId="1522" xr:uid="{00000000-0005-0000-0000-00000C020000}"/>
    <cellStyle name="Migliaia [0] 21 3 2" xfId="4612" xr:uid="{34C2D4B4-14C7-4CEE-B7C9-469FEA948EFA}"/>
    <cellStyle name="Migliaia [0] 21 3 2 2" xfId="18314" xr:uid="{B0FE4236-CFA5-4A36-B300-4DEE48324A1D}"/>
    <cellStyle name="Migliaia [0] 21 3 2 2 2" xfId="21747" xr:uid="{6536F607-1819-4DE2-9AEF-CA07A4CBEA14}"/>
    <cellStyle name="Migliaia [0] 21 3 2 2 2 2" xfId="38145" xr:uid="{109E9346-A7B5-4573-A870-12F6E6374A29}"/>
    <cellStyle name="Migliaia [0] 21 3 2 2 3" xfId="43447" xr:uid="{68ACB204-477C-46F3-9F86-E0C73033F6FE}"/>
    <cellStyle name="Migliaia [0] 21 3 2 2 4" xfId="32794" xr:uid="{CE6C7A36-058C-49B6-9F79-5B86AC8A9AB8}"/>
    <cellStyle name="Migliaia [0] 21 3 2 3" xfId="35680" xr:uid="{DDFA1AF5-CD7D-412D-9957-24DF2EBAF0BB}"/>
    <cellStyle name="Migliaia [0] 21 3 2 4" xfId="40796" xr:uid="{4D00F0AA-4676-4387-BB7D-653AAB738F53}"/>
    <cellStyle name="Migliaia [0] 21 3 2 5" xfId="47909" xr:uid="{B244AE55-4E76-45C9-A0DC-6EF043C35DA9}"/>
    <cellStyle name="Migliaia [0] 21 3 2 6" xfId="50775" xr:uid="{57C2C9CE-9945-480B-9A11-E34C014693DE}"/>
    <cellStyle name="Migliaia [0] 21 3 2 7" xfId="53791" xr:uid="{D1082AD9-64B1-4582-A772-C5B377656DC5}"/>
    <cellStyle name="Migliaia [0] 21 3 2 8" xfId="17590" xr:uid="{877E5695-B667-470A-A5E8-5A2A8B9FC53B}"/>
    <cellStyle name="Migliaia [0] 21 3 2 9" xfId="11751" xr:uid="{605C1675-F2E9-4426-A460-EE7F24B728D7}"/>
    <cellStyle name="Migliaia [0] 21 3 3" xfId="5880" xr:uid="{BD80BF2C-43E4-42E3-97B9-D80B604EF368}"/>
    <cellStyle name="Migliaia [0] 21 3 3 2" xfId="11665" xr:uid="{13387942-1CC9-46D0-A27D-3AD1C30139B0}"/>
    <cellStyle name="Migliaia [0] 21 3 4" xfId="2886" xr:uid="{6B5F1699-B7BC-4625-8382-9E9B19A2D521}"/>
    <cellStyle name="Migliaia [0] 21 3 4 2" xfId="21279" xr:uid="{8CE2D4F3-1DAE-4D72-9049-C2A6AE680D3B}"/>
    <cellStyle name="Migliaia [0] 21 3 4 3" xfId="46174" xr:uid="{C47337B8-B3BB-4301-BFE0-B45C729B008A}"/>
    <cellStyle name="Migliaia [0] 21 3 4 4" xfId="50294" xr:uid="{9AFB5576-CB02-4ED0-ACD4-B22702CEF42E}"/>
    <cellStyle name="Migliaia [0] 21 3 4 5" xfId="53310" xr:uid="{23BD0BCB-FE20-44BA-AAE6-405914DFE18E}"/>
    <cellStyle name="Migliaia [0] 21 3 4 6" xfId="10644" xr:uid="{FA592BED-C4F0-4786-ACB1-CB5CB217B7DD}"/>
    <cellStyle name="Migliaia [0] 21 3 5" xfId="19565" xr:uid="{71C87C1C-E363-4F62-A3FB-F1A7243CC988}"/>
    <cellStyle name="Migliaia [0] 21 3 6" xfId="24032" xr:uid="{8E17CB22-2D54-43B7-BD6E-87812D898F48}"/>
    <cellStyle name="Migliaia [0] 21 3 7" xfId="8197" xr:uid="{A69E09D4-8A36-48F4-9DA7-8BA8438E3618}"/>
    <cellStyle name="Migliaia [0] 21 4" xfId="2887" xr:uid="{7936A33C-7DCC-4216-B1F3-D4463CCC128B}"/>
    <cellStyle name="Migliaia [0] 21 4 2" xfId="4613" xr:uid="{236D8E76-482A-4EC0-A82C-73AE2A083677}"/>
    <cellStyle name="Migliaia [0] 21 4 2 2" xfId="35082" xr:uid="{6DB70F3B-8EAD-4F7D-8B47-91D8D8CC50C8}"/>
    <cellStyle name="Migliaia [0] 21 4 2 2 2" xfId="40240" xr:uid="{942BF9BB-0D69-4FCD-B1F6-2CCDF87902FC}"/>
    <cellStyle name="Migliaia [0] 21 4 2 2 3" xfId="45542" xr:uid="{0C81CA06-9F27-4D88-B776-8C7AC4A781BA}"/>
    <cellStyle name="Migliaia [0] 21 4 2 3" xfId="37589" xr:uid="{F785E095-EE69-4573-A789-E7C6C142E226}"/>
    <cellStyle name="Migliaia [0] 21 4 2 4" xfId="42891" xr:uid="{B8E2B731-ED13-4D10-B283-CCCD034FEACE}"/>
    <cellStyle name="Migliaia [0] 21 4 2 5" xfId="17022" xr:uid="{E72B74FF-2323-4CCD-8926-BEC5FECDC83C}"/>
    <cellStyle name="Migliaia [0] 21 4 3" xfId="5881" xr:uid="{0FD52519-B445-42C1-B467-A2078659FF40}"/>
    <cellStyle name="Migliaia [0] 21 4 3 2" xfId="38146" xr:uid="{1FC4A5A2-8DB0-4936-84F3-3693351706FF}"/>
    <cellStyle name="Migliaia [0] 21 4 3 3" xfId="43448" xr:uid="{30199DDB-6723-4392-A79B-12B0D45512D1}"/>
    <cellStyle name="Migliaia [0] 21 4 3 4" xfId="32795" xr:uid="{72D3E82C-7511-4847-B104-642A81555888}"/>
    <cellStyle name="Migliaia [0] 21 4 3 5" xfId="19566" xr:uid="{198E1B8A-714E-4B4B-AD7D-182F2F1816B9}"/>
    <cellStyle name="Migliaia [0] 21 4 4" xfId="35681" xr:uid="{F52B55E7-1064-4339-A95D-1877F142FFBD}"/>
    <cellStyle name="Migliaia [0] 21 4 5" xfId="40797" xr:uid="{BA8DB4CF-0734-49B6-971F-C84C6D6143BC}"/>
    <cellStyle name="Migliaia [0] 21 4 6" xfId="15964" xr:uid="{1A372CCE-5FFE-4461-9892-AEB00D209D9A}"/>
    <cellStyle name="Migliaia [0] 21 4 7" xfId="7777" xr:uid="{BC0E6643-D6D1-4352-95D6-C7473BA71A08}"/>
    <cellStyle name="Migliaia [0] 21 5" xfId="4609" xr:uid="{9F93D2EE-765D-4397-B20F-D0FD0C7FE61A}"/>
    <cellStyle name="Migliaia [0] 21 5 2" xfId="32796" xr:uid="{286CB1EC-4D8B-4B2C-8634-2515E8E08512}"/>
    <cellStyle name="Migliaia [0] 21 5 2 2" xfId="38147" xr:uid="{F0F58608-9760-4484-987F-EE62E8BA61CD}"/>
    <cellStyle name="Migliaia [0] 21 5 2 3" xfId="43449" xr:uid="{93A09D32-CB08-4F25-87CA-8B563D38C42B}"/>
    <cellStyle name="Migliaia [0] 21 5 3" xfId="35682" xr:uid="{E99B6D80-0C93-4333-9EB2-D73715A6C55E}"/>
    <cellStyle name="Migliaia [0] 21 5 4" xfId="40798" xr:uid="{E91367CD-EF2D-4916-A62F-EC34EB92B54D}"/>
    <cellStyle name="Migliaia [0] 21 5 5" xfId="17091" xr:uid="{EB5F7309-68C8-4B4A-AF7A-E2CB10F3D761}"/>
    <cellStyle name="Migliaia [0] 21 6" xfId="5878" xr:uid="{F6A5D844-98A9-4D2A-AAAD-5AEB1EF60BF1}"/>
    <cellStyle name="Migliaia [0] 21 6 2" xfId="38143" xr:uid="{D85A16BD-8105-4E19-97E9-E70425C58578}"/>
    <cellStyle name="Migliaia [0] 21 6 3" xfId="43445" xr:uid="{23EF1AB5-8A96-49C8-8F58-2A1DB0E60138}"/>
    <cellStyle name="Migliaia [0] 21 6 4" xfId="32792" xr:uid="{80AFD579-CA4E-4A4B-B963-063D72A248B0}"/>
    <cellStyle name="Migliaia [0] 21 6 5" xfId="19562" xr:uid="{737926C0-F3E1-4DBE-B371-0071BFFEC225}"/>
    <cellStyle name="Migliaia [0] 21 7" xfId="2883" xr:uid="{790434CC-2483-4923-944A-461B5F3AC189}"/>
    <cellStyle name="Migliaia [0] 21 7 2" xfId="35678" xr:uid="{D0C436DF-3768-4DCD-BDD2-88EC685CB9B9}"/>
    <cellStyle name="Migliaia [0] 21 8" xfId="40794" xr:uid="{CD545FC7-B786-4BF1-87F8-B26CA691CAA2}"/>
    <cellStyle name="Migliaia [0] 21 9" xfId="6998" xr:uid="{A0A80606-ECBB-4507-9868-E1CBF0977C8B}"/>
    <cellStyle name="Migliaia [0] 22" xfId="256" xr:uid="{00000000-0005-0000-0000-00000D020000}"/>
    <cellStyle name="Migliaia [0] 22 2" xfId="1523" xr:uid="{00000000-0005-0000-0000-00000E020000}"/>
    <cellStyle name="Migliaia [0] 22 2 2" xfId="1524" xr:uid="{00000000-0005-0000-0000-00000F020000}"/>
    <cellStyle name="Migliaia [0] 22 2 2 2" xfId="4616" xr:uid="{B5D4F39A-BA8E-4FE8-807E-6CAE07E59422}"/>
    <cellStyle name="Migliaia [0] 22 2 2 2 2" xfId="21748" xr:uid="{3C947F61-0EDF-4C99-8DD7-1C8A24C99348}"/>
    <cellStyle name="Migliaia [0] 22 2 2 2 3" xfId="37509" xr:uid="{21368675-2B53-4029-A503-1493F30A9703}"/>
    <cellStyle name="Migliaia [0] 22 2 2 2 4" xfId="50776" xr:uid="{BB6A1AAD-70DB-4583-8DFF-BD8774908D33}"/>
    <cellStyle name="Migliaia [0] 22 2 2 2 5" xfId="53792" xr:uid="{AB0236A0-2D9B-44A1-9928-A5432A4D21DD}"/>
    <cellStyle name="Migliaia [0] 22 2 2 2 6" xfId="11752" xr:uid="{FB24C72D-4D47-4BA8-A57B-ECAE926BCD72}"/>
    <cellStyle name="Migliaia [0] 22 2 2 3" xfId="2890" xr:uid="{DA1163DD-253D-4FE0-89F2-86D37E113841}"/>
    <cellStyle name="Migliaia [0] 22 2 2 3 2" xfId="12185" xr:uid="{A1E03275-6091-45E3-9E00-CCCF977E3FB4}"/>
    <cellStyle name="Migliaia [0] 22 2 2 4" xfId="10645" xr:uid="{377EB5B8-CF83-4CF8-B563-0E0E39113586}"/>
    <cellStyle name="Migliaia [0] 22 2 2 4 2" xfId="21280" xr:uid="{8725EF9E-FA39-4189-9780-6C55A7D40C62}"/>
    <cellStyle name="Migliaia [0] 22 2 2 4 3" xfId="47297" xr:uid="{82950F6D-F3C6-4001-BFB2-6A89149D0FA4}"/>
    <cellStyle name="Migliaia [0] 22 2 2 4 4" xfId="50295" xr:uid="{DD276B42-97DF-4DD3-AA1F-B3915D74DA13}"/>
    <cellStyle name="Migliaia [0] 22 2 2 4 5" xfId="53311" xr:uid="{41901C06-CFD9-4100-8F84-0E6F4C07A844}"/>
    <cellStyle name="Migliaia [0] 22 2 2 5" xfId="19569" xr:uid="{7484F95D-1B18-4ADA-8B6F-4C4A5CF0750B}"/>
    <cellStyle name="Migliaia [0] 22 2 2 6" xfId="24034" xr:uid="{DE75C242-C812-4AAE-A6BA-BD3D62336005}"/>
    <cellStyle name="Migliaia [0] 22 2 2 7" xfId="48834" xr:uid="{E5E4118C-FA1F-4E27-A43C-8D27D6BA556B}"/>
    <cellStyle name="Migliaia [0] 22 2 2 8" xfId="49740" xr:uid="{768A4483-DF2E-4900-B7BA-0D0FF2CA4A52}"/>
    <cellStyle name="Migliaia [0] 22 2 2 9" xfId="8440" xr:uid="{013D5D1E-469B-49D1-B472-BD392E03788A}"/>
    <cellStyle name="Migliaia [0] 22 2 3" xfId="4615" xr:uid="{9BA79069-BE74-4BA1-A1D8-F36935A706D5}"/>
    <cellStyle name="Migliaia [0] 22 2 3 2" xfId="32798" xr:uid="{0E4C2E08-0B57-4CCD-AB7D-C118CFE295E7}"/>
    <cellStyle name="Migliaia [0] 22 2 3 2 2" xfId="38149" xr:uid="{3228ABC2-C9BD-41D1-B278-2B81E3EAAA77}"/>
    <cellStyle name="Migliaia [0] 22 2 3 2 3" xfId="43451" xr:uid="{CA02072A-4711-4C91-88D2-8BDACEC32CFE}"/>
    <cellStyle name="Migliaia [0] 22 2 3 3" xfId="35684" xr:uid="{6C3A06D7-791D-4C02-BF82-5538F552DC1E}"/>
    <cellStyle name="Migliaia [0] 22 2 3 4" xfId="40800" xr:uid="{D321C409-D695-47C7-865E-7DD9F9E737FE}"/>
    <cellStyle name="Migliaia [0] 22 2 3 5" xfId="11753" xr:uid="{DB5E8296-3E9D-4AC9-8B8B-6C209BFA005C}"/>
    <cellStyle name="Migliaia [0] 22 2 4" xfId="5883" xr:uid="{BC508E27-EAA5-45AA-BA25-45CD889FDB65}"/>
    <cellStyle name="Migliaia [0] 22 2 4 2" xfId="19568" xr:uid="{EE375999-0E1D-4505-AA6D-68F20EA5D32E}"/>
    <cellStyle name="Migliaia [0] 22 2 5" xfId="2889" xr:uid="{84D46921-BD7F-49F2-B1B8-5B039C56710A}"/>
    <cellStyle name="Migliaia [0] 22 2 5 2" xfId="24033" xr:uid="{E6EB3A9B-8EC1-4364-8AF5-D9EC11353391}"/>
    <cellStyle name="Migliaia [0] 22 2 6" xfId="7250" xr:uid="{8AA4B72C-C65E-4E3F-9CDC-0B5D9C0012F3}"/>
    <cellStyle name="Migliaia [0] 22 3" xfId="1525" xr:uid="{00000000-0005-0000-0000-000010020000}"/>
    <cellStyle name="Migliaia [0] 22 3 2" xfId="4617" xr:uid="{61DC8A04-8F28-498E-B8A7-A3B3AF59BAD9}"/>
    <cellStyle name="Migliaia [0] 22 3 2 2" xfId="18315" xr:uid="{2AA1044C-16D9-42F8-9EDF-6E87B79959F0}"/>
    <cellStyle name="Migliaia [0] 22 3 2 2 2" xfId="21749" xr:uid="{54A1853E-9517-4B37-93CB-9198EB93EA33}"/>
    <cellStyle name="Migliaia [0] 22 3 2 2 2 2" xfId="38150" xr:uid="{E84086FD-FAF6-47D3-98EE-FD7A4094D89B}"/>
    <cellStyle name="Migliaia [0] 22 3 2 2 3" xfId="43452" xr:uid="{321A6A0B-94BA-4802-BF0A-849AF3D11E5A}"/>
    <cellStyle name="Migliaia [0] 22 3 2 2 4" xfId="32799" xr:uid="{9D75866E-0E94-4586-81F7-9F4A26D3F05F}"/>
    <cellStyle name="Migliaia [0] 22 3 2 3" xfId="35685" xr:uid="{165D5DBF-034B-4BAE-96EF-7D47BA3D84A6}"/>
    <cellStyle name="Migliaia [0] 22 3 2 4" xfId="40801" xr:uid="{B0AEB54C-AD5F-4CD2-AC90-D07AA369F778}"/>
    <cellStyle name="Migliaia [0] 22 3 2 5" xfId="46656" xr:uid="{E11AB6A0-6568-40F1-9B81-90582AADB8F5}"/>
    <cellStyle name="Migliaia [0] 22 3 2 6" xfId="50777" xr:uid="{6F6B1E7A-8A7C-4B65-B501-4EA4E84393B4}"/>
    <cellStyle name="Migliaia [0] 22 3 2 7" xfId="53793" xr:uid="{6FC17C26-35DA-45B4-81AD-E080BA8D0267}"/>
    <cellStyle name="Migliaia [0] 22 3 2 8" xfId="17591" xr:uid="{792E2EC9-F58D-4246-9354-3E21B21632A0}"/>
    <cellStyle name="Migliaia [0] 22 3 2 9" xfId="11754" xr:uid="{8859BB8E-724F-4762-AD6D-F099E46A847C}"/>
    <cellStyle name="Migliaia [0] 22 3 3" xfId="5884" xr:uid="{54549013-CFDD-493F-B37C-13E6C414BC33}"/>
    <cellStyle name="Migliaia [0] 22 3 3 2" xfId="12382" xr:uid="{0184B4B1-A661-426D-9824-BD4B3428D454}"/>
    <cellStyle name="Migliaia [0] 22 3 4" xfId="2891" xr:uid="{974AB3C2-2AA2-4374-BD93-F0C452995971}"/>
    <cellStyle name="Migliaia [0] 22 3 4 2" xfId="21281" xr:uid="{4519FF77-B5CE-4A83-B112-F7FF69E2915F}"/>
    <cellStyle name="Migliaia [0] 22 3 4 3" xfId="46175" xr:uid="{215FC16D-364D-4568-9DF8-025FE87B579B}"/>
    <cellStyle name="Migliaia [0] 22 3 4 4" xfId="50296" xr:uid="{557204C8-E237-4E3F-BCC0-75D76D58F8EE}"/>
    <cellStyle name="Migliaia [0] 22 3 4 5" xfId="53312" xr:uid="{CA436371-2707-4E51-9982-B8FB185326E0}"/>
    <cellStyle name="Migliaia [0] 22 3 4 6" xfId="10646" xr:uid="{2C1261A0-51F0-42E2-A016-8008BDAD0A59}"/>
    <cellStyle name="Migliaia [0] 22 3 5" xfId="19570" xr:uid="{C254B59F-DD1D-497D-B46D-46427E0931BC}"/>
    <cellStyle name="Migliaia [0] 22 3 6" xfId="24035" xr:uid="{3A77D0CB-46F4-4DDC-9464-BBADEF9384BA}"/>
    <cellStyle name="Migliaia [0] 22 3 7" xfId="8198" xr:uid="{DD473910-5184-4939-B250-1EF5190EC98B}"/>
    <cellStyle name="Migliaia [0] 22 4" xfId="2892" xr:uid="{27F8AC92-1811-47A6-87C5-7190B8637D25}"/>
    <cellStyle name="Migliaia [0] 22 4 2" xfId="4618" xr:uid="{4EB8EEFE-B6BE-4865-AD8C-19DD2D2ACD36}"/>
    <cellStyle name="Migliaia [0] 22 4 2 2" xfId="35083" xr:uid="{36FCCE22-BA6A-4AE1-9B01-599920AE8595}"/>
    <cellStyle name="Migliaia [0] 22 4 2 2 2" xfId="40241" xr:uid="{313E48E3-10CA-4EF6-B7EB-4A715FE6EB00}"/>
    <cellStyle name="Migliaia [0] 22 4 2 2 3" xfId="45543" xr:uid="{5408DEAD-D0A2-44E9-BD81-23AAA7DCB9F2}"/>
    <cellStyle name="Migliaia [0] 22 4 2 3" xfId="37590" xr:uid="{803CC289-2E9F-46F5-8BA6-80EE59088EAE}"/>
    <cellStyle name="Migliaia [0] 22 4 2 4" xfId="42892" xr:uid="{6BEEB294-0C8A-4106-957E-E7A533B2F613}"/>
    <cellStyle name="Migliaia [0] 22 4 2 5" xfId="17023" xr:uid="{2C5FD8C1-E430-433D-80C7-CAB70E2625C9}"/>
    <cellStyle name="Migliaia [0] 22 4 3" xfId="5885" xr:uid="{ECBF6CE6-E0AD-4863-A0C9-DC42589019B7}"/>
    <cellStyle name="Migliaia [0] 22 4 3 2" xfId="38151" xr:uid="{2D0F0DBF-1583-4D55-B948-4D6DA0E565A9}"/>
    <cellStyle name="Migliaia [0] 22 4 3 3" xfId="43453" xr:uid="{26A2B5D6-AF32-4BFC-B295-000562A8F87F}"/>
    <cellStyle name="Migliaia [0] 22 4 3 4" xfId="32800" xr:uid="{8DF03548-9119-418B-87F1-06726CA5258F}"/>
    <cellStyle name="Migliaia [0] 22 4 3 5" xfId="19571" xr:uid="{BE92DFCA-76D4-4F5F-B585-47F6C8F10931}"/>
    <cellStyle name="Migliaia [0] 22 4 4" xfId="35686" xr:uid="{8F224437-E8FC-4A57-A0CD-2C066C92D076}"/>
    <cellStyle name="Migliaia [0] 22 4 5" xfId="40802" xr:uid="{C47A2D11-CA06-4286-85C9-7DEBAA5B34F0}"/>
    <cellStyle name="Migliaia [0] 22 4 6" xfId="15965" xr:uid="{E77E6B67-B9A0-4171-B48B-59D215096C28}"/>
    <cellStyle name="Migliaia [0] 22 4 7" xfId="7778" xr:uid="{49E4187B-8797-42A3-8FBE-E15926D2E29E}"/>
    <cellStyle name="Migliaia [0] 22 5" xfId="4614" xr:uid="{493BC48E-8DEB-4B59-98C7-1A53F84F40C5}"/>
    <cellStyle name="Migliaia [0] 22 5 2" xfId="32801" xr:uid="{0FBAEAEB-563B-4A4E-8551-05FAC274A456}"/>
    <cellStyle name="Migliaia [0] 22 5 2 2" xfId="38152" xr:uid="{FBF6167A-ED6B-44FA-ACF4-5CCBC8E44433}"/>
    <cellStyle name="Migliaia [0] 22 5 2 3" xfId="43454" xr:uid="{8C7BA345-CCC9-42F6-A971-6625756C825A}"/>
    <cellStyle name="Migliaia [0] 22 5 3" xfId="35687" xr:uid="{62A32B9B-7E55-4BE5-AB10-9FB55569036E}"/>
    <cellStyle name="Migliaia [0] 22 5 4" xfId="40803" xr:uid="{CDC98B44-F823-4955-B713-0F91592677E6}"/>
    <cellStyle name="Migliaia [0] 22 5 5" xfId="17092" xr:uid="{2D8E7F22-55E3-40F1-808C-147D7BE6687B}"/>
    <cellStyle name="Migliaia [0] 22 6" xfId="5882" xr:uid="{0F0F2605-A312-412C-9EA2-DD692EEB6E05}"/>
    <cellStyle name="Migliaia [0] 22 6 2" xfId="38148" xr:uid="{602EFCC9-D82F-4912-8E23-9B3D750279B2}"/>
    <cellStyle name="Migliaia [0] 22 6 3" xfId="43450" xr:uid="{A8DABBFE-5C20-4C14-87AC-BAEDEE1F297C}"/>
    <cellStyle name="Migliaia [0] 22 6 4" xfId="32797" xr:uid="{F7A406B2-0515-4D50-875E-CFB3CB48EED5}"/>
    <cellStyle name="Migliaia [0] 22 6 5" xfId="19567" xr:uid="{3A10C2E4-175C-41A8-95B2-F7F2B564C08E}"/>
    <cellStyle name="Migliaia [0] 22 7" xfId="2888" xr:uid="{275B432B-F039-4594-B076-18A2626599DE}"/>
    <cellStyle name="Migliaia [0] 22 7 2" xfId="35683" xr:uid="{F8403258-80D8-4B81-B09F-C14AB5A3CC67}"/>
    <cellStyle name="Migliaia [0] 22 8" xfId="40799" xr:uid="{4F4905A7-A1B5-4F1C-8F5F-EB541CB811F9}"/>
    <cellStyle name="Migliaia [0] 22 9" xfId="6999" xr:uid="{0E153ACD-8C99-481D-AFDF-9897C7F344FE}"/>
    <cellStyle name="Migliaia [0] 23" xfId="257" xr:uid="{00000000-0005-0000-0000-000011020000}"/>
    <cellStyle name="Migliaia [0] 23 2" xfId="1526" xr:uid="{00000000-0005-0000-0000-000012020000}"/>
    <cellStyle name="Migliaia [0] 23 2 2" xfId="1527" xr:uid="{00000000-0005-0000-0000-000013020000}"/>
    <cellStyle name="Migliaia [0] 23 2 2 2" xfId="4621" xr:uid="{4FE6D637-F9C3-4AE5-9ED5-ACACCED297D9}"/>
    <cellStyle name="Migliaia [0] 23 2 2 2 2" xfId="21750" xr:uid="{F5312EC5-DC17-4CDB-9C5C-0643E3D33BC4}"/>
    <cellStyle name="Migliaia [0] 23 2 2 2 3" xfId="36712" xr:uid="{90A97311-EEB9-430A-990F-109BD5E59491}"/>
    <cellStyle name="Migliaia [0] 23 2 2 2 4" xfId="50778" xr:uid="{3450F6ED-8921-4608-B866-9F76D3ACFDBB}"/>
    <cellStyle name="Migliaia [0] 23 2 2 2 5" xfId="53794" xr:uid="{B2C86D1B-CCD1-421B-8EF0-B448791E510A}"/>
    <cellStyle name="Migliaia [0] 23 2 2 2 6" xfId="11755" xr:uid="{C5F3D2D1-8201-408C-8115-0DBEDCF7C404}"/>
    <cellStyle name="Migliaia [0] 23 2 2 3" xfId="2895" xr:uid="{9CE2E36E-D147-4148-BFC5-79614950684C}"/>
    <cellStyle name="Migliaia [0] 23 2 2 3 2" xfId="12171" xr:uid="{F31EBFD1-65EF-4AC5-B9CE-C971DBE37FA9}"/>
    <cellStyle name="Migliaia [0] 23 2 2 4" xfId="10647" xr:uid="{8183FCF2-79B2-41A1-9813-E9B5A92A8015}"/>
    <cellStyle name="Migliaia [0] 23 2 2 4 2" xfId="21282" xr:uid="{026D6032-30A6-46D6-9DB3-D37428B38682}"/>
    <cellStyle name="Migliaia [0] 23 2 2 4 3" xfId="47890" xr:uid="{EF9A2F2F-1540-4FDB-BC12-B6FAED105CBA}"/>
    <cellStyle name="Migliaia [0] 23 2 2 4 4" xfId="50297" xr:uid="{BF912B1D-5FF4-49A5-9206-CE389717BA04}"/>
    <cellStyle name="Migliaia [0] 23 2 2 4 5" xfId="53313" xr:uid="{E7309CCA-70D1-4AB0-A58E-FB32C97DEBC1}"/>
    <cellStyle name="Migliaia [0] 23 2 2 5" xfId="19574" xr:uid="{FE88C6D9-1A2D-422D-8911-69C84ADEE087}"/>
    <cellStyle name="Migliaia [0] 23 2 2 6" xfId="24037" xr:uid="{E2232604-F14C-40A1-83A4-F1060101D695}"/>
    <cellStyle name="Migliaia [0] 23 2 2 7" xfId="48835" xr:uid="{3CCADAF0-6FED-44BA-8591-E656D5AD45E9}"/>
    <cellStyle name="Migliaia [0] 23 2 2 8" xfId="49741" xr:uid="{804ACB60-E91C-42DA-A307-87B54BC5E1EC}"/>
    <cellStyle name="Migliaia [0] 23 2 2 9" xfId="8441" xr:uid="{290A11B3-C588-4034-BD6D-F2D266D7D569}"/>
    <cellStyle name="Migliaia [0] 23 2 3" xfId="4620" xr:uid="{FCF050C4-29F8-4F32-995E-65709AC477A6}"/>
    <cellStyle name="Migliaia [0] 23 2 3 2" xfId="32803" xr:uid="{F157E4D8-41A0-4314-88FC-150565582E83}"/>
    <cellStyle name="Migliaia [0] 23 2 3 2 2" xfId="38154" xr:uid="{D89AFBB1-CED3-4D5D-8448-9C437051A9E7}"/>
    <cellStyle name="Migliaia [0] 23 2 3 2 3" xfId="43456" xr:uid="{4DE2B423-D3F3-4AF5-B8A8-4D03783879D6}"/>
    <cellStyle name="Migliaia [0] 23 2 3 3" xfId="35689" xr:uid="{B74ABB4F-DDA8-4617-9E45-FB1870CD7D00}"/>
    <cellStyle name="Migliaia [0] 23 2 3 4" xfId="40805" xr:uid="{3E177B2B-B137-4FDB-A60E-17E7FFBBB27F}"/>
    <cellStyle name="Migliaia [0] 23 2 3 5" xfId="11756" xr:uid="{1551E525-303E-45C9-85D3-E317ECD8C91B}"/>
    <cellStyle name="Migliaia [0] 23 2 4" xfId="5887" xr:uid="{9051ECFD-F5B1-4A3B-A893-4DA54F705A78}"/>
    <cellStyle name="Migliaia [0] 23 2 4 2" xfId="19573" xr:uid="{1C1C9B5E-D6BE-41BF-8BB2-3CBB5B9E6AA2}"/>
    <cellStyle name="Migliaia [0] 23 2 5" xfId="2894" xr:uid="{386DB2EC-2787-4D83-AFFF-184865DF4D0C}"/>
    <cellStyle name="Migliaia [0] 23 2 5 2" xfId="24036" xr:uid="{A0F92C68-CBD9-4167-B4EA-36470F3AE917}"/>
    <cellStyle name="Migliaia [0] 23 2 6" xfId="7251" xr:uid="{76346626-A2E9-462B-B128-6A33D4FEA751}"/>
    <cellStyle name="Migliaia [0] 23 3" xfId="1528" xr:uid="{00000000-0005-0000-0000-000014020000}"/>
    <cellStyle name="Migliaia [0] 23 3 2" xfId="4622" xr:uid="{8BD72E37-8176-4022-B225-C1DD5676741A}"/>
    <cellStyle name="Migliaia [0] 23 3 2 2" xfId="18316" xr:uid="{4D560738-7F49-470B-8150-5A31F5021CD5}"/>
    <cellStyle name="Migliaia [0] 23 3 2 2 2" xfId="21751" xr:uid="{3A52430C-6764-4544-A9F8-2992ACACD772}"/>
    <cellStyle name="Migliaia [0] 23 3 2 2 2 2" xfId="38155" xr:uid="{96F2CD45-8A16-4E5D-8BA9-EB715B42BCB4}"/>
    <cellStyle name="Migliaia [0] 23 3 2 2 3" xfId="43457" xr:uid="{482E3096-59DF-481C-BB18-F03B4BB4EC24}"/>
    <cellStyle name="Migliaia [0] 23 3 2 2 4" xfId="32804" xr:uid="{90E4C0F9-23FC-4BD8-8B9F-AC23BA7E6B4A}"/>
    <cellStyle name="Migliaia [0] 23 3 2 3" xfId="35690" xr:uid="{FD596881-2323-48F7-B582-3DE18D57FDCF}"/>
    <cellStyle name="Migliaia [0] 23 3 2 4" xfId="40806" xr:uid="{35EB4710-8A0A-4A19-BF92-D673E2B16500}"/>
    <cellStyle name="Migliaia [0] 23 3 2 5" xfId="48011" xr:uid="{009894C7-43FF-4ABD-812D-21F2ABD8875D}"/>
    <cellStyle name="Migliaia [0] 23 3 2 6" xfId="50779" xr:uid="{4E2254B0-E33E-4F6C-9A09-F17D8BAB176A}"/>
    <cellStyle name="Migliaia [0] 23 3 2 7" xfId="53795" xr:uid="{C108BCC4-A128-4810-A517-8A4BA9965C06}"/>
    <cellStyle name="Migliaia [0] 23 3 2 8" xfId="17592" xr:uid="{F824B53D-F4EE-4FBE-9040-80D622D0FB2A}"/>
    <cellStyle name="Migliaia [0] 23 3 2 9" xfId="11757" xr:uid="{D0294108-7DFD-4375-A32B-CEC9D1984F22}"/>
    <cellStyle name="Migliaia [0] 23 3 3" xfId="5888" xr:uid="{48A0B89F-D314-41C4-BE3B-318EABD43A82}"/>
    <cellStyle name="Migliaia [0] 23 3 3 2" xfId="12213" xr:uid="{A273BF63-E3F9-4020-AFCE-03A6B1F9A767}"/>
    <cellStyle name="Migliaia [0] 23 3 4" xfId="2896" xr:uid="{B67A61FA-9570-4615-94C7-6DCED64E611F}"/>
    <cellStyle name="Migliaia [0] 23 3 4 2" xfId="21283" xr:uid="{75323880-D55C-4D4D-A8E9-56D505D82AB7}"/>
    <cellStyle name="Migliaia [0] 23 3 4 3" xfId="46988" xr:uid="{ECFFE92A-5E2D-427E-BE1A-F7966BDAFEE0}"/>
    <cellStyle name="Migliaia [0] 23 3 4 4" xfId="50298" xr:uid="{89247C2D-C0E3-48C6-AAE0-1E9574BDC76D}"/>
    <cellStyle name="Migliaia [0] 23 3 4 5" xfId="53314" xr:uid="{86A7A569-899A-4BF7-B01F-5E30EE4BE8F2}"/>
    <cellStyle name="Migliaia [0] 23 3 4 6" xfId="10648" xr:uid="{3ADB5CA1-8CF7-4591-983E-2364E5B796AB}"/>
    <cellStyle name="Migliaia [0] 23 3 5" xfId="19575" xr:uid="{A70F7BD2-FB32-4E15-813E-3FEE4AB2D82F}"/>
    <cellStyle name="Migliaia [0] 23 3 6" xfId="24038" xr:uid="{7B641C74-BBAD-4078-AF55-9772B8FADBD7}"/>
    <cellStyle name="Migliaia [0] 23 3 7" xfId="8199" xr:uid="{0E657F6B-6335-41F8-9E65-791C9B1A9F24}"/>
    <cellStyle name="Migliaia [0] 23 4" xfId="2897" xr:uid="{10B569CA-9A84-45AC-B237-C0BCCDC3D4E5}"/>
    <cellStyle name="Migliaia [0] 23 4 2" xfId="4623" xr:uid="{33CBD4C4-C7AF-4D77-B832-D77E27264A87}"/>
    <cellStyle name="Migliaia [0] 23 4 2 2" xfId="35084" xr:uid="{D3AF418A-29BF-4F4D-AE79-6E32394DDCB2}"/>
    <cellStyle name="Migliaia [0] 23 4 2 2 2" xfId="40242" xr:uid="{54B2EF2F-E1CE-4450-906E-1F8C2782B0D1}"/>
    <cellStyle name="Migliaia [0] 23 4 2 2 3" xfId="45544" xr:uid="{ABBF7BD5-2FF7-4D00-9DF3-9E44696718E2}"/>
    <cellStyle name="Migliaia [0] 23 4 2 3" xfId="37591" xr:uid="{BF24F85C-38F2-4F18-B005-199A152276EC}"/>
    <cellStyle name="Migliaia [0] 23 4 2 4" xfId="42893" xr:uid="{66D381B1-2242-45C4-9342-FA146BB34D3F}"/>
    <cellStyle name="Migliaia [0] 23 4 2 5" xfId="17024" xr:uid="{EAEC9E25-B118-45B4-B268-6A95B0E229A4}"/>
    <cellStyle name="Migliaia [0] 23 4 3" xfId="5889" xr:uid="{61FAC30A-E6C3-4A6C-A5F6-2B28FEB222A2}"/>
    <cellStyle name="Migliaia [0] 23 4 3 2" xfId="38156" xr:uid="{AA2E0EF9-67EA-4676-A7B8-412DD8008C25}"/>
    <cellStyle name="Migliaia [0] 23 4 3 3" xfId="43458" xr:uid="{A0567CD8-336C-4EFA-962D-F8C7C03103F1}"/>
    <cellStyle name="Migliaia [0] 23 4 3 4" xfId="32805" xr:uid="{AC7E0477-C1F1-4461-AE90-9D5C7F1ACA8C}"/>
    <cellStyle name="Migliaia [0] 23 4 3 5" xfId="19576" xr:uid="{2C1B2C7E-8EE3-439F-AC71-05F691B698F6}"/>
    <cellStyle name="Migliaia [0] 23 4 4" xfId="35691" xr:uid="{9725EFDA-8ACF-4C5F-91E8-2E851066D9A4}"/>
    <cellStyle name="Migliaia [0] 23 4 5" xfId="40807" xr:uid="{9A0F07B5-BED9-473A-ABB2-B167FB9ED74C}"/>
    <cellStyle name="Migliaia [0] 23 4 6" xfId="15966" xr:uid="{A9B39139-08E2-41BA-984D-02730AC36353}"/>
    <cellStyle name="Migliaia [0] 23 4 7" xfId="7779" xr:uid="{716864FE-C092-413B-9F04-FD1423FDBAA1}"/>
    <cellStyle name="Migliaia [0] 23 5" xfId="4619" xr:uid="{14B248BD-A24B-4D34-90FD-FC29C50CFC28}"/>
    <cellStyle name="Migliaia [0] 23 5 2" xfId="32806" xr:uid="{17313314-368F-4DA7-8D69-7572DDB03889}"/>
    <cellStyle name="Migliaia [0] 23 5 2 2" xfId="38157" xr:uid="{8925ECD0-3BAB-44A5-96E6-02C69E4A73BA}"/>
    <cellStyle name="Migliaia [0] 23 5 2 3" xfId="43459" xr:uid="{036E1EA9-52D4-428C-A3EA-962EA037234E}"/>
    <cellStyle name="Migliaia [0] 23 5 3" xfId="35692" xr:uid="{113C397B-7ACE-4E0F-A77E-513A1D2C98DF}"/>
    <cellStyle name="Migliaia [0] 23 5 4" xfId="40808" xr:uid="{0016EC76-2BC1-477D-AE8D-2AB477D3AF95}"/>
    <cellStyle name="Migliaia [0] 23 5 5" xfId="17093" xr:uid="{E5ED1CD2-D443-4E91-8184-01E3F1FD3F2E}"/>
    <cellStyle name="Migliaia [0] 23 6" xfId="5886" xr:uid="{54640D8F-1667-4DE6-A3E8-F9C6FE39AFC4}"/>
    <cellStyle name="Migliaia [0] 23 6 2" xfId="38153" xr:uid="{05F4FC38-C258-4901-8530-6CAACE1653D8}"/>
    <cellStyle name="Migliaia [0] 23 6 3" xfId="43455" xr:uid="{FCADEB94-211C-404F-8AEF-9E97F00D7780}"/>
    <cellStyle name="Migliaia [0] 23 6 4" xfId="32802" xr:uid="{6F5098F0-A39E-47CE-9B2A-6BFBFEBEA15B}"/>
    <cellStyle name="Migliaia [0] 23 6 5" xfId="19572" xr:uid="{06965A81-D49C-481A-A33A-DF2A90EA9888}"/>
    <cellStyle name="Migliaia [0] 23 7" xfId="2893" xr:uid="{A0148927-F9EC-4B1E-8136-48B677D2B0F4}"/>
    <cellStyle name="Migliaia [0] 23 7 2" xfId="35688" xr:uid="{56C77649-212D-4191-B77E-9EADBF940C9D}"/>
    <cellStyle name="Migliaia [0] 23 8" xfId="40804" xr:uid="{1324D05F-E297-464B-930A-0693A11C37B2}"/>
    <cellStyle name="Migliaia [0] 23 9" xfId="7000" xr:uid="{D1F4E8A7-6CEE-4B70-94F9-B9BF08D70E08}"/>
    <cellStyle name="Migliaia [0] 24" xfId="258" xr:uid="{00000000-0005-0000-0000-000015020000}"/>
    <cellStyle name="Migliaia [0] 24 2" xfId="1529" xr:uid="{00000000-0005-0000-0000-000016020000}"/>
    <cellStyle name="Migliaia [0] 24 2 2" xfId="1530" xr:uid="{00000000-0005-0000-0000-000017020000}"/>
    <cellStyle name="Migliaia [0] 24 2 2 2" xfId="4626" xr:uid="{C77C53CF-7519-41ED-9CF0-FE8E538030B6}"/>
    <cellStyle name="Migliaia [0] 24 2 2 2 2" xfId="21752" xr:uid="{C4A3EF45-DE8F-4CF1-892E-804B6D54E2F8}"/>
    <cellStyle name="Migliaia [0] 24 2 2 2 3" xfId="46289" xr:uid="{13E75586-77DA-463E-86C5-178ACE33A90D}"/>
    <cellStyle name="Migliaia [0] 24 2 2 2 4" xfId="50780" xr:uid="{F452BC21-972B-421C-BAAD-1EA8367147A1}"/>
    <cellStyle name="Migliaia [0] 24 2 2 2 5" xfId="53796" xr:uid="{468923C0-A06B-464B-A1AC-5EC803AB0614}"/>
    <cellStyle name="Migliaia [0] 24 2 2 2 6" xfId="11758" xr:uid="{77173FA5-66C9-4EAC-AF1C-3D1FEB9F05F3}"/>
    <cellStyle name="Migliaia [0] 24 2 2 3" xfId="2900" xr:uid="{516691FE-B859-46E3-8E1F-C01E834174B7}"/>
    <cellStyle name="Migliaia [0] 24 2 2 3 2" xfId="12350" xr:uid="{CBD2678F-2312-4652-AED1-9065E98B2243}"/>
    <cellStyle name="Migliaia [0] 24 2 2 4" xfId="10649" xr:uid="{80C75A69-B88C-4764-AF65-1A7863194404}"/>
    <cellStyle name="Migliaia [0] 24 2 2 4 2" xfId="21284" xr:uid="{2CCCC734-7648-4739-89A9-304853D6C0AD}"/>
    <cellStyle name="Migliaia [0] 24 2 2 4 3" xfId="47981" xr:uid="{5A219A6D-E94E-4F88-BC68-4208467BDA67}"/>
    <cellStyle name="Migliaia [0] 24 2 2 4 4" xfId="50299" xr:uid="{6413EDBC-5B09-4DE1-AB3F-F9640F07348E}"/>
    <cellStyle name="Migliaia [0] 24 2 2 4 5" xfId="53315" xr:uid="{F84249E9-B345-4C17-B7C2-AED00EAE3876}"/>
    <cellStyle name="Migliaia [0] 24 2 2 5" xfId="19579" xr:uid="{D668617F-2366-43EE-8059-0E3D2F8C0B05}"/>
    <cellStyle name="Migliaia [0] 24 2 2 6" xfId="24040" xr:uid="{125B81BC-B04D-4F53-A2C9-0480F53EEE24}"/>
    <cellStyle name="Migliaia [0] 24 2 2 7" xfId="48836" xr:uid="{3F6FCC9F-CFA0-448D-8278-4D535A70FBD9}"/>
    <cellStyle name="Migliaia [0] 24 2 2 8" xfId="49742" xr:uid="{FB56D5A1-AD0C-4313-8308-66EF5E84DD64}"/>
    <cellStyle name="Migliaia [0] 24 2 2 9" xfId="8442" xr:uid="{2C6C6948-4A72-43AD-808F-443C6910607B}"/>
    <cellStyle name="Migliaia [0] 24 2 3" xfId="4625" xr:uid="{7F979F7E-0193-48D9-A4E5-E5D5428B9E6F}"/>
    <cellStyle name="Migliaia [0] 24 2 3 2" xfId="32808" xr:uid="{27B63FF9-4B46-4A42-A49A-713F2C4D0BD3}"/>
    <cellStyle name="Migliaia [0] 24 2 3 2 2" xfId="38159" xr:uid="{1EDCE799-C803-437F-89A6-4BC3BFE3F1FC}"/>
    <cellStyle name="Migliaia [0] 24 2 3 2 3" xfId="43461" xr:uid="{3B0F35CA-6766-499F-A2AA-56454AF87C21}"/>
    <cellStyle name="Migliaia [0] 24 2 3 3" xfId="35694" xr:uid="{1434EFF6-BBA7-4F64-A75F-695114ECC7CB}"/>
    <cellStyle name="Migliaia [0] 24 2 3 4" xfId="40810" xr:uid="{C09E867E-95E2-4722-8619-49CDFA35DAD7}"/>
    <cellStyle name="Migliaia [0] 24 2 3 5" xfId="11759" xr:uid="{14BFAED6-E43C-4B05-B313-339E1AF275FA}"/>
    <cellStyle name="Migliaia [0] 24 2 4" xfId="5891" xr:uid="{321D71A6-96F0-4CEA-8BBE-6D80A7ED6033}"/>
    <cellStyle name="Migliaia [0] 24 2 4 2" xfId="19578" xr:uid="{4D9C3FEB-0816-4DA6-8DAF-5AF00373574D}"/>
    <cellStyle name="Migliaia [0] 24 2 5" xfId="2899" xr:uid="{52FEDE21-808D-42CA-BBE6-FF253036C656}"/>
    <cellStyle name="Migliaia [0] 24 2 5 2" xfId="24039" xr:uid="{F4F18EE4-3176-4EA5-8F11-6C599FC7B6C0}"/>
    <cellStyle name="Migliaia [0] 24 2 6" xfId="7252" xr:uid="{DA751EDA-4DFB-4278-BBDE-86A70010E766}"/>
    <cellStyle name="Migliaia [0] 24 3" xfId="1531" xr:uid="{00000000-0005-0000-0000-000018020000}"/>
    <cellStyle name="Migliaia [0] 24 3 2" xfId="4627" xr:uid="{B2FD12AF-5E14-42FD-9661-F7CB5D0D7FEE}"/>
    <cellStyle name="Migliaia [0] 24 3 2 2" xfId="18317" xr:uid="{E8126E42-FDAD-45F8-8BB2-D1B28305E378}"/>
    <cellStyle name="Migliaia [0] 24 3 2 2 2" xfId="21753" xr:uid="{2D7DD33C-D761-4D71-B491-18F9C9EEA696}"/>
    <cellStyle name="Migliaia [0] 24 3 2 2 2 2" xfId="38160" xr:uid="{1AD16440-C08B-457F-9DE1-9E3A65B2A807}"/>
    <cellStyle name="Migliaia [0] 24 3 2 2 3" xfId="43462" xr:uid="{56190268-2C67-4AF7-9083-492B3849C5A7}"/>
    <cellStyle name="Migliaia [0] 24 3 2 2 4" xfId="32809" xr:uid="{BC3B2B38-B96D-43CD-BE0C-C5A6484775EE}"/>
    <cellStyle name="Migliaia [0] 24 3 2 3" xfId="35695" xr:uid="{B0EFF64A-A26E-41CE-8657-17F185509F9C}"/>
    <cellStyle name="Migliaia [0] 24 3 2 4" xfId="40811" xr:uid="{2A277479-E7FB-4784-A423-F634E55AF73D}"/>
    <cellStyle name="Migliaia [0] 24 3 2 5" xfId="47396" xr:uid="{4CB81725-6F58-45DE-B3F8-F4064C08CE66}"/>
    <cellStyle name="Migliaia [0] 24 3 2 6" xfId="50781" xr:uid="{F14B24CE-47D0-47B5-A56E-8F98AD4350C1}"/>
    <cellStyle name="Migliaia [0] 24 3 2 7" xfId="53797" xr:uid="{6D38B9F9-D71A-46BA-AF8D-48A6C9CEBEA7}"/>
    <cellStyle name="Migliaia [0] 24 3 2 8" xfId="17593" xr:uid="{59C7444C-B8CE-412B-9F94-DC9FB567BF5E}"/>
    <cellStyle name="Migliaia [0] 24 3 2 9" xfId="11760" xr:uid="{EBEBADD4-F710-4912-879E-7CC9584EFD53}"/>
    <cellStyle name="Migliaia [0] 24 3 3" xfId="5892" xr:uid="{BB93BE86-7A60-45B5-82ED-230B923BC7E9}"/>
    <cellStyle name="Migliaia [0] 24 3 3 2" xfId="12381" xr:uid="{A532E220-6932-4E85-BD12-35D52A79168D}"/>
    <cellStyle name="Migliaia [0] 24 3 4" xfId="2901" xr:uid="{FE9454FA-D653-4B9C-81DD-3E1D48544ECD}"/>
    <cellStyle name="Migliaia [0] 24 3 4 2" xfId="21285" xr:uid="{B97BA0E3-954A-4E62-83B4-9F6EEC65B42C}"/>
    <cellStyle name="Migliaia [0] 24 3 4 3" xfId="46634" xr:uid="{337581E8-B668-43D4-951D-A530AF972729}"/>
    <cellStyle name="Migliaia [0] 24 3 4 4" xfId="50300" xr:uid="{2DDA440D-CA9A-4F54-8352-7894D126E353}"/>
    <cellStyle name="Migliaia [0] 24 3 4 5" xfId="53316" xr:uid="{CA35EC6C-5040-402C-A096-136B3E22E36C}"/>
    <cellStyle name="Migliaia [0] 24 3 4 6" xfId="10650" xr:uid="{D7ED1917-1F09-46C8-8088-156B8E108FF1}"/>
    <cellStyle name="Migliaia [0] 24 3 5" xfId="19580" xr:uid="{91BEB381-6633-4C9D-A1AB-5B556AD7B5A5}"/>
    <cellStyle name="Migliaia [0] 24 3 6" xfId="24041" xr:uid="{77273011-375C-4F67-8CE0-3A82FFA3859F}"/>
    <cellStyle name="Migliaia [0] 24 3 7" xfId="8200" xr:uid="{E1B5871C-8812-4CA1-A6AE-452EF5F1907D}"/>
    <cellStyle name="Migliaia [0] 24 4" xfId="2902" xr:uid="{BB9FCC56-1F21-498C-A15C-98BC57644022}"/>
    <cellStyle name="Migliaia [0] 24 4 2" xfId="4628" xr:uid="{BA478609-1B24-4B54-A941-36802CF89326}"/>
    <cellStyle name="Migliaia [0] 24 4 2 2" xfId="35085" xr:uid="{B519231B-CFE0-4EA9-BBB4-EDDFF26F1D46}"/>
    <cellStyle name="Migliaia [0] 24 4 2 2 2" xfId="40243" xr:uid="{12874A1D-89A9-4828-AFB8-69DBF8649B35}"/>
    <cellStyle name="Migliaia [0] 24 4 2 2 3" xfId="45545" xr:uid="{416DDD54-A165-421D-B3BD-4D18D6E2A6F8}"/>
    <cellStyle name="Migliaia [0] 24 4 2 3" xfId="37592" xr:uid="{8712E5AB-69B3-41B6-9B01-0B0939AFB909}"/>
    <cellStyle name="Migliaia [0] 24 4 2 4" xfId="42894" xr:uid="{5B98561C-40E0-4B1B-A2C4-D240ED8F9164}"/>
    <cellStyle name="Migliaia [0] 24 4 2 5" xfId="17025" xr:uid="{D2C7277D-B927-4DE1-8042-D3914B055395}"/>
    <cellStyle name="Migliaia [0] 24 4 3" xfId="5893" xr:uid="{312D4EAC-0725-4729-8A71-EBC7C67E8D0B}"/>
    <cellStyle name="Migliaia [0] 24 4 3 2" xfId="38161" xr:uid="{F2E314E2-E8CB-48EC-974C-2944FB9140EB}"/>
    <cellStyle name="Migliaia [0] 24 4 3 3" xfId="43463" xr:uid="{90CFC83E-0F5F-4E9C-8484-F51125D304CC}"/>
    <cellStyle name="Migliaia [0] 24 4 3 4" xfId="32810" xr:uid="{BE1F3467-62F7-4841-8C1E-C2C3A5F0C33B}"/>
    <cellStyle name="Migliaia [0] 24 4 3 5" xfId="19581" xr:uid="{3B3F6AFD-0F0C-463D-8AB2-BC3D87B1FD4E}"/>
    <cellStyle name="Migliaia [0] 24 4 4" xfId="35696" xr:uid="{95246B4D-15FE-42DB-BD6B-8135F0CE9255}"/>
    <cellStyle name="Migliaia [0] 24 4 5" xfId="40812" xr:uid="{8AB86E8C-C643-4F8F-B824-10C28AED6951}"/>
    <cellStyle name="Migliaia [0] 24 4 6" xfId="15967" xr:uid="{8BB9EB68-2775-4B20-B5E2-41F77B123C7D}"/>
    <cellStyle name="Migliaia [0] 24 4 7" xfId="7780" xr:uid="{757050BF-957D-4E31-A415-72E409A5F7AF}"/>
    <cellStyle name="Migliaia [0] 24 5" xfId="4624" xr:uid="{779612A4-8552-4A40-963D-8AF4DE18FBBF}"/>
    <cellStyle name="Migliaia [0] 24 5 2" xfId="32811" xr:uid="{CC9CAC5A-353F-4B2E-AD25-248BBD81D8C6}"/>
    <cellStyle name="Migliaia [0] 24 5 2 2" xfId="38162" xr:uid="{F27C35D0-78FF-436E-9F58-6D7FB45DC1EA}"/>
    <cellStyle name="Migliaia [0] 24 5 2 3" xfId="43464" xr:uid="{E0A88F47-9B05-4339-B0F2-540B6E519BD9}"/>
    <cellStyle name="Migliaia [0] 24 5 3" xfId="35697" xr:uid="{5792B3B4-8B30-43DE-BC37-DFD828B42984}"/>
    <cellStyle name="Migliaia [0] 24 5 4" xfId="40813" xr:uid="{6C2057D0-9025-4B63-8864-A50D8D523E06}"/>
    <cellStyle name="Migliaia [0] 24 5 5" xfId="17094" xr:uid="{3F3F58F3-015A-4299-9053-E0709A1AE381}"/>
    <cellStyle name="Migliaia [0] 24 6" xfId="5890" xr:uid="{8D2E8A9B-7663-4958-BEED-12B3C716EB5B}"/>
    <cellStyle name="Migliaia [0] 24 6 2" xfId="38158" xr:uid="{88766778-401F-4B42-8BE4-AE58525EEEED}"/>
    <cellStyle name="Migliaia [0] 24 6 3" xfId="43460" xr:uid="{2D64A85B-8925-4F0A-8F2E-81B28552E867}"/>
    <cellStyle name="Migliaia [0] 24 6 4" xfId="32807" xr:uid="{AA23AA61-27B5-479C-A982-55BA256C7CDB}"/>
    <cellStyle name="Migliaia [0] 24 6 5" xfId="19577" xr:uid="{54AB6A94-B51C-4541-BA1B-B41FB32D1C72}"/>
    <cellStyle name="Migliaia [0] 24 7" xfId="2898" xr:uid="{E90FC525-A8E2-4B4C-87EA-9E4F1BD20788}"/>
    <cellStyle name="Migliaia [0] 24 7 2" xfId="35693" xr:uid="{2F66E0E7-9FBF-4303-AB47-90AAC148FB6E}"/>
    <cellStyle name="Migliaia [0] 24 8" xfId="40809" xr:uid="{FCAED04F-D2C3-4A21-856A-F74F75C4878D}"/>
    <cellStyle name="Migliaia [0] 24 9" xfId="7001" xr:uid="{F5F5936B-DD61-41FB-8626-ABE5D6FFE451}"/>
    <cellStyle name="Migliaia [0] 25" xfId="259" xr:uid="{00000000-0005-0000-0000-000019020000}"/>
    <cellStyle name="Migliaia [0] 25 2" xfId="1532" xr:uid="{00000000-0005-0000-0000-00001A020000}"/>
    <cellStyle name="Migliaia [0] 25 2 2" xfId="1533" xr:uid="{00000000-0005-0000-0000-00001B020000}"/>
    <cellStyle name="Migliaia [0] 25 2 2 2" xfId="4631" xr:uid="{B5090DFC-94E0-4AD8-A0EE-2515F0FC8078}"/>
    <cellStyle name="Migliaia [0] 25 2 2 2 2" xfId="21754" xr:uid="{BCCFA2A3-B7EF-4F9B-8205-1E9E0FF6D425}"/>
    <cellStyle name="Migliaia [0] 25 2 2 2 3" xfId="46738" xr:uid="{BEA2518D-707D-49FC-925A-D67B2FD39CF2}"/>
    <cellStyle name="Migliaia [0] 25 2 2 2 4" xfId="50782" xr:uid="{3511ED63-0556-4F01-929F-8BED2A969719}"/>
    <cellStyle name="Migliaia [0] 25 2 2 2 5" xfId="53798" xr:uid="{DE942922-3211-41D3-8AB9-71F7B1095FFD}"/>
    <cellStyle name="Migliaia [0] 25 2 2 2 6" xfId="11761" xr:uid="{ED9B6DFC-370D-4B81-854D-F9E11B607951}"/>
    <cellStyle name="Migliaia [0] 25 2 2 3" xfId="2905" xr:uid="{72832195-2E4E-494D-910D-948462742A51}"/>
    <cellStyle name="Migliaia [0] 25 2 2 3 2" xfId="12349" xr:uid="{64E8252E-1F71-4B9F-931E-041444226E94}"/>
    <cellStyle name="Migliaia [0] 25 2 2 4" xfId="10651" xr:uid="{0817FA0C-98C9-4B38-9E52-E3EF76CE52A8}"/>
    <cellStyle name="Migliaia [0] 25 2 2 4 2" xfId="21286" xr:uid="{34E9CA26-8329-404D-A8D0-0BE8ECDC492D}"/>
    <cellStyle name="Migliaia [0] 25 2 2 4 3" xfId="48031" xr:uid="{5FEB3401-B1FC-4F0C-8D12-016C0808D8EF}"/>
    <cellStyle name="Migliaia [0] 25 2 2 4 4" xfId="50301" xr:uid="{B263CCD8-E5BB-48BE-A9AD-61CE8790F8B0}"/>
    <cellStyle name="Migliaia [0] 25 2 2 4 5" xfId="53317" xr:uid="{46624B15-C5D4-40A0-BC54-40DDAF963568}"/>
    <cellStyle name="Migliaia [0] 25 2 2 5" xfId="19584" xr:uid="{058263EE-6C24-45F8-BB32-5009E158ADF2}"/>
    <cellStyle name="Migliaia [0] 25 2 2 6" xfId="24043" xr:uid="{5C1A4126-482A-4D20-9E3B-61B25650166F}"/>
    <cellStyle name="Migliaia [0] 25 2 2 7" xfId="48837" xr:uid="{B75468A9-6ED1-4E0E-A96F-C8539BC34979}"/>
    <cellStyle name="Migliaia [0] 25 2 2 8" xfId="49743" xr:uid="{8162BD3E-C00A-40B0-B25F-EEA265056BD9}"/>
    <cellStyle name="Migliaia [0] 25 2 2 9" xfId="8443" xr:uid="{205DF643-4A7C-4E91-B92B-54C79BFDC0D4}"/>
    <cellStyle name="Migliaia [0] 25 2 3" xfId="4630" xr:uid="{6AD32FF7-4E45-4DDB-8E81-3611D06093CB}"/>
    <cellStyle name="Migliaia [0] 25 2 3 2" xfId="32813" xr:uid="{F7F81DA3-0D44-454E-8025-15C001537251}"/>
    <cellStyle name="Migliaia [0] 25 2 3 2 2" xfId="38164" xr:uid="{C0A00967-E155-4CFB-9750-0EC14CD3C3FB}"/>
    <cellStyle name="Migliaia [0] 25 2 3 2 3" xfId="43466" xr:uid="{47932C86-128B-4CE0-A6C9-B370FEDB0733}"/>
    <cellStyle name="Migliaia [0] 25 2 3 3" xfId="35699" xr:uid="{C38BDCF3-C5FA-4FB2-861B-86702567229C}"/>
    <cellStyle name="Migliaia [0] 25 2 3 4" xfId="40815" xr:uid="{469352D7-6BBE-4FF8-8453-E7029963F8FB}"/>
    <cellStyle name="Migliaia [0] 25 2 3 5" xfId="11762" xr:uid="{BE5610D4-30AF-4499-BAE3-D104C098AD85}"/>
    <cellStyle name="Migliaia [0] 25 2 4" xfId="5895" xr:uid="{B7DC6B56-1DF2-4F63-8C2C-E13F0596504A}"/>
    <cellStyle name="Migliaia [0] 25 2 4 2" xfId="19583" xr:uid="{6370F8A0-B354-4D68-BD30-01469E17533F}"/>
    <cellStyle name="Migliaia [0] 25 2 5" xfId="2904" xr:uid="{683094E8-88C4-4D53-A75F-AC1D737D827C}"/>
    <cellStyle name="Migliaia [0] 25 2 5 2" xfId="24042" xr:uid="{9F3AC309-6BEF-4232-95D3-66327E79B2E0}"/>
    <cellStyle name="Migliaia [0] 25 2 6" xfId="7253" xr:uid="{CCDDD561-27B9-48D2-BB4E-0A4FFFA3400A}"/>
    <cellStyle name="Migliaia [0] 25 3" xfId="1534" xr:uid="{00000000-0005-0000-0000-00001C020000}"/>
    <cellStyle name="Migliaia [0] 25 3 2" xfId="4632" xr:uid="{8A2E62A2-F2A6-4CBC-A98F-D17C0E7F31F3}"/>
    <cellStyle name="Migliaia [0] 25 3 2 2" xfId="18318" xr:uid="{3793F630-FAA5-418C-82FF-E3ED780C25BB}"/>
    <cellStyle name="Migliaia [0] 25 3 2 2 2" xfId="21755" xr:uid="{9F4AF39C-2547-4370-830B-C308E938BE54}"/>
    <cellStyle name="Migliaia [0] 25 3 2 2 2 2" xfId="38165" xr:uid="{52048652-40B1-41E1-B1A8-D47A4AB2B038}"/>
    <cellStyle name="Migliaia [0] 25 3 2 2 3" xfId="43467" xr:uid="{6D17F8FD-F5C8-479B-B27E-F7AED3D20F5B}"/>
    <cellStyle name="Migliaia [0] 25 3 2 2 4" xfId="32814" xr:uid="{A964E3E3-B09F-4FF0-90CB-440136D36384}"/>
    <cellStyle name="Migliaia [0] 25 3 2 3" xfId="35700" xr:uid="{36B7EE76-A77B-40AE-AF4B-9A962E15081A}"/>
    <cellStyle name="Migliaia [0] 25 3 2 4" xfId="40816" xr:uid="{E857AE6D-0E4A-420B-ACC7-5C35D4BB7A61}"/>
    <cellStyle name="Migliaia [0] 25 3 2 5" xfId="48483" xr:uid="{0AC0E654-AB80-47F9-AF8E-CF8EA2CB15F5}"/>
    <cellStyle name="Migliaia [0] 25 3 2 6" xfId="50783" xr:uid="{615380FC-5A3B-4700-9096-AD46681DB160}"/>
    <cellStyle name="Migliaia [0] 25 3 2 7" xfId="53799" xr:uid="{60D294AC-23E6-4648-8627-F3FF1E1B3DE3}"/>
    <cellStyle name="Migliaia [0] 25 3 2 8" xfId="17594" xr:uid="{EE6FF8DF-864D-4AC0-9014-91A1A06C655A}"/>
    <cellStyle name="Migliaia [0] 25 3 2 9" xfId="11763" xr:uid="{2EFC4B3D-6817-4664-9F39-EAF3E57FDE2E}"/>
    <cellStyle name="Migliaia [0] 25 3 3" xfId="5896" xr:uid="{6439D134-E3F6-4CF6-8CC3-A1BECA5312CA}"/>
    <cellStyle name="Migliaia [0] 25 3 3 2" xfId="12214" xr:uid="{D1882262-95E2-4E5B-A215-B57779A231D7}"/>
    <cellStyle name="Migliaia [0] 25 3 4" xfId="2906" xr:uid="{886FB4BD-9996-4294-A612-603012C3814A}"/>
    <cellStyle name="Migliaia [0] 25 3 4 2" xfId="21287" xr:uid="{6A60168E-ED10-4805-8B18-E89D07A953F9}"/>
    <cellStyle name="Migliaia [0] 25 3 4 3" xfId="48139" xr:uid="{F424DBED-1AEC-456E-8675-D951E306A973}"/>
    <cellStyle name="Migliaia [0] 25 3 4 4" xfId="50302" xr:uid="{12EC73F7-14B1-4680-961C-F821B304D475}"/>
    <cellStyle name="Migliaia [0] 25 3 4 5" xfId="53318" xr:uid="{6E534CEF-52D5-4A45-82BE-8D51E2E1C2D8}"/>
    <cellStyle name="Migliaia [0] 25 3 4 6" xfId="10652" xr:uid="{35D7EB89-E092-4ED2-ABAA-00BDC27DFE1C}"/>
    <cellStyle name="Migliaia [0] 25 3 5" xfId="19585" xr:uid="{82688103-488D-4DC6-9D7B-2E03BD252B27}"/>
    <cellStyle name="Migliaia [0] 25 3 6" xfId="24044" xr:uid="{3EF5FCC8-AD5C-4ECA-9BC3-8AF125CE3F4A}"/>
    <cellStyle name="Migliaia [0] 25 3 7" xfId="8201" xr:uid="{2B7C8BFD-D946-4009-B7E1-45DB6506F858}"/>
    <cellStyle name="Migliaia [0] 25 4" xfId="2907" xr:uid="{9CA1A7A0-1B29-4C12-B344-92D3AF42243C}"/>
    <cellStyle name="Migliaia [0] 25 4 2" xfId="4633" xr:uid="{9089F64D-A916-4951-85ED-98A8528F7579}"/>
    <cellStyle name="Migliaia [0] 25 4 2 2" xfId="35086" xr:uid="{9A7FB174-159E-4387-9F5A-80D9178332D7}"/>
    <cellStyle name="Migliaia [0] 25 4 2 2 2" xfId="40244" xr:uid="{33D21B7B-8C43-43ED-B3D8-21631E49F851}"/>
    <cellStyle name="Migliaia [0] 25 4 2 2 3" xfId="45546" xr:uid="{C2FF1BB2-88C7-4E55-900D-686A8B8CDAF3}"/>
    <cellStyle name="Migliaia [0] 25 4 2 3" xfId="37593" xr:uid="{166E98B4-96F0-4454-82FE-B98CE2187AB8}"/>
    <cellStyle name="Migliaia [0] 25 4 2 4" xfId="42895" xr:uid="{59719F5E-D4B1-4672-B528-E717B295ADA3}"/>
    <cellStyle name="Migliaia [0] 25 4 2 5" xfId="17026" xr:uid="{4922DC56-1991-46C2-AA7D-259290EAA74E}"/>
    <cellStyle name="Migliaia [0] 25 4 3" xfId="5897" xr:uid="{90E61FAE-622A-4D77-B697-ADC435DEAE8B}"/>
    <cellStyle name="Migliaia [0] 25 4 3 2" xfId="38166" xr:uid="{DB76BC40-AF91-4148-98D9-B1785EAB8A76}"/>
    <cellStyle name="Migliaia [0] 25 4 3 3" xfId="43468" xr:uid="{2C307326-E07D-439E-B989-8F4FCCB0DF7E}"/>
    <cellStyle name="Migliaia [0] 25 4 3 4" xfId="32815" xr:uid="{BD4947E8-7AC2-4997-B55C-C1510687B204}"/>
    <cellStyle name="Migliaia [0] 25 4 3 5" xfId="19586" xr:uid="{6F4D2FBF-3676-49AE-B8AE-0C36C15F0604}"/>
    <cellStyle name="Migliaia [0] 25 4 4" xfId="35701" xr:uid="{8D354D55-1BFB-4F52-9CD4-BC5000A212CF}"/>
    <cellStyle name="Migliaia [0] 25 4 5" xfId="40817" xr:uid="{32FD9D65-B7D7-429E-90CF-227EE063BEFD}"/>
    <cellStyle name="Migliaia [0] 25 4 6" xfId="15968" xr:uid="{2C07BD11-3286-4C12-8162-F84E2A304799}"/>
    <cellStyle name="Migliaia [0] 25 4 7" xfId="7781" xr:uid="{20EF15E8-24AD-48AC-BA34-B27E3B26A496}"/>
    <cellStyle name="Migliaia [0] 25 5" xfId="4629" xr:uid="{72CEC4A6-2C5B-4D51-BE2B-2546A28A34ED}"/>
    <cellStyle name="Migliaia [0] 25 5 2" xfId="32816" xr:uid="{89CAABF5-D18F-4FA0-A061-90AB93DAAD6C}"/>
    <cellStyle name="Migliaia [0] 25 5 2 2" xfId="38167" xr:uid="{1E5DF9D4-9D1E-4D5D-A743-DC378D52B974}"/>
    <cellStyle name="Migliaia [0] 25 5 2 3" xfId="43469" xr:uid="{7EAD67AF-25BF-4F3D-8A0A-F6AD83DBEEA5}"/>
    <cellStyle name="Migliaia [0] 25 5 3" xfId="35702" xr:uid="{51E03B2B-9F13-4900-B04B-70759B8D493F}"/>
    <cellStyle name="Migliaia [0] 25 5 4" xfId="40818" xr:uid="{9815BB80-1DE6-40C1-92F1-456F5BAF312B}"/>
    <cellStyle name="Migliaia [0] 25 5 5" xfId="17095" xr:uid="{0E12B20D-C738-438A-B3D3-103595EE677A}"/>
    <cellStyle name="Migliaia [0] 25 6" xfId="5894" xr:uid="{B7412778-5E28-471E-A2C6-9E06BDF454DA}"/>
    <cellStyle name="Migliaia [0] 25 6 2" xfId="38163" xr:uid="{121706CA-5184-46FD-9456-467BF00ADCFC}"/>
    <cellStyle name="Migliaia [0] 25 6 3" xfId="43465" xr:uid="{4BC1A859-8692-47DE-A6CA-63A24FB46290}"/>
    <cellStyle name="Migliaia [0] 25 6 4" xfId="32812" xr:uid="{FBDFEF78-B94E-47CD-BABD-EDBC56CA10D8}"/>
    <cellStyle name="Migliaia [0] 25 6 5" xfId="19582" xr:uid="{9ABD9ADC-2106-4BC2-A00A-D7680EB3BA59}"/>
    <cellStyle name="Migliaia [0] 25 7" xfId="2903" xr:uid="{68509254-141A-4CF8-90A9-D31EEE7B995D}"/>
    <cellStyle name="Migliaia [0] 25 7 2" xfId="35698" xr:uid="{ED952B21-E236-4BCC-99EE-10B144641C25}"/>
    <cellStyle name="Migliaia [0] 25 8" xfId="40814" xr:uid="{08054652-805F-497A-90B2-531F4DA87B23}"/>
    <cellStyle name="Migliaia [0] 25 9" xfId="7002" xr:uid="{E806F0AB-1D00-4DF8-BE32-A1CA8C816A35}"/>
    <cellStyle name="Migliaia [0] 26" xfId="260" xr:uid="{00000000-0005-0000-0000-00001D020000}"/>
    <cellStyle name="Migliaia [0] 26 2" xfId="1535" xr:uid="{00000000-0005-0000-0000-00001E020000}"/>
    <cellStyle name="Migliaia [0] 26 2 2" xfId="1536" xr:uid="{00000000-0005-0000-0000-00001F020000}"/>
    <cellStyle name="Migliaia [0] 26 2 2 2" xfId="4636" xr:uid="{B9737711-EAE5-4553-BF69-AAFE002D06FF}"/>
    <cellStyle name="Migliaia [0] 26 2 2 2 2" xfId="21756" xr:uid="{D4D1EA1B-EC69-40F5-8262-5E30029C3AA8}"/>
    <cellStyle name="Migliaia [0] 26 2 2 2 3" xfId="34533" xr:uid="{2F0C810C-6E7F-40BC-9ACC-2EA2845F498F}"/>
    <cellStyle name="Migliaia [0] 26 2 2 2 4" xfId="50784" xr:uid="{6DAD134E-2ADC-47F2-833F-504EEA538F05}"/>
    <cellStyle name="Migliaia [0] 26 2 2 2 5" xfId="53800" xr:uid="{228A3EE8-EBD0-4BB6-B668-6D61771C253B}"/>
    <cellStyle name="Migliaia [0] 26 2 2 2 6" xfId="11764" xr:uid="{B29E48FD-D153-47E8-B258-3DC485709E3B}"/>
    <cellStyle name="Migliaia [0] 26 2 2 3" xfId="2910" xr:uid="{B947241E-5F32-4FA0-A20E-298939BF750B}"/>
    <cellStyle name="Migliaia [0] 26 2 2 3 2" xfId="12348" xr:uid="{89E33656-E240-447C-9356-0270631F1CDF}"/>
    <cellStyle name="Migliaia [0] 26 2 2 4" xfId="10653" xr:uid="{8BD38FAE-078F-49CD-AC36-D2E7DB928A2E}"/>
    <cellStyle name="Migliaia [0] 26 2 2 4 2" xfId="21288" xr:uid="{8FC21C7A-F45B-4473-B862-F80625503946}"/>
    <cellStyle name="Migliaia [0] 26 2 2 4 3" xfId="47956" xr:uid="{BA521B2C-A8D8-4A7C-8273-AB673F11DF9F}"/>
    <cellStyle name="Migliaia [0] 26 2 2 4 4" xfId="50303" xr:uid="{C4F54CE0-7A46-4A73-90CF-483AB1F698B4}"/>
    <cellStyle name="Migliaia [0] 26 2 2 4 5" xfId="53319" xr:uid="{F01148D9-938A-4638-B5DF-7C703375ED8B}"/>
    <cellStyle name="Migliaia [0] 26 2 2 5" xfId="19589" xr:uid="{ECC46592-5869-4029-BEC3-D248631E4B29}"/>
    <cellStyle name="Migliaia [0] 26 2 2 6" xfId="24046" xr:uid="{30AD8C4D-6C77-437E-914B-2A2D10E40C23}"/>
    <cellStyle name="Migliaia [0] 26 2 2 7" xfId="48838" xr:uid="{81EC6C68-67CE-4EA8-9E60-9CE2DBCCC665}"/>
    <cellStyle name="Migliaia [0] 26 2 2 8" xfId="49744" xr:uid="{4CA17755-FDCE-42CC-B5A3-F7228A80CE64}"/>
    <cellStyle name="Migliaia [0] 26 2 2 9" xfId="8444" xr:uid="{8F240FC1-EFC8-42EE-99F2-E0D39324A886}"/>
    <cellStyle name="Migliaia [0] 26 2 3" xfId="4635" xr:uid="{4877A6E5-0802-4165-B18E-53F75344AEF6}"/>
    <cellStyle name="Migliaia [0] 26 2 3 2" xfId="32818" xr:uid="{5EE891CF-BAEA-4E16-9FB1-AA2A6D7936D8}"/>
    <cellStyle name="Migliaia [0] 26 2 3 2 2" xfId="38169" xr:uid="{EBF42C7E-4113-49EB-8A67-23C357501C0E}"/>
    <cellStyle name="Migliaia [0] 26 2 3 2 3" xfId="43471" xr:uid="{2B86D26C-1823-465C-A781-5B5A6F29ADCA}"/>
    <cellStyle name="Migliaia [0] 26 2 3 3" xfId="35704" xr:uid="{8576467B-FB7E-42E8-9625-1241A5E05B1E}"/>
    <cellStyle name="Migliaia [0] 26 2 3 4" xfId="40820" xr:uid="{BD7FF2F2-A02C-4AE0-8C24-FFEBAD63C4EB}"/>
    <cellStyle name="Migliaia [0] 26 2 3 5" xfId="11765" xr:uid="{1D6B84FF-9E03-47B5-85BC-D27A9E73F638}"/>
    <cellStyle name="Migliaia [0] 26 2 4" xfId="5899" xr:uid="{C44FDFA2-4A11-4B6F-A503-2E3D5460EC6B}"/>
    <cellStyle name="Migliaia [0] 26 2 4 2" xfId="19588" xr:uid="{C6A5E565-917C-4185-A855-0B3FF6391673}"/>
    <cellStyle name="Migliaia [0] 26 2 5" xfId="2909" xr:uid="{9DEFA30B-B672-429F-BBB7-2065589B627B}"/>
    <cellStyle name="Migliaia [0] 26 2 5 2" xfId="24045" xr:uid="{E73EE831-61C9-4688-B56B-63A6D9404D2E}"/>
    <cellStyle name="Migliaia [0] 26 2 6" xfId="7254" xr:uid="{067DAB8C-4CB6-4323-BAD1-802AF7A15D62}"/>
    <cellStyle name="Migliaia [0] 26 3" xfId="1537" xr:uid="{00000000-0005-0000-0000-000020020000}"/>
    <cellStyle name="Migliaia [0] 26 3 2" xfId="4637" xr:uid="{7C7ABBF5-297B-46A0-9E43-C78929F61AC8}"/>
    <cellStyle name="Migliaia [0] 26 3 2 2" xfId="18319" xr:uid="{E85D8103-68A4-4546-977E-4D19D2B2A90D}"/>
    <cellStyle name="Migliaia [0] 26 3 2 2 2" xfId="21757" xr:uid="{4451A85D-D390-4B1D-A99C-C99DE0321185}"/>
    <cellStyle name="Migliaia [0] 26 3 2 2 2 2" xfId="38170" xr:uid="{A3838A31-FBF5-478D-B9C0-5B6BB38153EF}"/>
    <cellStyle name="Migliaia [0] 26 3 2 2 3" xfId="43472" xr:uid="{B7B88721-68AA-46A0-AEEF-D7A8A9D39391}"/>
    <cellStyle name="Migliaia [0] 26 3 2 2 4" xfId="32819" xr:uid="{0B7589EE-B9AA-40E8-B705-718397AE360D}"/>
    <cellStyle name="Migliaia [0] 26 3 2 3" xfId="35705" xr:uid="{917AF3B7-5937-4548-849A-FD9AE98CB66D}"/>
    <cellStyle name="Migliaia [0] 26 3 2 4" xfId="40821" xr:uid="{6FB8C264-5C49-46EF-81F1-8919EE81BF1A}"/>
    <cellStyle name="Migliaia [0] 26 3 2 5" xfId="46657" xr:uid="{3AEF1A56-7FA9-4F1A-906B-651B2075E73E}"/>
    <cellStyle name="Migliaia [0] 26 3 2 6" xfId="50785" xr:uid="{5F060DFA-F396-4F23-9A35-AE884A1C9BB9}"/>
    <cellStyle name="Migliaia [0] 26 3 2 7" xfId="53801" xr:uid="{E832C624-92CD-4B41-83DD-9303C12E385E}"/>
    <cellStyle name="Migliaia [0] 26 3 2 8" xfId="17595" xr:uid="{C18755EA-9C01-4C0F-B1A7-D31862496ED7}"/>
    <cellStyle name="Migliaia [0] 26 3 2 9" xfId="11766" xr:uid="{9524D727-CEE6-4166-AB28-87546234F4FC}"/>
    <cellStyle name="Migliaia [0] 26 3 3" xfId="5900" xr:uid="{E7E83485-1306-423F-9E7F-721A7C8DD077}"/>
    <cellStyle name="Migliaia [0] 26 3 3 2" xfId="11114" xr:uid="{FD50A28B-2C14-4C4B-A649-D33C043F9A4B}"/>
    <cellStyle name="Migliaia [0] 26 3 4" xfId="2911" xr:uid="{8F701692-C2D0-4519-B052-2B6E4167A747}"/>
    <cellStyle name="Migliaia [0] 26 3 4 2" xfId="21289" xr:uid="{D6B3675D-4599-4A12-AEAB-78EF68E70CE4}"/>
    <cellStyle name="Migliaia [0] 26 3 4 3" xfId="46176" xr:uid="{E831F632-15DB-4618-9D0B-1DA9C527BF1E}"/>
    <cellStyle name="Migliaia [0] 26 3 4 4" xfId="50304" xr:uid="{1F078E6F-7CB9-41F6-8826-3D3F04EEEF91}"/>
    <cellStyle name="Migliaia [0] 26 3 4 5" xfId="53320" xr:uid="{E544AD16-1580-469E-965D-0F640F8DA9D6}"/>
    <cellStyle name="Migliaia [0] 26 3 4 6" xfId="10654" xr:uid="{DEEDEF68-D508-427F-BE3D-0DE93476F466}"/>
    <cellStyle name="Migliaia [0] 26 3 5" xfId="19590" xr:uid="{37D77216-3EA0-421E-959B-2D21138A6908}"/>
    <cellStyle name="Migliaia [0] 26 3 6" xfId="24047" xr:uid="{9F61D329-C22F-484D-8531-C263B7AC76FD}"/>
    <cellStyle name="Migliaia [0] 26 3 7" xfId="8202" xr:uid="{057B5848-71C2-4CBB-903A-15EEED417B17}"/>
    <cellStyle name="Migliaia [0] 26 4" xfId="2912" xr:uid="{300932ED-6444-481E-A63E-3474F887973B}"/>
    <cellStyle name="Migliaia [0] 26 4 2" xfId="4638" xr:uid="{2BEE4DC9-ABAF-4497-BB54-862219758988}"/>
    <cellStyle name="Migliaia [0] 26 4 2 2" xfId="35087" xr:uid="{0D2F8120-B6E6-4BB6-B981-8D2E97F41EC0}"/>
    <cellStyle name="Migliaia [0] 26 4 2 2 2" xfId="40245" xr:uid="{C97A6D8D-4CC7-47A8-AF7E-90A8F5F67A97}"/>
    <cellStyle name="Migliaia [0] 26 4 2 2 3" xfId="45547" xr:uid="{6E4128B8-686C-47DE-BC00-265FB1C27347}"/>
    <cellStyle name="Migliaia [0] 26 4 2 3" xfId="37594" xr:uid="{C9FD9389-0501-4D5F-8C23-F8946CCE7827}"/>
    <cellStyle name="Migliaia [0] 26 4 2 4" xfId="42896" xr:uid="{771FC5AA-FF38-48F4-A0AA-85F34E677C5F}"/>
    <cellStyle name="Migliaia [0] 26 4 2 5" xfId="17027" xr:uid="{F6D2F6F1-4852-4B2E-B6F3-68CD01DAC9DC}"/>
    <cellStyle name="Migliaia [0] 26 4 3" xfId="5901" xr:uid="{8FA86D06-BA50-4E4A-91D8-87D9576005A5}"/>
    <cellStyle name="Migliaia [0] 26 4 3 2" xfId="38171" xr:uid="{9E774AB2-2C79-47C9-8178-3F4FC7DC8CC9}"/>
    <cellStyle name="Migliaia [0] 26 4 3 3" xfId="43473" xr:uid="{6B26249E-0641-468B-80B9-2E68ED575764}"/>
    <cellStyle name="Migliaia [0] 26 4 3 4" xfId="32820" xr:uid="{FEE0F6DC-08CC-4383-86BA-4CC5630E2BCB}"/>
    <cellStyle name="Migliaia [0] 26 4 3 5" xfId="19591" xr:uid="{9E2A1A8D-C55B-4DC5-97A8-E93C575AC7E1}"/>
    <cellStyle name="Migliaia [0] 26 4 4" xfId="35706" xr:uid="{89EDA794-543C-4379-ADA3-337CFF7A77D1}"/>
    <cellStyle name="Migliaia [0] 26 4 5" xfId="40822" xr:uid="{487A14DD-67B4-4CB2-B52B-4A3290F9B116}"/>
    <cellStyle name="Migliaia [0] 26 4 6" xfId="15969" xr:uid="{D091A908-EE1A-4651-8446-FD0B78E27377}"/>
    <cellStyle name="Migliaia [0] 26 4 7" xfId="7782" xr:uid="{B89927E3-3F38-43DA-90F4-B2163E1646F2}"/>
    <cellStyle name="Migliaia [0] 26 5" xfId="4634" xr:uid="{C7CADD94-98E0-466C-8199-9F1BF3EE0D58}"/>
    <cellStyle name="Migliaia [0] 26 5 2" xfId="32821" xr:uid="{477CB2BE-C55A-49CF-9BA4-CFDBC474D97D}"/>
    <cellStyle name="Migliaia [0] 26 5 2 2" xfId="38172" xr:uid="{7DA0BBEF-AA42-40B8-978A-ACAC2A91EA31}"/>
    <cellStyle name="Migliaia [0] 26 5 2 3" xfId="43474" xr:uid="{829107B3-5378-45B3-A830-D40DBF1CB454}"/>
    <cellStyle name="Migliaia [0] 26 5 3" xfId="35707" xr:uid="{F4DBB535-854B-4AF7-9D1F-FFF39318E0F7}"/>
    <cellStyle name="Migliaia [0] 26 5 4" xfId="40823" xr:uid="{8F78A6CF-8D6A-43FA-B484-1492879CBFE8}"/>
    <cellStyle name="Migliaia [0] 26 5 5" xfId="17096" xr:uid="{C3BBA875-3CA6-4DB5-BBC8-8748DA424970}"/>
    <cellStyle name="Migliaia [0] 26 6" xfId="5898" xr:uid="{6F18E57F-BF5F-4592-9305-A523410066BD}"/>
    <cellStyle name="Migliaia [0] 26 6 2" xfId="38168" xr:uid="{0C4818BC-B1CD-4B54-ABAF-CCCD31C7303E}"/>
    <cellStyle name="Migliaia [0] 26 6 3" xfId="43470" xr:uid="{761A886F-D562-4778-83C3-2395DD1AC1B6}"/>
    <cellStyle name="Migliaia [0] 26 6 4" xfId="32817" xr:uid="{86011AE9-74B9-4E6F-A4AF-6BF5195269A4}"/>
    <cellStyle name="Migliaia [0] 26 6 5" xfId="19587" xr:uid="{D22723BC-E522-4712-A357-E7A3418CEE47}"/>
    <cellStyle name="Migliaia [0] 26 7" xfId="2908" xr:uid="{1D93C62B-FBBF-4F10-9DD2-49D33B58F971}"/>
    <cellStyle name="Migliaia [0] 26 7 2" xfId="35703" xr:uid="{D7190922-D622-440C-BDB8-AF0D1ACE3EBD}"/>
    <cellStyle name="Migliaia [0] 26 8" xfId="40819" xr:uid="{DCA8F0AB-738B-4A35-8305-896C6EDFAFAE}"/>
    <cellStyle name="Migliaia [0] 26 9" xfId="7003" xr:uid="{DFB9F99E-BB60-4125-8B41-D102AB0B0E37}"/>
    <cellStyle name="Migliaia [0] 27" xfId="261" xr:uid="{00000000-0005-0000-0000-000021020000}"/>
    <cellStyle name="Migliaia [0] 27 2" xfId="1538" xr:uid="{00000000-0005-0000-0000-000022020000}"/>
    <cellStyle name="Migliaia [0] 27 2 2" xfId="1539" xr:uid="{00000000-0005-0000-0000-000023020000}"/>
    <cellStyle name="Migliaia [0] 27 2 2 2" xfId="4641" xr:uid="{268BD990-B538-497C-9EAC-7009B292AC09}"/>
    <cellStyle name="Migliaia [0] 27 2 2 2 2" xfId="21758" xr:uid="{CDF31935-3457-4CCB-ABC2-B0CC41FA15FA}"/>
    <cellStyle name="Migliaia [0] 27 2 2 2 3" xfId="24759" xr:uid="{17838286-F6E0-45EB-9226-71719EDDED29}"/>
    <cellStyle name="Migliaia [0] 27 2 2 2 4" xfId="50786" xr:uid="{23EAA712-06CA-40EF-826C-BCBCB76C6CD9}"/>
    <cellStyle name="Migliaia [0] 27 2 2 2 5" xfId="53802" xr:uid="{383BC02C-58DE-47BA-A42D-F6DD4347FA57}"/>
    <cellStyle name="Migliaia [0] 27 2 2 2 6" xfId="11767" xr:uid="{66517645-2FBF-4812-B0AA-B9AB477EA352}"/>
    <cellStyle name="Migliaia [0] 27 2 2 3" xfId="2915" xr:uid="{E856755D-037F-486F-ACD1-97973682B360}"/>
    <cellStyle name="Migliaia [0] 27 2 2 3 2" xfId="12347" xr:uid="{FA300A62-90DF-4E75-BD05-D4479392DF50}"/>
    <cellStyle name="Migliaia [0] 27 2 2 4" xfId="10655" xr:uid="{35FEE5BF-CE56-498B-AC82-06DB53712215}"/>
    <cellStyle name="Migliaia [0] 27 2 2 4 2" xfId="21290" xr:uid="{1F3E79FD-B185-4A30-AD35-46F80CA600D3}"/>
    <cellStyle name="Migliaia [0] 27 2 2 4 3" xfId="47592" xr:uid="{AAB82A6B-8BCF-4521-98B5-E72BFB7EEF01}"/>
    <cellStyle name="Migliaia [0] 27 2 2 4 4" xfId="50305" xr:uid="{EAAEE9E0-1E57-4995-8770-D72572E4BA6D}"/>
    <cellStyle name="Migliaia [0] 27 2 2 4 5" xfId="53321" xr:uid="{A3046F75-C5DF-4E55-89AC-C27458C20F86}"/>
    <cellStyle name="Migliaia [0] 27 2 2 5" xfId="19594" xr:uid="{1EC06637-8768-49F5-B25C-FF93AE287E12}"/>
    <cellStyle name="Migliaia [0] 27 2 2 6" xfId="24049" xr:uid="{E7B27DBD-1C97-4441-A59D-2AFA9504B3DB}"/>
    <cellStyle name="Migliaia [0] 27 2 2 7" xfId="48839" xr:uid="{0504739B-55D3-43EB-8B59-9D237DB950C6}"/>
    <cellStyle name="Migliaia [0] 27 2 2 8" xfId="49745" xr:uid="{6543FC9A-AF5F-448D-AD2D-177FCE0DFF14}"/>
    <cellStyle name="Migliaia [0] 27 2 2 9" xfId="8445" xr:uid="{EBF64AFB-73D6-46E6-82BE-2D77B74E924F}"/>
    <cellStyle name="Migliaia [0] 27 2 3" xfId="4640" xr:uid="{47342181-71DF-425D-BC88-5179270BEAE0}"/>
    <cellStyle name="Migliaia [0] 27 2 3 2" xfId="32823" xr:uid="{E6CD2616-EF49-4156-814D-654A980A25A9}"/>
    <cellStyle name="Migliaia [0] 27 2 3 2 2" xfId="38174" xr:uid="{03560B3E-697B-48ED-B5BA-8CB6B53B4897}"/>
    <cellStyle name="Migliaia [0] 27 2 3 2 3" xfId="43476" xr:uid="{162720DE-4C9F-4853-AFB8-653F782B2E5D}"/>
    <cellStyle name="Migliaia [0] 27 2 3 3" xfId="35709" xr:uid="{6CE53864-5609-4DA3-AA68-0C09F1101D13}"/>
    <cellStyle name="Migliaia [0] 27 2 3 4" xfId="40825" xr:uid="{93E4C6A4-98C4-4577-A2E1-B8339E1CB895}"/>
    <cellStyle name="Migliaia [0] 27 2 3 5" xfId="11768" xr:uid="{960A83ED-0A5C-4A49-8B95-13237E778DDD}"/>
    <cellStyle name="Migliaia [0] 27 2 4" xfId="5903" xr:uid="{B8F3148B-CC5E-443F-82DB-E1C84FF73D7A}"/>
    <cellStyle name="Migliaia [0] 27 2 4 2" xfId="19593" xr:uid="{421938C9-337E-45E0-BDEF-2EC8AC1C03B9}"/>
    <cellStyle name="Migliaia [0] 27 2 5" xfId="2914" xr:uid="{08DCAB53-8B6E-427E-BC60-ABE2063DD635}"/>
    <cellStyle name="Migliaia [0] 27 2 5 2" xfId="24048" xr:uid="{658051A0-1552-4DE7-A71C-874F54B0C559}"/>
    <cellStyle name="Migliaia [0] 27 2 6" xfId="7255" xr:uid="{A108CF9C-8A52-4C70-B48C-2570A587D1FE}"/>
    <cellStyle name="Migliaia [0] 27 3" xfId="1540" xr:uid="{00000000-0005-0000-0000-000024020000}"/>
    <cellStyle name="Migliaia [0] 27 3 2" xfId="4642" xr:uid="{3A6068C0-C1B4-49C2-9E25-58708E8807A0}"/>
    <cellStyle name="Migliaia [0] 27 3 2 2" xfId="18320" xr:uid="{445EE35E-FF6C-4699-B50F-C74E11913E94}"/>
    <cellStyle name="Migliaia [0] 27 3 2 2 2" xfId="21759" xr:uid="{C0717B1B-5316-4A50-A160-8CDECB3491AA}"/>
    <cellStyle name="Migliaia [0] 27 3 2 2 2 2" xfId="38175" xr:uid="{0BC057B8-D13D-4ABA-8E45-7D8DE621D355}"/>
    <cellStyle name="Migliaia [0] 27 3 2 2 3" xfId="43477" xr:uid="{AC837E76-1470-4861-9953-45008DE072EE}"/>
    <cellStyle name="Migliaia [0] 27 3 2 2 4" xfId="32824" xr:uid="{0834E0BD-8791-4FDB-8DCC-A6864A2E9B00}"/>
    <cellStyle name="Migliaia [0] 27 3 2 3" xfId="35710" xr:uid="{9C75DB87-3AE0-4804-9DAF-01E3607FAF49}"/>
    <cellStyle name="Migliaia [0] 27 3 2 4" xfId="40826" xr:uid="{8F890242-C005-4542-97AE-C805E9CEDE2A}"/>
    <cellStyle name="Migliaia [0] 27 3 2 5" xfId="48583" xr:uid="{DBCA8793-6D17-4683-8A88-B89414D9B976}"/>
    <cellStyle name="Migliaia [0] 27 3 2 6" xfId="50787" xr:uid="{E1911A14-234A-459A-A035-81A890C35673}"/>
    <cellStyle name="Migliaia [0] 27 3 2 7" xfId="53803" xr:uid="{3EA0C62E-AD53-4654-A149-F61166101F46}"/>
    <cellStyle name="Migliaia [0] 27 3 2 8" xfId="17596" xr:uid="{5EF8595F-FEFC-4CE0-A6A5-3A2159F54D8C}"/>
    <cellStyle name="Migliaia [0] 27 3 2 9" xfId="11769" xr:uid="{6F6DE2DE-5DEF-4B0B-9941-96A5C4619141}"/>
    <cellStyle name="Migliaia [0] 27 3 3" xfId="5904" xr:uid="{2AC384F1-AB72-4ACE-8CCD-FBCDE10D336B}"/>
    <cellStyle name="Migliaia [0] 27 3 3 2" xfId="11666" xr:uid="{3A0B2F49-CA37-44B5-A09D-D5C69887B833}"/>
    <cellStyle name="Migliaia [0] 27 3 4" xfId="2916" xr:uid="{17F3FFE5-3BE4-4D52-A141-1805BC7CEF11}"/>
    <cellStyle name="Migliaia [0] 27 3 4 2" xfId="21291" xr:uid="{D1B3F2AF-24D9-4566-8C87-62D5F02BA7C0}"/>
    <cellStyle name="Migliaia [0] 27 3 4 3" xfId="46989" xr:uid="{758F5432-0E9E-49F6-BE6B-212BEE88C8E1}"/>
    <cellStyle name="Migliaia [0] 27 3 4 4" xfId="50306" xr:uid="{C8E503C7-6B47-4E25-B1B3-0EAF062221DC}"/>
    <cellStyle name="Migliaia [0] 27 3 4 5" xfId="53322" xr:uid="{3880B13F-370B-4FF3-B573-1533962D95BE}"/>
    <cellStyle name="Migliaia [0] 27 3 4 6" xfId="10656" xr:uid="{4AC872CB-B374-4224-BDA9-3E18407BC4D7}"/>
    <cellStyle name="Migliaia [0] 27 3 5" xfId="19595" xr:uid="{DE3F40A5-C812-4354-8AFE-7676D0CD3D5D}"/>
    <cellStyle name="Migliaia [0] 27 3 6" xfId="24050" xr:uid="{D0F1ED7F-8F3E-4CDF-8F32-A1E5C3B47F51}"/>
    <cellStyle name="Migliaia [0] 27 3 7" xfId="8203" xr:uid="{D93880E1-1C29-4B8F-9728-6E2A5751891E}"/>
    <cellStyle name="Migliaia [0] 27 4" xfId="2917" xr:uid="{9717CEA8-237F-46A2-A637-D9E6FBDEECF4}"/>
    <cellStyle name="Migliaia [0] 27 4 2" xfId="4643" xr:uid="{B099B58A-88B2-4189-B900-2693634DD165}"/>
    <cellStyle name="Migliaia [0] 27 4 2 2" xfId="35088" xr:uid="{AF335D54-10F7-4C1D-9CCA-3A314F312DA0}"/>
    <cellStyle name="Migliaia [0] 27 4 2 2 2" xfId="40246" xr:uid="{220CC4AA-3A80-434A-B5DF-81B4A0E81A34}"/>
    <cellStyle name="Migliaia [0] 27 4 2 2 3" xfId="45548" xr:uid="{3D4DB1B9-7663-44DE-AC17-D2A3079FCDDB}"/>
    <cellStyle name="Migliaia [0] 27 4 2 3" xfId="37595" xr:uid="{4A164C4B-549C-49B9-98CB-6991EDDCA201}"/>
    <cellStyle name="Migliaia [0] 27 4 2 4" xfId="42897" xr:uid="{A8159385-901D-48E3-9424-F0CAD711E9F2}"/>
    <cellStyle name="Migliaia [0] 27 4 2 5" xfId="17028" xr:uid="{9F78D02B-4CF5-4F47-BB17-749D8E152CA0}"/>
    <cellStyle name="Migliaia [0] 27 4 3" xfId="5905" xr:uid="{0A897DE7-4F4F-49B6-9BC6-D464FE26E338}"/>
    <cellStyle name="Migliaia [0] 27 4 3 2" xfId="38176" xr:uid="{6AACED4E-6495-4857-8AC2-166E6E1F580A}"/>
    <cellStyle name="Migliaia [0] 27 4 3 3" xfId="43478" xr:uid="{A5E9F9E1-5717-4DA2-AC20-FE4A70A919C1}"/>
    <cellStyle name="Migliaia [0] 27 4 3 4" xfId="32825" xr:uid="{3480FC74-744A-489B-BEAF-D6B1914C86E8}"/>
    <cellStyle name="Migliaia [0] 27 4 3 5" xfId="19596" xr:uid="{748819C3-D39C-467D-88F6-81DB640B8EA2}"/>
    <cellStyle name="Migliaia [0] 27 4 4" xfId="35711" xr:uid="{30426099-1443-4A40-B5E1-5B80BD68D225}"/>
    <cellStyle name="Migliaia [0] 27 4 5" xfId="40827" xr:uid="{973249FA-3431-4D8A-B032-9D3111F535B4}"/>
    <cellStyle name="Migliaia [0] 27 4 6" xfId="15970" xr:uid="{4C6F62A7-8C57-4656-B83E-B64305BBA8E1}"/>
    <cellStyle name="Migliaia [0] 27 4 7" xfId="7783" xr:uid="{2755C34C-BD0A-4CA8-874B-BA3C5E02BBDB}"/>
    <cellStyle name="Migliaia [0] 27 5" xfId="4639" xr:uid="{A8D139F9-AF86-4FBE-9DB5-CC3149F99CD5}"/>
    <cellStyle name="Migliaia [0] 27 5 2" xfId="32826" xr:uid="{665CB3D4-ADEA-4FAD-94BB-F0D1C848A242}"/>
    <cellStyle name="Migliaia [0] 27 5 2 2" xfId="38177" xr:uid="{DFC084A9-DD4E-4C93-9B86-C61827BDB580}"/>
    <cellStyle name="Migliaia [0] 27 5 2 3" xfId="43479" xr:uid="{D28F5111-600A-4EFF-925A-596F56B4C675}"/>
    <cellStyle name="Migliaia [0] 27 5 3" xfId="35712" xr:uid="{EDA852E7-1764-41D1-8ADB-E2F6CCDAC276}"/>
    <cellStyle name="Migliaia [0] 27 5 4" xfId="40828" xr:uid="{0782F96E-26B8-42E2-B43D-274A139D4C00}"/>
    <cellStyle name="Migliaia [0] 27 5 5" xfId="17097" xr:uid="{3DDBD2DB-32DC-4A62-8383-42ACB2EB1449}"/>
    <cellStyle name="Migliaia [0] 27 6" xfId="5902" xr:uid="{75A44408-B09C-484B-8B99-B7A549CE31D3}"/>
    <cellStyle name="Migliaia [0] 27 6 2" xfId="38173" xr:uid="{A47EEE1F-21C6-4770-A1FC-4C28BE73C64F}"/>
    <cellStyle name="Migliaia [0] 27 6 3" xfId="43475" xr:uid="{BC7CB776-D648-4AC7-BC07-6DDA39674686}"/>
    <cellStyle name="Migliaia [0] 27 6 4" xfId="32822" xr:uid="{506C4198-F86B-42A4-A61E-FC46ADF22AB0}"/>
    <cellStyle name="Migliaia [0] 27 6 5" xfId="19592" xr:uid="{DA1F42C4-5F94-4507-99C9-1CD7D9C197BB}"/>
    <cellStyle name="Migliaia [0] 27 7" xfId="2913" xr:uid="{3CF28187-CC39-4D05-A768-C9624C5ECFCE}"/>
    <cellStyle name="Migliaia [0] 27 7 2" xfId="35708" xr:uid="{BF7B9FA0-D40C-42E4-9E7E-DD40262BCD87}"/>
    <cellStyle name="Migliaia [0] 27 8" xfId="40824" xr:uid="{0809E972-9D15-4951-9A95-515407D2494B}"/>
    <cellStyle name="Migliaia [0] 27 9" xfId="7004" xr:uid="{5D623223-FF95-4FF2-9A78-6F29EAAEC34B}"/>
    <cellStyle name="Migliaia [0] 28" xfId="262" xr:uid="{00000000-0005-0000-0000-000025020000}"/>
    <cellStyle name="Migliaia [0] 28 2" xfId="1541" xr:uid="{00000000-0005-0000-0000-000026020000}"/>
    <cellStyle name="Migliaia [0] 28 2 2" xfId="1542" xr:uid="{00000000-0005-0000-0000-000027020000}"/>
    <cellStyle name="Migliaia [0] 28 2 2 2" xfId="4646" xr:uid="{309F0A69-FEDC-4EBD-91CF-D43AB26DD3CE}"/>
    <cellStyle name="Migliaia [0] 28 2 2 2 2" xfId="21760" xr:uid="{116CD4F9-C613-4C39-9F78-243B7E1FB3C9}"/>
    <cellStyle name="Migliaia [0] 28 2 2 2 3" xfId="47715" xr:uid="{DF4C23A8-A65C-4515-9C72-A15CBCCC8471}"/>
    <cellStyle name="Migliaia [0] 28 2 2 2 4" xfId="50788" xr:uid="{F248DB2A-1C4D-4BDF-BAC6-96C422CDBAC4}"/>
    <cellStyle name="Migliaia [0] 28 2 2 2 5" xfId="53804" xr:uid="{E5A8674D-757D-45AA-AC40-F22CDFC29EBC}"/>
    <cellStyle name="Migliaia [0] 28 2 2 2 6" xfId="11770" xr:uid="{5182EE91-1CD5-4616-8FBA-CDC8E92F0631}"/>
    <cellStyle name="Migliaia [0] 28 2 2 3" xfId="2920" xr:uid="{972CAD39-9268-4747-B92B-B163652710E8}"/>
    <cellStyle name="Migliaia [0] 28 2 2 3 2" xfId="12184" xr:uid="{9A1C0056-803B-4F98-A463-16D6CC67CF89}"/>
    <cellStyle name="Migliaia [0] 28 2 2 4" xfId="10657" xr:uid="{DD15FAEC-AFD2-4F68-BEBA-6428294082C4}"/>
    <cellStyle name="Migliaia [0] 28 2 2 4 2" xfId="21292" xr:uid="{C7A19D1A-D01E-416D-BB72-30FCB1B630A3}"/>
    <cellStyle name="Migliaia [0] 28 2 2 4 3" xfId="48551" xr:uid="{8F1D1DBC-DFCB-4BA3-AEAF-4C9096B2C53F}"/>
    <cellStyle name="Migliaia [0] 28 2 2 4 4" xfId="50307" xr:uid="{EB787DD4-4FC2-42CF-9DD5-C08FBF1FE00D}"/>
    <cellStyle name="Migliaia [0] 28 2 2 4 5" xfId="53323" xr:uid="{99496EDF-91AF-4F31-B64A-A94000BBD011}"/>
    <cellStyle name="Migliaia [0] 28 2 2 5" xfId="19599" xr:uid="{FA1EDC98-DFE5-4677-BB26-AF7F5FCAD709}"/>
    <cellStyle name="Migliaia [0] 28 2 2 6" xfId="24052" xr:uid="{ABAFADA6-1F03-46EB-AB1D-CB240E65C41C}"/>
    <cellStyle name="Migliaia [0] 28 2 2 7" xfId="48840" xr:uid="{AD713166-F914-4FD7-B446-2AA1DC173C57}"/>
    <cellStyle name="Migliaia [0] 28 2 2 8" xfId="49746" xr:uid="{6B6D1C96-4630-4373-B080-F23DB64451F8}"/>
    <cellStyle name="Migliaia [0] 28 2 2 9" xfId="8446" xr:uid="{0A570440-5C65-42B5-A3DF-25320D2626E1}"/>
    <cellStyle name="Migliaia [0] 28 2 3" xfId="4645" xr:uid="{6CFA231B-F1ED-4B7D-91ED-6AAD74037BB6}"/>
    <cellStyle name="Migliaia [0] 28 2 3 2" xfId="32828" xr:uid="{334EECD9-79BE-43E9-ADA1-59D9FE2D384D}"/>
    <cellStyle name="Migliaia [0] 28 2 3 2 2" xfId="38179" xr:uid="{E46D6A55-1593-409C-B806-CC455BCF3B7D}"/>
    <cellStyle name="Migliaia [0] 28 2 3 2 3" xfId="43481" xr:uid="{57FAFAB9-61EF-4D3F-918B-68B8980A4F00}"/>
    <cellStyle name="Migliaia [0] 28 2 3 3" xfId="35714" xr:uid="{8B55CE78-8B7B-49C1-BCAF-A06EEF6A539E}"/>
    <cellStyle name="Migliaia [0] 28 2 3 4" xfId="40830" xr:uid="{BCF0F6C2-6373-434F-B8FE-944D45A0AEEC}"/>
    <cellStyle name="Migliaia [0] 28 2 3 5" xfId="11771" xr:uid="{10ABAE7E-2857-46BF-99EA-3C56EEFADCE7}"/>
    <cellStyle name="Migliaia [0] 28 2 4" xfId="5907" xr:uid="{251FA81D-AB71-48AD-B317-BEF9FC84FEF2}"/>
    <cellStyle name="Migliaia [0] 28 2 4 2" xfId="19598" xr:uid="{63792C33-F026-4B2E-A700-B2AC8C271444}"/>
    <cellStyle name="Migliaia [0] 28 2 5" xfId="2919" xr:uid="{8AFBD575-FD75-4996-A1FE-F7A5B68D1AEC}"/>
    <cellStyle name="Migliaia [0] 28 2 5 2" xfId="24051" xr:uid="{AE177A97-F17E-48E1-B629-4F25BC6F29D3}"/>
    <cellStyle name="Migliaia [0] 28 2 6" xfId="7256" xr:uid="{6501E1A6-DDED-4415-A54E-15E91BD8056A}"/>
    <cellStyle name="Migliaia [0] 28 3" xfId="1543" xr:uid="{00000000-0005-0000-0000-000028020000}"/>
    <cellStyle name="Migliaia [0] 28 3 2" xfId="4647" xr:uid="{C9F1638F-A612-4E26-822F-C49C065AA5C1}"/>
    <cellStyle name="Migliaia [0] 28 3 2 2" xfId="18321" xr:uid="{B6874D7A-9156-40FF-B1AC-B18C829CB833}"/>
    <cellStyle name="Migliaia [0] 28 3 2 2 2" xfId="21761" xr:uid="{0124B923-7525-4996-94C9-F0EE50E0C623}"/>
    <cellStyle name="Migliaia [0] 28 3 2 2 2 2" xfId="38180" xr:uid="{52C62247-5F12-462D-BDDA-D4EA52C22B21}"/>
    <cellStyle name="Migliaia [0] 28 3 2 2 3" xfId="43482" xr:uid="{F32E0AA9-C1CE-4026-BDE4-C0BAC816F573}"/>
    <cellStyle name="Migliaia [0] 28 3 2 2 4" xfId="32829" xr:uid="{E8BCCF32-CFCD-41A0-86B5-B2CBABE332DD}"/>
    <cellStyle name="Migliaia [0] 28 3 2 3" xfId="35715" xr:uid="{9868B92D-D02F-4CB6-A523-E028A3883503}"/>
    <cellStyle name="Migliaia [0] 28 3 2 4" xfId="40831" xr:uid="{1A9EC8FC-4EC6-42B9-A722-5BD61A72D97B}"/>
    <cellStyle name="Migliaia [0] 28 3 2 5" xfId="25131" xr:uid="{BA3FC05B-F60E-405B-A0A9-2ED818526965}"/>
    <cellStyle name="Migliaia [0] 28 3 2 6" xfId="50789" xr:uid="{EE85BC0C-8399-46FA-88B0-76CD31D413BD}"/>
    <cellStyle name="Migliaia [0] 28 3 2 7" xfId="53805" xr:uid="{568A9A02-DB77-49CB-ADB9-6E11278749D7}"/>
    <cellStyle name="Migliaia [0] 28 3 2 8" xfId="17597" xr:uid="{A5AF7039-113F-441B-988C-5AA39C98D9E4}"/>
    <cellStyle name="Migliaia [0] 28 3 2 9" xfId="11772" xr:uid="{CB5B88DF-4C81-47B2-9B41-E54FE3B7F9D3}"/>
    <cellStyle name="Migliaia [0] 28 3 3" xfId="5908" xr:uid="{AD3BD267-C619-4A2E-BF43-858B637FEFBF}"/>
    <cellStyle name="Migliaia [0] 28 3 3 2" xfId="12380" xr:uid="{CC393FF7-F1E4-4137-ABB8-12D1E4F39606}"/>
    <cellStyle name="Migliaia [0] 28 3 4" xfId="2921" xr:uid="{BB761218-FD25-4E4F-9FC9-5F4DB99D1B05}"/>
    <cellStyle name="Migliaia [0] 28 3 4 2" xfId="21293" xr:uid="{5BDDCBE0-31BF-48D2-A409-A64A6D7489E6}"/>
    <cellStyle name="Migliaia [0] 28 3 4 3" xfId="46635" xr:uid="{4B815C0F-92CA-4D6D-B8D6-C25D53C0D8E9}"/>
    <cellStyle name="Migliaia [0] 28 3 4 4" xfId="50308" xr:uid="{02927D4E-E338-4761-9FA3-13164532EB7D}"/>
    <cellStyle name="Migliaia [0] 28 3 4 5" xfId="53324" xr:uid="{E9B72ECE-9B77-4781-BBC6-463D927CF1DF}"/>
    <cellStyle name="Migliaia [0] 28 3 4 6" xfId="10658" xr:uid="{3E01D44B-0D1F-450C-9AE3-7A9B48F7431D}"/>
    <cellStyle name="Migliaia [0] 28 3 5" xfId="19600" xr:uid="{83F2FABD-FE7B-4F1A-A264-F1FEBFB8A156}"/>
    <cellStyle name="Migliaia [0] 28 3 6" xfId="24053" xr:uid="{38343BB9-8471-4938-B697-B64BBD727BA4}"/>
    <cellStyle name="Migliaia [0] 28 3 7" xfId="8204" xr:uid="{CDB0DB46-FCCE-4B79-9B7E-04CAAB3336E5}"/>
    <cellStyle name="Migliaia [0] 28 4" xfId="2922" xr:uid="{DEA92358-B272-4FE0-AE91-A2842FC939D3}"/>
    <cellStyle name="Migliaia [0] 28 4 2" xfId="4648" xr:uid="{7FD87A0B-D4C2-46E6-B46D-AA83F52E2C57}"/>
    <cellStyle name="Migliaia [0] 28 4 2 2" xfId="35089" xr:uid="{9C3C065A-EFAC-429C-B1FD-C44ABDEB4349}"/>
    <cellStyle name="Migliaia [0] 28 4 2 2 2" xfId="40247" xr:uid="{33AA064C-5EB8-4BC5-BC35-EEBEC2C37C93}"/>
    <cellStyle name="Migliaia [0] 28 4 2 2 3" xfId="45549" xr:uid="{8812B971-1A3E-464B-89FE-5868FEFE1832}"/>
    <cellStyle name="Migliaia [0] 28 4 2 3" xfId="37596" xr:uid="{5555519B-DC6A-4D15-B182-C4F7FEC789E9}"/>
    <cellStyle name="Migliaia [0] 28 4 2 4" xfId="42898" xr:uid="{4E1A644D-877F-4A38-AD27-E4540432A3A4}"/>
    <cellStyle name="Migliaia [0] 28 4 2 5" xfId="17029" xr:uid="{CB070FDD-1E6E-4D9D-9ABB-60F349D757AB}"/>
    <cellStyle name="Migliaia [0] 28 4 3" xfId="5909" xr:uid="{22311123-DA4C-42A9-B729-C6E26B91FD1E}"/>
    <cellStyle name="Migliaia [0] 28 4 3 2" xfId="38181" xr:uid="{023B0426-EB9A-4167-9F57-5AA98A04282A}"/>
    <cellStyle name="Migliaia [0] 28 4 3 3" xfId="43483" xr:uid="{69785015-6259-4C31-94C5-945639E2C02A}"/>
    <cellStyle name="Migliaia [0] 28 4 3 4" xfId="32830" xr:uid="{C12769E0-EFF8-4D04-9E7C-15F73D8903E4}"/>
    <cellStyle name="Migliaia [0] 28 4 3 5" xfId="19601" xr:uid="{9FB226DE-940F-4E02-91C1-EDCAC7C8A05D}"/>
    <cellStyle name="Migliaia [0] 28 4 4" xfId="35716" xr:uid="{E6C908F1-9A03-44B9-BFCD-C4A272CF01BE}"/>
    <cellStyle name="Migliaia [0] 28 4 5" xfId="40832" xr:uid="{4EEDC04A-94E8-46F6-A404-1553DD485055}"/>
    <cellStyle name="Migliaia [0] 28 4 6" xfId="15971" xr:uid="{84810FFB-9160-449B-8196-9E3BEAD617F0}"/>
    <cellStyle name="Migliaia [0] 28 4 7" xfId="7784" xr:uid="{2CE92BCD-C42B-447E-BC31-DD213370BBFF}"/>
    <cellStyle name="Migliaia [0] 28 5" xfId="4644" xr:uid="{EDCC0872-2C33-4E58-8A06-A33642B213B0}"/>
    <cellStyle name="Migliaia [0] 28 5 2" xfId="32831" xr:uid="{7DBF59A2-AD1D-4609-B647-14CA8F200873}"/>
    <cellStyle name="Migliaia [0] 28 5 2 2" xfId="38182" xr:uid="{CB2D8D22-87B9-401C-89CE-A622020E5F60}"/>
    <cellStyle name="Migliaia [0] 28 5 2 3" xfId="43484" xr:uid="{561A21B4-F512-4EE5-95D1-AA9B0DBBB584}"/>
    <cellStyle name="Migliaia [0] 28 5 3" xfId="35717" xr:uid="{C2511FEE-AD0D-4FBB-943B-329C9F44D504}"/>
    <cellStyle name="Migliaia [0] 28 5 4" xfId="40833" xr:uid="{7A087FC7-2D06-4ABD-9D8A-28C9A11AF215}"/>
    <cellStyle name="Migliaia [0] 28 5 5" xfId="17098" xr:uid="{032FA917-4326-4E84-91A6-B28E04F920AE}"/>
    <cellStyle name="Migliaia [0] 28 6" xfId="5906" xr:uid="{6C5458CD-F69C-40DD-8E6E-3A40428ED8F9}"/>
    <cellStyle name="Migliaia [0] 28 6 2" xfId="38178" xr:uid="{98A3927E-37BA-4C3B-9CD7-1F1A6F42454D}"/>
    <cellStyle name="Migliaia [0] 28 6 3" xfId="43480" xr:uid="{33C08163-AB7D-42E1-91DB-ED5BDEE61ABE}"/>
    <cellStyle name="Migliaia [0] 28 6 4" xfId="32827" xr:uid="{92489CDD-3E5D-4CD8-987E-68611B420CB2}"/>
    <cellStyle name="Migliaia [0] 28 6 5" xfId="19597" xr:uid="{7B5DB784-7E77-4A0D-920A-14F8C2BEDC08}"/>
    <cellStyle name="Migliaia [0] 28 7" xfId="2918" xr:uid="{D845EC11-BD87-4950-AA3B-FDA87D329966}"/>
    <cellStyle name="Migliaia [0] 28 7 2" xfId="35713" xr:uid="{C337E2DE-8DDD-4513-B002-AE29F640A44E}"/>
    <cellStyle name="Migliaia [0] 28 8" xfId="40829" xr:uid="{C90EBC00-C8AD-44F1-94BF-FDF09888568C}"/>
    <cellStyle name="Migliaia [0] 28 9" xfId="7005" xr:uid="{9C9B985D-9523-4B73-BD35-6DD9EBB9F2B2}"/>
    <cellStyle name="Migliaia [0] 29" xfId="263" xr:uid="{00000000-0005-0000-0000-000029020000}"/>
    <cellStyle name="Migliaia [0] 29 2" xfId="1544" xr:uid="{00000000-0005-0000-0000-00002A020000}"/>
    <cellStyle name="Migliaia [0] 29 2 2" xfId="1545" xr:uid="{00000000-0005-0000-0000-00002B020000}"/>
    <cellStyle name="Migliaia [0] 29 2 2 2" xfId="4651" xr:uid="{D5801C32-99DB-4218-8F35-03CD6965A3FF}"/>
    <cellStyle name="Migliaia [0] 29 2 2 2 2" xfId="21762" xr:uid="{16EB1A11-BF78-43B6-99D5-70E4BADB3A81}"/>
    <cellStyle name="Migliaia [0] 29 2 2 2 3" xfId="47223" xr:uid="{3BABCA93-B548-4099-869F-C79969202ED6}"/>
    <cellStyle name="Migliaia [0] 29 2 2 2 4" xfId="50790" xr:uid="{98D9FD8D-2DE6-4615-A367-43A237E2B01E}"/>
    <cellStyle name="Migliaia [0] 29 2 2 2 5" xfId="53806" xr:uid="{E70FB230-06BA-4042-B47A-05F31EAFD170}"/>
    <cellStyle name="Migliaia [0] 29 2 2 2 6" xfId="11773" xr:uid="{E6A3F435-D14B-4B2A-978F-99B0C990FDA7}"/>
    <cellStyle name="Migliaia [0] 29 2 2 3" xfId="2925" xr:uid="{720BB586-176C-4735-9304-8C1255CE65AA}"/>
    <cellStyle name="Migliaia [0] 29 2 2 3 2" xfId="11552" xr:uid="{94F6842B-8575-4581-ADF6-032DCB26CBD5}"/>
    <cellStyle name="Migliaia [0] 29 2 2 4" xfId="10659" xr:uid="{EE991B17-60B0-484F-B287-D94A0F2ADCF5}"/>
    <cellStyle name="Migliaia [0] 29 2 2 4 2" xfId="21294" xr:uid="{D5A77288-D2BF-4649-8EE4-EADD421BE6D5}"/>
    <cellStyle name="Migliaia [0] 29 2 2 4 3" xfId="24762" xr:uid="{97E3375F-EDFD-4DA3-B21F-5DA773058466}"/>
    <cellStyle name="Migliaia [0] 29 2 2 4 4" xfId="50309" xr:uid="{47F3319A-A7A7-460A-A142-016C8582C55E}"/>
    <cellStyle name="Migliaia [0] 29 2 2 4 5" xfId="53325" xr:uid="{4DF133AA-471C-4285-B642-845D63EDCCF0}"/>
    <cellStyle name="Migliaia [0] 29 2 2 5" xfId="19604" xr:uid="{5261861F-56B0-4886-98C5-2D9BEDC01E7E}"/>
    <cellStyle name="Migliaia [0] 29 2 2 6" xfId="24055" xr:uid="{2BE5B963-890F-4B94-8413-B501EE597C82}"/>
    <cellStyle name="Migliaia [0] 29 2 2 7" xfId="48841" xr:uid="{2C6FB79E-AAA0-4434-9FD3-9798323F7ACA}"/>
    <cellStyle name="Migliaia [0] 29 2 2 8" xfId="49747" xr:uid="{5A380FFE-0BEA-4DC9-8E33-9EE357FB65DC}"/>
    <cellStyle name="Migliaia [0] 29 2 2 9" xfId="8447" xr:uid="{FB78E38C-E2A4-4E19-9B10-F99D923D075A}"/>
    <cellStyle name="Migliaia [0] 29 2 3" xfId="4650" xr:uid="{E85F9595-857A-4B21-8C0B-5F92D4B77AD4}"/>
    <cellStyle name="Migliaia [0] 29 2 3 2" xfId="32833" xr:uid="{3EA8FC3D-DF7F-482D-89F5-ADDA6360DAC5}"/>
    <cellStyle name="Migliaia [0] 29 2 3 2 2" xfId="38184" xr:uid="{4FDCB8AD-6046-4F05-9B22-85D497B152C7}"/>
    <cellStyle name="Migliaia [0] 29 2 3 2 3" xfId="43486" xr:uid="{047FAE6B-55E7-4193-A873-07119B845FCD}"/>
    <cellStyle name="Migliaia [0] 29 2 3 3" xfId="35719" xr:uid="{AAE57916-C024-4A5D-8DC3-235C3510A5A5}"/>
    <cellStyle name="Migliaia [0] 29 2 3 4" xfId="40835" xr:uid="{B330523F-3822-4DCD-9BB9-6ECB1F770FD3}"/>
    <cellStyle name="Migliaia [0] 29 2 3 5" xfId="11774" xr:uid="{07AD5279-87D0-49AA-B7CF-03D393561D2B}"/>
    <cellStyle name="Migliaia [0] 29 2 4" xfId="5911" xr:uid="{1B3209BF-D4C5-4116-AC4D-A38380EFCBD9}"/>
    <cellStyle name="Migliaia [0] 29 2 4 2" xfId="19603" xr:uid="{C1E57267-AC0D-45AD-97B2-E058A85FE6B5}"/>
    <cellStyle name="Migliaia [0] 29 2 5" xfId="2924" xr:uid="{394CB796-BD80-400D-95FC-54A45E0A49FC}"/>
    <cellStyle name="Migliaia [0] 29 2 5 2" xfId="24054" xr:uid="{622591CA-3245-493D-A5D0-E492C36C8238}"/>
    <cellStyle name="Migliaia [0] 29 2 6" xfId="7257" xr:uid="{D89AB884-042A-4908-939B-05574AA44CEE}"/>
    <cellStyle name="Migliaia [0] 29 3" xfId="1546" xr:uid="{00000000-0005-0000-0000-00002C020000}"/>
    <cellStyle name="Migliaia [0] 29 3 2" xfId="4652" xr:uid="{82E57E02-C640-4980-B6E8-6B4592377112}"/>
    <cellStyle name="Migliaia [0] 29 3 2 2" xfId="18322" xr:uid="{F41FA497-79FB-49F2-8BA4-A73FF7E4D36B}"/>
    <cellStyle name="Migliaia [0] 29 3 2 2 2" xfId="21763" xr:uid="{A75FCD6D-3DB1-4665-A4E9-996022DADF1C}"/>
    <cellStyle name="Migliaia [0] 29 3 2 2 2 2" xfId="38185" xr:uid="{A0378308-D69F-4CD2-B3D8-58CB02C1F38D}"/>
    <cellStyle name="Migliaia [0] 29 3 2 2 3" xfId="43487" xr:uid="{76EB9DEC-FDF7-4315-899D-C921F9D49217}"/>
    <cellStyle name="Migliaia [0] 29 3 2 2 4" xfId="32834" xr:uid="{E93EABAF-4040-4CB7-91A9-3FD0BE7F51BB}"/>
    <cellStyle name="Migliaia [0] 29 3 2 3" xfId="35720" xr:uid="{F0909EDC-6323-4D11-AD7E-437B70E749D8}"/>
    <cellStyle name="Migliaia [0] 29 3 2 4" xfId="40836" xr:uid="{ECE4BDD5-C33F-4F2C-9DA0-474E5E3EBDC5}"/>
    <cellStyle name="Migliaia [0] 29 3 2 5" xfId="47462" xr:uid="{8B4C9EEA-F6C9-43DA-9581-0AB2B168BD9D}"/>
    <cellStyle name="Migliaia [0] 29 3 2 6" xfId="50791" xr:uid="{704C167D-600C-433A-A84E-5C1CD73700A7}"/>
    <cellStyle name="Migliaia [0] 29 3 2 7" xfId="53807" xr:uid="{FACEADEA-BFCE-4813-B663-CAFD0F3F7A78}"/>
    <cellStyle name="Migliaia [0] 29 3 2 8" xfId="17598" xr:uid="{61E08B85-77BE-4964-A81B-88A9429E6016}"/>
    <cellStyle name="Migliaia [0] 29 3 2 9" xfId="11775" xr:uid="{B004C889-936C-4637-AC56-110FB2FE034F}"/>
    <cellStyle name="Migliaia [0] 29 3 3" xfId="5912" xr:uid="{82A21DAD-DFF2-4C7A-B2AD-3CBFD3DBE395}"/>
    <cellStyle name="Migliaia [0] 29 3 3 2" xfId="12211" xr:uid="{3120D6A7-D813-4E15-BDE1-D72AA5F4EEC7}"/>
    <cellStyle name="Migliaia [0] 29 3 4" xfId="2926" xr:uid="{38DC9599-8A18-41A1-97DA-821F407D2C1C}"/>
    <cellStyle name="Migliaia [0] 29 3 4 2" xfId="21295" xr:uid="{DADE2133-8D11-40CF-BB30-C9B129EE8754}"/>
    <cellStyle name="Migliaia [0] 29 3 4 3" xfId="47062" xr:uid="{C78F784D-7866-4250-9C08-0AF6F0599BDE}"/>
    <cellStyle name="Migliaia [0] 29 3 4 4" xfId="50310" xr:uid="{2093CA93-61EE-41AA-AC61-2A5CF4B30A01}"/>
    <cellStyle name="Migliaia [0] 29 3 4 5" xfId="53326" xr:uid="{42D8D12B-596D-407D-B2C7-0DD6F894556C}"/>
    <cellStyle name="Migliaia [0] 29 3 4 6" xfId="10660" xr:uid="{F3BA85A4-C826-4FB5-B8AC-D40D7134B510}"/>
    <cellStyle name="Migliaia [0] 29 3 5" xfId="19605" xr:uid="{742964F5-5A6C-485B-9BAE-9C1601771B1B}"/>
    <cellStyle name="Migliaia [0] 29 3 6" xfId="24056" xr:uid="{EA206B71-5267-4E28-9BA2-FC03E9F02B95}"/>
    <cellStyle name="Migliaia [0] 29 3 7" xfId="8205" xr:uid="{34FC0C95-8DC0-4576-B828-F4B6DA0ABE44}"/>
    <cellStyle name="Migliaia [0] 29 4" xfId="2927" xr:uid="{F5A24B15-08AF-4283-A86E-109EC7697FE4}"/>
    <cellStyle name="Migliaia [0] 29 4 2" xfId="4653" xr:uid="{204BFE5A-E34E-4C78-ABC6-EE816F37BAE1}"/>
    <cellStyle name="Migliaia [0] 29 4 2 2" xfId="35090" xr:uid="{14A150CA-53CC-4CAA-B36D-6F81F8479DB6}"/>
    <cellStyle name="Migliaia [0] 29 4 2 2 2" xfId="40248" xr:uid="{EB357118-7649-435D-9997-83D0A4FC026B}"/>
    <cellStyle name="Migliaia [0] 29 4 2 2 3" xfId="45550" xr:uid="{D36D839C-7A5F-484B-BFC1-1BA366C21FA0}"/>
    <cellStyle name="Migliaia [0] 29 4 2 3" xfId="37597" xr:uid="{C1DF6F00-EFD2-4407-963D-8379B308E215}"/>
    <cellStyle name="Migliaia [0] 29 4 2 4" xfId="42899" xr:uid="{43C498AC-ED7A-4955-B10C-DBD219C8A44C}"/>
    <cellStyle name="Migliaia [0] 29 4 2 5" xfId="17030" xr:uid="{E6317495-3659-48A4-BED9-984781FBD85F}"/>
    <cellStyle name="Migliaia [0] 29 4 3" xfId="5913" xr:uid="{0244F6CE-BDA6-4F96-948F-4416C4A37D19}"/>
    <cellStyle name="Migliaia [0] 29 4 3 2" xfId="38186" xr:uid="{3E983A79-6D84-4924-9A0D-6C23CB947821}"/>
    <cellStyle name="Migliaia [0] 29 4 3 3" xfId="43488" xr:uid="{03B2EE92-AAC1-4AB9-B87C-9C01CC377243}"/>
    <cellStyle name="Migliaia [0] 29 4 3 4" xfId="32835" xr:uid="{9826C80C-6557-4572-83CC-D060525259F6}"/>
    <cellStyle name="Migliaia [0] 29 4 3 5" xfId="19606" xr:uid="{E070E520-4D9E-4DA3-A7F2-4A665DADCD44}"/>
    <cellStyle name="Migliaia [0] 29 4 4" xfId="35721" xr:uid="{FF41614E-7B45-460D-A2F1-26E87CFDBC6A}"/>
    <cellStyle name="Migliaia [0] 29 4 5" xfId="40837" xr:uid="{E7D7A69A-471F-4EE4-A349-17F18E20D0EA}"/>
    <cellStyle name="Migliaia [0] 29 4 6" xfId="15972" xr:uid="{F653B93A-7557-48DF-BAC6-3317D891956D}"/>
    <cellStyle name="Migliaia [0] 29 4 7" xfId="7785" xr:uid="{55A95F8F-2FED-45F2-9124-B75CB41DCC35}"/>
    <cellStyle name="Migliaia [0] 29 5" xfId="4649" xr:uid="{191B8EE5-3A0C-4C13-A23F-2873E043F1D9}"/>
    <cellStyle name="Migliaia [0] 29 5 2" xfId="32836" xr:uid="{40A8EE63-D4CB-4304-ACA6-BD28592682D2}"/>
    <cellStyle name="Migliaia [0] 29 5 2 2" xfId="38187" xr:uid="{2202A95C-18DF-4C17-9BFE-9AC9EE34D9F3}"/>
    <cellStyle name="Migliaia [0] 29 5 2 3" xfId="43489" xr:uid="{42DC092D-707E-4DBB-A738-0054CDBC27FD}"/>
    <cellStyle name="Migliaia [0] 29 5 3" xfId="35722" xr:uid="{AF444F0A-E368-42E6-BF9D-025F552866C2}"/>
    <cellStyle name="Migliaia [0] 29 5 4" xfId="40838" xr:uid="{00AA025E-7E3C-4A1B-8574-7531E8DEAEF1}"/>
    <cellStyle name="Migliaia [0] 29 5 5" xfId="17099" xr:uid="{C3769B9A-59DF-402A-9D7D-403CCC9A086D}"/>
    <cellStyle name="Migliaia [0] 29 6" xfId="5910" xr:uid="{1FBCF564-56A6-4811-8D47-346ED1AA1E9B}"/>
    <cellStyle name="Migliaia [0] 29 6 2" xfId="38183" xr:uid="{C2175896-77D9-4249-A945-F021DB6FA353}"/>
    <cellStyle name="Migliaia [0] 29 6 3" xfId="43485" xr:uid="{1CDC4345-E790-48B2-95FE-AB98A4C93404}"/>
    <cellStyle name="Migliaia [0] 29 6 4" xfId="32832" xr:uid="{8E771B09-8137-4729-B1FF-AACE8A400F25}"/>
    <cellStyle name="Migliaia [0] 29 6 5" xfId="19602" xr:uid="{35E107F3-7F5F-48D0-B29F-C15D604C7D1E}"/>
    <cellStyle name="Migliaia [0] 29 7" xfId="2923" xr:uid="{33BE0ABB-E903-41C0-9A7A-FE95D2A9E70F}"/>
    <cellStyle name="Migliaia [0] 29 7 2" xfId="35718" xr:uid="{7BCE4A9F-81F9-4C24-8151-1E84C666B6DC}"/>
    <cellStyle name="Migliaia [0] 29 8" xfId="40834" xr:uid="{21AE321D-476C-4B80-9D28-F26D7C4D36ED}"/>
    <cellStyle name="Migliaia [0] 29 9" xfId="7006" xr:uid="{E6A24B07-63FD-4A17-8C7D-080752159FE1}"/>
    <cellStyle name="Migliaia [0] 3" xfId="264" xr:uid="{00000000-0005-0000-0000-00002D020000}"/>
    <cellStyle name="Migliaia [0] 3 2" xfId="1547" xr:uid="{00000000-0005-0000-0000-00002E020000}"/>
    <cellStyle name="Migliaia [0] 3 2 2" xfId="1548" xr:uid="{00000000-0005-0000-0000-00002F020000}"/>
    <cellStyle name="Migliaia [0] 3 2 2 2" xfId="4656" xr:uid="{16B01420-7FC7-450C-8E6B-C8BF9BECE2C2}"/>
    <cellStyle name="Migliaia [0] 3 2 2 2 2" xfId="21764" xr:uid="{A928C344-6885-4D91-9C32-03886BB199F6}"/>
    <cellStyle name="Migliaia [0] 3 2 2 2 3" xfId="47910" xr:uid="{8C454160-E324-4D74-9F7E-DE2B602989FE}"/>
    <cellStyle name="Migliaia [0] 3 2 2 2 4" xfId="50792" xr:uid="{4BC57D9C-3936-46DC-8D70-AD3E143F5B49}"/>
    <cellStyle name="Migliaia [0] 3 2 2 2 5" xfId="53808" xr:uid="{BCCED8F4-91C6-4560-AA15-EFBF0957F541}"/>
    <cellStyle name="Migliaia [0] 3 2 2 2 6" xfId="11776" xr:uid="{94442C21-019C-48BA-B803-4DB08D3E4D73}"/>
    <cellStyle name="Migliaia [0] 3 2 2 3" xfId="2930" xr:uid="{3EC3DB64-8F58-4833-B37F-C6B23F3507ED}"/>
    <cellStyle name="Migliaia [0] 3 2 2 3 2" xfId="12346" xr:uid="{E407B9A3-E58E-4731-AABE-1BCDB24A1870}"/>
    <cellStyle name="Migliaia [0] 3 2 2 4" xfId="10661" xr:uid="{E0C87A32-8000-4EC3-8777-B6D0DA013A97}"/>
    <cellStyle name="Migliaia [0] 3 2 2 4 2" xfId="21296" xr:uid="{2AC6B1AE-FE00-4139-9293-7E2C30098216}"/>
    <cellStyle name="Migliaia [0] 3 2 2 4 3" xfId="48527" xr:uid="{F60CBA09-162E-426D-A4EB-4A56840B4F04}"/>
    <cellStyle name="Migliaia [0] 3 2 2 4 4" xfId="50311" xr:uid="{9C9DB4AB-0CF6-4401-88B2-122CA7300085}"/>
    <cellStyle name="Migliaia [0] 3 2 2 4 5" xfId="53327" xr:uid="{E720B4E4-70F7-490C-92D3-94D411998183}"/>
    <cellStyle name="Migliaia [0] 3 2 2 5" xfId="19609" xr:uid="{F437297F-25E2-4F6B-BB7F-12A2954CA6D3}"/>
    <cellStyle name="Migliaia [0] 3 2 2 6" xfId="24058" xr:uid="{E5D4973D-C9B1-4520-80F2-1FB6AE7019F6}"/>
    <cellStyle name="Migliaia [0] 3 2 2 7" xfId="48842" xr:uid="{34B9FB95-2006-421E-A1CA-182439EAD208}"/>
    <cellStyle name="Migliaia [0] 3 2 2 8" xfId="49748" xr:uid="{58E3C009-F434-45C5-95E2-770229EC9DAE}"/>
    <cellStyle name="Migliaia [0] 3 2 2 9" xfId="8448" xr:uid="{9CCC8BFC-BAE6-4274-89E5-F50781B3E526}"/>
    <cellStyle name="Migliaia [0] 3 2 3" xfId="4655" xr:uid="{9DE57690-7635-4E91-A6A1-6F628884FB86}"/>
    <cellStyle name="Migliaia [0] 3 2 3 2" xfId="32838" xr:uid="{B011B512-6A17-4E93-A8B9-F374EDD50F33}"/>
    <cellStyle name="Migliaia [0] 3 2 3 2 2" xfId="38189" xr:uid="{42580127-9EA6-4714-8EA5-1DE4C3969D50}"/>
    <cellStyle name="Migliaia [0] 3 2 3 2 3" xfId="43491" xr:uid="{B8540C45-BF32-4BC0-85DE-A27A87139B9F}"/>
    <cellStyle name="Migliaia [0] 3 2 3 3" xfId="35724" xr:uid="{8C43B12E-0DA6-471E-86C0-06144FB98C3D}"/>
    <cellStyle name="Migliaia [0] 3 2 3 4" xfId="40840" xr:uid="{5C7BA148-1E27-4E01-96DF-0AD56E33001F}"/>
    <cellStyle name="Migliaia [0] 3 2 3 5" xfId="11777" xr:uid="{AB15D920-974A-4B63-8675-BEAFE7AABBE5}"/>
    <cellStyle name="Migliaia [0] 3 2 4" xfId="5915" xr:uid="{E3B84E8B-0F94-4D35-B280-44F7E0CF4D8E}"/>
    <cellStyle name="Migliaia [0] 3 2 4 2" xfId="19608" xr:uid="{983FA37A-9589-4C2A-84D1-D07C22D56794}"/>
    <cellStyle name="Migliaia [0] 3 2 5" xfId="2929" xr:uid="{D5BC513D-945B-4C4E-A2DC-12047BEAFD27}"/>
    <cellStyle name="Migliaia [0] 3 2 5 2" xfId="24057" xr:uid="{FA7AF015-5AD4-471D-B59F-82D4A6DB69B5}"/>
    <cellStyle name="Migliaia [0] 3 2 6" xfId="7258" xr:uid="{1FC5E909-D156-49B0-8702-44D0799F8DD4}"/>
    <cellStyle name="Migliaia [0] 3 3" xfId="1549" xr:uid="{00000000-0005-0000-0000-000030020000}"/>
    <cellStyle name="Migliaia [0] 3 3 2" xfId="4657" xr:uid="{51780C54-36CD-417D-B343-B08B55FF5EB1}"/>
    <cellStyle name="Migliaia [0] 3 3 2 2" xfId="18323" xr:uid="{3E96F3F5-D3E8-41CC-88CD-8028ED6A392B}"/>
    <cellStyle name="Migliaia [0] 3 3 2 2 2" xfId="21765" xr:uid="{82227222-9691-4A10-82AD-44262D543637}"/>
    <cellStyle name="Migliaia [0] 3 3 2 2 2 2" xfId="38190" xr:uid="{D8E5A2D0-AFE7-4230-9DF0-D230BD7F86E0}"/>
    <cellStyle name="Migliaia [0] 3 3 2 2 3" xfId="43492" xr:uid="{90479EEC-7FA3-4705-9255-A676894254A2}"/>
    <cellStyle name="Migliaia [0] 3 3 2 2 4" xfId="32839" xr:uid="{C53F73E1-DC1E-4189-AE76-6CCE4EAB8811}"/>
    <cellStyle name="Migliaia [0] 3 3 2 3" xfId="35725" xr:uid="{FB070936-EDA0-4948-BA73-53FD8530C511}"/>
    <cellStyle name="Migliaia [0] 3 3 2 4" xfId="40841" xr:uid="{B16C678F-4F06-4748-B6CC-0C04E5593254}"/>
    <cellStyle name="Migliaia [0] 3 3 2 5" xfId="47986" xr:uid="{CD8E9D5C-BE7D-4078-8CC2-9855CCCF7047}"/>
    <cellStyle name="Migliaia [0] 3 3 2 6" xfId="50793" xr:uid="{6A79DF2E-8181-47DF-9DFF-CF87741CCD73}"/>
    <cellStyle name="Migliaia [0] 3 3 2 7" xfId="53809" xr:uid="{C0208071-B0D3-44A7-9698-B305596314D4}"/>
    <cellStyle name="Migliaia [0] 3 3 2 8" xfId="17599" xr:uid="{03456750-AAE2-43CF-919F-DE098FEF53F2}"/>
    <cellStyle name="Migliaia [0] 3 3 2 9" xfId="11778" xr:uid="{3D105CBB-B5BF-43A0-B10B-C2ED4162559C}"/>
    <cellStyle name="Migliaia [0] 3 3 3" xfId="5916" xr:uid="{612F8D8D-994A-42DD-8D27-866C56C341EC}"/>
    <cellStyle name="Migliaia [0] 3 3 3 2" xfId="12212" xr:uid="{029B71C5-2159-4A80-9135-C8FFEEBDC4B0}"/>
    <cellStyle name="Migliaia [0] 3 3 4" xfId="2931" xr:uid="{723E80F8-C384-4C28-A62D-51060AC0B376}"/>
    <cellStyle name="Migliaia [0] 3 3 4 2" xfId="21297" xr:uid="{136D9239-335F-4349-A041-51A72F4B9601}"/>
    <cellStyle name="Migliaia [0] 3 3 4 3" xfId="48465" xr:uid="{81B91BA7-54EA-4A90-97C4-A254AD3FF549}"/>
    <cellStyle name="Migliaia [0] 3 3 4 4" xfId="50312" xr:uid="{29ECC19E-AC30-4812-8DA6-F3787D6F3B3B}"/>
    <cellStyle name="Migliaia [0] 3 3 4 5" xfId="53328" xr:uid="{1ABC58B3-16E5-4B04-AEF8-8B2A0B679F42}"/>
    <cellStyle name="Migliaia [0] 3 3 4 6" xfId="10662" xr:uid="{C9164677-D577-4BAC-9B02-1D2A7591B3FD}"/>
    <cellStyle name="Migliaia [0] 3 3 5" xfId="19610" xr:uid="{C3FA2AC6-3C5A-491C-8C7C-EB49F401575A}"/>
    <cellStyle name="Migliaia [0] 3 3 6" xfId="24059" xr:uid="{57C31D6E-4E10-4D8C-8ED5-9E92F7C1466C}"/>
    <cellStyle name="Migliaia [0] 3 3 7" xfId="8206" xr:uid="{E04CB525-C829-46DB-97DC-2A043519EBD1}"/>
    <cellStyle name="Migliaia [0] 3 4" xfId="2932" xr:uid="{828C6A43-A9F6-417C-A7C3-839A8585DAF8}"/>
    <cellStyle name="Migliaia [0] 3 4 2" xfId="4658" xr:uid="{4266368E-5720-4834-8CA0-C12ABB4F240C}"/>
    <cellStyle name="Migliaia [0] 3 4 2 2" xfId="35091" xr:uid="{5FACE868-DD25-413D-9615-3BCC4D7E7E43}"/>
    <cellStyle name="Migliaia [0] 3 4 2 2 2" xfId="40249" xr:uid="{3F66A8EF-DCF4-449A-8742-8E11A3CB206D}"/>
    <cellStyle name="Migliaia [0] 3 4 2 2 3" xfId="45551" xr:uid="{12A94E4E-22EC-4E7C-AFBB-D62C68C47510}"/>
    <cellStyle name="Migliaia [0] 3 4 2 3" xfId="37598" xr:uid="{B66C3575-C386-472C-A160-9329363D4BF9}"/>
    <cellStyle name="Migliaia [0] 3 4 2 4" xfId="42900" xr:uid="{A87D3059-8270-4D95-BDEC-7F087F94B196}"/>
    <cellStyle name="Migliaia [0] 3 4 2 5" xfId="17031" xr:uid="{4CD03E06-C2CA-4D16-83E9-E78E8E4AEE75}"/>
    <cellStyle name="Migliaia [0] 3 4 3" xfId="5917" xr:uid="{0C8B52F7-BD36-4E29-8E52-A961E578A7AD}"/>
    <cellStyle name="Migliaia [0] 3 4 3 2" xfId="38191" xr:uid="{6EED8AA3-64E2-47C3-AE9C-BB5A7EA7DB92}"/>
    <cellStyle name="Migliaia [0] 3 4 3 3" xfId="43493" xr:uid="{6D102E14-339F-4241-9B0D-E889236CC6F2}"/>
    <cellStyle name="Migliaia [0] 3 4 3 4" xfId="32840" xr:uid="{0CFFEED4-3FDC-4BCF-B502-6973B9664E2C}"/>
    <cellStyle name="Migliaia [0] 3 4 3 5" xfId="19611" xr:uid="{4B6D0C1B-FE47-4995-A94A-59A8E81C2C01}"/>
    <cellStyle name="Migliaia [0] 3 4 4" xfId="35726" xr:uid="{803C1A1D-3EF4-437D-A4A6-0F4A42613040}"/>
    <cellStyle name="Migliaia [0] 3 4 5" xfId="40842" xr:uid="{EE7F6493-6C77-4063-AAA9-17142E32F4D2}"/>
    <cellStyle name="Migliaia [0] 3 4 6" xfId="15973" xr:uid="{52AEBA5E-0DAA-4AF4-9DAF-CDF8FC5BE48E}"/>
    <cellStyle name="Migliaia [0] 3 4 7" xfId="7786" xr:uid="{EACEDEF9-BDF7-43D4-8A9F-86A436641923}"/>
    <cellStyle name="Migliaia [0] 3 5" xfId="4654" xr:uid="{CC5EBAC2-DC75-4000-98B9-D16A423DDC34}"/>
    <cellStyle name="Migliaia [0] 3 5 2" xfId="32841" xr:uid="{2257D87E-60FB-448A-A879-39936057DC4B}"/>
    <cellStyle name="Migliaia [0] 3 5 2 2" xfId="38192" xr:uid="{45F9F90A-B637-4914-878C-72FF5CC94383}"/>
    <cellStyle name="Migliaia [0] 3 5 2 3" xfId="43494" xr:uid="{A73FCC91-CB3D-4CC9-B6CE-27EEF97B42B6}"/>
    <cellStyle name="Migliaia [0] 3 5 3" xfId="35727" xr:uid="{299B4298-D032-4030-A51B-D787AF462690}"/>
    <cellStyle name="Migliaia [0] 3 5 4" xfId="40843" xr:uid="{DEAF7787-A8A0-47E0-A49C-FE74C7D49227}"/>
    <cellStyle name="Migliaia [0] 3 5 5" xfId="17100" xr:uid="{717A2CC6-B198-4AA2-A7B9-E475FB042816}"/>
    <cellStyle name="Migliaia [0] 3 6" xfId="5914" xr:uid="{25E9EB59-3685-4CF4-84BC-075D06C3B0A3}"/>
    <cellStyle name="Migliaia [0] 3 6 2" xfId="38188" xr:uid="{0F9B16DE-FCFD-4406-B74F-1EAA42EE9B19}"/>
    <cellStyle name="Migliaia [0] 3 6 3" xfId="43490" xr:uid="{FCDAA2C2-67BD-4BFA-B4B3-FB184D93392F}"/>
    <cellStyle name="Migliaia [0] 3 6 4" xfId="32837" xr:uid="{B85ADB57-BDDE-4C72-A98C-F657E6180359}"/>
    <cellStyle name="Migliaia [0] 3 6 5" xfId="19607" xr:uid="{647DD766-2579-4AC7-963A-37AC9F945DCF}"/>
    <cellStyle name="Migliaia [0] 3 7" xfId="2928" xr:uid="{486EDCC6-333D-4BF1-8B0E-CFEF90D3DF83}"/>
    <cellStyle name="Migliaia [0] 3 7 2" xfId="35723" xr:uid="{3D249D79-8DEF-451D-B9ED-28F4B2BFF693}"/>
    <cellStyle name="Migliaia [0] 3 8" xfId="40839" xr:uid="{BF3CCB42-7772-4236-8863-8CEEBE948FC2}"/>
    <cellStyle name="Migliaia [0] 3 9" xfId="7007" xr:uid="{C4BE1D2A-E8BB-4407-8D3E-26D522B38AF3}"/>
    <cellStyle name="Migliaia [0] 30" xfId="265" xr:uid="{00000000-0005-0000-0000-000031020000}"/>
    <cellStyle name="Migliaia [0] 30 2" xfId="1550" xr:uid="{00000000-0005-0000-0000-000032020000}"/>
    <cellStyle name="Migliaia [0] 30 2 2" xfId="1551" xr:uid="{00000000-0005-0000-0000-000033020000}"/>
    <cellStyle name="Migliaia [0] 30 2 2 2" xfId="4661" xr:uid="{3B9E95A9-0D4D-4F5F-90CF-DA2709414F2F}"/>
    <cellStyle name="Migliaia [0] 30 2 2 2 2" xfId="21766" xr:uid="{F6F6F39E-85AE-4518-A828-CEDE9E5F69A1}"/>
    <cellStyle name="Migliaia [0] 30 2 2 2 3" xfId="46739" xr:uid="{D75DEB10-5BE0-49DE-8957-D50EE579FE99}"/>
    <cellStyle name="Migliaia [0] 30 2 2 2 4" xfId="50794" xr:uid="{7D229390-9E41-4F00-967C-2B4805DD5E56}"/>
    <cellStyle name="Migliaia [0] 30 2 2 2 5" xfId="53810" xr:uid="{DBBD90CD-2352-4FDC-80B0-CB97CB0D41D6}"/>
    <cellStyle name="Migliaia [0] 30 2 2 2 6" xfId="11779" xr:uid="{DC77C715-FE0F-42FC-A0A3-0E2739E9E823}"/>
    <cellStyle name="Migliaia [0] 30 2 2 3" xfId="2935" xr:uid="{8D56536F-DC48-4686-A265-701069B89922}"/>
    <cellStyle name="Migliaia [0] 30 2 2 3 2" xfId="12345" xr:uid="{46511D94-EE69-4088-9577-69DE7D6C4CCF}"/>
    <cellStyle name="Migliaia [0] 30 2 2 4" xfId="10663" xr:uid="{ABA9665D-AD6A-4752-B442-D439D4C3383D}"/>
    <cellStyle name="Migliaia [0] 30 2 2 4 2" xfId="21298" xr:uid="{35B7112A-9332-4F2C-A708-86E26A79A1CB}"/>
    <cellStyle name="Migliaia [0] 30 2 2 4 3" xfId="46177" xr:uid="{31DF51C2-3F32-4D7E-B9CB-29801A9D96D2}"/>
    <cellStyle name="Migliaia [0] 30 2 2 4 4" xfId="50313" xr:uid="{5E250A98-25AF-4E57-92D3-A9288251A9CA}"/>
    <cellStyle name="Migliaia [0] 30 2 2 4 5" xfId="53329" xr:uid="{B04B6BD1-21B3-471E-9E78-CB902D00A71B}"/>
    <cellStyle name="Migliaia [0] 30 2 2 5" xfId="19614" xr:uid="{1350CFD2-DEBA-4D6C-AC42-D52C79260A59}"/>
    <cellStyle name="Migliaia [0] 30 2 2 6" xfId="24061" xr:uid="{CB9C5FC4-C2D9-4FF4-A589-30D469D6C53B}"/>
    <cellStyle name="Migliaia [0] 30 2 2 7" xfId="48843" xr:uid="{7878DDD4-45B5-4D8D-9286-B0E67C233D65}"/>
    <cellStyle name="Migliaia [0] 30 2 2 8" xfId="49749" xr:uid="{E2FFC32F-CFCD-4F59-B31B-2628972E0C19}"/>
    <cellStyle name="Migliaia [0] 30 2 2 9" xfId="8449" xr:uid="{0BEB5BF2-F086-401B-AAA4-A83951B98E1C}"/>
    <cellStyle name="Migliaia [0] 30 2 3" xfId="4660" xr:uid="{02DA3125-4EFB-42DE-B414-710D3DC40C09}"/>
    <cellStyle name="Migliaia [0] 30 2 3 2" xfId="32843" xr:uid="{8AF92B00-EE75-4924-AFF1-1C8862ECD340}"/>
    <cellStyle name="Migliaia [0] 30 2 3 2 2" xfId="38194" xr:uid="{0182AB9C-E4C2-4B35-89B2-205F7CCB1BD5}"/>
    <cellStyle name="Migliaia [0] 30 2 3 2 3" xfId="43496" xr:uid="{F08C3C6D-AEB3-421A-BAD4-C8E9898B71FF}"/>
    <cellStyle name="Migliaia [0] 30 2 3 3" xfId="35729" xr:uid="{F87D9C8E-8359-4BEE-B866-EB2A76348BF3}"/>
    <cellStyle name="Migliaia [0] 30 2 3 4" xfId="40845" xr:uid="{4C82D764-51F1-4DF2-9809-3DB3AE794B58}"/>
    <cellStyle name="Migliaia [0] 30 2 3 5" xfId="11780" xr:uid="{E93FB617-45FB-4673-9346-66AFB1E077F6}"/>
    <cellStyle name="Migliaia [0] 30 2 4" xfId="5919" xr:uid="{16C5FE11-9E49-4A1B-A7B5-3355D4F44771}"/>
    <cellStyle name="Migliaia [0] 30 2 4 2" xfId="19613" xr:uid="{545F17B6-0D06-492A-B1A7-9E95D390ACC3}"/>
    <cellStyle name="Migliaia [0] 30 2 5" xfId="2934" xr:uid="{3285AFE4-13F3-4CCA-95D9-5EEC688EE58F}"/>
    <cellStyle name="Migliaia [0] 30 2 5 2" xfId="24060" xr:uid="{419D84A2-A2EA-4E06-AEE8-860B571CD3E9}"/>
    <cellStyle name="Migliaia [0] 30 2 6" xfId="7259" xr:uid="{407F6093-94A3-464E-8622-CF4416C960A8}"/>
    <cellStyle name="Migliaia [0] 30 3" xfId="1552" xr:uid="{00000000-0005-0000-0000-000034020000}"/>
    <cellStyle name="Migliaia [0] 30 3 2" xfId="4662" xr:uid="{4462E0EB-B701-4CEE-9851-900F9A0CAECE}"/>
    <cellStyle name="Migliaia [0] 30 3 2 2" xfId="18324" xr:uid="{2BB2DE71-F3BB-44FD-8929-3A38B25779F9}"/>
    <cellStyle name="Migliaia [0] 30 3 2 2 2" xfId="21767" xr:uid="{00A49699-838A-45BE-8ACB-514A3E35AE90}"/>
    <cellStyle name="Migliaia [0] 30 3 2 2 2 2" xfId="38195" xr:uid="{C3A21DC0-3D76-4851-936F-2A5B719A6B81}"/>
    <cellStyle name="Migliaia [0] 30 3 2 2 3" xfId="43497" xr:uid="{AC522C4E-C928-4ECC-9DD3-D2A5EC5EC347}"/>
    <cellStyle name="Migliaia [0] 30 3 2 2 4" xfId="32844" xr:uid="{5AEAB9DA-8A72-43DA-B996-3F06BE2A673F}"/>
    <cellStyle name="Migliaia [0] 30 3 2 3" xfId="35730" xr:uid="{4A95BA14-D32D-45B9-8E03-5AC8459DD93B}"/>
    <cellStyle name="Migliaia [0] 30 3 2 4" xfId="40846" xr:uid="{7BBF5884-6417-4751-AB5E-BBFDC761AA12}"/>
    <cellStyle name="Migliaia [0] 30 3 2 5" xfId="47608" xr:uid="{C012FBE8-FA75-48CA-8777-7F14C079E41D}"/>
    <cellStyle name="Migliaia [0] 30 3 2 6" xfId="50795" xr:uid="{AD925C57-C03B-4D95-80A6-E480E37DC9D3}"/>
    <cellStyle name="Migliaia [0] 30 3 2 7" xfId="53811" xr:uid="{13BED89F-B9EA-445D-8CF1-19D08A00E237}"/>
    <cellStyle name="Migliaia [0] 30 3 2 8" xfId="17600" xr:uid="{A01E3603-B8E9-469D-B684-60DA37F865B8}"/>
    <cellStyle name="Migliaia [0] 30 3 2 9" xfId="11781" xr:uid="{BDA1DF1E-FE21-4409-B165-A1070BBDF6B4}"/>
    <cellStyle name="Migliaia [0] 30 3 3" xfId="5920" xr:uid="{A10100E7-2287-406D-A4EF-2815ADD197BA}"/>
    <cellStyle name="Migliaia [0] 30 3 3 2" xfId="11115" xr:uid="{71C09668-88EC-4014-A351-6B0A0C49EEA2}"/>
    <cellStyle name="Migliaia [0] 30 3 4" xfId="2936" xr:uid="{1B5E6B2B-CE79-4749-8E61-27BD6BE8469A}"/>
    <cellStyle name="Migliaia [0] 30 3 4 2" xfId="21299" xr:uid="{F3915763-FB01-43E2-A462-C1E1FA6A0DC6}"/>
    <cellStyle name="Migliaia [0] 30 3 4 3" xfId="46178" xr:uid="{71A203BC-88AA-408B-9B41-55CDB4D8CD65}"/>
    <cellStyle name="Migliaia [0] 30 3 4 4" xfId="50314" xr:uid="{0119FC7F-B0C0-40CE-9446-43ACF98838D2}"/>
    <cellStyle name="Migliaia [0] 30 3 4 5" xfId="53330" xr:uid="{1ADE7094-B76A-4AAD-98C7-162589989717}"/>
    <cellStyle name="Migliaia [0] 30 3 4 6" xfId="10664" xr:uid="{ECBE4615-D870-46B1-B26A-A1D3C9EF29CB}"/>
    <cellStyle name="Migliaia [0] 30 3 5" xfId="19615" xr:uid="{E2238B40-A119-4E2E-94DA-0B9FDFAC4418}"/>
    <cellStyle name="Migliaia [0] 30 3 6" xfId="24062" xr:uid="{F8F914EF-73B3-48B4-BC14-89AAACD08558}"/>
    <cellStyle name="Migliaia [0] 30 3 7" xfId="8207" xr:uid="{8F773B50-6D63-480D-8BE5-C4952D90AA67}"/>
    <cellStyle name="Migliaia [0] 30 4" xfId="2937" xr:uid="{833B0738-56A5-4B91-8F98-4D68676AF07C}"/>
    <cellStyle name="Migliaia [0] 30 4 2" xfId="4663" xr:uid="{69A3D34C-4A4A-4F38-8243-E7DE0AC675F6}"/>
    <cellStyle name="Migliaia [0] 30 4 2 2" xfId="35092" xr:uid="{B0EDFE0B-49D1-4E33-B93A-F708827608DA}"/>
    <cellStyle name="Migliaia [0] 30 4 2 2 2" xfId="40250" xr:uid="{4A53C5AB-965C-4240-97B7-7B78E389EA88}"/>
    <cellStyle name="Migliaia [0] 30 4 2 2 3" xfId="45552" xr:uid="{0A40FE0F-7606-4B2D-8868-B34CBF49BB84}"/>
    <cellStyle name="Migliaia [0] 30 4 2 3" xfId="37599" xr:uid="{0F4CE581-6D0C-49FE-B002-F27F25B475EA}"/>
    <cellStyle name="Migliaia [0] 30 4 2 4" xfId="42901" xr:uid="{39AF3EBA-2B6D-49F6-B3EE-C94769A676A3}"/>
    <cellStyle name="Migliaia [0] 30 4 2 5" xfId="17032" xr:uid="{0488F846-7503-4B1C-B4D3-B9D3A782CF37}"/>
    <cellStyle name="Migliaia [0] 30 4 3" xfId="5921" xr:uid="{10AB3740-54C0-456F-9501-CA25CCC8EFEB}"/>
    <cellStyle name="Migliaia [0] 30 4 3 2" xfId="38196" xr:uid="{C550AB16-5AE2-4814-BF46-D563219A5CB2}"/>
    <cellStyle name="Migliaia [0] 30 4 3 3" xfId="43498" xr:uid="{E23C23F9-7A6C-44AD-A6FB-BB989751B36A}"/>
    <cellStyle name="Migliaia [0] 30 4 3 4" xfId="32845" xr:uid="{AF5F6C7F-4B94-4DCE-9478-C2BCCE2C4036}"/>
    <cellStyle name="Migliaia [0] 30 4 3 5" xfId="19616" xr:uid="{9FDF5D7F-AF1C-4E06-B56F-162253DED144}"/>
    <cellStyle name="Migliaia [0] 30 4 4" xfId="35731" xr:uid="{2F9533A0-5D24-4B1C-B39C-60A39040F775}"/>
    <cellStyle name="Migliaia [0] 30 4 5" xfId="40847" xr:uid="{735E343B-BD65-485E-989F-5F8D74AFB62E}"/>
    <cellStyle name="Migliaia [0] 30 4 6" xfId="15974" xr:uid="{829BE8FF-63E2-484A-BDC3-229C6444D527}"/>
    <cellStyle name="Migliaia [0] 30 4 7" xfId="7787" xr:uid="{FA0C7FA9-1068-4899-B02D-836F7077F0C0}"/>
    <cellStyle name="Migliaia [0] 30 5" xfId="4659" xr:uid="{2E3AB526-C215-498D-A056-8F9C88C7E1DF}"/>
    <cellStyle name="Migliaia [0] 30 5 2" xfId="32846" xr:uid="{68162CC6-DF28-4AEA-B934-6BFB58624692}"/>
    <cellStyle name="Migliaia [0] 30 5 2 2" xfId="38197" xr:uid="{077177E3-DFDF-4726-8806-BD852EA70E3A}"/>
    <cellStyle name="Migliaia [0] 30 5 2 3" xfId="43499" xr:uid="{57A612B5-F116-45E0-BE93-01B7707B629B}"/>
    <cellStyle name="Migliaia [0] 30 5 3" xfId="35732" xr:uid="{EE41D4CC-C35C-4AB7-BD2B-A9B194C39CF4}"/>
    <cellStyle name="Migliaia [0] 30 5 4" xfId="40848" xr:uid="{4E0192A6-12CA-4800-9287-66B6287EF48E}"/>
    <cellStyle name="Migliaia [0] 30 5 5" xfId="17101" xr:uid="{076212ED-6C32-47B2-AEE0-C6E420AA61A6}"/>
    <cellStyle name="Migliaia [0] 30 6" xfId="5918" xr:uid="{7E6FEEDE-5996-483C-83E5-0C955011CD39}"/>
    <cellStyle name="Migliaia [0] 30 6 2" xfId="38193" xr:uid="{0E3124A6-1D10-4909-81EE-7BB47910F83A}"/>
    <cellStyle name="Migliaia [0] 30 6 3" xfId="43495" xr:uid="{A1741E34-453D-4636-A17A-0031C4FFAFE5}"/>
    <cellStyle name="Migliaia [0] 30 6 4" xfId="32842" xr:uid="{5FE06882-E472-4C20-A8C3-F1D6AD448E5E}"/>
    <cellStyle name="Migliaia [0] 30 6 5" xfId="19612" xr:uid="{38AF2009-7B3A-4DC6-9837-D646C6AB7F48}"/>
    <cellStyle name="Migliaia [0] 30 7" xfId="2933" xr:uid="{4AA0737B-9994-46AB-9D4B-7064FB522518}"/>
    <cellStyle name="Migliaia [0] 30 7 2" xfId="35728" xr:uid="{15E4EC09-A531-478E-A728-79CAD33B3962}"/>
    <cellStyle name="Migliaia [0] 30 8" xfId="40844" xr:uid="{AA8EFCA9-0247-4E60-A301-FEAE9879C73B}"/>
    <cellStyle name="Migliaia [0] 30 9" xfId="7008" xr:uid="{92CBFB19-454A-4941-8A91-327E14248DB2}"/>
    <cellStyle name="Migliaia [0] 31" xfId="266" xr:uid="{00000000-0005-0000-0000-000035020000}"/>
    <cellStyle name="Migliaia [0] 31 2" xfId="1553" xr:uid="{00000000-0005-0000-0000-000036020000}"/>
    <cellStyle name="Migliaia [0] 31 2 2" xfId="1554" xr:uid="{00000000-0005-0000-0000-000037020000}"/>
    <cellStyle name="Migliaia [0] 31 2 2 2" xfId="4666" xr:uid="{73D297B1-DD28-4B85-97DB-59C2C34CADE6}"/>
    <cellStyle name="Migliaia [0] 31 2 2 2 2" xfId="21768" xr:uid="{352DDE01-65C4-4C28-9F65-66296339FBA3}"/>
    <cellStyle name="Migliaia [0] 31 2 2 2 3" xfId="46290" xr:uid="{EDF02F5A-21A1-4502-B8C4-C287D1B0088F}"/>
    <cellStyle name="Migliaia [0] 31 2 2 2 4" xfId="50796" xr:uid="{602DF8ED-BAF4-499B-9F58-C52AE16C597C}"/>
    <cellStyle name="Migliaia [0] 31 2 2 2 5" xfId="53812" xr:uid="{92865831-CECD-451A-BAA4-D03F44CFE025}"/>
    <cellStyle name="Migliaia [0] 31 2 2 2 6" xfId="11782" xr:uid="{ADCE9B43-7BF7-4E60-9662-F5AA6A8FF276}"/>
    <cellStyle name="Migliaia [0] 31 2 2 3" xfId="2940" xr:uid="{71DAA2E5-B087-405C-BACB-1EEA87E0731D}"/>
    <cellStyle name="Migliaia [0] 31 2 2 3 2" xfId="12344" xr:uid="{F81721D4-AB3A-40A4-BAB3-517D188EE085}"/>
    <cellStyle name="Migliaia [0] 31 2 2 4" xfId="10665" xr:uid="{4742EF7A-548D-4C2F-8BB1-15FAB111A936}"/>
    <cellStyle name="Migliaia [0] 31 2 2 4 2" xfId="21300" xr:uid="{5B28DCE8-97EB-4919-A491-3593E91CFC69}"/>
    <cellStyle name="Migliaia [0] 31 2 2 4 3" xfId="46179" xr:uid="{D2EEAC60-2094-4A6F-BF6A-27945E8BEA89}"/>
    <cellStyle name="Migliaia [0] 31 2 2 4 4" xfId="50315" xr:uid="{C19A67BA-1F2C-47EB-AA4A-67DBDB6F7D76}"/>
    <cellStyle name="Migliaia [0] 31 2 2 4 5" xfId="53331" xr:uid="{2E11D76A-81E6-4499-AAF8-D91D7579263E}"/>
    <cellStyle name="Migliaia [0] 31 2 2 5" xfId="19619" xr:uid="{51B075DB-9BDE-47B8-8673-76225E483E11}"/>
    <cellStyle name="Migliaia [0] 31 2 2 6" xfId="24064" xr:uid="{6BE85B58-DC12-4345-AB83-555389D95E04}"/>
    <cellStyle name="Migliaia [0] 31 2 2 7" xfId="48844" xr:uid="{B714C2C2-5D1E-45AB-BD98-77191DBA8039}"/>
    <cellStyle name="Migliaia [0] 31 2 2 8" xfId="49750" xr:uid="{CCA09F68-DBD3-4C23-85AC-8DDC977EC74C}"/>
    <cellStyle name="Migliaia [0] 31 2 2 9" xfId="8450" xr:uid="{923E60E1-C2A0-461B-8025-A251E931917F}"/>
    <cellStyle name="Migliaia [0] 31 2 3" xfId="4665" xr:uid="{BCA40F13-D55B-45EC-A425-8552D89676F5}"/>
    <cellStyle name="Migliaia [0] 31 2 3 2" xfId="32848" xr:uid="{6A6AB56C-6240-4C88-A2C0-B63ABB32939C}"/>
    <cellStyle name="Migliaia [0] 31 2 3 2 2" xfId="38199" xr:uid="{A999C9FA-6949-4CF8-9C38-D4ED92769152}"/>
    <cellStyle name="Migliaia [0] 31 2 3 2 3" xfId="43501" xr:uid="{7789EB79-29AD-4DEF-8A06-7AE978C2CF37}"/>
    <cellStyle name="Migliaia [0] 31 2 3 3" xfId="35734" xr:uid="{A33CE909-3D35-4940-AEE5-327F7A214E34}"/>
    <cellStyle name="Migliaia [0] 31 2 3 4" xfId="40850" xr:uid="{D3BB1D3C-1709-481F-BE84-A8DCBEB00A18}"/>
    <cellStyle name="Migliaia [0] 31 2 3 5" xfId="11783" xr:uid="{5534D4F4-ADF1-400E-9827-EF527561502F}"/>
    <cellStyle name="Migliaia [0] 31 2 4" xfId="5923" xr:uid="{B6731D77-6FDB-4EAE-B2C4-C789B063961D}"/>
    <cellStyle name="Migliaia [0] 31 2 4 2" xfId="19618" xr:uid="{95E4BC54-9AFD-4C37-951F-243BB5DEE330}"/>
    <cellStyle name="Migliaia [0] 31 2 5" xfId="2939" xr:uid="{A0DB600D-BCE2-4A51-BA53-A8AA1B9163EB}"/>
    <cellStyle name="Migliaia [0] 31 2 5 2" xfId="24063" xr:uid="{0EA745AD-1473-4358-B8E2-C1BB786C08F4}"/>
    <cellStyle name="Migliaia [0] 31 2 6" xfId="7260" xr:uid="{FDC8863B-50F4-4C34-ABA4-29E4B1833A26}"/>
    <cellStyle name="Migliaia [0] 31 3" xfId="1555" xr:uid="{00000000-0005-0000-0000-000038020000}"/>
    <cellStyle name="Migliaia [0] 31 3 2" xfId="4667" xr:uid="{314F0596-B7F1-4639-9105-178C7E997AC0}"/>
    <cellStyle name="Migliaia [0] 31 3 2 2" xfId="18325" xr:uid="{5DF0C772-C7C4-49B8-91A0-C68634EDBEC3}"/>
    <cellStyle name="Migliaia [0] 31 3 2 2 2" xfId="21769" xr:uid="{02F5C8C0-4879-43D4-B081-AFA8A0401D45}"/>
    <cellStyle name="Migliaia [0] 31 3 2 2 2 2" xfId="38200" xr:uid="{9E4B99C0-8D70-46A8-80D9-4AB208B0E819}"/>
    <cellStyle name="Migliaia [0] 31 3 2 2 3" xfId="43502" xr:uid="{D3A3F971-7B2D-46DB-8C7A-9E42D1B1DF51}"/>
    <cellStyle name="Migliaia [0] 31 3 2 2 4" xfId="32849" xr:uid="{04841E2C-FB31-4FF1-8050-59C2B5173C2F}"/>
    <cellStyle name="Migliaia [0] 31 3 2 3" xfId="35735" xr:uid="{B147F83F-B6DA-4736-A9BB-F65BBD6FEBE0}"/>
    <cellStyle name="Migliaia [0] 31 3 2 4" xfId="40851" xr:uid="{63F228DB-0F20-4E86-AF4A-896B2AF5A0C4}"/>
    <cellStyle name="Migliaia [0] 31 3 2 5" xfId="48557" xr:uid="{7F7ECBF6-AA7C-46F5-95F3-FF7E2A4A829F}"/>
    <cellStyle name="Migliaia [0] 31 3 2 6" xfId="50797" xr:uid="{46E9D2AF-DD11-45AC-AC94-E19C08DE62B6}"/>
    <cellStyle name="Migliaia [0] 31 3 2 7" xfId="53813" xr:uid="{F702CDC6-FEF8-4A70-B796-D4656C4F5C34}"/>
    <cellStyle name="Migliaia [0] 31 3 2 8" xfId="17601" xr:uid="{7490285A-83FC-4DB4-9E54-2FDC5B8BD0F8}"/>
    <cellStyle name="Migliaia [0] 31 3 2 9" xfId="11784" xr:uid="{C188903C-60CF-4808-A78C-8D1F4341FB9F}"/>
    <cellStyle name="Migliaia [0] 31 3 3" xfId="5924" xr:uid="{02A6340F-5517-4234-A0CB-06695AAA78C8}"/>
    <cellStyle name="Migliaia [0] 31 3 3 2" xfId="12379" xr:uid="{61A50E1B-5E29-4E7C-A202-582D2C28D31C}"/>
    <cellStyle name="Migliaia [0] 31 3 4" xfId="2941" xr:uid="{14A9C402-D71F-42F2-B6FA-280E05644509}"/>
    <cellStyle name="Migliaia [0] 31 3 4 2" xfId="21301" xr:uid="{DE0B1D5F-252A-45FC-A732-16E9F0B5E282}"/>
    <cellStyle name="Migliaia [0] 31 3 4 3" xfId="35982" xr:uid="{658A0B5C-8282-49D3-B4BB-275D3CE3A945}"/>
    <cellStyle name="Migliaia [0] 31 3 4 4" xfId="50316" xr:uid="{49E43932-9D3A-4FB1-9ADC-BB61D47DA37E}"/>
    <cellStyle name="Migliaia [0] 31 3 4 5" xfId="53332" xr:uid="{B3678A8D-7D4A-471E-992C-60BF3EE24826}"/>
    <cellStyle name="Migliaia [0] 31 3 4 6" xfId="10666" xr:uid="{E009159A-DA9F-4135-AE94-CCF0E2BE38DD}"/>
    <cellStyle name="Migliaia [0] 31 3 5" xfId="19620" xr:uid="{A23ADE11-C5EF-4541-94A1-66C7A220D310}"/>
    <cellStyle name="Migliaia [0] 31 3 6" xfId="24065" xr:uid="{B3061F0C-B1E8-4434-A8D3-0B8F38F0F973}"/>
    <cellStyle name="Migliaia [0] 31 3 7" xfId="8208" xr:uid="{4EF107D9-A68F-4EC6-A744-95A7239489B1}"/>
    <cellStyle name="Migliaia [0] 31 4" xfId="2942" xr:uid="{3839F042-9A7D-4118-9051-E0B4D3A1A06C}"/>
    <cellStyle name="Migliaia [0] 31 4 2" xfId="4668" xr:uid="{B2AA0C8C-7B52-4E46-BAFF-BD9221F3901C}"/>
    <cellStyle name="Migliaia [0] 31 4 2 2" xfId="35093" xr:uid="{0DE98C84-8FBC-4DBC-9ABC-0C97A901B553}"/>
    <cellStyle name="Migliaia [0] 31 4 2 2 2" xfId="40251" xr:uid="{94B04E7A-DD8A-4BC8-976D-A3F7EAE9F98B}"/>
    <cellStyle name="Migliaia [0] 31 4 2 2 3" xfId="45553" xr:uid="{9E55405F-FCCC-4215-89F8-1110CFE4C031}"/>
    <cellStyle name="Migliaia [0] 31 4 2 3" xfId="37600" xr:uid="{7F3AA99C-AE7A-46E2-87FA-B632BF3D66F4}"/>
    <cellStyle name="Migliaia [0] 31 4 2 4" xfId="42902" xr:uid="{7623FB2A-146A-4F4E-A1E5-1EF30A499F4A}"/>
    <cellStyle name="Migliaia [0] 31 4 2 5" xfId="17033" xr:uid="{DD19CD4B-08E2-44AF-B6CC-95216A23D32E}"/>
    <cellStyle name="Migliaia [0] 31 4 3" xfId="5925" xr:uid="{3068DFBA-C582-4F2A-979C-C938426C9AF5}"/>
    <cellStyle name="Migliaia [0] 31 4 3 2" xfId="38201" xr:uid="{1E481B2B-1E86-4416-9F3E-57BD1F30EE2D}"/>
    <cellStyle name="Migliaia [0] 31 4 3 3" xfId="43503" xr:uid="{798A2028-98BE-4F59-87C1-EB5A1609EFD1}"/>
    <cellStyle name="Migliaia [0] 31 4 3 4" xfId="32850" xr:uid="{1B3138CB-E7A0-4C55-BAEA-D9874BB723AB}"/>
    <cellStyle name="Migliaia [0] 31 4 3 5" xfId="19621" xr:uid="{36A4E2EF-FEE7-43EA-8E79-C7ABBB7165A1}"/>
    <cellStyle name="Migliaia [0] 31 4 4" xfId="35736" xr:uid="{B95279C6-87EB-4302-ADAA-BD4535B14096}"/>
    <cellStyle name="Migliaia [0] 31 4 5" xfId="40852" xr:uid="{8A6223D7-8D7C-4D90-9AFB-21932E8B1281}"/>
    <cellStyle name="Migliaia [0] 31 4 6" xfId="15975" xr:uid="{974A0657-7CCC-454B-814D-0F15ECC6CA25}"/>
    <cellStyle name="Migliaia [0] 31 4 7" xfId="7788" xr:uid="{200C32A4-B4AD-4489-9B27-A48172310ED5}"/>
    <cellStyle name="Migliaia [0] 31 5" xfId="4664" xr:uid="{EB7C0013-5998-4FB0-B3CC-21574095610C}"/>
    <cellStyle name="Migliaia [0] 31 5 2" xfId="32851" xr:uid="{DCCB340B-33B8-43F7-8986-11486C92BF46}"/>
    <cellStyle name="Migliaia [0] 31 5 2 2" xfId="38202" xr:uid="{DDEBEBF5-5A76-436D-A32A-08F804F1D7E8}"/>
    <cellStyle name="Migliaia [0] 31 5 2 3" xfId="43504" xr:uid="{7D478FCD-E886-4412-9005-A0C6EBA05B01}"/>
    <cellStyle name="Migliaia [0] 31 5 3" xfId="35737" xr:uid="{E666531D-99D3-49E3-90CE-1C2F8C15BBE4}"/>
    <cellStyle name="Migliaia [0] 31 5 4" xfId="40853" xr:uid="{320E1226-EF35-45F3-A10C-41B63B7FA8A5}"/>
    <cellStyle name="Migliaia [0] 31 5 5" xfId="17102" xr:uid="{7179207D-2A5A-4A18-946E-CE7829ECA2AC}"/>
    <cellStyle name="Migliaia [0] 31 6" xfId="5922" xr:uid="{AE5EBDED-FEB3-41ED-933C-BE5034FECF3B}"/>
    <cellStyle name="Migliaia [0] 31 6 2" xfId="38198" xr:uid="{6477D541-0B76-493C-AD1B-FF3900E833CB}"/>
    <cellStyle name="Migliaia [0] 31 6 3" xfId="43500" xr:uid="{1E631CD0-6A3D-4851-940A-9E0E9DAD25A5}"/>
    <cellStyle name="Migliaia [0] 31 6 4" xfId="32847" xr:uid="{D89E7372-AA3A-4C42-8ABA-1D04623BADE6}"/>
    <cellStyle name="Migliaia [0] 31 6 5" xfId="19617" xr:uid="{9B9717B8-3866-4DA4-8BB4-C4327227242E}"/>
    <cellStyle name="Migliaia [0] 31 7" xfId="2938" xr:uid="{2BAA86AA-A204-4395-A5A1-6692B7CF6EBC}"/>
    <cellStyle name="Migliaia [0] 31 7 2" xfId="35733" xr:uid="{77FFA546-5860-4F0E-9B1E-9A353A644FB2}"/>
    <cellStyle name="Migliaia [0] 31 8" xfId="40849" xr:uid="{A0162A37-DE22-4974-A6F4-2A075B8F9827}"/>
    <cellStyle name="Migliaia [0] 31 9" xfId="7009" xr:uid="{7EA32162-0713-4F1B-8C44-E98D32DEAECE}"/>
    <cellStyle name="Migliaia [0] 32" xfId="267" xr:uid="{00000000-0005-0000-0000-000039020000}"/>
    <cellStyle name="Migliaia [0] 32 2" xfId="1556" xr:uid="{00000000-0005-0000-0000-00003A020000}"/>
    <cellStyle name="Migliaia [0] 32 2 2" xfId="1557" xr:uid="{00000000-0005-0000-0000-00003B020000}"/>
    <cellStyle name="Migliaia [0] 32 2 2 2" xfId="4671" xr:uid="{1005C7E0-A938-45CD-A698-13579BA49C39}"/>
    <cellStyle name="Migliaia [0] 32 2 2 2 2" xfId="21770" xr:uid="{66BA5ABA-5083-484B-BB7A-52AD247712E0}"/>
    <cellStyle name="Migliaia [0] 32 2 2 2 3" xfId="46740" xr:uid="{DA9EA5A1-FC83-40F9-B161-6954994107D6}"/>
    <cellStyle name="Migliaia [0] 32 2 2 2 4" xfId="50798" xr:uid="{EAB0A063-47F4-46CC-9ECC-DB1EE6179729}"/>
    <cellStyle name="Migliaia [0] 32 2 2 2 5" xfId="53814" xr:uid="{BD3B41C0-E4AA-40F5-BE0E-CFC25E391149}"/>
    <cellStyle name="Migliaia [0] 32 2 2 2 6" xfId="11785" xr:uid="{C9225180-58FF-4BDE-8F99-808296AFAB70}"/>
    <cellStyle name="Migliaia [0] 32 2 2 3" xfId="2945" xr:uid="{D2D2D179-0937-4749-8400-10FABC9544FC}"/>
    <cellStyle name="Migliaia [0] 32 2 2 3 2" xfId="12343" xr:uid="{0CE2EF17-50A0-40E7-89CD-14B7E040DAEF}"/>
    <cellStyle name="Migliaia [0] 32 2 2 4" xfId="10667" xr:uid="{E037436F-5A36-44D4-A2ED-96E734D8AC02}"/>
    <cellStyle name="Migliaia [0] 32 2 2 4 2" xfId="21302" xr:uid="{6A37AB6A-993E-4B3F-9D6A-583C85356CD2}"/>
    <cellStyle name="Migliaia [0] 32 2 2 4 3" xfId="46180" xr:uid="{91E2DFE7-7D72-4F7B-A426-583A9F1DF4C3}"/>
    <cellStyle name="Migliaia [0] 32 2 2 4 4" xfId="50317" xr:uid="{4B9FEF31-0C00-40C2-993D-D80DA8858B2E}"/>
    <cellStyle name="Migliaia [0] 32 2 2 4 5" xfId="53333" xr:uid="{AE033EC3-FB9C-4AB3-BAAF-E27FAC75661D}"/>
    <cellStyle name="Migliaia [0] 32 2 2 5" xfId="19624" xr:uid="{4E607E30-F669-4806-AC48-30130C8654F5}"/>
    <cellStyle name="Migliaia [0] 32 2 2 6" xfId="24067" xr:uid="{F368D0F7-6B42-4861-A1BD-A32555DEEF83}"/>
    <cellStyle name="Migliaia [0] 32 2 2 7" xfId="48845" xr:uid="{525CD81D-FC00-4834-B711-DA1C94AFFD4E}"/>
    <cellStyle name="Migliaia [0] 32 2 2 8" xfId="49751" xr:uid="{F928573E-7B9F-4236-98AC-4287E93E2200}"/>
    <cellStyle name="Migliaia [0] 32 2 2 9" xfId="8451" xr:uid="{1345926D-63A7-4F1D-886F-4A58B0ED4AA9}"/>
    <cellStyle name="Migliaia [0] 32 2 3" xfId="4670" xr:uid="{85AAD99F-226D-408C-9246-BE0A6B4DA960}"/>
    <cellStyle name="Migliaia [0] 32 2 3 2" xfId="32853" xr:uid="{DC450124-510A-4FD3-8BE8-6BC6E0F2F145}"/>
    <cellStyle name="Migliaia [0] 32 2 3 2 2" xfId="38204" xr:uid="{657A1A1C-F441-4FD6-9A7C-8034CCD24284}"/>
    <cellStyle name="Migliaia [0] 32 2 3 2 3" xfId="43506" xr:uid="{D711FB17-C578-4372-8CD1-B72D3627789D}"/>
    <cellStyle name="Migliaia [0] 32 2 3 3" xfId="35739" xr:uid="{147827AC-C448-4053-88FE-1EAB3AFF072E}"/>
    <cellStyle name="Migliaia [0] 32 2 3 4" xfId="40855" xr:uid="{6FD0597A-0680-4E18-B79D-72885C9BF355}"/>
    <cellStyle name="Migliaia [0] 32 2 3 5" xfId="11786" xr:uid="{1E1D5C7D-9737-40A7-A504-1FED26802BDC}"/>
    <cellStyle name="Migliaia [0] 32 2 4" xfId="5927" xr:uid="{49AEF9B9-14C8-4D99-BC45-01A17843A67E}"/>
    <cellStyle name="Migliaia [0] 32 2 4 2" xfId="19623" xr:uid="{5E23C3C4-2359-4C23-B461-AC80CDE40244}"/>
    <cellStyle name="Migliaia [0] 32 2 5" xfId="2944" xr:uid="{F5D5C489-CA41-48CF-B58C-64293BC034FB}"/>
    <cellStyle name="Migliaia [0] 32 2 5 2" xfId="24066" xr:uid="{57DE9E22-6009-424D-AB8D-4DEBCAE3E97F}"/>
    <cellStyle name="Migliaia [0] 32 2 6" xfId="7261" xr:uid="{101B4C4B-C60E-47ED-A9AB-B47DE6F4D5F6}"/>
    <cellStyle name="Migliaia [0] 32 3" xfId="1558" xr:uid="{00000000-0005-0000-0000-00003C020000}"/>
    <cellStyle name="Migliaia [0] 32 3 2" xfId="4672" xr:uid="{8F8A21BF-D9E9-4BC7-B09B-429E9848DB03}"/>
    <cellStyle name="Migliaia [0] 32 3 2 2" xfId="18326" xr:uid="{751C1826-EEF6-40EA-BB9A-F6E33A1AF230}"/>
    <cellStyle name="Migliaia [0] 32 3 2 2 2" xfId="21771" xr:uid="{B963F846-9822-4F7F-9B6D-5DDA4065412D}"/>
    <cellStyle name="Migliaia [0] 32 3 2 2 2 2" xfId="38205" xr:uid="{741972E9-1031-4837-854D-F0E5E4CDD113}"/>
    <cellStyle name="Migliaia [0] 32 3 2 2 3" xfId="43507" xr:uid="{0958C02C-0A1D-44FE-8EA9-A99915343776}"/>
    <cellStyle name="Migliaia [0] 32 3 2 2 4" xfId="32854" xr:uid="{CF390375-1C52-4E35-9B72-24701DA15A71}"/>
    <cellStyle name="Migliaia [0] 32 3 2 3" xfId="35740" xr:uid="{D4E7ABA7-07E3-4EA6-8089-8E0978264174}"/>
    <cellStyle name="Migliaia [0] 32 3 2 4" xfId="40856" xr:uid="{898BEFBD-ED20-4F56-B2FA-C689815009CD}"/>
    <cellStyle name="Migliaia [0] 32 3 2 5" xfId="48190" xr:uid="{299BBBDC-96FE-4D84-90FF-43986BB4E645}"/>
    <cellStyle name="Migliaia [0] 32 3 2 6" xfId="50799" xr:uid="{EFCC3845-86BD-4C69-9E7B-F910E5153C48}"/>
    <cellStyle name="Migliaia [0] 32 3 2 7" xfId="53815" xr:uid="{79CA9948-9D9F-4BCE-8A2E-1215E5C1DB0E}"/>
    <cellStyle name="Migliaia [0] 32 3 2 8" xfId="17602" xr:uid="{B8397218-A95E-483C-9498-5C8508DA45DF}"/>
    <cellStyle name="Migliaia [0] 32 3 2 9" xfId="11787" xr:uid="{3344A61D-BFDA-4928-AE64-374C7FF141F5}"/>
    <cellStyle name="Migliaia [0] 32 3 3" xfId="5928" xr:uid="{203BF6F2-3160-4600-9135-520B7AFA6E04}"/>
    <cellStyle name="Migliaia [0] 32 3 3 2" xfId="12378" xr:uid="{1745BFFE-3529-4F15-B825-53E99B21476A}"/>
    <cellStyle name="Migliaia [0] 32 3 4" xfId="2946" xr:uid="{59AF3253-2581-40AA-B0E7-253D215ECA7B}"/>
    <cellStyle name="Migliaia [0] 32 3 4 2" xfId="21303" xr:uid="{FF341FAF-65CB-4FBA-874B-EC3EAD5ACF7B}"/>
    <cellStyle name="Migliaia [0] 32 3 4 3" xfId="47298" xr:uid="{6CCDF351-C34C-4730-A5E9-D33437964E4E}"/>
    <cellStyle name="Migliaia [0] 32 3 4 4" xfId="50318" xr:uid="{41F7EEE2-1A1A-460A-B06C-3541703072AB}"/>
    <cellStyle name="Migliaia [0] 32 3 4 5" xfId="53334" xr:uid="{884B2598-2D08-48D1-B7A8-1B125E9B5A2C}"/>
    <cellStyle name="Migliaia [0] 32 3 4 6" xfId="10668" xr:uid="{1E71E94B-A109-4B7C-80E1-9E2AC8E47142}"/>
    <cellStyle name="Migliaia [0] 32 3 5" xfId="19625" xr:uid="{583E8E94-7FAC-4E40-9C7B-778114FB92DE}"/>
    <cellStyle name="Migliaia [0] 32 3 6" xfId="24068" xr:uid="{951BF17E-911C-43E0-AB44-E18EDA5A73B4}"/>
    <cellStyle name="Migliaia [0] 32 3 7" xfId="8209" xr:uid="{381958AA-6F02-4A01-9632-BF4E1920B2E9}"/>
    <cellStyle name="Migliaia [0] 32 4" xfId="2947" xr:uid="{F143B702-5802-4EB8-8EFA-AF08CA33EB8B}"/>
    <cellStyle name="Migliaia [0] 32 4 2" xfId="4673" xr:uid="{048BC5CD-09AC-495A-9BD9-E29241CEFF1F}"/>
    <cellStyle name="Migliaia [0] 32 4 2 2" xfId="35094" xr:uid="{6DB4A716-44DE-4784-96CD-E32B5EC681CF}"/>
    <cellStyle name="Migliaia [0] 32 4 2 2 2" xfId="40252" xr:uid="{391A8708-06ED-4FF5-B0E2-FE1E2E500070}"/>
    <cellStyle name="Migliaia [0] 32 4 2 2 3" xfId="45554" xr:uid="{B0771075-7216-4D2D-AACA-BB652BA2A361}"/>
    <cellStyle name="Migliaia [0] 32 4 2 3" xfId="37601" xr:uid="{974C33B3-2BBC-4397-8DA2-34E384732242}"/>
    <cellStyle name="Migliaia [0] 32 4 2 4" xfId="42903" xr:uid="{ECF0CBE7-7E38-4E2A-890A-888773724DF6}"/>
    <cellStyle name="Migliaia [0] 32 4 2 5" xfId="17034" xr:uid="{329B573E-1741-4FAB-B570-6C380A18BCA2}"/>
    <cellStyle name="Migliaia [0] 32 4 3" xfId="5929" xr:uid="{29A75D47-6E1C-438C-92F6-053EEAE3EF58}"/>
    <cellStyle name="Migliaia [0] 32 4 3 2" xfId="38206" xr:uid="{26131EA8-1679-4F45-B616-2EC8D1EC6350}"/>
    <cellStyle name="Migliaia [0] 32 4 3 3" xfId="43508" xr:uid="{C5ED38B0-0F0C-4B71-A999-0831121E2513}"/>
    <cellStyle name="Migliaia [0] 32 4 3 4" xfId="32855" xr:uid="{60F780E7-79F9-4B62-9210-D8368DC003C0}"/>
    <cellStyle name="Migliaia [0] 32 4 3 5" xfId="19626" xr:uid="{2D3FD2ED-29A2-4D32-92CA-677BBC3084E6}"/>
    <cellStyle name="Migliaia [0] 32 4 4" xfId="35741" xr:uid="{D2E0FBC5-F527-44A8-8793-C84916B41887}"/>
    <cellStyle name="Migliaia [0] 32 4 5" xfId="40857" xr:uid="{C575B569-4FFA-46C7-88E6-7BA7E35164B1}"/>
    <cellStyle name="Migliaia [0] 32 4 6" xfId="15976" xr:uid="{AE585A8C-BA21-4081-8598-7B620605A730}"/>
    <cellStyle name="Migliaia [0] 32 4 7" xfId="7789" xr:uid="{C9D03FD4-19DB-44B1-B69D-C2F45D5A4E9B}"/>
    <cellStyle name="Migliaia [0] 32 5" xfId="4669" xr:uid="{8677202E-9F96-418F-8858-BF3D262D5382}"/>
    <cellStyle name="Migliaia [0] 32 5 2" xfId="32856" xr:uid="{DBD1E684-E888-4228-8583-02ABF26724A1}"/>
    <cellStyle name="Migliaia [0] 32 5 2 2" xfId="38207" xr:uid="{E12DD36E-56D4-4E2C-A435-291C0B081CAF}"/>
    <cellStyle name="Migliaia [0] 32 5 2 3" xfId="43509" xr:uid="{7E086F83-4399-4AD8-B07C-8D17FB8116C6}"/>
    <cellStyle name="Migliaia [0] 32 5 3" xfId="35742" xr:uid="{89913B90-02AF-4CB0-8856-17DF8F2D6CC3}"/>
    <cellStyle name="Migliaia [0] 32 5 4" xfId="40858" xr:uid="{B0C7735B-8075-4152-A230-7D891996515D}"/>
    <cellStyle name="Migliaia [0] 32 5 5" xfId="17103" xr:uid="{36EAF589-B74A-49E9-A40A-E5AE5BF38B1A}"/>
    <cellStyle name="Migliaia [0] 32 6" xfId="5926" xr:uid="{F158F378-C173-413E-A9D3-2F751717D91F}"/>
    <cellStyle name="Migliaia [0] 32 6 2" xfId="38203" xr:uid="{243747A7-72D3-42E8-87B0-017568BC7A35}"/>
    <cellStyle name="Migliaia [0] 32 6 3" xfId="43505" xr:uid="{EB75A24A-AA90-4138-804B-6E1F06B8BC27}"/>
    <cellStyle name="Migliaia [0] 32 6 4" xfId="32852" xr:uid="{28D97215-8961-46BF-ACC0-F89936011E01}"/>
    <cellStyle name="Migliaia [0] 32 6 5" xfId="19622" xr:uid="{58201A5F-854D-41CD-8BE7-C6F4FBED0266}"/>
    <cellStyle name="Migliaia [0] 32 7" xfId="2943" xr:uid="{36E9E9C4-91DB-42BE-8B7F-790411F9D8FE}"/>
    <cellStyle name="Migliaia [0] 32 7 2" xfId="35738" xr:uid="{F7843289-FE18-4830-892F-DA854A16A3B1}"/>
    <cellStyle name="Migliaia [0] 32 8" xfId="40854" xr:uid="{E0114A2A-57B9-484B-B90D-2E99D1B1CEB0}"/>
    <cellStyle name="Migliaia [0] 32 9" xfId="7010" xr:uid="{DE4DC30A-8456-437D-8F66-F9F6CB6A276D}"/>
    <cellStyle name="Migliaia [0] 33" xfId="268" xr:uid="{00000000-0005-0000-0000-00003D020000}"/>
    <cellStyle name="Migliaia [0] 33 2" xfId="1559" xr:uid="{00000000-0005-0000-0000-00003E020000}"/>
    <cellStyle name="Migliaia [0] 33 2 2" xfId="1560" xr:uid="{00000000-0005-0000-0000-00003F020000}"/>
    <cellStyle name="Migliaia [0] 33 2 2 2" xfId="4676" xr:uid="{15D40228-1DA1-4E2C-B7AB-FCD7DB38128B}"/>
    <cellStyle name="Migliaia [0] 33 2 2 2 2" xfId="21772" xr:uid="{EC3B5C7D-E413-461F-A84D-A4E523B367C6}"/>
    <cellStyle name="Migliaia [0] 33 2 2 2 3" xfId="46291" xr:uid="{F5F446F7-172F-44B5-A94C-C57EE310F157}"/>
    <cellStyle name="Migliaia [0] 33 2 2 2 4" xfId="50800" xr:uid="{C81FA300-E7BC-4211-9D08-90E51DCD241A}"/>
    <cellStyle name="Migliaia [0] 33 2 2 2 5" xfId="53816" xr:uid="{B3EF3B39-5E3A-4BAB-A935-FA3F96D6D2E9}"/>
    <cellStyle name="Migliaia [0] 33 2 2 2 6" xfId="11788" xr:uid="{A531520E-CB51-45D1-99A2-BFCAF5D5BF91}"/>
    <cellStyle name="Migliaia [0] 33 2 2 3" xfId="2950" xr:uid="{018E12C9-9B8F-44EE-A956-0B11ED6F3C71}"/>
    <cellStyle name="Migliaia [0] 33 2 2 3 2" xfId="12183" xr:uid="{FD54925A-60B4-40D6-93AC-14195CE47D57}"/>
    <cellStyle name="Migliaia [0] 33 2 2 4" xfId="10669" xr:uid="{F69413D5-F1A5-45C6-AF97-2CD5E322EAC9}"/>
    <cellStyle name="Migliaia [0] 33 2 2 4 2" xfId="21304" xr:uid="{7AEA3EE1-1A44-4A6B-A05F-40EFECEF9F52}"/>
    <cellStyle name="Migliaia [0] 33 2 2 4 3" xfId="46181" xr:uid="{B155D6D4-9D8F-4567-BE2B-C97EEE2EECF8}"/>
    <cellStyle name="Migliaia [0] 33 2 2 4 4" xfId="50319" xr:uid="{1171CA1D-D6D4-4179-8845-41B8F42A4D10}"/>
    <cellStyle name="Migliaia [0] 33 2 2 4 5" xfId="53335" xr:uid="{6F3309AC-2F75-41AC-B86B-ED6B868B06CE}"/>
    <cellStyle name="Migliaia [0] 33 2 2 5" xfId="19629" xr:uid="{4221452A-7D83-457D-A7CC-ECAF18A22E1F}"/>
    <cellStyle name="Migliaia [0] 33 2 2 6" xfId="24070" xr:uid="{F1CB56F4-CAD5-4324-8EB0-E174983B061F}"/>
    <cellStyle name="Migliaia [0] 33 2 2 7" xfId="48846" xr:uid="{B5BD45AD-B3FE-4F67-8E09-04FB6AA4CB0D}"/>
    <cellStyle name="Migliaia [0] 33 2 2 8" xfId="49752" xr:uid="{0F56B419-E092-47F5-8E9C-6297A53C4972}"/>
    <cellStyle name="Migliaia [0] 33 2 2 9" xfId="8452" xr:uid="{9AAF862B-5B60-4A7F-AE09-1FF6A79B93CC}"/>
    <cellStyle name="Migliaia [0] 33 2 3" xfId="4675" xr:uid="{0FD8C634-A8FD-402F-9F65-109946CA0E4C}"/>
    <cellStyle name="Migliaia [0] 33 2 3 2" xfId="32858" xr:uid="{3BE31EF3-7834-42A0-97CB-2C899F283E2A}"/>
    <cellStyle name="Migliaia [0] 33 2 3 2 2" xfId="38209" xr:uid="{C58B9335-668A-41D6-A2F8-A3B39C739589}"/>
    <cellStyle name="Migliaia [0] 33 2 3 2 3" xfId="43511" xr:uid="{2AAF7AEA-A6EC-49A8-9963-7402F8A9E7D9}"/>
    <cellStyle name="Migliaia [0] 33 2 3 3" xfId="35744" xr:uid="{2F9FB1C4-C4F1-4003-BA90-B69B8AD64E0B}"/>
    <cellStyle name="Migliaia [0] 33 2 3 4" xfId="40860" xr:uid="{903C9817-0714-416C-850A-1F6D8B20FB0F}"/>
    <cellStyle name="Migliaia [0] 33 2 3 5" xfId="11789" xr:uid="{29A772FA-BCF6-45F6-88CD-366F306A7583}"/>
    <cellStyle name="Migliaia [0] 33 2 4" xfId="5931" xr:uid="{7E7FB5AA-8182-4996-9514-F5EAB5C1798D}"/>
    <cellStyle name="Migliaia [0] 33 2 4 2" xfId="19628" xr:uid="{6065CC9E-FE4A-46AE-B74A-2915FD8BFAB2}"/>
    <cellStyle name="Migliaia [0] 33 2 5" xfId="2949" xr:uid="{BE96D273-447D-4A3E-89E8-AA105D8E8E37}"/>
    <cellStyle name="Migliaia [0] 33 2 5 2" xfId="24069" xr:uid="{5ABD21A8-E8E2-4153-9644-85CA401753DE}"/>
    <cellStyle name="Migliaia [0] 33 2 6" xfId="7262" xr:uid="{DA2208A8-5EF6-4132-BD77-BCAF6BBA7CC5}"/>
    <cellStyle name="Migliaia [0] 33 3" xfId="1561" xr:uid="{00000000-0005-0000-0000-000040020000}"/>
    <cellStyle name="Migliaia [0] 33 3 2" xfId="4677" xr:uid="{2C06F578-29E6-4F23-AB9C-BCFD50C3984B}"/>
    <cellStyle name="Migliaia [0] 33 3 2 2" xfId="18327" xr:uid="{17FE610D-3B3A-4E64-A040-4D19D30ED0FA}"/>
    <cellStyle name="Migliaia [0] 33 3 2 2 2" xfId="21773" xr:uid="{1581AD44-1A73-411C-B786-6E94EB4198C9}"/>
    <cellStyle name="Migliaia [0] 33 3 2 2 2 2" xfId="38210" xr:uid="{EEB53ECF-DBFF-4AE5-BCF6-42A974F24E6D}"/>
    <cellStyle name="Migliaia [0] 33 3 2 2 3" xfId="43512" xr:uid="{A7143729-E6A5-4D6B-9C29-8D32F09FDD48}"/>
    <cellStyle name="Migliaia [0] 33 3 2 2 4" xfId="32859" xr:uid="{C38D9955-96A6-487D-9EAD-83DEB9176AAC}"/>
    <cellStyle name="Migliaia [0] 33 3 2 3" xfId="35745" xr:uid="{4EF3CB34-A5BF-4F97-B255-013736103727}"/>
    <cellStyle name="Migliaia [0] 33 3 2 4" xfId="40861" xr:uid="{5E185B6A-EF61-4436-AAAC-CC1B80B9B42E}"/>
    <cellStyle name="Migliaia [0] 33 3 2 5" xfId="47691" xr:uid="{AEF4F174-DB6D-48CA-ADDC-C972AC649A4C}"/>
    <cellStyle name="Migliaia [0] 33 3 2 6" xfId="50801" xr:uid="{F77AFF3C-2859-4666-8460-EB19B3724FB1}"/>
    <cellStyle name="Migliaia [0] 33 3 2 7" xfId="53817" xr:uid="{0665C71E-98B6-42DF-9FEF-C5B5222E5E36}"/>
    <cellStyle name="Migliaia [0] 33 3 2 8" xfId="17603" xr:uid="{3FAF3595-BB53-4B97-98BE-CA8BF0C4F21F}"/>
    <cellStyle name="Migliaia [0] 33 3 2 9" xfId="11790" xr:uid="{BF5D79D5-4171-47A6-932C-403121D455A5}"/>
    <cellStyle name="Migliaia [0] 33 3 3" xfId="5932" xr:uid="{946FBB9D-EE58-4071-897D-FCD9CC776485}"/>
    <cellStyle name="Migliaia [0] 33 3 3 2" xfId="11667" xr:uid="{3B54BA75-50EE-428A-BDBB-A218C98715C2}"/>
    <cellStyle name="Migliaia [0] 33 3 4" xfId="2951" xr:uid="{CE510637-AA1E-45AD-B855-1F5020F29F59}"/>
    <cellStyle name="Migliaia [0] 33 3 4 2" xfId="21305" xr:uid="{C1F0DEBC-4D37-436D-8A0C-DB42FB4238B7}"/>
    <cellStyle name="Migliaia [0] 33 3 4 3" xfId="47891" xr:uid="{40500F79-9038-4169-A29F-085C3F1B2DF3}"/>
    <cellStyle name="Migliaia [0] 33 3 4 4" xfId="50320" xr:uid="{5D262A3C-EB82-4AAB-BD38-F2546EFA69F9}"/>
    <cellStyle name="Migliaia [0] 33 3 4 5" xfId="53336" xr:uid="{9E95CFBF-5616-4875-9D5D-32B266339B25}"/>
    <cellStyle name="Migliaia [0] 33 3 4 6" xfId="10670" xr:uid="{3F8A68C8-1811-4C66-97BC-6E9091BA1832}"/>
    <cellStyle name="Migliaia [0] 33 3 5" xfId="19630" xr:uid="{02A82DB5-E5B6-4F9A-A2AA-B2547A0E4B35}"/>
    <cellStyle name="Migliaia [0] 33 3 6" xfId="24071" xr:uid="{4C0A15C0-B7AA-410F-8AFE-C6B39D05D56B}"/>
    <cellStyle name="Migliaia [0] 33 3 7" xfId="8210" xr:uid="{B80138AA-ECD0-40C6-98CC-C42671A03DE0}"/>
    <cellStyle name="Migliaia [0] 33 4" xfId="2952" xr:uid="{AA339ADB-DB1E-4C24-B771-509C43021060}"/>
    <cellStyle name="Migliaia [0] 33 4 2" xfId="4678" xr:uid="{FBD288A8-E746-479B-9FE8-81B179FEB5C8}"/>
    <cellStyle name="Migliaia [0] 33 4 2 2" xfId="35095" xr:uid="{814DDE91-2AAD-43B9-BECF-DD6E56F97828}"/>
    <cellStyle name="Migliaia [0] 33 4 2 2 2" xfId="40253" xr:uid="{F3DB31B6-D8D9-454F-A1DC-01C4F5BFACA4}"/>
    <cellStyle name="Migliaia [0] 33 4 2 2 3" xfId="45555" xr:uid="{3409E196-BAD2-4188-8069-F57268C858AA}"/>
    <cellStyle name="Migliaia [0] 33 4 2 3" xfId="37602" xr:uid="{E1D9A119-D6C1-48B3-8122-6791421D52B0}"/>
    <cellStyle name="Migliaia [0] 33 4 2 4" xfId="42904" xr:uid="{4586813C-85DF-4A7F-8E05-3CB622E4D50E}"/>
    <cellStyle name="Migliaia [0] 33 4 2 5" xfId="17035" xr:uid="{CC3A1FF4-91EF-4189-A27C-FD5297B4FA32}"/>
    <cellStyle name="Migliaia [0] 33 4 3" xfId="5933" xr:uid="{D3C214DE-38CE-4BDF-8AFB-3E945A7DC5B0}"/>
    <cellStyle name="Migliaia [0] 33 4 3 2" xfId="38211" xr:uid="{311DBADA-FA45-4481-A158-B9E0DF62ADCE}"/>
    <cellStyle name="Migliaia [0] 33 4 3 3" xfId="43513" xr:uid="{1914AD7D-F79D-4283-ACB5-697120438A47}"/>
    <cellStyle name="Migliaia [0] 33 4 3 4" xfId="32860" xr:uid="{9BBF08F4-6880-4507-AEA4-A34BBC40EDFB}"/>
    <cellStyle name="Migliaia [0] 33 4 3 5" xfId="19631" xr:uid="{8F3300C9-BD62-4636-8DD5-E10958A3E6B6}"/>
    <cellStyle name="Migliaia [0] 33 4 4" xfId="35746" xr:uid="{39A6BD9C-2636-4990-A45A-B9083775DFEF}"/>
    <cellStyle name="Migliaia [0] 33 4 5" xfId="40862" xr:uid="{73E0484C-6D81-4E11-80DE-500442384C4B}"/>
    <cellStyle name="Migliaia [0] 33 4 6" xfId="15977" xr:uid="{1441091D-C4CC-4E32-884D-E72E3C8AAE0A}"/>
    <cellStyle name="Migliaia [0] 33 4 7" xfId="7790" xr:uid="{388B5BC7-9AFB-4A5E-BDFB-A70B7A78371B}"/>
    <cellStyle name="Migliaia [0] 33 5" xfId="4674" xr:uid="{9951621B-F5C1-43CA-B4A6-76CAF44F740C}"/>
    <cellStyle name="Migliaia [0] 33 5 2" xfId="32861" xr:uid="{5D5AD196-1674-4C6E-BECA-B1BC2870B061}"/>
    <cellStyle name="Migliaia [0] 33 5 2 2" xfId="38212" xr:uid="{5715D697-A04D-4D34-A996-3AC74E1EEE38}"/>
    <cellStyle name="Migliaia [0] 33 5 2 3" xfId="43514" xr:uid="{03EC5382-9D11-443A-BFD4-C0EAD6ABBDF0}"/>
    <cellStyle name="Migliaia [0] 33 5 3" xfId="35747" xr:uid="{3DC033D7-A8DA-45A3-9C72-5567C578387B}"/>
    <cellStyle name="Migliaia [0] 33 5 4" xfId="40863" xr:uid="{30F6586C-2713-4DCD-BE8D-4B1E0678D441}"/>
    <cellStyle name="Migliaia [0] 33 5 5" xfId="17104" xr:uid="{69BB43EE-84B1-44E7-ACBF-27355039C4C9}"/>
    <cellStyle name="Migliaia [0] 33 6" xfId="5930" xr:uid="{02928B65-5B48-4FE2-9AA0-54514100CEC4}"/>
    <cellStyle name="Migliaia [0] 33 6 2" xfId="38208" xr:uid="{411D687F-FC92-4C83-AB8F-831F5FF393E3}"/>
    <cellStyle name="Migliaia [0] 33 6 3" xfId="43510" xr:uid="{BF62CE32-C396-4E35-88B2-71512CFFB798}"/>
    <cellStyle name="Migliaia [0] 33 6 4" xfId="32857" xr:uid="{57D147D3-7634-4333-A21F-817627DB3735}"/>
    <cellStyle name="Migliaia [0] 33 6 5" xfId="19627" xr:uid="{C7FB44F3-C0D9-49F5-B70F-F9AAC5ACCF52}"/>
    <cellStyle name="Migliaia [0] 33 7" xfId="2948" xr:uid="{5D9E1CE4-F37B-46B0-9EED-3869F330FC67}"/>
    <cellStyle name="Migliaia [0] 33 7 2" xfId="35743" xr:uid="{49D13188-50D1-4389-8FEA-B8C6C75E098C}"/>
    <cellStyle name="Migliaia [0] 33 8" xfId="40859" xr:uid="{69E0EC73-BABE-4244-A7BB-D6E1B165D437}"/>
    <cellStyle name="Migliaia [0] 33 9" xfId="7011" xr:uid="{DA0A67DC-32D0-465A-BBE6-CDFEA039CCC5}"/>
    <cellStyle name="Migliaia [0] 34" xfId="269" xr:uid="{00000000-0005-0000-0000-000041020000}"/>
    <cellStyle name="Migliaia [0] 34 2" xfId="1562" xr:uid="{00000000-0005-0000-0000-000042020000}"/>
    <cellStyle name="Migliaia [0] 34 2 2" xfId="1563" xr:uid="{00000000-0005-0000-0000-000043020000}"/>
    <cellStyle name="Migliaia [0] 34 2 2 2" xfId="4681" xr:uid="{7FF47654-05F1-4BC2-9C03-5183BEC807B1}"/>
    <cellStyle name="Migliaia [0] 34 2 2 2 2" xfId="21774" xr:uid="{6699BC42-621D-42C9-B33F-CF0AF12F9AA3}"/>
    <cellStyle name="Migliaia [0] 34 2 2 2 3" xfId="46741" xr:uid="{F2F1D9E5-B877-43C6-810B-4EEBC55BB563}"/>
    <cellStyle name="Migliaia [0] 34 2 2 2 4" xfId="50802" xr:uid="{09B27843-F434-42CF-B2EE-F62771C49808}"/>
    <cellStyle name="Migliaia [0] 34 2 2 2 5" xfId="53818" xr:uid="{C4A5DDB4-5E33-4F82-8719-A704BD15126F}"/>
    <cellStyle name="Migliaia [0] 34 2 2 2 6" xfId="11791" xr:uid="{AFAAF6C1-BC5A-40FA-A3D2-B53EB593ACD7}"/>
    <cellStyle name="Migliaia [0] 34 2 2 3" xfId="2955" xr:uid="{1FA5AAB0-1491-4382-8B03-DD4C9B1CE052}"/>
    <cellStyle name="Migliaia [0] 34 2 2 3 2" xfId="11553" xr:uid="{B5F43F98-6C20-471E-AA72-A3B98DBCBCDF}"/>
    <cellStyle name="Migliaia [0] 34 2 2 4" xfId="10671" xr:uid="{697EF045-50BD-4C2C-8EB8-37959A8105FE}"/>
    <cellStyle name="Migliaia [0] 34 2 2 4 2" xfId="21306" xr:uid="{2C15BC69-CA6F-43D9-952A-9FCA260CC79E}"/>
    <cellStyle name="Migliaia [0] 34 2 2 4 3" xfId="25360" xr:uid="{59F07C8B-17AC-4F4F-9A6B-9AAE4A2D77C1}"/>
    <cellStyle name="Migliaia [0] 34 2 2 4 4" xfId="50321" xr:uid="{329D4CE8-CCBF-45AC-A6A5-29B86019FBD7}"/>
    <cellStyle name="Migliaia [0] 34 2 2 4 5" xfId="53337" xr:uid="{350C24EA-293A-4462-84A5-C12E41AA5CEC}"/>
    <cellStyle name="Migliaia [0] 34 2 2 5" xfId="19634" xr:uid="{38CF2D87-E9DD-4A4A-8673-9438AA381950}"/>
    <cellStyle name="Migliaia [0] 34 2 2 6" xfId="24073" xr:uid="{F2A45CB7-7DCD-4598-99FC-C38CA0031CA1}"/>
    <cellStyle name="Migliaia [0] 34 2 2 7" xfId="48847" xr:uid="{FD8B74F1-6B2D-47C3-9CB5-EE19BDE73152}"/>
    <cellStyle name="Migliaia [0] 34 2 2 8" xfId="49753" xr:uid="{904A557E-393C-4DE6-B8F1-5DC2B5882216}"/>
    <cellStyle name="Migliaia [0] 34 2 2 9" xfId="8453" xr:uid="{55788675-AA47-434D-9C5F-8043896C3202}"/>
    <cellStyle name="Migliaia [0] 34 2 3" xfId="4680" xr:uid="{3C25559C-64AA-4CAB-B820-4772BE91A039}"/>
    <cellStyle name="Migliaia [0] 34 2 3 2" xfId="32863" xr:uid="{CB242074-B1A2-44B8-A474-A426E2635E1A}"/>
    <cellStyle name="Migliaia [0] 34 2 3 2 2" xfId="38214" xr:uid="{1F0406E4-3896-41B4-8C1B-58BA64C7BDA4}"/>
    <cellStyle name="Migliaia [0] 34 2 3 2 3" xfId="43516" xr:uid="{493C876E-85E5-4C35-AD63-A9A3AA27789C}"/>
    <cellStyle name="Migliaia [0] 34 2 3 3" xfId="35749" xr:uid="{E824318B-B1E7-434C-9F64-61C9147257F3}"/>
    <cellStyle name="Migliaia [0] 34 2 3 4" xfId="40865" xr:uid="{AF1A66F9-7364-41A5-9E8D-B8F718D881BE}"/>
    <cellStyle name="Migliaia [0] 34 2 3 5" xfId="11792" xr:uid="{D86EBE0C-CB89-462A-B043-39E88C8F7AD2}"/>
    <cellStyle name="Migliaia [0] 34 2 4" xfId="5935" xr:uid="{D00B5096-26DC-446A-91CE-53B268292BDF}"/>
    <cellStyle name="Migliaia [0] 34 2 4 2" xfId="19633" xr:uid="{C6C2EA91-756E-4222-9D85-38BADAE1E835}"/>
    <cellStyle name="Migliaia [0] 34 2 5" xfId="2954" xr:uid="{EEC7EB8D-A053-4144-A011-C505167621E3}"/>
    <cellStyle name="Migliaia [0] 34 2 5 2" xfId="24072" xr:uid="{340AD96A-DF6F-454F-A5BC-26363FE47775}"/>
    <cellStyle name="Migliaia [0] 34 2 6" xfId="7263" xr:uid="{DB10DBBF-79A9-4CF7-9B44-24312E8D65F7}"/>
    <cellStyle name="Migliaia [0] 34 3" xfId="1564" xr:uid="{00000000-0005-0000-0000-000044020000}"/>
    <cellStyle name="Migliaia [0] 34 3 2" xfId="4682" xr:uid="{71731013-A285-47DB-A5DD-F587E7C2E8D7}"/>
    <cellStyle name="Migliaia [0] 34 3 2 2" xfId="18328" xr:uid="{B554A2F5-7D70-4250-B5CF-4A8C53BD2653}"/>
    <cellStyle name="Migliaia [0] 34 3 2 2 2" xfId="21775" xr:uid="{F0FC404F-897E-4B3F-8E34-A97EA073B5F2}"/>
    <cellStyle name="Migliaia [0] 34 3 2 2 2 2" xfId="38215" xr:uid="{B1DB4EC4-B511-4B50-94FE-E9247A97B66B}"/>
    <cellStyle name="Migliaia [0] 34 3 2 2 3" xfId="43517" xr:uid="{0C512299-A3FA-4267-8C81-1A73E60886EB}"/>
    <cellStyle name="Migliaia [0] 34 3 2 2 4" xfId="32864" xr:uid="{D06E9577-85B0-4B69-88FC-F39BC9B99731}"/>
    <cellStyle name="Migliaia [0] 34 3 2 3" xfId="35750" xr:uid="{12E58C3E-6597-4EBC-895F-10AFB93709FA}"/>
    <cellStyle name="Migliaia [0] 34 3 2 4" xfId="40866" xr:uid="{8ED140C8-6CDC-429D-B15C-C9E728B3CC19}"/>
    <cellStyle name="Migliaia [0] 34 3 2 5" xfId="33063" xr:uid="{E7346440-8858-4BDF-8680-1D306658B45D}"/>
    <cellStyle name="Migliaia [0] 34 3 2 6" xfId="50803" xr:uid="{CCE63BBE-60AA-4AD9-B166-7FE9C6913E02}"/>
    <cellStyle name="Migliaia [0] 34 3 2 7" xfId="53819" xr:uid="{966137E2-9987-4FBE-8435-44BDD711B61C}"/>
    <cellStyle name="Migliaia [0] 34 3 2 8" xfId="17604" xr:uid="{A8939B81-B143-4167-8C0A-89B68F3755D3}"/>
    <cellStyle name="Migliaia [0] 34 3 2 9" xfId="11793" xr:uid="{65330A1C-C608-487C-BA15-F798DD282668}"/>
    <cellStyle name="Migliaia [0] 34 3 3" xfId="5936" xr:uid="{156B4AC0-27EE-413C-B2A1-F5DE1C7444A0}"/>
    <cellStyle name="Migliaia [0] 34 3 3 2" xfId="11116" xr:uid="{8BAA72CE-B78A-4AC1-AC6A-63927DCB8A3F}"/>
    <cellStyle name="Migliaia [0] 34 3 4" xfId="2956" xr:uid="{CD818AFF-BC85-4C57-A0D8-05F5C4C5441C}"/>
    <cellStyle name="Migliaia [0] 34 3 4 2" xfId="21307" xr:uid="{54868DC3-89B7-4E18-B66A-359E6D0FF8BA}"/>
    <cellStyle name="Migliaia [0] 34 3 4 3" xfId="47683" xr:uid="{65E7B528-6567-4662-8DFD-9B6C1EDA0E67}"/>
    <cellStyle name="Migliaia [0] 34 3 4 4" xfId="50322" xr:uid="{7783EB59-22C1-45A7-8566-EFEDBE423F73}"/>
    <cellStyle name="Migliaia [0] 34 3 4 5" xfId="53338" xr:uid="{3A919DE1-F53C-4CF0-8684-D6FFC503FE3D}"/>
    <cellStyle name="Migliaia [0] 34 3 4 6" xfId="10672" xr:uid="{DAE8DFDA-7C1A-4761-8CEF-117DBF3E0622}"/>
    <cellStyle name="Migliaia [0] 34 3 5" xfId="19635" xr:uid="{BC961E8A-26BF-4590-955E-D5855074379B}"/>
    <cellStyle name="Migliaia [0] 34 3 6" xfId="24074" xr:uid="{5753F92B-2997-4E3F-93BA-8708995C040B}"/>
    <cellStyle name="Migliaia [0] 34 3 7" xfId="8211" xr:uid="{48FE9DA1-D321-423C-B734-D2D1381FC61D}"/>
    <cellStyle name="Migliaia [0] 34 4" xfId="2957" xr:uid="{D2CE1A90-8373-47AC-A0D3-3ACE96530BDC}"/>
    <cellStyle name="Migliaia [0] 34 4 2" xfId="4683" xr:uid="{10FDFCF9-DAB5-4C97-99B7-46BAE7FCDA90}"/>
    <cellStyle name="Migliaia [0] 34 4 2 2" xfId="35096" xr:uid="{EA64710B-B30C-4A37-8F10-21E2120C0CF4}"/>
    <cellStyle name="Migliaia [0] 34 4 2 2 2" xfId="40254" xr:uid="{01FD6BBB-5719-41C4-9B16-EAB0574AB32A}"/>
    <cellStyle name="Migliaia [0] 34 4 2 2 3" xfId="45556" xr:uid="{DC28E536-12C5-4089-88C2-1B64455E6E5A}"/>
    <cellStyle name="Migliaia [0] 34 4 2 3" xfId="37603" xr:uid="{905C7C0A-EFEC-4DF3-A587-1ADDB6C64F78}"/>
    <cellStyle name="Migliaia [0] 34 4 2 4" xfId="42905" xr:uid="{E75E27C8-28B4-4415-A4A5-BC418F590358}"/>
    <cellStyle name="Migliaia [0] 34 4 2 5" xfId="17036" xr:uid="{3453B7B8-B935-48D7-8BC7-AB26B65A27AA}"/>
    <cellStyle name="Migliaia [0] 34 4 3" xfId="5937" xr:uid="{A8C40249-14EF-46DA-83A2-C47DCB1E5C52}"/>
    <cellStyle name="Migliaia [0] 34 4 3 2" xfId="38216" xr:uid="{E199751D-EE9A-49E3-84A9-5A4BFE83ECD6}"/>
    <cellStyle name="Migliaia [0] 34 4 3 3" xfId="43518" xr:uid="{3482DA46-B9FE-4005-825A-3A9B04894B06}"/>
    <cellStyle name="Migliaia [0] 34 4 3 4" xfId="32865" xr:uid="{ED28497A-D2A5-42CF-A2C8-FFC4ADEE9182}"/>
    <cellStyle name="Migliaia [0] 34 4 3 5" xfId="19636" xr:uid="{5BEA7507-C7C0-4B63-97AC-921326569C7C}"/>
    <cellStyle name="Migliaia [0] 34 4 4" xfId="35751" xr:uid="{63C819C9-39C5-4D24-8790-EDBC60B95669}"/>
    <cellStyle name="Migliaia [0] 34 4 5" xfId="40867" xr:uid="{CDFC7FE1-238E-4052-A7B8-E32717EE54BC}"/>
    <cellStyle name="Migliaia [0] 34 4 6" xfId="15978" xr:uid="{F716FB8A-9C72-4C50-A664-32EEAF7AC290}"/>
    <cellStyle name="Migliaia [0] 34 4 7" xfId="7791" xr:uid="{61E06DD3-8D05-4D45-ADFF-88560C4DED76}"/>
    <cellStyle name="Migliaia [0] 34 5" xfId="4679" xr:uid="{6748E7CA-2C18-4BF4-B39D-D62B888B5ABA}"/>
    <cellStyle name="Migliaia [0] 34 5 2" xfId="32866" xr:uid="{D05AFEED-EF50-4BEA-A4F6-4401A3D6FE13}"/>
    <cellStyle name="Migliaia [0] 34 5 2 2" xfId="38217" xr:uid="{05AF2F16-F7CD-464E-A6BE-7288DB5290B2}"/>
    <cellStyle name="Migliaia [0] 34 5 2 3" xfId="43519" xr:uid="{520CC08E-3440-4E6F-861A-20327D9D887C}"/>
    <cellStyle name="Migliaia [0] 34 5 3" xfId="35752" xr:uid="{0C954DB3-1034-4018-AFDF-4BD779E4025D}"/>
    <cellStyle name="Migliaia [0] 34 5 4" xfId="40868" xr:uid="{E41AC4E1-F886-4864-A62E-0B39E90698C2}"/>
    <cellStyle name="Migliaia [0] 34 5 5" xfId="17105" xr:uid="{48226B2E-588B-48CE-9FFC-266B254AE2D7}"/>
    <cellStyle name="Migliaia [0] 34 6" xfId="5934" xr:uid="{B318F912-5BE6-4254-872A-B4E16B5FAECC}"/>
    <cellStyle name="Migliaia [0] 34 6 2" xfId="38213" xr:uid="{1DD3CBB9-216E-430C-9639-6FEAEC2065A1}"/>
    <cellStyle name="Migliaia [0] 34 6 3" xfId="43515" xr:uid="{99E3DC24-54FC-4FEB-AA0F-9DE0ECE37CCD}"/>
    <cellStyle name="Migliaia [0] 34 6 4" xfId="32862" xr:uid="{42B5BADE-40F7-43AB-811B-1FB26D8BF084}"/>
    <cellStyle name="Migliaia [0] 34 6 5" xfId="19632" xr:uid="{48312A56-3C77-4180-B142-A65911BB5F91}"/>
    <cellStyle name="Migliaia [0] 34 7" xfId="2953" xr:uid="{CA22018F-3589-48CB-AD9C-D56B57ABE325}"/>
    <cellStyle name="Migliaia [0] 34 7 2" xfId="35748" xr:uid="{FE60E7F9-B391-47CC-81AB-AD2B6D104FF7}"/>
    <cellStyle name="Migliaia [0] 34 8" xfId="40864" xr:uid="{89E03D5E-6EE0-4A1B-8DA6-743D36A5D832}"/>
    <cellStyle name="Migliaia [0] 34 9" xfId="7012" xr:uid="{44053B65-D090-41DB-83FB-2AD56F8493C9}"/>
    <cellStyle name="Migliaia [0] 35" xfId="270" xr:uid="{00000000-0005-0000-0000-000045020000}"/>
    <cellStyle name="Migliaia [0] 35 2" xfId="1565" xr:uid="{00000000-0005-0000-0000-000046020000}"/>
    <cellStyle name="Migliaia [0] 35 2 2" xfId="1566" xr:uid="{00000000-0005-0000-0000-000047020000}"/>
    <cellStyle name="Migliaia [0] 35 2 2 2" xfId="4686" xr:uid="{F23E5477-1FFE-4C3B-9B10-35A9768479F2}"/>
    <cellStyle name="Migliaia [0] 35 2 2 2 2" xfId="21776" xr:uid="{3408BEDC-DF58-4648-BAEF-A9CA2FDDC14E}"/>
    <cellStyle name="Migliaia [0] 35 2 2 2 3" xfId="46292" xr:uid="{806CBC05-33DE-4EA0-90DF-8BADE715C48D}"/>
    <cellStyle name="Migliaia [0] 35 2 2 2 4" xfId="50804" xr:uid="{322E8546-658A-457E-85F0-B2FE146DF4F4}"/>
    <cellStyle name="Migliaia [0] 35 2 2 2 5" xfId="53820" xr:uid="{8B0E9420-2EF0-4095-81F9-8C9C75E16C20}"/>
    <cellStyle name="Migliaia [0] 35 2 2 2 6" xfId="11794" xr:uid="{74FEF73A-8E70-46E5-BE1F-3C8AFBECE1B9}"/>
    <cellStyle name="Migliaia [0] 35 2 2 3" xfId="2960" xr:uid="{AF0EE2E9-05B9-4F3B-94A2-EB669D2F2101}"/>
    <cellStyle name="Migliaia [0] 35 2 2 3 2" xfId="12342" xr:uid="{BBB9F041-0054-4BD2-B4DF-346DEBD9DEA6}"/>
    <cellStyle name="Migliaia [0] 35 2 2 4" xfId="10673" xr:uid="{495CD6DF-18A3-465A-ADD9-DF5342678F8D}"/>
    <cellStyle name="Migliaia [0] 35 2 2 4 2" xfId="21308" xr:uid="{D693A19B-2F53-4016-9921-0006FF1AEC38}"/>
    <cellStyle name="Migliaia [0] 35 2 2 4 3" xfId="46636" xr:uid="{D74B535D-7477-49B7-B31A-01503E139F05}"/>
    <cellStyle name="Migliaia [0] 35 2 2 4 4" xfId="50323" xr:uid="{7E7F68E2-8185-4582-A0EC-49FA17CBED4A}"/>
    <cellStyle name="Migliaia [0] 35 2 2 4 5" xfId="53339" xr:uid="{5499033D-61C3-4613-8524-0D9D098160E3}"/>
    <cellStyle name="Migliaia [0] 35 2 2 5" xfId="19639" xr:uid="{1116C150-8C2E-4BA2-872E-C7D44D247947}"/>
    <cellStyle name="Migliaia [0] 35 2 2 6" xfId="24076" xr:uid="{222A5C9B-019E-4E81-B14B-9E3C8862EC51}"/>
    <cellStyle name="Migliaia [0] 35 2 2 7" xfId="48848" xr:uid="{6F8FA0E8-5958-4791-9BF0-B37E84DB1A4E}"/>
    <cellStyle name="Migliaia [0] 35 2 2 8" xfId="49754" xr:uid="{35E1C942-FAC3-4BF5-9348-B546D77F5FFA}"/>
    <cellStyle name="Migliaia [0] 35 2 2 9" xfId="8454" xr:uid="{961B9555-87F1-4A7D-9CD7-3C4F32E84B20}"/>
    <cellStyle name="Migliaia [0] 35 2 3" xfId="4685" xr:uid="{0156E53E-1BA6-441D-BA2C-148705B45982}"/>
    <cellStyle name="Migliaia [0] 35 2 3 2" xfId="32868" xr:uid="{8354F3A2-CDA0-455B-8228-7F7D2C5462FD}"/>
    <cellStyle name="Migliaia [0] 35 2 3 2 2" xfId="38219" xr:uid="{A59DDA81-C458-46ED-AC2F-B56AE96737AD}"/>
    <cellStyle name="Migliaia [0] 35 2 3 2 3" xfId="43521" xr:uid="{0B046361-B99D-4492-9D49-27682BD14B62}"/>
    <cellStyle name="Migliaia [0] 35 2 3 3" xfId="35754" xr:uid="{E69CA9D4-2DCE-40EB-99A8-DA5155C9D185}"/>
    <cellStyle name="Migliaia [0] 35 2 3 4" xfId="40870" xr:uid="{DFA0708B-1AB0-47CD-B736-485B8242F1A9}"/>
    <cellStyle name="Migliaia [0] 35 2 3 5" xfId="11795" xr:uid="{903D63F3-FDA5-450E-8F78-2DED5F39F1B6}"/>
    <cellStyle name="Migliaia [0] 35 2 4" xfId="5939" xr:uid="{8A84E47A-552F-4EAC-BC05-001E22E23CB3}"/>
    <cellStyle name="Migliaia [0] 35 2 4 2" xfId="19638" xr:uid="{C314E1B9-7684-4D2D-A443-3B4BEFBDD664}"/>
    <cellStyle name="Migliaia [0] 35 2 5" xfId="2959" xr:uid="{7E7A23EC-5BA3-411A-AF7C-0F441A10BD4A}"/>
    <cellStyle name="Migliaia [0] 35 2 5 2" xfId="24075" xr:uid="{4D3B09DA-85A5-49BF-AE15-11BA12C1EFCB}"/>
    <cellStyle name="Migliaia [0] 35 2 6" xfId="7264" xr:uid="{D40D8714-3B7C-4DFE-BAC9-9C6826B630EF}"/>
    <cellStyle name="Migliaia [0] 35 3" xfId="1567" xr:uid="{00000000-0005-0000-0000-000048020000}"/>
    <cellStyle name="Migliaia [0] 35 3 2" xfId="4687" xr:uid="{1C781068-C9B4-4218-B066-C62EE3D2F012}"/>
    <cellStyle name="Migliaia [0] 35 3 2 2" xfId="18329" xr:uid="{8AACDA23-A892-431E-A7B3-290179FA33A3}"/>
    <cellStyle name="Migliaia [0] 35 3 2 2 2" xfId="21777" xr:uid="{91817663-B115-4CCE-B4FA-D70BF6061C64}"/>
    <cellStyle name="Migliaia [0] 35 3 2 2 2 2" xfId="38220" xr:uid="{3D21BD98-4D09-4647-BF93-1FAF55091F81}"/>
    <cellStyle name="Migliaia [0] 35 3 2 2 3" xfId="43522" xr:uid="{E7B4431D-4C7C-4D2A-959E-EC509F8F17C6}"/>
    <cellStyle name="Migliaia [0] 35 3 2 2 4" xfId="32869" xr:uid="{AF509258-B3D7-4BEF-8951-42571858DC69}"/>
    <cellStyle name="Migliaia [0] 35 3 2 3" xfId="35755" xr:uid="{6D43E527-5EEE-45FB-BE70-DD67CDA1E4CB}"/>
    <cellStyle name="Migliaia [0] 35 3 2 4" xfId="40871" xr:uid="{6026F760-3216-47DC-B9C3-8DE847D03215}"/>
    <cellStyle name="Migliaia [0] 35 3 2 5" xfId="48270" xr:uid="{2840E0CF-3EF4-4CE4-8DE4-2DDE874FE0BE}"/>
    <cellStyle name="Migliaia [0] 35 3 2 6" xfId="50805" xr:uid="{D899CF14-3B00-4D99-92E3-182725A3870E}"/>
    <cellStyle name="Migliaia [0] 35 3 2 7" xfId="53821" xr:uid="{3FB99AE7-82DF-4A70-9207-BECB386BDE9A}"/>
    <cellStyle name="Migliaia [0] 35 3 2 8" xfId="17605" xr:uid="{9C51AA41-C60C-476E-B2AE-E721939EC7CD}"/>
    <cellStyle name="Migliaia [0] 35 3 2 9" xfId="11796" xr:uid="{A80924FC-6780-407E-999F-9DA6B57A887A}"/>
    <cellStyle name="Migliaia [0] 35 3 3" xfId="5940" xr:uid="{410D2716-D1F1-4AAE-B3F4-0B97A9FD13BA}"/>
    <cellStyle name="Migliaia [0] 35 3 3 2" xfId="12377" xr:uid="{BDD3F212-C871-48CF-987C-9264559BC71B}"/>
    <cellStyle name="Migliaia [0] 35 3 4" xfId="2961" xr:uid="{98DFD544-E333-40B6-9816-8B4EA23F57F2}"/>
    <cellStyle name="Migliaia [0] 35 3 4 2" xfId="21309" xr:uid="{B94EBD87-8C1D-443C-BE38-A9B00C057D96}"/>
    <cellStyle name="Migliaia [0] 35 3 4 3" xfId="36717" xr:uid="{7A36A91B-985B-4994-B261-691755A81D67}"/>
    <cellStyle name="Migliaia [0] 35 3 4 4" xfId="50324" xr:uid="{6812C6B9-1ADA-44A4-8645-3EEB4E036A84}"/>
    <cellStyle name="Migliaia [0] 35 3 4 5" xfId="53340" xr:uid="{D796F268-24E6-4E22-9D40-60A02FBC093E}"/>
    <cellStyle name="Migliaia [0] 35 3 4 6" xfId="10674" xr:uid="{2131E97A-735F-4296-BEF2-7E5646DDB383}"/>
    <cellStyle name="Migliaia [0] 35 3 5" xfId="19640" xr:uid="{85070DC4-278E-4270-A00E-41FA9E1130D7}"/>
    <cellStyle name="Migliaia [0] 35 3 6" xfId="24077" xr:uid="{36F44048-775E-4506-9AD6-681528023350}"/>
    <cellStyle name="Migliaia [0] 35 3 7" xfId="8212" xr:uid="{EB1EA790-E47D-4DEF-96F1-D3689AC37D53}"/>
    <cellStyle name="Migliaia [0] 35 4" xfId="2962" xr:uid="{D303A6E3-B77E-4DEC-B86B-95DF61574933}"/>
    <cellStyle name="Migliaia [0] 35 4 2" xfId="4688" xr:uid="{4A8CE6BB-B5AE-4EF8-B984-206ADA9D19E2}"/>
    <cellStyle name="Migliaia [0] 35 4 2 2" xfId="35097" xr:uid="{81D53355-B0BA-4411-B40A-D5EE23846287}"/>
    <cellStyle name="Migliaia [0] 35 4 2 2 2" xfId="40255" xr:uid="{9A17C673-9930-45F9-A3A0-ABF66486C3B7}"/>
    <cellStyle name="Migliaia [0] 35 4 2 2 3" xfId="45557" xr:uid="{1CA1BFD2-D87D-4D01-9ABD-7B575A77E022}"/>
    <cellStyle name="Migliaia [0] 35 4 2 3" xfId="37604" xr:uid="{9C778CF7-F219-4C46-918D-4F6AF2EE34CD}"/>
    <cellStyle name="Migliaia [0] 35 4 2 4" xfId="42906" xr:uid="{687015BE-F3A7-43F1-89DE-847116DAEF93}"/>
    <cellStyle name="Migliaia [0] 35 4 2 5" xfId="17037" xr:uid="{EA9E9E53-C05E-4DF5-92AB-5299C758930C}"/>
    <cellStyle name="Migliaia [0] 35 4 3" xfId="5941" xr:uid="{B9808434-302C-4464-8C9A-740DF3737E40}"/>
    <cellStyle name="Migliaia [0] 35 4 3 2" xfId="38221" xr:uid="{9BCB5995-95C6-4521-9307-11137C2E6ACF}"/>
    <cellStyle name="Migliaia [0] 35 4 3 3" xfId="43523" xr:uid="{BFFB9738-4F48-41A1-A682-C63A4F4097B2}"/>
    <cellStyle name="Migliaia [0] 35 4 3 4" xfId="32870" xr:uid="{0444ABB8-0AA5-4182-A98B-B84A0517C190}"/>
    <cellStyle name="Migliaia [0] 35 4 3 5" xfId="19641" xr:uid="{46C15377-1556-49A0-B491-A6B9A75C1482}"/>
    <cellStyle name="Migliaia [0] 35 4 4" xfId="35756" xr:uid="{E10239BB-0BFD-4329-BE57-236B69EC1C42}"/>
    <cellStyle name="Migliaia [0] 35 4 5" xfId="40872" xr:uid="{7198CF42-A798-4DE5-B984-9C3DE723D03F}"/>
    <cellStyle name="Migliaia [0] 35 4 6" xfId="15979" xr:uid="{A86E2884-33E9-44C8-8095-869C76938A53}"/>
    <cellStyle name="Migliaia [0] 35 4 7" xfId="7792" xr:uid="{2262353D-AEF5-43E2-9C97-34E2D8ABE4EC}"/>
    <cellStyle name="Migliaia [0] 35 5" xfId="4684" xr:uid="{EC1B6CFE-41DC-4511-B5A2-7302AB8361A2}"/>
    <cellStyle name="Migliaia [0] 35 5 2" xfId="32871" xr:uid="{B5578358-365B-4DA8-865A-993ACC7C1329}"/>
    <cellStyle name="Migliaia [0] 35 5 2 2" xfId="38222" xr:uid="{9CA9414F-A841-40F7-9A98-5199F65C00E3}"/>
    <cellStyle name="Migliaia [0] 35 5 2 3" xfId="43524" xr:uid="{409B5DDB-71FB-4290-BC23-A3464E0A5343}"/>
    <cellStyle name="Migliaia [0] 35 5 3" xfId="35757" xr:uid="{7B215546-A48D-4F22-957B-7C8EEE9CA3ED}"/>
    <cellStyle name="Migliaia [0] 35 5 4" xfId="40873" xr:uid="{D5A50A5A-93FF-4E99-A48F-A85ED2001C4F}"/>
    <cellStyle name="Migliaia [0] 35 5 5" xfId="17106" xr:uid="{99607AA0-B664-4B76-BAAD-608BD3912ACB}"/>
    <cellStyle name="Migliaia [0] 35 6" xfId="5938" xr:uid="{E6B0EF93-BAEA-4005-8073-ACF6942D0F58}"/>
    <cellStyle name="Migliaia [0] 35 6 2" xfId="38218" xr:uid="{BA244EAF-4608-4C51-AE7A-450048594749}"/>
    <cellStyle name="Migliaia [0] 35 6 3" xfId="43520" xr:uid="{B68EBD98-E0D5-4808-B655-4D57376B54F2}"/>
    <cellStyle name="Migliaia [0] 35 6 4" xfId="32867" xr:uid="{4B72CE8E-7527-4321-B5BE-280AE7CC7BDE}"/>
    <cellStyle name="Migliaia [0] 35 6 5" xfId="19637" xr:uid="{722F6A17-7334-4BA4-8D97-DD8BD484341F}"/>
    <cellStyle name="Migliaia [0] 35 7" xfId="2958" xr:uid="{55DEA085-289B-402A-9AFA-2145A27F5A7F}"/>
    <cellStyle name="Migliaia [0] 35 7 2" xfId="35753" xr:uid="{440C6E5E-0FEB-48B6-8717-B2E90C8A0CDA}"/>
    <cellStyle name="Migliaia [0] 35 8" xfId="40869" xr:uid="{1174AB10-0217-4910-B68D-3DF032B83D93}"/>
    <cellStyle name="Migliaia [0] 35 9" xfId="7013" xr:uid="{1FE36B0F-24A6-4825-9FC9-8BF3F355779B}"/>
    <cellStyle name="Migliaia [0] 36" xfId="271" xr:uid="{00000000-0005-0000-0000-000049020000}"/>
    <cellStyle name="Migliaia [0] 36 2" xfId="1568" xr:uid="{00000000-0005-0000-0000-00004A020000}"/>
    <cellStyle name="Migliaia [0] 36 2 2" xfId="1569" xr:uid="{00000000-0005-0000-0000-00004B020000}"/>
    <cellStyle name="Migliaia [0] 36 2 2 2" xfId="4691" xr:uid="{6630EAEE-D294-458D-9D0D-2A0A0FC93B9D}"/>
    <cellStyle name="Migliaia [0] 36 2 2 2 2" xfId="21778" xr:uid="{56E6000D-22CB-49B2-93BD-91713CB479BF}"/>
    <cellStyle name="Migliaia [0] 36 2 2 2 3" xfId="46742" xr:uid="{9613B514-9092-498E-8F03-0E581698B3F0}"/>
    <cellStyle name="Migliaia [0] 36 2 2 2 4" xfId="50806" xr:uid="{8E7A725F-46DA-4B42-A534-131679135803}"/>
    <cellStyle name="Migliaia [0] 36 2 2 2 5" xfId="53822" xr:uid="{C1843054-3F68-4318-8A8C-BEB1E9949E88}"/>
    <cellStyle name="Migliaia [0] 36 2 2 2 6" xfId="11797" xr:uid="{B2E18BBA-6DE3-4FF7-8914-36797AC29943}"/>
    <cellStyle name="Migliaia [0] 36 2 2 3" xfId="2965" xr:uid="{9BA70B29-EE7E-411C-BE94-0148DC6C5D44}"/>
    <cellStyle name="Migliaia [0] 36 2 2 3 2" xfId="12341" xr:uid="{BF9008E5-AEC8-4612-86DC-A23E24069326}"/>
    <cellStyle name="Migliaia [0] 36 2 2 4" xfId="10675" xr:uid="{F2A56EB8-AE5E-4FF2-B3F3-AD0DFC5B7806}"/>
    <cellStyle name="Migliaia [0] 36 2 2 4 2" xfId="21310" xr:uid="{2526CD51-9693-46B5-8F3F-C0863A950E83}"/>
    <cellStyle name="Migliaia [0] 36 2 2 4 3" xfId="47406" xr:uid="{3E742AF4-4A82-495D-834F-7A39301F9375}"/>
    <cellStyle name="Migliaia [0] 36 2 2 4 4" xfId="50325" xr:uid="{B82FCB3E-DB99-4C03-A219-6109CBA4C358}"/>
    <cellStyle name="Migliaia [0] 36 2 2 4 5" xfId="53341" xr:uid="{6737804E-8DB9-47DC-B344-56A755934CC5}"/>
    <cellStyle name="Migliaia [0] 36 2 2 5" xfId="19644" xr:uid="{0BEEA79A-68CC-4612-9E7F-8B338773777D}"/>
    <cellStyle name="Migliaia [0] 36 2 2 6" xfId="24079" xr:uid="{E1394CC2-5085-4628-BB48-D33934944260}"/>
    <cellStyle name="Migliaia [0] 36 2 2 7" xfId="48849" xr:uid="{5B968821-6EDA-4135-99FF-D0BF2A79AF89}"/>
    <cellStyle name="Migliaia [0] 36 2 2 8" xfId="49755" xr:uid="{AF6662D7-AC54-4750-80F8-14A45E70CB4F}"/>
    <cellStyle name="Migliaia [0] 36 2 2 9" xfId="8455" xr:uid="{6A1E3F5E-F71D-4C68-A8DF-AE13D8769E30}"/>
    <cellStyle name="Migliaia [0] 36 2 3" xfId="4690" xr:uid="{13E2D0BD-8050-4478-8260-323C80ABD532}"/>
    <cellStyle name="Migliaia [0] 36 2 3 2" xfId="32873" xr:uid="{D65FA69F-769E-4F43-90CE-6BA4F0D7B7DC}"/>
    <cellStyle name="Migliaia [0] 36 2 3 2 2" xfId="38224" xr:uid="{06996F64-FB72-4EEC-9056-5C595FF6303D}"/>
    <cellStyle name="Migliaia [0] 36 2 3 2 3" xfId="43526" xr:uid="{C713C0A1-FFAD-482B-B63C-804D285FF557}"/>
    <cellStyle name="Migliaia [0] 36 2 3 3" xfId="35759" xr:uid="{4ABF5044-57A1-49B4-B9D7-6BCA2F047592}"/>
    <cellStyle name="Migliaia [0] 36 2 3 4" xfId="40875" xr:uid="{2D45516F-B8B8-4B1B-9D9D-10E0576E1BCC}"/>
    <cellStyle name="Migliaia [0] 36 2 3 5" xfId="11798" xr:uid="{2E8BB3DC-9B7C-4D83-B9C2-FC5F51BBF077}"/>
    <cellStyle name="Migliaia [0] 36 2 4" xfId="5943" xr:uid="{AC165AD2-39C9-4906-BBC2-97F9B163666E}"/>
    <cellStyle name="Migliaia [0] 36 2 4 2" xfId="19643" xr:uid="{B6A7BEC7-8A01-40C7-834D-392392E28494}"/>
    <cellStyle name="Migliaia [0] 36 2 5" xfId="2964" xr:uid="{58C8D901-3503-4C1C-B7D2-1F9951D1ECF2}"/>
    <cellStyle name="Migliaia [0] 36 2 5 2" xfId="24078" xr:uid="{B83B545A-E6F6-4C3E-BE8B-794446813ADB}"/>
    <cellStyle name="Migliaia [0] 36 2 6" xfId="7265" xr:uid="{0E012A9E-0F29-4DAC-9C6A-82BF0531D583}"/>
    <cellStyle name="Migliaia [0] 36 3" xfId="1570" xr:uid="{00000000-0005-0000-0000-00004C020000}"/>
    <cellStyle name="Migliaia [0] 36 3 2" xfId="4692" xr:uid="{9037FA35-F9B8-4626-B919-399D5007C1B9}"/>
    <cellStyle name="Migliaia [0] 36 3 2 2" xfId="18330" xr:uid="{CD8E2AC8-FFD4-44D8-A94E-33BB7C0FAC44}"/>
    <cellStyle name="Migliaia [0] 36 3 2 2 2" xfId="21779" xr:uid="{07522B15-7CBC-4821-AFBE-996FDAC9702D}"/>
    <cellStyle name="Migliaia [0] 36 3 2 2 2 2" xfId="38225" xr:uid="{8A02E7BB-4479-4472-921B-CAC8D9E9D84D}"/>
    <cellStyle name="Migliaia [0] 36 3 2 2 3" xfId="43527" xr:uid="{A9672D87-293D-40F4-A03D-0F50E398C0FD}"/>
    <cellStyle name="Migliaia [0] 36 3 2 2 4" xfId="32874" xr:uid="{03088C17-D14F-4CEA-BA91-739F40B66490}"/>
    <cellStyle name="Migliaia [0] 36 3 2 3" xfId="35760" xr:uid="{8D59A6CF-51DE-46E9-B5A1-F7176EAC8F71}"/>
    <cellStyle name="Migliaia [0] 36 3 2 4" xfId="40876" xr:uid="{AA027373-6D59-49AC-AFC9-CF47623DF789}"/>
    <cellStyle name="Migliaia [0] 36 3 2 5" xfId="47315" xr:uid="{49124304-CFD6-4250-94D1-FC5FAD327472}"/>
    <cellStyle name="Migliaia [0] 36 3 2 6" xfId="50807" xr:uid="{E43DA2FE-B33B-47C4-9046-EEF9D4F44BC8}"/>
    <cellStyle name="Migliaia [0] 36 3 2 7" xfId="53823" xr:uid="{BB2854AD-B1E7-4042-A9A8-0DD2E1BE2857}"/>
    <cellStyle name="Migliaia [0] 36 3 2 8" xfId="17606" xr:uid="{15D698D0-1345-4E3B-9FA8-E83EF64B1581}"/>
    <cellStyle name="Migliaia [0] 36 3 2 9" xfId="11799" xr:uid="{622970F4-F11E-40DD-BCF5-A344A1D8030F}"/>
    <cellStyle name="Migliaia [0] 36 3 3" xfId="5944" xr:uid="{85A2BBC8-8511-4C40-BB3C-8F6733FCD897}"/>
    <cellStyle name="Migliaia [0] 36 3 3 2" xfId="12376" xr:uid="{6412A2A1-3042-40B6-9A32-F1D39375B656}"/>
    <cellStyle name="Migliaia [0] 36 3 4" xfId="2966" xr:uid="{AA0CB16A-BAD2-4045-A3D2-F042261253A3}"/>
    <cellStyle name="Migliaia [0] 36 3 4 2" xfId="21311" xr:uid="{6851F8DD-8679-4D26-80F3-7104AD7C35C5}"/>
    <cellStyle name="Migliaia [0] 36 3 4 3" xfId="47656" xr:uid="{D821A62F-59B8-4543-AD9C-795B491B478B}"/>
    <cellStyle name="Migliaia [0] 36 3 4 4" xfId="50326" xr:uid="{BD72039B-2B43-4285-A52B-28AD0FB97414}"/>
    <cellStyle name="Migliaia [0] 36 3 4 5" xfId="53342" xr:uid="{C149CABD-A987-4E3E-B33D-3D70DF0ECF5A}"/>
    <cellStyle name="Migliaia [0] 36 3 4 6" xfId="10676" xr:uid="{E8E5732F-81FF-4FC5-AA65-7BC5DFDB2207}"/>
    <cellStyle name="Migliaia [0] 36 3 5" xfId="19645" xr:uid="{B3E8EA0B-7BD3-4017-98B6-5B183EE46EFC}"/>
    <cellStyle name="Migliaia [0] 36 3 6" xfId="24080" xr:uid="{1F423675-97F1-412F-A493-4F66C63271CE}"/>
    <cellStyle name="Migliaia [0] 36 3 7" xfId="8213" xr:uid="{B34FA6C2-2730-4807-B222-DB80AAB9D564}"/>
    <cellStyle name="Migliaia [0] 36 4" xfId="2967" xr:uid="{3C097D4F-2462-4C5C-9DAE-903DA1E16549}"/>
    <cellStyle name="Migliaia [0] 36 4 2" xfId="4693" xr:uid="{4484610C-3F2D-449B-8E05-60E252FB917F}"/>
    <cellStyle name="Migliaia [0] 36 4 2 2" xfId="35098" xr:uid="{B27D0E6C-247D-47D1-B2D2-ADD29719670D}"/>
    <cellStyle name="Migliaia [0] 36 4 2 2 2" xfId="40256" xr:uid="{A6A3662A-34F0-43F4-BF01-A64CE4139C8B}"/>
    <cellStyle name="Migliaia [0] 36 4 2 2 3" xfId="45558" xr:uid="{D17EC1C3-1CCD-46B0-953C-828550307F73}"/>
    <cellStyle name="Migliaia [0] 36 4 2 3" xfId="37605" xr:uid="{95F40E69-3E46-4473-ACA6-DE9F61999E8B}"/>
    <cellStyle name="Migliaia [0] 36 4 2 4" xfId="42907" xr:uid="{5AA1D0A0-7081-4504-B1D1-0C345DF07409}"/>
    <cellStyle name="Migliaia [0] 36 4 2 5" xfId="17038" xr:uid="{9E02DE33-6307-4734-A1D0-44AA8B313B93}"/>
    <cellStyle name="Migliaia [0] 36 4 3" xfId="5945" xr:uid="{5CD857B6-859C-4536-B31C-B1785F24D163}"/>
    <cellStyle name="Migliaia [0] 36 4 3 2" xfId="38226" xr:uid="{5B0B63F3-76EC-4307-ADB0-3C4946892C14}"/>
    <cellStyle name="Migliaia [0] 36 4 3 3" xfId="43528" xr:uid="{909DDD7B-5D09-4CC6-A75C-11AB9EA96F80}"/>
    <cellStyle name="Migliaia [0] 36 4 3 4" xfId="32875" xr:uid="{DB5B21BC-9E29-4867-B300-F9BCF1F5580F}"/>
    <cellStyle name="Migliaia [0] 36 4 3 5" xfId="19646" xr:uid="{AD0A6693-2A03-4F8C-B7A8-6DD7DD26B282}"/>
    <cellStyle name="Migliaia [0] 36 4 4" xfId="35761" xr:uid="{03E85269-C82B-4D70-944A-5F8C97E0F68F}"/>
    <cellStyle name="Migliaia [0] 36 4 5" xfId="40877" xr:uid="{712C7E09-E742-419A-AF0E-233A75999F34}"/>
    <cellStyle name="Migliaia [0] 36 4 6" xfId="15980" xr:uid="{352B04A6-BC31-4448-B458-933A1C9AD885}"/>
    <cellStyle name="Migliaia [0] 36 4 7" xfId="7793" xr:uid="{650E5B09-CF42-42BC-A33B-2A06171308CF}"/>
    <cellStyle name="Migliaia [0] 36 5" xfId="4689" xr:uid="{A98DA38D-DCEB-43A6-90EA-63CC53B72432}"/>
    <cellStyle name="Migliaia [0] 36 5 2" xfId="32876" xr:uid="{3CF1E97E-4B7F-4459-B4E3-E03A12DCD207}"/>
    <cellStyle name="Migliaia [0] 36 5 2 2" xfId="38227" xr:uid="{630BE01E-8C19-4702-A55D-5C4BDAB0EF8B}"/>
    <cellStyle name="Migliaia [0] 36 5 2 3" xfId="43529" xr:uid="{DA225445-1B67-4DC0-963B-2E1A83D8E94E}"/>
    <cellStyle name="Migliaia [0] 36 5 3" xfId="35762" xr:uid="{7FF4B985-5516-4CB6-8324-E8C1B5EEA53B}"/>
    <cellStyle name="Migliaia [0] 36 5 4" xfId="40878" xr:uid="{CD5FFCAE-088D-4405-A3EF-71682736ADAA}"/>
    <cellStyle name="Migliaia [0] 36 5 5" xfId="17107" xr:uid="{2C24AC54-82EB-4A66-BD02-7BEBB6339258}"/>
    <cellStyle name="Migliaia [0] 36 6" xfId="5942" xr:uid="{692D149D-6B31-4E81-B8BA-A1C82A620C64}"/>
    <cellStyle name="Migliaia [0] 36 6 2" xfId="38223" xr:uid="{5245B3CE-940E-421C-9B80-6251F8AABCA5}"/>
    <cellStyle name="Migliaia [0] 36 6 3" xfId="43525" xr:uid="{3D092729-D804-490C-9044-734A241075D0}"/>
    <cellStyle name="Migliaia [0] 36 6 4" xfId="32872" xr:uid="{492451A1-84BA-4FAB-9A89-89438D5475A8}"/>
    <cellStyle name="Migliaia [0] 36 6 5" xfId="19642" xr:uid="{D0D8A46F-5236-4DE0-88DE-A294DE6253AB}"/>
    <cellStyle name="Migliaia [0] 36 7" xfId="2963" xr:uid="{BD71548B-D8C4-4FC4-A8FD-57A7D72F773F}"/>
    <cellStyle name="Migliaia [0] 36 7 2" xfId="35758" xr:uid="{12A6D9C9-D1A5-4D99-9C17-30E7DE8A47EA}"/>
    <cellStyle name="Migliaia [0] 36 8" xfId="40874" xr:uid="{E1420A4A-DF22-4228-A967-1CC5F2C88ACB}"/>
    <cellStyle name="Migliaia [0] 36 9" xfId="7014" xr:uid="{9D4CA115-E993-400A-9F3B-5D3C1349036B}"/>
    <cellStyle name="Migliaia [0] 37" xfId="272" xr:uid="{00000000-0005-0000-0000-00004D020000}"/>
    <cellStyle name="Migliaia [0] 37 2" xfId="1571" xr:uid="{00000000-0005-0000-0000-00004E020000}"/>
    <cellStyle name="Migliaia [0] 37 2 2" xfId="1572" xr:uid="{00000000-0005-0000-0000-00004F020000}"/>
    <cellStyle name="Migliaia [0] 37 2 2 2" xfId="4696" xr:uid="{DAD01564-95F7-422D-9CCB-2CE88A495CCB}"/>
    <cellStyle name="Migliaia [0] 37 2 2 2 2" xfId="21780" xr:uid="{24667572-88D3-4058-94E5-167D97E6C9A5}"/>
    <cellStyle name="Migliaia [0] 37 2 2 2 3" xfId="46293" xr:uid="{582EF0C2-502F-45F2-8C30-B403825FE459}"/>
    <cellStyle name="Migliaia [0] 37 2 2 2 4" xfId="50808" xr:uid="{E0535650-5729-48E2-BFF5-BF2F37618968}"/>
    <cellStyle name="Migliaia [0] 37 2 2 2 5" xfId="53824" xr:uid="{49E29AFE-85AD-4A44-88CA-72CF339457A9}"/>
    <cellStyle name="Migliaia [0] 37 2 2 2 6" xfId="11800" xr:uid="{0BF9374F-7BAA-4D6B-BE32-32039794FB09}"/>
    <cellStyle name="Migliaia [0] 37 2 2 3" xfId="2970" xr:uid="{0EA2AC64-695E-4C30-9C66-3F18A6175A9B}"/>
    <cellStyle name="Migliaia [0] 37 2 2 3 2" xfId="12340" xr:uid="{28AD3FFD-CCB9-4700-83B0-BD4E8FC53163}"/>
    <cellStyle name="Migliaia [0] 37 2 2 4" xfId="10677" xr:uid="{6C08EC93-600F-4DB2-92B9-E3657BD3EE19}"/>
    <cellStyle name="Migliaia [0] 37 2 2 4 2" xfId="21312" xr:uid="{E024DB23-B264-44BA-A795-CAAFC0F960BB}"/>
    <cellStyle name="Migliaia [0] 37 2 2 4 3" xfId="46182" xr:uid="{D1DDBE61-6726-4CB5-A2B6-8AC5D9388025}"/>
    <cellStyle name="Migliaia [0] 37 2 2 4 4" xfId="50327" xr:uid="{594126ED-22EB-48BB-94B5-AFF94A86FFFC}"/>
    <cellStyle name="Migliaia [0] 37 2 2 4 5" xfId="53343" xr:uid="{19A14410-47F3-4DB1-B8F8-DE5A9D440D1D}"/>
    <cellStyle name="Migliaia [0] 37 2 2 5" xfId="19649" xr:uid="{FAFA9A00-AE9B-43B1-B28E-BA5C6BCA8568}"/>
    <cellStyle name="Migliaia [0] 37 2 2 6" xfId="24082" xr:uid="{037E81E8-C1C3-484D-800F-79D923EA2230}"/>
    <cellStyle name="Migliaia [0] 37 2 2 7" xfId="48850" xr:uid="{C3796E00-76D2-426E-BB93-407CF5A3BA27}"/>
    <cellStyle name="Migliaia [0] 37 2 2 8" xfId="49756" xr:uid="{9AD44F0E-3ED5-4399-B304-CFDEC1489442}"/>
    <cellStyle name="Migliaia [0] 37 2 2 9" xfId="8456" xr:uid="{795E39A5-55BA-4FE1-A55F-2FD7CE1AAB53}"/>
    <cellStyle name="Migliaia [0] 37 2 3" xfId="4695" xr:uid="{F348FA34-FD99-437F-BF0F-D98B20A0D88D}"/>
    <cellStyle name="Migliaia [0] 37 2 3 2" xfId="32878" xr:uid="{B0A64A46-BF56-4982-8048-6AE58643CD8A}"/>
    <cellStyle name="Migliaia [0] 37 2 3 2 2" xfId="38229" xr:uid="{4FF0CB4F-D5FD-4174-869A-68C9CE24D635}"/>
    <cellStyle name="Migliaia [0] 37 2 3 2 3" xfId="43531" xr:uid="{66FFC278-5B7E-4E0C-B630-14037C1C0642}"/>
    <cellStyle name="Migliaia [0] 37 2 3 3" xfId="35764" xr:uid="{866F215D-BE4C-40A4-B382-4779355363F8}"/>
    <cellStyle name="Migliaia [0] 37 2 3 4" xfId="40880" xr:uid="{2983902F-ED78-4CC3-A42D-39CC82073242}"/>
    <cellStyle name="Migliaia [0] 37 2 3 5" xfId="11801" xr:uid="{0A567758-8E78-4879-881F-E0CFC85A6A1E}"/>
    <cellStyle name="Migliaia [0] 37 2 4" xfId="5947" xr:uid="{4ED181B4-278B-46F9-A99F-74F65201207D}"/>
    <cellStyle name="Migliaia [0] 37 2 4 2" xfId="19648" xr:uid="{2C746332-12AC-4856-B8A1-D08DBFC6AC23}"/>
    <cellStyle name="Migliaia [0] 37 2 5" xfId="2969" xr:uid="{8DA40E09-55B5-4C52-A400-D9336CF9F252}"/>
    <cellStyle name="Migliaia [0] 37 2 5 2" xfId="24081" xr:uid="{7CB1D960-2D5F-48DF-9A44-A54EBDC5C6CD}"/>
    <cellStyle name="Migliaia [0] 37 2 6" xfId="7266" xr:uid="{73B37540-FCB0-4D49-9DB3-5E389972F1DA}"/>
    <cellStyle name="Migliaia [0] 37 3" xfId="1573" xr:uid="{00000000-0005-0000-0000-000050020000}"/>
    <cellStyle name="Migliaia [0] 37 3 2" xfId="4697" xr:uid="{7688EE82-5B25-4483-95DD-0CB3A4A37323}"/>
    <cellStyle name="Migliaia [0] 37 3 2 2" xfId="18331" xr:uid="{43B1B27C-C94C-4B6E-8F49-B5EEC6F2B02F}"/>
    <cellStyle name="Migliaia [0] 37 3 2 2 2" xfId="21781" xr:uid="{F2F6D6C8-231B-40AD-BFED-4AA7FD4F2058}"/>
    <cellStyle name="Migliaia [0] 37 3 2 2 2 2" xfId="38230" xr:uid="{CE8FF80F-2A26-4ECC-9F0E-AF803FB83018}"/>
    <cellStyle name="Migliaia [0] 37 3 2 2 3" xfId="43532" xr:uid="{7EE83B12-B29C-4E9C-BECC-CD26954886DC}"/>
    <cellStyle name="Migliaia [0] 37 3 2 2 4" xfId="32879" xr:uid="{C0759AE9-41B3-4E0C-8516-FF102C2DCC39}"/>
    <cellStyle name="Migliaia [0] 37 3 2 3" xfId="35765" xr:uid="{81BA5ACC-E85D-4D87-9100-8ACD7664DFED}"/>
    <cellStyle name="Migliaia [0] 37 3 2 4" xfId="40881" xr:uid="{930707CF-379A-4714-9C30-F6AC33C02739}"/>
    <cellStyle name="Migliaia [0] 37 3 2 5" xfId="25130" xr:uid="{5EC7C8D0-235E-4657-A939-E47915E84CDD}"/>
    <cellStyle name="Migliaia [0] 37 3 2 6" xfId="50809" xr:uid="{CA43EC19-DB97-4C6D-954C-7DAE4C3FD18B}"/>
    <cellStyle name="Migliaia [0] 37 3 2 7" xfId="53825" xr:uid="{F22705FE-651A-4331-9670-8D8165F7DB12}"/>
    <cellStyle name="Migliaia [0] 37 3 2 8" xfId="17607" xr:uid="{D9865329-0BF0-4032-B874-4878349E9505}"/>
    <cellStyle name="Migliaia [0] 37 3 2 9" xfId="11802" xr:uid="{12C15A31-2973-4FA4-B8F4-959842035226}"/>
    <cellStyle name="Migliaia [0] 37 3 3" xfId="5948" xr:uid="{89769745-8312-4C44-9AC9-E438F4AF19C3}"/>
    <cellStyle name="Migliaia [0] 37 3 3 2" xfId="12375" xr:uid="{ABBD32A8-DD29-479E-A18D-0D6C4D3B3C04}"/>
    <cellStyle name="Migliaia [0] 37 3 4" xfId="2971" xr:uid="{9560137C-3FAD-4A00-B872-4D921230BE19}"/>
    <cellStyle name="Migliaia [0] 37 3 4 2" xfId="21313" xr:uid="{D0198EC4-1F5E-446C-AD29-AB3BCCFC0DF3}"/>
    <cellStyle name="Migliaia [0] 37 3 4 3" xfId="48466" xr:uid="{2F84026F-C95B-4C77-87D7-A156C349D53C}"/>
    <cellStyle name="Migliaia [0] 37 3 4 4" xfId="50328" xr:uid="{F8E175C1-E3A3-4236-8040-6CF760DF11AB}"/>
    <cellStyle name="Migliaia [0] 37 3 4 5" xfId="53344" xr:uid="{2CDC5873-6F05-4CB7-8B5F-31FA19DEBB27}"/>
    <cellStyle name="Migliaia [0] 37 3 4 6" xfId="10678" xr:uid="{EA295B94-E16E-4389-B0C6-F640504696C2}"/>
    <cellStyle name="Migliaia [0] 37 3 5" xfId="19650" xr:uid="{0394D00B-D542-4BFE-A676-54DB154B1585}"/>
    <cellStyle name="Migliaia [0] 37 3 6" xfId="24083" xr:uid="{C7D486BD-E950-4D41-AA47-00D0BF068109}"/>
    <cellStyle name="Migliaia [0] 37 3 7" xfId="8214" xr:uid="{9FF8A63A-D151-4257-9E63-9DE6C45AC465}"/>
    <cellStyle name="Migliaia [0] 37 4" xfId="2972" xr:uid="{3F093CC6-2AF0-4076-B802-88D47EC1625B}"/>
    <cellStyle name="Migliaia [0] 37 4 2" xfId="4698" xr:uid="{62D7847B-C68B-4C3B-8A57-108C2F940BDB}"/>
    <cellStyle name="Migliaia [0] 37 4 2 2" xfId="35099" xr:uid="{55E82B8E-3EA5-4411-AA97-31B486FB539B}"/>
    <cellStyle name="Migliaia [0] 37 4 2 2 2" xfId="40257" xr:uid="{6F0003D1-17A2-404C-AED9-B5A317A15390}"/>
    <cellStyle name="Migliaia [0] 37 4 2 2 3" xfId="45559" xr:uid="{7DA48179-FDBE-4DBD-B5CE-DC1050014664}"/>
    <cellStyle name="Migliaia [0] 37 4 2 3" xfId="37606" xr:uid="{4550A281-20DF-43E2-920B-BEE5C9B6CF83}"/>
    <cellStyle name="Migliaia [0] 37 4 2 4" xfId="42908" xr:uid="{BD96FFD8-1FF2-43E6-A979-D49ABA452CE7}"/>
    <cellStyle name="Migliaia [0] 37 4 2 5" xfId="17039" xr:uid="{BCE3BBF3-7390-4EA1-BA74-19FFCDB79C2B}"/>
    <cellStyle name="Migliaia [0] 37 4 3" xfId="5949" xr:uid="{D8A345F9-0F43-4479-8D35-BB3A7CE28175}"/>
    <cellStyle name="Migliaia [0] 37 4 3 2" xfId="38231" xr:uid="{82286124-2A8B-4B7E-ABCC-2E7203A55F18}"/>
    <cellStyle name="Migliaia [0] 37 4 3 3" xfId="43533" xr:uid="{1EBBF070-EDE6-4F87-B15B-E321D225564C}"/>
    <cellStyle name="Migliaia [0] 37 4 3 4" xfId="32880" xr:uid="{D158E1E7-1485-4981-A47D-F463C90E87FC}"/>
    <cellStyle name="Migliaia [0] 37 4 3 5" xfId="19651" xr:uid="{3D40EFB4-8A24-4FEB-B38F-E3044F9BDB3E}"/>
    <cellStyle name="Migliaia [0] 37 4 4" xfId="35766" xr:uid="{5D028571-C5C5-4B6D-BEA4-E642E85597A8}"/>
    <cellStyle name="Migliaia [0] 37 4 5" xfId="40882" xr:uid="{BDC3070A-5F4C-4E74-8C66-EFEB47CFEC84}"/>
    <cellStyle name="Migliaia [0] 37 4 6" xfId="15981" xr:uid="{B72163BD-1C48-4F65-89CA-6108D590D5E1}"/>
    <cellStyle name="Migliaia [0] 37 4 7" xfId="7794" xr:uid="{FB0056FB-0A01-4F39-9FBE-500B706A4623}"/>
    <cellStyle name="Migliaia [0] 37 5" xfId="4694" xr:uid="{30366D83-1F53-49FD-A952-8FF46B04C8DE}"/>
    <cellStyle name="Migliaia [0] 37 5 2" xfId="32881" xr:uid="{C0D41A63-BB3A-40CB-99B3-1EB7888F477E}"/>
    <cellStyle name="Migliaia [0] 37 5 2 2" xfId="38232" xr:uid="{D3F2F186-92C7-447F-8E20-1AA68E16EEF0}"/>
    <cellStyle name="Migliaia [0] 37 5 2 3" xfId="43534" xr:uid="{843BDDE7-91BF-4E71-8013-524A87E763FE}"/>
    <cellStyle name="Migliaia [0] 37 5 3" xfId="35767" xr:uid="{B432E74D-8658-4EF3-B063-6D0520679184}"/>
    <cellStyle name="Migliaia [0] 37 5 4" xfId="40883" xr:uid="{6B8A38D6-64A0-44EC-977B-D86CC8AB6F76}"/>
    <cellStyle name="Migliaia [0] 37 5 5" xfId="17108" xr:uid="{62C2E4EC-714A-471C-B6EB-53D0821D5324}"/>
    <cellStyle name="Migliaia [0] 37 6" xfId="5946" xr:uid="{5E3D2523-F733-42E1-90A1-057D77C8BFCF}"/>
    <cellStyle name="Migliaia [0] 37 6 2" xfId="38228" xr:uid="{DB934880-04E5-4718-8F7F-CBA57077CD0B}"/>
    <cellStyle name="Migliaia [0] 37 6 3" xfId="43530" xr:uid="{747E5CC1-DEDF-4060-8F49-074F8C1A7364}"/>
    <cellStyle name="Migliaia [0] 37 6 4" xfId="32877" xr:uid="{AB285A3E-4844-4F73-9391-85C50017B2CB}"/>
    <cellStyle name="Migliaia [0] 37 6 5" xfId="19647" xr:uid="{8BE1898B-CC83-48EE-91FA-A3B2A2F882CB}"/>
    <cellStyle name="Migliaia [0] 37 7" xfId="2968" xr:uid="{D95DC1C0-0311-466A-94CE-9442BFE949E9}"/>
    <cellStyle name="Migliaia [0] 37 7 2" xfId="35763" xr:uid="{A1D6322E-F1D5-4DE4-A3DF-8937E81F529D}"/>
    <cellStyle name="Migliaia [0] 37 8" xfId="40879" xr:uid="{334093D9-E8A4-432F-9F43-9C02ECE3CA2E}"/>
    <cellStyle name="Migliaia [0] 37 9" xfId="7015" xr:uid="{5256776A-55E7-4197-A72D-C18C1A1AA294}"/>
    <cellStyle name="Migliaia [0] 38" xfId="273" xr:uid="{00000000-0005-0000-0000-000051020000}"/>
    <cellStyle name="Migliaia [0] 38 2" xfId="1574" xr:uid="{00000000-0005-0000-0000-000052020000}"/>
    <cellStyle name="Migliaia [0] 38 2 2" xfId="1575" xr:uid="{00000000-0005-0000-0000-000053020000}"/>
    <cellStyle name="Migliaia [0] 38 2 2 2" xfId="4701" xr:uid="{BD6959D5-5CED-40ED-AE2E-F7CE47F57AE9}"/>
    <cellStyle name="Migliaia [0] 38 2 2 2 2" xfId="21782" xr:uid="{7FD25924-FA60-45D0-8B1E-9EC430C76EB7}"/>
    <cellStyle name="Migliaia [0] 38 2 2 2 3" xfId="47813" xr:uid="{C4D48C22-CE7D-4EF4-96CA-C6E09EE1CD2D}"/>
    <cellStyle name="Migliaia [0] 38 2 2 2 4" xfId="50810" xr:uid="{EBDA1D81-65EF-4C35-9A66-FFEC17176957}"/>
    <cellStyle name="Migliaia [0] 38 2 2 2 5" xfId="53826" xr:uid="{E1EE3671-CFA2-48FE-A037-6DD9EA68489C}"/>
    <cellStyle name="Migliaia [0] 38 2 2 2 6" xfId="11803" xr:uid="{9C2CEB46-A9D8-403A-806C-6F999FCE2053}"/>
    <cellStyle name="Migliaia [0] 38 2 2 3" xfId="2975" xr:uid="{EFF91115-37E4-4AEF-BB62-2A31ACDE5697}"/>
    <cellStyle name="Migliaia [0] 38 2 2 3 2" xfId="12339" xr:uid="{55B09B53-1936-4EBE-B2CE-A02C0186600C}"/>
    <cellStyle name="Migliaia [0] 38 2 2 4" xfId="10679" xr:uid="{2C10E9DC-60BF-4A6B-BFB2-07BABC8EB9EA}"/>
    <cellStyle name="Migliaia [0] 38 2 2 4 2" xfId="21314" xr:uid="{699BEF9A-8F8C-44CF-A5F4-04EFC9DED0BC}"/>
    <cellStyle name="Migliaia [0] 38 2 2 4 3" xfId="25359" xr:uid="{76B50196-37DE-41BC-A09F-CB4ADDC063E0}"/>
    <cellStyle name="Migliaia [0] 38 2 2 4 4" xfId="50329" xr:uid="{562A6BA2-9CDD-4145-B09F-C1E9CFBA7235}"/>
    <cellStyle name="Migliaia [0] 38 2 2 4 5" xfId="53345" xr:uid="{7AE99349-74A3-4E0C-99F6-C370C9052FBD}"/>
    <cellStyle name="Migliaia [0] 38 2 2 5" xfId="19654" xr:uid="{2A5B8FFB-EE72-4061-9D9A-78F2F97DF9ED}"/>
    <cellStyle name="Migliaia [0] 38 2 2 6" xfId="24085" xr:uid="{D590D3C1-D71C-43B5-B61F-6E0767894553}"/>
    <cellStyle name="Migliaia [0] 38 2 2 7" xfId="48851" xr:uid="{334F7722-EE31-4AFD-94F8-1447CCA61E3B}"/>
    <cellStyle name="Migliaia [0] 38 2 2 8" xfId="49757" xr:uid="{437CEB94-99F3-4DCE-974F-25396666344C}"/>
    <cellStyle name="Migliaia [0] 38 2 2 9" xfId="8457" xr:uid="{65108721-4019-42C9-A4FA-4D0F1E708E8B}"/>
    <cellStyle name="Migliaia [0] 38 2 3" xfId="4700" xr:uid="{16664EEC-BC53-4153-839E-18C5C4A187CC}"/>
    <cellStyle name="Migliaia [0] 38 2 3 2" xfId="32883" xr:uid="{D933618C-D1BC-47C0-BE4A-0FEF431444CB}"/>
    <cellStyle name="Migliaia [0] 38 2 3 2 2" xfId="38234" xr:uid="{8629091B-FA29-4794-B8FC-BB17CFC89EEC}"/>
    <cellStyle name="Migliaia [0] 38 2 3 2 3" xfId="43536" xr:uid="{A78CF600-66B8-4A55-841E-FA8C418E4996}"/>
    <cellStyle name="Migliaia [0] 38 2 3 3" xfId="35769" xr:uid="{C2B0E52C-3810-4109-A96E-A15D08CC93E9}"/>
    <cellStyle name="Migliaia [0] 38 2 3 4" xfId="40885" xr:uid="{501764E0-2FE2-4F0E-BB71-975090412CD1}"/>
    <cellStyle name="Migliaia [0] 38 2 3 5" xfId="11804" xr:uid="{6BD4BC29-5E7F-49C2-AD20-0CA02167F4EC}"/>
    <cellStyle name="Migliaia [0] 38 2 4" xfId="5951" xr:uid="{53444165-4085-46A9-8168-C27C5D0BBCC5}"/>
    <cellStyle name="Migliaia [0] 38 2 4 2" xfId="19653" xr:uid="{6B9B6051-799C-4D47-8C68-E691F6464319}"/>
    <cellStyle name="Migliaia [0] 38 2 5" xfId="2974" xr:uid="{3822B655-0E51-47DE-8651-6832A270281C}"/>
    <cellStyle name="Migliaia [0] 38 2 5 2" xfId="24084" xr:uid="{43BFF4DF-66E5-4D9C-932C-0DE79806FE2F}"/>
    <cellStyle name="Migliaia [0] 38 2 6" xfId="7267" xr:uid="{D48A0937-63BF-4E55-B102-877D70BAA217}"/>
    <cellStyle name="Migliaia [0] 38 3" xfId="1576" xr:uid="{00000000-0005-0000-0000-000054020000}"/>
    <cellStyle name="Migliaia [0] 38 3 2" xfId="4702" xr:uid="{6F66D0F0-81D1-4D25-ADA3-EA445CFC938D}"/>
    <cellStyle name="Migliaia [0] 38 3 2 2" xfId="18332" xr:uid="{B35707C6-D484-4583-885C-F956AFDDB26A}"/>
    <cellStyle name="Migliaia [0] 38 3 2 2 2" xfId="21783" xr:uid="{8860CB47-ABC0-4FC0-B934-90E071F1AEBE}"/>
    <cellStyle name="Migliaia [0] 38 3 2 2 2 2" xfId="38235" xr:uid="{94555AD4-812F-4946-A66A-5A66C1501B34}"/>
    <cellStyle name="Migliaia [0] 38 3 2 2 3" xfId="43537" xr:uid="{E3C7F30A-7572-4516-8C45-48095B197202}"/>
    <cellStyle name="Migliaia [0] 38 3 2 2 4" xfId="32884" xr:uid="{B0534A21-5540-407D-976D-A112B1B97F57}"/>
    <cellStyle name="Migliaia [0] 38 3 2 3" xfId="35770" xr:uid="{3EBC7E28-277A-4EEC-A0FD-934B5282CA54}"/>
    <cellStyle name="Migliaia [0] 38 3 2 4" xfId="40886" xr:uid="{6A78A3F6-2DE3-45A3-9306-3092E3EE9C52}"/>
    <cellStyle name="Migliaia [0] 38 3 2 5" xfId="48042" xr:uid="{91DD1E97-C273-4403-A750-26177F88A4E2}"/>
    <cellStyle name="Migliaia [0] 38 3 2 6" xfId="50811" xr:uid="{4A32B324-2762-4CF9-8C44-99CC6CE9F191}"/>
    <cellStyle name="Migliaia [0] 38 3 2 7" xfId="53827" xr:uid="{469F203A-7559-4A72-8428-A1DEF3E92E86}"/>
    <cellStyle name="Migliaia [0] 38 3 2 8" xfId="17608" xr:uid="{BDC0D432-0E87-46E7-91C1-F1D0F37940D8}"/>
    <cellStyle name="Migliaia [0] 38 3 2 9" xfId="11805" xr:uid="{72441752-27EB-46AB-8F4C-E2E67163062A}"/>
    <cellStyle name="Migliaia [0] 38 3 3" xfId="5952" xr:uid="{EEB67433-A8B3-4725-B6A4-76BD313824F7}"/>
    <cellStyle name="Migliaia [0] 38 3 3 2" xfId="12374" xr:uid="{CE175EBB-1DEA-4459-B96B-6BC51AA22B01}"/>
    <cellStyle name="Migliaia [0] 38 3 4" xfId="2976" xr:uid="{DEF5E573-F308-48FB-9A73-6865D8474A78}"/>
    <cellStyle name="Migliaia [0] 38 3 4 2" xfId="21315" xr:uid="{0E065C6D-F026-4ECE-A45E-255BB749CE28}"/>
    <cellStyle name="Migliaia [0] 38 3 4 3" xfId="48264" xr:uid="{C78E470F-2A7B-47A1-A003-123F4AE816C6}"/>
    <cellStyle name="Migliaia [0] 38 3 4 4" xfId="50330" xr:uid="{80C73897-13C3-49A8-9462-D5A2553AF044}"/>
    <cellStyle name="Migliaia [0] 38 3 4 5" xfId="53346" xr:uid="{2B1787E7-071C-40B8-BC95-800153391C2B}"/>
    <cellStyle name="Migliaia [0] 38 3 4 6" xfId="10680" xr:uid="{FB4B4E42-B49E-45EC-8AF3-2578A7B620BE}"/>
    <cellStyle name="Migliaia [0] 38 3 5" xfId="19655" xr:uid="{4CDE5883-F46D-45D1-891F-40098BC05E13}"/>
    <cellStyle name="Migliaia [0] 38 3 6" xfId="24086" xr:uid="{8B43D69F-8AC2-409E-B14D-48E9752608D6}"/>
    <cellStyle name="Migliaia [0] 38 3 7" xfId="8215" xr:uid="{38559D81-A59F-44BF-84AC-25D9F3E3CC7F}"/>
    <cellStyle name="Migliaia [0] 38 4" xfId="2977" xr:uid="{6584EBAF-C1C2-46DF-BD6B-9415B1C9695F}"/>
    <cellStyle name="Migliaia [0] 38 4 2" xfId="4703" xr:uid="{442F5C5D-ABBC-4779-9519-8B79F8942E6F}"/>
    <cellStyle name="Migliaia [0] 38 4 2 2" xfId="35100" xr:uid="{5F748D44-659B-4D4E-A035-28AD9F1E5E61}"/>
    <cellStyle name="Migliaia [0] 38 4 2 2 2" xfId="40258" xr:uid="{BAA5EB88-EF38-4A45-89EB-39DF0EFC8FC0}"/>
    <cellStyle name="Migliaia [0] 38 4 2 2 3" xfId="45560" xr:uid="{3BE0F041-B777-47EC-8A93-62F86507E4F6}"/>
    <cellStyle name="Migliaia [0] 38 4 2 3" xfId="37607" xr:uid="{DDDE87E6-DA9E-42F2-995D-13B43FF038AA}"/>
    <cellStyle name="Migliaia [0] 38 4 2 4" xfId="42909" xr:uid="{4CC413AC-CE1E-49B0-99DB-D6D916322521}"/>
    <cellStyle name="Migliaia [0] 38 4 2 5" xfId="17040" xr:uid="{ABD0DED5-0BF3-4B73-B712-7786E56EFAB9}"/>
    <cellStyle name="Migliaia [0] 38 4 3" xfId="5953" xr:uid="{AA9A3FEE-C824-4980-9C93-7C5B8FCA4BB0}"/>
    <cellStyle name="Migliaia [0] 38 4 3 2" xfId="38236" xr:uid="{D8103333-C317-491B-A53B-87CF1C0F2930}"/>
    <cellStyle name="Migliaia [0] 38 4 3 3" xfId="43538" xr:uid="{122558BF-3364-4949-84AE-019B774A7532}"/>
    <cellStyle name="Migliaia [0] 38 4 3 4" xfId="32885" xr:uid="{EEE94551-40FE-467C-A5ED-160283AF821D}"/>
    <cellStyle name="Migliaia [0] 38 4 3 5" xfId="19656" xr:uid="{65435B9C-AB74-49FB-880E-3DF75367D1ED}"/>
    <cellStyle name="Migliaia [0] 38 4 4" xfId="35771" xr:uid="{693C5496-BAF7-4568-B539-720AE241AF83}"/>
    <cellStyle name="Migliaia [0] 38 4 5" xfId="40887" xr:uid="{8A726177-53DE-4FF8-9FC4-FD13605F346B}"/>
    <cellStyle name="Migliaia [0] 38 4 6" xfId="15982" xr:uid="{DAA0F5BF-F8CF-40D9-9ECD-C563ED039E9F}"/>
    <cellStyle name="Migliaia [0] 38 4 7" xfId="7795" xr:uid="{F1756E76-DBC5-4EA0-9638-849C4D99C39A}"/>
    <cellStyle name="Migliaia [0] 38 5" xfId="4699" xr:uid="{584A6843-AF8E-41DF-8A28-45672D035C8C}"/>
    <cellStyle name="Migliaia [0] 38 5 2" xfId="32886" xr:uid="{8776FFD2-1A2F-4E59-BAE0-24E7EF2CAF6D}"/>
    <cellStyle name="Migliaia [0] 38 5 2 2" xfId="38237" xr:uid="{1C8D7A98-5F15-4D57-B5EC-9F1DB6BF477D}"/>
    <cellStyle name="Migliaia [0] 38 5 2 3" xfId="43539" xr:uid="{5B5549B4-228F-4ECF-B455-465F093FC2F6}"/>
    <cellStyle name="Migliaia [0] 38 5 3" xfId="35772" xr:uid="{D1888D9D-3FB6-4551-9182-DD2B9D833D25}"/>
    <cellStyle name="Migliaia [0] 38 5 4" xfId="40888" xr:uid="{C1D02F65-752E-4EF7-96FB-AF6891015C5E}"/>
    <cellStyle name="Migliaia [0] 38 5 5" xfId="17109" xr:uid="{A79D2EC9-2ADD-4D92-8AD4-A852385F7EC5}"/>
    <cellStyle name="Migliaia [0] 38 6" xfId="5950" xr:uid="{A7B96F3E-DF5E-4218-BC3D-7716FBF6C591}"/>
    <cellStyle name="Migliaia [0] 38 6 2" xfId="38233" xr:uid="{D404121D-A6C8-420D-9857-52CCFE4BAE98}"/>
    <cellStyle name="Migliaia [0] 38 6 3" xfId="43535" xr:uid="{6D5A483C-8135-4D86-B20F-97E77185B2B4}"/>
    <cellStyle name="Migliaia [0] 38 6 4" xfId="32882" xr:uid="{51D2F216-65FF-43E4-B226-43ECC9EE3599}"/>
    <cellStyle name="Migliaia [0] 38 6 5" xfId="19652" xr:uid="{A5251B72-173E-436D-8ADC-CA609F27DB8F}"/>
    <cellStyle name="Migliaia [0] 38 7" xfId="2973" xr:uid="{395AC7A6-3E82-4A59-98C8-EAED3ACF246A}"/>
    <cellStyle name="Migliaia [0] 38 7 2" xfId="35768" xr:uid="{4D2C7B78-B5D7-4ED6-9310-264AC32EC6E9}"/>
    <cellStyle name="Migliaia [0] 38 8" xfId="40884" xr:uid="{F917604F-C496-4CA2-947C-A0D2B81BEAE0}"/>
    <cellStyle name="Migliaia [0] 38 9" xfId="7016" xr:uid="{492D7842-18C6-4163-8E2E-1502BF767325}"/>
    <cellStyle name="Migliaia [0] 39" xfId="274" xr:uid="{00000000-0005-0000-0000-000055020000}"/>
    <cellStyle name="Migliaia [0] 39 2" xfId="1577" xr:uid="{00000000-0005-0000-0000-000056020000}"/>
    <cellStyle name="Migliaia [0] 39 2 2" xfId="1578" xr:uid="{00000000-0005-0000-0000-000057020000}"/>
    <cellStyle name="Migliaia [0] 39 2 2 2" xfId="4706" xr:uid="{8828DD60-1164-442E-A855-02D1B9E4DD34}"/>
    <cellStyle name="Migliaia [0] 39 2 2 2 2" xfId="21784" xr:uid="{9BB48406-B2F2-40F6-BD96-E226C0F00D31}"/>
    <cellStyle name="Migliaia [0] 39 2 2 2 3" xfId="48484" xr:uid="{22C34EDE-AF5F-4CD9-A580-4D454935EE7C}"/>
    <cellStyle name="Migliaia [0] 39 2 2 2 4" xfId="50812" xr:uid="{E2D85156-71A6-4614-B409-26CB3EBDAD70}"/>
    <cellStyle name="Migliaia [0] 39 2 2 2 5" xfId="53828" xr:uid="{C695A5F1-3F08-4299-88F4-2213D08E79CA}"/>
    <cellStyle name="Migliaia [0] 39 2 2 2 6" xfId="11806" xr:uid="{945611B2-ED35-4896-BD25-19FA2A43EDE8}"/>
    <cellStyle name="Migliaia [0] 39 2 2 3" xfId="2980" xr:uid="{5A374EB6-2F63-4C67-ABDA-FB948117B2A4}"/>
    <cellStyle name="Migliaia [0] 39 2 2 3 2" xfId="12182" xr:uid="{FC283C3E-9EA6-43CD-BB11-9A0147D19589}"/>
    <cellStyle name="Migliaia [0] 39 2 2 4" xfId="10681" xr:uid="{5717E317-5604-47AF-95D2-6A2DF57A8C88}"/>
    <cellStyle name="Migliaia [0] 39 2 2 4 2" xfId="21316" xr:uid="{17040F80-70F5-44BF-B24E-D25483353892}"/>
    <cellStyle name="Migliaia [0] 39 2 2 4 3" xfId="46637" xr:uid="{26BBD8CB-E17D-4A22-9D3F-B594BA5DBB2C}"/>
    <cellStyle name="Migliaia [0] 39 2 2 4 4" xfId="50331" xr:uid="{9C878354-0795-48D6-BCE5-E382860C2D31}"/>
    <cellStyle name="Migliaia [0] 39 2 2 4 5" xfId="53347" xr:uid="{0F747F58-DAFE-4C65-B46C-D10FD4530DC6}"/>
    <cellStyle name="Migliaia [0] 39 2 2 5" xfId="19659" xr:uid="{1FAD51CA-E7E5-4849-B98D-90FF2FD6889D}"/>
    <cellStyle name="Migliaia [0] 39 2 2 6" xfId="24088" xr:uid="{00C93F35-7E92-4288-8CD5-4630D72295DF}"/>
    <cellStyle name="Migliaia [0] 39 2 2 7" xfId="48852" xr:uid="{B7B7C719-A636-4136-8D19-8E3912149256}"/>
    <cellStyle name="Migliaia [0] 39 2 2 8" xfId="49758" xr:uid="{7F7AF574-73AB-43A8-B2C3-FE72F1305B4E}"/>
    <cellStyle name="Migliaia [0] 39 2 2 9" xfId="8458" xr:uid="{1B8776CC-F640-4B31-99D2-B3013DE01DB4}"/>
    <cellStyle name="Migliaia [0] 39 2 3" xfId="4705" xr:uid="{1B13F257-DE88-47D4-A53B-C152D3E952B4}"/>
    <cellStyle name="Migliaia [0] 39 2 3 2" xfId="32888" xr:uid="{F0C48E16-2EC3-4B99-AF18-1DA94B6EC8DE}"/>
    <cellStyle name="Migliaia [0] 39 2 3 2 2" xfId="38239" xr:uid="{B3ACD753-B493-47C9-9F0F-F11389E16CD0}"/>
    <cellStyle name="Migliaia [0] 39 2 3 2 3" xfId="43541" xr:uid="{7F77A431-9E28-403D-9307-0233924C202D}"/>
    <cellStyle name="Migliaia [0] 39 2 3 3" xfId="35774" xr:uid="{1F60319F-1D84-4CD4-AA95-0D3C76610DBB}"/>
    <cellStyle name="Migliaia [0] 39 2 3 4" xfId="40890" xr:uid="{175B41B7-06AC-4070-A7C6-2350F13F3AEB}"/>
    <cellStyle name="Migliaia [0] 39 2 3 5" xfId="11807" xr:uid="{3610B41F-EC1B-47B1-B7FC-91EEC3CFBA62}"/>
    <cellStyle name="Migliaia [0] 39 2 4" xfId="5955" xr:uid="{06DA20B4-0A0F-44B2-97FD-48FB18AF8762}"/>
    <cellStyle name="Migliaia [0] 39 2 4 2" xfId="19658" xr:uid="{A4D06E10-EBD2-4AF8-915F-00B7C445C8CD}"/>
    <cellStyle name="Migliaia [0] 39 2 5" xfId="2979" xr:uid="{F8803A83-3151-4E03-BC9D-0A1188E14613}"/>
    <cellStyle name="Migliaia [0] 39 2 5 2" xfId="24087" xr:uid="{5E9F77AE-CF6E-4707-9744-403254F217B2}"/>
    <cellStyle name="Migliaia [0] 39 2 6" xfId="7268" xr:uid="{0706E053-8303-4211-B9DB-69A922DAEE66}"/>
    <cellStyle name="Migliaia [0] 39 3" xfId="1579" xr:uid="{00000000-0005-0000-0000-000058020000}"/>
    <cellStyle name="Migliaia [0] 39 3 2" xfId="4707" xr:uid="{BA4005BC-1F3E-4079-80B0-B3205CF55272}"/>
    <cellStyle name="Migliaia [0] 39 3 2 2" xfId="18333" xr:uid="{CD1A96AD-AD88-4F52-A88C-DABF413A7B93}"/>
    <cellStyle name="Migliaia [0] 39 3 2 2 2" xfId="21785" xr:uid="{D101090C-BE71-4EE2-96B0-8368863C7F8F}"/>
    <cellStyle name="Migliaia [0] 39 3 2 2 2 2" xfId="38240" xr:uid="{CBCBD9DB-E8B2-4B7A-8B36-5EF639BE4E1C}"/>
    <cellStyle name="Migliaia [0] 39 3 2 2 3" xfId="43542" xr:uid="{51677BD2-7921-4AE0-AA78-9419FD28E270}"/>
    <cellStyle name="Migliaia [0] 39 3 2 2 4" xfId="32889" xr:uid="{70DED1F3-B0C4-47CE-AFB6-6B17E0512005}"/>
    <cellStyle name="Migliaia [0] 39 3 2 3" xfId="35775" xr:uid="{01D42635-A28C-4857-BE42-667DFFE28C57}"/>
    <cellStyle name="Migliaia [0] 39 3 2 4" xfId="40891" xr:uid="{9B6B44BC-EE05-4A3B-912D-532BF6070AE9}"/>
    <cellStyle name="Migliaia [0] 39 3 2 5" xfId="25129" xr:uid="{89321EED-D1B2-473E-B183-58310CC1E3CC}"/>
    <cellStyle name="Migliaia [0] 39 3 2 6" xfId="50813" xr:uid="{4420A1FC-9732-45F6-B78F-618228E9F549}"/>
    <cellStyle name="Migliaia [0] 39 3 2 7" xfId="53829" xr:uid="{54314E1C-563C-4791-A559-59EDE2168528}"/>
    <cellStyle name="Migliaia [0] 39 3 2 8" xfId="17609" xr:uid="{6F68A210-072F-4FBB-B78E-DF2F66D50F4A}"/>
    <cellStyle name="Migliaia [0] 39 3 2 9" xfId="11808" xr:uid="{57989DD1-82EA-4F74-822F-9D2BFCBAC65C}"/>
    <cellStyle name="Migliaia [0] 39 3 3" xfId="5956" xr:uid="{E9897F66-8636-417F-84C8-5C69F169153F}"/>
    <cellStyle name="Migliaia [0] 39 3 3 2" xfId="12189" xr:uid="{B39BE6A3-9171-4AD2-BC03-7DE45C0D5D99}"/>
    <cellStyle name="Migliaia [0] 39 3 4" xfId="2981" xr:uid="{A2B29CC0-E49E-468F-B523-D63FB3B13651}"/>
    <cellStyle name="Migliaia [0] 39 3 4 2" xfId="21317" xr:uid="{4A97A334-6DAD-475F-ABCD-B7A0C2F8990D}"/>
    <cellStyle name="Migliaia [0] 39 3 4 3" xfId="47143" xr:uid="{AC251C71-93D5-441F-81F3-531646E2C409}"/>
    <cellStyle name="Migliaia [0] 39 3 4 4" xfId="50332" xr:uid="{E55844ED-2CE6-4A13-A402-8C5979EEDFE7}"/>
    <cellStyle name="Migliaia [0] 39 3 4 5" xfId="53348" xr:uid="{6BF9D828-E3C7-4AEB-9966-34957B6ECE3D}"/>
    <cellStyle name="Migliaia [0] 39 3 4 6" xfId="10682" xr:uid="{116A54AB-79AD-4E3A-91B2-C413FC0C1433}"/>
    <cellStyle name="Migliaia [0] 39 3 5" xfId="19660" xr:uid="{C7ADE0CB-67D0-4A9A-9710-4264F7DCE979}"/>
    <cellStyle name="Migliaia [0] 39 3 6" xfId="24089" xr:uid="{AFE15A46-35D6-4E4D-A36D-3A7F68865F5C}"/>
    <cellStyle name="Migliaia [0] 39 3 7" xfId="8216" xr:uid="{D0508500-17A1-47A1-B56F-2C61346E5EE3}"/>
    <cellStyle name="Migliaia [0] 39 4" xfId="2982" xr:uid="{04F465FF-822F-41B9-AC29-46ECD945B5E0}"/>
    <cellStyle name="Migliaia [0] 39 4 2" xfId="4708" xr:uid="{35E526DF-732D-4B74-83A7-DE912F68DF1D}"/>
    <cellStyle name="Migliaia [0] 39 4 2 2" xfId="35101" xr:uid="{B3E12873-3E5E-4415-A64B-1AA5AC401C5D}"/>
    <cellStyle name="Migliaia [0] 39 4 2 2 2" xfId="40259" xr:uid="{B74E38A7-7F39-4E6D-B9B4-C28900296A1A}"/>
    <cellStyle name="Migliaia [0] 39 4 2 2 3" xfId="45561" xr:uid="{1F8A0512-50B1-4752-8463-642BD300316B}"/>
    <cellStyle name="Migliaia [0] 39 4 2 3" xfId="37608" xr:uid="{D90AB5DF-1965-488E-A370-EEB0CA783A94}"/>
    <cellStyle name="Migliaia [0] 39 4 2 4" xfId="42910" xr:uid="{B9C20D9C-DDC1-49BD-9E5B-F0872A30592C}"/>
    <cellStyle name="Migliaia [0] 39 4 2 5" xfId="17041" xr:uid="{7AA36A89-49C4-4E17-876D-5B24A56DA52F}"/>
    <cellStyle name="Migliaia [0] 39 4 3" xfId="5957" xr:uid="{AB77DEC9-899A-4654-B95C-814CB727CB47}"/>
    <cellStyle name="Migliaia [0] 39 4 3 2" xfId="38241" xr:uid="{0F7DDDBD-4127-4F66-851E-F96AE9A24E58}"/>
    <cellStyle name="Migliaia [0] 39 4 3 3" xfId="43543" xr:uid="{E05077DA-3EE7-4305-864C-34C5BA2C2D37}"/>
    <cellStyle name="Migliaia [0] 39 4 3 4" xfId="32890" xr:uid="{04D6B8A5-9F45-4F50-97F5-4DA215ED7FD7}"/>
    <cellStyle name="Migliaia [0] 39 4 3 5" xfId="19661" xr:uid="{5D81C486-7D83-4D9C-A9A5-6F4397267B82}"/>
    <cellStyle name="Migliaia [0] 39 4 4" xfId="35776" xr:uid="{9C754478-86B9-4F79-90F1-2DC733C4CEC5}"/>
    <cellStyle name="Migliaia [0] 39 4 5" xfId="40892" xr:uid="{DF50652B-59B9-4DE6-A27B-72B1AA9B480E}"/>
    <cellStyle name="Migliaia [0] 39 4 6" xfId="15983" xr:uid="{2ECAB8DA-5DB4-45AB-8138-8F6E1A10DFD7}"/>
    <cellStyle name="Migliaia [0] 39 4 7" xfId="7796" xr:uid="{7EE6F40C-6E7F-4D26-BF0B-B5BEB0428E11}"/>
    <cellStyle name="Migliaia [0] 39 5" xfId="4704" xr:uid="{D4A85247-552B-4B03-B85D-1403BD23A759}"/>
    <cellStyle name="Migliaia [0] 39 5 2" xfId="32891" xr:uid="{EC2688DB-AC45-43FC-9E4E-5A5A60906AE1}"/>
    <cellStyle name="Migliaia [0] 39 5 2 2" xfId="38242" xr:uid="{7A95DE1C-AB5E-465B-97B4-E66B02B2E137}"/>
    <cellStyle name="Migliaia [0] 39 5 2 3" xfId="43544" xr:uid="{57E49B5E-D2E9-448A-8B28-DBA41A834D3A}"/>
    <cellStyle name="Migliaia [0] 39 5 3" xfId="35777" xr:uid="{9F3F90C2-AA06-4E0A-86CE-D6E713D49809}"/>
    <cellStyle name="Migliaia [0] 39 5 4" xfId="40893" xr:uid="{06591F37-E6FA-4BFF-B29A-6319815D22E7}"/>
    <cellStyle name="Migliaia [0] 39 5 5" xfId="17110" xr:uid="{4A323C6C-354F-4785-A2CB-D621EC08C38C}"/>
    <cellStyle name="Migliaia [0] 39 6" xfId="5954" xr:uid="{609725EE-1C69-4426-AB55-C78BF62B398B}"/>
    <cellStyle name="Migliaia [0] 39 6 2" xfId="38238" xr:uid="{600CE25F-015E-49A5-8BD9-4F050EB3543B}"/>
    <cellStyle name="Migliaia [0] 39 6 3" xfId="43540" xr:uid="{95EB8022-4916-4673-AE3A-54015C4748E0}"/>
    <cellStyle name="Migliaia [0] 39 6 4" xfId="32887" xr:uid="{43B6E1E7-3839-4563-9CAD-891C58E7C3B6}"/>
    <cellStyle name="Migliaia [0] 39 6 5" xfId="19657" xr:uid="{5A55E791-728F-44AC-A8E2-5DCA23C98B8C}"/>
    <cellStyle name="Migliaia [0] 39 7" xfId="2978" xr:uid="{57442825-9EB6-4E55-8EA9-84FC541AF922}"/>
    <cellStyle name="Migliaia [0] 39 7 2" xfId="35773" xr:uid="{DB16457A-B9F1-4A92-8EAE-857918835D31}"/>
    <cellStyle name="Migliaia [0] 39 8" xfId="40889" xr:uid="{EC2BBA2D-11EB-465B-BE6E-C47A071F5DD4}"/>
    <cellStyle name="Migliaia [0] 39 9" xfId="7017" xr:uid="{AFFA8588-5CF8-4D2B-8905-925E8E494FE5}"/>
    <cellStyle name="Migliaia [0] 4" xfId="275" xr:uid="{00000000-0005-0000-0000-000059020000}"/>
    <cellStyle name="Migliaia [0] 4 2" xfId="1580" xr:uid="{00000000-0005-0000-0000-00005A020000}"/>
    <cellStyle name="Migliaia [0] 4 2 2" xfId="1581" xr:uid="{00000000-0005-0000-0000-00005B020000}"/>
    <cellStyle name="Migliaia [0] 4 2 2 2" xfId="4711" xr:uid="{A8D51E7E-B26C-4AF3-82CB-F79A0EA8AB30}"/>
    <cellStyle name="Migliaia [0] 4 2 2 2 2" xfId="21786" xr:uid="{C5F34E63-39B1-414E-883F-165CD1175F48}"/>
    <cellStyle name="Migliaia [0] 4 2 2 2 3" xfId="48392" xr:uid="{8925B4F8-0683-470F-BBA5-8D4C7A67F2C0}"/>
    <cellStyle name="Migliaia [0] 4 2 2 2 4" xfId="50814" xr:uid="{6103C231-28F7-422D-BF61-C039742AB0E0}"/>
    <cellStyle name="Migliaia [0] 4 2 2 2 5" xfId="53830" xr:uid="{A1FF8789-52B6-4D23-98E6-DB6B672A30B5}"/>
    <cellStyle name="Migliaia [0] 4 2 2 2 6" xfId="11809" xr:uid="{73CB7760-5F67-4C3A-98D7-6E4B411F9554}"/>
    <cellStyle name="Migliaia [0] 4 2 2 3" xfId="2985" xr:uid="{A383A480-D694-41D9-AA73-C66761A9562E}"/>
    <cellStyle name="Migliaia [0] 4 2 2 3 2" xfId="11554" xr:uid="{604923D4-9E36-42C6-808A-43D45A59B051}"/>
    <cellStyle name="Migliaia [0] 4 2 2 4" xfId="10683" xr:uid="{F0778B85-A02D-44A1-9577-C4BE1B4AC927}"/>
    <cellStyle name="Migliaia [0] 4 2 2 4 2" xfId="21318" xr:uid="{CF0050F5-B8E6-4E20-8FC8-F55FCFC91EE8}"/>
    <cellStyle name="Migliaia [0] 4 2 2 4 3" xfId="47997" xr:uid="{4F87CC58-8192-4C39-85F1-8C4826D91A16}"/>
    <cellStyle name="Migliaia [0] 4 2 2 4 4" xfId="50333" xr:uid="{0B2C2F4E-3EB7-4ED6-AE23-7CE41E4CB567}"/>
    <cellStyle name="Migliaia [0] 4 2 2 4 5" xfId="53349" xr:uid="{0256DE75-7C32-4ED6-89F0-425A787849A8}"/>
    <cellStyle name="Migliaia [0] 4 2 2 5" xfId="19664" xr:uid="{96D466F1-B2F6-4D1F-9F6D-2C6DA176E745}"/>
    <cellStyle name="Migliaia [0] 4 2 2 6" xfId="24091" xr:uid="{71C43F76-5EE2-4CC5-AE9E-330ED977F6B2}"/>
    <cellStyle name="Migliaia [0] 4 2 2 7" xfId="48853" xr:uid="{8C379A9A-39FA-47C7-8C5E-9FF06FD89A47}"/>
    <cellStyle name="Migliaia [0] 4 2 2 8" xfId="49759" xr:uid="{2130414D-4FD9-4B5F-AA0B-25D6F731E72E}"/>
    <cellStyle name="Migliaia [0] 4 2 2 9" xfId="8459" xr:uid="{112867D1-E474-4114-A333-9E6489DAB418}"/>
    <cellStyle name="Migliaia [0] 4 2 3" xfId="4710" xr:uid="{0853E942-ACF7-4A33-A9F8-069F0691215C}"/>
    <cellStyle name="Migliaia [0] 4 2 3 2" xfId="32893" xr:uid="{DB0E16D7-D941-48FF-90EA-8C8B7C52A8D9}"/>
    <cellStyle name="Migliaia [0] 4 2 3 2 2" xfId="38244" xr:uid="{108BA6F1-8D1B-4CE0-A936-9F6B1252727E}"/>
    <cellStyle name="Migliaia [0] 4 2 3 2 3" xfId="43546" xr:uid="{9D77276F-A197-4FEF-A7E7-67E9FCB3D492}"/>
    <cellStyle name="Migliaia [0] 4 2 3 3" xfId="35779" xr:uid="{9E31711D-9FC4-4319-8A97-C247D278EA3D}"/>
    <cellStyle name="Migliaia [0] 4 2 3 4" xfId="40895" xr:uid="{31022C44-4D69-4F86-BA28-ABCB1D5DCEF6}"/>
    <cellStyle name="Migliaia [0] 4 2 3 5" xfId="11810" xr:uid="{E781DEA9-677B-49E2-B081-B5B79F796962}"/>
    <cellStyle name="Migliaia [0] 4 2 4" xfId="5959" xr:uid="{AC00550F-3445-49F1-BEAE-598EAC6BF382}"/>
    <cellStyle name="Migliaia [0] 4 2 4 2" xfId="19663" xr:uid="{A93F2750-235A-4ED9-8545-61771AF74C64}"/>
    <cellStyle name="Migliaia [0] 4 2 5" xfId="2984" xr:uid="{CB410A93-260E-4F91-8A5D-DF451A0AA143}"/>
    <cellStyle name="Migliaia [0] 4 2 5 2" xfId="24090" xr:uid="{F2A7F8AD-175C-4F28-A456-2668C7B490DD}"/>
    <cellStyle name="Migliaia [0] 4 2 6" xfId="7269" xr:uid="{3B2D2848-DA4C-44DE-8262-7B5971B1419A}"/>
    <cellStyle name="Migliaia [0] 4 3" xfId="1582" xr:uid="{00000000-0005-0000-0000-00005C020000}"/>
    <cellStyle name="Migliaia [0] 4 3 2" xfId="4712" xr:uid="{23C4E08D-7B61-47F6-A95E-71E0DB03C204}"/>
    <cellStyle name="Migliaia [0] 4 3 2 2" xfId="18334" xr:uid="{CF0354C9-C827-41E0-821E-D7CF346EB4FD}"/>
    <cellStyle name="Migliaia [0] 4 3 2 2 2" xfId="21787" xr:uid="{265FA5DF-74D9-42A9-B66D-D83B769D6CE4}"/>
    <cellStyle name="Migliaia [0] 4 3 2 2 2 2" xfId="38245" xr:uid="{3A091756-63C3-4E3F-BEED-E4D54DEB9FED}"/>
    <cellStyle name="Migliaia [0] 4 3 2 2 3" xfId="43547" xr:uid="{69F5B322-B9BD-4284-BEB1-E885C40E97EB}"/>
    <cellStyle name="Migliaia [0] 4 3 2 2 4" xfId="32894" xr:uid="{4E11FE5C-B78B-49D1-A2AD-5C31D9E7F8DF}"/>
    <cellStyle name="Migliaia [0] 4 3 2 3" xfId="35780" xr:uid="{8AA71120-C2AB-4853-BC71-26BDB258DFB1}"/>
    <cellStyle name="Migliaia [0] 4 3 2 4" xfId="40896" xr:uid="{2F4212F6-6386-4E4F-9445-AF32F933E3DE}"/>
    <cellStyle name="Migliaia [0] 4 3 2 5" xfId="32370" xr:uid="{CAB32EF1-A193-4BAD-BA5B-67CCB0353E55}"/>
    <cellStyle name="Migliaia [0] 4 3 2 6" xfId="50815" xr:uid="{EC847EC3-C95C-4EC9-B089-2AD9F734DCD0}"/>
    <cellStyle name="Migliaia [0] 4 3 2 7" xfId="53831" xr:uid="{F9C167A1-EE19-418B-9E62-CFE9ABEF52CB}"/>
    <cellStyle name="Migliaia [0] 4 3 2 8" xfId="17610" xr:uid="{944EFEC0-5ADC-41EF-A064-3506898C2780}"/>
    <cellStyle name="Migliaia [0] 4 3 2 9" xfId="11811" xr:uid="{6AEF5F13-78BF-42D0-8DBB-993FF4B8044E}"/>
    <cellStyle name="Migliaia [0] 4 3 3" xfId="5960" xr:uid="{9AAE206C-8548-40B8-B0BF-40528F25F033}"/>
    <cellStyle name="Migliaia [0] 4 3 3 2" xfId="11173" xr:uid="{10F69F88-B3CE-4232-A4BC-62977202A9D6}"/>
    <cellStyle name="Migliaia [0] 4 3 4" xfId="2986" xr:uid="{531F806B-1B91-43E6-B0DA-EC3D2C180126}"/>
    <cellStyle name="Migliaia [0] 4 3 4 2" xfId="21319" xr:uid="{401EC739-0706-40C2-87CF-DFEB970583C2}"/>
    <cellStyle name="Migliaia [0] 4 3 4 3" xfId="48236" xr:uid="{F58EF451-5EDE-4145-A331-1996BCA8CDE8}"/>
    <cellStyle name="Migliaia [0] 4 3 4 4" xfId="50334" xr:uid="{794C4813-9B63-43F3-9CC7-CB48B65B6C1F}"/>
    <cellStyle name="Migliaia [0] 4 3 4 5" xfId="53350" xr:uid="{460D06E7-C2AB-495F-A102-F46AF168737B}"/>
    <cellStyle name="Migliaia [0] 4 3 4 6" xfId="10684" xr:uid="{5D8DA988-7B0A-476D-95A9-FAA042790C02}"/>
    <cellStyle name="Migliaia [0] 4 3 5" xfId="19665" xr:uid="{26E6A0DE-2547-4205-9FF3-F9155745280B}"/>
    <cellStyle name="Migliaia [0] 4 3 6" xfId="24092" xr:uid="{13F8FFD1-4E8C-410B-AD59-754E46C37757}"/>
    <cellStyle name="Migliaia [0] 4 3 7" xfId="8217" xr:uid="{03AAD740-B200-4AB2-A181-D48BFFCF6636}"/>
    <cellStyle name="Migliaia [0] 4 4" xfId="2987" xr:uid="{8941C3D6-A640-40BA-A107-8FDF0782425C}"/>
    <cellStyle name="Migliaia [0] 4 4 2" xfId="4713" xr:uid="{AFE59084-D100-4D02-ACE1-FDD1F34B03E6}"/>
    <cellStyle name="Migliaia [0] 4 4 2 2" xfId="35102" xr:uid="{B05E7541-BA70-4079-AB17-8F532D8F9643}"/>
    <cellStyle name="Migliaia [0] 4 4 2 2 2" xfId="40260" xr:uid="{6A9C65DD-DDD6-474F-B431-61D0F2ACE1FE}"/>
    <cellStyle name="Migliaia [0] 4 4 2 2 3" xfId="45562" xr:uid="{77B5DFAB-9073-4BBB-BB67-ED6ADC1EF8C0}"/>
    <cellStyle name="Migliaia [0] 4 4 2 3" xfId="37609" xr:uid="{D2D9472D-D128-4C7D-8CD7-A0044AA6C296}"/>
    <cellStyle name="Migliaia [0] 4 4 2 4" xfId="42911" xr:uid="{7BDAFFFC-CF76-4D29-8705-F5AE2990D72D}"/>
    <cellStyle name="Migliaia [0] 4 4 2 5" xfId="17042" xr:uid="{9684D0A3-CD52-444E-8143-AD42F62B496C}"/>
    <cellStyle name="Migliaia [0] 4 4 3" xfId="5961" xr:uid="{D4910B4A-BE3E-4111-BBDC-7E5D40BD3C02}"/>
    <cellStyle name="Migliaia [0] 4 4 3 2" xfId="38246" xr:uid="{AB47F1D9-56CF-4C43-AA0B-BEE78AE79EB6}"/>
    <cellStyle name="Migliaia [0] 4 4 3 3" xfId="43548" xr:uid="{2019A65A-847F-4A61-875E-6358A90D0CB4}"/>
    <cellStyle name="Migliaia [0] 4 4 3 4" xfId="32895" xr:uid="{A009937C-B87A-41FA-BE04-226D7338981D}"/>
    <cellStyle name="Migliaia [0] 4 4 3 5" xfId="19666" xr:uid="{490DCFED-6986-4AA4-9009-D9D15B7C5B9A}"/>
    <cellStyle name="Migliaia [0] 4 4 4" xfId="35781" xr:uid="{CBD1CBC9-BF70-4EA1-BE9C-2B7AA291D57F}"/>
    <cellStyle name="Migliaia [0] 4 4 5" xfId="40897" xr:uid="{CB41DB00-4795-40D5-AB33-AA4C7537F6FD}"/>
    <cellStyle name="Migliaia [0] 4 4 6" xfId="15984" xr:uid="{267D780A-24F1-46D8-81D7-63D011BB2D66}"/>
    <cellStyle name="Migliaia [0] 4 4 7" xfId="7797" xr:uid="{089386C0-742C-42D7-AE0C-7DC76E780AFD}"/>
    <cellStyle name="Migliaia [0] 4 5" xfId="4709" xr:uid="{FA9F9C77-8651-47CB-9DFB-1EACDC63AE1A}"/>
    <cellStyle name="Migliaia [0] 4 5 2" xfId="32896" xr:uid="{6039CF5A-47FF-4D38-AC67-13DE729991BE}"/>
    <cellStyle name="Migliaia [0] 4 5 2 2" xfId="38247" xr:uid="{4FD9FD14-EFE6-419C-987F-3C0319337E4C}"/>
    <cellStyle name="Migliaia [0] 4 5 2 3" xfId="43549" xr:uid="{146B8DD3-CF79-4773-B5A7-18A54FA75B97}"/>
    <cellStyle name="Migliaia [0] 4 5 3" xfId="35782" xr:uid="{CCF9D934-58AB-4006-BFF2-F564F53B5D10}"/>
    <cellStyle name="Migliaia [0] 4 5 4" xfId="40898" xr:uid="{9EBE4F33-9CF7-445A-8E0D-349DD156CC19}"/>
    <cellStyle name="Migliaia [0] 4 5 5" xfId="17111" xr:uid="{172C4A04-4F84-4C87-996C-CF27B6E543F4}"/>
    <cellStyle name="Migliaia [0] 4 6" xfId="5958" xr:uid="{0C823775-9FA2-4071-B96A-4A8C4574FDE0}"/>
    <cellStyle name="Migliaia [0] 4 6 2" xfId="38243" xr:uid="{B4C15AD1-4D47-4CF9-B224-812A1814A8EA}"/>
    <cellStyle name="Migliaia [0] 4 6 3" xfId="43545" xr:uid="{F7F4F21A-7F0D-4EC9-ADDC-752423A35C1B}"/>
    <cellStyle name="Migliaia [0] 4 6 4" xfId="32892" xr:uid="{11B30188-1E29-42E8-97FD-8AD749C556A4}"/>
    <cellStyle name="Migliaia [0] 4 6 5" xfId="19662" xr:uid="{265388DD-F65C-4109-9A7B-CBD066FC5032}"/>
    <cellStyle name="Migliaia [0] 4 7" xfId="2983" xr:uid="{7A2323BA-FF54-4B66-A963-26B775D5A617}"/>
    <cellStyle name="Migliaia [0] 4 7 2" xfId="35778" xr:uid="{B7723D02-CC38-4844-A678-B383A1ED6998}"/>
    <cellStyle name="Migliaia [0] 4 8" xfId="40894" xr:uid="{539142E4-18BE-44C4-B890-1CFA02BC36CD}"/>
    <cellStyle name="Migliaia [0] 4 9" xfId="7018" xr:uid="{9B740307-6FA2-481C-9D1C-49CF4762B5AD}"/>
    <cellStyle name="Migliaia [0] 40" xfId="276" xr:uid="{00000000-0005-0000-0000-00005D020000}"/>
    <cellStyle name="Migliaia [0] 40 2" xfId="1583" xr:uid="{00000000-0005-0000-0000-00005E020000}"/>
    <cellStyle name="Migliaia [0] 40 2 2" xfId="1584" xr:uid="{00000000-0005-0000-0000-00005F020000}"/>
    <cellStyle name="Migliaia [0] 40 2 2 2" xfId="4716" xr:uid="{B67E0994-D742-4907-8982-E5C15639BBB9}"/>
    <cellStyle name="Migliaia [0] 40 2 2 2 2" xfId="21788" xr:uid="{1CD73D4B-55FA-4965-ABE1-21E1CEB5F789}"/>
    <cellStyle name="Migliaia [0] 40 2 2 2 3" xfId="47609" xr:uid="{56E10D92-8618-42B6-B2B6-6737D6CC53B9}"/>
    <cellStyle name="Migliaia [0] 40 2 2 2 4" xfId="50816" xr:uid="{2AB4408D-AB46-4219-A2D8-E6341831A3FE}"/>
    <cellStyle name="Migliaia [0] 40 2 2 2 5" xfId="53832" xr:uid="{14F002C4-B72E-44F2-8B73-847229379F51}"/>
    <cellStyle name="Migliaia [0] 40 2 2 2 6" xfId="11812" xr:uid="{65039D6C-944E-43CE-A069-F759FC788FBF}"/>
    <cellStyle name="Migliaia [0] 40 2 2 3" xfId="2990" xr:uid="{A5BF0269-B57A-4398-A95F-02E2CF823D83}"/>
    <cellStyle name="Migliaia [0] 40 2 2 3 2" xfId="12338" xr:uid="{E974D77B-D015-40DC-9997-2367BAD94594}"/>
    <cellStyle name="Migliaia [0] 40 2 2 4" xfId="10685" xr:uid="{AF3E3055-B1DB-42DC-9077-82CEC2AAE949}"/>
    <cellStyle name="Migliaia [0] 40 2 2 4 2" xfId="21320" xr:uid="{F902DCEC-7B66-4857-A89A-005086EF0548}"/>
    <cellStyle name="Migliaia [0] 40 2 2 4 3" xfId="46183" xr:uid="{2D1E4757-BFB7-42F0-A5AE-81BDE2339606}"/>
    <cellStyle name="Migliaia [0] 40 2 2 4 4" xfId="50335" xr:uid="{2F933F17-FA0C-4146-B68F-649A3F65C5FA}"/>
    <cellStyle name="Migliaia [0] 40 2 2 4 5" xfId="53351" xr:uid="{C2C1B9A0-27CC-4B55-A5F6-54D15F88E374}"/>
    <cellStyle name="Migliaia [0] 40 2 2 5" xfId="19669" xr:uid="{4BF7272A-0B6C-4D34-BC46-4DBFAB92E0DA}"/>
    <cellStyle name="Migliaia [0] 40 2 2 6" xfId="24094" xr:uid="{AF144AFD-E628-4972-9DA6-547EF27D8539}"/>
    <cellStyle name="Migliaia [0] 40 2 2 7" xfId="48854" xr:uid="{ECB81B0B-8B0F-4B3A-BE79-2C21801F39E5}"/>
    <cellStyle name="Migliaia [0] 40 2 2 8" xfId="49760" xr:uid="{09B1375E-7FD2-4341-81EE-9FA9A375FFF6}"/>
    <cellStyle name="Migliaia [0] 40 2 2 9" xfId="8460" xr:uid="{F1BA6B1F-78A0-45C2-AD4B-9E3F7333C141}"/>
    <cellStyle name="Migliaia [0] 40 2 3" xfId="4715" xr:uid="{A5892F7F-C0B1-46BC-B695-586CFAC5F8D5}"/>
    <cellStyle name="Migliaia [0] 40 2 3 2" xfId="32898" xr:uid="{FF77EA73-5B41-4AB0-904B-D0555C743D91}"/>
    <cellStyle name="Migliaia [0] 40 2 3 2 2" xfId="38249" xr:uid="{15AE5DF8-78D6-4BF6-88C9-AE7C0A605472}"/>
    <cellStyle name="Migliaia [0] 40 2 3 2 3" xfId="43551" xr:uid="{7DB5C880-F523-40EE-B8CF-DF3A3BFFFAF7}"/>
    <cellStyle name="Migliaia [0] 40 2 3 3" xfId="35784" xr:uid="{91DC9504-ED8A-4AD2-B8FD-41669E744669}"/>
    <cellStyle name="Migliaia [0] 40 2 3 4" xfId="40900" xr:uid="{9D89F2D3-425C-4F8B-A827-2EDD74EB7FC9}"/>
    <cellStyle name="Migliaia [0] 40 2 3 5" xfId="11813" xr:uid="{7289B8A3-799B-488C-9F9D-D4E0EE9987C5}"/>
    <cellStyle name="Migliaia [0] 40 2 4" xfId="5963" xr:uid="{6A1B1D63-B0BF-4521-9725-B64C464C4350}"/>
    <cellStyle name="Migliaia [0] 40 2 4 2" xfId="19668" xr:uid="{9E3D3695-7833-4A3A-B737-6B215135B201}"/>
    <cellStyle name="Migliaia [0] 40 2 5" xfId="2989" xr:uid="{42881A85-6DF1-4050-B1ED-6053D873D2BF}"/>
    <cellStyle name="Migliaia [0] 40 2 5 2" xfId="24093" xr:uid="{189C7543-E8D1-4A92-BB7E-ADFF582FACC2}"/>
    <cellStyle name="Migliaia [0] 40 2 6" xfId="7270" xr:uid="{12F5ED62-3C6E-4D8E-BFA4-52632EF921D4}"/>
    <cellStyle name="Migliaia [0] 40 3" xfId="1585" xr:uid="{00000000-0005-0000-0000-000060020000}"/>
    <cellStyle name="Migliaia [0] 40 3 2" xfId="4717" xr:uid="{5FDCCABF-F7F6-4F4C-A6E7-05B847AEF36E}"/>
    <cellStyle name="Migliaia [0] 40 3 2 2" xfId="18335" xr:uid="{A09DFEB4-F62D-4A13-8C57-8FD4E0D0E417}"/>
    <cellStyle name="Migliaia [0] 40 3 2 2 2" xfId="21789" xr:uid="{63C2A8FE-D5D8-40A0-9932-BB887C8C7B88}"/>
    <cellStyle name="Migliaia [0] 40 3 2 2 2 2" xfId="38250" xr:uid="{77F2832F-473A-4193-879A-415973A108AD}"/>
    <cellStyle name="Migliaia [0] 40 3 2 2 3" xfId="43552" xr:uid="{3D80D94D-B719-4946-8A63-E9043E54D4C0}"/>
    <cellStyle name="Migliaia [0] 40 3 2 2 4" xfId="32899" xr:uid="{402BF622-0E27-4A49-B295-E71845703E12}"/>
    <cellStyle name="Migliaia [0] 40 3 2 3" xfId="35785" xr:uid="{93B0D9F6-C364-4351-8BA2-7524D5B8A611}"/>
    <cellStyle name="Migliaia [0] 40 3 2 4" xfId="40901" xr:uid="{859F5BA4-1924-4776-9929-D847B09413AA}"/>
    <cellStyle name="Migliaia [0] 40 3 2 5" xfId="25125" xr:uid="{2AF83EA5-CF86-4DAD-9387-24CE4A88B035}"/>
    <cellStyle name="Migliaia [0] 40 3 2 6" xfId="50817" xr:uid="{767F61E5-C152-43D5-B5A1-F43027010131}"/>
    <cellStyle name="Migliaia [0] 40 3 2 7" xfId="53833" xr:uid="{0E73409C-5FBF-4D1E-8B8D-508733347ACC}"/>
    <cellStyle name="Migliaia [0] 40 3 2 8" xfId="17611" xr:uid="{26E43088-926D-4C97-9757-CD838F533D9E}"/>
    <cellStyle name="Migliaia [0] 40 3 2 9" xfId="11814" xr:uid="{97C1FDB7-A7DB-4C67-9633-5FDD89044570}"/>
    <cellStyle name="Migliaia [0] 40 3 3" xfId="5964" xr:uid="{E17BCEFD-5E3E-4F7B-8B4C-CD6C95310297}"/>
    <cellStyle name="Migliaia [0] 40 3 3 2" xfId="12373" xr:uid="{7AF3BB30-28E5-4251-B153-EA318A14382C}"/>
    <cellStyle name="Migliaia [0] 40 3 4" xfId="2991" xr:uid="{4C88CBC7-BAAA-48B0-BE9F-2FBA1C921666}"/>
    <cellStyle name="Migliaia [0] 40 3 4 2" xfId="21321" xr:uid="{B94C9F4E-2B9D-4664-9753-A97112333274}"/>
    <cellStyle name="Migliaia [0] 40 3 4 3" xfId="47593" xr:uid="{36B15CA6-6320-423A-B40C-8A4830451721}"/>
    <cellStyle name="Migliaia [0] 40 3 4 4" xfId="50336" xr:uid="{558464F2-28C3-4085-9175-8805459AD13E}"/>
    <cellStyle name="Migliaia [0] 40 3 4 5" xfId="53352" xr:uid="{CD8C837F-D4E9-440B-AE2E-1BA4B8005BDD}"/>
    <cellStyle name="Migliaia [0] 40 3 4 6" xfId="10686" xr:uid="{8AC16ECE-5EC3-4345-935A-F9B6AAEB695E}"/>
    <cellStyle name="Migliaia [0] 40 3 5" xfId="19670" xr:uid="{990DC270-EB89-4951-9E9C-F144E200EB68}"/>
    <cellStyle name="Migliaia [0] 40 3 6" xfId="24095" xr:uid="{1E89232F-5815-40D9-9306-3BE34ABE5008}"/>
    <cellStyle name="Migliaia [0] 40 3 7" xfId="8218" xr:uid="{F4B055D8-DF37-4776-AE2D-C6A6A4281C4C}"/>
    <cellStyle name="Migliaia [0] 40 4" xfId="2992" xr:uid="{05FED76D-3AA4-40D6-8962-BDC93DAEB807}"/>
    <cellStyle name="Migliaia [0] 40 4 2" xfId="4718" xr:uid="{0B1F7650-0AEA-40BD-BE6A-36FBC7D81F66}"/>
    <cellStyle name="Migliaia [0] 40 4 2 2" xfId="35103" xr:uid="{99EE32FC-90A3-4A98-A449-46321CC19376}"/>
    <cellStyle name="Migliaia [0] 40 4 2 2 2" xfId="40261" xr:uid="{5D70784F-B960-443E-8C10-FC68613F70A9}"/>
    <cellStyle name="Migliaia [0] 40 4 2 2 3" xfId="45563" xr:uid="{D58FC557-F05C-4106-A67A-2D5403FAD7DF}"/>
    <cellStyle name="Migliaia [0] 40 4 2 3" xfId="37610" xr:uid="{7DF1D1F5-19AB-494A-AB40-962110894A0D}"/>
    <cellStyle name="Migliaia [0] 40 4 2 4" xfId="42912" xr:uid="{D562F008-4BA9-4C92-9A7B-5027BEE4B46F}"/>
    <cellStyle name="Migliaia [0] 40 4 2 5" xfId="17043" xr:uid="{6E00E668-FEEC-4343-A7A5-E0AF2169E264}"/>
    <cellStyle name="Migliaia [0] 40 4 3" xfId="5965" xr:uid="{93BC0DA4-E036-4553-8B85-02C9BD37FAC8}"/>
    <cellStyle name="Migliaia [0] 40 4 3 2" xfId="38251" xr:uid="{739E1FBC-E0B2-4D1D-AE8F-BB42D7DBA698}"/>
    <cellStyle name="Migliaia [0] 40 4 3 3" xfId="43553" xr:uid="{CCA41681-BA0E-4C0A-93BC-61B52A32AD29}"/>
    <cellStyle name="Migliaia [0] 40 4 3 4" xfId="32900" xr:uid="{5D20C0A8-8E9D-4525-A038-42917AC001F1}"/>
    <cellStyle name="Migliaia [0] 40 4 3 5" xfId="19671" xr:uid="{EBB8CAA7-C74E-4246-B698-75DE6F3A5AC0}"/>
    <cellStyle name="Migliaia [0] 40 4 4" xfId="35786" xr:uid="{A9B50239-4F27-491C-BBFE-1F2BFBC13468}"/>
    <cellStyle name="Migliaia [0] 40 4 5" xfId="40902" xr:uid="{6B74A42E-C9ED-4166-99A4-0DFE701A661A}"/>
    <cellStyle name="Migliaia [0] 40 4 6" xfId="15985" xr:uid="{71C340A1-DD4A-4585-9FE7-48168B22794C}"/>
    <cellStyle name="Migliaia [0] 40 4 7" xfId="7798" xr:uid="{44C11BE3-16E6-4254-B162-22F379B84DDD}"/>
    <cellStyle name="Migliaia [0] 40 5" xfId="4714" xr:uid="{8D129912-9091-4651-B122-26DC0C122B9D}"/>
    <cellStyle name="Migliaia [0] 40 5 2" xfId="32901" xr:uid="{C594D9CC-30E7-4A07-AC33-7F31416F6493}"/>
    <cellStyle name="Migliaia [0] 40 5 2 2" xfId="38252" xr:uid="{84720D29-2B55-4840-9672-57CFF91ED441}"/>
    <cellStyle name="Migliaia [0] 40 5 2 3" xfId="43554" xr:uid="{036B95A0-9453-4DFB-BA3F-DCE3BED4A5D6}"/>
    <cellStyle name="Migliaia [0] 40 5 3" xfId="35787" xr:uid="{20FF93A0-B5AE-4480-893F-CCCAC86F1C8D}"/>
    <cellStyle name="Migliaia [0] 40 5 4" xfId="40903" xr:uid="{9DF682A6-91DB-454F-9707-0162B55F1BAD}"/>
    <cellStyle name="Migliaia [0] 40 5 5" xfId="17112" xr:uid="{1854F363-39AC-48A9-B0C6-104E39FCC9A0}"/>
    <cellStyle name="Migliaia [0] 40 6" xfId="5962" xr:uid="{27AC2CC9-FF85-44D0-83BB-66E45E9A8764}"/>
    <cellStyle name="Migliaia [0] 40 6 2" xfId="38248" xr:uid="{3263E8E7-E637-47D2-A858-A2709EC6E96D}"/>
    <cellStyle name="Migliaia [0] 40 6 3" xfId="43550" xr:uid="{87824929-4449-4281-96EC-8447F2FF1B95}"/>
    <cellStyle name="Migliaia [0] 40 6 4" xfId="32897" xr:uid="{9083EB47-5B14-4D94-805F-E25350E03515}"/>
    <cellStyle name="Migliaia [0] 40 6 5" xfId="19667" xr:uid="{A5D16A59-3407-46CD-BADB-A5F381BD8030}"/>
    <cellStyle name="Migliaia [0] 40 7" xfId="2988" xr:uid="{67E5BC92-4330-4577-B05C-EFC38EA577DF}"/>
    <cellStyle name="Migliaia [0] 40 7 2" xfId="35783" xr:uid="{0156062D-6819-4657-BAB9-A729FB3DC4E3}"/>
    <cellStyle name="Migliaia [0] 40 8" xfId="40899" xr:uid="{29588E96-BB2E-44A7-93C8-03D4CB0E9663}"/>
    <cellStyle name="Migliaia [0] 40 9" xfId="7019" xr:uid="{BBC7360B-6B8C-44CF-B3F0-969D44D3EB1B}"/>
    <cellStyle name="Migliaia [0] 41" xfId="277" xr:uid="{00000000-0005-0000-0000-000061020000}"/>
    <cellStyle name="Migliaia [0] 41 2" xfId="1586" xr:uid="{00000000-0005-0000-0000-000062020000}"/>
    <cellStyle name="Migliaia [0] 41 2 2" xfId="1587" xr:uid="{00000000-0005-0000-0000-000063020000}"/>
    <cellStyle name="Migliaia [0] 41 2 2 2" xfId="4721" xr:uid="{64525ADA-D9A4-4326-8194-4A134D4C5685}"/>
    <cellStyle name="Migliaia [0] 41 2 2 2 2" xfId="21790" xr:uid="{8B4DC6D1-4E18-47AA-BC54-FA6A988E0448}"/>
    <cellStyle name="Migliaia [0] 41 2 2 2 3" xfId="47519" xr:uid="{B0E44A64-CFEF-4A4F-85EE-66E90327B2B0}"/>
    <cellStyle name="Migliaia [0] 41 2 2 2 4" xfId="50818" xr:uid="{545374CC-DDB6-4ED9-91E6-9636108E64A4}"/>
    <cellStyle name="Migliaia [0] 41 2 2 2 5" xfId="53834" xr:uid="{CAAEF7BC-3420-40EC-A355-95A64DD784B8}"/>
    <cellStyle name="Migliaia [0] 41 2 2 2 6" xfId="11815" xr:uid="{AB1A4F3A-F8E6-4F94-8166-5058738C4A08}"/>
    <cellStyle name="Migliaia [0] 41 2 2 3" xfId="2995" xr:uid="{7E7952D6-4D76-4609-BB02-67C73D183496}"/>
    <cellStyle name="Migliaia [0] 41 2 2 3 2" xfId="12337" xr:uid="{BBFEB8A3-1DEF-4FB9-989C-40BB074D8341}"/>
    <cellStyle name="Migliaia [0] 41 2 2 4" xfId="10687" xr:uid="{22BF7DE8-4928-459E-9F45-40F0524D8F09}"/>
    <cellStyle name="Migliaia [0] 41 2 2 4 2" xfId="21322" xr:uid="{05BE4683-0594-4D62-BF9F-11E8FCF7ACE9}"/>
    <cellStyle name="Migliaia [0] 41 2 2 4 3" xfId="34553" xr:uid="{9388B424-933A-45C9-B770-BAC99A9123B9}"/>
    <cellStyle name="Migliaia [0] 41 2 2 4 4" xfId="50337" xr:uid="{C4E40238-9EAC-4118-811F-C3CFE6DADA5F}"/>
    <cellStyle name="Migliaia [0] 41 2 2 4 5" xfId="53353" xr:uid="{58CAC822-294D-4D97-9D06-A2E9960D6E86}"/>
    <cellStyle name="Migliaia [0] 41 2 2 5" xfId="19674" xr:uid="{F0A631DF-722F-4BBB-BAC5-56F129C8B065}"/>
    <cellStyle name="Migliaia [0] 41 2 2 6" xfId="24097" xr:uid="{CCBBCA10-4B4A-4AC3-AE7B-DC0334DC60D4}"/>
    <cellStyle name="Migliaia [0] 41 2 2 7" xfId="48855" xr:uid="{EB5B2972-C2EE-469A-81B8-0E060C22235F}"/>
    <cellStyle name="Migliaia [0] 41 2 2 8" xfId="49761" xr:uid="{33165F98-88B6-492D-B10D-80598C770819}"/>
    <cellStyle name="Migliaia [0] 41 2 2 9" xfId="8461" xr:uid="{2BD26890-DC98-4D84-AD22-DBBAD53B40E0}"/>
    <cellStyle name="Migliaia [0] 41 2 3" xfId="4720" xr:uid="{8A9B73AF-377A-4B94-897C-5DEFE39DD291}"/>
    <cellStyle name="Migliaia [0] 41 2 3 2" xfId="32903" xr:uid="{53B13658-FF7C-4A2B-8CA1-D6026F115A80}"/>
    <cellStyle name="Migliaia [0] 41 2 3 2 2" xfId="38254" xr:uid="{386F6E01-6965-4948-8CDA-485B9084C3DF}"/>
    <cellStyle name="Migliaia [0] 41 2 3 2 3" xfId="43556" xr:uid="{051620E8-DDE5-48C1-8B8E-7229F26FFB26}"/>
    <cellStyle name="Migliaia [0] 41 2 3 3" xfId="35789" xr:uid="{6C381CA6-DC9D-485C-87FE-2055D3DE6BB1}"/>
    <cellStyle name="Migliaia [0] 41 2 3 4" xfId="40905" xr:uid="{15BC91A2-70B6-4CBC-8ECE-EEFE6FCEB0E6}"/>
    <cellStyle name="Migliaia [0] 41 2 3 5" xfId="11816" xr:uid="{6B610118-26B3-4F8C-9E75-A17C5DFF9EDD}"/>
    <cellStyle name="Migliaia [0] 41 2 4" xfId="5967" xr:uid="{595916A6-94AB-4DDB-BD39-84A70CCCA407}"/>
    <cellStyle name="Migliaia [0] 41 2 4 2" xfId="19673" xr:uid="{5C3AC807-7539-408E-8277-8EAFBCB5A897}"/>
    <cellStyle name="Migliaia [0] 41 2 5" xfId="2994" xr:uid="{A0088F7D-0086-4CC8-BCCB-DC2362043D13}"/>
    <cellStyle name="Migliaia [0] 41 2 5 2" xfId="24096" xr:uid="{6A12B16C-3019-487B-A1C6-3CAC3438E8B0}"/>
    <cellStyle name="Migliaia [0] 41 2 6" xfId="7271" xr:uid="{A8BC249C-F63A-4C34-97AB-2F6E470D4528}"/>
    <cellStyle name="Migliaia [0] 41 3" xfId="1588" xr:uid="{00000000-0005-0000-0000-000064020000}"/>
    <cellStyle name="Migliaia [0] 41 3 2" xfId="4722" xr:uid="{32A434AB-00E1-4EBB-B1AA-18A72553A956}"/>
    <cellStyle name="Migliaia [0] 41 3 2 2" xfId="18336" xr:uid="{5D5B9F8C-CBF0-4A99-8590-5DB29F5E09E6}"/>
    <cellStyle name="Migliaia [0] 41 3 2 2 2" xfId="21791" xr:uid="{3892DEEE-D844-4959-9203-6CD0CCEE4A6F}"/>
    <cellStyle name="Migliaia [0] 41 3 2 2 2 2" xfId="38255" xr:uid="{677B601E-5036-4753-8F57-A702910FC2E5}"/>
    <cellStyle name="Migliaia [0] 41 3 2 2 3" xfId="43557" xr:uid="{5FBE28CA-BF33-4EF1-963A-0542872C4D78}"/>
    <cellStyle name="Migliaia [0] 41 3 2 2 4" xfId="32904" xr:uid="{E4E0CCBF-8BB3-4712-A3C5-73A1F6B783C0}"/>
    <cellStyle name="Migliaia [0] 41 3 2 3" xfId="35790" xr:uid="{94D1339F-8D79-4808-B9E4-7E42D1AA3251}"/>
    <cellStyle name="Migliaia [0] 41 3 2 4" xfId="40906" xr:uid="{AA97006A-933B-4A8C-8193-56D99F1A343D}"/>
    <cellStyle name="Migliaia [0] 41 3 2 5" xfId="47160" xr:uid="{98F296BF-8E86-4957-AD55-85DCEE60445B}"/>
    <cellStyle name="Migliaia [0] 41 3 2 6" xfId="50819" xr:uid="{53337613-388D-4415-A151-B773162D8F39}"/>
    <cellStyle name="Migliaia [0] 41 3 2 7" xfId="53835" xr:uid="{48EA918E-2365-46EB-93D2-1ADD0BA42BC8}"/>
    <cellStyle name="Migliaia [0] 41 3 2 8" xfId="17612" xr:uid="{A4A2EC61-7E34-47B8-BCE1-048BE3B272D1}"/>
    <cellStyle name="Migliaia [0] 41 3 2 9" xfId="11817" xr:uid="{BB3F0096-8285-4A9A-BF3F-AE3C30AFBB8B}"/>
    <cellStyle name="Migliaia [0] 41 3 3" xfId="5968" xr:uid="{36B50F5F-B327-4E99-A18D-562E0AC9A88B}"/>
    <cellStyle name="Migliaia [0] 41 3 3 2" xfId="12372" xr:uid="{02972732-3D33-4BD5-8675-98BDDE86959E}"/>
    <cellStyle name="Migliaia [0] 41 3 4" xfId="2996" xr:uid="{F96D7F85-DDF9-49C3-9758-D04CB622215D}"/>
    <cellStyle name="Migliaia [0] 41 3 4 2" xfId="21323" xr:uid="{7EE6A740-0723-426F-9635-6BE66E8F6D5E}"/>
    <cellStyle name="Migliaia [0] 41 3 4 3" xfId="47208" xr:uid="{772500B9-101A-49CF-8E59-6E02E3985161}"/>
    <cellStyle name="Migliaia [0] 41 3 4 4" xfId="50338" xr:uid="{5D9ED2E7-D833-4908-AF15-72AED013FE64}"/>
    <cellStyle name="Migliaia [0] 41 3 4 5" xfId="53354" xr:uid="{72255A87-B2A0-4317-AFA7-D399E9139FFA}"/>
    <cellStyle name="Migliaia [0] 41 3 4 6" xfId="10688" xr:uid="{537280C1-CB1B-4E92-AD01-03ED725B7577}"/>
    <cellStyle name="Migliaia [0] 41 3 5" xfId="19675" xr:uid="{26898A90-59B7-4D00-9452-C13F959C6418}"/>
    <cellStyle name="Migliaia [0] 41 3 6" xfId="24098" xr:uid="{06091E20-C397-443D-99D8-A10467BAE03F}"/>
    <cellStyle name="Migliaia [0] 41 3 7" xfId="8219" xr:uid="{B2FE7E0A-6E97-423E-BEF9-4F103B8081FF}"/>
    <cellStyle name="Migliaia [0] 41 4" xfId="2997" xr:uid="{7F493A04-A23A-4502-A1E7-B84FCE04D1E4}"/>
    <cellStyle name="Migliaia [0] 41 4 2" xfId="4723" xr:uid="{453D135B-8E46-468E-A011-1A85F31093F8}"/>
    <cellStyle name="Migliaia [0] 41 4 2 2" xfId="35104" xr:uid="{D1462EA1-0089-4F82-A8AD-11CD47F6CDE9}"/>
    <cellStyle name="Migliaia [0] 41 4 2 2 2" xfId="40262" xr:uid="{C2F94811-26F0-4488-891D-FBECBF8549CC}"/>
    <cellStyle name="Migliaia [0] 41 4 2 2 3" xfId="45564" xr:uid="{27542FE2-D373-4E69-97D5-07BCD1BFE41D}"/>
    <cellStyle name="Migliaia [0] 41 4 2 3" xfId="37611" xr:uid="{820FD160-0DBE-4AA6-BCBD-8D0A66238AD7}"/>
    <cellStyle name="Migliaia [0] 41 4 2 4" xfId="42913" xr:uid="{23CF194A-2F92-4910-9D2C-F3F2815C3D5C}"/>
    <cellStyle name="Migliaia [0] 41 4 2 5" xfId="17044" xr:uid="{DBBE9326-7D06-4AB8-8ABA-A95DED6DC856}"/>
    <cellStyle name="Migliaia [0] 41 4 3" xfId="5969" xr:uid="{A2D8FF6A-9C29-4DAE-88ED-EA6435051781}"/>
    <cellStyle name="Migliaia [0] 41 4 3 2" xfId="38256" xr:uid="{1A77CC70-A0CD-4939-9F7C-FF27DF19FAAB}"/>
    <cellStyle name="Migliaia [0] 41 4 3 3" xfId="43558" xr:uid="{2D7CFA93-06D5-4218-82FD-611D0439EAB9}"/>
    <cellStyle name="Migliaia [0] 41 4 3 4" xfId="32905" xr:uid="{DB2F93A3-C832-43F3-99D9-EC0258746B5A}"/>
    <cellStyle name="Migliaia [0] 41 4 3 5" xfId="19676" xr:uid="{786DC6F4-5F4F-46E7-8016-D6239CEBB307}"/>
    <cellStyle name="Migliaia [0] 41 4 4" xfId="35791" xr:uid="{1456B0F2-CB1A-405D-BB32-D42893B7BD06}"/>
    <cellStyle name="Migliaia [0] 41 4 5" xfId="40907" xr:uid="{D4DB9FB7-7393-4862-9CF1-6E5CBFD46B72}"/>
    <cellStyle name="Migliaia [0] 41 4 6" xfId="15986" xr:uid="{EF50FADE-6F66-4E44-A99A-8A14CBD2B437}"/>
    <cellStyle name="Migliaia [0] 41 4 7" xfId="7799" xr:uid="{0D19018E-4061-4323-A9D3-C9FCF3FA0A24}"/>
    <cellStyle name="Migliaia [0] 41 5" xfId="4719" xr:uid="{FFE7B77F-089B-4690-B4F3-A98C65EB636C}"/>
    <cellStyle name="Migliaia [0] 41 5 2" xfId="32906" xr:uid="{E1F74EC7-F772-4F5E-A72B-140032EAC031}"/>
    <cellStyle name="Migliaia [0] 41 5 2 2" xfId="38257" xr:uid="{CA2A2673-7BD7-481E-BB15-28483ADF18DE}"/>
    <cellStyle name="Migliaia [0] 41 5 2 3" xfId="43559" xr:uid="{1F7C0901-0901-47C2-B35A-7A67C68DAEBE}"/>
    <cellStyle name="Migliaia [0] 41 5 3" xfId="35792" xr:uid="{0B8362AB-E3BD-4A78-8E3D-C4658BF3F90F}"/>
    <cellStyle name="Migliaia [0] 41 5 4" xfId="40908" xr:uid="{DCC88726-EA6B-4CF6-9AA7-BFAEDCE35B2A}"/>
    <cellStyle name="Migliaia [0] 41 5 5" xfId="17113" xr:uid="{45807689-6D4A-47B4-868D-3625CEFE5620}"/>
    <cellStyle name="Migliaia [0] 41 6" xfId="5966" xr:uid="{AB866711-6927-4A6A-924F-9AE5D6A9B17A}"/>
    <cellStyle name="Migliaia [0] 41 6 2" xfId="38253" xr:uid="{B0C88C14-AB7C-4522-B18C-5694065660DB}"/>
    <cellStyle name="Migliaia [0] 41 6 3" xfId="43555" xr:uid="{270AC2C8-68B3-49E1-A332-EA241DFD2AE4}"/>
    <cellStyle name="Migliaia [0] 41 6 4" xfId="32902" xr:uid="{E1FB748D-F381-46BC-BA86-EADC31FC2226}"/>
    <cellStyle name="Migliaia [0] 41 6 5" xfId="19672" xr:uid="{D572DC93-EDD7-4D17-A68D-0555F0AFA70C}"/>
    <cellStyle name="Migliaia [0] 41 7" xfId="2993" xr:uid="{FF37B8FB-324F-4B4E-B130-52BCF52012E3}"/>
    <cellStyle name="Migliaia [0] 41 7 2" xfId="35788" xr:uid="{ADE301F3-2A55-414B-9566-EB517DD7BBB7}"/>
    <cellStyle name="Migliaia [0] 41 8" xfId="40904" xr:uid="{B18FA1A9-2010-4489-A582-9148A6F9E460}"/>
    <cellStyle name="Migliaia [0] 41 9" xfId="7020" xr:uid="{C5DD8A85-BD07-496D-9E53-FB6280EE8E65}"/>
    <cellStyle name="Migliaia [0] 42" xfId="278" xr:uid="{00000000-0005-0000-0000-000065020000}"/>
    <cellStyle name="Migliaia [0] 42 2" xfId="1589" xr:uid="{00000000-0005-0000-0000-000066020000}"/>
    <cellStyle name="Migliaia [0] 42 2 2" xfId="1590" xr:uid="{00000000-0005-0000-0000-000067020000}"/>
    <cellStyle name="Migliaia [0] 42 2 2 2" xfId="4726" xr:uid="{946180B2-EB30-4AEE-A6EB-B88CAA8B062B}"/>
    <cellStyle name="Migliaia [0] 42 2 2 2 2" xfId="21792" xr:uid="{CE27CC15-FA7C-4B03-8EE6-5BC65FAD3CD9}"/>
    <cellStyle name="Migliaia [0] 42 2 2 2 3" xfId="48191" xr:uid="{19491982-5013-4800-B28F-678977D52F77}"/>
    <cellStyle name="Migliaia [0] 42 2 2 2 4" xfId="50820" xr:uid="{F0B18BA4-12BA-42F9-93D8-F56623B2687F}"/>
    <cellStyle name="Migliaia [0] 42 2 2 2 5" xfId="53836" xr:uid="{8E69D8D5-1F50-488D-A025-225C29FD3A24}"/>
    <cellStyle name="Migliaia [0] 42 2 2 2 6" xfId="11818" xr:uid="{7319E6BB-E377-47CA-A928-553757DDDBB4}"/>
    <cellStyle name="Migliaia [0] 42 2 2 3" xfId="3000" xr:uid="{03F5D43C-27B5-4EB6-8441-EE151BA1FB25}"/>
    <cellStyle name="Migliaia [0] 42 2 2 3 2" xfId="12336" xr:uid="{A5470011-329A-49E7-9E99-567DD66DFD33}"/>
    <cellStyle name="Migliaia [0] 42 2 2 4" xfId="10689" xr:uid="{0FB13648-FE97-408A-8FAC-6A4467A1A38B}"/>
    <cellStyle name="Migliaia [0] 42 2 2 4 2" xfId="21324" xr:uid="{52DAC841-AC6E-48FD-8B61-B61A4CBBA3F7}"/>
    <cellStyle name="Migliaia [0] 42 2 2 4 3" xfId="46638" xr:uid="{FBC30117-82E9-4DA5-B086-3CF2DF08AC0D}"/>
    <cellStyle name="Migliaia [0] 42 2 2 4 4" xfId="50339" xr:uid="{BE8F7865-53F9-4FA8-8178-2F2C7A3FADC5}"/>
    <cellStyle name="Migliaia [0] 42 2 2 4 5" xfId="53355" xr:uid="{C08AFABC-6A0B-466E-9B0A-4FF69635FBEB}"/>
    <cellStyle name="Migliaia [0] 42 2 2 5" xfId="19679" xr:uid="{A269CD8F-26B5-4468-ACF7-20530033A926}"/>
    <cellStyle name="Migliaia [0] 42 2 2 6" xfId="24100" xr:uid="{1AC3D902-511C-4526-A502-EAF9BF368FAA}"/>
    <cellStyle name="Migliaia [0] 42 2 2 7" xfId="48856" xr:uid="{4B78C9A5-6197-49E2-AB47-BF68D2962216}"/>
    <cellStyle name="Migliaia [0] 42 2 2 8" xfId="49762" xr:uid="{AF3119D5-3A0C-4495-8775-D9C705D78932}"/>
    <cellStyle name="Migliaia [0] 42 2 2 9" xfId="8462" xr:uid="{20BD463E-E81C-4E8C-ADE7-154075426F8F}"/>
    <cellStyle name="Migliaia [0] 42 2 3" xfId="4725" xr:uid="{B11E8D2D-924A-4198-B22F-58E59B21ABC5}"/>
    <cellStyle name="Migliaia [0] 42 2 3 2" xfId="32908" xr:uid="{2D3A0737-1C0C-477F-8B52-AA62DC47FD09}"/>
    <cellStyle name="Migliaia [0] 42 2 3 2 2" xfId="38259" xr:uid="{32541561-27B1-42EA-8C0F-C41D8A52EEBA}"/>
    <cellStyle name="Migliaia [0] 42 2 3 2 3" xfId="43561" xr:uid="{FA7A9CF0-E91C-4356-88FE-E045B5C7B10F}"/>
    <cellStyle name="Migliaia [0] 42 2 3 3" xfId="35794" xr:uid="{512AA24D-C361-445A-B088-51EB303079A8}"/>
    <cellStyle name="Migliaia [0] 42 2 3 4" xfId="40910" xr:uid="{476C444A-C17D-4521-9A1F-F96293BF4FAC}"/>
    <cellStyle name="Migliaia [0] 42 2 3 5" xfId="11819" xr:uid="{D9F181AA-2778-43E1-93DC-2FF4BFE98E55}"/>
    <cellStyle name="Migliaia [0] 42 2 4" xfId="5971" xr:uid="{3098F2A6-48AD-423C-8C6B-83B28D0D47DF}"/>
    <cellStyle name="Migliaia [0] 42 2 4 2" xfId="19678" xr:uid="{806B5030-E44A-44B2-B7C2-F8A749778D98}"/>
    <cellStyle name="Migliaia [0] 42 2 5" xfId="2999" xr:uid="{0071AAD9-B554-46BB-BC4E-0AA71CA5E456}"/>
    <cellStyle name="Migliaia [0] 42 2 5 2" xfId="24099" xr:uid="{1A23E3B8-BF2A-4FEE-A5D8-4D00E4188BF1}"/>
    <cellStyle name="Migliaia [0] 42 2 6" xfId="7272" xr:uid="{6E45F8EE-336B-43C7-9C02-B4A27FB2CF2B}"/>
    <cellStyle name="Migliaia [0] 42 3" xfId="1591" xr:uid="{00000000-0005-0000-0000-000068020000}"/>
    <cellStyle name="Migliaia [0] 42 3 2" xfId="4727" xr:uid="{696D1FC6-30FB-467D-8B71-520889BD61B5}"/>
    <cellStyle name="Migliaia [0] 42 3 2 2" xfId="18337" xr:uid="{DC82628A-EB1B-415D-A4B2-C72DAB9566D0}"/>
    <cellStyle name="Migliaia [0] 42 3 2 2 2" xfId="21793" xr:uid="{1EDC7149-CF6E-45A9-A47D-4C6548EFDC6C}"/>
    <cellStyle name="Migliaia [0] 42 3 2 2 2 2" xfId="38260" xr:uid="{C775DAF5-9A2E-4383-86B9-DFEB9D89EF14}"/>
    <cellStyle name="Migliaia [0] 42 3 2 2 3" xfId="43562" xr:uid="{FC1D52FF-3604-4C85-8D1E-91B0985235FC}"/>
    <cellStyle name="Migliaia [0] 42 3 2 2 4" xfId="32909" xr:uid="{E45E4E5B-E679-4604-A0D5-E047C3FE0259}"/>
    <cellStyle name="Migliaia [0] 42 3 2 3" xfId="35795" xr:uid="{A1E3A898-E988-4EEB-AA51-0C74EC73A2B1}"/>
    <cellStyle name="Migliaia [0] 42 3 2 4" xfId="40911" xr:uid="{650BA8B0-CCA8-413B-A069-4FEF1D611A9E}"/>
    <cellStyle name="Migliaia [0] 42 3 2 5" xfId="37193" xr:uid="{CF812213-BF9E-4065-96FE-70170D3DF81E}"/>
    <cellStyle name="Migliaia [0] 42 3 2 6" xfId="50821" xr:uid="{A6D907D6-473B-405E-9C62-36A59BD0AD48}"/>
    <cellStyle name="Migliaia [0] 42 3 2 7" xfId="53837" xr:uid="{E3194B70-D595-4B44-B779-8ABD4E1438CC}"/>
    <cellStyle name="Migliaia [0] 42 3 2 8" xfId="17613" xr:uid="{AF647F75-88E7-435A-91C5-39E12FB018F3}"/>
    <cellStyle name="Migliaia [0] 42 3 2 9" xfId="11820" xr:uid="{CF5A25D5-8DDF-4188-A139-EFED486C59D0}"/>
    <cellStyle name="Migliaia [0] 42 3 3" xfId="5972" xr:uid="{A96B4E05-20C8-4032-91EE-28751DFA68A4}"/>
    <cellStyle name="Migliaia [0] 42 3 3 2" xfId="12371" xr:uid="{3264A05A-017C-4892-A5D8-86D684533688}"/>
    <cellStyle name="Migliaia [0] 42 3 4" xfId="3001" xr:uid="{02B3BC19-6DDB-44CE-AF1F-AC842437B619}"/>
    <cellStyle name="Migliaia [0] 42 3 4 2" xfId="21325" xr:uid="{AA046A3D-A2C1-46B2-A493-BB2DA7B07FDC}"/>
    <cellStyle name="Migliaia [0] 42 3 4 3" xfId="47736" xr:uid="{0B685394-AE92-4287-B041-0FE524ACB8BF}"/>
    <cellStyle name="Migliaia [0] 42 3 4 4" xfId="50340" xr:uid="{94A5B87C-35F0-4E24-9A47-C66E25A53761}"/>
    <cellStyle name="Migliaia [0] 42 3 4 5" xfId="53356" xr:uid="{EE89D711-054D-448A-801F-C304F8387B40}"/>
    <cellStyle name="Migliaia [0] 42 3 4 6" xfId="10690" xr:uid="{FF4DCC62-DC01-4AFA-B0BB-E75EC55E8A85}"/>
    <cellStyle name="Migliaia [0] 42 3 5" xfId="19680" xr:uid="{F3451CC6-9318-417B-AADA-6E96A2AFA9A6}"/>
    <cellStyle name="Migliaia [0] 42 3 6" xfId="24101" xr:uid="{D03A631A-266A-4D15-A3DB-F592BB4490C3}"/>
    <cellStyle name="Migliaia [0] 42 3 7" xfId="8220" xr:uid="{2CE01A8E-FD72-448A-894B-4A4F0166A771}"/>
    <cellStyle name="Migliaia [0] 42 4" xfId="3002" xr:uid="{F438F24B-7286-4D1B-8C96-AA219D571AAD}"/>
    <cellStyle name="Migliaia [0] 42 4 2" xfId="4728" xr:uid="{BE32381E-EC0D-4D5E-A13D-E1BA5652826F}"/>
    <cellStyle name="Migliaia [0] 42 4 2 2" xfId="35105" xr:uid="{B8FCED8B-E363-4152-ABEC-1B81804DC9A3}"/>
    <cellStyle name="Migliaia [0] 42 4 2 2 2" xfId="40263" xr:uid="{E5E502AD-4E7E-4DC5-AE86-5634F15E6438}"/>
    <cellStyle name="Migliaia [0] 42 4 2 2 3" xfId="45565" xr:uid="{5AA0BF02-2E66-41A2-B3BB-0DA5CF8DBB97}"/>
    <cellStyle name="Migliaia [0] 42 4 2 3" xfId="37612" xr:uid="{64CB1997-252A-4656-B450-B9522B401915}"/>
    <cellStyle name="Migliaia [0] 42 4 2 4" xfId="42914" xr:uid="{124A908F-A157-4038-9EC3-1B78A411F967}"/>
    <cellStyle name="Migliaia [0] 42 4 2 5" xfId="17045" xr:uid="{B97FF177-BED1-4C07-A313-FD17636DB4CC}"/>
    <cellStyle name="Migliaia [0] 42 4 3" xfId="5973" xr:uid="{6B019B82-D4CE-4B7C-8023-8B463F23A0F8}"/>
    <cellStyle name="Migliaia [0] 42 4 3 2" xfId="38261" xr:uid="{B47C4ECD-8F63-4DF7-B378-AF5B1B68C05D}"/>
    <cellStyle name="Migliaia [0] 42 4 3 3" xfId="43563" xr:uid="{580BC970-E273-46A8-95E9-F55E49065056}"/>
    <cellStyle name="Migliaia [0] 42 4 3 4" xfId="32910" xr:uid="{6E506993-851E-48DB-9046-F3BA6B80F709}"/>
    <cellStyle name="Migliaia [0] 42 4 3 5" xfId="19681" xr:uid="{E66E4D92-025D-4736-A13D-56719EFDBC29}"/>
    <cellStyle name="Migliaia [0] 42 4 4" xfId="35796" xr:uid="{377A6C58-E273-442B-9C7B-7ECFB14D4F1E}"/>
    <cellStyle name="Migliaia [0] 42 4 5" xfId="40912" xr:uid="{A763125C-9532-43ED-8FFF-05BA0438692E}"/>
    <cellStyle name="Migliaia [0] 42 4 6" xfId="15987" xr:uid="{E1DEACDA-CFBC-4D82-8870-FF44EAE6A611}"/>
    <cellStyle name="Migliaia [0] 42 4 7" xfId="7800" xr:uid="{F1B551C6-1210-4899-A5A7-CABC3FEE2E28}"/>
    <cellStyle name="Migliaia [0] 42 5" xfId="4724" xr:uid="{3CCFFD4B-7CFA-4266-837D-AA58461A3511}"/>
    <cellStyle name="Migliaia [0] 42 5 2" xfId="32911" xr:uid="{E2D89E01-4A52-44EA-8416-8E262D6E4B9C}"/>
    <cellStyle name="Migliaia [0] 42 5 2 2" xfId="38262" xr:uid="{C3B7C55D-8E28-452D-9459-5CD56EF2237A}"/>
    <cellStyle name="Migliaia [0] 42 5 2 3" xfId="43564" xr:uid="{1E76C003-FA4D-4A37-B455-C52FB40BBA14}"/>
    <cellStyle name="Migliaia [0] 42 5 3" xfId="35797" xr:uid="{B69873B4-9EA7-488D-8BF5-495A50CE46E7}"/>
    <cellStyle name="Migliaia [0] 42 5 4" xfId="40913" xr:uid="{D40C9799-A3AF-439A-985D-DF0AAF4790F7}"/>
    <cellStyle name="Migliaia [0] 42 5 5" xfId="17114" xr:uid="{ADB12B4A-BED9-4216-9533-DAB45B80F0C4}"/>
    <cellStyle name="Migliaia [0] 42 6" xfId="5970" xr:uid="{591AF490-B474-4EA1-B7E9-016CA8CAE78B}"/>
    <cellStyle name="Migliaia [0] 42 6 2" xfId="38258" xr:uid="{8498B345-FD74-4988-ABFE-20CABCB7EF1D}"/>
    <cellStyle name="Migliaia [0] 42 6 3" xfId="43560" xr:uid="{22793727-4407-42F7-A289-C4B35C026D8D}"/>
    <cellStyle name="Migliaia [0] 42 6 4" xfId="32907" xr:uid="{DB01BC40-EC1B-41D6-8EF0-5E206BA6DF34}"/>
    <cellStyle name="Migliaia [0] 42 6 5" xfId="19677" xr:uid="{52B05F5F-75B4-46A0-AE3C-59AE4DE190ED}"/>
    <cellStyle name="Migliaia [0] 42 7" xfId="2998" xr:uid="{DD073DBF-94B6-40F8-9F8B-6DC2C0A221BA}"/>
    <cellStyle name="Migliaia [0] 42 7 2" xfId="35793" xr:uid="{77E549BD-78B9-45BF-893B-3E6ACA5DCB85}"/>
    <cellStyle name="Migliaia [0] 42 8" xfId="40909" xr:uid="{22A9F414-5C14-400C-BC55-75B2DB09561C}"/>
    <cellStyle name="Migliaia [0] 42 9" xfId="7021" xr:uid="{BABEE08D-4D54-4A1E-9D7D-88528E1B08AB}"/>
    <cellStyle name="Migliaia [0] 43" xfId="279" xr:uid="{00000000-0005-0000-0000-000069020000}"/>
    <cellStyle name="Migliaia [0] 43 2" xfId="1592" xr:uid="{00000000-0005-0000-0000-00006A020000}"/>
    <cellStyle name="Migliaia [0] 43 2 2" xfId="1593" xr:uid="{00000000-0005-0000-0000-00006B020000}"/>
    <cellStyle name="Migliaia [0] 43 2 2 2" xfId="4731" xr:uid="{BEB666D9-F925-49E6-8B89-6D4F83810EFB}"/>
    <cellStyle name="Migliaia [0] 43 2 2 2 2" xfId="21794" xr:uid="{206C2EB9-14B8-470A-8379-B4CDB30D1ACC}"/>
    <cellStyle name="Migliaia [0] 43 2 2 2 3" xfId="48100" xr:uid="{8B13CF97-26D9-4484-B93B-2407BE096951}"/>
    <cellStyle name="Migliaia [0] 43 2 2 2 4" xfId="50822" xr:uid="{3EC1996B-06D3-46D4-80A4-E7DF8EC42F63}"/>
    <cellStyle name="Migliaia [0] 43 2 2 2 5" xfId="53838" xr:uid="{EA48A7C7-364D-4D29-A0F8-0B85A06B6594}"/>
    <cellStyle name="Migliaia [0] 43 2 2 2 6" xfId="11821" xr:uid="{93BFF99B-9F08-4F9D-B132-A594275E7637}"/>
    <cellStyle name="Migliaia [0] 43 2 2 3" xfId="3005" xr:uid="{F688392F-EE3F-44B0-AA67-A59E0FCD39B0}"/>
    <cellStyle name="Migliaia [0] 43 2 2 3 2" xfId="12335" xr:uid="{6B2F907D-F808-4CBD-877C-EB74BBD9C15E}"/>
    <cellStyle name="Migliaia [0] 43 2 2 4" xfId="10691" xr:uid="{19FD244F-5F89-474F-87B3-93BC2C630D80}"/>
    <cellStyle name="Migliaia [0] 43 2 2 4 2" xfId="21326" xr:uid="{7C60CE6D-706C-488A-9228-B60F0865896E}"/>
    <cellStyle name="Migliaia [0] 43 2 2 4 3" xfId="48568" xr:uid="{2EE07ADB-E9E3-4BD2-99E4-856DC073BBF0}"/>
    <cellStyle name="Migliaia [0] 43 2 2 4 4" xfId="50341" xr:uid="{DB5275DD-6E2B-4F14-8CD9-C04C7B1F75E9}"/>
    <cellStyle name="Migliaia [0] 43 2 2 4 5" xfId="53357" xr:uid="{E1F15240-A768-44A0-AC09-5DEB6C931358}"/>
    <cellStyle name="Migliaia [0] 43 2 2 5" xfId="19684" xr:uid="{2FB8558B-BEAD-47E8-A726-7A11010F9F0E}"/>
    <cellStyle name="Migliaia [0] 43 2 2 6" xfId="24103" xr:uid="{F52450F3-7413-4F62-91C2-B2932F410FC7}"/>
    <cellStyle name="Migliaia [0] 43 2 2 7" xfId="48857" xr:uid="{C4C2B701-640A-460D-B6C0-E2F0B44A3732}"/>
    <cellStyle name="Migliaia [0] 43 2 2 8" xfId="49763" xr:uid="{6BD8BC06-CE05-43F1-A491-203E06F50C9C}"/>
    <cellStyle name="Migliaia [0] 43 2 2 9" xfId="8463" xr:uid="{D80FFD4D-C895-493F-9C93-EE07CC74AE2E}"/>
    <cellStyle name="Migliaia [0] 43 2 3" xfId="4730" xr:uid="{B6E568B1-B875-49BF-8C7F-FA09D1A0168E}"/>
    <cellStyle name="Migliaia [0] 43 2 3 2" xfId="32913" xr:uid="{BA717952-07B0-4427-A9D9-E3DD4B2C2EC1}"/>
    <cellStyle name="Migliaia [0] 43 2 3 2 2" xfId="38264" xr:uid="{C197C27F-8AB1-423F-999E-BCF051153465}"/>
    <cellStyle name="Migliaia [0] 43 2 3 2 3" xfId="43566" xr:uid="{D03D51F8-4A7C-4BAA-9715-1E62DC667944}"/>
    <cellStyle name="Migliaia [0] 43 2 3 3" xfId="35799" xr:uid="{F93A24A1-52E2-429D-9445-8092F22B245D}"/>
    <cellStyle name="Migliaia [0] 43 2 3 4" xfId="40915" xr:uid="{0CA097BE-936A-422F-82E1-D1273EDBA38A}"/>
    <cellStyle name="Migliaia [0] 43 2 3 5" xfId="11822" xr:uid="{92A6AB4F-C9A9-440B-991E-3F14096D79EF}"/>
    <cellStyle name="Migliaia [0] 43 2 4" xfId="5975" xr:uid="{65548E3E-53D7-48C9-8219-BAA27074D99B}"/>
    <cellStyle name="Migliaia [0] 43 2 4 2" xfId="19683" xr:uid="{F5A2B3F4-604B-423F-A1E7-5A898A341674}"/>
    <cellStyle name="Migliaia [0] 43 2 5" xfId="3004" xr:uid="{EB00C479-0029-4A1F-9E06-F9B859891257}"/>
    <cellStyle name="Migliaia [0] 43 2 5 2" xfId="24102" xr:uid="{54E85694-7B24-4FCB-98A9-49E66D780638}"/>
    <cellStyle name="Migliaia [0] 43 2 6" xfId="7273" xr:uid="{E308E4EB-A0F3-4C1E-8D7E-D43F58D52614}"/>
    <cellStyle name="Migliaia [0] 43 3" xfId="1594" xr:uid="{00000000-0005-0000-0000-00006C020000}"/>
    <cellStyle name="Migliaia [0] 43 3 2" xfId="4732" xr:uid="{FE20A76B-F4B3-4813-9CCD-DEB84E953CCD}"/>
    <cellStyle name="Migliaia [0] 43 3 2 2" xfId="18338" xr:uid="{1DD89733-D4DF-44EA-982A-BB1CA01F0371}"/>
    <cellStyle name="Migliaia [0] 43 3 2 2 2" xfId="21795" xr:uid="{E78B4BA6-8DE8-451A-8F61-8B7A4EA6A16E}"/>
    <cellStyle name="Migliaia [0] 43 3 2 2 2 2" xfId="38265" xr:uid="{C57AF121-13A4-452F-8198-A21571639166}"/>
    <cellStyle name="Migliaia [0] 43 3 2 2 3" xfId="43567" xr:uid="{EDE05654-BB60-4F24-A904-EC38847CC088}"/>
    <cellStyle name="Migliaia [0] 43 3 2 2 4" xfId="32914" xr:uid="{E4537A32-B4C4-491E-A995-2FFDF732CB8B}"/>
    <cellStyle name="Migliaia [0] 43 3 2 3" xfId="35800" xr:uid="{7666AB30-C946-46C9-A8C5-88665EA7A66C}"/>
    <cellStyle name="Migliaia [0] 43 3 2 4" xfId="40916" xr:uid="{EF3C5BF2-C4AB-4B15-A4DC-56A2D43CCA06}"/>
    <cellStyle name="Migliaia [0] 43 3 2 5" xfId="47753" xr:uid="{F7552506-9F29-4D40-850C-7ED4E87295CE}"/>
    <cellStyle name="Migliaia [0] 43 3 2 6" xfId="50823" xr:uid="{93026139-8C8B-42D8-9B53-460D78A1C99A}"/>
    <cellStyle name="Migliaia [0] 43 3 2 7" xfId="53839" xr:uid="{1274C8BC-6B4C-4F33-B121-E622924CE91E}"/>
    <cellStyle name="Migliaia [0] 43 3 2 8" xfId="17614" xr:uid="{7EF13D17-2EB5-4D40-B279-C5C0E8438061}"/>
    <cellStyle name="Migliaia [0] 43 3 2 9" xfId="11823" xr:uid="{CB160781-84FE-4C9E-A902-2C81FAAA5436}"/>
    <cellStyle name="Migliaia [0] 43 3 3" xfId="5976" xr:uid="{347F3CF2-AB1F-41CF-AEF5-29CE902283B7}"/>
    <cellStyle name="Migliaia [0] 43 3 3 2" xfId="12370" xr:uid="{E73857D7-4C09-4D1B-A336-BF070BD94F05}"/>
    <cellStyle name="Migliaia [0] 43 3 4" xfId="3006" xr:uid="{CC0FD5C5-F2FE-4003-A8D9-B8A5EC46C8EB}"/>
    <cellStyle name="Migliaia [0] 43 3 4 2" xfId="21327" xr:uid="{9FF4681F-1BF4-441D-A269-19153280EAB9}"/>
    <cellStyle name="Migliaia [0] 43 3 4 3" xfId="23999" xr:uid="{24C20FDD-71E7-473D-8CA4-7261426F16BD}"/>
    <cellStyle name="Migliaia [0] 43 3 4 4" xfId="50342" xr:uid="{02DD3D0F-8E42-45F6-8A28-42B700EDD240}"/>
    <cellStyle name="Migliaia [0] 43 3 4 5" xfId="53358" xr:uid="{8BC81AAF-5355-4D25-B550-A5E8F63CF9B3}"/>
    <cellStyle name="Migliaia [0] 43 3 4 6" xfId="10692" xr:uid="{97943FA1-222A-4D82-A268-EE0CF9FC9706}"/>
    <cellStyle name="Migliaia [0] 43 3 5" xfId="19685" xr:uid="{2274AA76-DA87-4D6A-8A4C-C4BC19AC61F4}"/>
    <cellStyle name="Migliaia [0] 43 3 6" xfId="24104" xr:uid="{C480D80F-D6BF-4543-A126-D2553DE66ED5}"/>
    <cellStyle name="Migliaia [0] 43 3 7" xfId="8221" xr:uid="{76C7796E-0E3C-42E9-803A-C36B9059D9E0}"/>
    <cellStyle name="Migliaia [0] 43 4" xfId="3007" xr:uid="{B8ABF366-877C-4F95-9482-95E802883843}"/>
    <cellStyle name="Migliaia [0] 43 4 2" xfId="4733" xr:uid="{F6B7CB94-9F97-4476-906E-59A2FEBD2705}"/>
    <cellStyle name="Migliaia [0] 43 4 2 2" xfId="35106" xr:uid="{B7F4F3AC-7C35-4955-80B4-F8E070510BF1}"/>
    <cellStyle name="Migliaia [0] 43 4 2 2 2" xfId="40264" xr:uid="{CBD3E59D-F79B-445C-9B30-31690BB6CB87}"/>
    <cellStyle name="Migliaia [0] 43 4 2 2 3" xfId="45566" xr:uid="{3E663974-15C5-4431-A10E-39D0B69B3058}"/>
    <cellStyle name="Migliaia [0] 43 4 2 3" xfId="37613" xr:uid="{C0E4AEEC-6803-4BD0-8DA7-6C7A8B329765}"/>
    <cellStyle name="Migliaia [0] 43 4 2 4" xfId="42915" xr:uid="{BE97DA24-29AE-4F76-A375-5AF553D729F1}"/>
    <cellStyle name="Migliaia [0] 43 4 2 5" xfId="17046" xr:uid="{6907FD2B-1F91-4E25-8F7D-02383EB5E0F3}"/>
    <cellStyle name="Migliaia [0] 43 4 3" xfId="5977" xr:uid="{232535AA-35DF-4C54-BF16-83225B56AD1F}"/>
    <cellStyle name="Migliaia [0] 43 4 3 2" xfId="38266" xr:uid="{39BE9BE7-4F6E-45EE-9314-B45C9A2EA7C9}"/>
    <cellStyle name="Migliaia [0] 43 4 3 3" xfId="43568" xr:uid="{DF8077DC-6BFF-4991-86A0-B574EBB79E47}"/>
    <cellStyle name="Migliaia [0] 43 4 3 4" xfId="32915" xr:uid="{DD3CCEFD-9FC5-431B-BF76-A725BDA27C7B}"/>
    <cellStyle name="Migliaia [0] 43 4 3 5" xfId="19686" xr:uid="{44BF444E-083C-499F-82B8-1EDF02716BEC}"/>
    <cellStyle name="Migliaia [0] 43 4 4" xfId="35801" xr:uid="{EBD13AE1-D57E-42BA-B87B-53CB4453EC71}"/>
    <cellStyle name="Migliaia [0] 43 4 5" xfId="40917" xr:uid="{92967EA4-F713-4AA3-AEC0-980B87DA6FFC}"/>
    <cellStyle name="Migliaia [0] 43 4 6" xfId="15988" xr:uid="{BDFE5F02-4A54-4F1D-BA16-F9A8E88D2CCA}"/>
    <cellStyle name="Migliaia [0] 43 4 7" xfId="7801" xr:uid="{D55728A6-CE76-44D1-BFA8-216AC820FA6F}"/>
    <cellStyle name="Migliaia [0] 43 5" xfId="4729" xr:uid="{0C08CDA1-9DCC-4C62-A9B3-FC8AE539BC42}"/>
    <cellStyle name="Migliaia [0] 43 5 2" xfId="32916" xr:uid="{7DCF2EE3-BA66-4797-942B-9B39D1C8EEAA}"/>
    <cellStyle name="Migliaia [0] 43 5 2 2" xfId="38267" xr:uid="{004C9230-378D-46A7-9CB2-8EAA594EFE00}"/>
    <cellStyle name="Migliaia [0] 43 5 2 3" xfId="43569" xr:uid="{B7D4F0EB-6C8C-4522-B8C5-D48249450117}"/>
    <cellStyle name="Migliaia [0] 43 5 3" xfId="35802" xr:uid="{271F827E-100A-4C6B-BED3-1315D622AC12}"/>
    <cellStyle name="Migliaia [0] 43 5 4" xfId="40918" xr:uid="{8C69FBB7-1340-4BE2-9A1D-C9A8F0C244A0}"/>
    <cellStyle name="Migliaia [0] 43 5 5" xfId="17115" xr:uid="{041B3F57-4CA2-4FAF-9082-ABA30BFAF7D8}"/>
    <cellStyle name="Migliaia [0] 43 6" xfId="5974" xr:uid="{ECE68018-24DA-472B-8C1A-F5C9B8C2710A}"/>
    <cellStyle name="Migliaia [0] 43 6 2" xfId="38263" xr:uid="{8884DED3-4A83-4385-8F89-A99A29A47994}"/>
    <cellStyle name="Migliaia [0] 43 6 3" xfId="43565" xr:uid="{5D0266A8-F5F0-44A4-BBF6-3AC00C87C499}"/>
    <cellStyle name="Migliaia [0] 43 6 4" xfId="32912" xr:uid="{8891BEB0-0CFA-4C31-B7DA-5D1B86306177}"/>
    <cellStyle name="Migliaia [0] 43 6 5" xfId="19682" xr:uid="{2C7473EC-B323-4A55-91F6-93486ACD2594}"/>
    <cellStyle name="Migliaia [0] 43 7" xfId="3003" xr:uid="{7DABDD17-45ED-4E0D-881D-6B9954C2E143}"/>
    <cellStyle name="Migliaia [0] 43 7 2" xfId="35798" xr:uid="{3DDA4379-AA73-46DF-962E-2D8AFBF437BA}"/>
    <cellStyle name="Migliaia [0] 43 8" xfId="40914" xr:uid="{D5B1AE40-6E15-4E0C-BF47-3730C8DE66E1}"/>
    <cellStyle name="Migliaia [0] 43 9" xfId="7022" xr:uid="{19037EE0-BBBF-40CC-ABDF-BE6380023AD3}"/>
    <cellStyle name="Migliaia [0] 44" xfId="280" xr:uid="{00000000-0005-0000-0000-00006D020000}"/>
    <cellStyle name="Migliaia [0] 44 2" xfId="1595" xr:uid="{00000000-0005-0000-0000-00006E020000}"/>
    <cellStyle name="Migliaia [0] 44 2 2" xfId="1596" xr:uid="{00000000-0005-0000-0000-00006F020000}"/>
    <cellStyle name="Migliaia [0] 44 2 2 2" xfId="4736" xr:uid="{2BDA5DCA-F418-4067-9D65-90484E2680E4}"/>
    <cellStyle name="Migliaia [0] 44 2 2 2 2" xfId="21796" xr:uid="{ADACD2C6-E2A2-4F3E-8F15-530185327FCA}"/>
    <cellStyle name="Migliaia [0] 44 2 2 2 3" xfId="24226" xr:uid="{2B8E84EB-5739-4F73-B325-C3418E65B489}"/>
    <cellStyle name="Migliaia [0] 44 2 2 2 4" xfId="50824" xr:uid="{7CCD7018-92B2-4403-8671-8F40D394BBFC}"/>
    <cellStyle name="Migliaia [0] 44 2 2 2 5" xfId="53840" xr:uid="{79E46CAB-B454-49ED-9B69-17792A80EC6C}"/>
    <cellStyle name="Migliaia [0] 44 2 2 2 6" xfId="11824" xr:uid="{28C279A3-D1C8-4224-A2A3-FFE944ACD938}"/>
    <cellStyle name="Migliaia [0] 44 2 2 3" xfId="3010" xr:uid="{DDC972D2-1B48-41A1-9A39-5F08BF63BA1F}"/>
    <cellStyle name="Migliaia [0] 44 2 2 3 2" xfId="12181" xr:uid="{0B04ABCB-2CC2-4273-B895-5F36900BE0B1}"/>
    <cellStyle name="Migliaia [0] 44 2 2 4" xfId="10693" xr:uid="{066FEB4B-7D53-4245-8425-028F80FBF37E}"/>
    <cellStyle name="Migliaia [0] 44 2 2 4 2" xfId="21328" xr:uid="{29D505E9-90E5-455D-B2A1-3D2227633631}"/>
    <cellStyle name="Migliaia [0] 44 2 2 4 3" xfId="47362" xr:uid="{BFD74B56-B705-4BDE-881E-A960BACDD976}"/>
    <cellStyle name="Migliaia [0] 44 2 2 4 4" xfId="50343" xr:uid="{5BBF5C3C-CCD9-4B13-A27B-7F04DEC0B2CA}"/>
    <cellStyle name="Migliaia [0] 44 2 2 4 5" xfId="53359" xr:uid="{D3172EE8-0782-47B1-8038-7B22FFCE2166}"/>
    <cellStyle name="Migliaia [0] 44 2 2 5" xfId="19689" xr:uid="{BBF7DD23-30C1-4EB6-BD9E-52A3195423A2}"/>
    <cellStyle name="Migliaia [0] 44 2 2 6" xfId="24106" xr:uid="{96ED7783-C4DF-42D9-91F0-00D6AE659E05}"/>
    <cellStyle name="Migliaia [0] 44 2 2 7" xfId="48858" xr:uid="{10077F54-00E2-4BDA-A6BF-892B2B79413F}"/>
    <cellStyle name="Migliaia [0] 44 2 2 8" xfId="49764" xr:uid="{A4FE8C6D-1B7C-4456-A560-D6B06493D706}"/>
    <cellStyle name="Migliaia [0] 44 2 2 9" xfId="8464" xr:uid="{C8E43335-237E-427E-AFA9-B4ECF7350F42}"/>
    <cellStyle name="Migliaia [0] 44 2 3" xfId="4735" xr:uid="{806605C9-7B7D-4356-A835-E15FC738A0B4}"/>
    <cellStyle name="Migliaia [0] 44 2 3 2" xfId="32918" xr:uid="{1AD1BDDA-8368-4754-8363-FA3095546422}"/>
    <cellStyle name="Migliaia [0] 44 2 3 2 2" xfId="38269" xr:uid="{4D85E941-91F6-4168-81CA-B5FA21B1FAA5}"/>
    <cellStyle name="Migliaia [0] 44 2 3 2 3" xfId="43571" xr:uid="{53FA4175-EA2E-4723-AEF1-444DFBFC48AA}"/>
    <cellStyle name="Migliaia [0] 44 2 3 3" xfId="35804" xr:uid="{1137E3F6-A413-4128-AF0B-CF5690EF0300}"/>
    <cellStyle name="Migliaia [0] 44 2 3 4" xfId="40920" xr:uid="{ABDCDA21-544C-465B-99CE-C538A8972BF5}"/>
    <cellStyle name="Migliaia [0] 44 2 3 5" xfId="11825" xr:uid="{1A47E059-770E-40D1-B084-434979CA72AB}"/>
    <cellStyle name="Migliaia [0] 44 2 4" xfId="5979" xr:uid="{59EFC19B-CFF2-4E5A-A432-D3A8417E2135}"/>
    <cellStyle name="Migliaia [0] 44 2 4 2" xfId="19688" xr:uid="{BFFD0AF9-3148-4091-BD18-ADA0D4ADE06D}"/>
    <cellStyle name="Migliaia [0] 44 2 5" xfId="3009" xr:uid="{95E04E5C-BB5B-46D8-BFC4-80C69A9DAE5C}"/>
    <cellStyle name="Migliaia [0] 44 2 5 2" xfId="24105" xr:uid="{6C170F4F-91B1-4060-A4F6-0555D013AE5A}"/>
    <cellStyle name="Migliaia [0] 44 2 6" xfId="7274" xr:uid="{5B11F2DA-1A18-4C2C-AD1D-E9B6007F199D}"/>
    <cellStyle name="Migliaia [0] 44 3" xfId="1597" xr:uid="{00000000-0005-0000-0000-000070020000}"/>
    <cellStyle name="Migliaia [0] 44 3 2" xfId="4737" xr:uid="{C1300508-25CB-4478-9CE6-A54FC7911D69}"/>
    <cellStyle name="Migliaia [0] 44 3 2 2" xfId="18339" xr:uid="{62C98153-2A9E-4883-8E00-D8A930C952D6}"/>
    <cellStyle name="Migliaia [0] 44 3 2 2 2" xfId="21797" xr:uid="{465D764E-1652-45BC-BBB9-BD6B09A64A73}"/>
    <cellStyle name="Migliaia [0] 44 3 2 2 2 2" xfId="38270" xr:uid="{AE46CF47-27CB-4CA3-98AA-BD40FE5E7123}"/>
    <cellStyle name="Migliaia [0] 44 3 2 2 3" xfId="43572" xr:uid="{D1C66AFA-4945-4759-B684-83ED3C46493A}"/>
    <cellStyle name="Migliaia [0] 44 3 2 2 4" xfId="32919" xr:uid="{7C4B1D6E-F520-4BC4-BC82-14EE82559C41}"/>
    <cellStyle name="Migliaia [0] 44 3 2 3" xfId="35805" xr:uid="{B115B5C3-D631-4387-BD53-717E0170EA80}"/>
    <cellStyle name="Migliaia [0] 44 3 2 4" xfId="40921" xr:uid="{74DA0892-1A1B-4244-B867-1B089473FF22}"/>
    <cellStyle name="Migliaia [0] 44 3 2 5" xfId="47010" xr:uid="{4F40A2D2-1F57-471F-B9DD-5F394BFEB1B6}"/>
    <cellStyle name="Migliaia [0] 44 3 2 6" xfId="50825" xr:uid="{9D70BEA0-E2C9-47D3-B6AE-8EC81065898C}"/>
    <cellStyle name="Migliaia [0] 44 3 2 7" xfId="53841" xr:uid="{C6CFACA0-F318-4DDF-9B4D-CB84061B32CF}"/>
    <cellStyle name="Migliaia [0] 44 3 2 8" xfId="17615" xr:uid="{B701936C-F8ED-4642-8DD3-576C1265079F}"/>
    <cellStyle name="Migliaia [0] 44 3 2 9" xfId="11826" xr:uid="{45E92971-FCCE-46C1-B88E-A2C97A6795C1}"/>
    <cellStyle name="Migliaia [0] 44 3 3" xfId="5980" xr:uid="{B3A9DEA3-055E-49AD-92FE-5ADA617F3188}"/>
    <cellStyle name="Migliaia [0] 44 3 3 2" xfId="12188" xr:uid="{C49E328B-0B48-40DD-881F-BFC3C872B9A1}"/>
    <cellStyle name="Migliaia [0] 44 3 4" xfId="3011" xr:uid="{D094741B-D001-4657-9388-3FB5253DB83C}"/>
    <cellStyle name="Migliaia [0] 44 3 4 2" xfId="21329" xr:uid="{4A0D5375-AEA1-496D-9DAD-65F9B9D5E5F1}"/>
    <cellStyle name="Migliaia [0] 44 3 4 3" xfId="46184" xr:uid="{6A2D6FF1-695B-4048-B7DE-AD6E52354920}"/>
    <cellStyle name="Migliaia [0] 44 3 4 4" xfId="50344" xr:uid="{6BEFE2C2-7022-4B1E-8DF2-AD2CBBD88994}"/>
    <cellStyle name="Migliaia [0] 44 3 4 5" xfId="53360" xr:uid="{55CE72D2-D781-4671-BF72-1AF4DD8C4B84}"/>
    <cellStyle name="Migliaia [0] 44 3 4 6" xfId="10694" xr:uid="{E1E32D52-7420-42C2-8054-6665F4A03A73}"/>
    <cellStyle name="Migliaia [0] 44 3 5" xfId="19690" xr:uid="{86989488-A14D-40F6-83D8-308529A7357D}"/>
    <cellStyle name="Migliaia [0] 44 3 6" xfId="24107" xr:uid="{6772B074-BEA4-4770-89FA-C5EFF6F2EDA3}"/>
    <cellStyle name="Migliaia [0] 44 3 7" xfId="8222" xr:uid="{FACCBAB0-9B26-4FCB-A02A-CA720B65D2EE}"/>
    <cellStyle name="Migliaia [0] 44 4" xfId="3012" xr:uid="{ACAA4913-E25F-4F83-A980-F3D8CF6D86FF}"/>
    <cellStyle name="Migliaia [0] 44 4 2" xfId="4738" xr:uid="{A7475D7A-AF49-47FA-9918-C28B93F0340E}"/>
    <cellStyle name="Migliaia [0] 44 4 2 2" xfId="35107" xr:uid="{F8DA0A11-C9B4-4CF5-B2D8-FA06C6424849}"/>
    <cellStyle name="Migliaia [0] 44 4 2 2 2" xfId="40265" xr:uid="{DCE4E4BA-B6A3-42D3-AA13-0636694D1D80}"/>
    <cellStyle name="Migliaia [0] 44 4 2 2 3" xfId="45567" xr:uid="{E0A61AF2-29FC-4F82-82D9-20A5E279D114}"/>
    <cellStyle name="Migliaia [0] 44 4 2 3" xfId="37614" xr:uid="{508A6703-764F-4671-9959-42FCA6358009}"/>
    <cellStyle name="Migliaia [0] 44 4 2 4" xfId="42916" xr:uid="{C69B827A-E977-4F90-8822-6B4A17E18DE9}"/>
    <cellStyle name="Migliaia [0] 44 4 2 5" xfId="17047" xr:uid="{29A5C7A2-611A-4917-A16D-CFE04AC645BF}"/>
    <cellStyle name="Migliaia [0] 44 4 3" xfId="5981" xr:uid="{EC755725-9159-445B-917E-D2F63FB45E38}"/>
    <cellStyle name="Migliaia [0] 44 4 3 2" xfId="38271" xr:uid="{835CCFB6-8764-432E-9436-B9E9E46E529C}"/>
    <cellStyle name="Migliaia [0] 44 4 3 3" xfId="43573" xr:uid="{1982AD93-949B-4639-807F-94133AED8A08}"/>
    <cellStyle name="Migliaia [0] 44 4 3 4" xfId="32920" xr:uid="{47D95A75-E949-4AD1-AFE5-CEC4F590B34E}"/>
    <cellStyle name="Migliaia [0] 44 4 3 5" xfId="19691" xr:uid="{5A62C70A-0758-4720-B797-A50E7A1D9DD1}"/>
    <cellStyle name="Migliaia [0] 44 4 4" xfId="35806" xr:uid="{E1715420-961C-4DC5-A24F-D3781D62E3C7}"/>
    <cellStyle name="Migliaia [0] 44 4 5" xfId="40922" xr:uid="{4AD85D5E-55BB-4DAE-A9AE-2DD42DE5630F}"/>
    <cellStyle name="Migliaia [0] 44 4 6" xfId="15989" xr:uid="{99AD75F0-5EF8-4455-9D26-FB6CBB6B9849}"/>
    <cellStyle name="Migliaia [0] 44 4 7" xfId="7802" xr:uid="{712F2E35-2F41-48E6-899A-64F1FF2B1531}"/>
    <cellStyle name="Migliaia [0] 44 5" xfId="4734" xr:uid="{27B32F46-751F-4DDB-B9C0-23C00BD74279}"/>
    <cellStyle name="Migliaia [0] 44 5 2" xfId="32921" xr:uid="{AF183842-C2DA-4D22-84C6-4F929115EBEF}"/>
    <cellStyle name="Migliaia [0] 44 5 2 2" xfId="38272" xr:uid="{D60EB3FE-1AA5-4C66-92F1-5A7C9AE3AD5C}"/>
    <cellStyle name="Migliaia [0] 44 5 2 3" xfId="43574" xr:uid="{EAD65C27-5D91-43A4-A114-9E6114CC8818}"/>
    <cellStyle name="Migliaia [0] 44 5 3" xfId="35807" xr:uid="{AA55369F-AA19-44CD-A51C-80857F1E4E14}"/>
    <cellStyle name="Migliaia [0] 44 5 4" xfId="40923" xr:uid="{62AAF898-CC3C-4E3A-99B3-7114D1499A20}"/>
    <cellStyle name="Migliaia [0] 44 5 5" xfId="17116" xr:uid="{87FEA2D5-9DD9-498F-98DA-DCD603AB7CD9}"/>
    <cellStyle name="Migliaia [0] 44 6" xfId="5978" xr:uid="{A93D00CD-7F32-445D-82E0-D4E4A755EB5E}"/>
    <cellStyle name="Migliaia [0] 44 6 2" xfId="38268" xr:uid="{1175F3DA-E31A-40BF-B188-A7B676E3E1D2}"/>
    <cellStyle name="Migliaia [0] 44 6 3" xfId="43570" xr:uid="{79E73F29-E989-49C6-95E2-88AD9AA990AF}"/>
    <cellStyle name="Migliaia [0] 44 6 4" xfId="32917" xr:uid="{EA8CCFC0-1863-49B1-A65D-B886A66A0BB5}"/>
    <cellStyle name="Migliaia [0] 44 6 5" xfId="19687" xr:uid="{E40FCD49-F6D4-421D-972B-3C7DF737C72A}"/>
    <cellStyle name="Migliaia [0] 44 7" xfId="3008" xr:uid="{16EEF622-FDA7-44B6-86E0-CD52C5F4B29E}"/>
    <cellStyle name="Migliaia [0] 44 7 2" xfId="35803" xr:uid="{3B177FBF-D7A3-4EFF-A691-EE81EC9CBD4E}"/>
    <cellStyle name="Migliaia [0] 44 8" xfId="40919" xr:uid="{80AC8789-A48B-4DCA-9AC2-1229B78F73AA}"/>
    <cellStyle name="Migliaia [0] 44 9" xfId="7023" xr:uid="{EAC5A720-6A3A-454B-A6F5-521E198EC385}"/>
    <cellStyle name="Migliaia [0] 45" xfId="281" xr:uid="{00000000-0005-0000-0000-000071020000}"/>
    <cellStyle name="Migliaia [0] 45 2" xfId="1598" xr:uid="{00000000-0005-0000-0000-000072020000}"/>
    <cellStyle name="Migliaia [0] 45 2 2" xfId="1599" xr:uid="{00000000-0005-0000-0000-000073020000}"/>
    <cellStyle name="Migliaia [0] 45 2 2 2" xfId="4741" xr:uid="{2B9BC03F-5C64-42C3-8ADF-E3BF653F5333}"/>
    <cellStyle name="Migliaia [0] 45 2 2 2 2" xfId="21798" xr:uid="{2D56A70B-8A74-45CD-B001-5A7110019BA4}"/>
    <cellStyle name="Migliaia [0] 45 2 2 2 3" xfId="24491" xr:uid="{140F6428-8FAF-4DBD-A0DF-8C8E2AA43209}"/>
    <cellStyle name="Migliaia [0] 45 2 2 2 4" xfId="50826" xr:uid="{0013B58A-D42A-4A2E-B102-58695957A054}"/>
    <cellStyle name="Migliaia [0] 45 2 2 2 5" xfId="53842" xr:uid="{A69CF974-45AB-434D-9902-0B7D7B6AA594}"/>
    <cellStyle name="Migliaia [0] 45 2 2 2 6" xfId="11827" xr:uid="{B9DB7E2A-FCAF-4A3F-A3F1-BA0D1DEC847B}"/>
    <cellStyle name="Migliaia [0] 45 2 2 3" xfId="3015" xr:uid="{9D3DBA6E-1AB6-4ADF-880C-265C5DA5BADF}"/>
    <cellStyle name="Migliaia [0] 45 2 2 3 2" xfId="11134" xr:uid="{FD3D04AD-8EA8-4B2F-81E3-3CA33D3B84DC}"/>
    <cellStyle name="Migliaia [0] 45 2 2 4" xfId="10695" xr:uid="{B4E5CDF0-C991-44F6-A2E3-6DC394392B67}"/>
    <cellStyle name="Migliaia [0] 45 2 2 4 2" xfId="21330" xr:uid="{BE4260B5-A729-4C78-B1A4-2334A3F88FDB}"/>
    <cellStyle name="Migliaia [0] 45 2 2 4 3" xfId="47892" xr:uid="{021B8B97-1946-4A14-9962-7524FB58920F}"/>
    <cellStyle name="Migliaia [0] 45 2 2 4 4" xfId="50345" xr:uid="{46B1E715-B661-4C60-B7F6-001F34D95B40}"/>
    <cellStyle name="Migliaia [0] 45 2 2 4 5" xfId="53361" xr:uid="{38728123-12ED-4375-B29C-DE15AE1C073E}"/>
    <cellStyle name="Migliaia [0] 45 2 2 5" xfId="19694" xr:uid="{A2A76F90-BF03-400C-888E-8548ADB23AA8}"/>
    <cellStyle name="Migliaia [0] 45 2 2 6" xfId="24109" xr:uid="{CFA5DF51-D5A4-4330-94A5-1B5670EEB1AC}"/>
    <cellStyle name="Migliaia [0] 45 2 2 7" xfId="48859" xr:uid="{5981C7D5-CE40-4F85-A611-E4548B9D2C6D}"/>
    <cellStyle name="Migliaia [0] 45 2 2 8" xfId="49765" xr:uid="{FE1767C6-AC1F-4DC2-8AC1-121C686627E7}"/>
    <cellStyle name="Migliaia [0] 45 2 2 9" xfId="8465" xr:uid="{85191C78-40DA-416B-BCD2-1E4706806A41}"/>
    <cellStyle name="Migliaia [0] 45 2 3" xfId="4740" xr:uid="{3ED02E97-F2F6-426C-AE69-256D9843C76B}"/>
    <cellStyle name="Migliaia [0] 45 2 3 2" xfId="32923" xr:uid="{A84D593D-E5CC-4047-9665-D32CA5CDF8BA}"/>
    <cellStyle name="Migliaia [0] 45 2 3 2 2" xfId="38274" xr:uid="{EF74E3AE-E6EB-4B17-8C39-7D48EDE2A87C}"/>
    <cellStyle name="Migliaia [0] 45 2 3 2 3" xfId="43576" xr:uid="{2EC795A2-826F-4602-B34D-A079FB2DC40F}"/>
    <cellStyle name="Migliaia [0] 45 2 3 3" xfId="35809" xr:uid="{22A57C6E-8F98-4E90-94BB-C56BBA882AA8}"/>
    <cellStyle name="Migliaia [0] 45 2 3 4" xfId="40925" xr:uid="{9A65EBEA-5D93-4B4F-8A55-7490D9E1E67D}"/>
    <cellStyle name="Migliaia [0] 45 2 3 5" xfId="11828" xr:uid="{6D2FB569-96D4-41DD-B596-E3F377886099}"/>
    <cellStyle name="Migliaia [0] 45 2 4" xfId="5983" xr:uid="{11EACD2A-2469-41AD-87BB-68F5CA71A613}"/>
    <cellStyle name="Migliaia [0] 45 2 4 2" xfId="19693" xr:uid="{107779A3-2C05-4AF5-8FC2-7DA605478615}"/>
    <cellStyle name="Migliaia [0] 45 2 5" xfId="3014" xr:uid="{EC87042B-7706-4147-AE6D-DD2FBAA2983C}"/>
    <cellStyle name="Migliaia [0] 45 2 5 2" xfId="24108" xr:uid="{E28B7D47-0F63-4F45-B519-2EED61E5EC94}"/>
    <cellStyle name="Migliaia [0] 45 2 6" xfId="7275" xr:uid="{71F3167D-A1DB-47B0-9978-34380641BDA0}"/>
    <cellStyle name="Migliaia [0] 45 3" xfId="1600" xr:uid="{00000000-0005-0000-0000-000074020000}"/>
    <cellStyle name="Migliaia [0] 45 3 2" xfId="4742" xr:uid="{ECCAB311-E634-446F-90C5-B34133EB8BEA}"/>
    <cellStyle name="Migliaia [0] 45 3 2 2" xfId="18340" xr:uid="{3C5E57EF-7CAE-4A83-94F4-2C6E7E9CFC9B}"/>
    <cellStyle name="Migliaia [0] 45 3 2 2 2" xfId="21799" xr:uid="{5890E816-C3FA-416E-BFB9-CE9D720C192B}"/>
    <cellStyle name="Migliaia [0] 45 3 2 2 2 2" xfId="38275" xr:uid="{C482BE4A-DF50-42DF-9D2B-B20617505631}"/>
    <cellStyle name="Migliaia [0] 45 3 2 2 3" xfId="43577" xr:uid="{5E276F1C-0AC4-4FF0-9986-B55A34A42BFA}"/>
    <cellStyle name="Migliaia [0] 45 3 2 2 4" xfId="32924" xr:uid="{2AF519B1-190C-4750-BDCC-87C3746B6198}"/>
    <cellStyle name="Migliaia [0] 45 3 2 3" xfId="35810" xr:uid="{BCF1B91F-5CA3-42D9-AD93-3B77E2C464D3}"/>
    <cellStyle name="Migliaia [0] 45 3 2 4" xfId="40926" xr:uid="{1EC22EA9-82C2-44FF-9B24-C03C003066F3}"/>
    <cellStyle name="Migliaia [0] 45 3 2 5" xfId="48332" xr:uid="{7A2E7955-55A1-4EE9-A74A-8FC862BCAE95}"/>
    <cellStyle name="Migliaia [0] 45 3 2 6" xfId="50827" xr:uid="{F952EA85-C3C3-4D66-81EB-56866C09213F}"/>
    <cellStyle name="Migliaia [0] 45 3 2 7" xfId="53843" xr:uid="{755E8C99-7022-403F-B323-BB8B6CF42BA5}"/>
    <cellStyle name="Migliaia [0] 45 3 2 8" xfId="17616" xr:uid="{91787E10-696E-4586-BA52-E197C110A9D3}"/>
    <cellStyle name="Migliaia [0] 45 3 2 9" xfId="11829" xr:uid="{CAE08639-8A26-44D0-99C8-99428BEA498A}"/>
    <cellStyle name="Migliaia [0] 45 3 3" xfId="5984" xr:uid="{8B17E855-9881-45AF-9D2C-B28920935627}"/>
    <cellStyle name="Migliaia [0] 45 3 3 2" xfId="11548" xr:uid="{907FE471-89D2-46DE-BCDE-414DD4BBB426}"/>
    <cellStyle name="Migliaia [0] 45 3 4" xfId="3016" xr:uid="{65F986BA-FFDA-48F1-9934-EBBB713CA2C5}"/>
    <cellStyle name="Migliaia [0] 45 3 4 2" xfId="21331" xr:uid="{B7A7D1A5-EF85-424C-BF6F-BD2D316380E2}"/>
    <cellStyle name="Migliaia [0] 45 3 4 3" xfId="48169" xr:uid="{4ADC6A2D-541E-433A-9B5C-80394F90732E}"/>
    <cellStyle name="Migliaia [0] 45 3 4 4" xfId="50346" xr:uid="{360CC7A7-CBD6-4709-886B-A0FAF6C615F6}"/>
    <cellStyle name="Migliaia [0] 45 3 4 5" xfId="53362" xr:uid="{6BC4FE14-A74C-4577-BAF8-AE4C846C5663}"/>
    <cellStyle name="Migliaia [0] 45 3 4 6" xfId="10696" xr:uid="{FA109459-EAFA-4A33-A777-2401008416F6}"/>
    <cellStyle name="Migliaia [0] 45 3 5" xfId="19695" xr:uid="{6507D50D-EC3C-4233-8879-63F221AD3933}"/>
    <cellStyle name="Migliaia [0] 45 3 6" xfId="24110" xr:uid="{AB2A7CC3-7406-4F5B-807C-C29FB5D9AD7D}"/>
    <cellStyle name="Migliaia [0] 45 3 7" xfId="8223" xr:uid="{C5D7A1B1-5A26-40A1-AA59-CA5098CD0813}"/>
    <cellStyle name="Migliaia [0] 45 4" xfId="3017" xr:uid="{217A928D-6633-4DA2-BBB4-0F8F676D0367}"/>
    <cellStyle name="Migliaia [0] 45 4 2" xfId="4743" xr:uid="{6A155E66-6988-4B49-BAAC-F1C10BFCEB13}"/>
    <cellStyle name="Migliaia [0] 45 4 2 2" xfId="35108" xr:uid="{EFC286AD-B633-4806-8228-6AED1B52660C}"/>
    <cellStyle name="Migliaia [0] 45 4 2 2 2" xfId="40266" xr:uid="{2BE50E1C-BD4A-4B2B-B494-384D8AA76C71}"/>
    <cellStyle name="Migliaia [0] 45 4 2 2 3" xfId="45568" xr:uid="{0FD65C4B-0BC6-44F8-9BFA-F91C1A94661A}"/>
    <cellStyle name="Migliaia [0] 45 4 2 3" xfId="37615" xr:uid="{2415122A-B193-4D1C-BA04-19283995D18D}"/>
    <cellStyle name="Migliaia [0] 45 4 2 4" xfId="42917" xr:uid="{2379F62E-A8C3-4685-BB1F-865E510DEF40}"/>
    <cellStyle name="Migliaia [0] 45 4 2 5" xfId="17048" xr:uid="{7332C107-3C55-4A7A-A4EB-11974FC0CBC5}"/>
    <cellStyle name="Migliaia [0] 45 4 3" xfId="5985" xr:uid="{453D02FA-D640-434B-B9D2-E03C7E7D2FDC}"/>
    <cellStyle name="Migliaia [0] 45 4 3 2" xfId="38276" xr:uid="{BF8A3AFA-17AA-429A-B73F-F2BB70CA2A32}"/>
    <cellStyle name="Migliaia [0] 45 4 3 3" xfId="43578" xr:uid="{631EA9D0-E3E5-49DF-BEF7-C484F796D39E}"/>
    <cellStyle name="Migliaia [0] 45 4 3 4" xfId="32925" xr:uid="{1D940DA0-63C4-4A1D-92EB-095FB3A25B08}"/>
    <cellStyle name="Migliaia [0] 45 4 3 5" xfId="19696" xr:uid="{830E4EDD-C0A9-4F76-8CC9-CB16F6A4B8A4}"/>
    <cellStyle name="Migliaia [0] 45 4 4" xfId="35811" xr:uid="{01632FDF-974D-48BA-BBC0-6821E4611071}"/>
    <cellStyle name="Migliaia [0] 45 4 5" xfId="40927" xr:uid="{F59B541D-6BC6-492F-842B-240CFE3C7580}"/>
    <cellStyle name="Migliaia [0] 45 4 6" xfId="15990" xr:uid="{1206369D-967D-4455-87E5-C18DCFEE2326}"/>
    <cellStyle name="Migliaia [0] 45 4 7" xfId="7803" xr:uid="{E10556C6-9875-44B1-8A75-D422B412B84A}"/>
    <cellStyle name="Migliaia [0] 45 5" xfId="4739" xr:uid="{942CF0F0-8629-4A2C-9782-6A35286B5348}"/>
    <cellStyle name="Migliaia [0] 45 5 2" xfId="32926" xr:uid="{68A48C44-4102-4204-A794-13764B962C90}"/>
    <cellStyle name="Migliaia [0] 45 5 2 2" xfId="38277" xr:uid="{CE701619-F75F-4CDC-8EE6-E73BCB1D41BF}"/>
    <cellStyle name="Migliaia [0] 45 5 2 3" xfId="43579" xr:uid="{53B1C85B-54BA-4BC2-9AA3-04E215D9ED5B}"/>
    <cellStyle name="Migliaia [0] 45 5 3" xfId="35812" xr:uid="{44BCC316-4535-416F-91E8-F4D548D226B7}"/>
    <cellStyle name="Migliaia [0] 45 5 4" xfId="40928" xr:uid="{98C86CD8-C65C-4538-8A44-305204AE87A6}"/>
    <cellStyle name="Migliaia [0] 45 5 5" xfId="17117" xr:uid="{0BFBA2DC-B454-4E28-9006-723D9D812DCB}"/>
    <cellStyle name="Migliaia [0] 45 6" xfId="5982" xr:uid="{B906DD77-E567-4C94-8606-463CAB5B59EF}"/>
    <cellStyle name="Migliaia [0] 45 6 2" xfId="38273" xr:uid="{C7490662-E49C-4062-961D-89C40513F41D}"/>
    <cellStyle name="Migliaia [0] 45 6 3" xfId="43575" xr:uid="{33EEA89E-D919-4F2C-84D1-D150CD14767C}"/>
    <cellStyle name="Migliaia [0] 45 6 4" xfId="32922" xr:uid="{188806AE-D9DB-4FF5-9B57-DF280EB68862}"/>
    <cellStyle name="Migliaia [0] 45 6 5" xfId="19692" xr:uid="{B210EFBE-3219-4E6C-A73C-62D11CCDA3DD}"/>
    <cellStyle name="Migliaia [0] 45 7" xfId="3013" xr:uid="{7AB7EE48-3AC1-4058-A25D-CACB64A61283}"/>
    <cellStyle name="Migliaia [0] 45 7 2" xfId="35808" xr:uid="{35732365-5D81-4EAD-8E6C-7E70412E75E2}"/>
    <cellStyle name="Migliaia [0] 45 8" xfId="40924" xr:uid="{32353ED7-13D5-444D-98C7-355DB518F8E7}"/>
    <cellStyle name="Migliaia [0] 45 9" xfId="7024" xr:uid="{8F0144FC-3303-43F0-85D6-E4DCFF3263F1}"/>
    <cellStyle name="Migliaia [0] 46" xfId="282" xr:uid="{00000000-0005-0000-0000-000075020000}"/>
    <cellStyle name="Migliaia [0] 46 2" xfId="1601" xr:uid="{00000000-0005-0000-0000-000076020000}"/>
    <cellStyle name="Migliaia [0] 46 2 2" xfId="1602" xr:uid="{00000000-0005-0000-0000-000077020000}"/>
    <cellStyle name="Migliaia [0] 46 2 2 2" xfId="4746" xr:uid="{2DE913F7-AEAA-4682-9239-6B1CC7DC555B}"/>
    <cellStyle name="Migliaia [0] 46 2 2 2 2" xfId="21800" xr:uid="{950456F6-209F-4201-BA32-3CB808D58CD6}"/>
    <cellStyle name="Migliaia [0] 46 2 2 2 3" xfId="47075" xr:uid="{C104287A-3486-42C6-8974-E25AAF7739E8}"/>
    <cellStyle name="Migliaia [0] 46 2 2 2 4" xfId="50828" xr:uid="{6B493D91-A3BF-4EA7-B9D1-63BEF4F24235}"/>
    <cellStyle name="Migliaia [0] 46 2 2 2 5" xfId="53844" xr:uid="{F0EF7ED5-8978-4478-9B80-057572378AC1}"/>
    <cellStyle name="Migliaia [0] 46 2 2 2 6" xfId="11830" xr:uid="{7902FB60-1BE5-44A8-A899-427DCE9C519D}"/>
    <cellStyle name="Migliaia [0] 46 2 2 3" xfId="3020" xr:uid="{EDB0151E-E63E-4166-A4AC-50D7308FDC18}"/>
    <cellStyle name="Migliaia [0] 46 2 2 3 2" xfId="12334" xr:uid="{5A6E3BB4-B1B6-4FD0-890E-A9A81B010CF2}"/>
    <cellStyle name="Migliaia [0] 46 2 2 4" xfId="10697" xr:uid="{CCE104E3-E52E-4E54-A686-5DFABE49ED6F}"/>
    <cellStyle name="Migliaia [0] 46 2 2 4 2" xfId="21332" xr:uid="{5E195B55-F4C2-4EFA-9BE2-13AC7E3DEAFA}"/>
    <cellStyle name="Migliaia [0] 46 2 2 4 3" xfId="46185" xr:uid="{7A394AF8-4599-4533-8A17-675E8327960C}"/>
    <cellStyle name="Migliaia [0] 46 2 2 4 4" xfId="50347" xr:uid="{2FC5D08C-75FF-4D08-832C-5226A17C3F1B}"/>
    <cellStyle name="Migliaia [0] 46 2 2 4 5" xfId="53363" xr:uid="{A643BAA8-E71D-4414-BDC8-F49D11B0D943}"/>
    <cellStyle name="Migliaia [0] 46 2 2 5" xfId="19699" xr:uid="{052E26F9-7722-4498-A741-41E8ADD2991A}"/>
    <cellStyle name="Migliaia [0] 46 2 2 6" xfId="24112" xr:uid="{422012EA-B3EF-4875-BCDE-DFEB9ECF48F4}"/>
    <cellStyle name="Migliaia [0] 46 2 2 7" xfId="48860" xr:uid="{D857305C-4C51-4C32-8B66-CF08CA446C8F}"/>
    <cellStyle name="Migliaia [0] 46 2 2 8" xfId="49766" xr:uid="{F6989DBB-3025-40C1-B2A4-52748D045AF9}"/>
    <cellStyle name="Migliaia [0] 46 2 2 9" xfId="8466" xr:uid="{63ED0FC4-2BA7-4E53-AAA3-15DDA17B12A1}"/>
    <cellStyle name="Migliaia [0] 46 2 3" xfId="4745" xr:uid="{448BABE9-8069-4D39-8ED6-6557A147D58C}"/>
    <cellStyle name="Migliaia [0] 46 2 3 2" xfId="32928" xr:uid="{7174A90C-6718-4175-B900-2C09750EE302}"/>
    <cellStyle name="Migliaia [0] 46 2 3 2 2" xfId="38279" xr:uid="{ABB2BA3B-89C4-4D07-916B-BE45719108B8}"/>
    <cellStyle name="Migliaia [0] 46 2 3 2 3" xfId="43581" xr:uid="{14E04CA1-B791-4A86-B8D7-467BC05555BD}"/>
    <cellStyle name="Migliaia [0] 46 2 3 3" xfId="35814" xr:uid="{0E24E25A-686C-4DA0-A748-FECCC3DCCA13}"/>
    <cellStyle name="Migliaia [0] 46 2 3 4" xfId="40930" xr:uid="{69956F6D-E2B2-4A96-A7D9-FD8879115771}"/>
    <cellStyle name="Migliaia [0] 46 2 3 5" xfId="11831" xr:uid="{B8FA5BC9-6F65-4A48-BBF1-73B620AEBFE2}"/>
    <cellStyle name="Migliaia [0] 46 2 4" xfId="5987" xr:uid="{F06252DA-9D41-4DF4-ABAA-F28FE002D131}"/>
    <cellStyle name="Migliaia [0] 46 2 4 2" xfId="19698" xr:uid="{2316AB16-5DF1-4484-A7CE-8969BA77C3CB}"/>
    <cellStyle name="Migliaia [0] 46 2 5" xfId="3019" xr:uid="{8B3711D1-AB3C-4313-96B9-4714E95D6B03}"/>
    <cellStyle name="Migliaia [0] 46 2 5 2" xfId="24111" xr:uid="{9A717720-88CD-4B69-AF77-2ED3AB5B1F7C}"/>
    <cellStyle name="Migliaia [0] 46 2 6" xfId="7276" xr:uid="{55120FA3-900D-4001-92EC-316350FAC775}"/>
    <cellStyle name="Migliaia [0] 46 3" xfId="1603" xr:uid="{00000000-0005-0000-0000-000078020000}"/>
    <cellStyle name="Migliaia [0] 46 3 2" xfId="4747" xr:uid="{F0413EF7-58ED-4C4C-9992-554D6003141B}"/>
    <cellStyle name="Migliaia [0] 46 3 2 2" xfId="18341" xr:uid="{BE424C54-394D-4CB3-B7BA-63374F7CAD46}"/>
    <cellStyle name="Migliaia [0] 46 3 2 2 2" xfId="21801" xr:uid="{32E24ACA-649B-4582-90FD-D92FF64C8305}"/>
    <cellStyle name="Migliaia [0] 46 3 2 2 2 2" xfId="38280" xr:uid="{6CFE6F6C-217D-4970-874E-4866E93A9921}"/>
    <cellStyle name="Migliaia [0] 46 3 2 2 3" xfId="43582" xr:uid="{4BAE36E0-FDEF-4D47-8EAE-5AC9A15A7F1B}"/>
    <cellStyle name="Migliaia [0] 46 3 2 2 4" xfId="32929" xr:uid="{5B1909AF-B93C-4EFB-A5B4-A4D2D77D98B9}"/>
    <cellStyle name="Migliaia [0] 46 3 2 3" xfId="35815" xr:uid="{31C3A865-2AB9-4027-A912-C76881D82824}"/>
    <cellStyle name="Migliaia [0] 46 3 2 4" xfId="40931" xr:uid="{6D6CDC7B-4350-4BE9-A476-853CF484F25B}"/>
    <cellStyle name="Migliaia [0] 46 3 2 5" xfId="46294" xr:uid="{84AC7EB4-48D2-4A96-B76E-C35F303A7663}"/>
    <cellStyle name="Migliaia [0] 46 3 2 6" xfId="50829" xr:uid="{F47A03C5-F55A-41CF-9820-6A891517C37F}"/>
    <cellStyle name="Migliaia [0] 46 3 2 7" xfId="53845" xr:uid="{0DD1174B-1972-4564-9FB7-9C1C7A4798FF}"/>
    <cellStyle name="Migliaia [0] 46 3 2 8" xfId="17617" xr:uid="{D3BBEB2E-3AAF-4E97-B18A-70C488180850}"/>
    <cellStyle name="Migliaia [0] 46 3 2 9" xfId="11832" xr:uid="{A3CE3B0B-83D1-4615-A872-D494FCD8F704}"/>
    <cellStyle name="Migliaia [0] 46 3 3" xfId="5988" xr:uid="{6EF2ABA0-ADC2-4889-9CFA-164F38011A96}"/>
    <cellStyle name="Migliaia [0] 46 3 3 2" xfId="11549" xr:uid="{2DCB5EC0-CCBB-4927-995B-30A930A4FB36}"/>
    <cellStyle name="Migliaia [0] 46 3 4" xfId="3021" xr:uid="{312F8264-ADD4-4B85-B962-D8ABF23DE534}"/>
    <cellStyle name="Migliaia [0] 46 3 4 2" xfId="21333" xr:uid="{64474F7C-0101-4195-9FF3-4F256633A7AC}"/>
    <cellStyle name="Migliaia [0] 46 3 4 3" xfId="24255" xr:uid="{FC0A27F8-A487-4D67-9397-AF2CA29A2D42}"/>
    <cellStyle name="Migliaia [0] 46 3 4 4" xfId="50348" xr:uid="{3CC12EA4-403F-4C4D-A93C-CF23D684882A}"/>
    <cellStyle name="Migliaia [0] 46 3 4 5" xfId="53364" xr:uid="{98BD828C-C361-4D93-9DFF-84367A10289B}"/>
    <cellStyle name="Migliaia [0] 46 3 4 6" xfId="10698" xr:uid="{5F36EE52-9604-4EBD-A558-7CA3F732E847}"/>
    <cellStyle name="Migliaia [0] 46 3 5" xfId="19700" xr:uid="{8D163090-0EFB-49E7-90D7-E403901B1618}"/>
    <cellStyle name="Migliaia [0] 46 3 6" xfId="24113" xr:uid="{64FAEA8F-A529-42FE-9852-27556313A67D}"/>
    <cellStyle name="Migliaia [0] 46 3 7" xfId="8224" xr:uid="{940AF0C0-4BFB-4A22-8CA9-80856633B54D}"/>
    <cellStyle name="Migliaia [0] 46 4" xfId="3022" xr:uid="{D286E590-F3DA-4F1C-A09E-E5D015321844}"/>
    <cellStyle name="Migliaia [0] 46 4 2" xfId="4748" xr:uid="{878AC833-CE81-49DD-883A-8896BE8C6946}"/>
    <cellStyle name="Migliaia [0] 46 4 2 2" xfId="35109" xr:uid="{843D840C-23C2-47F4-BADF-00F7560A0C0F}"/>
    <cellStyle name="Migliaia [0] 46 4 2 2 2" xfId="40267" xr:uid="{015679A3-28CB-4318-A06A-46BC3AA89E2E}"/>
    <cellStyle name="Migliaia [0] 46 4 2 2 3" xfId="45569" xr:uid="{1257A430-3F94-4D80-A9F3-8F7248126356}"/>
    <cellStyle name="Migliaia [0] 46 4 2 3" xfId="37616" xr:uid="{AA1E11B8-433F-42DA-8291-78510D2069C4}"/>
    <cellStyle name="Migliaia [0] 46 4 2 4" xfId="42918" xr:uid="{54647D5C-05F3-4953-8EE5-6D6767844782}"/>
    <cellStyle name="Migliaia [0] 46 4 2 5" xfId="17049" xr:uid="{6DD45C71-B3C3-4D19-A5AD-54CE6D78B80B}"/>
    <cellStyle name="Migliaia [0] 46 4 3" xfId="5989" xr:uid="{2AB91E66-E5FC-4468-8A39-D2747548EC6F}"/>
    <cellStyle name="Migliaia [0] 46 4 3 2" xfId="38281" xr:uid="{2ECAC67F-BFA7-4CB8-BABE-05C5B3494651}"/>
    <cellStyle name="Migliaia [0] 46 4 3 3" xfId="43583" xr:uid="{1EAEAA9E-2BA6-47FA-8FA0-4E7FB019E8E2}"/>
    <cellStyle name="Migliaia [0] 46 4 3 4" xfId="32930" xr:uid="{AD39EF85-F20A-4BAF-A901-C35C33F4E3A6}"/>
    <cellStyle name="Migliaia [0] 46 4 3 5" xfId="19701" xr:uid="{EAAEA484-272A-4E8E-AD8A-2B90789C41DF}"/>
    <cellStyle name="Migliaia [0] 46 4 4" xfId="35816" xr:uid="{5E5FD804-941C-404F-9F87-1D36BF57C171}"/>
    <cellStyle name="Migliaia [0] 46 4 5" xfId="40932" xr:uid="{AD147D3A-A8D2-408D-A69C-EEE70E173C23}"/>
    <cellStyle name="Migliaia [0] 46 4 6" xfId="15991" xr:uid="{7A36F089-7402-493C-B8D9-6AC4F5211501}"/>
    <cellStyle name="Migliaia [0] 46 4 7" xfId="7804" xr:uid="{DC888CF4-0625-4E58-91DC-305B3EE2D10C}"/>
    <cellStyle name="Migliaia [0] 46 5" xfId="4744" xr:uid="{7117FE0C-FBA8-400F-A40A-C7D3817AA449}"/>
    <cellStyle name="Migliaia [0] 46 5 2" xfId="32931" xr:uid="{7AE9E2BA-93E0-461B-98EE-34E7ABC9990B}"/>
    <cellStyle name="Migliaia [0] 46 5 2 2" xfId="38282" xr:uid="{F52A3278-9E24-47A0-9005-33F60E8AF0BB}"/>
    <cellStyle name="Migliaia [0] 46 5 2 3" xfId="43584" xr:uid="{10243FBA-60DB-4AA0-A26B-4AC0C58D57F0}"/>
    <cellStyle name="Migliaia [0] 46 5 3" xfId="35817" xr:uid="{A3CEC44D-0E6A-4E8D-8C20-27866A57DCAD}"/>
    <cellStyle name="Migliaia [0] 46 5 4" xfId="40933" xr:uid="{3D866CED-2714-4443-B9A6-F2C25C179598}"/>
    <cellStyle name="Migliaia [0] 46 5 5" xfId="17118" xr:uid="{F492C81B-61E8-47A9-A88B-86118043331D}"/>
    <cellStyle name="Migliaia [0] 46 6" xfId="5986" xr:uid="{A3F47528-F144-49B8-AED4-31A61EBC8513}"/>
    <cellStyle name="Migliaia [0] 46 6 2" xfId="38278" xr:uid="{ECB16AEB-4BF2-46C9-BB1E-076C5ACA5565}"/>
    <cellStyle name="Migliaia [0] 46 6 3" xfId="43580" xr:uid="{7CDFD059-0FAF-4581-843C-BBCECA21E16F}"/>
    <cellStyle name="Migliaia [0] 46 6 4" xfId="32927" xr:uid="{7037D04D-B1E4-4536-ACC2-5113BAF13BEE}"/>
    <cellStyle name="Migliaia [0] 46 6 5" xfId="19697" xr:uid="{64646935-D912-4B71-BDC2-406AE34BDDE1}"/>
    <cellStyle name="Migliaia [0] 46 7" xfId="3018" xr:uid="{6FA81226-43D9-4F0A-BA5D-B4B3CB79A803}"/>
    <cellStyle name="Migliaia [0] 46 7 2" xfId="35813" xr:uid="{9F5030F5-7E2A-457B-9B3E-5E56BCFFED64}"/>
    <cellStyle name="Migliaia [0] 46 8" xfId="40929" xr:uid="{030A27B0-2CE0-4680-B107-3D6CE627EED8}"/>
    <cellStyle name="Migliaia [0] 46 9" xfId="7025" xr:uid="{4E863748-B625-4EAB-9A99-693937A32BB0}"/>
    <cellStyle name="Migliaia [0] 47" xfId="283" xr:uid="{00000000-0005-0000-0000-000079020000}"/>
    <cellStyle name="Migliaia [0] 47 2" xfId="1604" xr:uid="{00000000-0005-0000-0000-00007A020000}"/>
    <cellStyle name="Migliaia [0] 47 2 2" xfId="1605" xr:uid="{00000000-0005-0000-0000-00007B020000}"/>
    <cellStyle name="Migliaia [0] 47 2 2 2" xfId="4751" xr:uid="{E0EABA7C-02EF-4888-BC8E-4DAEA00F8F37}"/>
    <cellStyle name="Migliaia [0] 47 2 2 2 2" xfId="21802" xr:uid="{E4606869-8AEA-4840-A178-2D9AB7F4AA57}"/>
    <cellStyle name="Migliaia [0] 47 2 2 2 3" xfId="46295" xr:uid="{55086A5D-DAD5-4516-9AFF-D5774E62D9A5}"/>
    <cellStyle name="Migliaia [0] 47 2 2 2 4" xfId="50830" xr:uid="{D3B4DF58-26A3-4182-A7B0-3AE41CCE7A1A}"/>
    <cellStyle name="Migliaia [0] 47 2 2 2 5" xfId="53846" xr:uid="{DC67FBB1-B761-4D82-889F-0A7202DA9DBD}"/>
    <cellStyle name="Migliaia [0] 47 2 2 2 6" xfId="11833" xr:uid="{67D3FA8D-EA8F-4489-97F9-204EA6285AA6}"/>
    <cellStyle name="Migliaia [0] 47 2 2 3" xfId="3025" xr:uid="{4FDD2D7B-084B-462D-B7A3-B8CF1EE0FBEF}"/>
    <cellStyle name="Migliaia [0] 47 2 2 3 2" xfId="12333" xr:uid="{13B0E4D9-61B4-46B1-8F85-53655328F5C7}"/>
    <cellStyle name="Migliaia [0] 47 2 2 4" xfId="10699" xr:uid="{2CCDDD65-2B0F-4BAF-9244-BDEB02ED3379}"/>
    <cellStyle name="Migliaia [0] 47 2 2 4 2" xfId="21334" xr:uid="{063BDE89-4CF7-4F53-90BF-A06DA57BAF48}"/>
    <cellStyle name="Migliaia [0] 47 2 2 4 3" xfId="46186" xr:uid="{F0D04655-3E0C-454C-9ADD-9184B91F32D2}"/>
    <cellStyle name="Migliaia [0] 47 2 2 4 4" xfId="50349" xr:uid="{ED7B3409-4A70-4E60-987B-C91088ED4A55}"/>
    <cellStyle name="Migliaia [0] 47 2 2 4 5" xfId="53365" xr:uid="{9E0D83ED-B7CF-4C2B-934E-3C4CE54C1A97}"/>
    <cellStyle name="Migliaia [0] 47 2 2 5" xfId="19704" xr:uid="{F868A2E1-2538-472C-96BB-E2C6B0FF98B0}"/>
    <cellStyle name="Migliaia [0] 47 2 2 6" xfId="24115" xr:uid="{A0986E6E-1A44-4C06-8F2E-275725DA21C2}"/>
    <cellStyle name="Migliaia [0] 47 2 2 7" xfId="48861" xr:uid="{DFFBC16F-AB28-473A-832E-6DBF0A7FBB27}"/>
    <cellStyle name="Migliaia [0] 47 2 2 8" xfId="49767" xr:uid="{51B69729-53C5-442C-A0C9-FC7D7BC27441}"/>
    <cellStyle name="Migliaia [0] 47 2 2 9" xfId="8467" xr:uid="{2DB34706-F6EF-4E06-8109-7379A580CA60}"/>
    <cellStyle name="Migliaia [0] 47 2 3" xfId="4750" xr:uid="{AE0A290A-BF37-4B09-A0A6-25FC4791A790}"/>
    <cellStyle name="Migliaia [0] 47 2 3 2" xfId="32933" xr:uid="{D4FD382E-D084-4BC7-9907-DFE73A603D0D}"/>
    <cellStyle name="Migliaia [0] 47 2 3 2 2" xfId="38284" xr:uid="{BCF1D008-C079-4178-A82C-91CF27CA0234}"/>
    <cellStyle name="Migliaia [0] 47 2 3 2 3" xfId="43586" xr:uid="{D1400782-9AF0-4BBA-A744-398349641A89}"/>
    <cellStyle name="Migliaia [0] 47 2 3 3" xfId="35819" xr:uid="{3944C02D-04DE-47A7-B397-0CC5E6CC27A4}"/>
    <cellStyle name="Migliaia [0] 47 2 3 4" xfId="40935" xr:uid="{F74C4ADB-E741-4CA5-B03F-1433D8E62599}"/>
    <cellStyle name="Migliaia [0] 47 2 3 5" xfId="11834" xr:uid="{FEE8F5F6-0B01-4560-9EAC-0269FCDEFB91}"/>
    <cellStyle name="Migliaia [0] 47 2 4" xfId="5991" xr:uid="{1C845458-BB1C-449A-87AC-17DCF1B3390D}"/>
    <cellStyle name="Migliaia [0] 47 2 4 2" xfId="19703" xr:uid="{F60B0D93-60BE-4C77-B02F-6E981415FA60}"/>
    <cellStyle name="Migliaia [0] 47 2 5" xfId="3024" xr:uid="{4B03B115-80AF-4B0F-BCC1-4FFB4C5097D2}"/>
    <cellStyle name="Migliaia [0] 47 2 5 2" xfId="24114" xr:uid="{F04FDFAE-AA61-4C00-B385-819A331A2233}"/>
    <cellStyle name="Migliaia [0] 47 2 6" xfId="7277" xr:uid="{5B685C7A-A078-4C49-A8B0-AE132FB17216}"/>
    <cellStyle name="Migliaia [0] 47 3" xfId="1606" xr:uid="{00000000-0005-0000-0000-00007C020000}"/>
    <cellStyle name="Migliaia [0] 47 3 2" xfId="4752" xr:uid="{07271A6C-2904-4FDA-9172-6A0D74B425DF}"/>
    <cellStyle name="Migliaia [0] 47 3 2 2" xfId="18342" xr:uid="{277385D5-6D33-4656-BFCF-77A31F0AB7FE}"/>
    <cellStyle name="Migliaia [0] 47 3 2 2 2" xfId="21803" xr:uid="{83BAE203-0D38-4CDF-98A4-ABDB12170461}"/>
    <cellStyle name="Migliaia [0] 47 3 2 2 2 2" xfId="38285" xr:uid="{37F1D23A-5180-4AB2-8508-76504C47DE06}"/>
    <cellStyle name="Migliaia [0] 47 3 2 2 3" xfId="43587" xr:uid="{71E6CD1D-3C52-4928-91F5-7C301E323C8B}"/>
    <cellStyle name="Migliaia [0] 47 3 2 2 4" xfId="32934" xr:uid="{3D2236AF-8011-483A-9ACA-CF984538CE25}"/>
    <cellStyle name="Migliaia [0] 47 3 2 3" xfId="35820" xr:uid="{9A57E6E5-EE93-4BB0-9340-1B1A5A5AEC7A}"/>
    <cellStyle name="Migliaia [0] 47 3 2 4" xfId="40936" xr:uid="{B58E1BCA-B7C8-4883-9031-BCA2721B9BCA}"/>
    <cellStyle name="Migliaia [0] 47 3 2 5" xfId="34235" xr:uid="{B91BE884-84D9-41FC-9A7A-EE7E9C6183B6}"/>
    <cellStyle name="Migliaia [0] 47 3 2 6" xfId="50831" xr:uid="{B2F4B068-D4BE-4369-ACC8-E4D61D5A843A}"/>
    <cellStyle name="Migliaia [0] 47 3 2 7" xfId="53847" xr:uid="{2BEA65D6-3B08-4BB6-B0DA-7DE254B4D473}"/>
    <cellStyle name="Migliaia [0] 47 3 2 8" xfId="17618" xr:uid="{595C36F9-1851-4FDD-8438-8591B9040827}"/>
    <cellStyle name="Migliaia [0] 47 3 2 9" xfId="11835" xr:uid="{03768987-860A-49D7-95C0-C18A11C67854}"/>
    <cellStyle name="Migliaia [0] 47 3 3" xfId="5992" xr:uid="{A67F32A4-5200-4BEE-8814-F20E0EE42923}"/>
    <cellStyle name="Migliaia [0] 47 3 3 2" xfId="12369" xr:uid="{E1A926ED-DD4F-46A9-8AD0-06A69C094C0A}"/>
    <cellStyle name="Migliaia [0] 47 3 4" xfId="3026" xr:uid="{34E74E3A-52C6-41D6-8532-D0B7C45654AF}"/>
    <cellStyle name="Migliaia [0] 47 3 4 2" xfId="21335" xr:uid="{B45A88AA-80DA-4E4D-B68E-6E84E4A46B35}"/>
    <cellStyle name="Migliaia [0] 47 3 4 3" xfId="24254" xr:uid="{0D6F0B2E-4334-4D2E-87E3-A94B452A8D7C}"/>
    <cellStyle name="Migliaia [0] 47 3 4 4" xfId="50350" xr:uid="{526422D6-EAB7-4362-BBCE-7B59577A6B9A}"/>
    <cellStyle name="Migliaia [0] 47 3 4 5" xfId="53366" xr:uid="{7F24C7A2-15A4-4CA4-BCC8-E245E5C73A53}"/>
    <cellStyle name="Migliaia [0] 47 3 4 6" xfId="10700" xr:uid="{FC0AC23E-9199-413D-83C5-967F79B092CA}"/>
    <cellStyle name="Migliaia [0] 47 3 5" xfId="19705" xr:uid="{C4F75632-3BEB-4543-A7BE-B78B077D7677}"/>
    <cellStyle name="Migliaia [0] 47 3 6" xfId="24116" xr:uid="{DF9C0470-0B86-46EB-A61D-FED3397BE694}"/>
    <cellStyle name="Migliaia [0] 47 3 7" xfId="8225" xr:uid="{587B5BA2-25AE-4148-8025-C36B0B3C7659}"/>
    <cellStyle name="Migliaia [0] 47 4" xfId="3027" xr:uid="{A08CCED2-52D7-4820-836D-AE8E49F843F0}"/>
    <cellStyle name="Migliaia [0] 47 4 2" xfId="4753" xr:uid="{D19F98DE-0F5E-494A-AA0D-177E05CF59ED}"/>
    <cellStyle name="Migliaia [0] 47 4 2 2" xfId="35110" xr:uid="{535F4BA4-B3E3-49D8-A2C8-B612872BC745}"/>
    <cellStyle name="Migliaia [0] 47 4 2 2 2" xfId="40268" xr:uid="{FF655D5E-DF65-4D79-A493-34FAD045DF20}"/>
    <cellStyle name="Migliaia [0] 47 4 2 2 3" xfId="45570" xr:uid="{00ADE128-4F9D-4A44-9432-A1DA7F38B856}"/>
    <cellStyle name="Migliaia [0] 47 4 2 3" xfId="37617" xr:uid="{DA9D2AE6-69F0-4F75-B411-4B8B9C843C3B}"/>
    <cellStyle name="Migliaia [0] 47 4 2 4" xfId="42919" xr:uid="{4B396A14-6100-4E13-8CA3-EA9BB7C6A150}"/>
    <cellStyle name="Migliaia [0] 47 4 2 5" xfId="17050" xr:uid="{0F36BE24-2AF2-467E-B2BB-BC0E973871B1}"/>
    <cellStyle name="Migliaia [0] 47 4 3" xfId="5993" xr:uid="{93BE1A5A-F66D-4D20-8E23-2D721F5F64A4}"/>
    <cellStyle name="Migliaia [0] 47 4 3 2" xfId="38286" xr:uid="{2C4C9F32-4DAD-4704-97FF-4063788C510D}"/>
    <cellStyle name="Migliaia [0] 47 4 3 3" xfId="43588" xr:uid="{E9C4FEC9-5E47-472A-84EA-573384C7AB8A}"/>
    <cellStyle name="Migliaia [0] 47 4 3 4" xfId="32935" xr:uid="{10D28B38-01B8-4473-ADAF-957A71079B67}"/>
    <cellStyle name="Migliaia [0] 47 4 3 5" xfId="19706" xr:uid="{0B011CB5-B9F8-4E2E-994C-9535F116C776}"/>
    <cellStyle name="Migliaia [0] 47 4 4" xfId="35821" xr:uid="{84FC81A5-3B9E-4A37-AB1C-BFC2BF049627}"/>
    <cellStyle name="Migliaia [0] 47 4 5" xfId="40937" xr:uid="{520CE4DB-8BF3-4FFA-BBD2-F6401A540BB9}"/>
    <cellStyle name="Migliaia [0] 47 4 6" xfId="15992" xr:uid="{2136CA10-BEC0-4EE9-9386-B78FCDA15567}"/>
    <cellStyle name="Migliaia [0] 47 4 7" xfId="7805" xr:uid="{426BAAFE-E32F-4F27-9178-B163C89C559E}"/>
    <cellStyle name="Migliaia [0] 47 5" xfId="4749" xr:uid="{8B81B289-0240-4755-9675-8E647636CDEC}"/>
    <cellStyle name="Migliaia [0] 47 5 2" xfId="32936" xr:uid="{B7E30A09-842F-41D8-AB1F-F6142569BCB5}"/>
    <cellStyle name="Migliaia [0] 47 5 2 2" xfId="38287" xr:uid="{320290BE-0A44-4A3A-BE29-8CF39580A820}"/>
    <cellStyle name="Migliaia [0] 47 5 2 3" xfId="43589" xr:uid="{A8F7D352-4641-4CFE-A840-31F2B89F2290}"/>
    <cellStyle name="Migliaia [0] 47 5 3" xfId="35822" xr:uid="{A4ABEBF3-ADB0-4F0D-B381-B6364A5BD2BE}"/>
    <cellStyle name="Migliaia [0] 47 5 4" xfId="40938" xr:uid="{EF569A19-D76B-47CE-99FC-64A48D4FCF8B}"/>
    <cellStyle name="Migliaia [0] 47 5 5" xfId="17119" xr:uid="{6D4925E1-6C3B-437D-9CDD-13BAD95238B9}"/>
    <cellStyle name="Migliaia [0] 47 6" xfId="5990" xr:uid="{6C6DCC2F-22CE-4209-B0C5-246C9D88910A}"/>
    <cellStyle name="Migliaia [0] 47 6 2" xfId="38283" xr:uid="{BEB997AA-B760-47FC-9E72-623793922C8D}"/>
    <cellStyle name="Migliaia [0] 47 6 3" xfId="43585" xr:uid="{626A069F-13E5-4A8F-85EA-95C83E6271BE}"/>
    <cellStyle name="Migliaia [0] 47 6 4" xfId="32932" xr:uid="{7484F79B-ABB5-4BBE-9822-57EC4D8D3C8F}"/>
    <cellStyle name="Migliaia [0] 47 6 5" xfId="19702" xr:uid="{3A85D87A-9A86-4A90-BB62-3A903AA6257F}"/>
    <cellStyle name="Migliaia [0] 47 7" xfId="3023" xr:uid="{FD9ED4E9-F80E-48AE-BE88-23719607ED4A}"/>
    <cellStyle name="Migliaia [0] 47 7 2" xfId="35818" xr:uid="{94188BB8-80A3-475A-915E-EFE5C14CCA77}"/>
    <cellStyle name="Migliaia [0] 47 8" xfId="40934" xr:uid="{5A480AA8-EC4A-48FC-AD94-C514F1B9FBE7}"/>
    <cellStyle name="Migliaia [0] 47 9" xfId="7026" xr:uid="{9ABDBAF9-E823-4AF8-9A69-790356533299}"/>
    <cellStyle name="Migliaia [0] 48" xfId="284" xr:uid="{00000000-0005-0000-0000-00007D020000}"/>
    <cellStyle name="Migliaia [0] 48 2" xfId="1607" xr:uid="{00000000-0005-0000-0000-00007E020000}"/>
    <cellStyle name="Migliaia [0] 48 2 2" xfId="1608" xr:uid="{00000000-0005-0000-0000-00007F020000}"/>
    <cellStyle name="Migliaia [0] 48 2 2 2" xfId="4756" xr:uid="{E21B50A1-F9B5-48B1-A582-797784CCAAFD}"/>
    <cellStyle name="Migliaia [0] 48 2 2 2 2" xfId="21804" xr:uid="{01622FDC-F77E-4E75-95F0-C0F071D624C3}"/>
    <cellStyle name="Migliaia [0] 48 2 2 2 3" xfId="47224" xr:uid="{BC3A6852-35CA-4093-BA98-E12A3B01A807}"/>
    <cellStyle name="Migliaia [0] 48 2 2 2 4" xfId="50832" xr:uid="{B3A57B15-2585-490B-BF89-FFBBDFF2672A}"/>
    <cellStyle name="Migliaia [0] 48 2 2 2 5" xfId="53848" xr:uid="{08B83819-2C11-4916-8F4F-2519B560FEBD}"/>
    <cellStyle name="Migliaia [0] 48 2 2 2 6" xfId="11836" xr:uid="{777B0711-A950-4B66-B634-905B764C561E}"/>
    <cellStyle name="Migliaia [0] 48 2 2 3" xfId="3030" xr:uid="{A26D150C-7E87-4D3D-842D-3630BDD2A056}"/>
    <cellStyle name="Migliaia [0] 48 2 2 3 2" xfId="12332" xr:uid="{73C2B447-E84B-4124-9F64-1F824CE950A4}"/>
    <cellStyle name="Migliaia [0] 48 2 2 4" xfId="10701" xr:uid="{633285FE-3BC6-4D4D-9952-B1BC529BCEE9}"/>
    <cellStyle name="Migliaia [0] 48 2 2 4 2" xfId="21336" xr:uid="{F17B1382-26FF-43DE-BBBB-3B2E894C5C14}"/>
    <cellStyle name="Migliaia [0] 48 2 2 4 3" xfId="46187" xr:uid="{3B231061-45C0-4104-8143-AC0E6EFB3019}"/>
    <cellStyle name="Migliaia [0] 48 2 2 4 4" xfId="50351" xr:uid="{EDDA3FCA-2032-49DC-A8FC-28B76A6555AB}"/>
    <cellStyle name="Migliaia [0] 48 2 2 4 5" xfId="53367" xr:uid="{2C16684C-61C8-4650-BA4F-63DB698FDA65}"/>
    <cellStyle name="Migliaia [0] 48 2 2 5" xfId="19709" xr:uid="{9E86563B-875D-4ED3-9916-1493443AE534}"/>
    <cellStyle name="Migliaia [0] 48 2 2 6" xfId="24118" xr:uid="{4DA785D7-1981-4AFE-A7BD-319AA27FEC7B}"/>
    <cellStyle name="Migliaia [0] 48 2 2 7" xfId="48862" xr:uid="{7613D38A-6F0B-4344-AF3E-9DED02EFD414}"/>
    <cellStyle name="Migliaia [0] 48 2 2 8" xfId="49768" xr:uid="{41FF7BB3-59C5-4B91-855A-DD21E200078F}"/>
    <cellStyle name="Migliaia [0] 48 2 2 9" xfId="8468" xr:uid="{CD6697D9-743D-4990-912F-78ECC6356F9D}"/>
    <cellStyle name="Migliaia [0] 48 2 3" xfId="4755" xr:uid="{5CB06C82-91CB-4FDA-9DDC-FD848F1B46B6}"/>
    <cellStyle name="Migliaia [0] 48 2 3 2" xfId="32938" xr:uid="{9EA2C392-9E1A-4177-A155-C615DF2CB158}"/>
    <cellStyle name="Migliaia [0] 48 2 3 2 2" xfId="38289" xr:uid="{EE3D88A1-5098-439F-8480-5E86104C1D9D}"/>
    <cellStyle name="Migliaia [0] 48 2 3 2 3" xfId="43591" xr:uid="{6C47A9B5-2836-44BF-A7A1-D323ECF0FE56}"/>
    <cellStyle name="Migliaia [0] 48 2 3 3" xfId="35824" xr:uid="{DECF9517-EA77-4E39-A6B1-0CF298CBBD74}"/>
    <cellStyle name="Migliaia [0] 48 2 3 4" xfId="40940" xr:uid="{11C9DFBA-8442-4B1A-B157-D1F4D08E31AB}"/>
    <cellStyle name="Migliaia [0] 48 2 3 5" xfId="11837" xr:uid="{AFE142CA-E39B-456A-8814-2CCB0B175317}"/>
    <cellStyle name="Migliaia [0] 48 2 4" xfId="5995" xr:uid="{4B6B8CD4-5446-4FCE-9AD8-142F75B1CD97}"/>
    <cellStyle name="Migliaia [0] 48 2 4 2" xfId="19708" xr:uid="{433F7843-5A3E-4A95-B31D-FFF0212BEA64}"/>
    <cellStyle name="Migliaia [0] 48 2 5" xfId="3029" xr:uid="{9FF1E0A9-37E8-4AA5-B4A3-AE6B0FF3F938}"/>
    <cellStyle name="Migliaia [0] 48 2 5 2" xfId="24117" xr:uid="{E92E7DBA-3FAA-4112-BB62-4ECB0ADD5D40}"/>
    <cellStyle name="Migliaia [0] 48 2 6" xfId="7278" xr:uid="{7B40957D-8E37-4686-B99D-DB9C22A6C767}"/>
    <cellStyle name="Migliaia [0] 48 3" xfId="1609" xr:uid="{00000000-0005-0000-0000-000080020000}"/>
    <cellStyle name="Migliaia [0] 48 3 2" xfId="4757" xr:uid="{1914A914-C0EE-4986-8718-FA74D963126D}"/>
    <cellStyle name="Migliaia [0] 48 3 2 2" xfId="18343" xr:uid="{8F09DB0F-1C26-4009-8404-9F6837555BFE}"/>
    <cellStyle name="Migliaia [0] 48 3 2 2 2" xfId="21805" xr:uid="{077BC00B-7742-4ED1-9CCF-2C16E655351C}"/>
    <cellStyle name="Migliaia [0] 48 3 2 2 2 2" xfId="38290" xr:uid="{D1A2B600-D113-4A3E-94AA-6AEB14E34193}"/>
    <cellStyle name="Migliaia [0] 48 3 2 2 3" xfId="43592" xr:uid="{8DF543D4-DCC3-454E-AE04-B4E4E184EEA6}"/>
    <cellStyle name="Migliaia [0] 48 3 2 2 4" xfId="32939" xr:uid="{3425F7A1-7478-452D-8226-6A79D0F5C119}"/>
    <cellStyle name="Migliaia [0] 48 3 2 3" xfId="35825" xr:uid="{3A19CFB5-6F8A-4EC4-8B39-C094295FBC2D}"/>
    <cellStyle name="Migliaia [0] 48 3 2 4" xfId="40941" xr:uid="{37CB3629-DE1E-4946-A26A-93AAD1D82877}"/>
    <cellStyle name="Migliaia [0] 48 3 2 5" xfId="47463" xr:uid="{96873867-CB1B-4C9C-95A7-FC7102E2F643}"/>
    <cellStyle name="Migliaia [0] 48 3 2 6" xfId="50833" xr:uid="{DE67409D-CEB5-4C18-9275-CA20B1757C22}"/>
    <cellStyle name="Migliaia [0] 48 3 2 7" xfId="53849" xr:uid="{063BF7E9-F4E8-43DD-BB82-F79AF7B216AC}"/>
    <cellStyle name="Migliaia [0] 48 3 2 8" xfId="17619" xr:uid="{1C78182B-6616-4F3B-A863-E175058C1CF8}"/>
    <cellStyle name="Migliaia [0] 48 3 2 9" xfId="11838" xr:uid="{D2322446-3011-41C8-8988-E5AAB2628CDB}"/>
    <cellStyle name="Migliaia [0] 48 3 3" xfId="5996" xr:uid="{F0BBCFDE-49A2-4572-B02A-DBEB5F6DA331}"/>
    <cellStyle name="Migliaia [0] 48 3 3 2" xfId="12368" xr:uid="{412BCD02-5A04-405D-A3AB-45C112675249}"/>
    <cellStyle name="Migliaia [0] 48 3 4" xfId="3031" xr:uid="{CD1CEB34-8707-44F7-BC78-50FCFB201E79}"/>
    <cellStyle name="Migliaia [0] 48 3 4 2" xfId="21337" xr:uid="{E8A44355-7382-412F-90E6-17C2870A2AF5}"/>
    <cellStyle name="Migliaia [0] 48 3 4 3" xfId="24249" xr:uid="{9F553CBC-FD30-4D4C-95DD-318CA9EC393D}"/>
    <cellStyle name="Migliaia [0] 48 3 4 4" xfId="50352" xr:uid="{9540EAE8-201D-47FE-8DCD-3674E24CAB15}"/>
    <cellStyle name="Migliaia [0] 48 3 4 5" xfId="53368" xr:uid="{98B7E790-3F2C-4C3D-BCB3-44830299AB8A}"/>
    <cellStyle name="Migliaia [0] 48 3 4 6" xfId="10702" xr:uid="{3607D645-C708-4D31-96DC-4CDF3863C9D3}"/>
    <cellStyle name="Migliaia [0] 48 3 5" xfId="19710" xr:uid="{348E6587-992E-47E2-A471-CA27347DBCB2}"/>
    <cellStyle name="Migliaia [0] 48 3 6" xfId="24119" xr:uid="{AD836B9A-92FD-46FF-8C6C-D300B7CFA680}"/>
    <cellStyle name="Migliaia [0] 48 3 7" xfId="8226" xr:uid="{F499C598-B192-4B8D-81DB-EFF7795F2519}"/>
    <cellStyle name="Migliaia [0] 48 4" xfId="3032" xr:uid="{CE6C6FAF-B33C-4A65-8476-6703F9EEC77B}"/>
    <cellStyle name="Migliaia [0] 48 4 2" xfId="4758" xr:uid="{98C9696E-ECF2-49D8-8456-FBCE29D3B987}"/>
    <cellStyle name="Migliaia [0] 48 4 2 2" xfId="35111" xr:uid="{D34334D1-5781-4208-A1D2-DD35A243F300}"/>
    <cellStyle name="Migliaia [0] 48 4 2 2 2" xfId="40269" xr:uid="{EB1BA2C7-CAE3-41CD-A1B7-3C47484EFE51}"/>
    <cellStyle name="Migliaia [0] 48 4 2 2 3" xfId="45571" xr:uid="{4F991A3C-8F7D-4D35-9AF7-128526C13F6D}"/>
    <cellStyle name="Migliaia [0] 48 4 2 3" xfId="37618" xr:uid="{B6112B02-7C16-41E9-B01F-CCA4AA38ECF7}"/>
    <cellStyle name="Migliaia [0] 48 4 2 4" xfId="42920" xr:uid="{FF607E09-D7B4-4245-8E43-D2B82AE2D907}"/>
    <cellStyle name="Migliaia [0] 48 4 2 5" xfId="17051" xr:uid="{1CF08C1D-CBBC-4A21-A570-88ABC3DEC338}"/>
    <cellStyle name="Migliaia [0] 48 4 3" xfId="5997" xr:uid="{AB248E03-66B4-4B48-9D97-44F855A2A998}"/>
    <cellStyle name="Migliaia [0] 48 4 3 2" xfId="38291" xr:uid="{FE87CEBB-6AB0-41BC-BDCB-08A3D2DEEA4F}"/>
    <cellStyle name="Migliaia [0] 48 4 3 3" xfId="43593" xr:uid="{82F82D75-FE8F-48E8-8ABA-1338DF94ADA5}"/>
    <cellStyle name="Migliaia [0] 48 4 3 4" xfId="32940" xr:uid="{E2D2AC82-B70C-4254-AC37-87A1B2DFF645}"/>
    <cellStyle name="Migliaia [0] 48 4 3 5" xfId="19711" xr:uid="{4B958A38-B39A-4346-AE3D-870459343D5B}"/>
    <cellStyle name="Migliaia [0] 48 4 4" xfId="35826" xr:uid="{3A57AFDB-00B1-4FAB-A960-92332960CCF6}"/>
    <cellStyle name="Migliaia [0] 48 4 5" xfId="40942" xr:uid="{6D1037EA-C160-4CB1-83F0-A906720FED88}"/>
    <cellStyle name="Migliaia [0] 48 4 6" xfId="15993" xr:uid="{48253694-110B-4C87-B97A-C36ACC405770}"/>
    <cellStyle name="Migliaia [0] 48 4 7" xfId="7806" xr:uid="{9416984B-34D6-46BD-AC91-337B3BFA3E11}"/>
    <cellStyle name="Migliaia [0] 48 5" xfId="4754" xr:uid="{D8484013-E32B-4F88-8865-0B2A9D89846B}"/>
    <cellStyle name="Migliaia [0] 48 5 2" xfId="32941" xr:uid="{2C94AB05-28A7-4816-B207-49F5EA4DC372}"/>
    <cellStyle name="Migliaia [0] 48 5 2 2" xfId="38292" xr:uid="{B83C0406-707F-4671-AC83-62E9398DBB1F}"/>
    <cellStyle name="Migliaia [0] 48 5 2 3" xfId="43594" xr:uid="{65AB34C4-4BCB-4941-BF0C-16E86B1333F8}"/>
    <cellStyle name="Migliaia [0] 48 5 3" xfId="35827" xr:uid="{E572C80C-4549-453B-AA3B-7916CEDDF2E7}"/>
    <cellStyle name="Migliaia [0] 48 5 4" xfId="40943" xr:uid="{47BB4FC4-1F05-43E7-9B9A-684D6D57F66D}"/>
    <cellStyle name="Migliaia [0] 48 5 5" xfId="17120" xr:uid="{8AD81686-2C14-47D7-8A1D-98C149127063}"/>
    <cellStyle name="Migliaia [0] 48 6" xfId="5994" xr:uid="{261F27A2-BAB4-441B-8BC6-8058A415DEF8}"/>
    <cellStyle name="Migliaia [0] 48 6 2" xfId="38288" xr:uid="{769CF2FD-1389-4FA4-BD2E-D76E6AD84067}"/>
    <cellStyle name="Migliaia [0] 48 6 3" xfId="43590" xr:uid="{1F0B945F-02CF-4B47-9D1D-FFE52985BEF1}"/>
    <cellStyle name="Migliaia [0] 48 6 4" xfId="32937" xr:uid="{A401A6CD-2C39-4A92-81F4-4E6F2DDD53A2}"/>
    <cellStyle name="Migliaia [0] 48 6 5" xfId="19707" xr:uid="{7293A28D-8F25-4588-96D3-F33BDC188E1B}"/>
    <cellStyle name="Migliaia [0] 48 7" xfId="3028" xr:uid="{3D3AB772-CF43-49D1-A55A-921BE16FE5F8}"/>
    <cellStyle name="Migliaia [0] 48 7 2" xfId="35823" xr:uid="{2E651DB2-5592-4A6C-899E-FC23D44E2DB0}"/>
    <cellStyle name="Migliaia [0] 48 8" xfId="40939" xr:uid="{F88AACEA-BFC9-4A42-8AB9-4A9DDBD5967E}"/>
    <cellStyle name="Migliaia [0] 48 9" xfId="7027" xr:uid="{05943033-2363-4ECC-950A-BF1FDC035C6F}"/>
    <cellStyle name="Migliaia [0] 49" xfId="285" xr:uid="{00000000-0005-0000-0000-000081020000}"/>
    <cellStyle name="Migliaia [0] 49 2" xfId="1610" xr:uid="{00000000-0005-0000-0000-000082020000}"/>
    <cellStyle name="Migliaia [0] 49 2 2" xfId="1611" xr:uid="{00000000-0005-0000-0000-000083020000}"/>
    <cellStyle name="Migliaia [0] 49 2 2 2" xfId="4761" xr:uid="{3C6003DF-869B-461D-8753-1ED04AB8B518}"/>
    <cellStyle name="Migliaia [0] 49 2 2 2 2" xfId="21806" xr:uid="{0E8B97E9-51B9-4DEB-A8CD-960E952BFB9A}"/>
    <cellStyle name="Migliaia [0] 49 2 2 2 3" xfId="47076" xr:uid="{4BBEAE48-DA2E-4436-90B9-12EFCC1E54CE}"/>
    <cellStyle name="Migliaia [0] 49 2 2 2 4" xfId="50834" xr:uid="{CF5969B9-62BE-4BA5-9F1D-DC96F0746E1D}"/>
    <cellStyle name="Migliaia [0] 49 2 2 2 5" xfId="53850" xr:uid="{27C62303-011D-4334-BEA0-46E7308E4816}"/>
    <cellStyle name="Migliaia [0] 49 2 2 2 6" xfId="11839" xr:uid="{1460657B-50DC-4F0E-B875-AFB4AA6B9AE5}"/>
    <cellStyle name="Migliaia [0] 49 2 2 3" xfId="3035" xr:uid="{32268093-270A-4804-95A9-BCFE2C33FA8E}"/>
    <cellStyle name="Migliaia [0] 49 2 2 3 2" xfId="12331" xr:uid="{25D689D3-E524-49BF-957F-AF35DCFB49A6}"/>
    <cellStyle name="Migliaia [0] 49 2 2 4" xfId="10703" xr:uid="{4A1D2308-A2D2-4DBE-9C9D-45728B4A13D7}"/>
    <cellStyle name="Migliaia [0] 49 2 2 4 2" xfId="21338" xr:uid="{43A68A1D-38B0-42A3-ABAB-B08462EAB1C4}"/>
    <cellStyle name="Migliaia [0] 49 2 2 4 3" xfId="46188" xr:uid="{CDF5B9A6-C5F0-4B35-9AA4-9DEABF36D3F4}"/>
    <cellStyle name="Migliaia [0] 49 2 2 4 4" xfId="50353" xr:uid="{EBF02B4E-FF1D-4B38-9E46-20CEFEBCB939}"/>
    <cellStyle name="Migliaia [0] 49 2 2 4 5" xfId="53369" xr:uid="{C89AC52C-65C6-4177-A4C4-22725FAA3148}"/>
    <cellStyle name="Migliaia [0] 49 2 2 5" xfId="19714" xr:uid="{38A78EF2-04E8-43A5-A53D-FBC5A622274E}"/>
    <cellStyle name="Migliaia [0] 49 2 2 6" xfId="24121" xr:uid="{F747737D-8640-4D48-8980-30897FA40FC0}"/>
    <cellStyle name="Migliaia [0] 49 2 2 7" xfId="48863" xr:uid="{7581B3AF-201F-4510-9BDF-7823C271E71D}"/>
    <cellStyle name="Migliaia [0] 49 2 2 8" xfId="49769" xr:uid="{419E84E7-2557-4BFC-B1E4-9D68B24219AC}"/>
    <cellStyle name="Migliaia [0] 49 2 2 9" xfId="8469" xr:uid="{EBEE8139-82E3-43E5-AAAF-5F62F5100835}"/>
    <cellStyle name="Migliaia [0] 49 2 3" xfId="4760" xr:uid="{BD7F406C-7365-4FE1-B0B4-4408BD27A330}"/>
    <cellStyle name="Migliaia [0] 49 2 3 2" xfId="32943" xr:uid="{D87A297F-BEE9-4BB8-8E3E-2EA90B60D602}"/>
    <cellStyle name="Migliaia [0] 49 2 3 2 2" xfId="38294" xr:uid="{1EACB18D-4240-49E3-9FFF-A63C450C1032}"/>
    <cellStyle name="Migliaia [0] 49 2 3 2 3" xfId="43596" xr:uid="{5AFF051F-A537-46AB-A7C3-0D9F6DFAD2CC}"/>
    <cellStyle name="Migliaia [0] 49 2 3 3" xfId="35829" xr:uid="{700AB9FF-6CBC-4A0B-9A47-083482A2CF41}"/>
    <cellStyle name="Migliaia [0] 49 2 3 4" xfId="40945" xr:uid="{22B56A8E-1F30-433D-9FA3-102D4EA0B50D}"/>
    <cellStyle name="Migliaia [0] 49 2 3 5" xfId="11840" xr:uid="{A74892E9-9D20-4AD0-B615-4EE8F4343372}"/>
    <cellStyle name="Migliaia [0] 49 2 4" xfId="5999" xr:uid="{EAEFD5DB-C7A2-41F1-B91F-CCFD2EDFF54E}"/>
    <cellStyle name="Migliaia [0] 49 2 4 2" xfId="19713" xr:uid="{1A682F2E-AF0C-4372-A3A0-9BE758B9CC6E}"/>
    <cellStyle name="Migliaia [0] 49 2 5" xfId="3034" xr:uid="{CED74A81-A9F8-48D5-B306-ABF2B2DF4910}"/>
    <cellStyle name="Migliaia [0] 49 2 5 2" xfId="24120" xr:uid="{FCF1640C-F5C6-4426-9A7C-0D44BD4E7A0D}"/>
    <cellStyle name="Migliaia [0] 49 2 6" xfId="7279" xr:uid="{6157381D-5BBF-4737-8367-B821725095BA}"/>
    <cellStyle name="Migliaia [0] 49 3" xfId="1612" xr:uid="{00000000-0005-0000-0000-000084020000}"/>
    <cellStyle name="Migliaia [0] 49 3 2" xfId="4762" xr:uid="{E5CD9F26-ED87-4977-A337-DECA20E1124C}"/>
    <cellStyle name="Migliaia [0] 49 3 2 2" xfId="18344" xr:uid="{60B6E4E6-6787-46B6-BDEE-413008AF03B3}"/>
    <cellStyle name="Migliaia [0] 49 3 2 2 2" xfId="21807" xr:uid="{63200302-D4F9-4C67-8800-390BFAEEC820}"/>
    <cellStyle name="Migliaia [0] 49 3 2 2 2 2" xfId="38295" xr:uid="{E01ACE7F-0500-4ECD-A78B-5E0E28550CD9}"/>
    <cellStyle name="Migliaia [0] 49 3 2 2 3" xfId="43597" xr:uid="{79F7A803-A92A-4BDC-AFF8-84932E3C12F1}"/>
    <cellStyle name="Migliaia [0] 49 3 2 2 4" xfId="32944" xr:uid="{79C12E11-FF61-46D6-8D0A-04437D1E3891}"/>
    <cellStyle name="Migliaia [0] 49 3 2 3" xfId="35830" xr:uid="{710C2E1A-FF62-4F7B-9ED9-8979E852C49B}"/>
    <cellStyle name="Migliaia [0] 49 3 2 4" xfId="40946" xr:uid="{BFEB96C2-68E3-4DC6-9920-0D22BBAFF4D6}"/>
    <cellStyle name="Migliaia [0] 49 3 2 5" xfId="25124" xr:uid="{E2C81EC4-CAD7-4CE1-A853-70D64AFFE1C6}"/>
    <cellStyle name="Migliaia [0] 49 3 2 6" xfId="50835" xr:uid="{576074B1-7AA0-4B7C-95CB-17680753918D}"/>
    <cellStyle name="Migliaia [0] 49 3 2 7" xfId="53851" xr:uid="{EF805141-7E2E-4114-9D42-0F896887EF66}"/>
    <cellStyle name="Migliaia [0] 49 3 2 8" xfId="17620" xr:uid="{FB3BC0F3-CC2C-42C4-9731-E2EE59B0FF62}"/>
    <cellStyle name="Migliaia [0] 49 3 2 9" xfId="11841" xr:uid="{13CBB7E6-2F1F-4088-B045-8E4E28649D60}"/>
    <cellStyle name="Migliaia [0] 49 3 3" xfId="6000" xr:uid="{09D198C6-D025-496F-86F7-2A708A4ECB65}"/>
    <cellStyle name="Migliaia [0] 49 3 3 2" xfId="11668" xr:uid="{786A6E3B-A2DA-43C3-93D3-5E5DAA9E3E2D}"/>
    <cellStyle name="Migliaia [0] 49 3 4" xfId="3036" xr:uid="{52D3F223-2A44-4E42-AC74-467957D02FEB}"/>
    <cellStyle name="Migliaia [0] 49 3 4 2" xfId="21339" xr:uid="{E4C1C186-4764-4A37-A1CA-E210C14D9DC5}"/>
    <cellStyle name="Migliaia [0] 49 3 4 3" xfId="47299" xr:uid="{E40DE796-CF7D-49A2-AC40-8AD61018DC94}"/>
    <cellStyle name="Migliaia [0] 49 3 4 4" xfId="50354" xr:uid="{E3BA1E0B-E48D-4D21-B45C-A0DBE0093BCC}"/>
    <cellStyle name="Migliaia [0] 49 3 4 5" xfId="53370" xr:uid="{CD277C26-63A3-44EE-8503-F06412475C5A}"/>
    <cellStyle name="Migliaia [0] 49 3 4 6" xfId="10704" xr:uid="{EC76BE63-AF4F-4D46-98BD-B03FD4B78541}"/>
    <cellStyle name="Migliaia [0] 49 3 5" xfId="19715" xr:uid="{784EBC13-3AF8-4DE8-9C37-EFDE2AABE13C}"/>
    <cellStyle name="Migliaia [0] 49 3 6" xfId="24122" xr:uid="{92C0A0DF-65D9-4180-9A32-F70660A91F13}"/>
    <cellStyle name="Migliaia [0] 49 3 7" xfId="8227" xr:uid="{781515DF-9275-461E-BDF7-2BBBC37FCF2F}"/>
    <cellStyle name="Migliaia [0] 49 4" xfId="3037" xr:uid="{D065ECA2-E2B6-446C-86B2-01B5FFA9DBB0}"/>
    <cellStyle name="Migliaia [0] 49 4 2" xfId="4763" xr:uid="{D1DA396D-20DC-44EC-80AA-45BEE6402603}"/>
    <cellStyle name="Migliaia [0] 49 4 2 2" xfId="35112" xr:uid="{B9B4BE60-40A2-4313-A33B-42071A90A144}"/>
    <cellStyle name="Migliaia [0] 49 4 2 2 2" xfId="40270" xr:uid="{860EA4BD-3CCF-4B21-99A9-EEC5A3BC6660}"/>
    <cellStyle name="Migliaia [0] 49 4 2 2 3" xfId="45572" xr:uid="{9F1336C2-2A57-42C6-9831-C4014D67CB65}"/>
    <cellStyle name="Migliaia [0] 49 4 2 3" xfId="37619" xr:uid="{426B2142-AF51-4E95-B29E-E3EDA03F45CA}"/>
    <cellStyle name="Migliaia [0] 49 4 2 4" xfId="42921" xr:uid="{41FDB389-AEAE-442F-9D8A-76342A1AA88B}"/>
    <cellStyle name="Migliaia [0] 49 4 2 5" xfId="17052" xr:uid="{C6376CE6-DFFD-42E0-92B2-5DC981554F13}"/>
    <cellStyle name="Migliaia [0] 49 4 3" xfId="6001" xr:uid="{0CE3157A-F034-4BFC-BA7A-5E0A8BFA7ECA}"/>
    <cellStyle name="Migliaia [0] 49 4 3 2" xfId="38296" xr:uid="{93F1FD0A-EE64-49EF-BE2A-D23DCE199FD5}"/>
    <cellStyle name="Migliaia [0] 49 4 3 3" xfId="43598" xr:uid="{0922AADB-6E62-494B-9C4A-E4EAAAC39DD0}"/>
    <cellStyle name="Migliaia [0] 49 4 3 4" xfId="32945" xr:uid="{52226C73-6788-4EEC-8186-337F51CB8553}"/>
    <cellStyle name="Migliaia [0] 49 4 3 5" xfId="19716" xr:uid="{C8E5254C-9947-4C01-86BD-E1C14FC36F66}"/>
    <cellStyle name="Migliaia [0] 49 4 4" xfId="35831" xr:uid="{B66110CE-EFE2-42FB-BA6F-08F2E2E863ED}"/>
    <cellStyle name="Migliaia [0] 49 4 5" xfId="40947" xr:uid="{5D7DB37A-CFB7-48BF-8BC8-435B26CFE809}"/>
    <cellStyle name="Migliaia [0] 49 4 6" xfId="15994" xr:uid="{67C43CA5-FEC1-4BAF-873D-370F3945E6E7}"/>
    <cellStyle name="Migliaia [0] 49 4 7" xfId="7807" xr:uid="{71A87C0C-0FFE-450D-AC58-55BB9B367078}"/>
    <cellStyle name="Migliaia [0] 49 5" xfId="4759" xr:uid="{39BA03DC-FEC9-44F1-AB6C-527FDA81A51D}"/>
    <cellStyle name="Migliaia [0] 49 5 2" xfId="32946" xr:uid="{442E87FD-DAF7-4D81-8DFF-93A4A3C1C334}"/>
    <cellStyle name="Migliaia [0] 49 5 2 2" xfId="38297" xr:uid="{DD013B76-DB0B-45E2-83F6-A0B44F948864}"/>
    <cellStyle name="Migliaia [0] 49 5 2 3" xfId="43599" xr:uid="{D2968864-CC84-4A65-8930-D9BE1C1397BC}"/>
    <cellStyle name="Migliaia [0] 49 5 3" xfId="35832" xr:uid="{B09E08E8-0C91-4F57-BFCD-723DD27FC047}"/>
    <cellStyle name="Migliaia [0] 49 5 4" xfId="40948" xr:uid="{E42C8F45-136B-41EE-A2A6-3E2F31417A69}"/>
    <cellStyle name="Migliaia [0] 49 5 5" xfId="17121" xr:uid="{0D899E94-AFC2-4ED7-A7F5-A220F1E206AF}"/>
    <cellStyle name="Migliaia [0] 49 6" xfId="5998" xr:uid="{B3E44F3A-CF40-4017-9D3A-7297D8BE74F0}"/>
    <cellStyle name="Migliaia [0] 49 6 2" xfId="38293" xr:uid="{75DA61BC-B2BE-40D5-9E87-8C8A1D2867F3}"/>
    <cellStyle name="Migliaia [0] 49 6 3" xfId="43595" xr:uid="{D3623E87-C0A1-40E2-9E9A-3DEA28DB7A89}"/>
    <cellStyle name="Migliaia [0] 49 6 4" xfId="32942" xr:uid="{13D81991-1567-4B5A-8E9A-67CCA9E19607}"/>
    <cellStyle name="Migliaia [0] 49 6 5" xfId="19712" xr:uid="{309B11B3-FB60-4F1F-BAF4-FF2C193E315B}"/>
    <cellStyle name="Migliaia [0] 49 7" xfId="3033" xr:uid="{9C199CD1-15E7-4FFD-BF5D-716F687F1BEA}"/>
    <cellStyle name="Migliaia [0] 49 7 2" xfId="35828" xr:uid="{913398C1-517E-4CC6-A349-2BEBE2082FA7}"/>
    <cellStyle name="Migliaia [0] 49 8" xfId="40944" xr:uid="{A340567A-C204-4C4B-ADBE-0510BD3214EE}"/>
    <cellStyle name="Migliaia [0] 49 9" xfId="7028" xr:uid="{79B9EC81-3129-4688-896D-DBF36087038C}"/>
    <cellStyle name="Migliaia [0] 5" xfId="286" xr:uid="{00000000-0005-0000-0000-000085020000}"/>
    <cellStyle name="Migliaia [0] 5 2" xfId="1613" xr:uid="{00000000-0005-0000-0000-000086020000}"/>
    <cellStyle name="Migliaia [0] 5 2 2" xfId="1614" xr:uid="{00000000-0005-0000-0000-000087020000}"/>
    <cellStyle name="Migliaia [0] 5 2 2 2" xfId="4766" xr:uid="{69ADC4E3-B026-4351-82BE-096B2247E0AB}"/>
    <cellStyle name="Migliaia [0] 5 2 2 2 2" xfId="21808" xr:uid="{52DD0017-4D5A-444D-9366-8F154300F4C9}"/>
    <cellStyle name="Migliaia [0] 5 2 2 2 3" xfId="47814" xr:uid="{D0CAC346-50A8-4996-92D8-94C2AEBF1A02}"/>
    <cellStyle name="Migliaia [0] 5 2 2 2 4" xfId="50836" xr:uid="{7FA93628-C93F-4867-98DB-3A9D59AFCCBA}"/>
    <cellStyle name="Migliaia [0] 5 2 2 2 5" xfId="53852" xr:uid="{47B785E5-2323-4CD1-914E-319889F12611}"/>
    <cellStyle name="Migliaia [0] 5 2 2 2 6" xfId="11842" xr:uid="{475C0BB6-6124-4420-BC0D-095D7DE232F1}"/>
    <cellStyle name="Migliaia [0] 5 2 2 3" xfId="3040" xr:uid="{AF19255E-C24E-4158-8FF4-C6C15647A130}"/>
    <cellStyle name="Migliaia [0] 5 2 2 3 2" xfId="12180" xr:uid="{A84B68C1-BBCB-42BF-80C7-DC0C24E7072F}"/>
    <cellStyle name="Migliaia [0] 5 2 2 4" xfId="10705" xr:uid="{FEAD2302-B8CA-427B-B75D-352F3123BA2A}"/>
    <cellStyle name="Migliaia [0] 5 2 2 4 2" xfId="21340" xr:uid="{EF06EF33-3D58-4062-BA66-05C716B0B9ED}"/>
    <cellStyle name="Migliaia [0] 5 2 2 4 3" xfId="46189" xr:uid="{8C26077E-820E-42D1-9A58-CD9644E55D7B}"/>
    <cellStyle name="Migliaia [0] 5 2 2 4 4" xfId="50355" xr:uid="{32F3C57A-5F7F-4898-9644-35BBD261E795}"/>
    <cellStyle name="Migliaia [0] 5 2 2 4 5" xfId="53371" xr:uid="{81BDCD45-FE3B-4B2E-8256-FE54147A3FD3}"/>
    <cellStyle name="Migliaia [0] 5 2 2 5" xfId="19719" xr:uid="{8D7213C3-7771-423D-8E01-79C8F3C66E0A}"/>
    <cellStyle name="Migliaia [0] 5 2 2 6" xfId="24124" xr:uid="{3C35AA7F-6DA9-495A-8B06-9841FD31A9CA}"/>
    <cellStyle name="Migliaia [0] 5 2 2 7" xfId="48864" xr:uid="{01BB1850-ADDA-40D6-94BD-3C56F9AAF851}"/>
    <cellStyle name="Migliaia [0] 5 2 2 8" xfId="49770" xr:uid="{698250D9-67BB-42FE-8C39-720A7C7ADB5E}"/>
    <cellStyle name="Migliaia [0] 5 2 2 9" xfId="8470" xr:uid="{2FAC42C4-CE27-4184-88C7-7A31F6BBE3A0}"/>
    <cellStyle name="Migliaia [0] 5 2 3" xfId="4765" xr:uid="{AAF02636-24C8-41CE-9119-236991F3296B}"/>
    <cellStyle name="Migliaia [0] 5 2 3 2" xfId="32948" xr:uid="{02542C5A-00EC-4982-A500-2E6AD90A6FDE}"/>
    <cellStyle name="Migliaia [0] 5 2 3 2 2" xfId="38299" xr:uid="{3E77CD6E-6647-4809-BCBB-2AF7FAF61816}"/>
    <cellStyle name="Migliaia [0] 5 2 3 2 3" xfId="43601" xr:uid="{00654E8A-55B7-422B-BCA7-608BB8E151B6}"/>
    <cellStyle name="Migliaia [0] 5 2 3 3" xfId="35834" xr:uid="{DD64048E-8F23-4CBB-BCB9-322C7C5C919B}"/>
    <cellStyle name="Migliaia [0] 5 2 3 4" xfId="40950" xr:uid="{F54980B5-CAD0-4797-9705-C2BD44C949F7}"/>
    <cellStyle name="Migliaia [0] 5 2 3 5" xfId="11843" xr:uid="{C4BD864D-8BF5-4761-B6AD-55F2114CCD54}"/>
    <cellStyle name="Migliaia [0] 5 2 4" xfId="6003" xr:uid="{81A99985-9F3C-476A-96FF-4A9D149E3EE1}"/>
    <cellStyle name="Migliaia [0] 5 2 4 2" xfId="19718" xr:uid="{D91835BD-A029-4CA5-B8EA-BB963F048840}"/>
    <cellStyle name="Migliaia [0] 5 2 5" xfId="3039" xr:uid="{65F3B956-7D7C-45D3-8CE2-1B6DF77BDE2D}"/>
    <cellStyle name="Migliaia [0] 5 2 5 2" xfId="24123" xr:uid="{14742864-96F2-4CD4-B955-59E41C67058E}"/>
    <cellStyle name="Migliaia [0] 5 2 6" xfId="7280" xr:uid="{92143004-90DF-4C5D-AD65-3562A5BA4224}"/>
    <cellStyle name="Migliaia [0] 5 3" xfId="1615" xr:uid="{00000000-0005-0000-0000-000088020000}"/>
    <cellStyle name="Migliaia [0] 5 3 2" xfId="4767" xr:uid="{EEA64456-ECD8-45E4-8A53-6E42394FDD0C}"/>
    <cellStyle name="Migliaia [0] 5 3 2 2" xfId="18345" xr:uid="{8C1BC772-A18F-4E26-A654-8DDE4A906D64}"/>
    <cellStyle name="Migliaia [0] 5 3 2 2 2" xfId="21809" xr:uid="{1FF9F8BB-B2B4-470F-A7C1-BF798B613FFC}"/>
    <cellStyle name="Migliaia [0] 5 3 2 2 2 2" xfId="38300" xr:uid="{1CC4EB04-F90D-4F50-8870-A55440E2869F}"/>
    <cellStyle name="Migliaia [0] 5 3 2 2 3" xfId="43602" xr:uid="{1DA3D651-EA36-4C50-A70E-E78A519BBD01}"/>
    <cellStyle name="Migliaia [0] 5 3 2 2 4" xfId="32949" xr:uid="{8445A234-2D2D-4A08-9DC7-07E037432365}"/>
    <cellStyle name="Migliaia [0] 5 3 2 3" xfId="35835" xr:uid="{0AE15584-D8A2-4BD0-856E-1340EAE872C5}"/>
    <cellStyle name="Migliaia [0] 5 3 2 4" xfId="40951" xr:uid="{47C7A054-4E56-4539-BB31-22FA332D76D4}"/>
    <cellStyle name="Migliaia [0] 5 3 2 5" xfId="48043" xr:uid="{2FBD5BC9-C0F1-4382-BAAE-AC1E28D572DC}"/>
    <cellStyle name="Migliaia [0] 5 3 2 6" xfId="50837" xr:uid="{4BB4232B-9B6F-45E7-8395-59A44A8D72C7}"/>
    <cellStyle name="Migliaia [0] 5 3 2 7" xfId="53853" xr:uid="{929A99D3-5376-4219-81F1-83DA44F7D8FC}"/>
    <cellStyle name="Migliaia [0] 5 3 2 8" xfId="17621" xr:uid="{B2F92898-4364-40B6-83B2-14E0B51CE55A}"/>
    <cellStyle name="Migliaia [0] 5 3 2 9" xfId="11844" xr:uid="{797D2A9B-E305-4767-BB0A-51B3A534CA07}"/>
    <cellStyle name="Migliaia [0] 5 3 3" xfId="6004" xr:uid="{67E8C61C-4043-43B8-907F-F5F9B8856E02}"/>
    <cellStyle name="Migliaia [0] 5 3 3 2" xfId="12367" xr:uid="{DE73347B-0076-4320-B0B3-105C651FFE05}"/>
    <cellStyle name="Migliaia [0] 5 3 4" xfId="3041" xr:uid="{17168358-18AF-45FE-921A-42CBE63FB5DA}"/>
    <cellStyle name="Migliaia [0] 5 3 4 2" xfId="21341" xr:uid="{EAE49A2B-B8A4-489B-B1DF-EB152805DF61}"/>
    <cellStyle name="Migliaia [0] 5 3 4 3" xfId="46190" xr:uid="{B96E572E-4853-44D4-B69F-75508CDC8B33}"/>
    <cellStyle name="Migliaia [0] 5 3 4 4" xfId="50356" xr:uid="{6C84C544-6D6C-4E24-AB82-C1D3977A9311}"/>
    <cellStyle name="Migliaia [0] 5 3 4 5" xfId="53372" xr:uid="{0EBA70EA-F526-4FDE-9A5D-E15403C26B59}"/>
    <cellStyle name="Migliaia [0] 5 3 4 6" xfId="10706" xr:uid="{A9A47995-8109-4C35-9DC4-E1DAB755A2B7}"/>
    <cellStyle name="Migliaia [0] 5 3 5" xfId="19720" xr:uid="{C836817F-AED2-4C66-B6B0-23CA5D4F7C1B}"/>
    <cellStyle name="Migliaia [0] 5 3 6" xfId="24125" xr:uid="{16FE5D5B-1778-4350-BCB7-76EC7A61F53A}"/>
    <cellStyle name="Migliaia [0] 5 3 7" xfId="8228" xr:uid="{78264879-44F4-43B8-B083-F7DF1BD26DF5}"/>
    <cellStyle name="Migliaia [0] 5 4" xfId="3042" xr:uid="{EA0C2312-05AA-4F91-865D-92231B8278CA}"/>
    <cellStyle name="Migliaia [0] 5 4 2" xfId="4768" xr:uid="{8AF591E4-31E7-42B5-8345-B85016F1D6C2}"/>
    <cellStyle name="Migliaia [0] 5 4 2 2" xfId="35113" xr:uid="{649DE802-930F-4215-980F-171FEC51AE83}"/>
    <cellStyle name="Migliaia [0] 5 4 2 2 2" xfId="40271" xr:uid="{3B0918B0-2F35-4A3F-B60E-E181967CAB80}"/>
    <cellStyle name="Migliaia [0] 5 4 2 2 3" xfId="45573" xr:uid="{D33E925F-B66C-440E-AD4D-920074A07C67}"/>
    <cellStyle name="Migliaia [0] 5 4 2 3" xfId="37620" xr:uid="{8B3808D4-E621-4A72-83BE-10BD875F1E50}"/>
    <cellStyle name="Migliaia [0] 5 4 2 4" xfId="42922" xr:uid="{1B40ECDC-4695-4EE0-A66B-330BF6E67713}"/>
    <cellStyle name="Migliaia [0] 5 4 2 5" xfId="17053" xr:uid="{49900F29-717B-46A7-A8E1-F15E19AE290F}"/>
    <cellStyle name="Migliaia [0] 5 4 3" xfId="6005" xr:uid="{9EBF40E5-A356-488A-AEEB-671F944DD992}"/>
    <cellStyle name="Migliaia [0] 5 4 3 2" xfId="38301" xr:uid="{97A15FB1-4151-4056-864C-36844C309B28}"/>
    <cellStyle name="Migliaia [0] 5 4 3 3" xfId="43603" xr:uid="{C2E6B0DA-6F19-44D9-9128-0F4A3BF1D25B}"/>
    <cellStyle name="Migliaia [0] 5 4 3 4" xfId="32950" xr:uid="{C007015B-D77D-4939-9258-C207273CEDEA}"/>
    <cellStyle name="Migliaia [0] 5 4 3 5" xfId="19721" xr:uid="{90A2EBE2-1272-4B9B-A400-762744240111}"/>
    <cellStyle name="Migliaia [0] 5 4 4" xfId="35836" xr:uid="{165DC901-F35F-40D6-9BC2-0D11B11CF780}"/>
    <cellStyle name="Migliaia [0] 5 4 5" xfId="40952" xr:uid="{E0F8F166-206D-4D70-B570-F9B98917001B}"/>
    <cellStyle name="Migliaia [0] 5 4 6" xfId="15995" xr:uid="{DD657B4E-5BEB-4DA9-93B3-FA8015914656}"/>
    <cellStyle name="Migliaia [0] 5 4 7" xfId="7808" xr:uid="{61956B54-2B87-40AA-9090-3822FB18272E}"/>
    <cellStyle name="Migliaia [0] 5 5" xfId="4764" xr:uid="{3C6DB823-6801-463D-97C9-65D553F44DC7}"/>
    <cellStyle name="Migliaia [0] 5 5 2" xfId="32951" xr:uid="{B8F7592F-8EAE-4CDA-A48A-9D671DE46415}"/>
    <cellStyle name="Migliaia [0] 5 5 2 2" xfId="38302" xr:uid="{1C56C303-E7EF-4812-AAEC-5079D6220632}"/>
    <cellStyle name="Migliaia [0] 5 5 2 3" xfId="43604" xr:uid="{3478A64F-AA07-4A28-AE63-A860110C32B8}"/>
    <cellStyle name="Migliaia [0] 5 5 3" xfId="35837" xr:uid="{3FE1CFED-E67F-4222-BDF2-D760197141D5}"/>
    <cellStyle name="Migliaia [0] 5 5 4" xfId="40953" xr:uid="{D303312A-F5A4-4A21-A000-344E7001225C}"/>
    <cellStyle name="Migliaia [0] 5 5 5" xfId="17122" xr:uid="{C718E149-573A-4777-B383-6CF7E93DF553}"/>
    <cellStyle name="Migliaia [0] 5 6" xfId="6002" xr:uid="{28CE114B-9253-431D-BBD6-76D162CCFAAC}"/>
    <cellStyle name="Migliaia [0] 5 6 2" xfId="38298" xr:uid="{4DC00164-001D-4555-9E4B-E24F51B8C92D}"/>
    <cellStyle name="Migliaia [0] 5 6 3" xfId="43600" xr:uid="{03728021-FEA4-4792-99AD-CAF90ECB6032}"/>
    <cellStyle name="Migliaia [0] 5 6 4" xfId="32947" xr:uid="{EBDD562F-D9A0-4BB7-90B0-F881D3B79B76}"/>
    <cellStyle name="Migliaia [0] 5 6 5" xfId="19717" xr:uid="{65337CD9-D209-48F9-AEB2-2BBFA6668492}"/>
    <cellStyle name="Migliaia [0] 5 7" xfId="3038" xr:uid="{3F0DB9DB-E00E-459B-B0E7-0B35896E61C4}"/>
    <cellStyle name="Migliaia [0] 5 7 2" xfId="35833" xr:uid="{2B995635-060F-4153-9E4D-E21228557666}"/>
    <cellStyle name="Migliaia [0] 5 8" xfId="40949" xr:uid="{6E7080F9-DC7A-41D3-85FB-50939D472AC3}"/>
    <cellStyle name="Migliaia [0] 5 9" xfId="7029" xr:uid="{A44627C1-6008-4B3A-9ABF-848F2DA0498A}"/>
    <cellStyle name="Migliaia [0] 50" xfId="287" xr:uid="{00000000-0005-0000-0000-000089020000}"/>
    <cellStyle name="Migliaia [0] 50 2" xfId="1616" xr:uid="{00000000-0005-0000-0000-00008A020000}"/>
    <cellStyle name="Migliaia [0] 50 2 2" xfId="1617" xr:uid="{00000000-0005-0000-0000-00008B020000}"/>
    <cellStyle name="Migliaia [0] 50 2 2 2" xfId="4771" xr:uid="{1B09896B-A258-412A-A7DD-E7DB6D81541A}"/>
    <cellStyle name="Migliaia [0] 50 2 2 2 2" xfId="21810" xr:uid="{0D779509-9171-4F31-B20A-E050D3FA89BB}"/>
    <cellStyle name="Migliaia [0] 50 2 2 2 3" xfId="47415" xr:uid="{0A592F25-D1B5-439E-8FBB-E66322557DB8}"/>
    <cellStyle name="Migliaia [0] 50 2 2 2 4" xfId="50838" xr:uid="{9EE27707-2286-4637-A63D-263CBB28C12E}"/>
    <cellStyle name="Migliaia [0] 50 2 2 2 5" xfId="53854" xr:uid="{93E056BF-FEA3-44B5-B4FF-0EDE5FE23D4B}"/>
    <cellStyle name="Migliaia [0] 50 2 2 2 6" xfId="11845" xr:uid="{D7BD6D21-B639-48ED-96A1-24361C5DC444}"/>
    <cellStyle name="Migliaia [0] 50 2 2 3" xfId="3045" xr:uid="{6501384D-D0CB-4354-B932-812AEBBC6B88}"/>
    <cellStyle name="Migliaia [0] 50 2 2 3 2" xfId="11174" xr:uid="{1D857B50-CB9E-4453-9DE6-5B77D3F0BC27}"/>
    <cellStyle name="Migliaia [0] 50 2 2 4" xfId="10707" xr:uid="{BF920876-F5A1-4938-85C2-8E5A0A5DD57F}"/>
    <cellStyle name="Migliaia [0] 50 2 2 4 2" xfId="21342" xr:uid="{FF3BC3AC-F8AA-4705-AA77-369ADA809462}"/>
    <cellStyle name="Migliaia [0] 50 2 2 4 3" xfId="48287" xr:uid="{AA215645-1137-4E23-BF97-08CEC3DAB65A}"/>
    <cellStyle name="Migliaia [0] 50 2 2 4 4" xfId="50357" xr:uid="{B4D6D501-FA11-4A71-9A3C-D7C3CBC3225A}"/>
    <cellStyle name="Migliaia [0] 50 2 2 4 5" xfId="53373" xr:uid="{2EA34045-771F-498D-9D83-2DE1460911DC}"/>
    <cellStyle name="Migliaia [0] 50 2 2 5" xfId="19724" xr:uid="{9A54F824-C004-4F21-876F-45CA8D3EB6F3}"/>
    <cellStyle name="Migliaia [0] 50 2 2 6" xfId="24127" xr:uid="{71470F48-11DA-4FEB-AA85-083681CB6511}"/>
    <cellStyle name="Migliaia [0] 50 2 2 7" xfId="48865" xr:uid="{C62C4BCF-6612-43B0-B6C2-352B2EF870B0}"/>
    <cellStyle name="Migliaia [0] 50 2 2 8" xfId="49771" xr:uid="{D43F522A-ED88-4993-9026-82FDB96587CF}"/>
    <cellStyle name="Migliaia [0] 50 2 2 9" xfId="8471" xr:uid="{413A1610-84CF-4652-971B-7AAD175F36FB}"/>
    <cellStyle name="Migliaia [0] 50 2 3" xfId="4770" xr:uid="{C77DDA14-7259-4990-B0D4-73A23DBB14B7}"/>
    <cellStyle name="Migliaia [0] 50 2 3 2" xfId="32953" xr:uid="{D0E5F5A9-B47F-4437-88B9-6263037B573A}"/>
    <cellStyle name="Migliaia [0] 50 2 3 2 2" xfId="38304" xr:uid="{F46D8312-16CF-4F50-A3E7-2AC4F07E5F43}"/>
    <cellStyle name="Migliaia [0] 50 2 3 2 3" xfId="43606" xr:uid="{FF252AAB-C1B0-494D-9F5F-BD2D9271F33F}"/>
    <cellStyle name="Migliaia [0] 50 2 3 3" xfId="35839" xr:uid="{2D37B6D0-164D-4721-A99F-48C19C7DBC7C}"/>
    <cellStyle name="Migliaia [0] 50 2 3 4" xfId="40955" xr:uid="{BA0E0835-522E-4C66-989B-27BBDCA30E61}"/>
    <cellStyle name="Migliaia [0] 50 2 3 5" xfId="11846" xr:uid="{27779D9E-629E-4D21-A1F8-879B7D639ABB}"/>
    <cellStyle name="Migliaia [0] 50 2 4" xfId="6007" xr:uid="{8EF7FCB7-F223-4BF7-9277-E9A53A29E859}"/>
    <cellStyle name="Migliaia [0] 50 2 4 2" xfId="19723" xr:uid="{8173DB31-2466-4238-AB86-4895C7326EF4}"/>
    <cellStyle name="Migliaia [0] 50 2 5" xfId="3044" xr:uid="{EED3D59E-5F89-4CC4-966C-01CB231358D6}"/>
    <cellStyle name="Migliaia [0] 50 2 5 2" xfId="24126" xr:uid="{6C14C1D6-9DB1-4D34-BF11-8BD7F7839AAC}"/>
    <cellStyle name="Migliaia [0] 50 2 6" xfId="7281" xr:uid="{12E5534F-0AD1-429E-9F2A-14F74630EB44}"/>
    <cellStyle name="Migliaia [0] 50 3" xfId="1618" xr:uid="{00000000-0005-0000-0000-00008C020000}"/>
    <cellStyle name="Migliaia [0] 50 3 2" xfId="4772" xr:uid="{7A24BE6B-A743-4370-9A0C-C46050A87090}"/>
    <cellStyle name="Migliaia [0] 50 3 2 2" xfId="18346" xr:uid="{67693AB5-9988-47F3-B3B6-1250F9F9B130}"/>
    <cellStyle name="Migliaia [0] 50 3 2 2 2" xfId="21811" xr:uid="{FC7658CA-89B8-4FBF-8281-A8089DF7D190}"/>
    <cellStyle name="Migliaia [0] 50 3 2 2 2 2" xfId="38305" xr:uid="{55D23817-8502-43DD-8196-A806DA69602F}"/>
    <cellStyle name="Migliaia [0] 50 3 2 2 3" xfId="43607" xr:uid="{E61E7AE5-09C4-4013-909F-37B6C755F33B}"/>
    <cellStyle name="Migliaia [0] 50 3 2 2 4" xfId="32954" xr:uid="{0F21AD68-23D1-4CEC-8C6D-0841055722BC}"/>
    <cellStyle name="Migliaia [0] 50 3 2 3" xfId="35840" xr:uid="{47B60D79-97AE-4CF4-9781-449415C2F21A}"/>
    <cellStyle name="Migliaia [0] 50 3 2 4" xfId="40956" xr:uid="{4202573C-FC2F-46F5-8D01-18B0B4BA9E68}"/>
    <cellStyle name="Migliaia [0] 50 3 2 5" xfId="32437" xr:uid="{0164CF5D-21B1-44B1-8001-08B2164E7A98}"/>
    <cellStyle name="Migliaia [0] 50 3 2 6" xfId="50839" xr:uid="{D4A46CEC-CB46-45A2-9CD1-D74BAE97B1D0}"/>
    <cellStyle name="Migliaia [0] 50 3 2 7" xfId="53855" xr:uid="{D3388949-BA3C-45CE-9512-1B783D0DBFC8}"/>
    <cellStyle name="Migliaia [0] 50 3 2 8" xfId="17622" xr:uid="{D4786CC9-B50B-4DE4-B5D7-E4F8F6BD884B}"/>
    <cellStyle name="Migliaia [0] 50 3 2 9" xfId="11847" xr:uid="{9471DBA6-C278-4D6C-89CB-42C55A3C6F27}"/>
    <cellStyle name="Migliaia [0] 50 3 3" xfId="6008" xr:uid="{D98FA3CE-2541-4421-A400-D0232D7559F7}"/>
    <cellStyle name="Migliaia [0] 50 3 3 2" xfId="12209" xr:uid="{E70FDFA6-B6AF-4B95-AD17-6C8694852CFE}"/>
    <cellStyle name="Migliaia [0] 50 3 4" xfId="3046" xr:uid="{D9EC0509-567B-4F93-BD4C-9AFF436746F4}"/>
    <cellStyle name="Migliaia [0] 50 3 4 2" xfId="21343" xr:uid="{CDEA1CD2-17CF-4CC0-B4A5-6FB510F0CDE4}"/>
    <cellStyle name="Migliaia [0] 50 3 4 3" xfId="48467" xr:uid="{AA7BD62C-2CFA-4F0B-A236-3FCDD3716A3A}"/>
    <cellStyle name="Migliaia [0] 50 3 4 4" xfId="50358" xr:uid="{4B04CD79-E9B8-45E1-94E0-2A8A8E3BB5D1}"/>
    <cellStyle name="Migliaia [0] 50 3 4 5" xfId="53374" xr:uid="{FAFFC1B9-0CBC-453E-8C47-F81079E9D87D}"/>
    <cellStyle name="Migliaia [0] 50 3 4 6" xfId="10708" xr:uid="{B1D3E95D-3AD2-45E0-9718-E57064809A22}"/>
    <cellStyle name="Migliaia [0] 50 3 5" xfId="19725" xr:uid="{50016285-DF15-42EB-AD77-B6FE618F59A7}"/>
    <cellStyle name="Migliaia [0] 50 3 6" xfId="24128" xr:uid="{767E88CE-46FA-4263-8553-B4BDB4A405FE}"/>
    <cellStyle name="Migliaia [0] 50 3 7" xfId="8229" xr:uid="{49DB432C-0119-4B3C-B39A-0179C5B0AEED}"/>
    <cellStyle name="Migliaia [0] 50 4" xfId="3047" xr:uid="{CAE89269-BD28-4093-9E2F-D1E40A8F8202}"/>
    <cellStyle name="Migliaia [0] 50 4 2" xfId="4773" xr:uid="{70405372-B612-46CC-8641-9F5DBCB4E0F1}"/>
    <cellStyle name="Migliaia [0] 50 4 2 2" xfId="35114" xr:uid="{CE0E311D-8A0B-405D-BDBF-14F3F14E4917}"/>
    <cellStyle name="Migliaia [0] 50 4 2 2 2" xfId="40272" xr:uid="{6D77E4C3-3F21-49FD-81F3-D2A803651748}"/>
    <cellStyle name="Migliaia [0] 50 4 2 2 3" xfId="45574" xr:uid="{83E4A895-5194-4786-9F5B-C8C207A80084}"/>
    <cellStyle name="Migliaia [0] 50 4 2 3" xfId="37621" xr:uid="{58DC82AB-859A-4B83-8D45-24B821A626A7}"/>
    <cellStyle name="Migliaia [0] 50 4 2 4" xfId="42923" xr:uid="{296EB02B-7DCD-4E4C-AFCC-D3460275CBF6}"/>
    <cellStyle name="Migliaia [0] 50 4 2 5" xfId="17054" xr:uid="{40AC1319-2C23-443B-8196-2A06A43F4AF5}"/>
    <cellStyle name="Migliaia [0] 50 4 3" xfId="6009" xr:uid="{674A426F-A4AA-4F46-960C-5D4843A32D7E}"/>
    <cellStyle name="Migliaia [0] 50 4 3 2" xfId="38306" xr:uid="{94BF0F8B-98C1-4722-9ED1-5C7EE49CAB0D}"/>
    <cellStyle name="Migliaia [0] 50 4 3 3" xfId="43608" xr:uid="{D5F6DB2F-9C62-458F-9D6E-5C68E393E756}"/>
    <cellStyle name="Migliaia [0] 50 4 3 4" xfId="32955" xr:uid="{EF00DE0E-DF74-4CDF-91D5-AA013EBACADC}"/>
    <cellStyle name="Migliaia [0] 50 4 3 5" xfId="19726" xr:uid="{9609E53B-6523-4250-96B6-5D7739DFCF02}"/>
    <cellStyle name="Migliaia [0] 50 4 4" xfId="35841" xr:uid="{835319DF-D9EC-4F4A-8A07-8368B27B4F13}"/>
    <cellStyle name="Migliaia [0] 50 4 5" xfId="40957" xr:uid="{ABDD8BB5-586E-419A-93C6-669291150D27}"/>
    <cellStyle name="Migliaia [0] 50 4 6" xfId="15996" xr:uid="{6CE5A688-919A-4F93-87B9-7206DC64ECD9}"/>
    <cellStyle name="Migliaia [0] 50 4 7" xfId="7809" xr:uid="{8C994083-054E-491D-9E06-9703B53510FB}"/>
    <cellStyle name="Migliaia [0] 50 5" xfId="4769" xr:uid="{1362F498-5A50-4EAD-9FC1-6C4B94FEF5BE}"/>
    <cellStyle name="Migliaia [0] 50 5 2" xfId="32956" xr:uid="{D04F9FC2-870F-4C06-8212-DE393F5EBFEE}"/>
    <cellStyle name="Migliaia [0] 50 5 2 2" xfId="38307" xr:uid="{4CBA307B-EB59-45D8-B4FB-47A3FB0A905E}"/>
    <cellStyle name="Migliaia [0] 50 5 2 3" xfId="43609" xr:uid="{9307F536-3107-487E-B6C3-05E7691D214A}"/>
    <cellStyle name="Migliaia [0] 50 5 3" xfId="35842" xr:uid="{E86E4503-4F00-4E4B-A0B8-4BF712EB3D03}"/>
    <cellStyle name="Migliaia [0] 50 5 4" xfId="40958" xr:uid="{87A0636E-B673-44A2-BC58-47E647C0AF56}"/>
    <cellStyle name="Migliaia [0] 50 5 5" xfId="17123" xr:uid="{625383D6-B506-4076-9B51-EEDD91BE4914}"/>
    <cellStyle name="Migliaia [0] 50 6" xfId="6006" xr:uid="{B4B0825C-A5DA-473D-8EC6-40CBCAF67322}"/>
    <cellStyle name="Migliaia [0] 50 6 2" xfId="38303" xr:uid="{17B11985-2C9E-411B-A724-C619557D8AC4}"/>
    <cellStyle name="Migliaia [0] 50 6 3" xfId="43605" xr:uid="{782E36E9-D953-4BCF-9938-96DB264A856D}"/>
    <cellStyle name="Migliaia [0] 50 6 4" xfId="32952" xr:uid="{512BEAD1-AC77-4ADF-A250-EB7AF985B28B}"/>
    <cellStyle name="Migliaia [0] 50 6 5" xfId="19722" xr:uid="{B2D52448-1E79-4647-8ECC-4E83137BCA6A}"/>
    <cellStyle name="Migliaia [0] 50 7" xfId="3043" xr:uid="{E0E10029-BAA8-4245-B483-84A5D72059E2}"/>
    <cellStyle name="Migliaia [0] 50 7 2" xfId="35838" xr:uid="{49D113B5-D6B1-4F85-8FEA-80FA406A635C}"/>
    <cellStyle name="Migliaia [0] 50 8" xfId="40954" xr:uid="{46913918-5BC2-4C25-B719-785B6FC27E50}"/>
    <cellStyle name="Migliaia [0] 50 9" xfId="7030" xr:uid="{C07FEE0C-22D7-48EB-9685-275293085CBF}"/>
    <cellStyle name="Migliaia [0] 51" xfId="288" xr:uid="{00000000-0005-0000-0000-00008D020000}"/>
    <cellStyle name="Migliaia [0] 51 2" xfId="1619" xr:uid="{00000000-0005-0000-0000-00008E020000}"/>
    <cellStyle name="Migliaia [0] 51 2 2" xfId="1620" xr:uid="{00000000-0005-0000-0000-00008F020000}"/>
    <cellStyle name="Migliaia [0] 51 2 2 2" xfId="4776" xr:uid="{D057B8B0-6A27-4052-A826-3ED5C60BF2FE}"/>
    <cellStyle name="Migliaia [0] 51 2 2 2 2" xfId="21812" xr:uid="{BAE1E163-C9AE-4816-8CF5-492E21FD9A58}"/>
    <cellStyle name="Migliaia [0] 51 2 2 2 3" xfId="48393" xr:uid="{B967835E-4A02-4D58-BC5A-C759BB03AE7A}"/>
    <cellStyle name="Migliaia [0] 51 2 2 2 4" xfId="50840" xr:uid="{8987FB87-89E7-48B9-B506-17BEAED03137}"/>
    <cellStyle name="Migliaia [0] 51 2 2 2 5" xfId="53856" xr:uid="{53928B78-0E04-4938-B9D0-4B94FFCF8E7A}"/>
    <cellStyle name="Migliaia [0] 51 2 2 2 6" xfId="11848" xr:uid="{58AAE645-0D67-4A94-959D-7419E1645B6A}"/>
    <cellStyle name="Migliaia [0] 51 2 2 3" xfId="3050" xr:uid="{5771EA5A-8C39-42DB-8645-129826F8F624}"/>
    <cellStyle name="Migliaia [0] 51 2 2 3 2" xfId="12330" xr:uid="{73DCD7A2-C10F-4698-8F3C-9F56FDD17745}"/>
    <cellStyle name="Migliaia [0] 51 2 2 4" xfId="10709" xr:uid="{E6857429-47DA-40F8-93A7-CA626354D66B}"/>
    <cellStyle name="Migliaia [0] 51 2 2 4 2" xfId="21344" xr:uid="{AC968838-7E65-4319-876E-60CEC8E67740}"/>
    <cellStyle name="Migliaia [0] 51 2 2 4 3" xfId="46191" xr:uid="{52F46572-F3A3-43C4-9595-C55D65DDDDA5}"/>
    <cellStyle name="Migliaia [0] 51 2 2 4 4" xfId="50359" xr:uid="{3338AE49-9C4A-4645-8363-A22A064D1CB7}"/>
    <cellStyle name="Migliaia [0] 51 2 2 4 5" xfId="53375" xr:uid="{7C1F94C0-0A93-4727-8E80-B67FB245BF50}"/>
    <cellStyle name="Migliaia [0] 51 2 2 5" xfId="19729" xr:uid="{E48DB0AE-B457-4CF0-946B-EDC25C8904E5}"/>
    <cellStyle name="Migliaia [0] 51 2 2 6" xfId="24130" xr:uid="{1055A1F4-C6DF-444D-BF29-1FAAD7B1845C}"/>
    <cellStyle name="Migliaia [0] 51 2 2 7" xfId="48866" xr:uid="{231DE12F-7691-48E0-B52F-9299171C55CB}"/>
    <cellStyle name="Migliaia [0] 51 2 2 8" xfId="49772" xr:uid="{B03A941D-11E8-4348-976F-9E0B98BFF05E}"/>
    <cellStyle name="Migliaia [0] 51 2 2 9" xfId="8472" xr:uid="{CE9DC235-EFF9-417C-95DC-C53B53883206}"/>
    <cellStyle name="Migliaia [0] 51 2 3" xfId="4775" xr:uid="{2B4E65B6-8FF6-4A35-A3E7-5BF79BAFD099}"/>
    <cellStyle name="Migliaia [0] 51 2 3 2" xfId="32958" xr:uid="{64BA04C9-2BE1-4632-ABCD-C6299BC7AAB2}"/>
    <cellStyle name="Migliaia [0] 51 2 3 2 2" xfId="38309" xr:uid="{5CCC0AC1-E75A-4D56-9D75-99474D216482}"/>
    <cellStyle name="Migliaia [0] 51 2 3 2 3" xfId="43611" xr:uid="{A3E1F99B-3091-4962-B756-9E18D486C609}"/>
    <cellStyle name="Migliaia [0] 51 2 3 3" xfId="35844" xr:uid="{D55BEA44-4ABF-4001-BA89-05AD1CCE7B43}"/>
    <cellStyle name="Migliaia [0] 51 2 3 4" xfId="40960" xr:uid="{32B019D9-087A-46F6-9257-28B04E4EC34E}"/>
    <cellStyle name="Migliaia [0] 51 2 3 5" xfId="11849" xr:uid="{1FED25E3-7FBD-4AD0-A9CC-243AE6851EA2}"/>
    <cellStyle name="Migliaia [0] 51 2 4" xfId="6011" xr:uid="{8E85BB4A-456D-4332-AEF4-BD3537B3F358}"/>
    <cellStyle name="Migliaia [0] 51 2 4 2" xfId="19728" xr:uid="{56D6885F-EC03-41C4-8C28-C20E15E0E8D3}"/>
    <cellStyle name="Migliaia [0] 51 2 5" xfId="3049" xr:uid="{A3A741F7-3D2D-4092-BB8E-EBB5E98B0FA6}"/>
    <cellStyle name="Migliaia [0] 51 2 5 2" xfId="24129" xr:uid="{8383B0AD-A171-4C0B-9552-12728D6E9553}"/>
    <cellStyle name="Migliaia [0] 51 2 6" xfId="7282" xr:uid="{9F376A6C-3BC4-488B-A256-7914B95958B5}"/>
    <cellStyle name="Migliaia [0] 51 3" xfId="1621" xr:uid="{00000000-0005-0000-0000-000090020000}"/>
    <cellStyle name="Migliaia [0] 51 3 2" xfId="4777" xr:uid="{59AFADEC-D985-494A-AC3B-B927EC602DF8}"/>
    <cellStyle name="Migliaia [0] 51 3 2 2" xfId="18347" xr:uid="{DCB11A1B-0CFE-431C-956B-94F260AD72DB}"/>
    <cellStyle name="Migliaia [0] 51 3 2 2 2" xfId="21813" xr:uid="{00CDFCFE-0F1D-4452-9FEC-2FC7661BFD05}"/>
    <cellStyle name="Migliaia [0] 51 3 2 2 2 2" xfId="38310" xr:uid="{555AA84B-EA49-46C1-A7E9-C4EDD8280D2E}"/>
    <cellStyle name="Migliaia [0] 51 3 2 2 3" xfId="43612" xr:uid="{D5EC004B-A7C2-43ED-BCAF-AD028094AC84}"/>
    <cellStyle name="Migliaia [0] 51 3 2 2 4" xfId="32959" xr:uid="{2F716110-86BD-4F47-A89E-B06A8F22DFB9}"/>
    <cellStyle name="Migliaia [0] 51 3 2 3" xfId="35845" xr:uid="{F0E36332-E541-4771-8AA1-3A216753A3E6}"/>
    <cellStyle name="Migliaia [0] 51 3 2 4" xfId="40961" xr:uid="{37306413-8889-4A88-9BB3-BDF9988CB341}"/>
    <cellStyle name="Migliaia [0] 51 3 2 5" xfId="47159" xr:uid="{23FA99F2-63CE-47B4-B073-70604D913DAB}"/>
    <cellStyle name="Migliaia [0] 51 3 2 6" xfId="50841" xr:uid="{32AC8D93-AC71-409C-80B6-CD13330A929A}"/>
    <cellStyle name="Migliaia [0] 51 3 2 7" xfId="53857" xr:uid="{1A2E7663-1C67-44CC-A9F9-DE0547989141}"/>
    <cellStyle name="Migliaia [0] 51 3 2 8" xfId="17623" xr:uid="{AE1D2FA6-ACB1-4FFA-A81E-397F1056C232}"/>
    <cellStyle name="Migliaia [0] 51 3 2 9" xfId="11850" xr:uid="{155F0505-0AC3-4D0D-8767-E52042DD2371}"/>
    <cellStyle name="Migliaia [0] 51 3 3" xfId="6012" xr:uid="{43A95878-3908-4303-BA22-168A8EAE614C}"/>
    <cellStyle name="Migliaia [0] 51 3 3 2" xfId="12366" xr:uid="{C9B54049-E5A7-45AE-B394-42153FF231A9}"/>
    <cellStyle name="Migliaia [0] 51 3 4" xfId="3051" xr:uid="{EE70C815-DD67-445E-8CD2-670D8D2CBD85}"/>
    <cellStyle name="Migliaia [0] 51 3 4 2" xfId="21345" xr:uid="{D44F42FE-26CA-483C-B589-E8CED9EFC767}"/>
    <cellStyle name="Migliaia [0] 51 3 4 3" xfId="47594" xr:uid="{10924BE4-6CB8-4CEA-90ED-C6933573AB40}"/>
    <cellStyle name="Migliaia [0] 51 3 4 4" xfId="50360" xr:uid="{0DAB65DA-4581-497F-91D4-0C812474E258}"/>
    <cellStyle name="Migliaia [0] 51 3 4 5" xfId="53376" xr:uid="{AE67070F-A07E-4C84-A79A-2BC26126D623}"/>
    <cellStyle name="Migliaia [0] 51 3 4 6" xfId="10710" xr:uid="{D73D74A6-0869-43BC-BBBF-F3770FBE5378}"/>
    <cellStyle name="Migliaia [0] 51 3 5" xfId="19730" xr:uid="{ABE843A5-E063-4F33-8A40-22267E384D36}"/>
    <cellStyle name="Migliaia [0] 51 3 6" xfId="24131" xr:uid="{DE3CF452-348C-4377-9561-86335F5E1E7D}"/>
    <cellStyle name="Migliaia [0] 51 3 7" xfId="8230" xr:uid="{5DB3A31E-BE45-448A-A905-E68F4C9E3203}"/>
    <cellStyle name="Migliaia [0] 51 4" xfId="3052" xr:uid="{CC7E76CC-99AA-4139-AB8A-1F39706E4C26}"/>
    <cellStyle name="Migliaia [0] 51 4 2" xfId="4778" xr:uid="{233A750B-33EC-40F0-BBE5-797030766A56}"/>
    <cellStyle name="Migliaia [0] 51 4 2 2" xfId="35115" xr:uid="{B9EF9336-3BCE-4C6A-ACCE-2176D69E92DC}"/>
    <cellStyle name="Migliaia [0] 51 4 2 2 2" xfId="40273" xr:uid="{0366C10C-FA5B-4EAB-A3B7-38DFECFEA4FB}"/>
    <cellStyle name="Migliaia [0] 51 4 2 2 3" xfId="45575" xr:uid="{85F61C09-19B8-42A8-B1F7-DB964AFE9B15}"/>
    <cellStyle name="Migliaia [0] 51 4 2 3" xfId="37622" xr:uid="{A97C9E6B-483B-46C9-9583-EA59E379BBE9}"/>
    <cellStyle name="Migliaia [0] 51 4 2 4" xfId="42924" xr:uid="{831AE8EE-24E6-4561-9A22-DC69C64F1BA6}"/>
    <cellStyle name="Migliaia [0] 51 4 2 5" xfId="17055" xr:uid="{2A5E7389-0194-4C1B-B6CE-D5AED06D32DB}"/>
    <cellStyle name="Migliaia [0] 51 4 3" xfId="6013" xr:uid="{0F3D1A97-E64A-49BF-82A3-AE10E560097C}"/>
    <cellStyle name="Migliaia [0] 51 4 3 2" xfId="38311" xr:uid="{53714D75-7E88-4A65-A70B-78839ED127A5}"/>
    <cellStyle name="Migliaia [0] 51 4 3 3" xfId="43613" xr:uid="{9E1D0633-A063-411C-A9A7-78996A3CCEDF}"/>
    <cellStyle name="Migliaia [0] 51 4 3 4" xfId="32960" xr:uid="{6F8E87D5-A0DD-4C62-9B84-EAA8A7F5B2DA}"/>
    <cellStyle name="Migliaia [0] 51 4 3 5" xfId="19731" xr:uid="{6C5334BB-36D8-484B-BCA8-697C9AEB44AE}"/>
    <cellStyle name="Migliaia [0] 51 4 4" xfId="35846" xr:uid="{FC19EBDA-85CD-4BEC-A597-927F1F18DAA8}"/>
    <cellStyle name="Migliaia [0] 51 4 5" xfId="40962" xr:uid="{E840E546-0621-43CC-8031-AD1DCC743AF0}"/>
    <cellStyle name="Migliaia [0] 51 4 6" xfId="15997" xr:uid="{9B0D28EB-AC65-4E44-A56D-F8C3451971A7}"/>
    <cellStyle name="Migliaia [0] 51 4 7" xfId="7810" xr:uid="{12DD7958-F04E-4935-B640-BF0250F909AC}"/>
    <cellStyle name="Migliaia [0] 51 5" xfId="4774" xr:uid="{42248D48-CD4C-46EF-9510-257DE98A6F9E}"/>
    <cellStyle name="Migliaia [0] 51 5 2" xfId="32961" xr:uid="{8CA8FC27-3E81-4763-9BAC-5ECBBF44E490}"/>
    <cellStyle name="Migliaia [0] 51 5 2 2" xfId="38312" xr:uid="{9000499F-B913-4CF8-AC9F-98D331D7FF8C}"/>
    <cellStyle name="Migliaia [0] 51 5 2 3" xfId="43614" xr:uid="{FF50D374-1A72-4AE0-B306-7BDE2F7120DC}"/>
    <cellStyle name="Migliaia [0] 51 5 3" xfId="35847" xr:uid="{C6265231-05A4-4923-941E-E16DDA809CA4}"/>
    <cellStyle name="Migliaia [0] 51 5 4" xfId="40963" xr:uid="{A6DE5E74-258D-4691-AB53-3B63465E925B}"/>
    <cellStyle name="Migliaia [0] 51 5 5" xfId="17124" xr:uid="{8BF69655-F68B-46F9-9156-F001E184FE10}"/>
    <cellStyle name="Migliaia [0] 51 6" xfId="6010" xr:uid="{6DD7CE24-44CB-42E2-A807-FF2C6F89D3D0}"/>
    <cellStyle name="Migliaia [0] 51 6 2" xfId="38308" xr:uid="{C1008659-5857-4618-A8B0-D2A0073D072B}"/>
    <cellStyle name="Migliaia [0] 51 6 3" xfId="43610" xr:uid="{9E89C385-5862-4F65-92F9-C3C345C86C12}"/>
    <cellStyle name="Migliaia [0] 51 6 4" xfId="32957" xr:uid="{275AE345-0AE8-4DB0-ADEB-D30B7E58462E}"/>
    <cellStyle name="Migliaia [0] 51 6 5" xfId="19727" xr:uid="{0A4E0870-10CE-4E1B-BE61-9BC62ADE02B9}"/>
    <cellStyle name="Migliaia [0] 51 7" xfId="3048" xr:uid="{4A28D015-CC96-47E3-B146-54586E08B880}"/>
    <cellStyle name="Migliaia [0] 51 7 2" xfId="35843" xr:uid="{744AA196-EC63-4824-AF62-55C2E64B37CF}"/>
    <cellStyle name="Migliaia [0] 51 8" xfId="40959" xr:uid="{326FCC74-A415-4068-A8AE-59922A867424}"/>
    <cellStyle name="Migliaia [0] 51 9" xfId="7031" xr:uid="{2836C799-79B1-46BF-98A0-5A4283B234F3}"/>
    <cellStyle name="Migliaia [0] 52" xfId="289" xr:uid="{00000000-0005-0000-0000-000091020000}"/>
    <cellStyle name="Migliaia [0] 52 2" xfId="1622" xr:uid="{00000000-0005-0000-0000-000092020000}"/>
    <cellStyle name="Migliaia [0] 52 2 2" xfId="1623" xr:uid="{00000000-0005-0000-0000-000093020000}"/>
    <cellStyle name="Migliaia [0] 52 2 2 2" xfId="4781" xr:uid="{5F6F9507-4B46-4DAA-A72B-9B2FECC3A56B}"/>
    <cellStyle name="Migliaia [0] 52 2 2 2 2" xfId="21814" xr:uid="{554A9C1A-2259-4F5A-BEE4-145C0DCFE921}"/>
    <cellStyle name="Migliaia [0] 52 2 2 2 3" xfId="48006" xr:uid="{6276D919-4863-4588-9832-9D1B6874AE95}"/>
    <cellStyle name="Migliaia [0] 52 2 2 2 4" xfId="50842" xr:uid="{F1DD001F-E2A4-47BD-9687-C0483D35766A}"/>
    <cellStyle name="Migliaia [0] 52 2 2 2 5" xfId="53858" xr:uid="{0059389B-9BFD-4381-BB11-9928AEA405E1}"/>
    <cellStyle name="Migliaia [0] 52 2 2 2 6" xfId="11851" xr:uid="{0882D14A-4433-435A-AA2D-EB784C1FA2B5}"/>
    <cellStyle name="Migliaia [0] 52 2 2 3" xfId="3055" xr:uid="{A6BEC58A-B439-4B86-B230-5FE5DC12D512}"/>
    <cellStyle name="Migliaia [0] 52 2 2 3 2" xfId="12329" xr:uid="{451E361A-6894-4C9A-9FF4-61311B62197D}"/>
    <cellStyle name="Migliaia [0] 52 2 2 4" xfId="10711" xr:uid="{95BFCC7E-6E2A-4D30-83A8-B1B73D07DC85}"/>
    <cellStyle name="Migliaia [0] 52 2 2 4 2" xfId="21346" xr:uid="{3B374E51-4896-43AA-BA03-D7F2AE6583F0}"/>
    <cellStyle name="Migliaia [0] 52 2 2 4 3" xfId="46192" xr:uid="{D676F8E0-D5FA-4138-8895-BC8B798CB0F9}"/>
    <cellStyle name="Migliaia [0] 52 2 2 4 4" xfId="50361" xr:uid="{F8600B49-A9AD-46CE-B46C-7CEABFF02F20}"/>
    <cellStyle name="Migliaia [0] 52 2 2 4 5" xfId="53377" xr:uid="{32EC0F1F-7B53-42C2-900B-A0B56B8B2ACC}"/>
    <cellStyle name="Migliaia [0] 52 2 2 5" xfId="19734" xr:uid="{7844710B-8365-4777-A47A-436C3A2091D6}"/>
    <cellStyle name="Migliaia [0] 52 2 2 6" xfId="24133" xr:uid="{6097D353-7C45-45D3-99E5-1582A45C3688}"/>
    <cellStyle name="Migliaia [0] 52 2 2 7" xfId="48867" xr:uid="{E4E50F7A-7797-447A-B205-E3FD5922167F}"/>
    <cellStyle name="Migliaia [0] 52 2 2 8" xfId="49773" xr:uid="{A1D31CA4-EA48-431C-84CD-0AE45FBEDA78}"/>
    <cellStyle name="Migliaia [0] 52 2 2 9" xfId="8473" xr:uid="{F2C05E06-7A8C-4FD8-8F0C-C43E762895EC}"/>
    <cellStyle name="Migliaia [0] 52 2 3" xfId="4780" xr:uid="{6F7DEC58-B58C-4CAA-A1D8-25A8864451CC}"/>
    <cellStyle name="Migliaia [0] 52 2 3 2" xfId="32963" xr:uid="{D0EBF67E-CC49-41F1-B518-99CDE053F013}"/>
    <cellStyle name="Migliaia [0] 52 2 3 2 2" xfId="38314" xr:uid="{C32DBB32-B695-463F-AE23-EDC325D5BAFA}"/>
    <cellStyle name="Migliaia [0] 52 2 3 2 3" xfId="43616" xr:uid="{02FB4B31-9763-4529-97D6-0F0E90E44AF1}"/>
    <cellStyle name="Migliaia [0] 52 2 3 3" xfId="35849" xr:uid="{7BBFB64C-7443-425B-93B6-8F9460ABF21F}"/>
    <cellStyle name="Migliaia [0] 52 2 3 4" xfId="40965" xr:uid="{7157E69F-2BD9-4658-B1DC-B3CFD4681460}"/>
    <cellStyle name="Migliaia [0] 52 2 3 5" xfId="11852" xr:uid="{37340A22-9D75-404C-ACAF-A0842F147BF4}"/>
    <cellStyle name="Migliaia [0] 52 2 4" xfId="6015" xr:uid="{A30B5FE9-AA91-4881-860B-3E88A7275B2F}"/>
    <cellStyle name="Migliaia [0] 52 2 4 2" xfId="19733" xr:uid="{BBAF94D0-984E-476E-AD30-E5B46F4E2DD7}"/>
    <cellStyle name="Migliaia [0] 52 2 5" xfId="3054" xr:uid="{38A63953-4C32-4A85-AB5C-09DDD2102FDF}"/>
    <cellStyle name="Migliaia [0] 52 2 5 2" xfId="24132" xr:uid="{CF3319F4-BE1B-45DF-8DD7-590243F99B10}"/>
    <cellStyle name="Migliaia [0] 52 2 6" xfId="7283" xr:uid="{E104FA7B-68DE-4427-A8E3-5B02975BA05E}"/>
    <cellStyle name="Migliaia [0] 52 3" xfId="1624" xr:uid="{00000000-0005-0000-0000-000094020000}"/>
    <cellStyle name="Migliaia [0] 52 3 2" xfId="4782" xr:uid="{BDC2EB66-46E4-4F6D-9082-7368C569F5DB}"/>
    <cellStyle name="Migliaia [0] 52 3 2 2" xfId="18348" xr:uid="{B578041A-468C-45A4-B504-DF4014BF07B9}"/>
    <cellStyle name="Migliaia [0] 52 3 2 2 2" xfId="21815" xr:uid="{1AC6D616-741E-4A0F-A55A-AAB577A58EA5}"/>
    <cellStyle name="Migliaia [0] 52 3 2 2 2 2" xfId="38315" xr:uid="{BD890EEB-6831-488F-9D5F-B4418E19FD5E}"/>
    <cellStyle name="Migliaia [0] 52 3 2 2 3" xfId="43617" xr:uid="{A571C8EF-10DF-4B2D-83C8-498739447DDC}"/>
    <cellStyle name="Migliaia [0] 52 3 2 2 4" xfId="32964" xr:uid="{3EE34454-62BE-4E30-A3DF-EB32EDF0AA1A}"/>
    <cellStyle name="Migliaia [0] 52 3 2 3" xfId="35850" xr:uid="{69FABD38-0DFD-4334-82B9-2EFCA5D094D9}"/>
    <cellStyle name="Migliaia [0] 52 3 2 4" xfId="40966" xr:uid="{878C07C2-5EF2-426B-BE14-C76BD7DAA388}"/>
    <cellStyle name="Migliaia [0] 52 3 2 5" xfId="25123" xr:uid="{8C05ABDE-BD98-4088-8E51-2CAF7A66414D}"/>
    <cellStyle name="Migliaia [0] 52 3 2 6" xfId="50843" xr:uid="{068505BC-A5F6-4E4B-82EF-17D934426261}"/>
    <cellStyle name="Migliaia [0] 52 3 2 7" xfId="53859" xr:uid="{91AD95C3-3A58-4FB7-BBBD-20D9BBC8D94A}"/>
    <cellStyle name="Migliaia [0] 52 3 2 8" xfId="17624" xr:uid="{CC6CD3BA-52C7-4740-AE4B-098E922B6379}"/>
    <cellStyle name="Migliaia [0] 52 3 2 9" xfId="11853" xr:uid="{4D901551-6756-4117-95AD-A4EF74A3952F}"/>
    <cellStyle name="Migliaia [0] 52 3 3" xfId="6016" xr:uid="{2E580CF6-88A9-4019-98C1-7542B28963C3}"/>
    <cellStyle name="Migliaia [0] 52 3 3 2" xfId="12210" xr:uid="{8D0C89D0-0FC6-46B8-B6FB-FE93610BF820}"/>
    <cellStyle name="Migliaia [0] 52 3 4" xfId="3056" xr:uid="{8165A51B-2992-41F2-B079-B1C4CAAE80F4}"/>
    <cellStyle name="Migliaia [0] 52 3 4 2" xfId="21347" xr:uid="{C12C3797-1776-40AD-9C6A-7530D5477910}"/>
    <cellStyle name="Migliaia [0] 52 3 4 3" xfId="48170" xr:uid="{9C70E99B-17FB-4845-899E-075C8CE6A28B}"/>
    <cellStyle name="Migliaia [0] 52 3 4 4" xfId="50362" xr:uid="{39E10A4E-8A57-4EC1-8AFB-C5F791E17347}"/>
    <cellStyle name="Migliaia [0] 52 3 4 5" xfId="53378" xr:uid="{8779F546-88F9-4E75-9CF2-285FF7A4C5DA}"/>
    <cellStyle name="Migliaia [0] 52 3 4 6" xfId="10712" xr:uid="{0A1F7E56-447B-487B-AF65-B239822F8D20}"/>
    <cellStyle name="Migliaia [0] 52 3 5" xfId="19735" xr:uid="{86B1685D-9234-4210-8BC8-F0930D0220EA}"/>
    <cellStyle name="Migliaia [0] 52 3 6" xfId="24134" xr:uid="{90F06B7C-9852-4827-8575-65B46338EF5F}"/>
    <cellStyle name="Migliaia [0] 52 3 7" xfId="8231" xr:uid="{F4B5C948-62F7-4B80-947A-F8FB1A16DD43}"/>
    <cellStyle name="Migliaia [0] 52 4" xfId="3057" xr:uid="{B2498148-7299-45FA-9073-DAAC32142C6C}"/>
    <cellStyle name="Migliaia [0] 52 4 2" xfId="4783" xr:uid="{1831141C-B017-4F27-8A31-A5E223483273}"/>
    <cellStyle name="Migliaia [0] 52 4 2 2" xfId="35116" xr:uid="{80A4EF26-1E79-48B3-B107-A58025507009}"/>
    <cellStyle name="Migliaia [0] 52 4 2 2 2" xfId="40274" xr:uid="{9EF865E8-B7CD-4B8F-AC11-D99F63D10035}"/>
    <cellStyle name="Migliaia [0] 52 4 2 2 3" xfId="45576" xr:uid="{91CFF374-8ABC-42C2-9E73-D014765CE8F6}"/>
    <cellStyle name="Migliaia [0] 52 4 2 3" xfId="37623" xr:uid="{81FCA5CB-BA94-453A-BF06-D7B85321D91A}"/>
    <cellStyle name="Migliaia [0] 52 4 2 4" xfId="42925" xr:uid="{07DE6D96-07C2-4F1F-8DED-E83D7D4A98D6}"/>
    <cellStyle name="Migliaia [0] 52 4 2 5" xfId="17056" xr:uid="{65521528-71EE-4EDE-AF6A-3EBE71EEB735}"/>
    <cellStyle name="Migliaia [0] 52 4 3" xfId="6017" xr:uid="{8C94118D-6A8A-4A4D-AF09-04FAD040C927}"/>
    <cellStyle name="Migliaia [0] 52 4 3 2" xfId="38316" xr:uid="{0F6D0FB8-E57B-4069-ABD1-1931B89CBB96}"/>
    <cellStyle name="Migliaia [0] 52 4 3 3" xfId="43618" xr:uid="{B05C1E70-ED2B-46C5-A760-E01D8C05EC5D}"/>
    <cellStyle name="Migliaia [0] 52 4 3 4" xfId="32965" xr:uid="{EACB2FE5-6C88-44AC-93B1-09B6E30D2B3E}"/>
    <cellStyle name="Migliaia [0] 52 4 3 5" xfId="19736" xr:uid="{A2AA1B60-B5BC-41FB-8203-C7CE0FAC95E6}"/>
    <cellStyle name="Migliaia [0] 52 4 4" xfId="35851" xr:uid="{6F99725A-39D8-469B-8C65-4B8ECEF33723}"/>
    <cellStyle name="Migliaia [0] 52 4 5" xfId="40967" xr:uid="{27D6ED78-AB4E-4665-88B1-F8B9B2ADF69E}"/>
    <cellStyle name="Migliaia [0] 52 4 6" xfId="15998" xr:uid="{C43ACC52-633B-4AFB-BEFF-4104A4468468}"/>
    <cellStyle name="Migliaia [0] 52 4 7" xfId="7811" xr:uid="{B3CADCA7-4618-4EB5-BA57-8B21BC25A957}"/>
    <cellStyle name="Migliaia [0] 52 5" xfId="4779" xr:uid="{C8C9579A-C7B0-4236-A5E1-6DBCB79F7A78}"/>
    <cellStyle name="Migliaia [0] 52 5 2" xfId="32966" xr:uid="{D0FDE776-A73C-4057-82B8-E18C79C4F646}"/>
    <cellStyle name="Migliaia [0] 52 5 2 2" xfId="38317" xr:uid="{9A10A670-AC4B-4CCE-BD67-1D8024212BB9}"/>
    <cellStyle name="Migliaia [0] 52 5 2 3" xfId="43619" xr:uid="{8AB61B3E-2402-4D31-8005-32ABA961B0AC}"/>
    <cellStyle name="Migliaia [0] 52 5 3" xfId="35852" xr:uid="{D7128CC8-1684-434B-B0D8-C3A6217D2B45}"/>
    <cellStyle name="Migliaia [0] 52 5 4" xfId="40968" xr:uid="{1EFA194F-A1BC-471F-9617-36CEB17A960B}"/>
    <cellStyle name="Migliaia [0] 52 5 5" xfId="17125" xr:uid="{98432BEB-5557-497F-9DE9-A9CC868C239E}"/>
    <cellStyle name="Migliaia [0] 52 6" xfId="6014" xr:uid="{7665F33B-1CEF-4D5F-B08D-32E36C47DDC8}"/>
    <cellStyle name="Migliaia [0] 52 6 2" xfId="38313" xr:uid="{33BB928A-D8DC-4069-A178-398CCBBD9C02}"/>
    <cellStyle name="Migliaia [0] 52 6 3" xfId="43615" xr:uid="{A5F6F81B-162A-49EF-97D3-02EFBD95413D}"/>
    <cellStyle name="Migliaia [0] 52 6 4" xfId="32962" xr:uid="{277CD111-A147-4BE9-84DC-7A02421FF2A2}"/>
    <cellStyle name="Migliaia [0] 52 6 5" xfId="19732" xr:uid="{C3200E9D-6368-4172-97B5-6ED3056B12BA}"/>
    <cellStyle name="Migliaia [0] 52 7" xfId="3053" xr:uid="{37DC50DF-5C3C-4046-A602-543B1D222D34}"/>
    <cellStyle name="Migliaia [0] 52 7 2" xfId="35848" xr:uid="{89127E3B-43A5-4389-9292-0C83CDC43ADF}"/>
    <cellStyle name="Migliaia [0] 52 8" xfId="40964" xr:uid="{C23CFFF0-C730-4BF4-A6A0-B5FBBF96A31C}"/>
    <cellStyle name="Migliaia [0] 52 9" xfId="7032" xr:uid="{6D0B5F87-0089-4305-A73A-0F4213FFA941}"/>
    <cellStyle name="Migliaia [0] 53" xfId="290" xr:uid="{00000000-0005-0000-0000-000095020000}"/>
    <cellStyle name="Migliaia [0] 53 2" xfId="1625" xr:uid="{00000000-0005-0000-0000-000096020000}"/>
    <cellStyle name="Migliaia [0] 53 2 2" xfId="1626" xr:uid="{00000000-0005-0000-0000-000097020000}"/>
    <cellStyle name="Migliaia [0] 53 2 2 2" xfId="4786" xr:uid="{316087C8-DD39-4656-838C-F5E8D129AB49}"/>
    <cellStyle name="Migliaia [0] 53 2 2 2 2" xfId="21816" xr:uid="{3E261FD4-7D3C-40F3-BB50-98AFD21431FB}"/>
    <cellStyle name="Migliaia [0] 53 2 2 2 3" xfId="47520" xr:uid="{E08A7FCB-00D7-4484-893F-A9C4CDDD93C7}"/>
    <cellStyle name="Migliaia [0] 53 2 2 2 4" xfId="50844" xr:uid="{430FEA34-7563-4F2E-94A2-107E6139145B}"/>
    <cellStyle name="Migliaia [0] 53 2 2 2 5" xfId="53860" xr:uid="{1B3CA2D4-3D12-41A0-B321-0BBD116A1A66}"/>
    <cellStyle name="Migliaia [0] 53 2 2 2 6" xfId="11854" xr:uid="{98F9439A-1BA9-44FE-8143-B335FF5ABF63}"/>
    <cellStyle name="Migliaia [0] 53 2 2 3" xfId="3060" xr:uid="{8CF465D2-6F86-4BE8-B656-25F2BAE81AEC}"/>
    <cellStyle name="Migliaia [0] 53 2 2 3 2" xfId="12328" xr:uid="{3524FE13-FFD9-41FD-B228-507EE276B10E}"/>
    <cellStyle name="Migliaia [0] 53 2 2 4" xfId="10713" xr:uid="{500FCFDF-FB87-4886-BDC8-649CBC55AA7B}"/>
    <cellStyle name="Migliaia [0] 53 2 2 4 2" xfId="21348" xr:uid="{4B6820DE-D02F-4A93-B30F-BD4B5043557E}"/>
    <cellStyle name="Migliaia [0] 53 2 2 4 3" xfId="46193" xr:uid="{8908A0BE-FA04-4BD0-B8B3-C3BD6C3DFEF7}"/>
    <cellStyle name="Migliaia [0] 53 2 2 4 4" xfId="50363" xr:uid="{9F20699F-52BC-44A9-95F3-92834883EA6F}"/>
    <cellStyle name="Migliaia [0] 53 2 2 4 5" xfId="53379" xr:uid="{D90B2FBF-472B-430D-A2E1-3D87C22C1E0E}"/>
    <cellStyle name="Migliaia [0] 53 2 2 5" xfId="19739" xr:uid="{622B413A-1DC5-48F6-ACEB-D3339055B184}"/>
    <cellStyle name="Migliaia [0] 53 2 2 6" xfId="24136" xr:uid="{BBC1EFCC-43FB-412B-9D47-B0801FE9618B}"/>
    <cellStyle name="Migliaia [0] 53 2 2 7" xfId="48868" xr:uid="{62E9250D-BB20-4FC4-8853-38268ECB41EF}"/>
    <cellStyle name="Migliaia [0] 53 2 2 8" xfId="49774" xr:uid="{B0752782-747D-437E-B457-70C0D33211DF}"/>
    <cellStyle name="Migliaia [0] 53 2 2 9" xfId="8474" xr:uid="{0B2EF882-98E9-46F9-A856-215BA603FBD7}"/>
    <cellStyle name="Migliaia [0] 53 2 3" xfId="4785" xr:uid="{52CCD22F-2397-414D-A008-AF8DE7223F9A}"/>
    <cellStyle name="Migliaia [0] 53 2 3 2" xfId="32968" xr:uid="{2363B54F-ABB3-4D63-B15B-976DB967BE10}"/>
    <cellStyle name="Migliaia [0] 53 2 3 2 2" xfId="38319" xr:uid="{54FB129A-6FD2-42D6-B37B-A7C9853E8960}"/>
    <cellStyle name="Migliaia [0] 53 2 3 2 3" xfId="43621" xr:uid="{E28E443A-21A0-405B-92D8-1F0E2C61503B}"/>
    <cellStyle name="Migliaia [0] 53 2 3 3" xfId="35854" xr:uid="{C60D00AA-CDE5-47AF-B30F-B4467317F264}"/>
    <cellStyle name="Migliaia [0] 53 2 3 4" xfId="40970" xr:uid="{43801775-67A7-438C-95B2-CFAEAC95C3DB}"/>
    <cellStyle name="Migliaia [0] 53 2 3 5" xfId="11855" xr:uid="{8550EFA2-DAFF-448D-9B94-5F70EF90CB1C}"/>
    <cellStyle name="Migliaia [0] 53 2 4" xfId="6019" xr:uid="{265A2FC2-65CD-43A1-BC2E-59755C673984}"/>
    <cellStyle name="Migliaia [0] 53 2 4 2" xfId="19738" xr:uid="{E4E861B7-8C25-4D7F-A0D7-E0099BD988D0}"/>
    <cellStyle name="Migliaia [0] 53 2 5" xfId="3059" xr:uid="{3AB1EE8F-EEE8-4D3A-9991-B66419621C3B}"/>
    <cellStyle name="Migliaia [0] 53 2 5 2" xfId="24135" xr:uid="{7CEB524C-57BE-4D4A-906F-FA565100EA71}"/>
    <cellStyle name="Migliaia [0] 53 2 6" xfId="7284" xr:uid="{F97F3866-680A-4363-98E9-06F6B0E8B410}"/>
    <cellStyle name="Migliaia [0] 53 3" xfId="1627" xr:uid="{00000000-0005-0000-0000-000098020000}"/>
    <cellStyle name="Migliaia [0] 53 3 2" xfId="4787" xr:uid="{86E21B47-AC8B-4AF4-A9FF-338B02DE17DA}"/>
    <cellStyle name="Migliaia [0] 53 3 2 2" xfId="18349" xr:uid="{0B4429C3-C852-4E0F-9525-E8B9A14387DE}"/>
    <cellStyle name="Migliaia [0] 53 3 2 2 2" xfId="21817" xr:uid="{CA6CD023-4C04-4D9E-B258-17992C8C7DC4}"/>
    <cellStyle name="Migliaia [0] 53 3 2 2 2 2" xfId="38320" xr:uid="{8DC563E9-C1D7-4E05-9C13-C79E6F16704A}"/>
    <cellStyle name="Migliaia [0] 53 3 2 2 3" xfId="43622" xr:uid="{632A2C46-5E1F-4DD8-A2EF-E363BAFF0DC5}"/>
    <cellStyle name="Migliaia [0] 53 3 2 2 4" xfId="32969" xr:uid="{5A760CEE-9525-42DE-A2FA-7B3A58515672}"/>
    <cellStyle name="Migliaia [0] 53 3 2 3" xfId="35855" xr:uid="{E5503C67-3064-4467-8EBD-6B8223A763CF}"/>
    <cellStyle name="Migliaia [0] 53 3 2 4" xfId="40971" xr:uid="{D0482F01-C027-4E84-97E9-5D916A0520A5}"/>
    <cellStyle name="Migliaia [0] 53 3 2 5" xfId="47751" xr:uid="{A4461923-9415-4EA7-841D-E138B59262F8}"/>
    <cellStyle name="Migliaia [0] 53 3 2 6" xfId="50845" xr:uid="{623B8342-3706-4611-A25C-F0D044537A4E}"/>
    <cellStyle name="Migliaia [0] 53 3 2 7" xfId="53861" xr:uid="{CC2741D0-3FA5-43AD-90A5-FDD70F62DB55}"/>
    <cellStyle name="Migliaia [0] 53 3 2 8" xfId="17625" xr:uid="{01AA4A2F-844D-4CAF-96E1-600C48427C96}"/>
    <cellStyle name="Migliaia [0] 53 3 2 9" xfId="11856" xr:uid="{6277BCA3-BE34-45A0-BF57-060480768D59}"/>
    <cellStyle name="Migliaia [0] 53 3 3" xfId="6020" xr:uid="{5E8E526E-77C7-4135-87CA-203D5A40E355}"/>
    <cellStyle name="Migliaia [0] 53 3 3 2" xfId="11117" xr:uid="{8F96C754-567E-4073-8475-E449D2817A05}"/>
    <cellStyle name="Migliaia [0] 53 3 4" xfId="3061" xr:uid="{21E48DE2-A40A-4B88-B9F5-D01C35C8AEA6}"/>
    <cellStyle name="Migliaia [0] 53 3 4 2" xfId="21349" xr:uid="{A072F61F-91AB-4792-887C-7146E0AC16A5}"/>
    <cellStyle name="Migliaia [0] 53 3 4 3" xfId="47071" xr:uid="{5199356C-69E8-4720-91EF-58C8661D7234}"/>
    <cellStyle name="Migliaia [0] 53 3 4 4" xfId="50364" xr:uid="{51999E80-163F-4990-88FF-1EBF148E90A9}"/>
    <cellStyle name="Migliaia [0] 53 3 4 5" xfId="53380" xr:uid="{5F10B523-C714-4925-A5A3-FFE926ACCEFB}"/>
    <cellStyle name="Migliaia [0] 53 3 4 6" xfId="10714" xr:uid="{81461F2D-E890-44BF-80B0-9D3D731A8CE0}"/>
    <cellStyle name="Migliaia [0] 53 3 5" xfId="19740" xr:uid="{8ABEBDAE-2ED9-4FA6-A451-1457703BE362}"/>
    <cellStyle name="Migliaia [0] 53 3 6" xfId="24137" xr:uid="{D6BEE149-8B95-43DD-8993-DE38401FDF59}"/>
    <cellStyle name="Migliaia [0] 53 3 7" xfId="8232" xr:uid="{21877115-6BDA-41C5-B1D0-20B1B2DB3D45}"/>
    <cellStyle name="Migliaia [0] 53 4" xfId="3062" xr:uid="{CB5EFF73-451C-4B4B-9D75-5D534B37EEAA}"/>
    <cellStyle name="Migliaia [0] 53 4 2" xfId="4788" xr:uid="{C9A8684B-13EB-4703-A62D-4A361CFB5639}"/>
    <cellStyle name="Migliaia [0] 53 4 2 2" xfId="35117" xr:uid="{A114B5A7-3C44-4C7D-954A-30ACB577F3F5}"/>
    <cellStyle name="Migliaia [0] 53 4 2 2 2" xfId="40275" xr:uid="{2FEBF23A-3F8F-43F7-B56B-7A2DDA8B98B6}"/>
    <cellStyle name="Migliaia [0] 53 4 2 2 3" xfId="45577" xr:uid="{9A9248CE-4567-48F0-A981-7B15138B06BB}"/>
    <cellStyle name="Migliaia [0] 53 4 2 3" xfId="37624" xr:uid="{73EB3CA1-C5F2-4ACF-8D5A-2BF06CFFE2C1}"/>
    <cellStyle name="Migliaia [0] 53 4 2 4" xfId="42926" xr:uid="{BA028124-C5EA-4E58-BB15-E72B7187182D}"/>
    <cellStyle name="Migliaia [0] 53 4 2 5" xfId="17057" xr:uid="{E7B0A7C5-E619-4BCE-BC5F-F102C503488C}"/>
    <cellStyle name="Migliaia [0] 53 4 3" xfId="6021" xr:uid="{EC04CCD8-DF98-4924-8969-4D0946570BAD}"/>
    <cellStyle name="Migliaia [0] 53 4 3 2" xfId="38321" xr:uid="{2C7A9A66-5E3E-47B8-80E3-4893A5C14F38}"/>
    <cellStyle name="Migliaia [0] 53 4 3 3" xfId="43623" xr:uid="{A3BE6A26-F6CD-42C0-8E80-DBB668F2C836}"/>
    <cellStyle name="Migliaia [0] 53 4 3 4" xfId="32970" xr:uid="{A43906A4-B6DA-479F-A84A-7E3770741D31}"/>
    <cellStyle name="Migliaia [0] 53 4 3 5" xfId="19741" xr:uid="{D10D3E57-BC51-40BB-B5FC-C83BEA6A42D2}"/>
    <cellStyle name="Migliaia [0] 53 4 4" xfId="35856" xr:uid="{68293786-F5F5-471D-B12A-80E4B668F12F}"/>
    <cellStyle name="Migliaia [0] 53 4 5" xfId="40972" xr:uid="{5AFB5B30-9C56-44E9-8C0D-8394F6869F7C}"/>
    <cellStyle name="Migliaia [0] 53 4 6" xfId="15999" xr:uid="{D1D44F15-B15B-46C5-911D-0E96B91BC4D8}"/>
    <cellStyle name="Migliaia [0] 53 4 7" xfId="7812" xr:uid="{7D4F3333-9E60-4CE0-B706-8A3BADD52455}"/>
    <cellStyle name="Migliaia [0] 53 5" xfId="4784" xr:uid="{D3A35F88-C82B-433A-94C0-6CA780A2FDA8}"/>
    <cellStyle name="Migliaia [0] 53 5 2" xfId="32971" xr:uid="{EECDF96A-BAB8-4BDC-A8B7-BEC1916729CF}"/>
    <cellStyle name="Migliaia [0] 53 5 2 2" xfId="38322" xr:uid="{DF7CA4C0-A2AD-4856-9237-ECB6CAC462F0}"/>
    <cellStyle name="Migliaia [0] 53 5 2 3" xfId="43624" xr:uid="{E3510A28-942C-4D62-95D6-30B86F652A69}"/>
    <cellStyle name="Migliaia [0] 53 5 3" xfId="35857" xr:uid="{36407D39-D41E-47AC-96EE-77CD886EB87C}"/>
    <cellStyle name="Migliaia [0] 53 5 4" xfId="40973" xr:uid="{584381A9-D384-4B1B-90D8-283AC42F0E1E}"/>
    <cellStyle name="Migliaia [0] 53 5 5" xfId="17126" xr:uid="{BD8BC5E9-0504-4B69-ADD1-FD407D1797D0}"/>
    <cellStyle name="Migliaia [0] 53 6" xfId="6018" xr:uid="{C60CEE32-BB38-4B9D-9B58-907D432916DC}"/>
    <cellStyle name="Migliaia [0] 53 6 2" xfId="38318" xr:uid="{508A4546-DA52-4675-9AC0-D1FEE9157160}"/>
    <cellStyle name="Migliaia [0] 53 6 3" xfId="43620" xr:uid="{B93C809E-FB0A-4EF3-B601-6531652DBE0F}"/>
    <cellStyle name="Migliaia [0] 53 6 4" xfId="32967" xr:uid="{FC31F18B-F110-42C3-9AB0-9A84C7AEB7A6}"/>
    <cellStyle name="Migliaia [0] 53 6 5" xfId="19737" xr:uid="{664787BD-7D3C-4528-9533-F00375768966}"/>
    <cellStyle name="Migliaia [0] 53 7" xfId="3058" xr:uid="{45D240B8-8F67-49BD-8A4F-90257045FAFA}"/>
    <cellStyle name="Migliaia [0] 53 7 2" xfId="35853" xr:uid="{3B576361-7ECB-4BD7-BFD3-1E4447577BBA}"/>
    <cellStyle name="Migliaia [0] 53 8" xfId="40969" xr:uid="{6717B455-18F9-43DA-A4CF-BA9A2E038DE8}"/>
    <cellStyle name="Migliaia [0] 53 9" xfId="7033" xr:uid="{58F0C426-4727-4817-9696-DA892C85ADD7}"/>
    <cellStyle name="Migliaia [0] 54" xfId="291" xr:uid="{00000000-0005-0000-0000-000099020000}"/>
    <cellStyle name="Migliaia [0] 54 2" xfId="1628" xr:uid="{00000000-0005-0000-0000-00009A020000}"/>
    <cellStyle name="Migliaia [0] 54 2 2" xfId="1629" xr:uid="{00000000-0005-0000-0000-00009B020000}"/>
    <cellStyle name="Migliaia [0] 54 2 2 2" xfId="4791" xr:uid="{114F6748-BE84-419C-B17C-553AF166F672}"/>
    <cellStyle name="Migliaia [0] 54 2 2 2 2" xfId="21818" xr:uid="{B91BE227-664F-48F0-9499-EC3EA3A60FF3}"/>
    <cellStyle name="Migliaia [0] 54 2 2 2 3" xfId="48576" xr:uid="{21E1C248-0A61-4319-A32B-9048F95938F6}"/>
    <cellStyle name="Migliaia [0] 54 2 2 2 4" xfId="50846" xr:uid="{01E6A0FD-82EA-4CCF-AAF5-28A69626158D}"/>
    <cellStyle name="Migliaia [0] 54 2 2 2 5" xfId="53862" xr:uid="{3C22D9EF-5F9E-4B5A-9010-655C2312454F}"/>
    <cellStyle name="Migliaia [0] 54 2 2 2 6" xfId="11857" xr:uid="{FEAD6D76-BC30-482F-8768-EB4862854036}"/>
    <cellStyle name="Migliaia [0] 54 2 2 3" xfId="3065" xr:uid="{FC73AD0A-9DC6-47B1-9A14-F6044BED51A0}"/>
    <cellStyle name="Migliaia [0] 54 2 2 3 2" xfId="12327" xr:uid="{6410B35E-6D51-4386-A77B-B3D784BB5A29}"/>
    <cellStyle name="Migliaia [0] 54 2 2 4" xfId="10715" xr:uid="{5B028AB6-5648-43AE-8046-457D076E3ACA}"/>
    <cellStyle name="Migliaia [0] 54 2 2 4 2" xfId="21350" xr:uid="{975C99B1-BF17-4C3A-A9DF-A96E423BA09F}"/>
    <cellStyle name="Migliaia [0] 54 2 2 4 3" xfId="46194" xr:uid="{5ABA07A1-1CFE-4C11-B945-D43EFCA7BDBD}"/>
    <cellStyle name="Migliaia [0] 54 2 2 4 4" xfId="50365" xr:uid="{851B80E9-4767-4081-AA76-D53B08AD67C2}"/>
    <cellStyle name="Migliaia [0] 54 2 2 4 5" xfId="53381" xr:uid="{C98593D4-CE7C-42E9-9511-0CA8D5FA5EA6}"/>
    <cellStyle name="Migliaia [0] 54 2 2 5" xfId="19744" xr:uid="{3E449A76-8B9D-441F-855D-4B02686F6541}"/>
    <cellStyle name="Migliaia [0] 54 2 2 6" xfId="24139" xr:uid="{B141BE1A-4F52-4779-857E-88F086FD398D}"/>
    <cellStyle name="Migliaia [0] 54 2 2 7" xfId="48869" xr:uid="{C9BBDA60-757E-4544-A87D-3856CAD6FE8C}"/>
    <cellStyle name="Migliaia [0] 54 2 2 8" xfId="49775" xr:uid="{6EA407BE-D5EB-477F-B599-013EFF252E20}"/>
    <cellStyle name="Migliaia [0] 54 2 2 9" xfId="8475" xr:uid="{0AFFE79C-C653-4C37-82DF-1677E6EAA9A2}"/>
    <cellStyle name="Migliaia [0] 54 2 3" xfId="4790" xr:uid="{F4FB53CB-1F1F-40B9-A88D-929B8DE091F1}"/>
    <cellStyle name="Migliaia [0] 54 2 3 2" xfId="32973" xr:uid="{2A3A0D06-A7D4-415B-9819-9AE566570EB3}"/>
    <cellStyle name="Migliaia [0] 54 2 3 2 2" xfId="38324" xr:uid="{3E1C8F4B-CF84-421E-A416-1FC065B9766A}"/>
    <cellStyle name="Migliaia [0] 54 2 3 2 3" xfId="43626" xr:uid="{7E8B6964-3B46-492F-8E3F-468CAC9779D1}"/>
    <cellStyle name="Migliaia [0] 54 2 3 3" xfId="35859" xr:uid="{48E424A5-445C-43BB-8BEB-FE636C7D186D}"/>
    <cellStyle name="Migliaia [0] 54 2 3 4" xfId="40975" xr:uid="{D7F4CD8B-4164-4F6E-BE30-D66941041B5F}"/>
    <cellStyle name="Migliaia [0] 54 2 3 5" xfId="11858" xr:uid="{8750A656-88EE-4400-B24E-EEBA4832BC33}"/>
    <cellStyle name="Migliaia [0] 54 2 4" xfId="6023" xr:uid="{DD369C1A-8FCB-443C-9A84-B2F92A14B8C5}"/>
    <cellStyle name="Migliaia [0] 54 2 4 2" xfId="19743" xr:uid="{CF82C218-F70C-40EA-B7E1-913AEB79A83F}"/>
    <cellStyle name="Migliaia [0] 54 2 5" xfId="3064" xr:uid="{34B2E2B9-9190-4F3D-9835-7EDC5219BB10}"/>
    <cellStyle name="Migliaia [0] 54 2 5 2" xfId="24138" xr:uid="{ECD0D751-4E6E-412B-ABA2-7D34B1AFAF0E}"/>
    <cellStyle name="Migliaia [0] 54 2 6" xfId="7285" xr:uid="{A674D3C8-B71B-4181-818B-E5691013A6CA}"/>
    <cellStyle name="Migliaia [0] 54 3" xfId="1630" xr:uid="{00000000-0005-0000-0000-00009C020000}"/>
    <cellStyle name="Migliaia [0] 54 3 2" xfId="4792" xr:uid="{79657E01-1E47-410E-B0BE-B436B89CB00E}"/>
    <cellStyle name="Migliaia [0] 54 3 2 2" xfId="18350" xr:uid="{E4563BD1-E9FE-4C1A-9714-90B9757E5C52}"/>
    <cellStyle name="Migliaia [0] 54 3 2 2 2" xfId="21819" xr:uid="{51592DF5-2CB3-4843-835C-85B8998D1D10}"/>
    <cellStyle name="Migliaia [0] 54 3 2 2 2 2" xfId="38325" xr:uid="{4428E005-8AE0-422A-9F3A-9DEBD7C39807}"/>
    <cellStyle name="Migliaia [0] 54 3 2 2 3" xfId="43627" xr:uid="{0A36794B-E595-4039-B0BE-31999F8052B1}"/>
    <cellStyle name="Migliaia [0] 54 3 2 2 4" xfId="32974" xr:uid="{4FCEC821-FD05-40B1-934A-8EC9E712DEA3}"/>
    <cellStyle name="Migliaia [0] 54 3 2 3" xfId="35860" xr:uid="{DB62CBB1-E338-4550-BDD0-231404B9AB68}"/>
    <cellStyle name="Migliaia [0] 54 3 2 4" xfId="40976" xr:uid="{22A49A8B-42B8-49BB-9A52-82F2DC79DB46}"/>
    <cellStyle name="Migliaia [0] 54 3 2 5" xfId="47211" xr:uid="{A1585752-48C1-4BF0-9699-DD864325BF1A}"/>
    <cellStyle name="Migliaia [0] 54 3 2 6" xfId="50847" xr:uid="{5F579355-6C4F-4B0B-A578-E341AC226E7E}"/>
    <cellStyle name="Migliaia [0] 54 3 2 7" xfId="53863" xr:uid="{B519BFC0-F0AD-459A-BD98-42DECE0FA38E}"/>
    <cellStyle name="Migliaia [0] 54 3 2 8" xfId="17626" xr:uid="{3FB30F15-7212-4E78-8CF9-131E98B7656E}"/>
    <cellStyle name="Migliaia [0] 54 3 2 9" xfId="11859" xr:uid="{B15484B8-C574-4F4F-8710-1C50384CDA74}"/>
    <cellStyle name="Migliaia [0] 54 3 3" xfId="6024" xr:uid="{D58E503D-AFC4-4434-B549-2FB18BF4012D}"/>
    <cellStyle name="Migliaia [0] 54 3 3 2" xfId="11669" xr:uid="{A066BCD4-C68B-4D29-8B15-17DA25020F25}"/>
    <cellStyle name="Migliaia [0] 54 3 4" xfId="3066" xr:uid="{39BC87CC-51BF-441E-A4B9-4ED72DF7966A}"/>
    <cellStyle name="Migliaia [0] 54 3 4 2" xfId="21351" xr:uid="{C310A768-11A4-484C-825E-ADAC8E5CA580}"/>
    <cellStyle name="Migliaia [0] 54 3 4 3" xfId="47411" xr:uid="{97D487E0-CAC5-4862-B6A2-9E68A360830F}"/>
    <cellStyle name="Migliaia [0] 54 3 4 4" xfId="50366" xr:uid="{0E6C00A7-D199-4613-9411-EA432DDEA9C4}"/>
    <cellStyle name="Migliaia [0] 54 3 4 5" xfId="53382" xr:uid="{191204AE-5C65-4550-84A5-5AC0291F73EF}"/>
    <cellStyle name="Migliaia [0] 54 3 4 6" xfId="10716" xr:uid="{6CDB5118-6FCC-429B-84F3-A41CD81A4B41}"/>
    <cellStyle name="Migliaia [0] 54 3 5" xfId="19745" xr:uid="{EA71A5D9-912F-4FC7-A4D8-948F6F0FDF77}"/>
    <cellStyle name="Migliaia [0] 54 3 6" xfId="24140" xr:uid="{352D7E9D-AF41-48A7-9CC8-3E09833443ED}"/>
    <cellStyle name="Migliaia [0] 54 3 7" xfId="8233" xr:uid="{3D8929A8-685B-455E-8872-4CA70B7D59B1}"/>
    <cellStyle name="Migliaia [0] 54 4" xfId="3067" xr:uid="{61DE0B87-E9F6-4FF9-9E1B-A605C81E72A6}"/>
    <cellStyle name="Migliaia [0] 54 4 2" xfId="4793" xr:uid="{09EE1087-4741-4BAF-9268-F67AE36BC563}"/>
    <cellStyle name="Migliaia [0] 54 4 2 2" xfId="35118" xr:uid="{FDEAF0A4-8842-45B9-8F5F-5A228F186F8E}"/>
    <cellStyle name="Migliaia [0] 54 4 2 2 2" xfId="40276" xr:uid="{7FA33BAE-744C-41DE-938C-89DB6DAF8E5F}"/>
    <cellStyle name="Migliaia [0] 54 4 2 2 3" xfId="45578" xr:uid="{B0287495-12D8-43A1-A48B-01171CD92DD0}"/>
    <cellStyle name="Migliaia [0] 54 4 2 3" xfId="37625" xr:uid="{062EA639-9B04-4365-8E1A-67B6CE2E0A6C}"/>
    <cellStyle name="Migliaia [0] 54 4 2 4" xfId="42927" xr:uid="{6942F042-2D99-473A-AC61-A54C3D2B1857}"/>
    <cellStyle name="Migliaia [0] 54 4 2 5" xfId="17058" xr:uid="{B9A18156-CFF5-4F1A-8A58-458ED6860ADD}"/>
    <cellStyle name="Migliaia [0] 54 4 3" xfId="6025" xr:uid="{A52AF561-328C-4B27-AEA8-A3658BC4099C}"/>
    <cellStyle name="Migliaia [0] 54 4 3 2" xfId="38326" xr:uid="{E349A14B-FCF3-482B-9340-E0E3243C1D97}"/>
    <cellStyle name="Migliaia [0] 54 4 3 3" xfId="43628" xr:uid="{A31C49EA-8CCF-4865-81ED-4AABBED45535}"/>
    <cellStyle name="Migliaia [0] 54 4 3 4" xfId="32975" xr:uid="{29A506A4-4AA3-462B-A4DE-E6E2695C640D}"/>
    <cellStyle name="Migliaia [0] 54 4 3 5" xfId="19746" xr:uid="{354E24C1-9C24-493C-BAFC-B0C8812E4A35}"/>
    <cellStyle name="Migliaia [0] 54 4 4" xfId="35861" xr:uid="{8316921A-F14B-401F-B83A-18D56A0549D5}"/>
    <cellStyle name="Migliaia [0] 54 4 5" xfId="40977" xr:uid="{0AFF63B1-4AD0-4784-BD9B-147DA90E0722}"/>
    <cellStyle name="Migliaia [0] 54 4 6" xfId="16000" xr:uid="{AF3467AC-AAF9-49F9-8A41-E7854CF0E280}"/>
    <cellStyle name="Migliaia [0] 54 4 7" xfId="7813" xr:uid="{224D1D2E-EA46-45FD-94A6-245198C86BBC}"/>
    <cellStyle name="Migliaia [0] 54 5" xfId="4789" xr:uid="{3A46AD77-BC3C-49BD-AF16-95C600A9DCE0}"/>
    <cellStyle name="Migliaia [0] 54 5 2" xfId="32976" xr:uid="{C4E81890-ADB7-4CEB-A38F-76DF71FAFC0C}"/>
    <cellStyle name="Migliaia [0] 54 5 2 2" xfId="38327" xr:uid="{53CDD668-483D-4215-93FD-63A086ECA644}"/>
    <cellStyle name="Migliaia [0] 54 5 2 3" xfId="43629" xr:uid="{2BB17CDB-246B-4DB3-9221-9E544E849CFF}"/>
    <cellStyle name="Migliaia [0] 54 5 3" xfId="35862" xr:uid="{CA22BF5F-EE8C-44E4-8590-68F86ED08D1C}"/>
    <cellStyle name="Migliaia [0] 54 5 4" xfId="40978" xr:uid="{CA38945F-2098-4364-B0E2-FD860A589664}"/>
    <cellStyle name="Migliaia [0] 54 5 5" xfId="17127" xr:uid="{923348D3-B177-44F3-A57B-7A0FAED7E0E8}"/>
    <cellStyle name="Migliaia [0] 54 6" xfId="6022" xr:uid="{7B799D0F-88BE-441F-9654-36EFF451D92A}"/>
    <cellStyle name="Migliaia [0] 54 6 2" xfId="38323" xr:uid="{744B31E1-18D9-4ADD-9BD8-3B690271F870}"/>
    <cellStyle name="Migliaia [0] 54 6 3" xfId="43625" xr:uid="{D4510D3B-5628-42B7-A767-08E18C680BEB}"/>
    <cellStyle name="Migliaia [0] 54 6 4" xfId="32972" xr:uid="{8513B5FF-36CC-4BD4-8E9F-EAAC685AE726}"/>
    <cellStyle name="Migliaia [0] 54 6 5" xfId="19742" xr:uid="{081DCB07-EFF8-4470-821D-FFD58CE49061}"/>
    <cellStyle name="Migliaia [0] 54 7" xfId="3063" xr:uid="{37B45DBE-00BD-43F3-B428-A7DC649A027E}"/>
    <cellStyle name="Migliaia [0] 54 7 2" xfId="35858" xr:uid="{743C48B9-3CF0-4A95-AB3A-246877AD95D1}"/>
    <cellStyle name="Migliaia [0] 54 8" xfId="40974" xr:uid="{8EDDC017-0E31-4D98-ABC4-D440A52B5D77}"/>
    <cellStyle name="Migliaia [0] 54 9" xfId="7034" xr:uid="{7D5D449C-487D-45BD-BAAA-D66BF70D442C}"/>
    <cellStyle name="Migliaia [0] 55" xfId="292" xr:uid="{00000000-0005-0000-0000-00009D020000}"/>
    <cellStyle name="Migliaia [0] 55 2" xfId="1631" xr:uid="{00000000-0005-0000-0000-00009E020000}"/>
    <cellStyle name="Migliaia [0] 55 2 2" xfId="1632" xr:uid="{00000000-0005-0000-0000-00009F020000}"/>
    <cellStyle name="Migliaia [0] 55 2 2 2" xfId="4796" xr:uid="{BFE43E66-7FB7-46EC-A49A-89D14BFC2C6E}"/>
    <cellStyle name="Migliaia [0] 55 2 2 2 2" xfId="21820" xr:uid="{72101062-652A-4F03-8583-5E141748AF15}"/>
    <cellStyle name="Migliaia [0] 55 2 2 2 3" xfId="46658" xr:uid="{B1B7EA10-C940-44F4-BFE5-EFD4063E6FF3}"/>
    <cellStyle name="Migliaia [0] 55 2 2 2 4" xfId="50848" xr:uid="{5E94BE8E-9F95-48D3-9276-CD019C536F9F}"/>
    <cellStyle name="Migliaia [0] 55 2 2 2 5" xfId="53864" xr:uid="{DBB053AE-0775-449E-9752-3BFEDC853E63}"/>
    <cellStyle name="Migliaia [0] 55 2 2 2 6" xfId="11860" xr:uid="{0FCDD52F-0783-4189-BAC3-097C72717FE8}"/>
    <cellStyle name="Migliaia [0] 55 2 2 3" xfId="3070" xr:uid="{3E7D282B-A20A-442F-832F-47838B302013}"/>
    <cellStyle name="Migliaia [0] 55 2 2 3 2" xfId="11678" xr:uid="{39561012-399F-469E-874C-59EE95F1AC22}"/>
    <cellStyle name="Migliaia [0] 55 2 2 4" xfId="10717" xr:uid="{A6566BC0-CCA0-44CE-98A2-B2742811CD1B}"/>
    <cellStyle name="Migliaia [0] 55 2 2 4 2" xfId="21352" xr:uid="{F974042B-36B9-4DF1-A027-317117182DB5}"/>
    <cellStyle name="Migliaia [0] 55 2 2 4 3" xfId="46195" xr:uid="{3A70321F-1A38-4602-BA69-4CA272DA602A}"/>
    <cellStyle name="Migliaia [0] 55 2 2 4 4" xfId="50367" xr:uid="{73A54765-7646-4551-B3F4-868358DA2AE6}"/>
    <cellStyle name="Migliaia [0] 55 2 2 4 5" xfId="53383" xr:uid="{BA699B79-604C-49AD-9CB8-FE71B0ABC2B2}"/>
    <cellStyle name="Migliaia [0] 55 2 2 5" xfId="19749" xr:uid="{017948B5-2BB1-45BF-B741-85216129CE02}"/>
    <cellStyle name="Migliaia [0] 55 2 2 6" xfId="24142" xr:uid="{DCE0A87A-8772-4CD3-948C-66B7E6673981}"/>
    <cellStyle name="Migliaia [0] 55 2 2 7" xfId="48870" xr:uid="{418E4318-5301-4E24-A148-DA66F0950E7D}"/>
    <cellStyle name="Migliaia [0] 55 2 2 8" xfId="49776" xr:uid="{50CB0473-06D8-40C6-9900-D2636FBB64E4}"/>
    <cellStyle name="Migliaia [0] 55 2 2 9" xfId="8476" xr:uid="{4D7625C6-9F78-4630-9F64-89266B33BD66}"/>
    <cellStyle name="Migliaia [0] 55 2 3" xfId="4795" xr:uid="{84C0092C-7441-4F8A-9269-0AD44C246B4E}"/>
    <cellStyle name="Migliaia [0] 55 2 3 2" xfId="32978" xr:uid="{7EBC7A87-35BC-4F7F-AB9D-E4690CC0B32E}"/>
    <cellStyle name="Migliaia [0] 55 2 3 2 2" xfId="38329" xr:uid="{EE4EE7AC-E9FA-46D8-8193-82CDDFC983DB}"/>
    <cellStyle name="Migliaia [0] 55 2 3 2 3" xfId="43631" xr:uid="{C18E7D22-06AA-4EF8-9555-8F00B10C394A}"/>
    <cellStyle name="Migliaia [0] 55 2 3 3" xfId="35864" xr:uid="{5A148252-66AB-4B8F-AF6C-FDB32E64E912}"/>
    <cellStyle name="Migliaia [0] 55 2 3 4" xfId="40980" xr:uid="{643ABA00-9BF0-49C4-B8B1-5691463AA348}"/>
    <cellStyle name="Migliaia [0] 55 2 3 5" xfId="11861" xr:uid="{26013E83-7325-4BFB-B86C-7C4081D33DE2}"/>
    <cellStyle name="Migliaia [0] 55 2 4" xfId="6027" xr:uid="{D467B8C5-D001-4F40-B1D1-DA6912AA2941}"/>
    <cellStyle name="Migliaia [0] 55 2 4 2" xfId="19748" xr:uid="{79D06A79-1471-4E60-958B-492D25193CBE}"/>
    <cellStyle name="Migliaia [0] 55 2 5" xfId="3069" xr:uid="{4C250386-9609-48B5-A067-D65B9C35E1FA}"/>
    <cellStyle name="Migliaia [0] 55 2 5 2" xfId="24141" xr:uid="{781DDF70-E6C1-4DA5-9A69-22DEE3E4DB53}"/>
    <cellStyle name="Migliaia [0] 55 2 6" xfId="7286" xr:uid="{D8E5821A-305A-45B8-84DB-79398F35C071}"/>
    <cellStyle name="Migliaia [0] 55 3" xfId="1633" xr:uid="{00000000-0005-0000-0000-0000A0020000}"/>
    <cellStyle name="Migliaia [0] 55 3 2" xfId="4797" xr:uid="{9A159581-4814-4B47-8AE6-D8DF7B45E838}"/>
    <cellStyle name="Migliaia [0] 55 3 2 2" xfId="18351" xr:uid="{B42AF654-575A-40BE-8E94-6723C8414B65}"/>
    <cellStyle name="Migliaia [0] 55 3 2 2 2" xfId="21821" xr:uid="{3AB1F221-DCDA-4EF0-AA5C-7656C61AC9A8}"/>
    <cellStyle name="Migliaia [0] 55 3 2 2 2 2" xfId="38330" xr:uid="{9BAC4CE4-0536-4814-B8E1-21A8BCD6A005}"/>
    <cellStyle name="Migliaia [0] 55 3 2 2 3" xfId="43632" xr:uid="{38DF4FAB-D3AE-47B3-B659-76B448E84640}"/>
    <cellStyle name="Migliaia [0] 55 3 2 2 4" xfId="32979" xr:uid="{C5F13B91-0730-45BA-851F-0211BEE429E6}"/>
    <cellStyle name="Migliaia [0] 55 3 2 3" xfId="35865" xr:uid="{8C757217-45D5-4195-A158-76563A82FDED}"/>
    <cellStyle name="Migliaia [0] 55 3 2 4" xfId="40981" xr:uid="{FA61D97A-B0A0-42B7-A933-CD4DD8F989AF}"/>
    <cellStyle name="Migliaia [0] 55 3 2 5" xfId="47857" xr:uid="{AB8256A7-694F-40A0-B111-88A003301B19}"/>
    <cellStyle name="Migliaia [0] 55 3 2 6" xfId="50849" xr:uid="{BFC88732-0732-42FF-AF02-D760F3CB8F76}"/>
    <cellStyle name="Migliaia [0] 55 3 2 7" xfId="53865" xr:uid="{748DD0C4-97F0-4B37-BAA5-66632D90FEDC}"/>
    <cellStyle name="Migliaia [0] 55 3 2 8" xfId="17627" xr:uid="{0819EE8D-B80E-4C34-88EE-289D557AA76E}"/>
    <cellStyle name="Migliaia [0] 55 3 2 9" xfId="11862" xr:uid="{F5B62158-31F7-42F1-893A-AC912B358878}"/>
    <cellStyle name="Migliaia [0] 55 3 3" xfId="6028" xr:uid="{47DC5F4A-B314-4732-BEE8-76C710FF9B70}"/>
    <cellStyle name="Migliaia [0] 55 3 3 2" xfId="12365" xr:uid="{C9BED3D1-77C0-4F13-AD83-E4FD2A0971BC}"/>
    <cellStyle name="Migliaia [0] 55 3 4" xfId="3071" xr:uid="{2331F957-0EBA-4C06-B16C-2AAC73AAE6FE}"/>
    <cellStyle name="Migliaia [0] 55 3 4 2" xfId="21353" xr:uid="{C4FCA0F3-CD49-479E-856B-B1FE204F4CF8}"/>
    <cellStyle name="Migliaia [0] 55 3 4 3" xfId="47708" xr:uid="{75613EBE-CCD6-43D2-8EE1-112C8A707903}"/>
    <cellStyle name="Migliaia [0] 55 3 4 4" xfId="50368" xr:uid="{558050C9-71DD-488B-B07A-C59D76DAB4CD}"/>
    <cellStyle name="Migliaia [0] 55 3 4 5" xfId="53384" xr:uid="{1B51BA99-CC7D-4AD0-A354-AABE1F386076}"/>
    <cellStyle name="Migliaia [0] 55 3 4 6" xfId="10718" xr:uid="{8FE14D8C-9319-4A7F-8382-203A5B2D2616}"/>
    <cellStyle name="Migliaia [0] 55 3 5" xfId="19750" xr:uid="{9A49815A-A8EB-4D03-809A-EE86AE51CEED}"/>
    <cellStyle name="Migliaia [0] 55 3 6" xfId="24143" xr:uid="{5A500F53-B2DA-4AF1-A842-E7C34A7726DE}"/>
    <cellStyle name="Migliaia [0] 55 3 7" xfId="8234" xr:uid="{14234534-91F3-43AF-BABE-99888BFEBB26}"/>
    <cellStyle name="Migliaia [0] 55 4" xfId="3072" xr:uid="{04C9F5AA-9885-4D04-93F8-1D79B8CFA665}"/>
    <cellStyle name="Migliaia [0] 55 4 2" xfId="4798" xr:uid="{E91482C7-31B0-45CE-B034-D2D681E127E6}"/>
    <cellStyle name="Migliaia [0] 55 4 2 2" xfId="35119" xr:uid="{7AE6E324-DB8F-4436-8610-A2125DE27373}"/>
    <cellStyle name="Migliaia [0] 55 4 2 2 2" xfId="40277" xr:uid="{FB5A88B5-F04E-4FED-95C5-1C2C0FFD1BC2}"/>
    <cellStyle name="Migliaia [0] 55 4 2 2 3" xfId="45579" xr:uid="{38D86045-FCFA-492C-9155-712B76908BC6}"/>
    <cellStyle name="Migliaia [0] 55 4 2 3" xfId="37626" xr:uid="{77AC35D8-DD36-4001-A447-B2600E486E17}"/>
    <cellStyle name="Migliaia [0] 55 4 2 4" xfId="42928" xr:uid="{4AA53FE6-0452-481B-9B15-7A2391972908}"/>
    <cellStyle name="Migliaia [0] 55 4 2 5" xfId="17059" xr:uid="{E76396E6-BB13-4ACF-A38B-724455DD8427}"/>
    <cellStyle name="Migliaia [0] 55 4 3" xfId="6029" xr:uid="{2DB7BE47-676B-4576-BFE9-F1D088692DA8}"/>
    <cellStyle name="Migliaia [0] 55 4 3 2" xfId="38331" xr:uid="{E82F0CCF-1717-44C8-8846-30C59E68ACEA}"/>
    <cellStyle name="Migliaia [0] 55 4 3 3" xfId="43633" xr:uid="{54EA62ED-77B0-43CD-A72B-66E42CBC131C}"/>
    <cellStyle name="Migliaia [0] 55 4 3 4" xfId="32980" xr:uid="{752211BB-FC4B-4B85-9107-945788F0A569}"/>
    <cellStyle name="Migliaia [0] 55 4 3 5" xfId="19751" xr:uid="{C94FC0D8-B5BD-45F3-AF86-F31986F84232}"/>
    <cellStyle name="Migliaia [0] 55 4 4" xfId="35866" xr:uid="{F81D5FCA-DEB5-40A2-94AD-DF17C78F66E2}"/>
    <cellStyle name="Migliaia [0] 55 4 5" xfId="40982" xr:uid="{76B2D43B-3DBC-427A-B73C-0DCC302C0849}"/>
    <cellStyle name="Migliaia [0] 55 4 6" xfId="16001" xr:uid="{7555595D-470C-433A-A684-4F955EEE902A}"/>
    <cellStyle name="Migliaia [0] 55 4 7" xfId="7814" xr:uid="{1463D21C-4C30-40BB-B479-1B2A2820BA7B}"/>
    <cellStyle name="Migliaia [0] 55 5" xfId="4794" xr:uid="{1FB84817-2C66-4069-B9B9-D3CA52F84505}"/>
    <cellStyle name="Migliaia [0] 55 5 2" xfId="32981" xr:uid="{30383317-1378-4252-8CDD-454D93822D42}"/>
    <cellStyle name="Migliaia [0] 55 5 2 2" xfId="38332" xr:uid="{57A4FEAE-55ED-4889-A601-5C9541F611AA}"/>
    <cellStyle name="Migliaia [0] 55 5 2 3" xfId="43634" xr:uid="{E1B29C0E-C526-4B16-BB57-565449052724}"/>
    <cellStyle name="Migliaia [0] 55 5 3" xfId="35867" xr:uid="{D8AA4DA7-3BDD-4D90-8DDD-400DAB264158}"/>
    <cellStyle name="Migliaia [0] 55 5 4" xfId="40983" xr:uid="{569D8409-3945-4466-9565-27ED1D23EB92}"/>
    <cellStyle name="Migliaia [0] 55 5 5" xfId="17128" xr:uid="{385FAB53-9501-4300-95A2-A6E6CE1B68F2}"/>
    <cellStyle name="Migliaia [0] 55 6" xfId="6026" xr:uid="{97DF3CA0-740A-4BB4-B6AA-8286821F3E9D}"/>
    <cellStyle name="Migliaia [0] 55 6 2" xfId="38328" xr:uid="{8911684C-441F-432F-958D-D8A342602D6A}"/>
    <cellStyle name="Migliaia [0] 55 6 3" xfId="43630" xr:uid="{42C642FF-87C2-4BA7-90F1-E91284947FCB}"/>
    <cellStyle name="Migliaia [0] 55 6 4" xfId="32977" xr:uid="{007868C2-4DF0-4EEE-9757-8C7B1BE0B085}"/>
    <cellStyle name="Migliaia [0] 55 6 5" xfId="19747" xr:uid="{3EEF65FB-AB4E-4F54-A248-41CDF715831E}"/>
    <cellStyle name="Migliaia [0] 55 7" xfId="3068" xr:uid="{640039D4-44CD-486D-9E5B-88C6D27EB6FD}"/>
    <cellStyle name="Migliaia [0] 55 7 2" xfId="35863" xr:uid="{1A033BE2-13DD-4507-B2B5-0A161F825DD7}"/>
    <cellStyle name="Migliaia [0] 55 8" xfId="40979" xr:uid="{95CA14EE-BEDD-468E-80F1-203BDEF7685E}"/>
    <cellStyle name="Migliaia [0] 55 9" xfId="7035" xr:uid="{533031DF-5BD7-42E1-BAA7-23BC4B584D87}"/>
    <cellStyle name="Migliaia [0] 56" xfId="293" xr:uid="{00000000-0005-0000-0000-0000A1020000}"/>
    <cellStyle name="Migliaia [0] 56 2" xfId="1634" xr:uid="{00000000-0005-0000-0000-0000A2020000}"/>
    <cellStyle name="Migliaia [0] 56 2 2" xfId="1635" xr:uid="{00000000-0005-0000-0000-0000A3020000}"/>
    <cellStyle name="Migliaia [0] 56 2 2 2" xfId="4801" xr:uid="{AD020D14-894C-4083-BFC7-86D1DA4C5BF4}"/>
    <cellStyle name="Migliaia [0] 56 2 2 2 2" xfId="21822" xr:uid="{CD840C60-364C-4DE4-AC54-92453523F5C6}"/>
    <cellStyle name="Migliaia [0] 56 2 2 2 3" xfId="48296" xr:uid="{6895E70C-B688-4E30-A89F-1A5135FBD54B}"/>
    <cellStyle name="Migliaia [0] 56 2 2 2 4" xfId="50850" xr:uid="{FB05A4A8-06B1-4587-B209-7BF68CB6A966}"/>
    <cellStyle name="Migliaia [0] 56 2 2 2 5" xfId="53866" xr:uid="{F2B2FFE7-4C1D-4C6E-B5FD-321B7AAB202E}"/>
    <cellStyle name="Migliaia [0] 56 2 2 2 6" xfId="11863" xr:uid="{0E4E0294-3EEF-4DB6-A0C1-1BB32AA3AF86}"/>
    <cellStyle name="Migliaia [0] 56 2 2 3" xfId="3075" xr:uid="{ED7E2A12-86EA-493B-9B24-D25FB970958A}"/>
    <cellStyle name="Migliaia [0] 56 2 2 3 2" xfId="11555" xr:uid="{C414E56D-0464-46F3-A04F-0A4126030133}"/>
    <cellStyle name="Migliaia [0] 56 2 2 4" xfId="10719" xr:uid="{C18C9796-9D6A-44BB-9462-E7F7C1887EDA}"/>
    <cellStyle name="Migliaia [0] 56 2 2 4 2" xfId="21354" xr:uid="{A9E454A7-5F36-4442-9F7C-31B53AE2E465}"/>
    <cellStyle name="Migliaia [0] 56 2 2 4 3" xfId="48003" xr:uid="{51DEF3E0-918C-4F9C-AAA5-AB9F25F86DEC}"/>
    <cellStyle name="Migliaia [0] 56 2 2 4 4" xfId="50369" xr:uid="{3F7CA925-F171-400B-82F6-101C7D2FECA4}"/>
    <cellStyle name="Migliaia [0] 56 2 2 4 5" xfId="53385" xr:uid="{EE9D7A0F-0385-488D-8CB5-649CFA49216D}"/>
    <cellStyle name="Migliaia [0] 56 2 2 5" xfId="19754" xr:uid="{924196A3-1D59-473D-9305-23E9652D5806}"/>
    <cellStyle name="Migliaia [0] 56 2 2 6" xfId="24145" xr:uid="{7C6A1B12-B990-4485-9886-76345D4CA63E}"/>
    <cellStyle name="Migliaia [0] 56 2 2 7" xfId="48871" xr:uid="{620B6627-0AEF-498F-B85B-FA51FD6858D9}"/>
    <cellStyle name="Migliaia [0] 56 2 2 8" xfId="49777" xr:uid="{D5B03D12-9ABA-4AFB-B422-5ADBD52EA45F}"/>
    <cellStyle name="Migliaia [0] 56 2 2 9" xfId="8477" xr:uid="{32B5ECFA-3E22-40BF-87AF-FD0B3F00B8DD}"/>
    <cellStyle name="Migliaia [0] 56 2 3" xfId="4800" xr:uid="{0BECB78D-8A69-4675-87D2-29487D49AE10}"/>
    <cellStyle name="Migliaia [0] 56 2 3 2" xfId="32983" xr:uid="{12BFE63F-288D-44EA-95B4-204A20C70D17}"/>
    <cellStyle name="Migliaia [0] 56 2 3 2 2" xfId="38334" xr:uid="{2AA23FE2-22B8-42FE-A5D6-57ABBCC62C70}"/>
    <cellStyle name="Migliaia [0] 56 2 3 2 3" xfId="43636" xr:uid="{2EACEF44-372A-4FBB-A1E1-C75578839BB2}"/>
    <cellStyle name="Migliaia [0] 56 2 3 3" xfId="35869" xr:uid="{8BF74163-1C58-4B02-B84C-4CAEEF827A19}"/>
    <cellStyle name="Migliaia [0] 56 2 3 4" xfId="40985" xr:uid="{7A22B3CF-F41F-471C-ACEB-0CEB38BEDD63}"/>
    <cellStyle name="Migliaia [0] 56 2 3 5" xfId="11864" xr:uid="{E391A7AB-D0F6-4EF0-8B30-E7D240235D9C}"/>
    <cellStyle name="Migliaia [0] 56 2 4" xfId="6031" xr:uid="{9FC27219-0FFA-4845-8B98-CCD22747FE4E}"/>
    <cellStyle name="Migliaia [0] 56 2 4 2" xfId="19753" xr:uid="{3F0A530A-EBE2-400E-8705-0EC27627F0A8}"/>
    <cellStyle name="Migliaia [0] 56 2 5" xfId="3074" xr:uid="{70BB7426-E453-4F53-B893-A1FCA6BE7167}"/>
    <cellStyle name="Migliaia [0] 56 2 5 2" xfId="24144" xr:uid="{E59DADB2-4F52-4E71-AF23-D979C5FD83AD}"/>
    <cellStyle name="Migliaia [0] 56 2 6" xfId="7287" xr:uid="{918C9FE0-E29D-4232-A92B-36969B46B456}"/>
    <cellStyle name="Migliaia [0] 56 3" xfId="1636" xr:uid="{00000000-0005-0000-0000-0000A4020000}"/>
    <cellStyle name="Migliaia [0] 56 3 2" xfId="4802" xr:uid="{6A029718-D782-45EB-82F2-892452A3A8B7}"/>
    <cellStyle name="Migliaia [0] 56 3 2 2" xfId="18352" xr:uid="{45AAB1D5-F209-437C-8649-AA59FB1F998D}"/>
    <cellStyle name="Migliaia [0] 56 3 2 2 2" xfId="21823" xr:uid="{93F890D8-CE8C-4B77-9524-EB40BFA52130}"/>
    <cellStyle name="Migliaia [0] 56 3 2 2 2 2" xfId="38335" xr:uid="{757A0D47-9C88-435E-9DA6-BB4EEDD6D566}"/>
    <cellStyle name="Migliaia [0] 56 3 2 2 3" xfId="43637" xr:uid="{202C03CF-B3DD-4919-8DAF-4D7820F87AA0}"/>
    <cellStyle name="Migliaia [0] 56 3 2 2 4" xfId="32984" xr:uid="{64928622-B580-4406-ADE5-E2E3D8837054}"/>
    <cellStyle name="Migliaia [0] 56 3 2 3" xfId="35870" xr:uid="{A9D6CAC1-DEBA-4930-8326-FAC2933C6699}"/>
    <cellStyle name="Migliaia [0] 56 3 2 4" xfId="40986" xr:uid="{540AAC79-E92D-4F6A-A32C-02529F75DA96}"/>
    <cellStyle name="Migliaia [0] 56 3 2 5" xfId="25340" xr:uid="{7DB6FE0F-FB14-458B-91BC-89F9F1E39531}"/>
    <cellStyle name="Migliaia [0] 56 3 2 6" xfId="50851" xr:uid="{E6F1010E-343E-4F15-808E-D8150BEA6646}"/>
    <cellStyle name="Migliaia [0] 56 3 2 7" xfId="53867" xr:uid="{8D01C667-9244-4613-AD3C-48ED364C05B9}"/>
    <cellStyle name="Migliaia [0] 56 3 2 8" xfId="17628" xr:uid="{C19B822A-30DE-4D65-A045-31B7CB6F66E0}"/>
    <cellStyle name="Migliaia [0] 56 3 2 9" xfId="11865" xr:uid="{CB3794DA-E5C7-4008-85FA-04B1E38E7206}"/>
    <cellStyle name="Migliaia [0] 56 3 3" xfId="6032" xr:uid="{50B662D2-3531-4E7A-8CDF-E200654BF44F}"/>
    <cellStyle name="Migliaia [0] 56 3 3 2" xfId="12207" xr:uid="{5C573299-A4BA-4289-8EFA-8CC81DDB967B}"/>
    <cellStyle name="Migliaia [0] 56 3 4" xfId="3076" xr:uid="{8D716C5B-1195-488D-AD59-C7AA64FD2993}"/>
    <cellStyle name="Migliaia [0] 56 3 4 2" xfId="21355" xr:uid="{9D7314F4-9489-4ED0-BBD2-820ABD3BB32D}"/>
    <cellStyle name="Migliaia [0] 56 3 4 3" xfId="46196" xr:uid="{9FE2B47C-0A39-424C-84C2-4415E7A4BBC8}"/>
    <cellStyle name="Migliaia [0] 56 3 4 4" xfId="50370" xr:uid="{CCEDEC20-F6DF-4AC8-A0FA-990AF7A25D72}"/>
    <cellStyle name="Migliaia [0] 56 3 4 5" xfId="53386" xr:uid="{DF4FF0A2-154B-4EF6-B609-003336F76C91}"/>
    <cellStyle name="Migliaia [0] 56 3 4 6" xfId="10720" xr:uid="{5F51FBF0-6B14-41ED-BE82-29B31456BD92}"/>
    <cellStyle name="Migliaia [0] 56 3 5" xfId="19755" xr:uid="{3D30FF1C-7EBE-416A-AE9A-804DF2B4BEB5}"/>
    <cellStyle name="Migliaia [0] 56 3 6" xfId="24146" xr:uid="{1F59B6F7-5421-445D-8BD1-AF17D1A13094}"/>
    <cellStyle name="Migliaia [0] 56 3 7" xfId="8235" xr:uid="{4779CD4C-F662-4410-8DD8-732A53D87DC9}"/>
    <cellStyle name="Migliaia [0] 56 4" xfId="3077" xr:uid="{A8BF5B66-CB83-4980-8DC5-A239E5F88147}"/>
    <cellStyle name="Migliaia [0] 56 4 2" xfId="4803" xr:uid="{904ED14C-6FD4-4260-854B-6C8E1FCB5C73}"/>
    <cellStyle name="Migliaia [0] 56 4 2 2" xfId="35120" xr:uid="{CF0C8EC9-AC54-4448-8B55-BED11A786322}"/>
    <cellStyle name="Migliaia [0] 56 4 2 2 2" xfId="40278" xr:uid="{F75ABAD8-18AE-43D6-9982-46CB15FBD310}"/>
    <cellStyle name="Migliaia [0] 56 4 2 2 3" xfId="45580" xr:uid="{29A16A15-88B5-427F-8B73-96015150CF1A}"/>
    <cellStyle name="Migliaia [0] 56 4 2 3" xfId="37627" xr:uid="{AA5A50C3-A180-4509-8313-EA7A400C7A46}"/>
    <cellStyle name="Migliaia [0] 56 4 2 4" xfId="42929" xr:uid="{D0D3C13B-6569-4FCA-BA70-F28963D76C2B}"/>
    <cellStyle name="Migliaia [0] 56 4 2 5" xfId="17060" xr:uid="{83AED264-CEE2-4554-A33C-C409F0154CFB}"/>
    <cellStyle name="Migliaia [0] 56 4 3" xfId="6033" xr:uid="{827AA4E7-B042-4911-97F8-213F987E80F5}"/>
    <cellStyle name="Migliaia [0] 56 4 3 2" xfId="38336" xr:uid="{888ABED1-4156-40B3-A4AE-D0E0BB7C3850}"/>
    <cellStyle name="Migliaia [0] 56 4 3 3" xfId="43638" xr:uid="{017927DB-2D08-49A9-B55E-3931F87C68C9}"/>
    <cellStyle name="Migliaia [0] 56 4 3 4" xfId="32985" xr:uid="{47F8D1DC-A924-4A91-8EEB-312E0793702E}"/>
    <cellStyle name="Migliaia [0] 56 4 3 5" xfId="19756" xr:uid="{9179DB8F-3F9B-4940-9053-9A8810AFEE31}"/>
    <cellStyle name="Migliaia [0] 56 4 4" xfId="35871" xr:uid="{1708621B-0FD9-42CE-8D12-0DC7489BD43B}"/>
    <cellStyle name="Migliaia [0] 56 4 5" xfId="40987" xr:uid="{E2C6623B-2955-4BE9-8C70-132828BC5B3D}"/>
    <cellStyle name="Migliaia [0] 56 4 6" xfId="16002" xr:uid="{B67B4ABB-5A6F-42D7-9E7C-FC96228ECF3F}"/>
    <cellStyle name="Migliaia [0] 56 4 7" xfId="7815" xr:uid="{8DFAD1AE-6123-43A3-A12B-41A5D8358EF9}"/>
    <cellStyle name="Migliaia [0] 56 5" xfId="4799" xr:uid="{4ADB6B4B-1699-47F6-B319-530865D8AB5A}"/>
    <cellStyle name="Migliaia [0] 56 5 2" xfId="32986" xr:uid="{79CA4C4A-5F24-4AA4-AF82-5A44CB42EB92}"/>
    <cellStyle name="Migliaia [0] 56 5 2 2" xfId="38337" xr:uid="{5AE277DA-F558-44BC-B2F6-DBF68A4FB3DF}"/>
    <cellStyle name="Migliaia [0] 56 5 2 3" xfId="43639" xr:uid="{6506A1E5-0CE7-494E-9467-F2F5BD7CFE92}"/>
    <cellStyle name="Migliaia [0] 56 5 3" xfId="35872" xr:uid="{A1C5120A-AE7D-4792-92F8-AC15E7A603E4}"/>
    <cellStyle name="Migliaia [0] 56 5 4" xfId="40988" xr:uid="{36C6E05C-1940-453E-BAE3-341CF1D9DAF8}"/>
    <cellStyle name="Migliaia [0] 56 5 5" xfId="17129" xr:uid="{4E8EED6E-5C82-42AE-93B3-7144684E5DAC}"/>
    <cellStyle name="Migliaia [0] 56 6" xfId="6030" xr:uid="{3637DAC5-A674-4909-9BB2-EF30B1F50CEB}"/>
    <cellStyle name="Migliaia [0] 56 6 2" xfId="38333" xr:uid="{FAD6885D-FA5A-4BFA-B7DA-0D7782656489}"/>
    <cellStyle name="Migliaia [0] 56 6 3" xfId="43635" xr:uid="{A90D7776-2C49-4C33-8B74-9692DFFE1868}"/>
    <cellStyle name="Migliaia [0] 56 6 4" xfId="32982" xr:uid="{E177A281-DF0B-47A8-99AA-52402E853FB2}"/>
    <cellStyle name="Migliaia [0] 56 6 5" xfId="19752" xr:uid="{7BBA9655-9B6C-4BB4-8F30-1A4930369860}"/>
    <cellStyle name="Migliaia [0] 56 7" xfId="3073" xr:uid="{B4A479B9-8C6E-451C-9DFE-A1D74A2E20A1}"/>
    <cellStyle name="Migliaia [0] 56 7 2" xfId="35868" xr:uid="{86DBDBAC-D6A3-4E9F-BEDC-CC98FF65BEA3}"/>
    <cellStyle name="Migliaia [0] 56 8" xfId="40984" xr:uid="{0CF86304-A926-4352-BC94-FFC6BB761DBB}"/>
    <cellStyle name="Migliaia [0] 56 9" xfId="7036" xr:uid="{A93DC577-B3B4-4E4C-AD4F-A11DDD613FE8}"/>
    <cellStyle name="Migliaia [0] 57" xfId="294" xr:uid="{00000000-0005-0000-0000-0000A5020000}"/>
    <cellStyle name="Migliaia [0] 57 2" xfId="1637" xr:uid="{00000000-0005-0000-0000-0000A6020000}"/>
    <cellStyle name="Migliaia [0] 57 2 2" xfId="1638" xr:uid="{00000000-0005-0000-0000-0000A7020000}"/>
    <cellStyle name="Migliaia [0] 57 2 2 2" xfId="4806" xr:uid="{BCCBF600-990C-4B36-B3D0-FA136E4272E4}"/>
    <cellStyle name="Migliaia [0] 57 2 2 2 2" xfId="21824" xr:uid="{E92AD56C-8C2B-46FF-98B0-EE3A1D291AF3}"/>
    <cellStyle name="Migliaia [0] 57 2 2 2 3" xfId="47804" xr:uid="{E64DD650-6BE1-4C76-A378-D89A857AD8DA}"/>
    <cellStyle name="Migliaia [0] 57 2 2 2 4" xfId="50852" xr:uid="{7F97366B-4E5E-46A6-A930-60DC01776F64}"/>
    <cellStyle name="Migliaia [0] 57 2 2 2 5" xfId="53868" xr:uid="{C0FC1A6F-110A-474A-AAC7-8CCDB6AD9E41}"/>
    <cellStyle name="Migliaia [0] 57 2 2 2 6" xfId="11866" xr:uid="{58A0785F-B63B-43C9-B15B-247FCFBA72CD}"/>
    <cellStyle name="Migliaia [0] 57 2 2 3" xfId="3080" xr:uid="{907FFE9F-6FCA-4ED8-8407-2CDF41CF0B12}"/>
    <cellStyle name="Migliaia [0] 57 2 2 3 2" xfId="12326" xr:uid="{11DB10B8-B8F1-4541-85C1-5BA8332D9C16}"/>
    <cellStyle name="Migliaia [0] 57 2 2 4" xfId="10721" xr:uid="{647A7C0A-42BC-47E8-8537-B192E42EC64B}"/>
    <cellStyle name="Migliaia [0] 57 2 2 4 2" xfId="21356" xr:uid="{5C686F36-4C32-4344-9EAF-9D58CB894B03}"/>
    <cellStyle name="Migliaia [0] 57 2 2 4 3" xfId="48574" xr:uid="{88BD75BA-B1C0-4B67-B446-3BA003297176}"/>
    <cellStyle name="Migliaia [0] 57 2 2 4 4" xfId="50371" xr:uid="{22BEC2CF-2A0F-4C10-A5F2-B8417ED25CF1}"/>
    <cellStyle name="Migliaia [0] 57 2 2 4 5" xfId="53387" xr:uid="{F08176F7-F49A-4743-9705-312AB9FC8E6B}"/>
    <cellStyle name="Migliaia [0] 57 2 2 5" xfId="19759" xr:uid="{EBBE565E-F23C-453D-AB4B-70C1F205B542}"/>
    <cellStyle name="Migliaia [0] 57 2 2 6" xfId="24148" xr:uid="{C894835A-1F54-443B-B9EC-5DCB58AAAFFA}"/>
    <cellStyle name="Migliaia [0] 57 2 2 7" xfId="48872" xr:uid="{A7E8B3A9-2AE0-474B-B84B-B0D8858AF58C}"/>
    <cellStyle name="Migliaia [0] 57 2 2 8" xfId="49778" xr:uid="{04872BA1-8E07-49E9-AE16-02A264CEDE4B}"/>
    <cellStyle name="Migliaia [0] 57 2 2 9" xfId="8478" xr:uid="{5B8DB0AF-7305-47BF-8568-2E1E6F49647E}"/>
    <cellStyle name="Migliaia [0] 57 2 3" xfId="4805" xr:uid="{1B769285-B18C-4CF7-8A40-ACBBCCD9AF7C}"/>
    <cellStyle name="Migliaia [0] 57 2 3 2" xfId="32988" xr:uid="{10FBDFA8-C79E-4738-9424-203AE9386C63}"/>
    <cellStyle name="Migliaia [0] 57 2 3 2 2" xfId="38339" xr:uid="{9E9382E9-6D41-4B7F-BD3A-A168FCD934AF}"/>
    <cellStyle name="Migliaia [0] 57 2 3 2 3" xfId="43641" xr:uid="{5A48E03A-C0C2-4448-AA5A-828AAD111EBF}"/>
    <cellStyle name="Migliaia [0] 57 2 3 3" xfId="35874" xr:uid="{D6658816-EB04-4296-B31C-1DEEB4836C43}"/>
    <cellStyle name="Migliaia [0] 57 2 3 4" xfId="40990" xr:uid="{E298E793-6C61-4CB0-9287-5D3692911954}"/>
    <cellStyle name="Migliaia [0] 57 2 3 5" xfId="11867" xr:uid="{8313ADDC-2508-4550-972D-B11D9480E99F}"/>
    <cellStyle name="Migliaia [0] 57 2 4" xfId="6035" xr:uid="{C7C5C9FE-0F1D-4187-952B-7970CC7030B0}"/>
    <cellStyle name="Migliaia [0] 57 2 4 2" xfId="19758" xr:uid="{8D1CC5D2-AFA9-451F-9237-CB96C764D19C}"/>
    <cellStyle name="Migliaia [0] 57 2 5" xfId="3079" xr:uid="{E6681FF5-925E-4399-887A-093A7484D249}"/>
    <cellStyle name="Migliaia [0] 57 2 5 2" xfId="24147" xr:uid="{49848BA7-B755-4A42-81FB-622CD2BD06AF}"/>
    <cellStyle name="Migliaia [0] 57 2 6" xfId="7288" xr:uid="{1B961821-E4DB-4E6C-97BE-D1919F4937CE}"/>
    <cellStyle name="Migliaia [0] 57 3" xfId="1639" xr:uid="{00000000-0005-0000-0000-0000A8020000}"/>
    <cellStyle name="Migliaia [0] 57 3 2" xfId="4807" xr:uid="{46460498-71DB-43A4-A232-3013A84AC5AE}"/>
    <cellStyle name="Migliaia [0] 57 3 2 2" xfId="18353" xr:uid="{B7023F9A-E87C-424E-BAD1-F70F0453FDB0}"/>
    <cellStyle name="Migliaia [0] 57 3 2 2 2" xfId="21825" xr:uid="{06A9CA5E-C3E5-4E20-A78A-89234C2D86A2}"/>
    <cellStyle name="Migliaia [0] 57 3 2 2 2 2" xfId="38340" xr:uid="{566A769B-DCFA-4609-B09D-E695568956D8}"/>
    <cellStyle name="Migliaia [0] 57 3 2 2 3" xfId="43642" xr:uid="{4FFF1505-9111-49AF-A040-7C8FF2589C60}"/>
    <cellStyle name="Migliaia [0] 57 3 2 2 4" xfId="32989" xr:uid="{F6FB39F5-3DE2-4658-BC90-D027A33A3383}"/>
    <cellStyle name="Migliaia [0] 57 3 2 3" xfId="35875" xr:uid="{F30E93F1-E1ED-46EC-A093-871375E5D3D1}"/>
    <cellStyle name="Migliaia [0] 57 3 2 4" xfId="40991" xr:uid="{FAB53E04-8328-4AE6-A835-04B518F78A7D}"/>
    <cellStyle name="Migliaia [0] 57 3 2 5" xfId="47740" xr:uid="{5E02E669-1FB1-492A-83D8-B304DBB82C1E}"/>
    <cellStyle name="Migliaia [0] 57 3 2 6" xfId="50853" xr:uid="{05F48618-7BB4-464D-A68E-90B6A8FCECBE}"/>
    <cellStyle name="Migliaia [0] 57 3 2 7" xfId="53869" xr:uid="{302EFB8F-92D1-451C-9EB8-3AD0FFB36293}"/>
    <cellStyle name="Migliaia [0] 57 3 2 8" xfId="17629" xr:uid="{1FB9559C-9E93-45E8-92C3-37F4F3F5EEB6}"/>
    <cellStyle name="Migliaia [0] 57 3 2 9" xfId="11868" xr:uid="{CC903265-E3B4-489C-9AF3-EFEA1465A8FC}"/>
    <cellStyle name="Migliaia [0] 57 3 3" xfId="6036" xr:uid="{9884EB31-2CF3-4F3C-8E48-ABA0336B62C0}"/>
    <cellStyle name="Migliaia [0] 57 3 3 2" xfId="12208" xr:uid="{9F859D90-9CF0-4BFB-9624-E442E53ABEC6}"/>
    <cellStyle name="Migliaia [0] 57 3 4" xfId="3081" xr:uid="{FA3DA1C4-F236-442B-952B-9F63C7EE7F59}"/>
    <cellStyle name="Migliaia [0] 57 3 4 2" xfId="21357" xr:uid="{E70073E1-71A5-4BD6-B635-A4FCF6970577}"/>
    <cellStyle name="Migliaia [0] 57 3 4 3" xfId="46197" xr:uid="{A0965F38-EC2C-4299-B0F6-EF055D1CFCE2}"/>
    <cellStyle name="Migliaia [0] 57 3 4 4" xfId="50372" xr:uid="{04C6E1ED-8809-4A1B-AFE1-EDAEECAA4EC7}"/>
    <cellStyle name="Migliaia [0] 57 3 4 5" xfId="53388" xr:uid="{368333B6-49BA-4A1B-B59D-97FB11194140}"/>
    <cellStyle name="Migliaia [0] 57 3 4 6" xfId="10722" xr:uid="{452FD1DB-4FB6-4F5E-BFAA-A7FDC945224B}"/>
    <cellStyle name="Migliaia [0] 57 3 5" xfId="19760" xr:uid="{5E3D0C15-A5A4-4C1C-859C-520261349844}"/>
    <cellStyle name="Migliaia [0] 57 3 6" xfId="24149" xr:uid="{5B29BF87-AB92-4666-B4BF-1CDA75EA4301}"/>
    <cellStyle name="Migliaia [0] 57 3 7" xfId="8236" xr:uid="{B80E406A-6836-43F4-A98C-9147BADC342A}"/>
    <cellStyle name="Migliaia [0] 57 4" xfId="3082" xr:uid="{652C5535-FB99-4133-A7FC-6C75DED114FE}"/>
    <cellStyle name="Migliaia [0] 57 4 2" xfId="4808" xr:uid="{B1984610-FD6E-44BE-9B0F-DA13F6E70060}"/>
    <cellStyle name="Migliaia [0] 57 4 2 2" xfId="35121" xr:uid="{DC93F724-B6EB-4789-99C6-4708A18D8630}"/>
    <cellStyle name="Migliaia [0] 57 4 2 2 2" xfId="40279" xr:uid="{13B290D7-E40B-4B83-A068-6D6D5CB3CEF3}"/>
    <cellStyle name="Migliaia [0] 57 4 2 2 3" xfId="45581" xr:uid="{57CCB92C-5C44-44E3-9B23-4A7CB3552080}"/>
    <cellStyle name="Migliaia [0] 57 4 2 3" xfId="37628" xr:uid="{35704730-570C-4075-B0A3-5B4DA3850634}"/>
    <cellStyle name="Migliaia [0] 57 4 2 4" xfId="42930" xr:uid="{08453F83-3066-4732-BDCC-2384C9E24207}"/>
    <cellStyle name="Migliaia [0] 57 4 2 5" xfId="17061" xr:uid="{AB283F7D-FEE4-4639-A548-B4F98345B38D}"/>
    <cellStyle name="Migliaia [0] 57 4 3" xfId="6037" xr:uid="{37021624-C8C4-4FF8-BA1E-B1377B32593F}"/>
    <cellStyle name="Migliaia [0] 57 4 3 2" xfId="38341" xr:uid="{55A51F83-DE12-42E7-8F80-A3C7A010D4F7}"/>
    <cellStyle name="Migliaia [0] 57 4 3 3" xfId="43643" xr:uid="{5135D4C6-25C9-4BA6-BA3B-515BBD91C6EB}"/>
    <cellStyle name="Migliaia [0] 57 4 3 4" xfId="32990" xr:uid="{C03D98DE-BF0E-4C8E-804A-F2362333D9BC}"/>
    <cellStyle name="Migliaia [0] 57 4 3 5" xfId="19761" xr:uid="{3CBD71B0-C52E-4DCD-ACFC-0C5E5E846B9F}"/>
    <cellStyle name="Migliaia [0] 57 4 4" xfId="35876" xr:uid="{AADA79D3-441D-4020-A13B-87954630F217}"/>
    <cellStyle name="Migliaia [0] 57 4 5" xfId="40992" xr:uid="{F4FFF58B-466B-4963-B2D9-631CF7E4EF71}"/>
    <cellStyle name="Migliaia [0] 57 4 6" xfId="16003" xr:uid="{F3A9DDDD-41BD-4F9C-8185-EB418AB9D907}"/>
    <cellStyle name="Migliaia [0] 57 4 7" xfId="7816" xr:uid="{92AD8B9D-F242-444D-89EC-550075B7376A}"/>
    <cellStyle name="Migliaia [0] 57 5" xfId="4804" xr:uid="{9CA9186F-1D48-4469-92E4-E90142B6D1E9}"/>
    <cellStyle name="Migliaia [0] 57 5 2" xfId="32991" xr:uid="{D4DEA9B0-8A0E-4C13-8E88-E4EBD1D5C7E3}"/>
    <cellStyle name="Migliaia [0] 57 5 2 2" xfId="38342" xr:uid="{4C6D8F21-CEEC-4142-AB2B-845FD795BB4F}"/>
    <cellStyle name="Migliaia [0] 57 5 2 3" xfId="43644" xr:uid="{E5621FB7-AE9F-4B78-8A83-199FB576EC72}"/>
    <cellStyle name="Migliaia [0] 57 5 3" xfId="35877" xr:uid="{A5542F65-BAC4-4652-AD85-2016EB5B58BA}"/>
    <cellStyle name="Migliaia [0] 57 5 4" xfId="40993" xr:uid="{889C71C6-02DF-49B3-918C-C81CD7A70239}"/>
    <cellStyle name="Migliaia [0] 57 5 5" xfId="17130" xr:uid="{40EC8C96-31CF-4B2B-B5A4-686B5A4A6E65}"/>
    <cellStyle name="Migliaia [0] 57 6" xfId="6034" xr:uid="{3D7EFBEC-E2B2-4B75-965D-BB75CE03351F}"/>
    <cellStyle name="Migliaia [0] 57 6 2" xfId="38338" xr:uid="{FB7832E8-4EEC-4196-9360-C8C2C8E7C54F}"/>
    <cellStyle name="Migliaia [0] 57 6 3" xfId="43640" xr:uid="{85B8E549-FD7E-4B03-B57D-556DE4355F4A}"/>
    <cellStyle name="Migliaia [0] 57 6 4" xfId="32987" xr:uid="{8204FFF5-ACBB-41CC-B2B3-A0ED96CDECD5}"/>
    <cellStyle name="Migliaia [0] 57 6 5" xfId="19757" xr:uid="{E395075F-536E-4EC1-8797-CCDA317545E0}"/>
    <cellStyle name="Migliaia [0] 57 7" xfId="3078" xr:uid="{0B26BB52-6D74-4D2F-A2E6-3EEB3BD45DB3}"/>
    <cellStyle name="Migliaia [0] 57 7 2" xfId="35873" xr:uid="{D760D501-A679-4220-9A67-A394D4034154}"/>
    <cellStyle name="Migliaia [0] 57 8" xfId="40989" xr:uid="{5EF20D85-0629-4362-8656-F1A73E0AC7DC}"/>
    <cellStyle name="Migliaia [0] 57 9" xfId="7037" xr:uid="{2DE01B10-0325-4135-BD0B-F9B4FA657EBE}"/>
    <cellStyle name="Migliaia [0] 58" xfId="295" xr:uid="{00000000-0005-0000-0000-0000A9020000}"/>
    <cellStyle name="Migliaia [0] 58 2" xfId="1640" xr:uid="{00000000-0005-0000-0000-0000AA020000}"/>
    <cellStyle name="Migliaia [0] 58 2 2" xfId="1641" xr:uid="{00000000-0005-0000-0000-0000AB020000}"/>
    <cellStyle name="Migliaia [0] 58 2 2 2" xfId="4811" xr:uid="{776D53D5-5899-429A-80CA-3198C0EC423C}"/>
    <cellStyle name="Migliaia [0] 58 2 2 2 2" xfId="21826" xr:uid="{B8F46DB7-B480-45FA-972E-0E3345F2F98E}"/>
    <cellStyle name="Migliaia [0] 58 2 2 2 3" xfId="48435" xr:uid="{7C78923A-D5AB-492F-886F-8609C6DA8575}"/>
    <cellStyle name="Migliaia [0] 58 2 2 2 4" xfId="50854" xr:uid="{C4692B1C-CCAC-41D5-9BAC-6743D9F5C3A7}"/>
    <cellStyle name="Migliaia [0] 58 2 2 2 5" xfId="53870" xr:uid="{AEA862F1-20F5-4E7F-86C9-07BA532FB18F}"/>
    <cellStyle name="Migliaia [0] 58 2 2 2 6" xfId="11869" xr:uid="{6C8E7D8B-6D1A-470F-84DD-3ECD132D3916}"/>
    <cellStyle name="Migliaia [0] 58 2 2 3" xfId="3085" xr:uid="{C86D34DD-E3DD-4B79-914A-659786E0BE4F}"/>
    <cellStyle name="Migliaia [0] 58 2 2 3 2" xfId="12325" xr:uid="{9F6A7E79-6736-4A9A-8BF8-57A4FE052210}"/>
    <cellStyle name="Migliaia [0] 58 2 2 4" xfId="10723" xr:uid="{9E30A527-AC69-494E-A248-74EEB3B8167A}"/>
    <cellStyle name="Migliaia [0] 58 2 2 4 2" xfId="21358" xr:uid="{C34995E1-D5D5-4739-9898-9E1632431B3F}"/>
    <cellStyle name="Migliaia [0] 58 2 2 4 3" xfId="46198" xr:uid="{033C5DF7-4278-4474-BF40-8B3347F8B9C3}"/>
    <cellStyle name="Migliaia [0] 58 2 2 4 4" xfId="50373" xr:uid="{F6398299-4C38-4308-B444-1C3BF7D4867F}"/>
    <cellStyle name="Migliaia [0] 58 2 2 4 5" xfId="53389" xr:uid="{8D6168D0-AC1A-4E60-BA0D-568DC015302E}"/>
    <cellStyle name="Migliaia [0] 58 2 2 5" xfId="19764" xr:uid="{04B41FF0-F009-4C9A-8180-1D285D519F8A}"/>
    <cellStyle name="Migliaia [0] 58 2 2 6" xfId="24151" xr:uid="{061ED67C-F049-44FD-8A92-BDF7509853CB}"/>
    <cellStyle name="Migliaia [0] 58 2 2 7" xfId="48873" xr:uid="{607C15AE-C73D-4D7B-8696-109B6EBD8EBB}"/>
    <cellStyle name="Migliaia [0] 58 2 2 8" xfId="49779" xr:uid="{F62ECAB7-1D53-4486-A95F-44974C6388A5}"/>
    <cellStyle name="Migliaia [0] 58 2 2 9" xfId="8479" xr:uid="{5E01F12D-F1F8-4F1A-9E14-B55E3C763CAB}"/>
    <cellStyle name="Migliaia [0] 58 2 3" xfId="4810" xr:uid="{54968533-7AE0-45E8-ACC9-C00AC9607A28}"/>
    <cellStyle name="Migliaia [0] 58 2 3 2" xfId="32993" xr:uid="{04FF57CE-936C-42AF-B216-F87CBC2846D6}"/>
    <cellStyle name="Migliaia [0] 58 2 3 2 2" xfId="38344" xr:uid="{460C3AF1-64FA-4A3D-8209-FD4987997562}"/>
    <cellStyle name="Migliaia [0] 58 2 3 2 3" xfId="43646" xr:uid="{D956E85F-BEB0-4C35-9752-175A036D2BBA}"/>
    <cellStyle name="Migliaia [0] 58 2 3 3" xfId="35879" xr:uid="{26413D88-281F-4798-95D5-DBDFF4262633}"/>
    <cellStyle name="Migliaia [0] 58 2 3 4" xfId="40995" xr:uid="{B98501F2-DA4C-4F5F-AFE2-70A67818826E}"/>
    <cellStyle name="Migliaia [0] 58 2 3 5" xfId="11870" xr:uid="{0D5F6965-EF7E-4A65-B76B-9E8DE4948578}"/>
    <cellStyle name="Migliaia [0] 58 2 4" xfId="6039" xr:uid="{7BE0BBDD-9E08-47D4-8BA7-F6678B510173}"/>
    <cellStyle name="Migliaia [0] 58 2 4 2" xfId="19763" xr:uid="{A4038061-056A-4487-B7EA-8D26CC254F6D}"/>
    <cellStyle name="Migliaia [0] 58 2 5" xfId="3084" xr:uid="{CD93F50D-1EBF-4731-902C-A51E31D60490}"/>
    <cellStyle name="Migliaia [0] 58 2 5 2" xfId="24150" xr:uid="{8329D163-4310-43FF-9424-BAADE9F02036}"/>
    <cellStyle name="Migliaia [0] 58 2 6" xfId="7289" xr:uid="{E45F22BD-1695-4413-A67B-2A57CB8C616E}"/>
    <cellStyle name="Migliaia [0] 58 3" xfId="1642" xr:uid="{00000000-0005-0000-0000-0000AC020000}"/>
    <cellStyle name="Migliaia [0] 58 3 2" xfId="4812" xr:uid="{C2CDBF34-AD80-4D88-B1DE-BD295D5F52B5}"/>
    <cellStyle name="Migliaia [0] 58 3 2 2" xfId="18354" xr:uid="{8D9D2312-C18C-40E0-AD13-924F14799C0F}"/>
    <cellStyle name="Migliaia [0] 58 3 2 2 2" xfId="21827" xr:uid="{DA9A5414-9530-42D5-974F-C191FD404158}"/>
    <cellStyle name="Migliaia [0] 58 3 2 2 2 2" xfId="38345" xr:uid="{EEAB9B3D-E80D-4DC8-8976-D7D455C851B4}"/>
    <cellStyle name="Migliaia [0] 58 3 2 2 3" xfId="43647" xr:uid="{A045A39E-48BB-4F61-B14D-0E677B0985E6}"/>
    <cellStyle name="Migliaia [0] 58 3 2 2 4" xfId="32994" xr:uid="{92490D6B-8EF2-4D63-B614-05F53F3AF6EF}"/>
    <cellStyle name="Migliaia [0] 58 3 2 3" xfId="35880" xr:uid="{B4274C3E-EE73-448A-8D8C-D5E95795671A}"/>
    <cellStyle name="Migliaia [0] 58 3 2 4" xfId="40996" xr:uid="{D7BAC788-0FF4-4B87-8E65-AE3AADC3B043}"/>
    <cellStyle name="Migliaia [0] 58 3 2 5" xfId="32436" xr:uid="{2B088D50-8B77-4190-AE26-63546449EEDA}"/>
    <cellStyle name="Migliaia [0] 58 3 2 6" xfId="50855" xr:uid="{BD81C21C-F2BE-4BF9-A78D-7E52F7956710}"/>
    <cellStyle name="Migliaia [0] 58 3 2 7" xfId="53871" xr:uid="{8202B6AC-FB5A-4FA6-B9D2-8B9C8C412FB3}"/>
    <cellStyle name="Migliaia [0] 58 3 2 8" xfId="17630" xr:uid="{622F7841-832A-4772-AAC7-DADA7B658028}"/>
    <cellStyle name="Migliaia [0] 58 3 2 9" xfId="11871" xr:uid="{4CB4A5B1-045C-4CE8-A6A3-2E823E59A12F}"/>
    <cellStyle name="Migliaia [0] 58 3 3" xfId="6040" xr:uid="{B1319965-46CD-44F6-8740-9C7B3E4E2FF8}"/>
    <cellStyle name="Migliaia [0] 58 3 3 2" xfId="11118" xr:uid="{C10E3151-3015-4BD4-98DC-2574605A5146}"/>
    <cellStyle name="Migliaia [0] 58 3 4" xfId="3086" xr:uid="{08F753D8-5EC7-4895-B287-CD3C065F4E48}"/>
    <cellStyle name="Migliaia [0] 58 3 4 2" xfId="21359" xr:uid="{E38C9168-7AB7-4051-9A28-53DD130D9B06}"/>
    <cellStyle name="Migliaia [0] 58 3 4 3" xfId="46199" xr:uid="{399EE4BD-5208-4CCC-AA5D-5FD91218561B}"/>
    <cellStyle name="Migliaia [0] 58 3 4 4" xfId="50374" xr:uid="{5D9EC4A4-2E80-401E-812C-65EF57E0B86A}"/>
    <cellStyle name="Migliaia [0] 58 3 4 5" xfId="53390" xr:uid="{46EFB72F-9502-4BB7-9E41-08D8919EDD17}"/>
    <cellStyle name="Migliaia [0] 58 3 4 6" xfId="10724" xr:uid="{72AFE73C-A38C-43B1-A8B1-88EF9A1332D0}"/>
    <cellStyle name="Migliaia [0] 58 3 5" xfId="19765" xr:uid="{A2074E54-3176-4DCA-B16F-1B60922529DA}"/>
    <cellStyle name="Migliaia [0] 58 3 6" xfId="24152" xr:uid="{11CAD362-0717-4B83-AA7E-FD701F030949}"/>
    <cellStyle name="Migliaia [0] 58 3 7" xfId="8237" xr:uid="{C70563BF-1C3A-4671-B66F-791EC600DE27}"/>
    <cellStyle name="Migliaia [0] 58 4" xfId="3087" xr:uid="{D02DA499-F2E2-48F0-B72C-7C407089A775}"/>
    <cellStyle name="Migliaia [0] 58 4 2" xfId="4813" xr:uid="{F0A8FA95-3E7D-4082-8412-1637A1B8E477}"/>
    <cellStyle name="Migliaia [0] 58 4 2 2" xfId="35122" xr:uid="{B7D89AB6-041A-407A-B384-B0643F387EA5}"/>
    <cellStyle name="Migliaia [0] 58 4 2 2 2" xfId="40280" xr:uid="{6EE119B4-DD1F-470F-B5DC-ABE9ECA03A72}"/>
    <cellStyle name="Migliaia [0] 58 4 2 2 3" xfId="45582" xr:uid="{9B4CB132-1BAC-4955-80CD-798552B23EC2}"/>
    <cellStyle name="Migliaia [0] 58 4 2 3" xfId="37629" xr:uid="{B37D875F-EF61-4842-9FDA-22267DF27FB3}"/>
    <cellStyle name="Migliaia [0] 58 4 2 4" xfId="42931" xr:uid="{BBE631BA-6B86-4879-99D0-6FEFF79F7589}"/>
    <cellStyle name="Migliaia [0] 58 4 2 5" xfId="17062" xr:uid="{CE81E9C2-84B4-48E7-B09C-7194F1A29877}"/>
    <cellStyle name="Migliaia [0] 58 4 3" xfId="6041" xr:uid="{95E10B2C-64C9-41AC-B8F8-200AE4D3AEFA}"/>
    <cellStyle name="Migliaia [0] 58 4 3 2" xfId="38346" xr:uid="{82D642B9-BC59-4DA7-8611-7E769377269D}"/>
    <cellStyle name="Migliaia [0] 58 4 3 3" xfId="43648" xr:uid="{D22A79D7-6801-4E81-B8E8-C130BFB31A55}"/>
    <cellStyle name="Migliaia [0] 58 4 3 4" xfId="32995" xr:uid="{ABC50F1D-D346-47B8-8E48-90B87F7DD48F}"/>
    <cellStyle name="Migliaia [0] 58 4 3 5" xfId="19766" xr:uid="{51302439-6670-4EA4-BC45-2D2025C8FEBC}"/>
    <cellStyle name="Migliaia [0] 58 4 4" xfId="35881" xr:uid="{AEE670A1-979E-4449-9D99-06EC0A4E6403}"/>
    <cellStyle name="Migliaia [0] 58 4 5" xfId="40997" xr:uid="{A00588F6-ADED-442A-859B-BE59DDA5DC58}"/>
    <cellStyle name="Migliaia [0] 58 4 6" xfId="16004" xr:uid="{0D1757CA-9117-45E4-BF02-D183ABCC755D}"/>
    <cellStyle name="Migliaia [0] 58 4 7" xfId="7817" xr:uid="{B1A34E55-A3EC-4A12-A665-0EC9B81DB896}"/>
    <cellStyle name="Migliaia [0] 58 5" xfId="4809" xr:uid="{3149DE35-87CA-4936-9630-FEE6A384A6D4}"/>
    <cellStyle name="Migliaia [0] 58 5 2" xfId="32996" xr:uid="{94E13CCC-A91B-4458-B5FD-1D9213465C10}"/>
    <cellStyle name="Migliaia [0] 58 5 2 2" xfId="38347" xr:uid="{D34B4680-52B2-422F-907C-96FD15A975FA}"/>
    <cellStyle name="Migliaia [0] 58 5 2 3" xfId="43649" xr:uid="{9F68359F-87CC-40CE-B98D-BB5DC4DEB51C}"/>
    <cellStyle name="Migliaia [0] 58 5 3" xfId="35882" xr:uid="{08BAE752-EC07-45BF-BAFF-B5C52D0F551F}"/>
    <cellStyle name="Migliaia [0] 58 5 4" xfId="40998" xr:uid="{E0980773-7D9C-4AAE-9267-DF4111DE9734}"/>
    <cellStyle name="Migliaia [0] 58 5 5" xfId="17131" xr:uid="{8510B7F0-A6B2-482A-B3C9-57EBC88F5D6D}"/>
    <cellStyle name="Migliaia [0] 58 6" xfId="6038" xr:uid="{6800754F-0A58-4557-8046-3705C745A255}"/>
    <cellStyle name="Migliaia [0] 58 6 2" xfId="38343" xr:uid="{C6740151-7CD9-4E65-A807-AA174C1EC716}"/>
    <cellStyle name="Migliaia [0] 58 6 3" xfId="43645" xr:uid="{C3DC571B-650E-4F2F-938F-214588137F42}"/>
    <cellStyle name="Migliaia [0] 58 6 4" xfId="32992" xr:uid="{9FD69186-ED9A-4E85-AA4D-1E0003DBC488}"/>
    <cellStyle name="Migliaia [0] 58 6 5" xfId="19762" xr:uid="{50542E45-6630-4DD4-8CC9-444391D748E3}"/>
    <cellStyle name="Migliaia [0] 58 7" xfId="3083" xr:uid="{DA1B74D2-0738-46AA-99BE-FB9910D24126}"/>
    <cellStyle name="Migliaia [0] 58 7 2" xfId="35878" xr:uid="{D61AA91E-BB60-4F3B-8DA3-CBD703199A93}"/>
    <cellStyle name="Migliaia [0] 58 8" xfId="40994" xr:uid="{6867BED4-2C5E-4DA9-856F-5DB9240FD0A2}"/>
    <cellStyle name="Migliaia [0] 58 9" xfId="7038" xr:uid="{DA8C74B5-99E6-4BE9-9E00-BA86C1070196}"/>
    <cellStyle name="Migliaia [0] 59" xfId="296" xr:uid="{00000000-0005-0000-0000-0000AD020000}"/>
    <cellStyle name="Migliaia [0] 59 2" xfId="1643" xr:uid="{00000000-0005-0000-0000-0000AE020000}"/>
    <cellStyle name="Migliaia [0] 59 2 2" xfId="1644" xr:uid="{00000000-0005-0000-0000-0000AF020000}"/>
    <cellStyle name="Migliaia [0] 59 2 2 2" xfId="4816" xr:uid="{33C5FD98-19B5-460A-9B32-58149E090107}"/>
    <cellStyle name="Migliaia [0] 59 2 2 2 2" xfId="21828" xr:uid="{3346C62F-1AAF-44AB-8E6A-71E057D5B5E8}"/>
    <cellStyle name="Migliaia [0] 59 2 2 2 3" xfId="48101" xr:uid="{071EC8EB-38A9-4BF1-988B-8760BFC6BA5F}"/>
    <cellStyle name="Migliaia [0] 59 2 2 2 4" xfId="50856" xr:uid="{8BDDF599-E03D-4273-8E8F-6E741539B4E5}"/>
    <cellStyle name="Migliaia [0] 59 2 2 2 5" xfId="53872" xr:uid="{F28DAF1A-E0A7-4885-BA3E-FC21EE9221A9}"/>
    <cellStyle name="Migliaia [0] 59 2 2 2 6" xfId="11872" xr:uid="{764B24F7-1B39-4CBA-AF3B-5E1D806805D2}"/>
    <cellStyle name="Migliaia [0] 59 2 2 3" xfId="3090" xr:uid="{670297E0-5EB0-400A-BC46-1C1307F45750}"/>
    <cellStyle name="Migliaia [0] 59 2 2 3 2" xfId="12324" xr:uid="{D941691B-F98B-4CBE-87F4-BBDE56BBFC27}"/>
    <cellStyle name="Migliaia [0] 59 2 2 4" xfId="10725" xr:uid="{A5248827-9354-4B4F-BA98-F3E6BFFE735F}"/>
    <cellStyle name="Migliaia [0] 59 2 2 4 2" xfId="21360" xr:uid="{55817A49-B01B-4E42-B71B-BA8D4F391195}"/>
    <cellStyle name="Migliaia [0] 59 2 2 4 3" xfId="48172" xr:uid="{5F9443E9-BDC4-4965-B74E-4897DCF1B5C3}"/>
    <cellStyle name="Migliaia [0] 59 2 2 4 4" xfId="50375" xr:uid="{1EA38493-AD9A-4555-A510-EC47CD0054A5}"/>
    <cellStyle name="Migliaia [0] 59 2 2 4 5" xfId="53391" xr:uid="{00578300-221C-4B73-80D2-5ABAD0B5B646}"/>
    <cellStyle name="Migliaia [0] 59 2 2 5" xfId="19769" xr:uid="{A9B2BCCF-447E-4F5A-AEEA-A9F91C0553B6}"/>
    <cellStyle name="Migliaia [0] 59 2 2 6" xfId="24154" xr:uid="{D23158B2-7113-429F-BF76-C2D121E445A5}"/>
    <cellStyle name="Migliaia [0] 59 2 2 7" xfId="48874" xr:uid="{4CD39096-95CA-408D-B4D3-3E8FEEC9FAE3}"/>
    <cellStyle name="Migliaia [0] 59 2 2 8" xfId="49780" xr:uid="{5007FDDA-5328-48BA-BCAD-3B5803C4294B}"/>
    <cellStyle name="Migliaia [0] 59 2 2 9" xfId="8480" xr:uid="{961A8954-3377-4461-9706-1C4D8CF1388C}"/>
    <cellStyle name="Migliaia [0] 59 2 3" xfId="4815" xr:uid="{71F6711F-25E0-42D8-A95F-D229288203FD}"/>
    <cellStyle name="Migliaia [0] 59 2 3 2" xfId="32998" xr:uid="{C790D5BB-1649-4037-BE9E-846C4BE45419}"/>
    <cellStyle name="Migliaia [0] 59 2 3 2 2" xfId="38349" xr:uid="{3C3876AB-27C8-4D0D-97C2-49E854B87DAE}"/>
    <cellStyle name="Migliaia [0] 59 2 3 2 3" xfId="43651" xr:uid="{F32A3D3E-A61B-4B44-8ADB-96C66D9F609D}"/>
    <cellStyle name="Migliaia [0] 59 2 3 3" xfId="35884" xr:uid="{EC7A11FB-9C2A-4CE2-A1A2-A5634980A642}"/>
    <cellStyle name="Migliaia [0] 59 2 3 4" xfId="41000" xr:uid="{25F6CFBE-F649-45EB-B82C-9DF2AB40C062}"/>
    <cellStyle name="Migliaia [0] 59 2 3 5" xfId="11873" xr:uid="{29B6A43B-AF2B-48E2-AA09-A83C8EAB0D71}"/>
    <cellStyle name="Migliaia [0] 59 2 4" xfId="6043" xr:uid="{BC034600-EB98-412C-ACC9-BFDD02587706}"/>
    <cellStyle name="Migliaia [0] 59 2 4 2" xfId="19768" xr:uid="{70DF3DA9-F812-4909-A7A7-28BA96DC4415}"/>
    <cellStyle name="Migliaia [0] 59 2 5" xfId="3089" xr:uid="{F4B9DAEF-D9A9-4586-A567-BB64EE875908}"/>
    <cellStyle name="Migliaia [0] 59 2 5 2" xfId="24153" xr:uid="{6CC7C420-7937-4462-8FC4-9D1B446BAC39}"/>
    <cellStyle name="Migliaia [0] 59 2 6" xfId="7290" xr:uid="{A6C97C71-A2DC-4F1A-8937-10C1C07B2710}"/>
    <cellStyle name="Migliaia [0] 59 3" xfId="1645" xr:uid="{00000000-0005-0000-0000-0000B0020000}"/>
    <cellStyle name="Migliaia [0] 59 3 2" xfId="4817" xr:uid="{EB9817E4-1086-4664-B73E-B58E57CA1FBA}"/>
    <cellStyle name="Migliaia [0] 59 3 2 2" xfId="18355" xr:uid="{3CE4E538-A511-4ACB-99B5-61CAB387D321}"/>
    <cellStyle name="Migliaia [0] 59 3 2 2 2" xfId="21829" xr:uid="{9E57064E-EF08-4701-BEA1-B351793FC619}"/>
    <cellStyle name="Migliaia [0] 59 3 2 2 2 2" xfId="38350" xr:uid="{06A86793-D0A7-4464-B58E-98B54512DCBF}"/>
    <cellStyle name="Migliaia [0] 59 3 2 2 3" xfId="43652" xr:uid="{06E8CA95-F675-4707-A9CA-96B839D53785}"/>
    <cellStyle name="Migliaia [0] 59 3 2 2 4" xfId="32999" xr:uid="{82CE9F1E-9E38-4814-BA8D-C2709370B014}"/>
    <cellStyle name="Migliaia [0] 59 3 2 3" xfId="35885" xr:uid="{7C9CB7C5-6EB8-45DD-B436-F4B18D1730E3}"/>
    <cellStyle name="Migliaia [0] 59 3 2 4" xfId="41001" xr:uid="{5E692BB5-A193-486D-ABF2-EAE4B189C9E2}"/>
    <cellStyle name="Migliaia [0] 59 3 2 5" xfId="48331" xr:uid="{16C797D5-B518-4E1E-A7BD-D3F5D017602E}"/>
    <cellStyle name="Migliaia [0] 59 3 2 6" xfId="50857" xr:uid="{3F8AD34B-1107-46E9-BC1F-00E1E96B2146}"/>
    <cellStyle name="Migliaia [0] 59 3 2 7" xfId="53873" xr:uid="{E1DA514F-23E2-4B7C-A818-F994E65F0651}"/>
    <cellStyle name="Migliaia [0] 59 3 2 8" xfId="17631" xr:uid="{C1348997-770A-45B9-97F6-DD8815B01B37}"/>
    <cellStyle name="Migliaia [0] 59 3 2 9" xfId="11874" xr:uid="{BDC8CFE3-C7C2-4729-B8E5-5E6851E2E9A4}"/>
    <cellStyle name="Migliaia [0] 59 3 3" xfId="6044" xr:uid="{B52BFB1A-28E7-417A-8CCF-1E007ADAF3FF}"/>
    <cellStyle name="Migliaia [0] 59 3 3 2" xfId="12364" xr:uid="{4938FAC0-E8F0-4502-8BF8-305BDD7757BB}"/>
    <cellStyle name="Migliaia [0] 59 3 4" xfId="3091" xr:uid="{4BDC48B6-5B27-4D1A-AEF8-52FAA4229BE3}"/>
    <cellStyle name="Migliaia [0] 59 3 4 2" xfId="21361" xr:uid="{E67C9B07-EB88-495A-9DBA-4CBFD43B4EFF}"/>
    <cellStyle name="Migliaia [0] 59 3 4 3" xfId="35978" xr:uid="{7FE0FBD3-1298-4F7C-A0A3-53A81EAA9EAD}"/>
    <cellStyle name="Migliaia [0] 59 3 4 4" xfId="50376" xr:uid="{6A5DA285-9157-4F55-8DDC-14B5E9E7062C}"/>
    <cellStyle name="Migliaia [0] 59 3 4 5" xfId="53392" xr:uid="{08921868-2E63-4F76-B790-89F08CDF6A40}"/>
    <cellStyle name="Migliaia [0] 59 3 4 6" xfId="10726" xr:uid="{D3F1F05B-DCD6-4DBA-B2F5-BE635A7B1DF8}"/>
    <cellStyle name="Migliaia [0] 59 3 5" xfId="19770" xr:uid="{C3A6737F-188E-4621-B3EC-86B78A5966C6}"/>
    <cellStyle name="Migliaia [0] 59 3 6" xfId="24155" xr:uid="{D5923145-E9B9-4B6A-A259-A0E30F104938}"/>
    <cellStyle name="Migliaia [0] 59 3 7" xfId="8238" xr:uid="{97234D1A-FDEE-4D10-AF93-F61D6F9A1AAD}"/>
    <cellStyle name="Migliaia [0] 59 4" xfId="3092" xr:uid="{74607B56-75B4-41D7-8722-27D5621E1CAE}"/>
    <cellStyle name="Migliaia [0] 59 4 2" xfId="4818" xr:uid="{80C400A6-B90A-4204-81B7-730CEFEC2390}"/>
    <cellStyle name="Migliaia [0] 59 4 2 2" xfId="35123" xr:uid="{AF167865-94FD-4B13-A43A-28844A2F0C4B}"/>
    <cellStyle name="Migliaia [0] 59 4 2 2 2" xfId="40281" xr:uid="{0D7D05FA-E367-49C5-A634-209E3EC71FB8}"/>
    <cellStyle name="Migliaia [0] 59 4 2 2 3" xfId="45583" xr:uid="{147369F3-86C2-4332-8A92-D757EEE4E259}"/>
    <cellStyle name="Migliaia [0] 59 4 2 3" xfId="37630" xr:uid="{12015804-D70C-46A7-B73E-E183154E466A}"/>
    <cellStyle name="Migliaia [0] 59 4 2 4" xfId="42932" xr:uid="{E718DC67-5E1F-4D51-BAF5-74BE23737228}"/>
    <cellStyle name="Migliaia [0] 59 4 2 5" xfId="17063" xr:uid="{4DC4B956-2571-49A6-AFFE-B2EFC58FB3DF}"/>
    <cellStyle name="Migliaia [0] 59 4 3" xfId="6045" xr:uid="{20CC54EB-6DED-476B-A13A-33EE0E996F19}"/>
    <cellStyle name="Migliaia [0] 59 4 3 2" xfId="38351" xr:uid="{A19DF8F5-703A-4B8A-8D91-FB4832B27D5D}"/>
    <cellStyle name="Migliaia [0] 59 4 3 3" xfId="43653" xr:uid="{16C8B3FF-6C09-4606-A1F3-F301D4B9653B}"/>
    <cellStyle name="Migliaia [0] 59 4 3 4" xfId="33000" xr:uid="{E55C34B8-4A5C-4286-8AEC-300F729FFCD7}"/>
    <cellStyle name="Migliaia [0] 59 4 3 5" xfId="19771" xr:uid="{3585605B-7E01-4F44-9F51-9EC189AEA3CE}"/>
    <cellStyle name="Migliaia [0] 59 4 4" xfId="35886" xr:uid="{D6CFF758-1A1F-421E-9812-E8FBDD192198}"/>
    <cellStyle name="Migliaia [0] 59 4 5" xfId="41002" xr:uid="{EDFDAEEF-06DC-486A-856A-F03A4B5542C5}"/>
    <cellStyle name="Migliaia [0] 59 4 6" xfId="16005" xr:uid="{1044268F-CD29-410F-9958-2FBAD86F740D}"/>
    <cellStyle name="Migliaia [0] 59 4 7" xfId="7818" xr:uid="{E95536B1-3698-4EAA-A99B-B23BA7645F60}"/>
    <cellStyle name="Migliaia [0] 59 5" xfId="4814" xr:uid="{E3ACD634-6BB8-4A42-A021-E00918023DEF}"/>
    <cellStyle name="Migliaia [0] 59 5 2" xfId="33001" xr:uid="{6BDCE75B-5CF3-4DD6-ACA7-E118699655FC}"/>
    <cellStyle name="Migliaia [0] 59 5 2 2" xfId="38352" xr:uid="{DF40A019-F86D-4D40-8E8D-3DAE5DF18940}"/>
    <cellStyle name="Migliaia [0] 59 5 2 3" xfId="43654" xr:uid="{C3E2CB71-0723-470C-9E3C-71F99930B869}"/>
    <cellStyle name="Migliaia [0] 59 5 3" xfId="35887" xr:uid="{BB8FC5F1-149F-44C0-ADD0-7CF8E475D318}"/>
    <cellStyle name="Migliaia [0] 59 5 4" xfId="41003" xr:uid="{FA05C8C6-2F13-48E6-8F86-81CBFA424202}"/>
    <cellStyle name="Migliaia [0] 59 5 5" xfId="17132" xr:uid="{50D5B9F6-6DE9-43E3-AB0A-96F17E5846FA}"/>
    <cellStyle name="Migliaia [0] 59 6" xfId="6042" xr:uid="{24A8B4F7-5C46-439A-BE01-A146F1C5384A}"/>
    <cellStyle name="Migliaia [0] 59 6 2" xfId="38348" xr:uid="{F47A5D04-BAAA-4147-BBCD-249E0137C68E}"/>
    <cellStyle name="Migliaia [0] 59 6 3" xfId="43650" xr:uid="{84461FCD-D445-4982-A8FC-74C8AB821110}"/>
    <cellStyle name="Migliaia [0] 59 6 4" xfId="32997" xr:uid="{D3BD00FF-22C7-42AD-B8D1-D5C737EE367C}"/>
    <cellStyle name="Migliaia [0] 59 6 5" xfId="19767" xr:uid="{897C3390-1878-4A49-B90A-B8CA09DDB29B}"/>
    <cellStyle name="Migliaia [0] 59 7" xfId="3088" xr:uid="{0C50AC25-51E0-4A2F-85C2-9FFC90D3ECB4}"/>
    <cellStyle name="Migliaia [0] 59 7 2" xfId="35883" xr:uid="{A9898DA6-326C-4C99-A5C6-EC5ABE3025B8}"/>
    <cellStyle name="Migliaia [0] 59 8" xfId="40999" xr:uid="{A26FF09E-0BFD-4A6F-B5EC-631B582C405F}"/>
    <cellStyle name="Migliaia [0] 59 9" xfId="7039" xr:uid="{50658F4A-8F87-4532-A50B-7BB96611062C}"/>
    <cellStyle name="Migliaia [0] 6" xfId="297" xr:uid="{00000000-0005-0000-0000-0000B1020000}"/>
    <cellStyle name="Migliaia [0] 6 2" xfId="1646" xr:uid="{00000000-0005-0000-0000-0000B2020000}"/>
    <cellStyle name="Migliaia [0] 6 2 2" xfId="1647" xr:uid="{00000000-0005-0000-0000-0000B3020000}"/>
    <cellStyle name="Migliaia [0] 6 2 2 2" xfId="4821" xr:uid="{FF5AD1E6-BF59-4926-860A-A6AF43F6EDD7}"/>
    <cellStyle name="Migliaia [0] 6 2 2 2 2" xfId="21830" xr:uid="{985DD9CA-4663-4CF5-8A6E-3CE536199F53}"/>
    <cellStyle name="Migliaia [0] 6 2 2 2 3" xfId="47710" xr:uid="{825903D6-FFFF-4382-8AE5-6E36716DC031}"/>
    <cellStyle name="Migliaia [0] 6 2 2 2 4" xfId="50858" xr:uid="{46FD46A1-3430-4B6E-86F3-A1D99547107F}"/>
    <cellStyle name="Migliaia [0] 6 2 2 2 5" xfId="53874" xr:uid="{EF9B4486-83C5-43F8-913F-F6E26C0829E0}"/>
    <cellStyle name="Migliaia [0] 6 2 2 2 6" xfId="11875" xr:uid="{33CB4D07-F94D-4F85-816B-C673DF34C52B}"/>
    <cellStyle name="Migliaia [0] 6 2 2 3" xfId="3095" xr:uid="{88769076-2B97-4D93-A1B7-1FD5D4A4DE80}"/>
    <cellStyle name="Migliaia [0] 6 2 2 3 2" xfId="12323" xr:uid="{57DA90E9-6C75-471E-B67D-7B6B46DF61B4}"/>
    <cellStyle name="Migliaia [0] 6 2 2 4" xfId="10727" xr:uid="{836DC3A4-1203-4912-B5EF-161E620BC906}"/>
    <cellStyle name="Migliaia [0] 6 2 2 4 2" xfId="21362" xr:uid="{EE3122E3-8A24-4919-B6B5-843DCB329708}"/>
    <cellStyle name="Migliaia [0] 6 2 2 4 3" xfId="46200" xr:uid="{A9A65261-3241-4A86-9C05-03525C23DBBA}"/>
    <cellStyle name="Migliaia [0] 6 2 2 4 4" xfId="50377" xr:uid="{CD5E948A-6C49-44EC-AA99-FF1459A7B070}"/>
    <cellStyle name="Migliaia [0] 6 2 2 4 5" xfId="53393" xr:uid="{A3A4BEF0-A69E-4BB1-A81A-B785C27A69F2}"/>
    <cellStyle name="Migliaia [0] 6 2 2 5" xfId="19774" xr:uid="{F9091FA5-3043-4DB3-82D0-49C63E4DD0CC}"/>
    <cellStyle name="Migliaia [0] 6 2 2 6" xfId="24159" xr:uid="{8A33E2F2-B4AE-41B1-99F4-B6F2ECED124B}"/>
    <cellStyle name="Migliaia [0] 6 2 2 7" xfId="48875" xr:uid="{2928278A-EA75-4438-88DB-C0F8914C78D5}"/>
    <cellStyle name="Migliaia [0] 6 2 2 8" xfId="49781" xr:uid="{A3620AA8-3664-4566-B281-95CD4B26EF4F}"/>
    <cellStyle name="Migliaia [0] 6 2 2 9" xfId="8481" xr:uid="{03E88658-21F0-4CC9-94F0-7FF4691AFD41}"/>
    <cellStyle name="Migliaia [0] 6 2 3" xfId="4820" xr:uid="{07119281-F52E-4B61-B6B8-6853C39659D0}"/>
    <cellStyle name="Migliaia [0] 6 2 3 2" xfId="33003" xr:uid="{83F92554-EEAD-4F66-A23A-C2C455DC45D7}"/>
    <cellStyle name="Migliaia [0] 6 2 3 2 2" xfId="38354" xr:uid="{2447B25D-6CA8-4437-B900-F5A9EEE5DA77}"/>
    <cellStyle name="Migliaia [0] 6 2 3 2 3" xfId="43656" xr:uid="{EBAE7F4B-6227-4C18-898A-77286AA8A9CA}"/>
    <cellStyle name="Migliaia [0] 6 2 3 3" xfId="35889" xr:uid="{3FF88BE8-815E-4764-BB2B-11F80EFBD51F}"/>
    <cellStyle name="Migliaia [0] 6 2 3 4" xfId="41005" xr:uid="{588F4A87-26C1-4CC1-B4AD-D256F223D5D6}"/>
    <cellStyle name="Migliaia [0] 6 2 3 5" xfId="11876" xr:uid="{4A8DB07B-63E6-4A5D-92D3-8239ACE098B0}"/>
    <cellStyle name="Migliaia [0] 6 2 4" xfId="6047" xr:uid="{6E5A1789-70C8-4D16-96A1-50B74A305560}"/>
    <cellStyle name="Migliaia [0] 6 2 4 2" xfId="19773" xr:uid="{89AA7129-FD4F-4871-B37F-B99E62F9A2CA}"/>
    <cellStyle name="Migliaia [0] 6 2 5" xfId="3094" xr:uid="{B036836A-83C9-48FA-9A4A-5D3972FC7101}"/>
    <cellStyle name="Migliaia [0] 6 2 5 2" xfId="24158" xr:uid="{AB51A166-7344-441D-B7E9-3FC3EB324A4E}"/>
    <cellStyle name="Migliaia [0] 6 2 6" xfId="7291" xr:uid="{3E9E49E6-3582-44F1-B9B5-68D63289066C}"/>
    <cellStyle name="Migliaia [0] 6 3" xfId="1648" xr:uid="{00000000-0005-0000-0000-0000B4020000}"/>
    <cellStyle name="Migliaia [0] 6 3 2" xfId="4822" xr:uid="{7E9DC6DA-73D6-44AA-AFAE-9AFAD5309075}"/>
    <cellStyle name="Migliaia [0] 6 3 2 2" xfId="18356" xr:uid="{84D1C199-DA33-4A14-931F-C9BE71869D8E}"/>
    <cellStyle name="Migliaia [0] 6 3 2 2 2" xfId="21831" xr:uid="{B6A40EFC-FB4B-4CDC-9792-147C311C7D32}"/>
    <cellStyle name="Migliaia [0] 6 3 2 2 2 2" xfId="38355" xr:uid="{A1FCF414-87EA-47B9-8C14-7AEE3FFA91D0}"/>
    <cellStyle name="Migliaia [0] 6 3 2 2 3" xfId="43657" xr:uid="{A4554BBB-8986-4554-BB87-345F7A034225}"/>
    <cellStyle name="Migliaia [0] 6 3 2 2 4" xfId="33004" xr:uid="{C2DF3B31-6EBC-446C-82EB-0E4B95CCEA4B}"/>
    <cellStyle name="Migliaia [0] 6 3 2 3" xfId="35890" xr:uid="{D3878B8E-A183-4AFB-9DB3-C3F5826F725D}"/>
    <cellStyle name="Migliaia [0] 6 3 2 4" xfId="41006" xr:uid="{C42C5208-5CF7-4C37-A818-12BE783D4871}"/>
    <cellStyle name="Migliaia [0] 6 3 2 5" xfId="46296" xr:uid="{93F5301C-42B4-4FE9-9042-6AD3B97B8F2C}"/>
    <cellStyle name="Migliaia [0] 6 3 2 6" xfId="50859" xr:uid="{74B83789-6E98-485D-A56E-B28996A9260F}"/>
    <cellStyle name="Migliaia [0] 6 3 2 7" xfId="53875" xr:uid="{3BE108F2-F6F9-4784-BFC9-E52B0A7A0645}"/>
    <cellStyle name="Migliaia [0] 6 3 2 8" xfId="17632" xr:uid="{87434F8E-64AB-4EAB-A6CA-1AB9071A9134}"/>
    <cellStyle name="Migliaia [0] 6 3 2 9" xfId="11877" xr:uid="{6643665E-86D7-4FCF-8F2D-45978C4E4F25}"/>
    <cellStyle name="Migliaia [0] 6 3 3" xfId="6048" xr:uid="{0317DC0F-AC0C-4EE0-A856-82BCF9EAC3FE}"/>
    <cellStyle name="Migliaia [0] 6 3 3 2" xfId="12363" xr:uid="{BFA10650-B349-4B61-BB7E-0ADE332931F7}"/>
    <cellStyle name="Migliaia [0] 6 3 4" xfId="3096" xr:uid="{C4071D29-EBE0-4E0C-9B02-F64AA92CBDC6}"/>
    <cellStyle name="Migliaia [0] 6 3 4 2" xfId="21363" xr:uid="{99DB898F-0317-4939-907E-6784203184AA}"/>
    <cellStyle name="Migliaia [0] 6 3 4 3" xfId="47072" xr:uid="{805E58AC-5E42-4912-BD7D-27776B5CE78E}"/>
    <cellStyle name="Migliaia [0] 6 3 4 4" xfId="50378" xr:uid="{CD1C68D4-35EA-4912-A69B-EE3AF939767A}"/>
    <cellStyle name="Migliaia [0] 6 3 4 5" xfId="53394" xr:uid="{3275830C-49CD-4029-B1B1-39190A186741}"/>
    <cellStyle name="Migliaia [0] 6 3 4 6" xfId="10728" xr:uid="{2D80C08C-AA56-4131-8746-BC39BBA78DAC}"/>
    <cellStyle name="Migliaia [0] 6 3 5" xfId="19775" xr:uid="{506F6968-55FF-440E-A756-A8CC50F122CA}"/>
    <cellStyle name="Migliaia [0] 6 3 6" xfId="24161" xr:uid="{DCEE9CB8-4FD1-449F-9A0E-6DF7958DAED2}"/>
    <cellStyle name="Migliaia [0] 6 3 7" xfId="8239" xr:uid="{0C866B08-9463-4FB7-B1F0-0E357FA91B22}"/>
    <cellStyle name="Migliaia [0] 6 4" xfId="3097" xr:uid="{6FE6AD64-0378-4351-B73D-F471E98294AF}"/>
    <cellStyle name="Migliaia [0] 6 4 2" xfId="4823" xr:uid="{C738CE35-7D29-4F54-B19D-AE4AB19913A7}"/>
    <cellStyle name="Migliaia [0] 6 4 2 2" xfId="35124" xr:uid="{A509F258-C842-4E1A-A1C8-323F3B10CA14}"/>
    <cellStyle name="Migliaia [0] 6 4 2 2 2" xfId="40282" xr:uid="{084461FA-EE20-4238-A509-0CAEA9D4356C}"/>
    <cellStyle name="Migliaia [0] 6 4 2 2 3" xfId="45584" xr:uid="{6D0BC7EC-C841-4116-8A46-3E9931610A2A}"/>
    <cellStyle name="Migliaia [0] 6 4 2 3" xfId="37631" xr:uid="{1E72F787-4553-4F98-8ADF-321EF10E6622}"/>
    <cellStyle name="Migliaia [0] 6 4 2 4" xfId="42933" xr:uid="{51B9C8DC-D1BD-47E6-AF52-DEF1A13078AB}"/>
    <cellStyle name="Migliaia [0] 6 4 2 5" xfId="17064" xr:uid="{6F4E5A48-E525-4DB8-ACBA-D03E9064D8BC}"/>
    <cellStyle name="Migliaia [0] 6 4 3" xfId="6049" xr:uid="{AC863FE8-FF82-49F9-9828-D7A33A4C7C31}"/>
    <cellStyle name="Migliaia [0] 6 4 3 2" xfId="38356" xr:uid="{4E7168E2-FB30-463A-BE5C-7740C060E828}"/>
    <cellStyle name="Migliaia [0] 6 4 3 3" xfId="43658" xr:uid="{C70F8A95-58B9-4B10-9FD8-75D9E5C2B00B}"/>
    <cellStyle name="Migliaia [0] 6 4 3 4" xfId="33005" xr:uid="{B239F9F9-A093-4A90-9AC4-685EB0A06CFC}"/>
    <cellStyle name="Migliaia [0] 6 4 3 5" xfId="19776" xr:uid="{4A4A9D09-CF3E-41C8-B624-A7893C14144C}"/>
    <cellStyle name="Migliaia [0] 6 4 4" xfId="35891" xr:uid="{DCF1788D-20D1-472D-9C1D-38364D6129A3}"/>
    <cellStyle name="Migliaia [0] 6 4 5" xfId="41007" xr:uid="{3AD16752-56AA-4F4B-85C7-2A57FFA3ECD6}"/>
    <cellStyle name="Migliaia [0] 6 4 6" xfId="16006" xr:uid="{97A4223E-6AB8-43D1-98A9-9E83C61A851B}"/>
    <cellStyle name="Migliaia [0] 6 4 7" xfId="7819" xr:uid="{84F2DAA4-1D7E-474A-8B34-A01BF338A6CF}"/>
    <cellStyle name="Migliaia [0] 6 5" xfId="4819" xr:uid="{34ACB464-23E0-4A92-B6DB-E45AE5B36925}"/>
    <cellStyle name="Migliaia [0] 6 5 2" xfId="33006" xr:uid="{530BCBDA-FB26-495A-8749-401834A39AE1}"/>
    <cellStyle name="Migliaia [0] 6 5 2 2" xfId="38357" xr:uid="{CF456DE0-5BEE-4169-8FE5-CEC6A5719A17}"/>
    <cellStyle name="Migliaia [0] 6 5 2 3" xfId="43659" xr:uid="{2F25991D-2090-4CC5-87E1-5E2CC2F4C075}"/>
    <cellStyle name="Migliaia [0] 6 5 3" xfId="35892" xr:uid="{6A6C0E28-DE07-4B36-889D-D615E0EE7EA3}"/>
    <cellStyle name="Migliaia [0] 6 5 4" xfId="41008" xr:uid="{662BA6A0-1488-49CE-A526-803C5F71F5B5}"/>
    <cellStyle name="Migliaia [0] 6 5 5" xfId="17133" xr:uid="{EA2F9F99-A5B4-4736-B303-C7F85F226D37}"/>
    <cellStyle name="Migliaia [0] 6 6" xfId="6046" xr:uid="{B1A0424C-8D6F-44D8-AD14-84D4B0537A13}"/>
    <cellStyle name="Migliaia [0] 6 6 2" xfId="38353" xr:uid="{E44F0F06-9C04-4470-A98A-E493DC8B483A}"/>
    <cellStyle name="Migliaia [0] 6 6 3" xfId="43655" xr:uid="{AB706C5F-9579-4C37-8AD0-2C03BCCFD2FC}"/>
    <cellStyle name="Migliaia [0] 6 6 4" xfId="33002" xr:uid="{0446C9C7-B98E-4AC0-9B7A-8101C408741D}"/>
    <cellStyle name="Migliaia [0] 6 6 5" xfId="19772" xr:uid="{B237526B-C920-4ACA-8896-A8DD052400C9}"/>
    <cellStyle name="Migliaia [0] 6 7" xfId="3093" xr:uid="{970D0782-8B41-4CA2-8EE1-02BAFF50D160}"/>
    <cellStyle name="Migliaia [0] 6 7 2" xfId="35888" xr:uid="{4250154D-A1B1-4799-A927-D748E4C662D2}"/>
    <cellStyle name="Migliaia [0] 6 8" xfId="41004" xr:uid="{542A35E1-8B48-4969-8B05-31C03968993E}"/>
    <cellStyle name="Migliaia [0] 6 9" xfId="7040" xr:uid="{07F0BB81-AD39-4273-A61C-88EBB03E33F5}"/>
    <cellStyle name="Migliaia [0] 7" xfId="298" xr:uid="{00000000-0005-0000-0000-0000B5020000}"/>
    <cellStyle name="Migliaia [0] 7 2" xfId="1649" xr:uid="{00000000-0005-0000-0000-0000B6020000}"/>
    <cellStyle name="Migliaia [0] 7 2 2" xfId="1650" xr:uid="{00000000-0005-0000-0000-0000B7020000}"/>
    <cellStyle name="Migliaia [0] 7 2 2 2" xfId="4826" xr:uid="{3A230641-9A52-4047-B624-C50A6C2658C9}"/>
    <cellStyle name="Migliaia [0] 7 2 2 2 2" xfId="21832" xr:uid="{E64E36A0-4CAD-42AC-BFD0-500FF337CD4D}"/>
    <cellStyle name="Migliaia [0] 7 2 2 2 3" xfId="46297" xr:uid="{DB0A6D25-C44B-41B5-AB72-387B499E67BF}"/>
    <cellStyle name="Migliaia [0] 7 2 2 2 4" xfId="50860" xr:uid="{4D323808-1AD6-405C-A250-5965F029CC4D}"/>
    <cellStyle name="Migliaia [0] 7 2 2 2 5" xfId="53876" xr:uid="{CF36B1BC-8B41-41F9-A5C9-578ACB66A82E}"/>
    <cellStyle name="Migliaia [0] 7 2 2 2 6" xfId="11878" xr:uid="{B49315C7-B81B-48F9-AE71-58B46AD7059D}"/>
    <cellStyle name="Migliaia [0] 7 2 2 3" xfId="3100" xr:uid="{1285F521-5119-45F3-9B09-FE0AE282ED90}"/>
    <cellStyle name="Migliaia [0] 7 2 2 3 2" xfId="11679" xr:uid="{5FEE2D2D-107E-4B2B-B76E-EE3331D49C28}"/>
    <cellStyle name="Migliaia [0] 7 2 2 4" xfId="10729" xr:uid="{CB502C9C-90E6-4564-997D-96A79F80B47E}"/>
    <cellStyle name="Migliaia [0] 7 2 2 4 2" xfId="21364" xr:uid="{C0287757-834B-415A-BF4F-DCE36D1FDAE8}"/>
    <cellStyle name="Migliaia [0] 7 2 2 4 3" xfId="46201" xr:uid="{8CD23A32-6854-46D5-9AFD-A69E5A6866B6}"/>
    <cellStyle name="Migliaia [0] 7 2 2 4 4" xfId="50379" xr:uid="{0CA7837D-3A77-4431-99BD-B4DAD2E74894}"/>
    <cellStyle name="Migliaia [0] 7 2 2 4 5" xfId="53395" xr:uid="{DBCD65CC-6061-4267-B215-4759FAD9DF35}"/>
    <cellStyle name="Migliaia [0] 7 2 2 5" xfId="19779" xr:uid="{D08B5603-21A6-4744-8D42-38D51C2E6D71}"/>
    <cellStyle name="Migliaia [0] 7 2 2 6" xfId="24167" xr:uid="{A8B4864A-2645-42CA-A80C-CEC81EF1B2C9}"/>
    <cellStyle name="Migliaia [0] 7 2 2 7" xfId="48876" xr:uid="{7AA684FD-04AB-43C1-A191-D3D0224AFBD4}"/>
    <cellStyle name="Migliaia [0] 7 2 2 8" xfId="49782" xr:uid="{617434F1-4C55-43CE-B417-3A9DF26DBCD6}"/>
    <cellStyle name="Migliaia [0] 7 2 2 9" xfId="8482" xr:uid="{737E5244-1C0A-4442-8ED9-3ED735421684}"/>
    <cellStyle name="Migliaia [0] 7 2 3" xfId="4825" xr:uid="{30DB4908-B790-40A6-8735-F2E75985CFBD}"/>
    <cellStyle name="Migliaia [0] 7 2 3 2" xfId="33008" xr:uid="{6C737C9D-C4C7-423F-9A42-7CAF30B22DA9}"/>
    <cellStyle name="Migliaia [0] 7 2 3 2 2" xfId="38359" xr:uid="{C762AD10-C481-4AFD-AA38-E8952B84FF67}"/>
    <cellStyle name="Migliaia [0] 7 2 3 2 3" xfId="43661" xr:uid="{1C591BFA-1001-45A4-A3AC-7CDA0B7ED2BD}"/>
    <cellStyle name="Migliaia [0] 7 2 3 3" xfId="35894" xr:uid="{8E9B994E-1540-42D4-BC3D-E5A5E8524B25}"/>
    <cellStyle name="Migliaia [0] 7 2 3 4" xfId="41010" xr:uid="{CC0D9EFC-761B-4E40-A882-0313D49565DA}"/>
    <cellStyle name="Migliaia [0] 7 2 3 5" xfId="11879" xr:uid="{8924A4FB-31F8-48CD-B7ED-5B0B21E6B6A7}"/>
    <cellStyle name="Migliaia [0] 7 2 4" xfId="6051" xr:uid="{E0C8543D-CE12-485D-94A1-4EFE78497198}"/>
    <cellStyle name="Migliaia [0] 7 2 4 2" xfId="19778" xr:uid="{ED16BCBF-00C9-4F10-A458-D987565CF2B8}"/>
    <cellStyle name="Migliaia [0] 7 2 5" xfId="3099" xr:uid="{314EBA8D-5665-44F2-B50A-D71B73D77714}"/>
    <cellStyle name="Migliaia [0] 7 2 5 2" xfId="24166" xr:uid="{5761338A-2170-4A14-8E3D-4988DF5F9E1F}"/>
    <cellStyle name="Migliaia [0] 7 2 6" xfId="7292" xr:uid="{54487EC0-06E0-470B-BEB3-D5CD957A1898}"/>
    <cellStyle name="Migliaia [0] 7 3" xfId="1651" xr:uid="{00000000-0005-0000-0000-0000B8020000}"/>
    <cellStyle name="Migliaia [0] 7 3 2" xfId="4827" xr:uid="{5991A37A-BC88-4FE1-A1EA-DDBCAE813419}"/>
    <cellStyle name="Migliaia [0] 7 3 2 2" xfId="18357" xr:uid="{FC614E08-0756-48E9-9A69-5B7100EE203C}"/>
    <cellStyle name="Migliaia [0] 7 3 2 2 2" xfId="21833" xr:uid="{9DA38163-4D86-4F49-8E22-374571CA2CA5}"/>
    <cellStyle name="Migliaia [0] 7 3 2 2 2 2" xfId="38360" xr:uid="{206FE0C2-B469-456A-9688-CD0CE0C86AF3}"/>
    <cellStyle name="Migliaia [0] 7 3 2 2 3" xfId="43662" xr:uid="{30AAA158-8441-4E33-AE9E-2B19A328C7D5}"/>
    <cellStyle name="Migliaia [0] 7 3 2 2 4" xfId="33009" xr:uid="{5C6AF449-CE22-43DD-82AC-55C74646DB0A}"/>
    <cellStyle name="Migliaia [0] 7 3 2 3" xfId="35895" xr:uid="{D07BF74B-AAA4-45CB-B4DF-1EE09C95A402}"/>
    <cellStyle name="Migliaia [0] 7 3 2 4" xfId="41011" xr:uid="{5084AEE2-8FF8-4102-9B20-928C1C6C9B3B}"/>
    <cellStyle name="Migliaia [0] 7 3 2 5" xfId="36321" xr:uid="{1C15DD6E-9F37-4D9D-8C3A-7021D5BF9F6D}"/>
    <cellStyle name="Migliaia [0] 7 3 2 6" xfId="50861" xr:uid="{A5E1726B-D19E-45BD-88EE-7CFC16F990AB}"/>
    <cellStyle name="Migliaia [0] 7 3 2 7" xfId="53877" xr:uid="{CC4B7AA7-EF6F-4928-9185-EAB1CB8BCA19}"/>
    <cellStyle name="Migliaia [0] 7 3 2 8" xfId="17633" xr:uid="{59B23268-C601-4477-A8DB-25621BE0DB21}"/>
    <cellStyle name="Migliaia [0] 7 3 2 9" xfId="11880" xr:uid="{AB35F12B-EACC-4435-BFEF-72485E704DE7}"/>
    <cellStyle name="Migliaia [0] 7 3 3" xfId="6052" xr:uid="{D351C09E-EEDC-4759-84B0-B06D795522C0}"/>
    <cellStyle name="Migliaia [0] 7 3 3 2" xfId="11670" xr:uid="{B5B7AF32-6C2A-4111-B313-F1EAC712A1FF}"/>
    <cellStyle name="Migliaia [0] 7 3 4" xfId="3101" xr:uid="{999862CA-74D9-47CB-901B-27C03647BD3B}"/>
    <cellStyle name="Migliaia [0] 7 3 4 2" xfId="21365" xr:uid="{69C7D7C8-DE79-40FA-8C63-92000A7799CC}"/>
    <cellStyle name="Migliaia [0] 7 3 4 3" xfId="47412" xr:uid="{A5945849-D7D3-41A1-A63A-427F8FC99B4C}"/>
    <cellStyle name="Migliaia [0] 7 3 4 4" xfId="50380" xr:uid="{F16619B2-819F-4B5F-9D54-5CA122C16CFC}"/>
    <cellStyle name="Migliaia [0] 7 3 4 5" xfId="53396" xr:uid="{C37CEEA0-DDE1-4E29-849D-A3A09803E0A8}"/>
    <cellStyle name="Migliaia [0] 7 3 4 6" xfId="10730" xr:uid="{6AD08E28-4270-4B10-BFBB-F33A82F90923}"/>
    <cellStyle name="Migliaia [0] 7 3 5" xfId="19780" xr:uid="{BAEE20DB-D820-440F-840D-EDAD3B2066C3}"/>
    <cellStyle name="Migliaia [0] 7 3 6" xfId="24169" xr:uid="{F98F91EE-28F7-4F4C-98A0-499A6A8492C7}"/>
    <cellStyle name="Migliaia [0] 7 3 7" xfId="8240" xr:uid="{AB170E3B-4C90-41FA-B45A-206F82A3D513}"/>
    <cellStyle name="Migliaia [0] 7 4" xfId="3102" xr:uid="{09E6BB3F-14A3-45CB-8011-94723E00218C}"/>
    <cellStyle name="Migliaia [0] 7 4 2" xfId="4828" xr:uid="{F7546F5C-EB34-4392-9AA3-880BEBC9E473}"/>
    <cellStyle name="Migliaia [0] 7 4 2 2" xfId="35125" xr:uid="{E580768C-47BD-4476-8A7C-94C3B9C6786A}"/>
    <cellStyle name="Migliaia [0] 7 4 2 2 2" xfId="40283" xr:uid="{9867E8F8-06B7-4624-808E-6F01303564B7}"/>
    <cellStyle name="Migliaia [0] 7 4 2 2 3" xfId="45585" xr:uid="{48F4634B-8189-4EBA-8266-EB1320B12529}"/>
    <cellStyle name="Migliaia [0] 7 4 2 3" xfId="37632" xr:uid="{6297F5FE-A5A4-412B-9A95-48E01E11F420}"/>
    <cellStyle name="Migliaia [0] 7 4 2 4" xfId="42934" xr:uid="{A0415E9E-A9AA-4671-B05C-65F937B63A54}"/>
    <cellStyle name="Migliaia [0] 7 4 2 5" xfId="17065" xr:uid="{EC959530-1D47-4883-8E30-3E887439F7C9}"/>
    <cellStyle name="Migliaia [0] 7 4 3" xfId="6053" xr:uid="{3389BD2C-FF73-4DC5-8845-50CC901B7313}"/>
    <cellStyle name="Migliaia [0] 7 4 3 2" xfId="38361" xr:uid="{52FEC27E-BF0A-4061-A5A3-8341A4AE3B24}"/>
    <cellStyle name="Migliaia [0] 7 4 3 3" xfId="43663" xr:uid="{56F4DD85-06F7-48CD-AF22-08BF9098CE10}"/>
    <cellStyle name="Migliaia [0] 7 4 3 4" xfId="33010" xr:uid="{8C2AA744-7AA7-46D9-92BC-0CDC2E8D890D}"/>
    <cellStyle name="Migliaia [0] 7 4 3 5" xfId="19781" xr:uid="{D0409FB5-C36A-4B75-96A7-BADB8E4BA9EA}"/>
    <cellStyle name="Migliaia [0] 7 4 4" xfId="35896" xr:uid="{F05943B4-E6D5-450C-89E2-402E1F2DB192}"/>
    <cellStyle name="Migliaia [0] 7 4 5" xfId="41012" xr:uid="{6A0DB98A-6860-4082-8454-9CA497DB8654}"/>
    <cellStyle name="Migliaia [0] 7 4 6" xfId="16007" xr:uid="{74B311BC-CCAB-45CC-B4C6-87C066EB8C50}"/>
    <cellStyle name="Migliaia [0] 7 4 7" xfId="7820" xr:uid="{03B81DA7-18F9-47E5-A9D7-F802BE5E66F6}"/>
    <cellStyle name="Migliaia [0] 7 5" xfId="4824" xr:uid="{BA326C9D-72AD-49D3-BE9A-C036757DAFD9}"/>
    <cellStyle name="Migliaia [0] 7 5 2" xfId="33011" xr:uid="{79DA1F16-9D0F-4FEA-A2A0-18EAEE4735B5}"/>
    <cellStyle name="Migliaia [0] 7 5 2 2" xfId="38362" xr:uid="{97F4244E-34FE-4761-969A-64014D35A76E}"/>
    <cellStyle name="Migliaia [0] 7 5 2 3" xfId="43664" xr:uid="{58662F27-A16F-44CD-B412-E2CB5D2EC60C}"/>
    <cellStyle name="Migliaia [0] 7 5 3" xfId="35897" xr:uid="{394E25FF-857B-43C5-9997-5E6905CD6D71}"/>
    <cellStyle name="Migliaia [0] 7 5 4" xfId="41013" xr:uid="{E7754B27-04EC-4022-869C-67DA4165FD0C}"/>
    <cellStyle name="Migliaia [0] 7 5 5" xfId="17134" xr:uid="{7A9CB8E5-485A-4CA2-9F82-879B7FA0F035}"/>
    <cellStyle name="Migliaia [0] 7 6" xfId="6050" xr:uid="{A4F0FA15-22CB-446D-9876-CA21805D843A}"/>
    <cellStyle name="Migliaia [0] 7 6 2" xfId="38358" xr:uid="{3C3A828B-3019-429F-9955-463EF6E06A97}"/>
    <cellStyle name="Migliaia [0] 7 6 3" xfId="43660" xr:uid="{4CC10430-F244-4D8A-B76C-446D73F6462A}"/>
    <cellStyle name="Migliaia [0] 7 6 4" xfId="33007" xr:uid="{5EE8DEEE-FE0B-41C8-BDB5-80D43CF9DC5A}"/>
    <cellStyle name="Migliaia [0] 7 6 5" xfId="19777" xr:uid="{5618D6EA-25AB-464E-951D-504AEA5A6C19}"/>
    <cellStyle name="Migliaia [0] 7 7" xfId="3098" xr:uid="{1FE9D56E-3E9A-4936-99BE-862A4D79822E}"/>
    <cellStyle name="Migliaia [0] 7 7 2" xfId="35893" xr:uid="{C8DC1C45-7E8C-401C-B872-D4AED2ABDBED}"/>
    <cellStyle name="Migliaia [0] 7 8" xfId="41009" xr:uid="{47373865-41FA-49E7-B744-25CD09B58908}"/>
    <cellStyle name="Migliaia [0] 7 9" xfId="7041" xr:uid="{02010990-4D80-4000-8779-A3ABB6712779}"/>
    <cellStyle name="Migliaia [0] 8" xfId="299" xr:uid="{00000000-0005-0000-0000-0000B9020000}"/>
    <cellStyle name="Migliaia [0] 8 2" xfId="1652" xr:uid="{00000000-0005-0000-0000-0000BA020000}"/>
    <cellStyle name="Migliaia [0] 8 2 2" xfId="1653" xr:uid="{00000000-0005-0000-0000-0000BB020000}"/>
    <cellStyle name="Migliaia [0] 8 2 2 2" xfId="4831" xr:uid="{9FF8390D-759B-407C-B69D-8F4ACB183510}"/>
    <cellStyle name="Migliaia [0] 8 2 2 2 2" xfId="21834" xr:uid="{2AF0D86E-15D9-4143-BB5D-925CFA6E032B}"/>
    <cellStyle name="Migliaia [0] 8 2 2 2 3" xfId="46743" xr:uid="{FE9F316E-9250-4448-88E6-13BF3D1B833F}"/>
    <cellStyle name="Migliaia [0] 8 2 2 2 4" xfId="50862" xr:uid="{5A1B8C22-6DBD-46D5-996E-0B80E5B58789}"/>
    <cellStyle name="Migliaia [0] 8 2 2 2 5" xfId="53878" xr:uid="{B42AC399-45EF-435A-9134-44AB8BA0AC3A}"/>
    <cellStyle name="Migliaia [0] 8 2 2 2 6" xfId="11881" xr:uid="{CBBCBC42-B9DC-4CAC-98D0-9A8321143F2B}"/>
    <cellStyle name="Migliaia [0] 8 2 2 3" xfId="3105" xr:uid="{CE98BE60-9006-41AE-9AF0-2EFD47090D4C}"/>
    <cellStyle name="Migliaia [0] 8 2 2 3 2" xfId="11556" xr:uid="{2F6DC517-4B44-47BE-83E6-DBF7A2398A47}"/>
    <cellStyle name="Migliaia [0] 8 2 2 4" xfId="10731" xr:uid="{F65D0762-EF99-4CED-8805-FB3B51745DFD}"/>
    <cellStyle name="Migliaia [0] 8 2 2 4 2" xfId="21366" xr:uid="{BA336212-D19F-4F74-AE54-FEB5862645C5}"/>
    <cellStyle name="Migliaia [0] 8 2 2 4 3" xfId="46202" xr:uid="{279DC2AB-E11F-4811-B69D-CBD135FD428C}"/>
    <cellStyle name="Migliaia [0] 8 2 2 4 4" xfId="50381" xr:uid="{414DA6C7-A29F-4613-903D-B47AA3A640F3}"/>
    <cellStyle name="Migliaia [0] 8 2 2 4 5" xfId="53397" xr:uid="{B8433AB4-D8A0-473F-8E72-1D062D9C95E4}"/>
    <cellStyle name="Migliaia [0] 8 2 2 5" xfId="19784" xr:uid="{009755DC-ADC0-4C33-B166-38C9E4C6ED76}"/>
    <cellStyle name="Migliaia [0] 8 2 2 6" xfId="24175" xr:uid="{B6B96997-B9AE-4FB9-95F7-9802B382F043}"/>
    <cellStyle name="Migliaia [0] 8 2 2 7" xfId="48877" xr:uid="{130DF843-6123-4B22-8005-3D43179C2842}"/>
    <cellStyle name="Migliaia [0] 8 2 2 8" xfId="49783" xr:uid="{42A7906C-ADA1-44ED-9557-75B4E51A991B}"/>
    <cellStyle name="Migliaia [0] 8 2 2 9" xfId="8483" xr:uid="{E378C287-5D92-4C50-8B33-07E7ADA6AE1E}"/>
    <cellStyle name="Migliaia [0] 8 2 3" xfId="4830" xr:uid="{A8C927B4-1E32-482C-A022-A6005C8DAE4A}"/>
    <cellStyle name="Migliaia [0] 8 2 3 2" xfId="33013" xr:uid="{401E6A3E-3E15-4F83-9183-7B97E6DEE2BD}"/>
    <cellStyle name="Migliaia [0] 8 2 3 2 2" xfId="38364" xr:uid="{B67758E2-973D-4591-AF3F-13F1067B0A4E}"/>
    <cellStyle name="Migliaia [0] 8 2 3 2 3" xfId="43666" xr:uid="{79DAC828-77CE-460F-B9B6-B3B0725FE43B}"/>
    <cellStyle name="Migliaia [0] 8 2 3 3" xfId="35899" xr:uid="{F033EB53-607A-4BEA-A15B-6F2CA4C60F50}"/>
    <cellStyle name="Migliaia [0] 8 2 3 4" xfId="41015" xr:uid="{B4DC6553-A2B4-4DD6-9E32-85CFD6803856}"/>
    <cellStyle name="Migliaia [0] 8 2 3 5" xfId="11882" xr:uid="{DA927751-272E-4ECD-B61F-B0AC3168FE0C}"/>
    <cellStyle name="Migliaia [0] 8 2 4" xfId="6055" xr:uid="{E152400E-ED79-44C2-A01E-B930E293D9F2}"/>
    <cellStyle name="Migliaia [0] 8 2 4 2" xfId="19783" xr:uid="{7F30A2EA-2F1C-4431-AD9A-24AB94DD1288}"/>
    <cellStyle name="Migliaia [0] 8 2 5" xfId="3104" xr:uid="{5EF69358-7B7B-4A74-B581-C1A333FE779B}"/>
    <cellStyle name="Migliaia [0] 8 2 5 2" xfId="24174" xr:uid="{FB02C2BB-546C-4861-980B-F94BDBDBE9A2}"/>
    <cellStyle name="Migliaia [0] 8 2 6" xfId="7293" xr:uid="{99F8A046-2FCB-4F1C-80E4-9F0E5AD8B857}"/>
    <cellStyle name="Migliaia [0] 8 3" xfId="1654" xr:uid="{00000000-0005-0000-0000-0000BC020000}"/>
    <cellStyle name="Migliaia [0] 8 3 2" xfId="4832" xr:uid="{E55D5662-5EC5-4C89-81E2-268A5AF9CF4C}"/>
    <cellStyle name="Migliaia [0] 8 3 2 2" xfId="18358" xr:uid="{EF3DA47C-324D-4A7D-A116-090D9572ECF5}"/>
    <cellStyle name="Migliaia [0] 8 3 2 2 2" xfId="21835" xr:uid="{72BFD90A-58D0-4634-A8B9-33217C6DF941}"/>
    <cellStyle name="Migliaia [0] 8 3 2 2 2 2" xfId="38365" xr:uid="{BD17B3C8-95ED-4983-AD14-088A02794F43}"/>
    <cellStyle name="Migliaia [0] 8 3 2 2 3" xfId="43667" xr:uid="{B297C598-5C76-4BDF-83A5-DC9219D787E1}"/>
    <cellStyle name="Migliaia [0] 8 3 2 2 4" xfId="33014" xr:uid="{2E5385C9-5849-4071-82A4-E300E31870AF}"/>
    <cellStyle name="Migliaia [0] 8 3 2 3" xfId="35900" xr:uid="{3002CA44-EE12-428D-A567-92E5140996BB}"/>
    <cellStyle name="Migliaia [0] 8 3 2 4" xfId="41016" xr:uid="{FD3CA9DA-597B-4364-8126-437D2FD96B73}"/>
    <cellStyle name="Migliaia [0] 8 3 2 5" xfId="48289" xr:uid="{CD5BEA9B-CD7A-489E-8DE2-05E6E39A8161}"/>
    <cellStyle name="Migliaia [0] 8 3 2 6" xfId="50863" xr:uid="{DE89E45C-5A29-427B-A84E-16FC3445D661}"/>
    <cellStyle name="Migliaia [0] 8 3 2 7" xfId="53879" xr:uid="{9E2C641D-3982-490B-9798-F51794BA230A}"/>
    <cellStyle name="Migliaia [0] 8 3 2 8" xfId="17634" xr:uid="{10E41853-A306-4B8F-87CC-3CC0C2462330}"/>
    <cellStyle name="Migliaia [0] 8 3 2 9" xfId="11883" xr:uid="{B6739F1C-A223-4EED-A918-E752F6966BD0}"/>
    <cellStyle name="Migliaia [0] 8 3 3" xfId="6056" xr:uid="{AB173F62-079B-4446-A80C-A8CDF8B32301}"/>
    <cellStyle name="Migliaia [0] 8 3 3 2" xfId="11119" xr:uid="{82E2988B-33DA-4AD0-9EB6-618565C0F7A4}"/>
    <cellStyle name="Migliaia [0] 8 3 4" xfId="3106" xr:uid="{EA9158A6-4B9F-4616-9C20-EA3633CFC18D}"/>
    <cellStyle name="Migliaia [0] 8 3 4 2" xfId="21367" xr:uid="{927FBC3F-A0C4-48BF-AAAE-4BFDD7962D4F}"/>
    <cellStyle name="Migliaia [0] 8 3 4 3" xfId="48004" xr:uid="{94F66C76-7375-4DDE-88EB-E85E7F50E280}"/>
    <cellStyle name="Migliaia [0] 8 3 4 4" xfId="50382" xr:uid="{7FD4032B-A2EC-42D1-B880-514B7CF3CC98}"/>
    <cellStyle name="Migliaia [0] 8 3 4 5" xfId="53398" xr:uid="{95B58BB9-422E-4A36-AA90-4634A6A4C8BC}"/>
    <cellStyle name="Migliaia [0] 8 3 4 6" xfId="10732" xr:uid="{EAC687A2-FC6D-4AAD-800A-6F88DDAFF224}"/>
    <cellStyle name="Migliaia [0] 8 3 5" xfId="19785" xr:uid="{410A9B43-1501-4D2C-A94A-C7F70E127F65}"/>
    <cellStyle name="Migliaia [0] 8 3 6" xfId="24177" xr:uid="{00542776-6BBC-4659-B7D6-743818E7BE43}"/>
    <cellStyle name="Migliaia [0] 8 3 7" xfId="8241" xr:uid="{D3AA93F1-07AA-456A-B354-2608732E32C8}"/>
    <cellStyle name="Migliaia [0] 8 4" xfId="3107" xr:uid="{42B44F06-A944-448B-B636-0A94D87A6196}"/>
    <cellStyle name="Migliaia [0] 8 4 2" xfId="4833" xr:uid="{0018B7D3-7EC0-4AF5-8260-6ACDB9FE225A}"/>
    <cellStyle name="Migliaia [0] 8 4 2 2" xfId="35126" xr:uid="{1FBD7255-64DF-40FD-95C8-55339791449D}"/>
    <cellStyle name="Migliaia [0] 8 4 2 2 2" xfId="40284" xr:uid="{CDDAB619-58F6-485C-8E5D-8B531D1DE302}"/>
    <cellStyle name="Migliaia [0] 8 4 2 2 3" xfId="45586" xr:uid="{96FD5A2A-D2D7-4F48-B1AB-7DF0F5026647}"/>
    <cellStyle name="Migliaia [0] 8 4 2 3" xfId="37633" xr:uid="{5486A701-D70D-4510-B021-BADC62960F32}"/>
    <cellStyle name="Migliaia [0] 8 4 2 4" xfId="42935" xr:uid="{6CC0E4BA-E5F3-4F4F-9B00-F6AE8F5432FD}"/>
    <cellStyle name="Migliaia [0] 8 4 2 5" xfId="17066" xr:uid="{8273B699-03B5-4A9F-9C2B-17C36FB8C933}"/>
    <cellStyle name="Migliaia [0] 8 4 3" xfId="6057" xr:uid="{64F68C14-9D61-4E40-A078-7F44F6A3061B}"/>
    <cellStyle name="Migliaia [0] 8 4 3 2" xfId="38366" xr:uid="{74B3C009-B8B0-4C5F-A5B6-B7D9D1685474}"/>
    <cellStyle name="Migliaia [0] 8 4 3 3" xfId="43668" xr:uid="{E346D102-8406-41F4-A1D3-8C35672A2AC5}"/>
    <cellStyle name="Migliaia [0] 8 4 3 4" xfId="33015" xr:uid="{86C5CB38-79F0-4D70-98A2-F61D0BF9DF72}"/>
    <cellStyle name="Migliaia [0] 8 4 3 5" xfId="19786" xr:uid="{D44AB121-020C-42EF-BFDE-9F2D88191257}"/>
    <cellStyle name="Migliaia [0] 8 4 4" xfId="35901" xr:uid="{1E57E387-EA9B-48C2-A13B-00A02A331A69}"/>
    <cellStyle name="Migliaia [0] 8 4 5" xfId="41017" xr:uid="{ECFEB6CD-EC8B-490D-8196-B0B0305FB982}"/>
    <cellStyle name="Migliaia [0] 8 4 6" xfId="16008" xr:uid="{4B58D1DD-70B2-4621-8223-57016BFC8F6A}"/>
    <cellStyle name="Migliaia [0] 8 4 7" xfId="7821" xr:uid="{5565D122-6CBA-43C1-BB81-052CB0866005}"/>
    <cellStyle name="Migliaia [0] 8 5" xfId="4829" xr:uid="{56154EF9-C464-4DE3-9645-CF40DA145D87}"/>
    <cellStyle name="Migliaia [0] 8 5 2" xfId="33016" xr:uid="{E026C3E9-0D7D-4466-996A-B9237D1E8C9C}"/>
    <cellStyle name="Migliaia [0] 8 5 2 2" xfId="38367" xr:uid="{2BBD9858-CD75-4C4A-ADAE-82DE96E1CCBE}"/>
    <cellStyle name="Migliaia [0] 8 5 2 3" xfId="43669" xr:uid="{EB8F1B7D-66EF-4F70-8F9E-70148A5676C8}"/>
    <cellStyle name="Migliaia [0] 8 5 3" xfId="35902" xr:uid="{5168D489-6856-4E73-BAD9-C143A78E23DC}"/>
    <cellStyle name="Migliaia [0] 8 5 4" xfId="41018" xr:uid="{24A4E1EE-C405-4ADD-A16D-7CEE963DCC80}"/>
    <cellStyle name="Migliaia [0] 8 5 5" xfId="17135" xr:uid="{7232076D-C757-47B4-8111-738592EDB332}"/>
    <cellStyle name="Migliaia [0] 8 6" xfId="6054" xr:uid="{24649AC4-A41B-478E-AD8D-63197797D7FC}"/>
    <cellStyle name="Migliaia [0] 8 6 2" xfId="38363" xr:uid="{014E37F0-7FC6-437E-BF6B-B8FF0874E1C2}"/>
    <cellStyle name="Migliaia [0] 8 6 3" xfId="43665" xr:uid="{CAC220A1-2975-4105-9097-6BFC959B9E52}"/>
    <cellStyle name="Migliaia [0] 8 6 4" xfId="33012" xr:uid="{9F3D76B0-B62F-4A5D-A50E-D319303F3551}"/>
    <cellStyle name="Migliaia [0] 8 6 5" xfId="19782" xr:uid="{6EEEC5D2-41A2-4861-88A7-A1A1C9BBDA33}"/>
    <cellStyle name="Migliaia [0] 8 7" xfId="3103" xr:uid="{9ED4EE9C-176B-4AE4-A8CB-F564CB0B63AB}"/>
    <cellStyle name="Migliaia [0] 8 7 2" xfId="35898" xr:uid="{04718543-EEE1-432F-AE5F-00A953382B27}"/>
    <cellStyle name="Migliaia [0] 8 8" xfId="41014" xr:uid="{B0D92C83-CEEC-42D6-B393-6AE333354439}"/>
    <cellStyle name="Migliaia [0] 8 9" xfId="7042" xr:uid="{382FCB15-65DB-48C9-B4F1-55E5AD09D05C}"/>
    <cellStyle name="Migliaia [0] 9" xfId="300" xr:uid="{00000000-0005-0000-0000-0000BD020000}"/>
    <cellStyle name="Migliaia [0] 9 2" xfId="1655" xr:uid="{00000000-0005-0000-0000-0000BE020000}"/>
    <cellStyle name="Migliaia [0] 9 2 2" xfId="1656" xr:uid="{00000000-0005-0000-0000-0000BF020000}"/>
    <cellStyle name="Migliaia [0] 9 2 2 2" xfId="4836" xr:uid="{5FD7E025-5265-4BBB-8D2C-1F4E23AD1990}"/>
    <cellStyle name="Migliaia [0] 9 2 2 2 2" xfId="21836" xr:uid="{F102BC42-ADE4-42AB-868C-5642262ABABA}"/>
    <cellStyle name="Migliaia [0] 9 2 2 2 3" xfId="46298" xr:uid="{68A780D6-8307-4290-96DC-BED8849C39A6}"/>
    <cellStyle name="Migliaia [0] 9 2 2 2 4" xfId="50864" xr:uid="{39B9513E-C92B-49A5-A9C3-EA01D5CAED7C}"/>
    <cellStyle name="Migliaia [0] 9 2 2 2 5" xfId="53880" xr:uid="{5F696234-F7A2-4E28-8753-192C511FC38B}"/>
    <cellStyle name="Migliaia [0] 9 2 2 2 6" xfId="11884" xr:uid="{EA035CC6-8B84-4161-A18A-8807131DAC39}"/>
    <cellStyle name="Migliaia [0] 9 2 2 3" xfId="3110" xr:uid="{1981BF27-08BC-4CC5-94C3-737DE5898ADF}"/>
    <cellStyle name="Migliaia [0] 9 2 2 3 2" xfId="12322" xr:uid="{220D6EED-13E8-4DBC-BCDC-DB5F9CF2F4BF}"/>
    <cellStyle name="Migliaia [0] 9 2 2 4" xfId="10733" xr:uid="{E231DAEB-F6EF-47FF-BAA9-0FE7173CD7C4}"/>
    <cellStyle name="Migliaia [0] 9 2 2 4 2" xfId="21368" xr:uid="{E12FAAAB-96F0-4615-93CC-87A282CA6D0B}"/>
    <cellStyle name="Migliaia [0] 9 2 2 4 3" xfId="25358" xr:uid="{775B05F2-07EF-4539-85B9-79018041FDE9}"/>
    <cellStyle name="Migliaia [0] 9 2 2 4 4" xfId="50383" xr:uid="{C9ADF795-C884-49B9-8B70-13C54029E1BB}"/>
    <cellStyle name="Migliaia [0] 9 2 2 4 5" xfId="53399" xr:uid="{E8EE116F-5016-462B-9F19-CA5C518DDEEB}"/>
    <cellStyle name="Migliaia [0] 9 2 2 5" xfId="19789" xr:uid="{34130ECF-F33D-41B8-ACAA-C0CE58DAFB21}"/>
    <cellStyle name="Migliaia [0] 9 2 2 6" xfId="24183" xr:uid="{780B2AE8-08E8-4AF2-BF8E-9A95CC199176}"/>
    <cellStyle name="Migliaia [0] 9 2 2 7" xfId="48878" xr:uid="{68499EA8-6D44-4C1D-9200-17F74D89980D}"/>
    <cellStyle name="Migliaia [0] 9 2 2 8" xfId="49784" xr:uid="{7A272495-8C1D-461F-A7E0-9A1185597E02}"/>
    <cellStyle name="Migliaia [0] 9 2 2 9" xfId="8484" xr:uid="{88F9B1DC-3277-464E-8F36-E0D3F19FE70C}"/>
    <cellStyle name="Migliaia [0] 9 2 3" xfId="4835" xr:uid="{4E4EC15B-B91E-4087-899B-AEED016B64C7}"/>
    <cellStyle name="Migliaia [0] 9 2 3 2" xfId="33018" xr:uid="{463FC740-7C2C-44A5-95B3-DB5FB58D2965}"/>
    <cellStyle name="Migliaia [0] 9 2 3 2 2" xfId="38369" xr:uid="{053E50CC-0EFE-48F9-82CE-ADABF0EF42C0}"/>
    <cellStyle name="Migliaia [0] 9 2 3 2 3" xfId="43671" xr:uid="{0EAA14CC-8090-4A5A-8DE5-360AEB54BA19}"/>
    <cellStyle name="Migliaia [0] 9 2 3 3" xfId="35904" xr:uid="{7B84D886-0AF0-4121-BC6D-301B3CB2FC62}"/>
    <cellStyle name="Migliaia [0] 9 2 3 4" xfId="41020" xr:uid="{59740AB5-5738-4D13-9E99-7F153C819B3C}"/>
    <cellStyle name="Migliaia [0] 9 2 3 5" xfId="11885" xr:uid="{662E611D-46C2-4878-96A6-4459A8E70D23}"/>
    <cellStyle name="Migliaia [0] 9 2 4" xfId="6059" xr:uid="{6CFC8A18-C5C9-45B1-9BC2-3D210B8763A5}"/>
    <cellStyle name="Migliaia [0] 9 2 4 2" xfId="19788" xr:uid="{71662E0E-EE60-4181-BFE3-09E94898F19D}"/>
    <cellStyle name="Migliaia [0] 9 2 5" xfId="3109" xr:uid="{B2D83EED-D225-4823-BB0E-34B1D854D514}"/>
    <cellStyle name="Migliaia [0] 9 2 5 2" xfId="24182" xr:uid="{36F295FC-BF71-4C1E-A418-016420BB3B9E}"/>
    <cellStyle name="Migliaia [0] 9 2 6" xfId="7294" xr:uid="{45B35A55-218F-4B1A-8F82-096E50EB5113}"/>
    <cellStyle name="Migliaia [0] 9 3" xfId="1657" xr:uid="{00000000-0005-0000-0000-0000C0020000}"/>
    <cellStyle name="Migliaia [0] 9 3 2" xfId="4837" xr:uid="{0F8FBF84-3CE8-4C49-A992-F0056AD59728}"/>
    <cellStyle name="Migliaia [0] 9 3 2 2" xfId="18359" xr:uid="{D082EE40-9EBD-4986-AC83-ED3474A8EE6C}"/>
    <cellStyle name="Migliaia [0] 9 3 2 2 2" xfId="21837" xr:uid="{3825037A-CA81-49C2-AA42-7A6D27A08454}"/>
    <cellStyle name="Migliaia [0] 9 3 2 2 2 2" xfId="38370" xr:uid="{9317554C-40C5-40ED-AFDB-83F6C4195ADD}"/>
    <cellStyle name="Migliaia [0] 9 3 2 2 3" xfId="43672" xr:uid="{A3912BB2-987E-4933-B772-364564D15378}"/>
    <cellStyle name="Migliaia [0] 9 3 2 2 4" xfId="33019" xr:uid="{1CB45D6E-0ED6-4C39-A4FA-BA2EE604C985}"/>
    <cellStyle name="Migliaia [0] 9 3 2 3" xfId="35905" xr:uid="{5792ECEB-D999-4002-8E07-29804C607138}"/>
    <cellStyle name="Migliaia [0] 9 3 2 4" xfId="41021" xr:uid="{F2950D2C-00B1-4569-AD2E-FFDBC0BEDBB4}"/>
    <cellStyle name="Migliaia [0] 9 3 2 5" xfId="47225" xr:uid="{61AF55A0-B723-4174-B01A-700235B4575B}"/>
    <cellStyle name="Migliaia [0] 9 3 2 6" xfId="50865" xr:uid="{4B6A6FD7-2699-453C-9AEC-F038C014749B}"/>
    <cellStyle name="Migliaia [0] 9 3 2 7" xfId="53881" xr:uid="{3EB412AD-42B0-493C-879E-C38E436B000B}"/>
    <cellStyle name="Migliaia [0] 9 3 2 8" xfId="17635" xr:uid="{D3F9336E-11A5-4230-95F4-981C7080F8C2}"/>
    <cellStyle name="Migliaia [0] 9 3 2 9" xfId="11886" xr:uid="{DC01DA1D-8CC9-490E-9DE9-2A8BFDE07332}"/>
    <cellStyle name="Migliaia [0] 9 3 3" xfId="6060" xr:uid="{05A47E1A-B474-45C5-8F9D-874462179E20}"/>
    <cellStyle name="Migliaia [0] 9 3 3 2" xfId="12362" xr:uid="{023C2C59-74FE-4D73-8927-E414F1662E0E}"/>
    <cellStyle name="Migliaia [0] 9 3 4" xfId="3111" xr:uid="{79205EAD-548A-4299-ADDC-BC70D5B50083}"/>
    <cellStyle name="Migliaia [0] 9 3 4 2" xfId="21369" xr:uid="{43250911-A6FA-47D6-BB49-2F9AE4328EDF}"/>
    <cellStyle name="Migliaia [0] 9 3 4 3" xfId="47800" xr:uid="{16A013D1-5F63-4811-B0B5-5498D6EE7846}"/>
    <cellStyle name="Migliaia [0] 9 3 4 4" xfId="50384" xr:uid="{B15573F9-BDFB-4A14-A49D-3C529CE50A65}"/>
    <cellStyle name="Migliaia [0] 9 3 4 5" xfId="53400" xr:uid="{E1981AA1-45C0-4886-9FBC-C9D2690052A4}"/>
    <cellStyle name="Migliaia [0] 9 3 4 6" xfId="10734" xr:uid="{8F30582D-D45C-4EED-9543-1B8BA3120636}"/>
    <cellStyle name="Migliaia [0] 9 3 5" xfId="19790" xr:uid="{0E0B3BA5-755C-449E-9713-829C1ACA968F}"/>
    <cellStyle name="Migliaia [0] 9 3 6" xfId="24185" xr:uid="{501B27FD-C3C7-4548-91A8-141928F30402}"/>
    <cellStyle name="Migliaia [0] 9 3 7" xfId="8242" xr:uid="{97B1513C-CDC2-4EDB-82C0-1E928F73617F}"/>
    <cellStyle name="Migliaia [0] 9 4" xfId="3112" xr:uid="{19D79E60-EEE3-4AFF-9789-9908328B7618}"/>
    <cellStyle name="Migliaia [0] 9 4 2" xfId="4838" xr:uid="{672546F8-B57B-4A09-806D-F24E1A45D124}"/>
    <cellStyle name="Migliaia [0] 9 4 2 2" xfId="35127" xr:uid="{094F6DCB-26C5-4993-8511-670DF2CDBEA0}"/>
    <cellStyle name="Migliaia [0] 9 4 2 2 2" xfId="40285" xr:uid="{C67C351B-009B-4D90-9CE5-E14D927D754B}"/>
    <cellStyle name="Migliaia [0] 9 4 2 2 3" xfId="45587" xr:uid="{80FC3C66-1790-484E-8BFB-18615AD4C405}"/>
    <cellStyle name="Migliaia [0] 9 4 2 3" xfId="37634" xr:uid="{5631AF58-0E81-4E59-A92B-DDCAA5E3943B}"/>
    <cellStyle name="Migliaia [0] 9 4 2 4" xfId="42936" xr:uid="{05777389-EB4A-4F6A-94B6-963AE12696F0}"/>
    <cellStyle name="Migliaia [0] 9 4 2 5" xfId="17576" xr:uid="{B1091FA4-D733-4710-A61A-5C541C6F9F99}"/>
    <cellStyle name="Migliaia [0] 9 4 3" xfId="6061" xr:uid="{C3490AC5-BC11-484A-A3B8-A8D8D45F77E7}"/>
    <cellStyle name="Migliaia [0] 9 4 3 2" xfId="38371" xr:uid="{036D3A43-A3F1-4F6B-B1F4-159C276D6CBE}"/>
    <cellStyle name="Migliaia [0] 9 4 3 3" xfId="43673" xr:uid="{6459CAFB-DD41-415B-AC12-B0202E854C28}"/>
    <cellStyle name="Migliaia [0] 9 4 3 4" xfId="33020" xr:uid="{9373E3F7-6A97-4240-AC43-0A6AB51B929A}"/>
    <cellStyle name="Migliaia [0] 9 4 3 5" xfId="19791" xr:uid="{10CE5B63-D8E2-4F2C-86A2-BAB15D8B8AEE}"/>
    <cellStyle name="Migliaia [0] 9 4 4" xfId="35906" xr:uid="{47FCC044-E27F-4718-8311-1F4966D0D5B0}"/>
    <cellStyle name="Migliaia [0] 9 4 5" xfId="41022" xr:uid="{50C83FA1-8F64-477D-AD10-107BAA6E0A02}"/>
    <cellStyle name="Migliaia [0] 9 4 6" xfId="16009" xr:uid="{7C221D1E-E4B0-496E-9031-208068D77601}"/>
    <cellStyle name="Migliaia [0] 9 4 7" xfId="7822" xr:uid="{1D8FCED2-3849-40A2-A95B-FEAED93DA73A}"/>
    <cellStyle name="Migliaia [0] 9 5" xfId="4834" xr:uid="{7FF4374C-0386-4479-AAC9-401AD615DAB2}"/>
    <cellStyle name="Migliaia [0] 9 5 2" xfId="33021" xr:uid="{0F49F8EB-5C75-4855-8B7A-AAD84F021630}"/>
    <cellStyle name="Migliaia [0] 9 5 2 2" xfId="38372" xr:uid="{8B7959D2-810D-49FF-ACF4-BCA5B53B38EB}"/>
    <cellStyle name="Migliaia [0] 9 5 2 3" xfId="43674" xr:uid="{7A86860D-150B-4C92-B64F-40005C3BEEB6}"/>
    <cellStyle name="Migliaia [0] 9 5 3" xfId="35907" xr:uid="{2991CA7B-F253-42C8-BE2F-52EAB7E12093}"/>
    <cellStyle name="Migliaia [0] 9 5 4" xfId="41023" xr:uid="{B5C9B9EA-52FF-4BF1-8523-FBDB98C518BD}"/>
    <cellStyle name="Migliaia [0] 9 5 5" xfId="17136" xr:uid="{AA059FA3-0D0E-4F0A-B194-061770CF70E8}"/>
    <cellStyle name="Migliaia [0] 9 6" xfId="6058" xr:uid="{1169638F-FCB5-4427-BF62-698B0CFAB2A4}"/>
    <cellStyle name="Migliaia [0] 9 6 2" xfId="38368" xr:uid="{F59335D7-5F6D-4311-BD02-23A37AF04B5A}"/>
    <cellStyle name="Migliaia [0] 9 6 3" xfId="43670" xr:uid="{05CE6E27-8FC5-4E7C-9CFD-459508511D36}"/>
    <cellStyle name="Migliaia [0] 9 6 4" xfId="33017" xr:uid="{CA80F2A3-DED6-4461-98CD-18AF505E6B73}"/>
    <cellStyle name="Migliaia [0] 9 6 5" xfId="19787" xr:uid="{4934403C-04E3-4911-BBB3-9276DDDE3545}"/>
    <cellStyle name="Migliaia [0] 9 7" xfId="3108" xr:uid="{E97C50CB-0575-494D-A9D4-E7B7C540CDF9}"/>
    <cellStyle name="Migliaia [0] 9 7 2" xfId="35903" xr:uid="{852E73C3-C10D-4EC2-9A82-BBC487659376}"/>
    <cellStyle name="Migliaia [0] 9 8" xfId="41019" xr:uid="{5C5D33C9-06F4-436A-A072-A4072DB7CABF}"/>
    <cellStyle name="Migliaia [0] 9 9" xfId="7043" xr:uid="{9F2673B6-1657-4E60-8141-7A2B3DED0BD6}"/>
    <cellStyle name="Migliaia 10" xfId="301" xr:uid="{00000000-0005-0000-0000-0000C1020000}"/>
    <cellStyle name="Migliaia 10 10" xfId="6062" xr:uid="{9F3F750A-25A9-4F5F-8AAE-D77FD64D6E26}"/>
    <cellStyle name="Migliaia 10 10 2" xfId="38373" xr:uid="{F784C85F-2312-44AA-A303-7272EF53D8B5}"/>
    <cellStyle name="Migliaia 10 10 3" xfId="43675" xr:uid="{B77EA58E-BD1F-4FFC-ABF2-3B13039518CC}"/>
    <cellStyle name="Migliaia 10 10 4" xfId="33022" xr:uid="{734CC00F-99E4-4F90-AE5B-BE994B440C05}"/>
    <cellStyle name="Migliaia 10 10 5" xfId="19792" xr:uid="{33B32DF4-4C75-4785-B52E-42E5F3A43F9C}"/>
    <cellStyle name="Migliaia 10 11" xfId="3113" xr:uid="{87F0B160-BE96-4131-8803-06789C394A9A}"/>
    <cellStyle name="Migliaia 10 11 2" xfId="35908" xr:uid="{772EA25E-95DE-4B57-84F1-0091322815E3}"/>
    <cellStyle name="Migliaia 10 12" xfId="41024" xr:uid="{794F1C1E-D695-490B-BFF2-1ED610DDCE98}"/>
    <cellStyle name="Migliaia 10 13" xfId="7044" xr:uid="{54F84677-1036-4798-B85A-71F01322967C}"/>
    <cellStyle name="Migliaia 10 2" xfId="302" xr:uid="{00000000-0005-0000-0000-0000C2020000}"/>
    <cellStyle name="Migliaia 10 2 2" xfId="1658" xr:uid="{00000000-0005-0000-0000-0000C3020000}"/>
    <cellStyle name="Migliaia 10 2 2 2" xfId="4841" xr:uid="{4FCCF3A9-551F-4251-A9FA-066227C7A3CC}"/>
    <cellStyle name="Migliaia 10 2 2 2 2" xfId="14363" xr:uid="{7A98FF72-189D-4919-A58D-E556BC74D311}"/>
    <cellStyle name="Migliaia 10 2 2 2 2 2" xfId="38374" xr:uid="{DE9D6479-A919-408E-BB93-303A2614B3E7}"/>
    <cellStyle name="Migliaia 10 2 2 2 2 3" xfId="43676" xr:uid="{8307411A-92F3-40B7-BA5D-A245A73D214A}"/>
    <cellStyle name="Migliaia 10 2 2 2 3" xfId="18360" xr:uid="{36C4A1FF-54CF-47F3-8F25-F6DA09BC48B1}"/>
    <cellStyle name="Migliaia 10 2 2 2 4" xfId="19795" xr:uid="{AED175D7-13B9-48D1-AE03-EB5E2C5ACBD9}"/>
    <cellStyle name="Migliaia 10 2 2 2 4 2" xfId="41025" xr:uid="{6D686C9E-7C4A-46A6-A051-8E622C700ABA}"/>
    <cellStyle name="Migliaia 10 2 2 2 5" xfId="16010" xr:uid="{A0C55B20-68CF-4E66-98CA-1FDC0B73C513}"/>
    <cellStyle name="Migliaia 10 2 2 2 6" xfId="8486" xr:uid="{0A559FB9-9899-47BD-8FA0-D9020CCBA890}"/>
    <cellStyle name="Migliaia 10 2 2 3" xfId="6064" xr:uid="{F236CB6D-CD39-47FC-965F-4D8928DB3590}"/>
    <cellStyle name="Migliaia 10 2 2 3 2" xfId="35128" xr:uid="{028A8DBD-9E3B-4F60-8BCB-51870851E166}"/>
    <cellStyle name="Migliaia 10 2 2 3 2 2" xfId="40286" xr:uid="{B3674F73-2FFA-4E17-B8A0-C02E6C2FD7C9}"/>
    <cellStyle name="Migliaia 10 2 2 3 2 3" xfId="45588" xr:uid="{64CEA3EB-6155-45BF-B76F-C175CC42DC17}"/>
    <cellStyle name="Migliaia 10 2 2 3 3" xfId="37635" xr:uid="{64269FBB-35BD-42FD-9995-D418FAD0BB4D}"/>
    <cellStyle name="Migliaia 10 2 2 3 4" xfId="42937" xr:uid="{592014CA-E08D-4BC3-A36A-766C00B41CAA}"/>
    <cellStyle name="Migliaia 10 2 2 3 5" xfId="11592" xr:uid="{F4BF75AD-DD12-4435-9A85-FF08495D0E75}"/>
    <cellStyle name="Migliaia 10 2 2 4" xfId="3115" xr:uid="{307CC970-7098-47DB-8D61-6D998AE07405}"/>
    <cellStyle name="Migliaia 10 2 2 4 2" xfId="21370" xr:uid="{22EC565F-C151-4596-B60F-FE926EA7D4C8}"/>
    <cellStyle name="Migliaia 10 2 2 4 3" xfId="46639" xr:uid="{AD494A6C-FFCC-451B-BD88-432E4F21D101}"/>
    <cellStyle name="Migliaia 10 2 2 4 4" xfId="50385" xr:uid="{ECAB7405-681D-4273-B04E-EBC9151937D0}"/>
    <cellStyle name="Migliaia 10 2 2 4 5" xfId="53401" xr:uid="{5EF2FC4A-7145-425A-A41A-E459E2F670C8}"/>
    <cellStyle name="Migliaia 10 2 2 4 6" xfId="10735" xr:uid="{6224F5F3-3E32-461A-9B33-33E64CA54293}"/>
    <cellStyle name="Migliaia 10 2 2 5" xfId="19794" xr:uid="{43C58FD7-6328-4F9C-A3CD-2C3240799631}"/>
    <cellStyle name="Migliaia 10 2 2 6" xfId="24191" xr:uid="{4788BF93-8692-4606-B86A-E4F6C5095497}"/>
    <cellStyle name="Migliaia 10 2 2 7" xfId="7296" xr:uid="{E9BB3108-23ED-4145-AB29-5F384B1EBBA7}"/>
    <cellStyle name="Migliaia 10 2 3" xfId="3116" xr:uid="{14E37A83-20BF-4C1A-90EE-3795AF12FBED}"/>
    <cellStyle name="Migliaia 10 2 3 2" xfId="4842" xr:uid="{3A07B38C-04D6-4CB5-9F52-879D0FDB345C}"/>
    <cellStyle name="Migliaia 10 2 3 2 2" xfId="35129" xr:uid="{06559696-D95D-4461-B323-6DE7E4A90454}"/>
    <cellStyle name="Migliaia 10 2 3 2 2 2" xfId="40287" xr:uid="{5374D27D-5511-46D4-B5BB-24A4FCF277F7}"/>
    <cellStyle name="Migliaia 10 2 3 2 2 3" xfId="45589" xr:uid="{3B497547-4F80-462C-A32B-482A857EBD3D}"/>
    <cellStyle name="Migliaia 10 2 3 2 3" xfId="37636" xr:uid="{97AF2DE9-C4A2-4FB1-8EAD-1B3E04434F00}"/>
    <cellStyle name="Migliaia 10 2 3 2 4" xfId="42938" xr:uid="{99FD44B7-7D6B-4C15-85A6-242ED0539950}"/>
    <cellStyle name="Migliaia 10 2 3 2 5" xfId="14182" xr:uid="{4FEA0C00-7FE7-4B82-B4E4-29ED320BB56F}"/>
    <cellStyle name="Migliaia 10 2 3 3" xfId="6065" xr:uid="{A3A626A1-4E21-41B2-8711-6F4F455DCC2D}"/>
    <cellStyle name="Migliaia 10 2 3 3 2" xfId="38375" xr:uid="{48FBFDE2-1ED3-4BF9-8EBA-E7933CB41AEF}"/>
    <cellStyle name="Migliaia 10 2 3 3 3" xfId="43677" xr:uid="{9CAED91B-5C9A-4B0C-8B5E-026545B47BDE}"/>
    <cellStyle name="Migliaia 10 2 3 3 4" xfId="33024" xr:uid="{734D6A8E-C3F7-46BE-8A8B-C5386F14DFBC}"/>
    <cellStyle name="Migliaia 10 2 3 3 5" xfId="19796" xr:uid="{B4FF55BF-EF54-48AD-A6CD-E01EF0AD9E4E}"/>
    <cellStyle name="Migliaia 10 2 3 4" xfId="35910" xr:uid="{D92EDAE9-46D6-4F08-B40C-F9EDCF6D7B60}"/>
    <cellStyle name="Migliaia 10 2 3 5" xfId="41026" xr:uid="{32A08195-D533-4DC0-9A7F-EEAF0616D5CD}"/>
    <cellStyle name="Migliaia 10 2 3 6" xfId="16011" xr:uid="{9CB4AD0F-23B3-4A17-A5FE-68C4C254D46D}"/>
    <cellStyle name="Migliaia 10 2 3 7" xfId="8244" xr:uid="{537CF635-4D42-4C5A-A860-405C7DE9EE51}"/>
    <cellStyle name="Migliaia 10 2 4" xfId="4840" xr:uid="{F2E1EBAC-0DE2-4790-8A21-20FE86499B4E}"/>
    <cellStyle name="Migliaia 10 2 4 2" xfId="13885" xr:uid="{9E6CE036-4D2C-493E-86D0-E31821B69314}"/>
    <cellStyle name="Migliaia 10 2 4 2 2" xfId="38376" xr:uid="{367E7EFE-D0F9-4D61-B957-54BC985B4206}"/>
    <cellStyle name="Migliaia 10 2 4 2 3" xfId="43678" xr:uid="{71CDD133-6F80-49AB-B81D-39676540F154}"/>
    <cellStyle name="Migliaia 10 2 4 3" xfId="18729" xr:uid="{A8BE815D-C1E9-424A-A2B3-072E78BA1059}"/>
    <cellStyle name="Migliaia 10 2 4 4" xfId="19797" xr:uid="{F62BB894-1835-4117-B180-9BD78226D71D}"/>
    <cellStyle name="Migliaia 10 2 4 4 2" xfId="41027" xr:uid="{DF0C6CF2-4DD5-43B7-B417-F8B72FE927CF}"/>
    <cellStyle name="Migliaia 10 2 4 5" xfId="16012" xr:uid="{5B7566D4-65A5-4C3E-BDEA-1711E9241B03}"/>
    <cellStyle name="Migliaia 10 2 4 6" xfId="7824" xr:uid="{6827ACA4-7532-494F-BF75-3B6530EE89B8}"/>
    <cellStyle name="Migliaia 10 2 5" xfId="6063" xr:uid="{4902E973-CA72-49EA-8846-1609DFB6CDB3}"/>
    <cellStyle name="Migliaia 10 2 5 2" xfId="33026" xr:uid="{F97A5B6E-065A-412B-B07C-564649D8975C}"/>
    <cellStyle name="Migliaia 10 2 5 2 2" xfId="38377" xr:uid="{FB5FCF8A-5427-4DA1-A943-A02D298FBEC7}"/>
    <cellStyle name="Migliaia 10 2 5 2 3" xfId="43679" xr:uid="{30A5C614-0B39-4F7F-8B55-F394DA291DD0}"/>
    <cellStyle name="Migliaia 10 2 5 3" xfId="35911" xr:uid="{C7E3D2D8-82A3-4578-BA31-2C461FECFB33}"/>
    <cellStyle name="Migliaia 10 2 5 4" xfId="41028" xr:uid="{D4781B12-41E8-46F1-9F4E-C226061F2C37}"/>
    <cellStyle name="Migliaia 10 2 5 5" xfId="13103" xr:uid="{D3000516-E8B6-48B7-8005-4A2FEFF2C3AB}"/>
    <cellStyle name="Migliaia 10 2 6" xfId="3114" xr:uid="{2ABEF558-69AA-4301-BCE1-CA87D073A5BB}"/>
    <cellStyle name="Migliaia 10 2 6 2" xfId="33027" xr:uid="{C8122728-AB78-4620-94D3-B83A42F5ABA6}"/>
    <cellStyle name="Migliaia 10 2 6 2 2" xfId="38378" xr:uid="{118641D2-73FC-47E0-9C13-2CFD73F4AB37}"/>
    <cellStyle name="Migliaia 10 2 6 2 3" xfId="43680" xr:uid="{D6F4EED3-EC12-43A8-8A56-4431A7744F7A}"/>
    <cellStyle name="Migliaia 10 2 6 3" xfId="35912" xr:uid="{1A9D24E7-3550-46B1-BBAB-0CD087992FC6}"/>
    <cellStyle name="Migliaia 10 2 6 4" xfId="41029" xr:uid="{775E3F37-0C8A-470C-97C9-9B7611F63084}"/>
    <cellStyle name="Migliaia 10 2 6 5" xfId="24195" xr:uid="{486D1188-D3A4-4EDA-B3A4-DDCFBB7F3B35}"/>
    <cellStyle name="Migliaia 10 2 6 6" xfId="19793" xr:uid="{FA257537-9EE2-4AA2-9382-3F42F7AE4ACB}"/>
    <cellStyle name="Migliaia 10 2 7" xfId="24190" xr:uid="{BD5A7D44-6CDB-43A9-AED8-AA93E7F264C5}"/>
    <cellStyle name="Migliaia 10 2 8" xfId="7045" xr:uid="{1BCD4E8B-1923-4FE9-BDC5-AB33A66CF62F}"/>
    <cellStyle name="Migliaia 10 3" xfId="303" xr:uid="{00000000-0005-0000-0000-0000C4020000}"/>
    <cellStyle name="Migliaia 10 3 10" xfId="24196" xr:uid="{0BB18BD9-D144-42B2-A25F-4F0E24DC27DF}"/>
    <cellStyle name="Migliaia 10 3 11" xfId="16013" xr:uid="{26851F4A-FDD7-4A36-A154-3BF1C627F6BE}"/>
    <cellStyle name="Migliaia 10 3 12" xfId="7046" xr:uid="{B806D1EC-3128-4FE5-88A4-8BC26E9F36EE}"/>
    <cellStyle name="Migliaia 10 3 2" xfId="304" xr:uid="{00000000-0005-0000-0000-0000C5020000}"/>
    <cellStyle name="Migliaia 10 3 2 2" xfId="1659" xr:uid="{00000000-0005-0000-0000-0000C6020000}"/>
    <cellStyle name="Migliaia 10 3 2 2 2" xfId="4845" xr:uid="{E1235BE6-2F34-41F0-BC63-0F6DBE40EB9F}"/>
    <cellStyle name="Migliaia 10 3 2 2 2 2" xfId="18361" xr:uid="{83618839-D4BE-4EA1-80F3-391325A46F3F}"/>
    <cellStyle name="Migliaia 10 3 2 2 2 2 2" xfId="21838" xr:uid="{E24E37EE-8FAF-4CE4-ACAE-33578A471C81}"/>
    <cellStyle name="Migliaia 10 3 2 2 2 2 2 2" xfId="38379" xr:uid="{0EC60797-6158-4EC7-8B11-CF1E5D797E17}"/>
    <cellStyle name="Migliaia 10 3 2 2 2 2 3" xfId="43681" xr:uid="{3B31803F-851E-4A78-A497-AA16AE58B6B7}"/>
    <cellStyle name="Migliaia 10 3 2 2 2 2 4" xfId="33028" xr:uid="{0252CB39-D3F9-4BC9-92E0-03F096044535}"/>
    <cellStyle name="Migliaia 10 3 2 2 2 3" xfId="35913" xr:uid="{87FD4EAB-67F8-4BFE-948C-A3560240FC29}"/>
    <cellStyle name="Migliaia 10 3 2 2 2 4" xfId="41030" xr:uid="{2081D1A2-E580-4C0D-ADDC-C5D602D3239F}"/>
    <cellStyle name="Migliaia 10 3 2 2 2 5" xfId="46744" xr:uid="{B79C0A41-827D-4CF3-9710-8B65C2FB8303}"/>
    <cellStyle name="Migliaia 10 3 2 2 2 6" xfId="50866" xr:uid="{56828E72-0754-4305-A993-F933C21D00D8}"/>
    <cellStyle name="Migliaia 10 3 2 2 2 7" xfId="53882" xr:uid="{905334BE-E823-4C05-85C9-6A88E6702DDE}"/>
    <cellStyle name="Migliaia 10 3 2 2 2 8" xfId="17639" xr:uid="{1A6A6AA2-9213-433E-A2F2-2799E31188A4}"/>
    <cellStyle name="Migliaia 10 3 2 2 2 9" xfId="11887" xr:uid="{992148A2-C2B4-4A94-BB26-2BBBF317C0F9}"/>
    <cellStyle name="Migliaia 10 3 2 2 3" xfId="6068" xr:uid="{C13E6D0F-BAB4-490D-860E-2E7D42017FCE}"/>
    <cellStyle name="Migliaia 10 3 2 2 3 2" xfId="11680" xr:uid="{570323AC-A38F-4AA8-A2BE-187CCEB68AA4}"/>
    <cellStyle name="Migliaia 10 3 2 2 4" xfId="3119" xr:uid="{DF55D60F-9DD1-4D2D-9D89-C6E84D2A4718}"/>
    <cellStyle name="Migliaia 10 3 2 2 4 2" xfId="21371" xr:uid="{485A9FC3-904B-4D99-BE34-294834F8514A}"/>
    <cellStyle name="Migliaia 10 3 2 2 4 3" xfId="48315" xr:uid="{3A83FA8A-89EC-4B86-83AE-E27DCFCFE53B}"/>
    <cellStyle name="Migliaia 10 3 2 2 4 4" xfId="50386" xr:uid="{4CA09EE8-CC3C-4EC9-AF11-BBCFEA2FA2B4}"/>
    <cellStyle name="Migliaia 10 3 2 2 4 5" xfId="53402" xr:uid="{8E192F1C-4049-4BFE-879B-7367A7776619}"/>
    <cellStyle name="Migliaia 10 3 2 2 4 6" xfId="10736" xr:uid="{6BC7DC2B-23D8-48CA-8659-5B9108671078}"/>
    <cellStyle name="Migliaia 10 3 2 2 5" xfId="19800" xr:uid="{805F853E-9E6E-494B-921C-FE0E3D6FAD5F}"/>
    <cellStyle name="Migliaia 10 3 2 2 6" xfId="24198" xr:uid="{61385194-FBB5-47A0-B25C-BB43D5DD0EBF}"/>
    <cellStyle name="Migliaia 10 3 2 2 7" xfId="8488" xr:uid="{14F6E90B-5C52-40F6-8623-9A165FB49414}"/>
    <cellStyle name="Migliaia 10 3 2 3" xfId="4844" xr:uid="{3B06EAF2-A82A-4A34-B174-E3D996F1FE55}"/>
    <cellStyle name="Migliaia 10 3 2 3 2" xfId="11655" xr:uid="{4F205021-8B05-4DC4-83AB-19A241CED703}"/>
    <cellStyle name="Migliaia 10 3 2 3 2 2" xfId="38380" xr:uid="{CE126976-1E01-4645-91F8-298D03B5C69B}"/>
    <cellStyle name="Migliaia 10 3 2 3 2 3" xfId="43682" xr:uid="{40F49801-7DB8-468A-9771-4B0A621CF716}"/>
    <cellStyle name="Migliaia 10 3 2 3 2 4" xfId="33029" xr:uid="{A60DDAA8-8614-4F91-85C5-2A47447D34AB}"/>
    <cellStyle name="Migliaia 10 3 2 3 3" xfId="11888" xr:uid="{105ADD8A-462F-4909-AE6D-70AB38D9B5DB}"/>
    <cellStyle name="Migliaia 10 3 2 3 4" xfId="19801" xr:uid="{43500F48-58BB-4540-BAE7-C615921F2816}"/>
    <cellStyle name="Migliaia 10 3 2 3 4 2" xfId="41031" xr:uid="{80CE712F-2E25-4001-9E6F-B21208F0B4BF}"/>
    <cellStyle name="Migliaia 10 3 2 3 5" xfId="16014" xr:uid="{487F19B4-1903-4C9E-9794-BA8A23238A79}"/>
    <cellStyle name="Migliaia 10 3 2 3 6" xfId="7826" xr:uid="{5458986E-7654-40F9-9195-DA454D677B16}"/>
    <cellStyle name="Migliaia 10 3 2 4" xfId="6067" xr:uid="{FC2CB318-F6FE-4ACB-BED8-EC3F67D4821D}"/>
    <cellStyle name="Migliaia 10 3 2 4 2" xfId="18058" xr:uid="{1E2E6B95-202F-478F-988C-0862D0688CE7}"/>
    <cellStyle name="Migliaia 10 3 2 4 2 2" xfId="38381" xr:uid="{642E818A-6DB0-4509-8799-4427D25BDE7E}"/>
    <cellStyle name="Migliaia 10 3 2 4 2 3" xfId="43683" xr:uid="{934ACF79-5106-42E8-A807-87FA93246FFA}"/>
    <cellStyle name="Migliaia 10 3 2 4 3" xfId="35914" xr:uid="{227F7294-5C62-4958-806E-E757A8F5FF26}"/>
    <cellStyle name="Migliaia 10 3 2 4 4" xfId="41032" xr:uid="{B6EDAA83-A312-4127-BB3D-EF25583CB568}"/>
    <cellStyle name="Migliaia 10 3 2 4 5" xfId="17138" xr:uid="{26DCCEE5-89B8-4EA6-BF53-4D4BE338E264}"/>
    <cellStyle name="Migliaia 10 3 2 4 6" xfId="11240" xr:uid="{518B6165-E289-493A-8A33-A349C37B314E}"/>
    <cellStyle name="Migliaia 10 3 2 5" xfId="3118" xr:uid="{1E34D88F-DEF6-4F54-8120-3FBA217AAEB4}"/>
    <cellStyle name="Migliaia 10 3 2 5 2" xfId="33030" xr:uid="{DE318458-F9EF-424F-B129-F77681BE6854}"/>
    <cellStyle name="Migliaia 10 3 2 5 2 2" xfId="38382" xr:uid="{5A9AFC85-0C69-4076-B036-D1AEC935501B}"/>
    <cellStyle name="Migliaia 10 3 2 5 2 3" xfId="43684" xr:uid="{7AD11381-D574-48B6-932C-1CE4CFF3BFAF}"/>
    <cellStyle name="Migliaia 10 3 2 5 3" xfId="35915" xr:uid="{3433D10E-9537-4A48-8B47-ADF22EA16FF8}"/>
    <cellStyle name="Migliaia 10 3 2 5 4" xfId="41033" xr:uid="{83E77CFC-8FB5-48C2-B409-2B069F819223}"/>
    <cellStyle name="Migliaia 10 3 2 5 5" xfId="17423" xr:uid="{D6E0EB1F-2225-4D21-A697-71B37D351747}"/>
    <cellStyle name="Migliaia 10 3 2 6" xfId="19799" xr:uid="{F364556D-F03D-4D09-8373-8F0DE85EBEB9}"/>
    <cellStyle name="Migliaia 10 3 2 6 2" xfId="33031" xr:uid="{1D0CB567-3CED-468E-A4E6-D00633088DC9}"/>
    <cellStyle name="Migliaia 10 3 2 6 2 2" xfId="38383" xr:uid="{C2ACE18D-F4E2-480C-A71F-B825CCFCFEA7}"/>
    <cellStyle name="Migliaia 10 3 2 6 2 3" xfId="43685" xr:uid="{160030AC-31AD-4A4D-904E-6296043AC657}"/>
    <cellStyle name="Migliaia 10 3 2 6 3" xfId="35916" xr:uid="{E2DAF72D-6A14-4F2F-92EF-0E2F73DBD553}"/>
    <cellStyle name="Migliaia 10 3 2 6 4" xfId="41034" xr:uid="{26EFD44A-6F71-4699-9974-295660263ADB}"/>
    <cellStyle name="Migliaia 10 3 2 6 5" xfId="24199" xr:uid="{F047C080-F3DA-4E6F-95A7-3A882FDE0CE8}"/>
    <cellStyle name="Migliaia 10 3 2 7" xfId="24197" xr:uid="{423DDBAA-7324-4B30-9D54-0D0C70C5839D}"/>
    <cellStyle name="Migliaia 10 3 2 8" xfId="7298" xr:uid="{B4D6F97E-30A8-4B10-8109-B6F36098EDD9}"/>
    <cellStyle name="Migliaia 10 3 3" xfId="3120" xr:uid="{0948A49E-6D7B-42C7-BF5B-976A458A2C37}"/>
    <cellStyle name="Migliaia 10 3 3 10" xfId="7297" xr:uid="{7085520C-6F95-483D-8F84-A9A8E5B50EE2}"/>
    <cellStyle name="Migliaia 10 3 3 2" xfId="4846" xr:uid="{08CECC23-E5FF-4977-825A-CBC4C1C262AB}"/>
    <cellStyle name="Migliaia 10 3 3 2 2" xfId="9884" xr:uid="{CD1858EE-CCEF-4C13-B833-1B8E319D68F5}"/>
    <cellStyle name="Migliaia 10 3 3 2 2 2" xfId="38385" xr:uid="{9042CA58-96A2-488C-9BD3-675603DA0EAA}"/>
    <cellStyle name="Migliaia 10 3 3 2 2 3" xfId="43687" xr:uid="{9441884F-F653-4675-8086-DE071FA70750}"/>
    <cellStyle name="Migliaia 10 3 3 2 3" xfId="18164" xr:uid="{B1645D78-A744-48DF-B7F4-620C81952727}"/>
    <cellStyle name="Migliaia 10 3 3 2 4" xfId="19803" xr:uid="{0A2A4069-85C1-45BE-AE39-21D715DDE4FC}"/>
    <cellStyle name="Migliaia 10 3 3 2 4 2" xfId="41036" xr:uid="{06194262-3FCB-427D-AD95-547851D4731A}"/>
    <cellStyle name="Migliaia 10 3 3 2 5" xfId="16016" xr:uid="{6DE750F6-AE2D-4FF7-83AC-5EF3CDB5C8CC}"/>
    <cellStyle name="Migliaia 10 3 3 2 6" xfId="8487" xr:uid="{2E3130DC-DF67-4890-8F4C-F0766E94FD88}"/>
    <cellStyle name="Migliaia 10 3 3 3" xfId="6069" xr:uid="{CBC98E31-301A-4B97-813F-5F47DC5A6D78}"/>
    <cellStyle name="Migliaia 10 3 3 3 2" xfId="33033" xr:uid="{BAF43114-CD1E-44BA-A318-A757107F9D4D}"/>
    <cellStyle name="Migliaia 10 3 3 3 2 2" xfId="38386" xr:uid="{DCFB7BA9-CEEE-416B-B4E7-CDEC3E0EA4BC}"/>
    <cellStyle name="Migliaia 10 3 3 3 2 3" xfId="43688" xr:uid="{5D96C78A-1529-40FC-AF6C-E63C97B5F6B1}"/>
    <cellStyle name="Migliaia 10 3 3 3 3" xfId="35918" xr:uid="{58E47E64-54BF-46FA-969C-5CBC78C8022C}"/>
    <cellStyle name="Migliaia 10 3 3 3 4" xfId="41037" xr:uid="{05CF7AC1-9C15-47A8-BB8A-839E09597173}"/>
    <cellStyle name="Migliaia 10 3 3 3 5" xfId="9647" xr:uid="{69AF992F-FBCC-4B70-A769-3FE11516DFF8}"/>
    <cellStyle name="Migliaia 10 3 3 4" xfId="19802" xr:uid="{7D3D02D2-4041-4BBB-95CA-F3528B79452A}"/>
    <cellStyle name="Migliaia 10 3 3 4 2" xfId="33034" xr:uid="{AE2CFB3C-FC5D-4340-B59C-4C76A8C59A6A}"/>
    <cellStyle name="Migliaia 10 3 3 4 2 2" xfId="38387" xr:uid="{34746D06-5510-4E2B-9A27-FD399F0C634A}"/>
    <cellStyle name="Migliaia 10 3 3 4 2 3" xfId="43689" xr:uid="{7D940EE8-4DD2-4F83-9A12-202C83DBCA41}"/>
    <cellStyle name="Migliaia 10 3 3 4 3" xfId="35919" xr:uid="{3BB47F75-D675-4638-9F16-A9E08D13E29C}"/>
    <cellStyle name="Migliaia 10 3 3 4 4" xfId="41038" xr:uid="{49C9C523-9651-445C-B571-22C37949A0EE}"/>
    <cellStyle name="Migliaia 10 3 3 4 5" xfId="24200" xr:uid="{1FC2162E-6926-411E-B3CA-C8BAB56D5D48}"/>
    <cellStyle name="Migliaia 10 3 3 5" xfId="24201" xr:uid="{DF83B178-3840-4760-99A7-AEB28EE40584}"/>
    <cellStyle name="Migliaia 10 3 3 5 2" xfId="33035" xr:uid="{8B5C4904-55CE-446F-A6F4-3072A8EAE433}"/>
    <cellStyle name="Migliaia 10 3 3 5 2 2" xfId="38388" xr:uid="{981C680C-0AEA-4329-9841-4F07D267D4B6}"/>
    <cellStyle name="Migliaia 10 3 3 5 2 3" xfId="43690" xr:uid="{53B84925-57B2-4697-9377-C856F3301B03}"/>
    <cellStyle name="Migliaia 10 3 3 5 3" xfId="35920" xr:uid="{A3EE613C-622E-4EAF-9D7B-16657129EA72}"/>
    <cellStyle name="Migliaia 10 3 3 5 4" xfId="41039" xr:uid="{6BD2A3FD-D7D9-41BA-AB5A-4BD89F13645E}"/>
    <cellStyle name="Migliaia 10 3 3 6" xfId="33032" xr:uid="{BABC7F37-05CE-479F-AF44-03EE46926F13}"/>
    <cellStyle name="Migliaia 10 3 3 6 2" xfId="38384" xr:uid="{1A39FD20-806B-4B84-9A76-0296E10EB6AE}"/>
    <cellStyle name="Migliaia 10 3 3 6 3" xfId="43686" xr:uid="{455EA34E-5E8E-4359-A0D0-0D5FB6881E76}"/>
    <cellStyle name="Migliaia 10 3 3 7" xfId="35917" xr:uid="{42F25869-937D-4CF3-A55E-17843A5FAC04}"/>
    <cellStyle name="Migliaia 10 3 3 8" xfId="41035" xr:uid="{5D09BCFD-A054-4570-B037-EFB58D5FFAC0}"/>
    <cellStyle name="Migliaia 10 3 3 9" xfId="16015" xr:uid="{FDC9D046-AB57-473D-A58E-7BE14F557377}"/>
    <cellStyle name="Migliaia 10 3 4" xfId="3121" xr:uid="{B7E0A7F7-2847-44E4-84FC-0E1BFDD43C6F}"/>
    <cellStyle name="Migliaia 10 3 4 2" xfId="4847" xr:uid="{84E2367F-EA71-47BD-A054-361AC4EBDDF5}"/>
    <cellStyle name="Migliaia 10 3 4 2 2" xfId="14424" xr:uid="{A3D6F486-04E3-45BD-96AD-B670F0F4E7BF}"/>
    <cellStyle name="Migliaia 10 3 4 2 3" xfId="18592" xr:uid="{1936CCDD-7DE7-465F-A106-940BB0F4FD32}"/>
    <cellStyle name="Migliaia 10 3 4 2 4" xfId="19805" xr:uid="{C4F11703-182B-4B7E-A4FA-83D8C8707DC6}"/>
    <cellStyle name="Migliaia 10 3 4 2 5" xfId="32287" xr:uid="{C3647BCC-E255-45C4-B4C8-7FDD214859BF}"/>
    <cellStyle name="Migliaia 10 3 4 2 6" xfId="16018" xr:uid="{787B8079-86F7-45FF-829A-A9E820E09B2B}"/>
    <cellStyle name="Migliaia 10 3 4 2 7" xfId="8847" xr:uid="{4F456014-87B2-4088-9967-E0C472406102}"/>
    <cellStyle name="Migliaia 10 3 4 3" xfId="6070" xr:uid="{90618E43-F9FF-4B04-8CDC-5F117A836CED}"/>
    <cellStyle name="Migliaia 10 3 4 3 2" xfId="35130" xr:uid="{F216CA8B-2481-4117-8835-7E7521CE67B9}"/>
    <cellStyle name="Migliaia 10 3 4 3 2 2" xfId="40288" xr:uid="{2CAC6AEF-E126-4DC7-A8DD-7530E4B3ACF3}"/>
    <cellStyle name="Migliaia 10 3 4 3 2 3" xfId="45590" xr:uid="{07CFD376-A020-4F74-8503-A941833506C1}"/>
    <cellStyle name="Migliaia 10 3 4 3 3" xfId="37637" xr:uid="{66A4F44F-E95F-4AA6-A84C-CD4FCD39FE3D}"/>
    <cellStyle name="Migliaia 10 3 4 3 4" xfId="42939" xr:uid="{EFA98F51-D2BD-4E48-B3E1-95B373C71ABC}"/>
    <cellStyle name="Migliaia 10 3 4 3 5" xfId="13672" xr:uid="{6CA29724-E257-4EAC-96D5-E3486DB13877}"/>
    <cellStyle name="Migliaia 10 3 4 4" xfId="19804" xr:uid="{AAB06F87-2D83-49A8-AC58-9EB2624FE6A1}"/>
    <cellStyle name="Migliaia 10 3 4 4 2" xfId="38389" xr:uid="{07434B65-1240-4AC7-974E-C2E609746464}"/>
    <cellStyle name="Migliaia 10 3 4 4 3" xfId="43691" xr:uid="{BB875F6E-45F0-401E-91B1-8C903258F504}"/>
    <cellStyle name="Migliaia 10 3 4 4 4" xfId="33036" xr:uid="{8CE4910A-5B4C-4C99-9EE9-B5BA553AC1EA}"/>
    <cellStyle name="Migliaia 10 3 4 5" xfId="35921" xr:uid="{DE0869C8-583D-45EC-964E-0CDB9FD9017D}"/>
    <cellStyle name="Migliaia 10 3 4 6" xfId="41040" xr:uid="{4856DBD4-7CF7-4654-B07A-C8BF0FF3185A}"/>
    <cellStyle name="Migliaia 10 3 4 7" xfId="16017" xr:uid="{2A42489D-2E0C-47EC-88AA-BB4039145FF2}"/>
    <cellStyle name="Migliaia 10 3 4 8" xfId="7657" xr:uid="{BBF40409-80FC-4D47-B181-FDD91576E0DB}"/>
    <cellStyle name="Migliaia 10 3 5" xfId="3122" xr:uid="{F96CBF0E-061A-48FC-9797-824F455E142B}"/>
    <cellStyle name="Migliaia 10 3 5 2" xfId="4848" xr:uid="{5B7DC88E-31B8-478D-8015-192461C09EEA}"/>
    <cellStyle name="Migliaia 10 3 5 2 2" xfId="35131" xr:uid="{035B954D-F62C-4AA9-BE30-717B7CB244F1}"/>
    <cellStyle name="Migliaia 10 3 5 2 2 2" xfId="40289" xr:uid="{49D39D70-0D1B-4607-B9DF-8732D6DDF1D7}"/>
    <cellStyle name="Migliaia 10 3 5 2 2 3" xfId="45591" xr:uid="{E8B69CC2-73D3-4329-8BCD-AE94FC43E1E3}"/>
    <cellStyle name="Migliaia 10 3 5 2 3" xfId="37638" xr:uid="{980F3C59-89E7-411D-8329-837E934B2E1F}"/>
    <cellStyle name="Migliaia 10 3 5 2 4" xfId="42940" xr:uid="{D07594CB-6257-47B2-8D2E-99F84AADC7E9}"/>
    <cellStyle name="Migliaia 10 3 5 2 5" xfId="14183" xr:uid="{1E6C17E5-06A1-445E-95D9-04C3AC081424}"/>
    <cellStyle name="Migliaia 10 3 5 3" xfId="6071" xr:uid="{F1CCDB85-F1B0-47A8-9401-26F98A8398E2}"/>
    <cellStyle name="Migliaia 10 3 5 3 2" xfId="38390" xr:uid="{F9A264BF-3790-40F5-8C44-8DFB9D828CF2}"/>
    <cellStyle name="Migliaia 10 3 5 3 3" xfId="43692" xr:uid="{4DBB674C-573E-40B2-B17C-5F3EF7D7A053}"/>
    <cellStyle name="Migliaia 10 3 5 3 4" xfId="33037" xr:uid="{C404EF6F-50BB-4FAE-91A4-AA3E17525168}"/>
    <cellStyle name="Migliaia 10 3 5 3 5" xfId="19806" xr:uid="{F8B71149-7585-44E0-8F01-3376AA99ECC1}"/>
    <cellStyle name="Migliaia 10 3 5 4" xfId="35922" xr:uid="{10EC2465-B497-4545-9231-54917BDB6BF9}"/>
    <cellStyle name="Migliaia 10 3 5 5" xfId="41041" xr:uid="{2FBD258B-5334-48DA-A6FF-EF67C9E7C2B3}"/>
    <cellStyle name="Migliaia 10 3 5 6" xfId="16019" xr:uid="{1B80E2FF-39BF-43B7-A209-0F16F9D4407D}"/>
    <cellStyle name="Migliaia 10 3 5 7" xfId="8245" xr:uid="{B7E097A1-B07D-4952-8198-33C0231E8C38}"/>
    <cellStyle name="Migliaia 10 3 6" xfId="4843" xr:uid="{FDE819AD-8544-4629-833F-AAFE16D76846}"/>
    <cellStyle name="Migliaia 10 3 6 2" xfId="13886" xr:uid="{03A2ACF5-3613-4B8B-93CF-77F964C6555D}"/>
    <cellStyle name="Migliaia 10 3 6 2 2" xfId="38391" xr:uid="{E3EB6A9F-B788-414D-8F3C-F4EC946913CF}"/>
    <cellStyle name="Migliaia 10 3 6 2 3" xfId="43693" xr:uid="{399ABB55-3F3D-43DD-AEB9-3797422C4E27}"/>
    <cellStyle name="Migliaia 10 3 6 3" xfId="18012" xr:uid="{22AF749F-7E19-4FA2-AA83-0E8E1284FC55}"/>
    <cellStyle name="Migliaia 10 3 6 4" xfId="19807" xr:uid="{CC97025D-7AA6-453E-87FA-D50812376534}"/>
    <cellStyle name="Migliaia 10 3 6 4 2" xfId="41042" xr:uid="{5907A9A3-3B8D-467A-AE84-DDF0C35EE270}"/>
    <cellStyle name="Migliaia 10 3 6 5" xfId="16020" xr:uid="{BE95C28D-327D-49E4-9D8C-00CDC1A038F0}"/>
    <cellStyle name="Migliaia 10 3 6 6" xfId="7825" xr:uid="{FA8303E5-DE33-407A-BF1D-5BD1803F0238}"/>
    <cellStyle name="Migliaia 10 3 7" xfId="6066" xr:uid="{4DF2092F-3ABA-4FB2-B53D-B465F95C33F9}"/>
    <cellStyle name="Migliaia 10 3 7 2" xfId="33038" xr:uid="{1E7964BB-6166-4487-A48F-8B6EB597A788}"/>
    <cellStyle name="Migliaia 10 3 7 2 2" xfId="38392" xr:uid="{59B6A50C-1548-4D8F-9292-B9D97DEAB94E}"/>
    <cellStyle name="Migliaia 10 3 7 2 3" xfId="43694" xr:uid="{1EDC4A82-3FD0-485B-A6E4-B716DB80E295}"/>
    <cellStyle name="Migliaia 10 3 7 3" xfId="35923" xr:uid="{C40E2745-CF9F-4395-898C-D1A385A1871B}"/>
    <cellStyle name="Migliaia 10 3 7 4" xfId="41043" xr:uid="{1EC1209E-84E6-42C0-BB65-8C239C998D1C}"/>
    <cellStyle name="Migliaia 10 3 7 5" xfId="12276" xr:uid="{43F86B71-8C7B-46E2-90D3-08CE0D45A5E6}"/>
    <cellStyle name="Migliaia 10 3 8" xfId="3117" xr:uid="{746B2425-6AD4-4F0C-BB23-1E59ABD48EC1}"/>
    <cellStyle name="Migliaia 10 3 8 2" xfId="33039" xr:uid="{98318447-1268-4E8E-A334-3031B9EE5979}"/>
    <cellStyle name="Migliaia 10 3 8 2 2" xfId="38393" xr:uid="{CB60C938-060F-4BD6-AE05-BB77B9707A72}"/>
    <cellStyle name="Migliaia 10 3 8 2 3" xfId="43695" xr:uid="{92E2E3C2-9978-4948-952B-319589C95A63}"/>
    <cellStyle name="Migliaia 10 3 8 3" xfId="35924" xr:uid="{7F7A59B3-77D1-4811-A47D-C7443153D4A4}"/>
    <cellStyle name="Migliaia 10 3 8 4" xfId="41044" xr:uid="{DED7EACF-F155-4275-9E29-71724B81B91E}"/>
    <cellStyle name="Migliaia 10 3 8 5" xfId="24202" xr:uid="{33A1819D-3E4F-4A76-8716-18589C78A21E}"/>
    <cellStyle name="Migliaia 10 3 8 6" xfId="17424" xr:uid="{101D78B2-C469-4480-9157-60475DE013F1}"/>
    <cellStyle name="Migliaia 10 3 9" xfId="19798" xr:uid="{2987F523-DBCA-4A62-B2CB-393E2E450036}"/>
    <cellStyle name="Migliaia 10 4" xfId="1660" xr:uid="{00000000-0005-0000-0000-0000C7020000}"/>
    <cellStyle name="Migliaia 10 4 2" xfId="1661" xr:uid="{00000000-0005-0000-0000-0000C8020000}"/>
    <cellStyle name="Migliaia 10 4 2 2" xfId="4850" xr:uid="{8F9C726E-1C8B-4551-B54D-5238D09BF7D0}"/>
    <cellStyle name="Migliaia 10 4 2 2 2" xfId="33040" xr:uid="{E3BC5533-79B2-497F-A036-4C0196FBBEC5}"/>
    <cellStyle name="Migliaia 10 4 2 2 2 2" xfId="38394" xr:uid="{13DFFCA3-B938-4EE6-97D7-DE649F2068FA}"/>
    <cellStyle name="Migliaia 10 4 2 2 2 3" xfId="43696" xr:uid="{FA013846-5767-4929-B097-9ABB15A085BA}"/>
    <cellStyle name="Migliaia 10 4 2 2 3" xfId="35925" xr:uid="{B09079C5-EFD9-4531-9B38-D539418347F6}"/>
    <cellStyle name="Migliaia 10 4 2 2 4" xfId="41045" xr:uid="{9BD14A60-C68F-4ECE-9D18-B7E4033337A7}"/>
    <cellStyle name="Migliaia 10 4 2 2 5" xfId="9110" xr:uid="{7B0EA1CC-600D-4B0C-AB70-5AEAE8A0D1AC}"/>
    <cellStyle name="Migliaia 10 4 2 3" xfId="3124" xr:uid="{2D4C33D0-627F-4385-A6F8-68EC9772BE78}"/>
    <cellStyle name="Migliaia 10 4 2 3 2" xfId="33041" xr:uid="{F8DAFD43-4662-4358-A964-FF98D47639F6}"/>
    <cellStyle name="Migliaia 10 4 2 3 2 2" xfId="38395" xr:uid="{20A5C621-E923-42F9-A3C7-E0BBFD5B2603}"/>
    <cellStyle name="Migliaia 10 4 2 3 2 3" xfId="43697" xr:uid="{665CA418-2408-43F0-AA07-A69769054FB4}"/>
    <cellStyle name="Migliaia 10 4 2 3 3" xfId="35926" xr:uid="{AA8C4658-A872-41CA-A118-CEB8687966E0}"/>
    <cellStyle name="Migliaia 10 4 2 3 4" xfId="41046" xr:uid="{30377856-5B56-43D6-B25E-25C693A25C91}"/>
    <cellStyle name="Migliaia 10 4 2 3 5" xfId="11889" xr:uid="{CEA82364-D205-4BFB-943B-C3AF819AAD63}"/>
    <cellStyle name="Migliaia 10 4 2 4" xfId="11242" xr:uid="{D019FDDD-9A3E-4E25-BEE0-2C73225B3BBA}"/>
    <cellStyle name="Migliaia 10 4 2 5" xfId="10738" xr:uid="{5898AD6E-4788-428A-999C-F58AAE3BD8D5}"/>
    <cellStyle name="Migliaia 10 4 2 5 2" xfId="21373" xr:uid="{076366D1-B188-4E7D-A049-842298EB7667}"/>
    <cellStyle name="Migliaia 10 4 2 5 3" xfId="47957" xr:uid="{2265BBDA-6E28-4699-BA20-1B58BAB99EB1}"/>
    <cellStyle name="Migliaia 10 4 2 5 4" xfId="50388" xr:uid="{E12B09DF-B8BF-4B7D-952D-D085777A368E}"/>
    <cellStyle name="Migliaia 10 4 2 5 5" xfId="53404" xr:uid="{3B1CEB5D-3CA4-4767-89FB-1AB7AF3D7E7E}"/>
    <cellStyle name="Migliaia 10 4 2 6" xfId="19809" xr:uid="{7F339EAB-7B91-4105-8510-0DBE06BEB552}"/>
    <cellStyle name="Migliaia 10 4 2 7" xfId="24204" xr:uid="{1E04CBA7-0C39-48E8-904D-CD8BDB95B0DE}"/>
    <cellStyle name="Migliaia 10 4 2 8" xfId="8489" xr:uid="{37BA63F5-6508-491A-BF24-EDE5DB2ADC99}"/>
    <cellStyle name="Migliaia 10 4 3" xfId="4849" xr:uid="{BB6069B6-2D7D-4094-BF97-248D87C1D109}"/>
    <cellStyle name="Migliaia 10 4 3 2" xfId="18165" xr:uid="{4B4920B1-EFE1-4554-8C5A-243C024F238A}"/>
    <cellStyle name="Migliaia 10 4 3 2 2" xfId="38396" xr:uid="{2F11E619-DF2C-4477-98F9-89E9B9CC3811}"/>
    <cellStyle name="Migliaia 10 4 3 2 3" xfId="43698" xr:uid="{AB6FCA67-682B-4B5B-A540-3EBB9BFB885D}"/>
    <cellStyle name="Migliaia 10 4 3 3" xfId="35927" xr:uid="{2C3AEEB1-DEBE-466F-A9AD-25977749F4DB}"/>
    <cellStyle name="Migliaia 10 4 3 4" xfId="41047" xr:uid="{098570C1-B8F7-4961-844F-AB2AF915BD1D}"/>
    <cellStyle name="Migliaia 10 4 3 5" xfId="17422" xr:uid="{4985D47C-ECE1-4EE3-B053-79B0143199C4}"/>
    <cellStyle name="Migliaia 10 4 3 6" xfId="9111" xr:uid="{62A75B44-489B-4CBF-9ACD-D55D7C6DDAEF}"/>
    <cellStyle name="Migliaia 10 4 4" xfId="6072" xr:uid="{360C3AFB-E763-427F-A942-1698565FD6CE}"/>
    <cellStyle name="Migliaia 10 4 4 2" xfId="33042" xr:uid="{734F7A93-FF30-4B93-AF8A-CA4A5E6A4538}"/>
    <cellStyle name="Migliaia 10 4 4 2 2" xfId="38397" xr:uid="{0E7DB8AF-5053-48EF-9A6F-34FFBCDC6639}"/>
    <cellStyle name="Migliaia 10 4 4 2 3" xfId="43699" xr:uid="{7E5576F2-56F9-4494-A954-005A7D7E340D}"/>
    <cellStyle name="Migliaia 10 4 4 3" xfId="35928" xr:uid="{0F4C9AFB-FA68-4161-BC76-F3CD41DCE12B}"/>
    <cellStyle name="Migliaia 10 4 4 4" xfId="41048" xr:uid="{3F5CA090-C87F-4641-905F-9A2520C2F4C1}"/>
    <cellStyle name="Migliaia 10 4 4 5" xfId="11890" xr:uid="{E7A091AA-70F3-4B3E-9709-FAF5A3B7D854}"/>
    <cellStyle name="Migliaia 10 4 5" xfId="3123" xr:uid="{9C1BE531-3890-42D5-96D3-125218BF4744}"/>
    <cellStyle name="Migliaia 10 4 5 2" xfId="33043" xr:uid="{E8881BF7-7F00-497C-86C1-6BAAFB87FE5E}"/>
    <cellStyle name="Migliaia 10 4 5 2 2" xfId="38398" xr:uid="{06C97317-C55E-4C5C-94EA-562E0B1A9789}"/>
    <cellStyle name="Migliaia 10 4 5 2 3" xfId="43700" xr:uid="{0763BEF9-C996-4A45-B0C7-A92421E20F71}"/>
    <cellStyle name="Migliaia 10 4 5 3" xfId="35929" xr:uid="{E367446B-65E5-4F55-BFE7-959BC5691AE8}"/>
    <cellStyle name="Migliaia 10 4 5 4" xfId="41049" xr:uid="{EEC05DA6-8267-4CA4-9CE3-BD89E77E489C}"/>
    <cellStyle name="Migliaia 10 4 5 5" xfId="11241" xr:uid="{789E6A8A-5BC6-496C-99D2-6C283CAD8ABF}"/>
    <cellStyle name="Migliaia 10 4 6" xfId="10737" xr:uid="{D7661B85-E522-49C6-BCE4-B3925852C7F2}"/>
    <cellStyle name="Migliaia 10 4 6 2" xfId="21372" xr:uid="{1035E6FD-2FC0-432B-949D-7D7F4AB393BB}"/>
    <cellStyle name="Migliaia 10 4 6 2 2" xfId="38399" xr:uid="{7022E3BD-916C-4172-9E42-705F1B587E17}"/>
    <cellStyle name="Migliaia 10 4 6 2 3" xfId="43701" xr:uid="{FC6C0958-DC9F-488D-801B-0F26DEEACEBF}"/>
    <cellStyle name="Migliaia 10 4 6 2 4" xfId="33044" xr:uid="{3693AA26-0DB1-47C1-AA7A-0FE7E293F1C3}"/>
    <cellStyle name="Migliaia 10 4 6 3" xfId="35930" xr:uid="{2B5E449A-BC03-4246-AB05-5EB7C620E94B}"/>
    <cellStyle name="Migliaia 10 4 6 4" xfId="41050" xr:uid="{A31C3261-EEBE-45B6-B3C4-57C63533F1D0}"/>
    <cellStyle name="Migliaia 10 4 6 5" xfId="24205" xr:uid="{CA03FA9F-E8B1-4E23-A442-59F30CE21883}"/>
    <cellStyle name="Migliaia 10 4 6 6" xfId="47701" xr:uid="{F4923C64-57BA-418F-BA37-FABA98EF86DB}"/>
    <cellStyle name="Migliaia 10 4 6 7" xfId="50387" xr:uid="{0058ED10-31BC-4AC0-A78B-678C57787A96}"/>
    <cellStyle name="Migliaia 10 4 6 8" xfId="53403" xr:uid="{C313877B-AF4D-41D5-8310-CAD8DACB38ED}"/>
    <cellStyle name="Migliaia 10 4 7" xfId="19808" xr:uid="{1E218CA5-FFA2-4CA8-86E3-DFA2180F0835}"/>
    <cellStyle name="Migliaia 10 4 7 2" xfId="33045" xr:uid="{C41454B3-84A1-463B-AB15-D72508FAE43A}"/>
    <cellStyle name="Migliaia 10 4 7 2 2" xfId="38400" xr:uid="{6547C331-4D63-40EA-BC21-3984577CED03}"/>
    <cellStyle name="Migliaia 10 4 7 2 3" xfId="43702" xr:uid="{E1CF8836-F640-4D0B-B2E9-37AD9A874359}"/>
    <cellStyle name="Migliaia 10 4 7 3" xfId="35931" xr:uid="{E63641BE-8F97-47BC-BFC0-E1AEE7D4EA84}"/>
    <cellStyle name="Migliaia 10 4 7 4" xfId="41051" xr:uid="{7E670ADD-76B4-46B8-A67C-99D03842C87C}"/>
    <cellStyle name="Migliaia 10 4 7 5" xfId="24206" xr:uid="{B147E2DA-E39E-4B98-A8CA-453CE72B7C55}"/>
    <cellStyle name="Migliaia 10 4 8" xfId="24203" xr:uid="{D5A36A86-444C-4F32-8086-02AC42702954}"/>
    <cellStyle name="Migliaia 10 4 9" xfId="7299" xr:uid="{426E2FD8-B012-4749-B135-4AB86C9F9702}"/>
    <cellStyle name="Migliaia 10 5" xfId="1662" xr:uid="{00000000-0005-0000-0000-0000C9020000}"/>
    <cellStyle name="Migliaia 10 5 2" xfId="4851" xr:uid="{E060A36F-61DF-4504-B124-0E69E2C47AC5}"/>
    <cellStyle name="Migliaia 10 5 2 2" xfId="18362" xr:uid="{8BBCC8AE-CFF7-4DF9-AE02-D2896E500125}"/>
    <cellStyle name="Migliaia 10 5 2 2 2" xfId="38401" xr:uid="{1647A652-5C9C-40B5-9643-E298A8C76A74}"/>
    <cellStyle name="Migliaia 10 5 2 2 3" xfId="43703" xr:uid="{E1EA1B31-4147-4FF8-81B1-DDD43AA9A496}"/>
    <cellStyle name="Migliaia 10 5 2 3" xfId="19811" xr:uid="{342F7C15-73D5-4C3F-9C5A-415B99038220}"/>
    <cellStyle name="Migliaia 10 5 2 3 2" xfId="35932" xr:uid="{AA9430CB-9E88-45AD-AD80-37A9E3907E36}"/>
    <cellStyle name="Migliaia 10 5 2 4" xfId="41052" xr:uid="{0293D786-B5B9-40E2-BF01-D75F91CE0DB7}"/>
    <cellStyle name="Migliaia 10 5 2 5" xfId="16021" xr:uid="{E6FEA9D4-644E-4593-A5E3-0654519999AB}"/>
    <cellStyle name="Migliaia 10 5 2 6" xfId="8490" xr:uid="{FDAC7057-42C4-4980-8CCE-4B358892E722}"/>
    <cellStyle name="Migliaia 10 5 3" xfId="6073" xr:uid="{9E882E1C-D9DC-497A-B655-2C78871294F7}"/>
    <cellStyle name="Migliaia 10 5 3 2" xfId="33046" xr:uid="{ECAA7FB6-49FD-4E41-8001-38D0A9FA28D1}"/>
    <cellStyle name="Migliaia 10 5 3 2 2" xfId="38402" xr:uid="{55836247-98DF-45F6-BC51-234D3786953E}"/>
    <cellStyle name="Migliaia 10 5 3 2 3" xfId="43704" xr:uid="{879A2EB2-E1A9-47ED-B96C-D2F938E19D0D}"/>
    <cellStyle name="Migliaia 10 5 3 3" xfId="35933" xr:uid="{BFAF56B8-4A05-4C7E-B41A-178836B563C0}"/>
    <cellStyle name="Migliaia 10 5 3 4" xfId="41053" xr:uid="{F3DA0CD7-60B6-4CFD-AA4E-6B9381B3E9A3}"/>
    <cellStyle name="Migliaia 10 5 3 5" xfId="11243" xr:uid="{6FB8DBB3-EE71-46A1-951A-1DC326B56D83}"/>
    <cellStyle name="Migliaia 10 5 4" xfId="3125" xr:uid="{FAEC4E63-52D4-44A3-92D4-07B0C8162E94}"/>
    <cellStyle name="Migliaia 10 5 4 2" xfId="21374" xr:uid="{3E678015-D82B-482C-8167-2C9DDEA10705}"/>
    <cellStyle name="Migliaia 10 5 4 2 2" xfId="38403" xr:uid="{FA2A1996-61CC-4313-A2BA-8B18B93A3524}"/>
    <cellStyle name="Migliaia 10 5 4 2 3" xfId="43705" xr:uid="{1A4AE99E-9594-483A-BB61-C0262970E56D}"/>
    <cellStyle name="Migliaia 10 5 4 2 4" xfId="33047" xr:uid="{DB88C7E3-636E-43C8-8EF7-D65449994F6C}"/>
    <cellStyle name="Migliaia 10 5 4 3" xfId="35934" xr:uid="{388EE42B-A5AD-4910-8E21-93E924EF33E8}"/>
    <cellStyle name="Migliaia 10 5 4 4" xfId="41054" xr:uid="{EF0BF780-91B5-4C11-9EB1-9C1E850B9AA6}"/>
    <cellStyle name="Migliaia 10 5 4 5" xfId="24208" xr:uid="{F1F3B79C-B198-4751-A3BA-DA14DE941295}"/>
    <cellStyle name="Migliaia 10 5 4 6" xfId="46203" xr:uid="{1CA80317-795A-42FE-9BA5-9D57722F7306}"/>
    <cellStyle name="Migliaia 10 5 4 7" xfId="50389" xr:uid="{094A8035-AD46-4FAE-BDE6-83BD852154B4}"/>
    <cellStyle name="Migliaia 10 5 4 8" xfId="53405" xr:uid="{F975230B-48F8-4F0C-86E6-3097B4D712F2}"/>
    <cellStyle name="Migliaia 10 5 4 9" xfId="10739" xr:uid="{07471954-6222-4E1F-9926-2A893AA6A636}"/>
    <cellStyle name="Migliaia 10 5 5" xfId="19810" xr:uid="{6B0EED63-4396-435F-9B59-24C66868AD98}"/>
    <cellStyle name="Migliaia 10 5 5 2" xfId="33048" xr:uid="{41EDC250-0D79-4EFD-9061-2ACB8778873A}"/>
    <cellStyle name="Migliaia 10 5 5 2 2" xfId="38404" xr:uid="{1B8447D8-CD24-4F8E-B136-EB76EB331217}"/>
    <cellStyle name="Migliaia 10 5 5 2 3" xfId="43706" xr:uid="{42DD5A95-74CC-41D3-B588-DA69B2720D2E}"/>
    <cellStyle name="Migliaia 10 5 5 3" xfId="35935" xr:uid="{430122D2-5C7C-4F61-B4A1-C548A2A27936}"/>
    <cellStyle name="Migliaia 10 5 5 4" xfId="41055" xr:uid="{9980DAE9-D8AC-4650-94CD-6CAB1C823CD3}"/>
    <cellStyle name="Migliaia 10 5 5 5" xfId="24209" xr:uid="{A227F11D-8953-4FDC-9D1D-396B51964D1F}"/>
    <cellStyle name="Migliaia 10 5 6" xfId="24210" xr:uid="{609D12C4-6007-40DB-9928-09097552DA6B}"/>
    <cellStyle name="Migliaia 10 5 6 2" xfId="33049" xr:uid="{3A0BBD35-B065-40C7-B76F-C8A1E6CE962A}"/>
    <cellStyle name="Migliaia 10 5 6 2 2" xfId="38405" xr:uid="{480CFF07-1DFC-4BBC-AF88-076A93F82BEB}"/>
    <cellStyle name="Migliaia 10 5 6 2 3" xfId="43707" xr:uid="{F18CDAC5-AE13-4375-8B62-7CCD01BC4054}"/>
    <cellStyle name="Migliaia 10 5 6 3" xfId="35936" xr:uid="{8BE8D414-9F33-4840-84D8-5E6B333F37CF}"/>
    <cellStyle name="Migliaia 10 5 6 4" xfId="41056" xr:uid="{789B9A0D-3D97-4B12-BB85-D27CA0E8C329}"/>
    <cellStyle name="Migliaia 10 5 7" xfId="24207" xr:uid="{111CBD8F-137A-4784-988E-E6131203525D}"/>
    <cellStyle name="Migliaia 10 5 8" xfId="7300" xr:uid="{EA18520E-2FAA-4953-A1F5-2F7E87EF67C0}"/>
    <cellStyle name="Migliaia 10 6" xfId="3126" xr:uid="{0F51BBE6-FE90-4D8C-8B79-7A1342EA8CB3}"/>
    <cellStyle name="Migliaia 10 6 2" xfId="4852" xr:uid="{29BFF3CF-F15F-4255-BBA9-0630A2E67775}"/>
    <cellStyle name="Migliaia 10 6 2 2" xfId="9883" xr:uid="{2E9E0464-19B5-4236-A281-A9B0C91E714B}"/>
    <cellStyle name="Migliaia 10 6 2 3" xfId="18679" xr:uid="{093FC479-B379-4016-9986-17EDECA82D3E}"/>
    <cellStyle name="Migliaia 10 6 2 4" xfId="19813" xr:uid="{20E30726-4F2B-4FD7-BAC0-15B1C6A09D62}"/>
    <cellStyle name="Migliaia 10 6 2 5" xfId="32288" xr:uid="{1259BE39-9975-4C4D-9D59-C891D815A5FE}"/>
    <cellStyle name="Migliaia 10 6 2 6" xfId="16023" xr:uid="{EA2CE1BD-4FE7-4BB5-824B-F323DA00E0F2}"/>
    <cellStyle name="Migliaia 10 6 2 7" xfId="8485" xr:uid="{2D988804-A27B-4424-A05D-1BDCB7B02FFA}"/>
    <cellStyle name="Migliaia 10 6 3" xfId="6074" xr:uid="{DBEB1514-0A89-4CBD-BD9D-319B65171784}"/>
    <cellStyle name="Migliaia 10 6 3 2" xfId="35132" xr:uid="{A32D96CE-39AA-490A-8F9E-43910004E198}"/>
    <cellStyle name="Migliaia 10 6 3 2 2" xfId="40290" xr:uid="{7A30BF86-E4E6-41C8-8902-11BD57442E8E}"/>
    <cellStyle name="Migliaia 10 6 3 2 3" xfId="45592" xr:uid="{CC5D6749-DC92-496C-873E-7EB9D7FDC507}"/>
    <cellStyle name="Migliaia 10 6 3 3" xfId="37639" xr:uid="{C84D6789-EB73-472B-8BEB-2492210B2490}"/>
    <cellStyle name="Migliaia 10 6 3 4" xfId="42941" xr:uid="{4C7C0E5A-0D8C-45F7-9D37-8805B5A93A40}"/>
    <cellStyle name="Migliaia 10 6 3 5" xfId="9646" xr:uid="{6B341894-912F-4D68-8B67-FA3FAADCD8CA}"/>
    <cellStyle name="Migliaia 10 6 4" xfId="19812" xr:uid="{5A586E89-99FD-4F56-98EB-71AAD9E646D9}"/>
    <cellStyle name="Migliaia 10 6 4 2" xfId="38406" xr:uid="{2151C159-8D93-4E45-BD7A-1E7BB1407A8A}"/>
    <cellStyle name="Migliaia 10 6 4 3" xfId="43708" xr:uid="{CE62DB15-04B1-44B8-9080-87A66F467F53}"/>
    <cellStyle name="Migliaia 10 6 4 4" xfId="33050" xr:uid="{FA14E3BF-C228-4CF6-A704-EFFCF58F52C0}"/>
    <cellStyle name="Migliaia 10 6 5" xfId="35937" xr:uid="{0642DEA6-565B-4731-B7BA-36A22D0B36F5}"/>
    <cellStyle name="Migliaia 10 6 6" xfId="41057" xr:uid="{1183C200-C35D-45CB-B2F5-6658BE54C747}"/>
    <cellStyle name="Migliaia 10 6 7" xfId="16022" xr:uid="{E8DC6B82-A8D0-4728-A56A-CD07E229F98A}"/>
    <cellStyle name="Migliaia 10 6 8" xfId="7295" xr:uid="{97F685AD-8A04-4D77-A421-001B2C194955}"/>
    <cellStyle name="Migliaia 10 7" xfId="3127" xr:uid="{D0143A49-652C-4E00-B6A3-460BB4626E63}"/>
    <cellStyle name="Migliaia 10 7 2" xfId="4853" xr:uid="{4F79149A-4801-46BD-8949-B3D68BE4121D}"/>
    <cellStyle name="Migliaia 10 7 2 2" xfId="35133" xr:uid="{ED382DD5-CDF9-43E9-B1A2-E529D920555F}"/>
    <cellStyle name="Migliaia 10 7 2 2 2" xfId="40291" xr:uid="{21B2AD8E-88AC-4DFF-9B01-C8190020C41F}"/>
    <cellStyle name="Migliaia 10 7 2 2 3" xfId="45593" xr:uid="{99C0BE82-5B9B-4EA8-A76D-1F99C133D6C1}"/>
    <cellStyle name="Migliaia 10 7 2 3" xfId="37640" xr:uid="{BEA17B88-00AA-48DC-A7A3-9779FCB4FB4F}"/>
    <cellStyle name="Migliaia 10 7 2 4" xfId="42942" xr:uid="{61891E76-5C0E-4668-BC2C-1CB681B49B6E}"/>
    <cellStyle name="Migliaia 10 7 2 5" xfId="14181" xr:uid="{54F0284C-483C-4E3C-AD07-6F21B6123D15}"/>
    <cellStyle name="Migliaia 10 7 3" xfId="6075" xr:uid="{490A4E8B-87DE-4B89-A1A7-F6C3A2A17262}"/>
    <cellStyle name="Migliaia 10 7 3 2" xfId="38407" xr:uid="{13F40CF3-7589-49CD-90D6-DFAE584EE629}"/>
    <cellStyle name="Migliaia 10 7 3 3" xfId="43709" xr:uid="{9EDB761F-FF95-4C03-844F-8B11AA8E9CAD}"/>
    <cellStyle name="Migliaia 10 7 3 4" xfId="33051" xr:uid="{E4A9EBD2-31BF-493A-A977-19D9366E9701}"/>
    <cellStyle name="Migliaia 10 7 3 5" xfId="19814" xr:uid="{7B631F32-E86E-48C7-AB69-6281C676DBE9}"/>
    <cellStyle name="Migliaia 10 7 4" xfId="35938" xr:uid="{7F1C4C02-F3D8-47D5-9DFB-7382A4CC4A13}"/>
    <cellStyle name="Migliaia 10 7 5" xfId="41058" xr:uid="{85E2ECDA-68C2-47A5-83E3-8B86BC1193C1}"/>
    <cellStyle name="Migliaia 10 7 6" xfId="16024" xr:uid="{666CB71F-A22B-4792-9CA7-B42D722AE27E}"/>
    <cellStyle name="Migliaia 10 7 7" xfId="8243" xr:uid="{91069F64-EAE0-45D3-9ECD-B3B658DC70E6}"/>
    <cellStyle name="Migliaia 10 8" xfId="3128" xr:uid="{BF9A5880-9F67-48E8-ADB4-666ADFB60A7D}"/>
    <cellStyle name="Migliaia 10 8 2" xfId="4854" xr:uid="{48EDDB18-C419-43C8-B92D-D749E9574BC4}"/>
    <cellStyle name="Migliaia 10 8 2 2" xfId="35134" xr:uid="{3500DB30-E505-4463-968D-A73E1452D0FE}"/>
    <cellStyle name="Migliaia 10 8 2 2 2" xfId="40292" xr:uid="{4FB06E45-1CE0-48B9-A086-E2F31E7C08FF}"/>
    <cellStyle name="Migliaia 10 8 2 2 3" xfId="45594" xr:uid="{48CC1811-FF32-4544-A3A6-A83C9295611F}"/>
    <cellStyle name="Migliaia 10 8 2 3" xfId="37641" xr:uid="{4D52F04F-78C8-4505-AD28-E921CE8710A0}"/>
    <cellStyle name="Migliaia 10 8 2 4" xfId="42943" xr:uid="{48BDCCE4-6D13-4C45-9884-FFCF923957AE}"/>
    <cellStyle name="Migliaia 10 8 2 5" xfId="13884" xr:uid="{7E178EAD-4E09-4B2A-ACDE-9F23816D449F}"/>
    <cellStyle name="Migliaia 10 8 3" xfId="6076" xr:uid="{50214093-927B-41B6-893F-AC512265B1E8}"/>
    <cellStyle name="Migliaia 10 8 3 2" xfId="38408" xr:uid="{BD5FB56C-DDA2-443A-85DC-8A6F129C4DE5}"/>
    <cellStyle name="Migliaia 10 8 3 3" xfId="43710" xr:uid="{BA4E7AB5-C757-4C1B-93E8-886C10FA58CD}"/>
    <cellStyle name="Migliaia 10 8 3 4" xfId="33052" xr:uid="{AED3F2BD-91B0-4473-A140-00DAF7DECB1E}"/>
    <cellStyle name="Migliaia 10 8 3 5" xfId="19815" xr:uid="{EB4FEBF2-B83B-408C-A89E-003D958BFD2C}"/>
    <cellStyle name="Migliaia 10 8 4" xfId="35939" xr:uid="{A8E15174-75F9-4706-B627-F7B8739CBD2C}"/>
    <cellStyle name="Migliaia 10 8 5" xfId="41059" xr:uid="{F3480BFB-50E0-4B0E-8D3E-CE16FB0BA00A}"/>
    <cellStyle name="Migliaia 10 8 6" xfId="16025" xr:uid="{0D37ACDB-143C-435B-96D2-282CCA2E1641}"/>
    <cellStyle name="Migliaia 10 8 7" xfId="7823" xr:uid="{F9BF198E-66D7-479E-9506-5125AA872A51}"/>
    <cellStyle name="Migliaia 10 9" xfId="4839" xr:uid="{608DDB49-0C32-46DA-8C0D-F30A28222E60}"/>
    <cellStyle name="Migliaia 10 9 2" xfId="33053" xr:uid="{289AD822-5C2C-4548-BEC3-8F544D89F94F}"/>
    <cellStyle name="Migliaia 10 9 2 2" xfId="38409" xr:uid="{0D001090-D0DB-4022-942C-56FCD2A5BEAD}"/>
    <cellStyle name="Migliaia 10 9 2 3" xfId="43711" xr:uid="{804A11EB-3381-4595-9971-36A88D7B95A7}"/>
    <cellStyle name="Migliaia 10 9 3" xfId="35940" xr:uid="{8EAA9508-1B28-48AA-BE0B-BABB1D7AA594}"/>
    <cellStyle name="Migliaia 10 9 4" xfId="41060" xr:uid="{4C88263F-CA4B-4A74-BE74-CE3482A6B410}"/>
    <cellStyle name="Migliaia 10 9 5" xfId="17137" xr:uid="{14587E9A-5CBA-49C0-84A7-59F59B8753AB}"/>
    <cellStyle name="Migliaia 11" xfId="305" xr:uid="{00000000-0005-0000-0000-0000CA020000}"/>
    <cellStyle name="Migliaia 11 10" xfId="6077" xr:uid="{0EAFB025-663C-4013-981E-176C1559EAAC}"/>
    <cellStyle name="Migliaia 11 10 2" xfId="38410" xr:uid="{FAC99363-226A-470F-939D-CB443ED20A64}"/>
    <cellStyle name="Migliaia 11 10 3" xfId="43712" xr:uid="{86AE2004-6714-4AC8-8D3B-20C3F59D32A3}"/>
    <cellStyle name="Migliaia 11 10 4" xfId="33054" xr:uid="{1BA83DCF-3099-42E6-A296-94C4DA98EB40}"/>
    <cellStyle name="Migliaia 11 10 5" xfId="19816" xr:uid="{508FB6CB-5AC3-404E-8398-1DDFE0342751}"/>
    <cellStyle name="Migliaia 11 11" xfId="3129" xr:uid="{54D4DD11-4824-4ADC-BE1F-0FB9DD0C6FCC}"/>
    <cellStyle name="Migliaia 11 11 2" xfId="35941" xr:uid="{9BD75323-47D4-4209-8B20-EFDCA1BE008F}"/>
    <cellStyle name="Migliaia 11 12" xfId="41061" xr:uid="{4EC75411-6BDE-43DE-8E77-C1D72D3A0427}"/>
    <cellStyle name="Migliaia 11 13" xfId="7047" xr:uid="{A4499F92-6917-48BB-B409-2C5B14FF588F}"/>
    <cellStyle name="Migliaia 11 2" xfId="306" xr:uid="{00000000-0005-0000-0000-0000CB020000}"/>
    <cellStyle name="Migliaia 11 2 2" xfId="1663" xr:uid="{00000000-0005-0000-0000-0000CC020000}"/>
    <cellStyle name="Migliaia 11 2 2 2" xfId="4857" xr:uid="{0304DF01-975C-4853-85F4-F4F21E1AFE16}"/>
    <cellStyle name="Migliaia 11 2 2 2 2" xfId="14364" xr:uid="{8B0193CF-143D-4DF1-9AF9-4F3F20502ABE}"/>
    <cellStyle name="Migliaia 11 2 2 2 2 2" xfId="38411" xr:uid="{424D5A56-6ADE-41EB-A99E-14B0A3620FD9}"/>
    <cellStyle name="Migliaia 11 2 2 2 2 3" xfId="43713" xr:uid="{00FA5BE9-C902-46E1-BBC6-E18A04AD926E}"/>
    <cellStyle name="Migliaia 11 2 2 2 3" xfId="18363" xr:uid="{945F1F7E-633A-4EEE-BF11-14B9996CCF99}"/>
    <cellStyle name="Migliaia 11 2 2 2 4" xfId="19819" xr:uid="{8D013C28-C202-4F0D-8167-43F0010B23EC}"/>
    <cellStyle name="Migliaia 11 2 2 2 4 2" xfId="41062" xr:uid="{B6B8FF7B-FE57-48A5-A956-099EC04580E1}"/>
    <cellStyle name="Migliaia 11 2 2 2 5" xfId="16026" xr:uid="{23E94E19-4B43-45F9-B9D4-C1DC5226D0D7}"/>
    <cellStyle name="Migliaia 11 2 2 2 6" xfId="8492" xr:uid="{9D8183F4-7551-484A-BBFE-41A6290355BF}"/>
    <cellStyle name="Migliaia 11 2 2 3" xfId="6079" xr:uid="{9B6CABAB-B548-4639-AA2E-EECD3EF420E7}"/>
    <cellStyle name="Migliaia 11 2 2 3 2" xfId="35135" xr:uid="{5BDF2FD9-A7FD-4555-96E8-B323C24E6C23}"/>
    <cellStyle name="Migliaia 11 2 2 3 2 2" xfId="40293" xr:uid="{ECAF88AC-E87C-44D6-B0CC-FDA572A39747}"/>
    <cellStyle name="Migliaia 11 2 2 3 2 3" xfId="45595" xr:uid="{0F583FC1-57DF-49DC-B716-C281BDFD4C83}"/>
    <cellStyle name="Migliaia 11 2 2 3 3" xfId="37642" xr:uid="{A0740379-21B6-4E3B-9891-43E63B88D4B2}"/>
    <cellStyle name="Migliaia 11 2 2 3 4" xfId="42944" xr:uid="{6DC521E2-2E59-4363-A422-382DD272A0FF}"/>
    <cellStyle name="Migliaia 11 2 2 3 5" xfId="11593" xr:uid="{AEF5FA45-5B29-4D38-B913-C89171BDAEC9}"/>
    <cellStyle name="Migliaia 11 2 2 4" xfId="3131" xr:uid="{F6DF6EF6-1AC3-4CEA-AA8D-544D2A4A17DB}"/>
    <cellStyle name="Migliaia 11 2 2 4 2" xfId="21375" xr:uid="{72347E97-5826-4845-A451-2B2E96218765}"/>
    <cellStyle name="Migliaia 11 2 2 4 3" xfId="48575" xr:uid="{B57D2743-7F4C-4DC5-8B90-D317AE293BC5}"/>
    <cellStyle name="Migliaia 11 2 2 4 4" xfId="50390" xr:uid="{C6299139-0D0C-4C86-B691-7E4720ED74FA}"/>
    <cellStyle name="Migliaia 11 2 2 4 5" xfId="53406" xr:uid="{9B9A52E9-FAF8-4598-9282-99EA4A9D0D33}"/>
    <cellStyle name="Migliaia 11 2 2 4 6" xfId="10740" xr:uid="{8B7EF734-5C45-4F8F-9103-A9EB8ADAE6F1}"/>
    <cellStyle name="Migliaia 11 2 2 5" xfId="19818" xr:uid="{CCAA7C9C-EB63-4702-8788-D0031580EE1A}"/>
    <cellStyle name="Migliaia 11 2 2 6" xfId="24217" xr:uid="{6BEAEFE8-C955-4DAC-AB18-6453C3AE5622}"/>
    <cellStyle name="Migliaia 11 2 2 7" xfId="7302" xr:uid="{9C354C65-1D61-41C7-AA16-240B5093AB1E}"/>
    <cellStyle name="Migliaia 11 2 3" xfId="3132" xr:uid="{E8CC12A4-850F-44C1-A0BC-A9947DEF2FC0}"/>
    <cellStyle name="Migliaia 11 2 3 2" xfId="4858" xr:uid="{D7B585F8-783F-4544-90B0-41C573527E3B}"/>
    <cellStyle name="Migliaia 11 2 3 2 2" xfId="35136" xr:uid="{232FDCCE-DB60-417F-B605-25B677F26ABB}"/>
    <cellStyle name="Migliaia 11 2 3 2 2 2" xfId="40294" xr:uid="{CEFE72DD-C007-4647-9CD8-BE6CEA9A8E7A}"/>
    <cellStyle name="Migliaia 11 2 3 2 2 3" xfId="45596" xr:uid="{ED005900-4283-4397-8BD5-915B08899E36}"/>
    <cellStyle name="Migliaia 11 2 3 2 3" xfId="37643" xr:uid="{ADB46E5B-AC6D-4C30-AD14-F92923EAE289}"/>
    <cellStyle name="Migliaia 11 2 3 2 4" xfId="42945" xr:uid="{A1081070-F1E1-4ED4-8A13-7A8056EA10CA}"/>
    <cellStyle name="Migliaia 11 2 3 2 5" xfId="14185" xr:uid="{F2188590-F011-45D9-8426-5B7995B7A7CC}"/>
    <cellStyle name="Migliaia 11 2 3 3" xfId="6080" xr:uid="{0D7E27F5-92FC-4969-BF57-43D4795617E4}"/>
    <cellStyle name="Migliaia 11 2 3 3 2" xfId="38412" xr:uid="{728EC0A6-3658-4F36-9A3E-979C0BB083D0}"/>
    <cellStyle name="Migliaia 11 2 3 3 3" xfId="43714" xr:uid="{B980F1AA-6BCE-4628-9828-33977803DC11}"/>
    <cellStyle name="Migliaia 11 2 3 3 4" xfId="33055" xr:uid="{C63C779B-B72B-420B-BCCE-47996CE6CD08}"/>
    <cellStyle name="Migliaia 11 2 3 3 5" xfId="19820" xr:uid="{DDC92DEA-1A71-4FF1-AD5E-D47D8F497DAF}"/>
    <cellStyle name="Migliaia 11 2 3 4" xfId="35943" xr:uid="{51A03957-68F5-4D09-962C-CFAB937EC72D}"/>
    <cellStyle name="Migliaia 11 2 3 5" xfId="41063" xr:uid="{F61B34E0-9821-4778-BE7D-93CCA52A091E}"/>
    <cellStyle name="Migliaia 11 2 3 6" xfId="16027" xr:uid="{38F5E8FE-AE1A-4F14-AE91-64C0FB09327F}"/>
    <cellStyle name="Migliaia 11 2 3 7" xfId="8247" xr:uid="{F573B1B2-ACCD-4D44-B6AD-0FC795D485DB}"/>
    <cellStyle name="Migliaia 11 2 4" xfId="4856" xr:uid="{1F8B22D0-8E08-4D4E-8CB2-EB859C1F9D58}"/>
    <cellStyle name="Migliaia 11 2 4 2" xfId="13888" xr:uid="{FEF8F492-FFD5-41EC-97E7-A8EC6FAF9889}"/>
    <cellStyle name="Migliaia 11 2 4 2 2" xfId="38413" xr:uid="{8980B084-0680-491E-8E97-DB4F691F2E20}"/>
    <cellStyle name="Migliaia 11 2 4 2 3" xfId="43715" xr:uid="{77709262-0596-46F4-B345-00E1B3AD8390}"/>
    <cellStyle name="Migliaia 11 2 4 3" xfId="18728" xr:uid="{F7EF99E1-43A1-482F-AC46-70BFCA6A5D90}"/>
    <cellStyle name="Migliaia 11 2 4 4" xfId="19821" xr:uid="{64E12827-18D6-4BDF-B0CE-F81D0E896CF4}"/>
    <cellStyle name="Migliaia 11 2 4 4 2" xfId="41064" xr:uid="{4C9ADBA5-8AF9-47E8-9733-F5070D256F33}"/>
    <cellStyle name="Migliaia 11 2 4 5" xfId="16028" xr:uid="{B8BAC049-5D95-4FBC-B7C1-7C239EA4D54E}"/>
    <cellStyle name="Migliaia 11 2 4 6" xfId="7828" xr:uid="{71604E2F-D380-4B77-A73C-A356018E8546}"/>
    <cellStyle name="Migliaia 11 2 5" xfId="6078" xr:uid="{8E6B8D50-9008-4732-9215-4845FADAC8CB}"/>
    <cellStyle name="Migliaia 11 2 5 2" xfId="33056" xr:uid="{7F94B2A8-73C2-4832-86DE-AA383AB5E309}"/>
    <cellStyle name="Migliaia 11 2 5 2 2" xfId="38414" xr:uid="{D1E5C4BF-72F2-4624-A813-A3701B3F1589}"/>
    <cellStyle name="Migliaia 11 2 5 2 3" xfId="43716" xr:uid="{EF859BAE-77D3-4966-B5AB-45475CD62FE9}"/>
    <cellStyle name="Migliaia 11 2 5 3" xfId="35944" xr:uid="{B96487C4-9469-4440-9364-EBBF78712955}"/>
    <cellStyle name="Migliaia 11 2 5 4" xfId="41065" xr:uid="{9C37EBB6-9605-45A2-A829-C89A3CA1D2F0}"/>
    <cellStyle name="Migliaia 11 2 5 5" xfId="13104" xr:uid="{97B9C592-1187-4B5C-86B1-BA56B5587DF2}"/>
    <cellStyle name="Migliaia 11 2 6" xfId="3130" xr:uid="{1407B6B4-6D42-4A83-93C1-184B4BB79A70}"/>
    <cellStyle name="Migliaia 11 2 6 2" xfId="33057" xr:uid="{FE7E29E4-1377-476B-A6C9-C713D11C0C99}"/>
    <cellStyle name="Migliaia 11 2 6 2 2" xfId="38415" xr:uid="{50507246-DF1F-4704-BD37-6B2106478906}"/>
    <cellStyle name="Migliaia 11 2 6 2 3" xfId="43717" xr:uid="{D843F19E-4DF5-4EB7-B034-5599423274B0}"/>
    <cellStyle name="Migliaia 11 2 6 3" xfId="35945" xr:uid="{76C8D876-AA39-461D-90C1-5401E7B32A4D}"/>
    <cellStyle name="Migliaia 11 2 6 4" xfId="41066" xr:uid="{64A10968-D070-425E-A18A-AF15515BCCDB}"/>
    <cellStyle name="Migliaia 11 2 6 5" xfId="24221" xr:uid="{7096E83C-80CF-4AEA-A6F1-C96AD8EE03C4}"/>
    <cellStyle name="Migliaia 11 2 6 6" xfId="19817" xr:uid="{38018FBA-1925-4DB6-AD97-7EE02B434E1C}"/>
    <cellStyle name="Migliaia 11 2 7" xfId="24216" xr:uid="{72F9B30F-258D-453F-BB76-1DBA62CB6900}"/>
    <cellStyle name="Migliaia 11 2 8" xfId="7048" xr:uid="{6670FB75-AC00-4F44-88B7-9E61FEEBA966}"/>
    <cellStyle name="Migliaia 11 3" xfId="307" xr:uid="{00000000-0005-0000-0000-0000CD020000}"/>
    <cellStyle name="Migliaia 11 3 10" xfId="24222" xr:uid="{23E85A32-DD50-4610-96B3-783E5F0CC01F}"/>
    <cellStyle name="Migliaia 11 3 11" xfId="16029" xr:uid="{17E7EB31-A600-4F5C-8B25-E633B9098BD4}"/>
    <cellStyle name="Migliaia 11 3 12" xfId="7049" xr:uid="{2198E147-0EF3-48A6-B2C5-B31D7133EFB3}"/>
    <cellStyle name="Migliaia 11 3 2" xfId="308" xr:uid="{00000000-0005-0000-0000-0000CE020000}"/>
    <cellStyle name="Migliaia 11 3 2 2" xfId="1664" xr:uid="{00000000-0005-0000-0000-0000CF020000}"/>
    <cellStyle name="Migliaia 11 3 2 2 2" xfId="4861" xr:uid="{9A41124B-162D-4B6E-A25E-950C0E55B9E3}"/>
    <cellStyle name="Migliaia 11 3 2 2 2 2" xfId="18364" xr:uid="{B66A5436-0E9C-46C1-B749-772C8223BA6F}"/>
    <cellStyle name="Migliaia 11 3 2 2 2 2 2" xfId="21839" xr:uid="{C34870A5-4D8E-4063-954F-90C32DCF02F2}"/>
    <cellStyle name="Migliaia 11 3 2 2 2 2 2 2" xfId="38416" xr:uid="{52483619-DA74-48CC-921D-EC3AF676C9CF}"/>
    <cellStyle name="Migliaia 11 3 2 2 2 2 3" xfId="43718" xr:uid="{41807A3A-4472-4744-87B1-BED4FB5DB975}"/>
    <cellStyle name="Migliaia 11 3 2 2 2 2 4" xfId="33058" xr:uid="{5BBE9BFF-A5A3-4293-BA00-12D058A2F35C}"/>
    <cellStyle name="Migliaia 11 3 2 2 2 3" xfId="35946" xr:uid="{F0B696B4-33C4-4EDD-AFFC-F3EA53FBC545}"/>
    <cellStyle name="Migliaia 11 3 2 2 2 4" xfId="41067" xr:uid="{0DF72EE9-3D50-4C1E-83FB-6BE0F6CA2A09}"/>
    <cellStyle name="Migliaia 11 3 2 2 2 5" xfId="37187" xr:uid="{D3C2BFC0-43EB-428D-A6D9-68CDC895F024}"/>
    <cellStyle name="Migliaia 11 3 2 2 2 6" xfId="50867" xr:uid="{A7E11DA1-15DB-4947-9C31-B3EBD4F4F2CF}"/>
    <cellStyle name="Migliaia 11 3 2 2 2 7" xfId="53883" xr:uid="{62947DD3-0D63-44C4-9E8F-E361ABBD36DB}"/>
    <cellStyle name="Migliaia 11 3 2 2 2 8" xfId="17640" xr:uid="{361048DE-BB41-45D8-824C-7EC4CC1A8689}"/>
    <cellStyle name="Migliaia 11 3 2 2 2 9" xfId="11891" xr:uid="{B1F79E77-736D-49C9-9AC5-0B5B9AFC89AC}"/>
    <cellStyle name="Migliaia 11 3 2 2 3" xfId="6083" xr:uid="{A51089CD-A31F-4E30-A2CF-A040CE6C293A}"/>
    <cellStyle name="Migliaia 11 3 2 2 3 2" xfId="11681" xr:uid="{C4C23991-D23A-421B-9EED-9EE9E99FFD25}"/>
    <cellStyle name="Migliaia 11 3 2 2 4" xfId="3135" xr:uid="{1AF9A8FF-8900-4449-90F7-4179CFCFEB0E}"/>
    <cellStyle name="Migliaia 11 3 2 2 4 2" xfId="21376" xr:uid="{7C5832AE-E752-4F4D-85C3-398F6930E31A}"/>
    <cellStyle name="Migliaia 11 3 2 2 4 3" xfId="25357" xr:uid="{48A2BBE0-CC45-4D25-9915-318A353C632D}"/>
    <cellStyle name="Migliaia 11 3 2 2 4 4" xfId="50391" xr:uid="{798F8AD0-CB3F-409E-848C-D8B742BD53CF}"/>
    <cellStyle name="Migliaia 11 3 2 2 4 5" xfId="53407" xr:uid="{1CB8B2DF-365B-4FA4-B906-6933948BF2D0}"/>
    <cellStyle name="Migliaia 11 3 2 2 4 6" xfId="10741" xr:uid="{D9DE7C30-EA84-4ECB-B606-BB78E8556CC5}"/>
    <cellStyle name="Migliaia 11 3 2 2 5" xfId="19824" xr:uid="{77222F61-18F5-4398-99AE-30B19E7B9B3C}"/>
    <cellStyle name="Migliaia 11 3 2 2 6" xfId="24224" xr:uid="{E2921DE3-E92F-4227-99FD-0A34D2B49CAE}"/>
    <cellStyle name="Migliaia 11 3 2 2 7" xfId="8494" xr:uid="{DA2CD189-A596-4B98-A539-B794382358ED}"/>
    <cellStyle name="Migliaia 11 3 2 3" xfId="4860" xr:uid="{463CD9AF-E241-4C6A-8E12-83419741BE09}"/>
    <cellStyle name="Migliaia 11 3 2 3 2" xfId="11513" xr:uid="{52B5C78E-D643-4938-A584-9E700F38A236}"/>
    <cellStyle name="Migliaia 11 3 2 3 2 2" xfId="38417" xr:uid="{D972E1ED-33BF-4DDC-A657-751A98C04DF1}"/>
    <cellStyle name="Migliaia 11 3 2 3 2 3" xfId="43719" xr:uid="{2A1CCBDB-817C-41D0-9807-A8738B25372B}"/>
    <cellStyle name="Migliaia 11 3 2 3 2 4" xfId="33059" xr:uid="{F699D3C6-1E27-4E7F-8FFD-30DD9C20B408}"/>
    <cellStyle name="Migliaia 11 3 2 3 3" xfId="11892" xr:uid="{28C72BB3-B701-4C8B-8397-F891217FF6D0}"/>
    <cellStyle name="Migliaia 11 3 2 3 4" xfId="19825" xr:uid="{F5743A35-2C49-4ADF-B4F0-FBC81B149E3B}"/>
    <cellStyle name="Migliaia 11 3 2 3 4 2" xfId="41068" xr:uid="{7931A887-080B-4D21-BB6C-0A025CEAF0D5}"/>
    <cellStyle name="Migliaia 11 3 2 3 5" xfId="16030" xr:uid="{32C712F8-34DD-488F-BC17-8B2219693CFF}"/>
    <cellStyle name="Migliaia 11 3 2 3 6" xfId="7830" xr:uid="{484053C9-3B37-40F7-8DCC-1133A1D221F9}"/>
    <cellStyle name="Migliaia 11 3 2 4" xfId="6082" xr:uid="{856A064C-297D-4D0D-ABF3-44EB7EAD9040}"/>
    <cellStyle name="Migliaia 11 3 2 4 2" xfId="18059" xr:uid="{7E11B823-7A14-42DA-98E1-4DED924A3603}"/>
    <cellStyle name="Migliaia 11 3 2 4 2 2" xfId="38418" xr:uid="{E101FA77-D817-4992-8DED-08D018D8449B}"/>
    <cellStyle name="Migliaia 11 3 2 4 2 3" xfId="43720" xr:uid="{CEF1318B-183D-43E4-8E37-9975CAC61855}"/>
    <cellStyle name="Migliaia 11 3 2 4 3" xfId="35947" xr:uid="{67D79C5C-BBDB-4A74-9023-B9544A53CA88}"/>
    <cellStyle name="Migliaia 11 3 2 4 4" xfId="41069" xr:uid="{E17AEAF5-F039-453D-8CC9-326BB16F1592}"/>
    <cellStyle name="Migliaia 11 3 2 4 5" xfId="17140" xr:uid="{76EC371E-4A6B-4546-9BE5-85BA409B9670}"/>
    <cellStyle name="Migliaia 11 3 2 4 6" xfId="11244" xr:uid="{B1F5188D-990D-4BC4-B0F2-AFDA7F10D808}"/>
    <cellStyle name="Migliaia 11 3 2 5" xfId="3134" xr:uid="{7519487A-66A7-4327-A8FA-B90336674E35}"/>
    <cellStyle name="Migliaia 11 3 2 5 2" xfId="33060" xr:uid="{26DC63AF-9329-425A-8D1F-4C98E823F869}"/>
    <cellStyle name="Migliaia 11 3 2 5 2 2" xfId="38419" xr:uid="{D1D10E81-9623-4826-817A-8FC20CDA65F0}"/>
    <cellStyle name="Migliaia 11 3 2 5 2 3" xfId="43721" xr:uid="{61BA0AAF-45C0-4F03-BBAA-BD83E96C4B4A}"/>
    <cellStyle name="Migliaia 11 3 2 5 3" xfId="35948" xr:uid="{42674128-14C9-4012-BD23-39D928A15EEB}"/>
    <cellStyle name="Migliaia 11 3 2 5 4" xfId="41070" xr:uid="{03FA2339-0FBE-42B3-A562-22D9D82F4B1B}"/>
    <cellStyle name="Migliaia 11 3 2 5 5" xfId="17420" xr:uid="{067ACE90-7621-4EC9-B0B6-53C7693C2AAC}"/>
    <cellStyle name="Migliaia 11 3 2 6" xfId="19823" xr:uid="{FD9D362F-57CE-4763-83DB-4AF9197A35D7}"/>
    <cellStyle name="Migliaia 11 3 2 6 2" xfId="33061" xr:uid="{5A913EB3-896F-4174-B823-D6638B14BEF6}"/>
    <cellStyle name="Migliaia 11 3 2 6 2 2" xfId="38420" xr:uid="{92812238-7365-468F-A5AD-241B095D721D}"/>
    <cellStyle name="Migliaia 11 3 2 6 2 3" xfId="43722" xr:uid="{767F1629-8D6A-418E-AA63-D8D086C81125}"/>
    <cellStyle name="Migliaia 11 3 2 6 3" xfId="35949" xr:uid="{E3C59C1C-3658-4BFA-ACCD-EF37DD00D097}"/>
    <cellStyle name="Migliaia 11 3 2 6 4" xfId="41071" xr:uid="{89C23AC6-D709-406B-8B8A-4B533F087AAB}"/>
    <cellStyle name="Migliaia 11 3 2 6 5" xfId="24225" xr:uid="{ACD4C163-94E4-49BE-A7C1-CB97C4B947AD}"/>
    <cellStyle name="Migliaia 11 3 2 7" xfId="24223" xr:uid="{37325770-4163-4368-852D-073EAF4AD980}"/>
    <cellStyle name="Migliaia 11 3 2 8" xfId="7304" xr:uid="{13CC51D6-8E76-41B5-8DFB-A8601ED3C374}"/>
    <cellStyle name="Migliaia 11 3 3" xfId="3136" xr:uid="{81E70F5A-4FB2-45F1-A9F4-F21F14CF5FE4}"/>
    <cellStyle name="Migliaia 11 3 3 10" xfId="7303" xr:uid="{F4FAE1B7-2C02-4475-AE39-ACA23417A170}"/>
    <cellStyle name="Migliaia 11 3 3 2" xfId="4862" xr:uid="{038B4243-7E04-46DF-8688-33D36104651A}"/>
    <cellStyle name="Migliaia 11 3 3 2 2" xfId="9886" xr:uid="{990C5413-B859-484C-83DE-B2291C8C9E6C}"/>
    <cellStyle name="Migliaia 11 3 3 2 2 2" xfId="38422" xr:uid="{5857FEE1-6993-4917-B2EF-CC0C2B62431D}"/>
    <cellStyle name="Migliaia 11 3 3 2 2 3" xfId="43724" xr:uid="{96607074-39EE-448A-A7B5-7F873D05A719}"/>
    <cellStyle name="Migliaia 11 3 3 2 3" xfId="18166" xr:uid="{16165DA6-6517-4101-BC1A-435EDEABE5D3}"/>
    <cellStyle name="Migliaia 11 3 3 2 4" xfId="19827" xr:uid="{F70107F5-22D8-47CE-9961-71AB40367985}"/>
    <cellStyle name="Migliaia 11 3 3 2 4 2" xfId="41073" xr:uid="{7AAAC637-A23B-4143-87F2-634A6AAB73AE}"/>
    <cellStyle name="Migliaia 11 3 3 2 5" xfId="16032" xr:uid="{8FEFE68B-9E93-45FA-BA24-40193B136AFE}"/>
    <cellStyle name="Migliaia 11 3 3 2 6" xfId="8493" xr:uid="{C14514DA-4249-4C9A-8D3F-100190CECE59}"/>
    <cellStyle name="Migliaia 11 3 3 3" xfId="6084" xr:uid="{65803611-EF28-4E04-9A92-C57536E4078A}"/>
    <cellStyle name="Migliaia 11 3 3 3 2" xfId="33064" xr:uid="{B987B6CC-F76E-4175-BDCA-BB8EBA5DEC6C}"/>
    <cellStyle name="Migliaia 11 3 3 3 2 2" xfId="38423" xr:uid="{539C41C4-F6D6-41CD-8CCE-87EB0128158B}"/>
    <cellStyle name="Migliaia 11 3 3 3 2 3" xfId="43725" xr:uid="{4D485CBA-0BB2-474B-B2A8-2981334CF001}"/>
    <cellStyle name="Migliaia 11 3 3 3 3" xfId="35952" xr:uid="{40AE6753-1796-4BE7-9C18-369DD5117AA0}"/>
    <cellStyle name="Migliaia 11 3 3 3 4" xfId="41074" xr:uid="{E4F51AB0-4E7D-4001-8196-94D64C9CE6E6}"/>
    <cellStyle name="Migliaia 11 3 3 3 5" xfId="9649" xr:uid="{520A90D9-F148-4F56-B90E-C2270DDBD6BA}"/>
    <cellStyle name="Migliaia 11 3 3 4" xfId="19826" xr:uid="{AF924097-95B6-460B-8F9E-7443FAADA317}"/>
    <cellStyle name="Migliaia 11 3 3 4 2" xfId="33065" xr:uid="{C3F86C30-E53F-419A-B475-76BDCDEE70C4}"/>
    <cellStyle name="Migliaia 11 3 3 4 2 2" xfId="38424" xr:uid="{573FABEA-E308-4737-9E6D-7484AE54414F}"/>
    <cellStyle name="Migliaia 11 3 3 4 2 3" xfId="43726" xr:uid="{D8779A34-CBF5-4C0E-83C8-FD4EE7FD5674}"/>
    <cellStyle name="Migliaia 11 3 3 4 3" xfId="35953" xr:uid="{A677FC94-38E3-44B1-AB06-2F7A4A915E54}"/>
    <cellStyle name="Migliaia 11 3 3 4 4" xfId="41075" xr:uid="{E969E798-CEF6-4B6F-9266-5D4FD1441DC6}"/>
    <cellStyle name="Migliaia 11 3 3 4 5" xfId="24228" xr:uid="{A993664F-6507-43CC-BF58-EE2479EED228}"/>
    <cellStyle name="Migliaia 11 3 3 5" xfId="24229" xr:uid="{009188B6-46CC-47FB-8485-BF70D1D27C60}"/>
    <cellStyle name="Migliaia 11 3 3 5 2" xfId="33066" xr:uid="{944ECE57-6889-45A4-A18C-95FB5463AC63}"/>
    <cellStyle name="Migliaia 11 3 3 5 2 2" xfId="38425" xr:uid="{E63307C3-624E-41CF-B5AE-C1E171BA1B2B}"/>
    <cellStyle name="Migliaia 11 3 3 5 2 3" xfId="43727" xr:uid="{BB53147A-BCA8-4BD7-B5BE-FD09DE19683D}"/>
    <cellStyle name="Migliaia 11 3 3 5 3" xfId="35954" xr:uid="{05CC7947-B90E-4264-A62A-E1ABEF72F5B7}"/>
    <cellStyle name="Migliaia 11 3 3 5 4" xfId="41076" xr:uid="{6C12E90A-4900-44DC-B0F5-0A78808EA760}"/>
    <cellStyle name="Migliaia 11 3 3 6" xfId="33062" xr:uid="{9E827D1D-708B-4756-A962-BAE02A019B35}"/>
    <cellStyle name="Migliaia 11 3 3 6 2" xfId="38421" xr:uid="{9086A638-7923-4167-8512-FFF557AA86CE}"/>
    <cellStyle name="Migliaia 11 3 3 6 3" xfId="43723" xr:uid="{4CE4C2D3-781D-4DFC-A96D-F96671C356F0}"/>
    <cellStyle name="Migliaia 11 3 3 7" xfId="35950" xr:uid="{E2144051-B919-4592-997B-30E972F8212B}"/>
    <cellStyle name="Migliaia 11 3 3 8" xfId="41072" xr:uid="{480B6466-E5B1-4052-98FF-B3A9F9715589}"/>
    <cellStyle name="Migliaia 11 3 3 9" xfId="16031" xr:uid="{476336D4-D681-4B4E-A4E0-56A278E35ACE}"/>
    <cellStyle name="Migliaia 11 3 4" xfId="3137" xr:uid="{96A4160B-9CA5-420A-929F-C1407976CA36}"/>
    <cellStyle name="Migliaia 11 3 4 2" xfId="4863" xr:uid="{A41B862D-1B69-493A-8C4F-C6018D9A0D73}"/>
    <cellStyle name="Migliaia 11 3 4 2 2" xfId="14425" xr:uid="{4EB7D7A3-9E44-4D68-B5C6-E206977EBBAA}"/>
    <cellStyle name="Migliaia 11 3 4 2 3" xfId="18593" xr:uid="{815D1B30-214B-4D2E-AEA2-09A9760A7382}"/>
    <cellStyle name="Migliaia 11 3 4 2 4" xfId="19829" xr:uid="{E4A806CA-80DA-47E5-91C5-6704449271C6}"/>
    <cellStyle name="Migliaia 11 3 4 2 5" xfId="32293" xr:uid="{DEBE0F8C-5116-4E34-AD2B-3C2D1638ED4F}"/>
    <cellStyle name="Migliaia 11 3 4 2 6" xfId="16034" xr:uid="{95F43DA0-959E-436A-87D3-4A64CC3815DA}"/>
    <cellStyle name="Migliaia 11 3 4 2 7" xfId="8848" xr:uid="{81F326DB-B0B0-4912-BFF0-FA0AD013DA04}"/>
    <cellStyle name="Migliaia 11 3 4 3" xfId="6085" xr:uid="{30E7FB46-7E2E-4476-B660-1D6B016D1E47}"/>
    <cellStyle name="Migliaia 11 3 4 3 2" xfId="35137" xr:uid="{FE2524FD-867B-4061-A86A-B6FFC49699D3}"/>
    <cellStyle name="Migliaia 11 3 4 3 2 2" xfId="40295" xr:uid="{DB58CEC5-36B8-4CD2-8662-E935E80480E3}"/>
    <cellStyle name="Migliaia 11 3 4 3 2 3" xfId="45597" xr:uid="{ABAE5C8C-AA1A-450D-8D5E-42ED4D946C93}"/>
    <cellStyle name="Migliaia 11 3 4 3 3" xfId="37644" xr:uid="{16410F23-3F58-4897-A096-132F8C0B14C6}"/>
    <cellStyle name="Migliaia 11 3 4 3 4" xfId="42946" xr:uid="{40982078-FEFB-4A7E-89FE-17BCCDD9B3D1}"/>
    <cellStyle name="Migliaia 11 3 4 3 5" xfId="13673" xr:uid="{CD4F32CF-96F8-463F-ABD8-E64C6C2A69C2}"/>
    <cellStyle name="Migliaia 11 3 4 4" xfId="19828" xr:uid="{2765BF5E-62F7-4BEC-A34D-25114044E8A8}"/>
    <cellStyle name="Migliaia 11 3 4 4 2" xfId="38426" xr:uid="{542152AB-4E03-4676-BBB1-BC497A219685}"/>
    <cellStyle name="Migliaia 11 3 4 4 3" xfId="43728" xr:uid="{A14DADAA-D855-415E-820F-E5390B582900}"/>
    <cellStyle name="Migliaia 11 3 4 4 4" xfId="33067" xr:uid="{E0EFBE94-8B19-4533-A979-8734DA1AAD42}"/>
    <cellStyle name="Migliaia 11 3 4 5" xfId="35955" xr:uid="{41A1490B-3C46-4D7F-95F7-3819466EA6AB}"/>
    <cellStyle name="Migliaia 11 3 4 6" xfId="41077" xr:uid="{E390D9A8-208A-43CA-9754-8810EA33FDC2}"/>
    <cellStyle name="Migliaia 11 3 4 7" xfId="16033" xr:uid="{96E7810E-E4B9-4B68-9849-034404254938}"/>
    <cellStyle name="Migliaia 11 3 4 8" xfId="7658" xr:uid="{FE3FAD9A-A079-454B-9F8B-AF5B6A8A9E69}"/>
    <cellStyle name="Migliaia 11 3 5" xfId="3138" xr:uid="{3E6DCE25-E8B6-4D5D-8986-9F0C8458C12B}"/>
    <cellStyle name="Migliaia 11 3 5 2" xfId="4864" xr:uid="{89C3D5B7-A2F4-4701-8447-E7AF10AC7769}"/>
    <cellStyle name="Migliaia 11 3 5 2 2" xfId="35138" xr:uid="{E03F9E08-6CCF-4B62-BD4B-548FA410AD74}"/>
    <cellStyle name="Migliaia 11 3 5 2 2 2" xfId="40296" xr:uid="{E180F4AC-3005-4BCB-AB3C-9DD7897D043D}"/>
    <cellStyle name="Migliaia 11 3 5 2 2 3" xfId="45598" xr:uid="{B7681753-D214-473F-B81E-78563E882F47}"/>
    <cellStyle name="Migliaia 11 3 5 2 3" xfId="37645" xr:uid="{60A3DAA8-BC1B-4D3B-84B3-4026E363C2D1}"/>
    <cellStyle name="Migliaia 11 3 5 2 4" xfId="42947" xr:uid="{F2745D64-60A9-4396-88B3-4124659175AF}"/>
    <cellStyle name="Migliaia 11 3 5 2 5" xfId="14186" xr:uid="{3D7DFE32-3D70-4F1B-BB6A-E71308CAE57E}"/>
    <cellStyle name="Migliaia 11 3 5 3" xfId="6086" xr:uid="{4F6A8136-CA0B-4D7A-B210-074670FFB571}"/>
    <cellStyle name="Migliaia 11 3 5 3 2" xfId="38427" xr:uid="{AD06C9AD-D6E4-4F74-8EDC-AEC187ED590B}"/>
    <cellStyle name="Migliaia 11 3 5 3 3" xfId="43729" xr:uid="{4F920C02-42E0-4768-ACB7-2E8129B60F3A}"/>
    <cellStyle name="Migliaia 11 3 5 3 4" xfId="33068" xr:uid="{5FEEC074-2365-4434-8EC9-9897C5C6B1A2}"/>
    <cellStyle name="Migliaia 11 3 5 3 5" xfId="19830" xr:uid="{5A66C21F-2A0A-42E7-A6E2-2591AE225C3E}"/>
    <cellStyle name="Migliaia 11 3 5 4" xfId="35956" xr:uid="{E34EFDE1-FF49-4567-928C-0729333C8A79}"/>
    <cellStyle name="Migliaia 11 3 5 5" xfId="41078" xr:uid="{4E8C9793-06D7-4480-BC80-CD2E4217168D}"/>
    <cellStyle name="Migliaia 11 3 5 6" xfId="16035" xr:uid="{9947D53E-C7AC-48A0-A7C6-29E56EE978E5}"/>
    <cellStyle name="Migliaia 11 3 5 7" xfId="8248" xr:uid="{63F40F5E-4001-4ABF-97CC-A2739AD12881}"/>
    <cellStyle name="Migliaia 11 3 6" xfId="4859" xr:uid="{90E817AB-42D9-4E62-BDCB-2762854E06A7}"/>
    <cellStyle name="Migliaia 11 3 6 2" xfId="13889" xr:uid="{6BA3083A-0798-4CCF-AE81-BA3242D46CDD}"/>
    <cellStyle name="Migliaia 11 3 6 2 2" xfId="38428" xr:uid="{27929A19-CA73-4C60-AE4C-24A8C3A822A9}"/>
    <cellStyle name="Migliaia 11 3 6 2 3" xfId="43730" xr:uid="{393DF830-E4F0-45D9-B8A2-D6AC6076179A}"/>
    <cellStyle name="Migliaia 11 3 6 3" xfId="18622" xr:uid="{C6F4CCC8-07D3-4999-8F7D-6711BF962EBF}"/>
    <cellStyle name="Migliaia 11 3 6 4" xfId="19831" xr:uid="{719AFA64-600D-4929-A1B3-1A3445A3B77A}"/>
    <cellStyle name="Migliaia 11 3 6 4 2" xfId="41079" xr:uid="{8FC71D5B-34DC-4B7D-99EB-58EC55EDF6A9}"/>
    <cellStyle name="Migliaia 11 3 6 5" xfId="16036" xr:uid="{2DCDDF92-FEF7-4CEC-898F-BFAB565C7CFC}"/>
    <cellStyle name="Migliaia 11 3 6 6" xfId="7829" xr:uid="{57831F66-090C-42F2-ADCB-8C1F19D2D71E}"/>
    <cellStyle name="Migliaia 11 3 7" xfId="6081" xr:uid="{8E5FFF7A-24FF-4136-956C-8A6837C2A323}"/>
    <cellStyle name="Migliaia 11 3 7 2" xfId="33069" xr:uid="{B1E1404E-0272-4B25-A062-1FF47A7CC85A}"/>
    <cellStyle name="Migliaia 11 3 7 2 2" xfId="38429" xr:uid="{29E7A079-91FC-4EAC-9841-1CB2B62455C7}"/>
    <cellStyle name="Migliaia 11 3 7 2 3" xfId="43731" xr:uid="{23F15BDC-0794-49AC-A995-7B8472BA33DB}"/>
    <cellStyle name="Migliaia 11 3 7 3" xfId="35957" xr:uid="{0F45C87A-7F3D-42DC-9DE2-BFACD7304535}"/>
    <cellStyle name="Migliaia 11 3 7 4" xfId="41080" xr:uid="{D5FB0069-37A3-486F-BBFA-44C0ED06F7C8}"/>
    <cellStyle name="Migliaia 11 3 7 5" xfId="11223" xr:uid="{D71ADC74-26C3-45DA-92BC-A07C7AE75602}"/>
    <cellStyle name="Migliaia 11 3 8" xfId="3133" xr:uid="{1E0949C0-D6E0-4144-B3FC-C0A41691A577}"/>
    <cellStyle name="Migliaia 11 3 8 2" xfId="33070" xr:uid="{B66F7E45-D136-427A-AAAA-146709016567}"/>
    <cellStyle name="Migliaia 11 3 8 2 2" xfId="38430" xr:uid="{A4F81C65-6B0A-44CB-87D0-490CF6B143E6}"/>
    <cellStyle name="Migliaia 11 3 8 2 3" xfId="43732" xr:uid="{F0E03347-93C8-48E5-BA29-75F9E91A8872}"/>
    <cellStyle name="Migliaia 11 3 8 3" xfId="35958" xr:uid="{8AAB70F8-C752-40BB-BE9C-FD93DBEA4045}"/>
    <cellStyle name="Migliaia 11 3 8 4" xfId="41081" xr:uid="{F0A54E0E-97B1-411F-AF18-922ED575F6F4}"/>
    <cellStyle name="Migliaia 11 3 8 5" xfId="24230" xr:uid="{BF5490E9-622C-4BE6-B112-9A37A95B5E4A}"/>
    <cellStyle name="Migliaia 11 3 8 6" xfId="17421" xr:uid="{BC968FC3-7A51-45C9-8EB0-C2D0B6C35602}"/>
    <cellStyle name="Migliaia 11 3 9" xfId="19822" xr:uid="{B1A3440F-D0BF-4229-AD9D-5A0CBD7DBAFF}"/>
    <cellStyle name="Migliaia 11 4" xfId="1665" xr:uid="{00000000-0005-0000-0000-0000D0020000}"/>
    <cellStyle name="Migliaia 11 4 2" xfId="1666" xr:uid="{00000000-0005-0000-0000-0000D1020000}"/>
    <cellStyle name="Migliaia 11 4 2 2" xfId="4866" xr:uid="{5483FAEB-2B8B-4702-9141-B22E54F03B50}"/>
    <cellStyle name="Migliaia 11 4 2 2 2" xfId="33071" xr:uid="{D9B838EF-DB8C-4CAA-801E-503BD8A301E8}"/>
    <cellStyle name="Migliaia 11 4 2 2 2 2" xfId="38431" xr:uid="{21EA483C-A248-4141-A95B-884D06E68E2E}"/>
    <cellStyle name="Migliaia 11 4 2 2 2 3" xfId="43733" xr:uid="{69CD9F6F-A34A-415C-A328-B7782FE4A353}"/>
    <cellStyle name="Migliaia 11 4 2 2 3" xfId="35959" xr:uid="{E2CD5DEC-2628-458D-A40B-AB9CBE65DC36}"/>
    <cellStyle name="Migliaia 11 4 2 2 4" xfId="41082" xr:uid="{7BF810B0-000E-4B82-9A71-6E57F581BC3B}"/>
    <cellStyle name="Migliaia 11 4 2 2 5" xfId="9112" xr:uid="{C4FFE22F-02B9-4E2D-845C-71089F8E4CCB}"/>
    <cellStyle name="Migliaia 11 4 2 3" xfId="3140" xr:uid="{6C884B19-13C5-4E6E-A1C7-D37EBBFA88DE}"/>
    <cellStyle name="Migliaia 11 4 2 3 2" xfId="33072" xr:uid="{9AA407A3-8D7F-4C9A-A1EB-B34BC19B4BD3}"/>
    <cellStyle name="Migliaia 11 4 2 3 2 2" xfId="38432" xr:uid="{D868BB0F-0677-4570-BC49-0E8878CF5674}"/>
    <cellStyle name="Migliaia 11 4 2 3 2 3" xfId="43734" xr:uid="{AA307775-4E4E-42D8-8C81-4F3516640949}"/>
    <cellStyle name="Migliaia 11 4 2 3 3" xfId="35960" xr:uid="{6D7A5E16-CAB7-4C7C-AD12-AB77305EEE12}"/>
    <cellStyle name="Migliaia 11 4 2 3 4" xfId="41083" xr:uid="{2C8DDCA3-3A33-4FB5-A448-06FED257AAFD}"/>
    <cellStyle name="Migliaia 11 4 2 3 5" xfId="11893" xr:uid="{847DD85B-7E49-4D1E-842E-E756AB0B0D2D}"/>
    <cellStyle name="Migliaia 11 4 2 4" xfId="11246" xr:uid="{4EAB69A2-D0DD-4E67-96AA-70D08319877B}"/>
    <cellStyle name="Migliaia 11 4 2 5" xfId="10743" xr:uid="{45017053-3CCD-4343-BBFD-D059977CD789}"/>
    <cellStyle name="Migliaia 11 4 2 5 2" xfId="21378" xr:uid="{D3811DFE-989B-4E65-8532-2007CE70D4BC}"/>
    <cellStyle name="Migliaia 11 4 2 5 3" xfId="46640" xr:uid="{E08A5518-D3BF-4CB0-AD6B-3B8BC40C9599}"/>
    <cellStyle name="Migliaia 11 4 2 5 4" xfId="50393" xr:uid="{5D067085-27DE-4B59-898F-B97F465FCDD4}"/>
    <cellStyle name="Migliaia 11 4 2 5 5" xfId="53409" xr:uid="{85D93763-DE0A-4C35-B178-F8C0A00016F2}"/>
    <cellStyle name="Migliaia 11 4 2 6" xfId="19833" xr:uid="{04690116-CBF6-4C0B-A3F0-4B9474071290}"/>
    <cellStyle name="Migliaia 11 4 2 7" xfId="24232" xr:uid="{4C93959A-F75F-4560-8FEE-7D5685B3C892}"/>
    <cellStyle name="Migliaia 11 4 2 8" xfId="8495" xr:uid="{009273B4-B7F6-4284-A45D-A97D81430295}"/>
    <cellStyle name="Migliaia 11 4 3" xfId="4865" xr:uid="{C707F8C5-2504-4811-B50F-76628C743FA8}"/>
    <cellStyle name="Migliaia 11 4 3 2" xfId="18167" xr:uid="{E8A081CC-BB8B-4575-9C2A-4F894A6603C3}"/>
    <cellStyle name="Migliaia 11 4 3 2 2" xfId="38433" xr:uid="{F59D2DB1-53A2-4F1A-A40D-D0CFABF3CCDF}"/>
    <cellStyle name="Migliaia 11 4 3 2 3" xfId="43735" xr:uid="{2BDABAA9-06A6-4FFC-B22D-848671C481F6}"/>
    <cellStyle name="Migliaia 11 4 3 3" xfId="35961" xr:uid="{8E3FA350-517B-4805-B777-F9CC40C42404}"/>
    <cellStyle name="Migliaia 11 4 3 4" xfId="41084" xr:uid="{A853A241-E7B9-473D-A76F-7D3B6B92F3F7}"/>
    <cellStyle name="Migliaia 11 4 3 5" xfId="17419" xr:uid="{733702F4-0169-420C-8C4A-B21E663CC489}"/>
    <cellStyle name="Migliaia 11 4 3 6" xfId="9113" xr:uid="{4B8C3723-D7A4-4BDB-82F9-41063005C79B}"/>
    <cellStyle name="Migliaia 11 4 4" xfId="6087" xr:uid="{7469A170-1BD1-4BE6-BC43-47E03BA52379}"/>
    <cellStyle name="Migliaia 11 4 4 2" xfId="33073" xr:uid="{D03A1377-D10E-4C00-B3F7-C90370DEDF0E}"/>
    <cellStyle name="Migliaia 11 4 4 2 2" xfId="38434" xr:uid="{B85BBB1B-EC09-4453-82B1-D21220EA57A3}"/>
    <cellStyle name="Migliaia 11 4 4 2 3" xfId="43736" xr:uid="{9FD0E627-A19E-4D18-A72C-1B82B7647BE2}"/>
    <cellStyle name="Migliaia 11 4 4 3" xfId="35962" xr:uid="{1E02B574-1515-4B2F-A061-CC9F6FB38EF2}"/>
    <cellStyle name="Migliaia 11 4 4 4" xfId="41085" xr:uid="{9AFF10DA-CF5E-48E5-B3FF-74E9804E4448}"/>
    <cellStyle name="Migliaia 11 4 4 5" xfId="11894" xr:uid="{17809C20-72FE-4EAC-88AA-FB3C0ED18796}"/>
    <cellStyle name="Migliaia 11 4 5" xfId="3139" xr:uid="{C8B7C00B-0B4E-4065-BB74-DE0D67BC5DD9}"/>
    <cellStyle name="Migliaia 11 4 5 2" xfId="33074" xr:uid="{927723EF-9E36-4316-9369-1A5838C6B098}"/>
    <cellStyle name="Migliaia 11 4 5 2 2" xfId="38435" xr:uid="{8ABDFE06-5235-47F2-BB19-F3EB684B90D0}"/>
    <cellStyle name="Migliaia 11 4 5 2 3" xfId="43737" xr:uid="{04BD3AD5-787F-450B-B179-3CEE6C7F71E7}"/>
    <cellStyle name="Migliaia 11 4 5 3" xfId="35963" xr:uid="{3E425902-22F2-4216-965A-9CA5FD76BC85}"/>
    <cellStyle name="Migliaia 11 4 5 4" xfId="41086" xr:uid="{DE9C556E-313E-4F21-B603-C6B46859A6A5}"/>
    <cellStyle name="Migliaia 11 4 5 5" xfId="11245" xr:uid="{CD365FF7-E9CF-4314-82AB-FC07828761AD}"/>
    <cellStyle name="Migliaia 11 4 6" xfId="10742" xr:uid="{3EF6740A-8C04-49D2-90E2-DE41006C1817}"/>
    <cellStyle name="Migliaia 11 4 6 2" xfId="21377" xr:uid="{C1C89AA8-6B28-428C-BCCC-EE6465030340}"/>
    <cellStyle name="Migliaia 11 4 6 2 2" xfId="38436" xr:uid="{60BDCC1D-75CF-41B3-8165-56115B6F9674}"/>
    <cellStyle name="Migliaia 11 4 6 2 3" xfId="43738" xr:uid="{47F9129D-B70C-4DE8-B20B-F876269D9DE8}"/>
    <cellStyle name="Migliaia 11 4 6 2 4" xfId="33075" xr:uid="{0F1595E9-B700-453E-A585-1777FFD4C2DD}"/>
    <cellStyle name="Migliaia 11 4 6 3" xfId="35964" xr:uid="{D6472F65-B6BD-474C-A5AD-9BEFBE8EF1D6}"/>
    <cellStyle name="Migliaia 11 4 6 4" xfId="41087" xr:uid="{445D38D8-E326-4DCD-857B-77753D012291}"/>
    <cellStyle name="Migliaia 11 4 6 5" xfId="24233" xr:uid="{AF9ABCDF-824E-4C86-8DB1-499B0C87F4EB}"/>
    <cellStyle name="Migliaia 11 4 6 6" xfId="48378" xr:uid="{30703708-565F-4169-B959-7FC76804EEED}"/>
    <cellStyle name="Migliaia 11 4 6 7" xfId="50392" xr:uid="{EE06010F-A2B9-436F-A180-C4B268C9E4F9}"/>
    <cellStyle name="Migliaia 11 4 6 8" xfId="53408" xr:uid="{098BA4E1-9A98-457C-800E-A732C0DC89CE}"/>
    <cellStyle name="Migliaia 11 4 7" xfId="19832" xr:uid="{7084E221-9DC3-4376-A0DE-DFC916D213AB}"/>
    <cellStyle name="Migliaia 11 4 7 2" xfId="33076" xr:uid="{144DD849-99A2-4315-BD3E-756EB3EAFC68}"/>
    <cellStyle name="Migliaia 11 4 7 2 2" xfId="38437" xr:uid="{1FB5F72C-28D5-4239-B150-7D8B9D9C949A}"/>
    <cellStyle name="Migliaia 11 4 7 2 3" xfId="43739" xr:uid="{C9295C56-2B00-4134-AF27-4FCF2A377A49}"/>
    <cellStyle name="Migliaia 11 4 7 3" xfId="35965" xr:uid="{04F9B28E-DBA5-4FDF-B2E6-E43169EE1D8F}"/>
    <cellStyle name="Migliaia 11 4 7 4" xfId="41088" xr:uid="{0EFFBCF5-7C00-4B77-A5FC-71BCD07D5B45}"/>
    <cellStyle name="Migliaia 11 4 7 5" xfId="24234" xr:uid="{72740029-7484-4CC5-89B1-1DB58A0D954A}"/>
    <cellStyle name="Migliaia 11 4 8" xfId="24231" xr:uid="{81A02212-6398-41F3-9606-99CD7CDF4B11}"/>
    <cellStyle name="Migliaia 11 4 9" xfId="7305" xr:uid="{890F536D-038F-4A93-A293-7A644B05D812}"/>
    <cellStyle name="Migliaia 11 5" xfId="1667" xr:uid="{00000000-0005-0000-0000-0000D2020000}"/>
    <cellStyle name="Migliaia 11 5 2" xfId="4867" xr:uid="{7164FA7B-381C-4AE9-9662-37CB4B6EC591}"/>
    <cellStyle name="Migliaia 11 5 2 2" xfId="18365" xr:uid="{14952D32-D99B-40B7-B894-EE9A2160DFC3}"/>
    <cellStyle name="Migliaia 11 5 2 2 2" xfId="38438" xr:uid="{AF54A3DD-805B-4B34-B9B6-3392F74AF3BD}"/>
    <cellStyle name="Migliaia 11 5 2 2 3" xfId="43740" xr:uid="{F107CC82-480E-46FA-8D0B-C7B3B7580B8F}"/>
    <cellStyle name="Migliaia 11 5 2 3" xfId="19835" xr:uid="{5C754404-158F-4C3C-9B8B-0EB4B1239A9B}"/>
    <cellStyle name="Migliaia 11 5 2 3 2" xfId="35966" xr:uid="{E3FC403C-FDDF-4303-AC3E-B2F1E4D625A8}"/>
    <cellStyle name="Migliaia 11 5 2 4" xfId="41089" xr:uid="{87CC99B4-2D86-42D9-BB59-1C7A6D08B97C}"/>
    <cellStyle name="Migliaia 11 5 2 5" xfId="16037" xr:uid="{9D3622A5-5FE6-406C-82BF-B2F68A9BC37E}"/>
    <cellStyle name="Migliaia 11 5 2 6" xfId="8496" xr:uid="{EDB83B02-CF87-4DE2-A065-7CCA77A23C92}"/>
    <cellStyle name="Migliaia 11 5 3" xfId="6088" xr:uid="{1D86F9FE-1313-46DC-A14F-F88D47148B86}"/>
    <cellStyle name="Migliaia 11 5 3 2" xfId="33078" xr:uid="{91A3AB8F-6072-4ACB-AF66-F07C78D3FF7B}"/>
    <cellStyle name="Migliaia 11 5 3 2 2" xfId="38439" xr:uid="{673CFDBD-BDC4-4803-B423-CF682E888FBF}"/>
    <cellStyle name="Migliaia 11 5 3 2 3" xfId="43741" xr:uid="{21E3FCC1-42BB-46B6-A500-113DA07AEED4}"/>
    <cellStyle name="Migliaia 11 5 3 3" xfId="35967" xr:uid="{DEF977D4-A61B-4C3C-B7A2-2796676563F9}"/>
    <cellStyle name="Migliaia 11 5 3 4" xfId="41090" xr:uid="{473ED65B-E5C8-4695-81BB-F4FF7CE4E630}"/>
    <cellStyle name="Migliaia 11 5 3 5" xfId="11247" xr:uid="{70A25781-CF7D-4FC0-BDA6-48E8247A2F01}"/>
    <cellStyle name="Migliaia 11 5 4" xfId="3141" xr:uid="{474CACC1-97B9-413D-9CE1-30AB918D1582}"/>
    <cellStyle name="Migliaia 11 5 4 2" xfId="21379" xr:uid="{1198ABA7-13A7-46A4-9283-2EF8833AD008}"/>
    <cellStyle name="Migliaia 11 5 4 2 2" xfId="38440" xr:uid="{A8D01F96-26C2-4A5F-B4E4-AC4EA827F55B}"/>
    <cellStyle name="Migliaia 11 5 4 2 3" xfId="43742" xr:uid="{FABC1752-B1BA-4673-A3B4-5D64F1F47606}"/>
    <cellStyle name="Migliaia 11 5 4 2 4" xfId="33079" xr:uid="{62B4FEA7-B933-47F5-8EC1-8EF2A864CB08}"/>
    <cellStyle name="Migliaia 11 5 4 3" xfId="35968" xr:uid="{18E10CF4-2670-4F3B-8304-B21A9EC81EBB}"/>
    <cellStyle name="Migliaia 11 5 4 4" xfId="41091" xr:uid="{D649C296-10AE-4039-AB82-3C8E5A7DC522}"/>
    <cellStyle name="Migliaia 11 5 4 5" xfId="24236" xr:uid="{40F735E6-4C34-44DD-980B-EF31F5E42505}"/>
    <cellStyle name="Migliaia 11 5 4 6" xfId="47447" xr:uid="{3C0AA143-C3B4-4935-BC96-EA557D2B6DA9}"/>
    <cellStyle name="Migliaia 11 5 4 7" xfId="50394" xr:uid="{85A9339D-71B5-4E44-A695-8D564A0AF129}"/>
    <cellStyle name="Migliaia 11 5 4 8" xfId="53410" xr:uid="{8815ADAC-31FF-459B-8B39-9CAA19F83A91}"/>
    <cellStyle name="Migliaia 11 5 4 9" xfId="10744" xr:uid="{239B5468-532D-4128-A79C-968E879498A7}"/>
    <cellStyle name="Migliaia 11 5 5" xfId="19834" xr:uid="{B4F06CB1-5215-47C1-BCB9-7A342C9A7255}"/>
    <cellStyle name="Migliaia 11 5 5 2" xfId="33080" xr:uid="{A34DFA7A-6318-4CA6-B071-9BB6165E8975}"/>
    <cellStyle name="Migliaia 11 5 5 2 2" xfId="38441" xr:uid="{3BC2F84A-4F7B-4BCB-BBAB-30CA9768C407}"/>
    <cellStyle name="Migliaia 11 5 5 2 3" xfId="43743" xr:uid="{EB91DD8C-5ECB-4059-A3A6-D433A66801DA}"/>
    <cellStyle name="Migliaia 11 5 5 3" xfId="35969" xr:uid="{7D1E607B-384F-4158-A908-51F3663EE04C}"/>
    <cellStyle name="Migliaia 11 5 5 4" xfId="41092" xr:uid="{72B8EC25-C7D8-4D9B-ADB8-2EEACEF3A7B1}"/>
    <cellStyle name="Migliaia 11 5 5 5" xfId="24237" xr:uid="{166296BD-C668-4A01-8500-16FB89283C7D}"/>
    <cellStyle name="Migliaia 11 5 6" xfId="24238" xr:uid="{51756D87-7154-4C27-8BB2-EDB3491A09D5}"/>
    <cellStyle name="Migliaia 11 5 6 2" xfId="33081" xr:uid="{18AE86B4-BA6A-4438-BE49-4829B3EEDF9A}"/>
    <cellStyle name="Migliaia 11 5 6 2 2" xfId="38442" xr:uid="{AA140A72-588A-4F7C-8FB0-9265A048ADD0}"/>
    <cellStyle name="Migliaia 11 5 6 2 3" xfId="43744" xr:uid="{94661234-06B3-414E-8C85-AFDE93A03FBE}"/>
    <cellStyle name="Migliaia 11 5 6 3" xfId="35970" xr:uid="{FE13D14B-6749-428B-978D-B1256016B878}"/>
    <cellStyle name="Migliaia 11 5 6 4" xfId="41093" xr:uid="{8EB99B13-E1F4-49D7-A907-50BBBFC3D7AB}"/>
    <cellStyle name="Migliaia 11 5 7" xfId="24235" xr:uid="{A76B842B-C355-4C77-B7AE-C19DB0FD5E02}"/>
    <cellStyle name="Migliaia 11 5 8" xfId="7306" xr:uid="{5D6D5528-1E7B-4F91-9374-4347CDCBE8D3}"/>
    <cellStyle name="Migliaia 11 6" xfId="3142" xr:uid="{D394E5D4-1D0D-4BDA-A8B0-FB38CD9F764F}"/>
    <cellStyle name="Migliaia 11 6 2" xfId="4868" xr:uid="{F08DA367-879F-47E2-A0E3-710BF60542EC}"/>
    <cellStyle name="Migliaia 11 6 2 2" xfId="9885" xr:uid="{A9C7C073-60E0-4F1C-9AAE-4AE52B29009F}"/>
    <cellStyle name="Migliaia 11 6 2 3" xfId="18678" xr:uid="{D5981EE9-A59F-4240-8FF5-22292C27EEC3}"/>
    <cellStyle name="Migliaia 11 6 2 4" xfId="19837" xr:uid="{8410B7D6-EC74-425C-B74F-D58A08312B5A}"/>
    <cellStyle name="Migliaia 11 6 2 5" xfId="32294" xr:uid="{E31D2403-2EFF-4920-B060-50987B41D28C}"/>
    <cellStyle name="Migliaia 11 6 2 6" xfId="16039" xr:uid="{CFA809BE-E357-457B-B516-D710F953F9CD}"/>
    <cellStyle name="Migliaia 11 6 2 7" xfId="8491" xr:uid="{332CEE8F-D46B-4FA3-A672-65A6006F9F85}"/>
    <cellStyle name="Migliaia 11 6 3" xfId="6089" xr:uid="{C6CE8509-8012-47AF-BDA2-084D2D976117}"/>
    <cellStyle name="Migliaia 11 6 3 2" xfId="35139" xr:uid="{8792CE31-5EA2-4074-968D-996ED88522E1}"/>
    <cellStyle name="Migliaia 11 6 3 2 2" xfId="40297" xr:uid="{F32C30A0-AD57-42B2-A9E4-392A86CB846D}"/>
    <cellStyle name="Migliaia 11 6 3 2 3" xfId="45599" xr:uid="{368FE72A-F5D1-4EA6-9431-D58340C4D077}"/>
    <cellStyle name="Migliaia 11 6 3 3" xfId="37646" xr:uid="{E1A4C125-4D53-4FB6-8FE9-71B53B57DE8D}"/>
    <cellStyle name="Migliaia 11 6 3 4" xfId="42948" xr:uid="{DE193785-C433-4CAE-BB74-C2AD7391FF57}"/>
    <cellStyle name="Migliaia 11 6 3 5" xfId="9648" xr:uid="{A3852EC6-3E68-4A85-9B80-CD7524E757EC}"/>
    <cellStyle name="Migliaia 11 6 4" xfId="19836" xr:uid="{1A844A5F-CF61-4943-9F1B-03EABF99C7CF}"/>
    <cellStyle name="Migliaia 11 6 4 2" xfId="38443" xr:uid="{E5FEBF78-18BA-49AE-9307-E82CE011FF92}"/>
    <cellStyle name="Migliaia 11 6 4 3" xfId="43745" xr:uid="{54665BD4-EC21-422A-81E7-A51361DE3D45}"/>
    <cellStyle name="Migliaia 11 6 4 4" xfId="33082" xr:uid="{92F5A3FC-88D7-42E9-822F-660163DAB222}"/>
    <cellStyle name="Migliaia 11 6 5" xfId="35971" xr:uid="{98378BD1-3DE9-4EFA-A483-DDF35620282D}"/>
    <cellStyle name="Migliaia 11 6 6" xfId="41094" xr:uid="{CF41769C-CCE8-49D9-8B09-0A8EC681C310}"/>
    <cellStyle name="Migliaia 11 6 7" xfId="16038" xr:uid="{5AB46A6F-3EA2-40A6-84A3-246C2A8737EA}"/>
    <cellStyle name="Migliaia 11 6 8" xfId="7301" xr:uid="{8567CF1C-A852-4C17-8ABB-A77814921024}"/>
    <cellStyle name="Migliaia 11 7" xfId="3143" xr:uid="{7A437DCE-82F4-4584-9795-4D0E740AB800}"/>
    <cellStyle name="Migliaia 11 7 2" xfId="4869" xr:uid="{409F1A58-8268-4316-A7C4-B7D3613204CA}"/>
    <cellStyle name="Migliaia 11 7 2 2" xfId="35140" xr:uid="{6582E216-8039-4D7C-A21A-9184742BBE95}"/>
    <cellStyle name="Migliaia 11 7 2 2 2" xfId="40298" xr:uid="{48930345-9230-40CB-AE75-2C81B49A60D3}"/>
    <cellStyle name="Migliaia 11 7 2 2 3" xfId="45600" xr:uid="{83B61023-9892-4E3C-921C-78926D416AAB}"/>
    <cellStyle name="Migliaia 11 7 2 3" xfId="37647" xr:uid="{DB57D04E-F979-4656-A049-511B529361B8}"/>
    <cellStyle name="Migliaia 11 7 2 4" xfId="42949" xr:uid="{9D3A1008-9886-4B82-9058-1F15C8ABAE8C}"/>
    <cellStyle name="Migliaia 11 7 2 5" xfId="14184" xr:uid="{C7142A99-7A83-49B5-B508-056A74C0B9D4}"/>
    <cellStyle name="Migliaia 11 7 3" xfId="6090" xr:uid="{E8AC16F1-5F20-45A6-B66A-4AD0F2EFEAF3}"/>
    <cellStyle name="Migliaia 11 7 3 2" xfId="38444" xr:uid="{6894B772-C47F-4498-A4F5-46E48B234062}"/>
    <cellStyle name="Migliaia 11 7 3 3" xfId="43746" xr:uid="{552BDBA2-FDA9-47E4-930F-8B301C4EA44A}"/>
    <cellStyle name="Migliaia 11 7 3 4" xfId="33083" xr:uid="{C6BF7E01-BCB7-4D5B-8D71-CDE7EC877C84}"/>
    <cellStyle name="Migliaia 11 7 3 5" xfId="19838" xr:uid="{F44984C4-C81D-4CA4-A4E2-2BACA7B681AF}"/>
    <cellStyle name="Migliaia 11 7 4" xfId="35972" xr:uid="{D7163561-119C-4B4D-92F2-8C71060F7ED7}"/>
    <cellStyle name="Migliaia 11 7 5" xfId="41095" xr:uid="{F9298D75-3284-44A2-8FDA-162B4D5E99AA}"/>
    <cellStyle name="Migliaia 11 7 6" xfId="16040" xr:uid="{8699E510-73C6-4D25-BC7A-BEF757E1528C}"/>
    <cellStyle name="Migliaia 11 7 7" xfId="8246" xr:uid="{F1DD2914-1EB2-471F-811F-7C00AE0359A5}"/>
    <cellStyle name="Migliaia 11 8" xfId="3144" xr:uid="{06A245D8-65AD-43DC-B36D-7656E6869C0B}"/>
    <cellStyle name="Migliaia 11 8 2" xfId="4870" xr:uid="{79AE1711-416E-48F7-83FA-C9B633EC6929}"/>
    <cellStyle name="Migliaia 11 8 2 2" xfId="35141" xr:uid="{7B63A434-284D-4D2B-A135-590FFCE89871}"/>
    <cellStyle name="Migliaia 11 8 2 2 2" xfId="40299" xr:uid="{09E01FD3-AC02-4AE4-A7D2-75E5913B38E5}"/>
    <cellStyle name="Migliaia 11 8 2 2 3" xfId="45601" xr:uid="{822EFEDF-D7B1-48DA-BE10-E347EE089983}"/>
    <cellStyle name="Migliaia 11 8 2 3" xfId="37648" xr:uid="{2F390BA3-0C7D-42C9-B386-5E8FAE342FD5}"/>
    <cellStyle name="Migliaia 11 8 2 4" xfId="42950" xr:uid="{E911E81E-0DF0-4FEB-8891-A7D0099D0997}"/>
    <cellStyle name="Migliaia 11 8 2 5" xfId="13887" xr:uid="{7DBFCDED-434F-4F8B-A684-C10FA824E194}"/>
    <cellStyle name="Migliaia 11 8 3" xfId="6091" xr:uid="{A6491D5E-7B5D-43D5-A473-6E1A49EAD4C8}"/>
    <cellStyle name="Migliaia 11 8 3 2" xfId="38445" xr:uid="{49A740D0-00AA-42E7-B70F-E3DB35E47500}"/>
    <cellStyle name="Migliaia 11 8 3 3" xfId="43747" xr:uid="{BA5C4DD6-EE02-47C2-94BB-9D23212B5486}"/>
    <cellStyle name="Migliaia 11 8 3 4" xfId="33084" xr:uid="{250A15A1-A489-4AC5-BF7B-A70BA5872A8B}"/>
    <cellStyle name="Migliaia 11 8 3 5" xfId="19839" xr:uid="{DA1823BD-C056-4C3D-B4A4-FECFB1CD7CEE}"/>
    <cellStyle name="Migliaia 11 8 4" xfId="35973" xr:uid="{7CC6BF5C-0E4C-4839-9A90-F8B61E757CE0}"/>
    <cellStyle name="Migliaia 11 8 5" xfId="41096" xr:uid="{4985ABE5-9933-4020-82F2-4AADC30FDF04}"/>
    <cellStyle name="Migliaia 11 8 6" xfId="16041" xr:uid="{2C487B48-2413-448E-9A3E-EF7230EB54CF}"/>
    <cellStyle name="Migliaia 11 8 7" xfId="7827" xr:uid="{413797A7-AB24-4F66-8FF8-EEEEB981821A}"/>
    <cellStyle name="Migliaia 11 9" xfId="4855" xr:uid="{31A8ED30-21DA-4D61-8426-0799E74A3DB1}"/>
    <cellStyle name="Migliaia 11 9 2" xfId="33085" xr:uid="{490BEFED-40F0-4A09-83FD-6F75A89EB238}"/>
    <cellStyle name="Migliaia 11 9 2 2" xfId="38446" xr:uid="{EB983F49-9635-49C8-930E-7D64963B84EB}"/>
    <cellStyle name="Migliaia 11 9 2 3" xfId="43748" xr:uid="{8B5543F6-B41F-4C7E-B92E-9563476F6901}"/>
    <cellStyle name="Migliaia 11 9 3" xfId="35974" xr:uid="{D7DA4EA2-32D6-47FA-A4C5-5229D776D077}"/>
    <cellStyle name="Migliaia 11 9 4" xfId="41097" xr:uid="{23FDB36D-DFB8-4C28-849B-D415CFBE14AB}"/>
    <cellStyle name="Migliaia 11 9 5" xfId="17139" xr:uid="{1F6054F1-018A-4233-BC12-7497D025CC2A}"/>
    <cellStyle name="Migliaia 12" xfId="309" xr:uid="{00000000-0005-0000-0000-0000D3020000}"/>
    <cellStyle name="Migliaia 12 10" xfId="6092" xr:uid="{A39D08B0-BD17-4105-A192-A973B91A9317}"/>
    <cellStyle name="Migliaia 12 10 2" xfId="38447" xr:uid="{B0C8F6EE-2381-4316-A07F-60E6CC90A593}"/>
    <cellStyle name="Migliaia 12 10 3" xfId="43749" xr:uid="{DD3A56A3-C828-413E-9A0A-BB90453DD12B}"/>
    <cellStyle name="Migliaia 12 10 4" xfId="33086" xr:uid="{70674CEB-DAF0-45E3-9271-6DD5ECDB6FEC}"/>
    <cellStyle name="Migliaia 12 10 5" xfId="19840" xr:uid="{86DA4700-C825-4BEA-A0D2-4C20A28D8D46}"/>
    <cellStyle name="Migliaia 12 11" xfId="3145" xr:uid="{966C89CC-7E67-4DD7-9BFB-01D1700CC2B6}"/>
    <cellStyle name="Migliaia 12 11 2" xfId="35975" xr:uid="{D6547A79-6A08-4223-8908-7612C22CAD91}"/>
    <cellStyle name="Migliaia 12 12" xfId="41098" xr:uid="{20FF2A5C-2900-4E0B-9846-17A6D8F71F1E}"/>
    <cellStyle name="Migliaia 12 13" xfId="7050" xr:uid="{3ACCC9A0-263C-47DD-BE84-7DC48CB57F33}"/>
    <cellStyle name="Migliaia 12 2" xfId="310" xr:uid="{00000000-0005-0000-0000-0000D4020000}"/>
    <cellStyle name="Migliaia 12 2 2" xfId="1668" xr:uid="{00000000-0005-0000-0000-0000D5020000}"/>
    <cellStyle name="Migliaia 12 2 2 2" xfId="4873" xr:uid="{EA916E09-61D2-4C42-B5D2-AD4DF848E103}"/>
    <cellStyle name="Migliaia 12 2 2 2 2" xfId="14365" xr:uid="{7B8E4A71-356C-4AE6-A4DA-F09EEC39C4FD}"/>
    <cellStyle name="Migliaia 12 2 2 2 2 2" xfId="38448" xr:uid="{F6F85033-4BAF-42A3-850E-1225CEA2B259}"/>
    <cellStyle name="Migliaia 12 2 2 2 2 3" xfId="43750" xr:uid="{4E47BE33-F6B9-4748-9960-2BA0F6D2A313}"/>
    <cellStyle name="Migliaia 12 2 2 2 3" xfId="18366" xr:uid="{E0BFDAE8-6734-47C6-B090-F713DD8D704E}"/>
    <cellStyle name="Migliaia 12 2 2 2 4" xfId="19843" xr:uid="{24691676-1FCE-4EAF-B0B2-504BB9CBD176}"/>
    <cellStyle name="Migliaia 12 2 2 2 4 2" xfId="41099" xr:uid="{213B0192-1DEB-493C-898C-66CCD4DEE126}"/>
    <cellStyle name="Migliaia 12 2 2 2 5" xfId="16042" xr:uid="{655FA59B-207B-43C1-94F9-FCEC9A17E790}"/>
    <cellStyle name="Migliaia 12 2 2 2 6" xfId="8498" xr:uid="{583F87B1-DD81-4923-B245-E7956AB70549}"/>
    <cellStyle name="Migliaia 12 2 2 3" xfId="6094" xr:uid="{C32B766A-9919-40D8-909F-831B5EBFB133}"/>
    <cellStyle name="Migliaia 12 2 2 3 2" xfId="35142" xr:uid="{5C2FF071-A325-406F-8519-D75A7A25BC46}"/>
    <cellStyle name="Migliaia 12 2 2 3 2 2" xfId="40300" xr:uid="{14FEA47A-3F34-4ED9-AFFE-DE0E8D8F465C}"/>
    <cellStyle name="Migliaia 12 2 2 3 2 3" xfId="45602" xr:uid="{4501CA6E-C589-4185-8D45-E54B2079CAFE}"/>
    <cellStyle name="Migliaia 12 2 2 3 3" xfId="37649" xr:uid="{F32FD5AF-F8C3-4F1F-929C-BB8DC1090E38}"/>
    <cellStyle name="Migliaia 12 2 2 3 4" xfId="42951" xr:uid="{3634FFF9-FFC6-4096-86D5-279F3894CEA9}"/>
    <cellStyle name="Migliaia 12 2 2 3 5" xfId="11594" xr:uid="{81164C20-2BE0-416B-9A77-04DA27A7A112}"/>
    <cellStyle name="Migliaia 12 2 2 4" xfId="3147" xr:uid="{88E4A111-B9A2-4C6B-AE71-FB565826A997}"/>
    <cellStyle name="Migliaia 12 2 2 4 2" xfId="21380" xr:uid="{C8818AB8-77AA-476E-ADE7-24C4D010064D}"/>
    <cellStyle name="Migliaia 12 2 2 4 3" xfId="48281" xr:uid="{3B9E1049-DAED-42BE-9EF9-690B830CA18F}"/>
    <cellStyle name="Migliaia 12 2 2 4 4" xfId="50395" xr:uid="{7B5D5DFC-559E-4B13-8B18-D87784A19028}"/>
    <cellStyle name="Migliaia 12 2 2 4 5" xfId="53411" xr:uid="{EBCF095B-9699-4198-88C2-4D2449793A13}"/>
    <cellStyle name="Migliaia 12 2 2 4 6" xfId="10745" xr:uid="{737A91C4-F1F8-43C9-9494-233A8FFF58A0}"/>
    <cellStyle name="Migliaia 12 2 2 5" xfId="19842" xr:uid="{21DDE780-010B-48E4-B38A-5E720AAE2295}"/>
    <cellStyle name="Migliaia 12 2 2 6" xfId="24245" xr:uid="{396C2D6E-7BF3-4F42-89C1-79E0BABCEEE0}"/>
    <cellStyle name="Migliaia 12 2 2 7" xfId="7308" xr:uid="{604AE35C-EE2D-49D4-BFCF-701763D8A7C8}"/>
    <cellStyle name="Migliaia 12 2 3" xfId="3148" xr:uid="{6246DD2B-0CEA-4D07-8876-CE13DD323C4C}"/>
    <cellStyle name="Migliaia 12 2 3 2" xfId="4874" xr:uid="{A87A6FED-81D1-471C-88B8-5BA8761E7A68}"/>
    <cellStyle name="Migliaia 12 2 3 2 2" xfId="35143" xr:uid="{D13D16A5-26E3-4343-A505-66B9091AA8ED}"/>
    <cellStyle name="Migliaia 12 2 3 2 2 2" xfId="40301" xr:uid="{A6A5D919-C422-4C24-BB15-78614D9EAFEF}"/>
    <cellStyle name="Migliaia 12 2 3 2 2 3" xfId="45603" xr:uid="{0BB9D846-9D14-4158-A663-354E5CE922C4}"/>
    <cellStyle name="Migliaia 12 2 3 2 3" xfId="37650" xr:uid="{4EB86900-3160-4717-83CF-9A2237F1B03E}"/>
    <cellStyle name="Migliaia 12 2 3 2 4" xfId="42952" xr:uid="{F62305C6-1058-4722-9E32-53684E42BCCD}"/>
    <cellStyle name="Migliaia 12 2 3 2 5" xfId="14188" xr:uid="{EEFB6274-5270-4FCD-9BD3-4FA696D9C50B}"/>
    <cellStyle name="Migliaia 12 2 3 3" xfId="6095" xr:uid="{ECEA7AEB-2C08-44D4-A23B-7B6DF767D1C2}"/>
    <cellStyle name="Migliaia 12 2 3 3 2" xfId="38449" xr:uid="{06069845-FF88-4D87-8E79-7730CC529273}"/>
    <cellStyle name="Migliaia 12 2 3 3 3" xfId="43751" xr:uid="{F3030B31-71B5-49AD-9110-30AC05121E3B}"/>
    <cellStyle name="Migliaia 12 2 3 3 4" xfId="33088" xr:uid="{10CB57F3-C4BB-4343-973F-98DB47E8C74E}"/>
    <cellStyle name="Migliaia 12 2 3 3 5" xfId="19844" xr:uid="{8CDEFEE4-1D5C-433C-9A69-65EDD6A7A8F4}"/>
    <cellStyle name="Migliaia 12 2 3 4" xfId="35977" xr:uid="{E64F0EFD-5E54-4CDB-84C2-3FDF8F0F178F}"/>
    <cellStyle name="Migliaia 12 2 3 5" xfId="41100" xr:uid="{756DDC53-1299-4C10-A4D3-C57F5981B7D1}"/>
    <cellStyle name="Migliaia 12 2 3 6" xfId="16043" xr:uid="{CD99462F-6DF8-4938-B394-05291E6FD199}"/>
    <cellStyle name="Migliaia 12 2 3 7" xfId="8250" xr:uid="{5FFF8C5D-A8F0-4BB2-89D0-84FA13E027F1}"/>
    <cellStyle name="Migliaia 12 2 4" xfId="4872" xr:uid="{07AFB867-CB38-4385-B48D-BDE6F40D71F0}"/>
    <cellStyle name="Migliaia 12 2 4 2" xfId="13891" xr:uid="{0F5AB71F-8669-49A3-9B5B-1722B929C55C}"/>
    <cellStyle name="Migliaia 12 2 4 2 2" xfId="38450" xr:uid="{356633D7-BD20-4E11-B713-2FB8A5A7A98D}"/>
    <cellStyle name="Migliaia 12 2 4 2 3" xfId="43752" xr:uid="{5B8EE256-58B9-4BB7-95B0-FBF7A65FE3C8}"/>
    <cellStyle name="Migliaia 12 2 4 3" xfId="18727" xr:uid="{65EC6344-0CC4-4B7F-8FC7-EBA73170B5BB}"/>
    <cellStyle name="Migliaia 12 2 4 4" xfId="19845" xr:uid="{2B0F027E-2172-41ED-B66A-BCD11D54BDEF}"/>
    <cellStyle name="Migliaia 12 2 4 4 2" xfId="41101" xr:uid="{4507A536-EC36-4E28-80F7-0E2FA46AD86F}"/>
    <cellStyle name="Migliaia 12 2 4 5" xfId="16044" xr:uid="{6D5AED41-404D-44E9-AD58-FF3923561BAA}"/>
    <cellStyle name="Migliaia 12 2 4 6" xfId="7832" xr:uid="{2B776454-DA6F-465D-8380-ECE4E2A05E07}"/>
    <cellStyle name="Migliaia 12 2 5" xfId="6093" xr:uid="{93457ABC-4951-4796-B168-0EA3FF289D8E}"/>
    <cellStyle name="Migliaia 12 2 5 2" xfId="33090" xr:uid="{F9B5D1F0-32AC-4A5A-B120-060660CD8ABA}"/>
    <cellStyle name="Migliaia 12 2 5 2 2" xfId="38451" xr:uid="{A4038E8F-FFD5-4A6E-973B-5E5EEFD9AA94}"/>
    <cellStyle name="Migliaia 12 2 5 2 3" xfId="43753" xr:uid="{24889139-1FF0-4AD6-9F0A-BE100DF72BA0}"/>
    <cellStyle name="Migliaia 12 2 5 3" xfId="35979" xr:uid="{97C5FD55-EFBF-4BF9-8FF2-DC42DB3AB5DA}"/>
    <cellStyle name="Migliaia 12 2 5 4" xfId="41102" xr:uid="{558DF3D4-E854-4AB1-B13E-070703AC6B7B}"/>
    <cellStyle name="Migliaia 12 2 5 5" xfId="13105" xr:uid="{2326F0D4-2028-495F-9684-999B8CFB98E5}"/>
    <cellStyle name="Migliaia 12 2 6" xfId="3146" xr:uid="{6FC51661-0B9F-4AE6-B0A9-F8AEDF4A46D8}"/>
    <cellStyle name="Migliaia 12 2 6 2" xfId="33091" xr:uid="{340ECF12-954E-4D25-9DCF-3C569E7F9110}"/>
    <cellStyle name="Migliaia 12 2 6 2 2" xfId="38452" xr:uid="{1A6C1B3B-994D-4404-A903-58A66EA37E66}"/>
    <cellStyle name="Migliaia 12 2 6 2 3" xfId="43754" xr:uid="{5B111669-E56B-4CA6-85F6-4695AB3F2574}"/>
    <cellStyle name="Migliaia 12 2 6 3" xfId="35980" xr:uid="{2E4E0830-7E21-4D6C-A050-56ACDE3FC7D1}"/>
    <cellStyle name="Migliaia 12 2 6 4" xfId="41103" xr:uid="{77B7AC4A-69F5-491B-9A86-1A2568E5F065}"/>
    <cellStyle name="Migliaia 12 2 6 5" xfId="24250" xr:uid="{2B14F3D9-6485-4EFC-BBE0-87806886D4FD}"/>
    <cellStyle name="Migliaia 12 2 6 6" xfId="19841" xr:uid="{2BBE3CD7-1A25-4081-9D8E-E663459D3AF2}"/>
    <cellStyle name="Migliaia 12 2 7" xfId="24244" xr:uid="{01BDC120-21FB-4F32-9549-CC070B8803A1}"/>
    <cellStyle name="Migliaia 12 2 8" xfId="7051" xr:uid="{550F0390-D3F4-483B-B11B-5F5A930974D6}"/>
    <cellStyle name="Migliaia 12 3" xfId="311" xr:uid="{00000000-0005-0000-0000-0000D6020000}"/>
    <cellStyle name="Migliaia 12 3 10" xfId="24251" xr:uid="{AAF843E3-8F8E-416B-A340-D83BA25652A9}"/>
    <cellStyle name="Migliaia 12 3 11" xfId="16045" xr:uid="{0F1C52BB-77F3-415C-9381-6CDCC59C294C}"/>
    <cellStyle name="Migliaia 12 3 12" xfId="7052" xr:uid="{42F943C2-0271-4D55-8F24-80EAF14195E5}"/>
    <cellStyle name="Migliaia 12 3 2" xfId="312" xr:uid="{00000000-0005-0000-0000-0000D7020000}"/>
    <cellStyle name="Migliaia 12 3 2 2" xfId="1669" xr:uid="{00000000-0005-0000-0000-0000D8020000}"/>
    <cellStyle name="Migliaia 12 3 2 2 2" xfId="4877" xr:uid="{64915956-DBCE-4E20-A832-C7AA2A9EE279}"/>
    <cellStyle name="Migliaia 12 3 2 2 2 2" xfId="18367" xr:uid="{CAF10101-C2E0-4B76-AE48-5839C35FC3C1}"/>
    <cellStyle name="Migliaia 12 3 2 2 2 2 2" xfId="21840" xr:uid="{6FADA2DA-43D8-4980-A223-CE8ED06EABB1}"/>
    <cellStyle name="Migliaia 12 3 2 2 2 2 2 2" xfId="38453" xr:uid="{2CA34184-2C1C-45F4-A533-035B7083E32A}"/>
    <cellStyle name="Migliaia 12 3 2 2 2 2 3" xfId="43755" xr:uid="{EB851ACE-EAF0-44BE-BC39-AA10AA78901E}"/>
    <cellStyle name="Migliaia 12 3 2 2 2 2 4" xfId="33092" xr:uid="{79E94513-2001-4061-B6A3-B1380E51111E}"/>
    <cellStyle name="Migliaia 12 3 2 2 2 3" xfId="35981" xr:uid="{1723DE7E-42C6-4EEF-A53E-5D632CA172C1}"/>
    <cellStyle name="Migliaia 12 3 2 2 2 4" xfId="41104" xr:uid="{2DFB82AD-F3C4-4C0B-9516-B9B4863106F3}"/>
    <cellStyle name="Migliaia 12 3 2 2 2 5" xfId="47911" xr:uid="{A6F58015-025A-4782-B49A-CA53782B61AB}"/>
    <cellStyle name="Migliaia 12 3 2 2 2 6" xfId="50868" xr:uid="{506A5F96-A7F1-43EF-93EB-5586D4F1805A}"/>
    <cellStyle name="Migliaia 12 3 2 2 2 7" xfId="53884" xr:uid="{4D551C9A-A29F-4920-A39E-C82A65D0C45D}"/>
    <cellStyle name="Migliaia 12 3 2 2 2 8" xfId="17641" xr:uid="{281F5BE3-6DF4-4F59-9EDE-4A53D3182D87}"/>
    <cellStyle name="Migliaia 12 3 2 2 2 9" xfId="11895" xr:uid="{355D974B-DBD1-446B-90D3-079DFBA17D14}"/>
    <cellStyle name="Migliaia 12 3 2 2 3" xfId="6098" xr:uid="{227E8D48-F0F9-4B9D-8968-FE490EA19686}"/>
    <cellStyle name="Migliaia 12 3 2 2 3 2" xfId="11682" xr:uid="{EF36E6E7-931F-4040-AD21-68B5C96F3743}"/>
    <cellStyle name="Migliaia 12 3 2 2 4" xfId="3151" xr:uid="{9220755F-364E-44E4-BC8F-AE1BA6350B1F}"/>
    <cellStyle name="Migliaia 12 3 2 2 4 2" xfId="21381" xr:uid="{4BC9C546-A896-4A90-9389-B9F1A5560D35}"/>
    <cellStyle name="Migliaia 12 3 2 2 4 3" xfId="48528" xr:uid="{11735ABE-3C54-4CCF-84A6-D2ABA60ECF15}"/>
    <cellStyle name="Migliaia 12 3 2 2 4 4" xfId="50396" xr:uid="{27A64EDA-DE05-46BF-9200-0B7E59B7644E}"/>
    <cellStyle name="Migliaia 12 3 2 2 4 5" xfId="53412" xr:uid="{D198BF60-2C02-494A-A243-46534D2F13A7}"/>
    <cellStyle name="Migliaia 12 3 2 2 4 6" xfId="10746" xr:uid="{BFF3BF29-74D2-42FA-91B0-041D2736B0EE}"/>
    <cellStyle name="Migliaia 12 3 2 2 5" xfId="19848" xr:uid="{5483F4DA-4FCB-4D69-9CF6-1493DB9F39B0}"/>
    <cellStyle name="Migliaia 12 3 2 2 6" xfId="24253" xr:uid="{813F887A-0795-4249-9EA4-19D16D03CA38}"/>
    <cellStyle name="Migliaia 12 3 2 2 7" xfId="8500" xr:uid="{D8EF3C64-D33E-4D57-B320-5B6E2B15E787}"/>
    <cellStyle name="Migliaia 12 3 2 3" xfId="4876" xr:uid="{4752DE17-AE2E-4065-BB62-0D4309E8C7B0}"/>
    <cellStyle name="Migliaia 12 3 2 3 2" xfId="11654" xr:uid="{B6B81104-E13D-4806-9F69-5B999972540F}"/>
    <cellStyle name="Migliaia 12 3 2 3 2 2" xfId="38454" xr:uid="{0A0D6ED7-BFAA-4677-80C3-50E9109D9090}"/>
    <cellStyle name="Migliaia 12 3 2 3 2 3" xfId="43756" xr:uid="{A3950FB0-9E27-46BA-ADD3-D5ACF83A5FBF}"/>
    <cellStyle name="Migliaia 12 3 2 3 2 4" xfId="33093" xr:uid="{39E7B1D3-1C2C-43AF-BC56-1550119BE9FC}"/>
    <cellStyle name="Migliaia 12 3 2 3 3" xfId="11896" xr:uid="{87833FEC-22AC-471B-A7F2-DB0BDE9FFB36}"/>
    <cellStyle name="Migliaia 12 3 2 3 4" xfId="19849" xr:uid="{B5BDD554-B5AD-4766-A9D6-82B0755675CE}"/>
    <cellStyle name="Migliaia 12 3 2 3 4 2" xfId="41105" xr:uid="{DE1069CC-1F1A-4290-A75E-EE1300A62A0D}"/>
    <cellStyle name="Migliaia 12 3 2 3 5" xfId="16046" xr:uid="{6C75238F-291F-472B-A040-03C52223C452}"/>
    <cellStyle name="Migliaia 12 3 2 3 6" xfId="7834" xr:uid="{F05CB76A-842A-4420-A846-BC7B1481D4EE}"/>
    <cellStyle name="Migliaia 12 3 2 4" xfId="6097" xr:uid="{9783CE4D-C188-4C6E-ACAF-D23E24B50F9D}"/>
    <cellStyle name="Migliaia 12 3 2 4 2" xfId="18060" xr:uid="{8932F2D5-4B25-4947-AF6C-490B9E309F2F}"/>
    <cellStyle name="Migliaia 12 3 2 4 2 2" xfId="38455" xr:uid="{039AD27D-C5E2-4A76-87F4-896A9717923A}"/>
    <cellStyle name="Migliaia 12 3 2 4 2 3" xfId="43757" xr:uid="{AD9AA7D2-8AA3-470A-95CD-82E9EC9D4936}"/>
    <cellStyle name="Migliaia 12 3 2 4 3" xfId="35983" xr:uid="{7968ECF6-9763-48BF-BF69-6AE1BFBE6544}"/>
    <cellStyle name="Migliaia 12 3 2 4 4" xfId="41106" xr:uid="{DEC740ED-5970-4053-AA44-7D2ABBD23EEA}"/>
    <cellStyle name="Migliaia 12 3 2 4 5" xfId="17142" xr:uid="{ACDA19C6-71E4-4138-94B2-FF3A218021A4}"/>
    <cellStyle name="Migliaia 12 3 2 4 6" xfId="11248" xr:uid="{9B7F8D6D-64C0-461C-86B0-BB28DADBFEF6}"/>
    <cellStyle name="Migliaia 12 3 2 5" xfId="3150" xr:uid="{509466E2-8570-45F8-925D-A5017F3EA9EB}"/>
    <cellStyle name="Migliaia 12 3 2 5 2" xfId="33095" xr:uid="{168A5DBD-66DF-4F66-8B89-B3F17FD16688}"/>
    <cellStyle name="Migliaia 12 3 2 5 2 2" xfId="38456" xr:uid="{ED7692B6-76D7-42D3-A2B6-14FD3DC29784}"/>
    <cellStyle name="Migliaia 12 3 2 5 2 3" xfId="43758" xr:uid="{B7948B87-947A-48D5-92D9-02AE8696D5A4}"/>
    <cellStyle name="Migliaia 12 3 2 5 3" xfId="35984" xr:uid="{392CDBCA-4D6E-420E-BD46-EAE630B110CA}"/>
    <cellStyle name="Migliaia 12 3 2 5 4" xfId="41107" xr:uid="{D03ECC54-FE09-4875-B7D8-00DBB64915D3}"/>
    <cellStyle name="Migliaia 12 3 2 5 5" xfId="17417" xr:uid="{91412D42-F273-4C30-BCEE-DC2FDB1A2362}"/>
    <cellStyle name="Migliaia 12 3 2 6" xfId="19847" xr:uid="{D1681F4D-097B-4430-8214-F8718A99C25C}"/>
    <cellStyle name="Migliaia 12 3 2 6 2" xfId="33096" xr:uid="{2E101E68-C5AE-4EE8-9198-BE3E1B605A0A}"/>
    <cellStyle name="Migliaia 12 3 2 6 2 2" xfId="38457" xr:uid="{8A496BC8-E8DC-4180-A371-0AE38766EE30}"/>
    <cellStyle name="Migliaia 12 3 2 6 2 3" xfId="43759" xr:uid="{324A326E-70DA-4BD7-B94A-1CB01A88FBDD}"/>
    <cellStyle name="Migliaia 12 3 2 6 3" xfId="35985" xr:uid="{46A612CA-B23F-47BB-A9A7-4077E989DE91}"/>
    <cellStyle name="Migliaia 12 3 2 6 4" xfId="41108" xr:uid="{2181CE59-97EE-49C9-9B5E-6D040852C9DC}"/>
    <cellStyle name="Migliaia 12 3 2 6 5" xfId="24257" xr:uid="{F48EB044-0E2E-46C8-B896-EB525AB93B4C}"/>
    <cellStyle name="Migliaia 12 3 2 7" xfId="24252" xr:uid="{70ED79D0-8522-4257-AA74-374D1FC88B1A}"/>
    <cellStyle name="Migliaia 12 3 2 8" xfId="7310" xr:uid="{A1980EB5-2894-4A5E-96DF-BFAA9E9B61B3}"/>
    <cellStyle name="Migliaia 12 3 3" xfId="3152" xr:uid="{054AABEF-7611-4991-9857-BC68111C252F}"/>
    <cellStyle name="Migliaia 12 3 3 10" xfId="7309" xr:uid="{B52CD6CD-8659-4A6F-BC98-9579C93D5105}"/>
    <cellStyle name="Migliaia 12 3 3 2" xfId="4878" xr:uid="{3B652F87-4782-4790-9068-73ED6193A85E}"/>
    <cellStyle name="Migliaia 12 3 3 2 2" xfId="9888" xr:uid="{C5FC8A24-D211-45CF-A067-E6D90E5F9C70}"/>
    <cellStyle name="Migliaia 12 3 3 2 2 2" xfId="38459" xr:uid="{159DB88E-3E4F-49A1-903C-BF704C17BA96}"/>
    <cellStyle name="Migliaia 12 3 3 2 2 3" xfId="43761" xr:uid="{C529AE89-4A76-42CB-8686-0924D3C214AC}"/>
    <cellStyle name="Migliaia 12 3 3 2 3" xfId="18168" xr:uid="{6BAE5166-787D-44C8-9AB1-E2AC78CA45CC}"/>
    <cellStyle name="Migliaia 12 3 3 2 4" xfId="19851" xr:uid="{0484AC00-89A7-45D4-9696-DA78C32D94F5}"/>
    <cellStyle name="Migliaia 12 3 3 2 4 2" xfId="41110" xr:uid="{EEEFCEC9-6E52-4DDD-92FF-D502DA951ADE}"/>
    <cellStyle name="Migliaia 12 3 3 2 5" xfId="16048" xr:uid="{A821B3F6-8593-41FF-8AB9-715856A73F7B}"/>
    <cellStyle name="Migliaia 12 3 3 2 6" xfId="8499" xr:uid="{2F9C9565-7ACA-43FF-9B09-2997BAF9075B}"/>
    <cellStyle name="Migliaia 12 3 3 3" xfId="6099" xr:uid="{FEAB8AB0-B68A-4BC1-9B9F-5AB2461CCE08}"/>
    <cellStyle name="Migliaia 12 3 3 3 2" xfId="33098" xr:uid="{FB46E013-93D7-4632-80B5-81B7B0BD2423}"/>
    <cellStyle name="Migliaia 12 3 3 3 2 2" xfId="38460" xr:uid="{132EECF2-4BCF-406C-AE8C-D4DFD4E9581B}"/>
    <cellStyle name="Migliaia 12 3 3 3 2 3" xfId="43762" xr:uid="{52BF490C-1BF6-40D7-9E32-14D0114226AD}"/>
    <cellStyle name="Migliaia 12 3 3 3 3" xfId="35988" xr:uid="{0CDAA2CA-54AF-493D-9D4F-E96AD2B95FEA}"/>
    <cellStyle name="Migliaia 12 3 3 3 4" xfId="41111" xr:uid="{847B1144-8DC0-4CF0-824A-3D9F150F5461}"/>
    <cellStyle name="Migliaia 12 3 3 3 5" xfId="9651" xr:uid="{92A1CD86-A373-4361-BAC8-18A0AE1B589D}"/>
    <cellStyle name="Migliaia 12 3 3 4" xfId="19850" xr:uid="{628ADE3C-D347-400A-817D-7040F911B996}"/>
    <cellStyle name="Migliaia 12 3 3 4 2" xfId="33099" xr:uid="{EEE8F4C8-D660-460F-9267-E5A56F559263}"/>
    <cellStyle name="Migliaia 12 3 3 4 2 2" xfId="38461" xr:uid="{2F76566C-1F4C-497F-B875-97ACB52AAF98}"/>
    <cellStyle name="Migliaia 12 3 3 4 2 3" xfId="43763" xr:uid="{D32B6ED0-51BA-449C-8ECA-A0735B427E53}"/>
    <cellStyle name="Migliaia 12 3 3 4 3" xfId="35989" xr:uid="{905F5EE4-7D72-4515-A0CE-3572BA2FCBE6}"/>
    <cellStyle name="Migliaia 12 3 3 4 4" xfId="41112" xr:uid="{AD98609D-EE5E-4514-8902-786195A1D8FC}"/>
    <cellStyle name="Migliaia 12 3 3 4 5" xfId="24261" xr:uid="{AD0A866D-388C-4D11-8B93-43FF2CC74228}"/>
    <cellStyle name="Migliaia 12 3 3 5" xfId="24262" xr:uid="{9405E816-7D31-46F8-86CF-10749A39859C}"/>
    <cellStyle name="Migliaia 12 3 3 5 2" xfId="33100" xr:uid="{ACA042AD-B094-4818-8B67-728840B0F15B}"/>
    <cellStyle name="Migliaia 12 3 3 5 2 2" xfId="38462" xr:uid="{E546D26B-EEEB-44F3-9C4A-5A2A8C84AE94}"/>
    <cellStyle name="Migliaia 12 3 3 5 2 3" xfId="43764" xr:uid="{EF63C6F4-1E45-462F-9C47-2857633BBEF0}"/>
    <cellStyle name="Migliaia 12 3 3 5 3" xfId="35990" xr:uid="{38C3040C-32FD-4A62-B1FD-89820E2D3A63}"/>
    <cellStyle name="Migliaia 12 3 3 5 4" xfId="41113" xr:uid="{A2167B8D-7B9E-4302-8C73-FEF5D01D71A9}"/>
    <cellStyle name="Migliaia 12 3 3 6" xfId="33097" xr:uid="{E19F74C1-B207-4BC4-B8CD-AB2118E50EFF}"/>
    <cellStyle name="Migliaia 12 3 3 6 2" xfId="38458" xr:uid="{21805F46-75CA-41B8-BA91-618F3FBD8F0E}"/>
    <cellStyle name="Migliaia 12 3 3 6 3" xfId="43760" xr:uid="{ADC5E415-7E5E-4276-8553-3BC475D2FEE3}"/>
    <cellStyle name="Migliaia 12 3 3 7" xfId="35986" xr:uid="{D5295890-961F-4BAA-A895-00E72E47F3BC}"/>
    <cellStyle name="Migliaia 12 3 3 8" xfId="41109" xr:uid="{3AF944F9-5F4E-447C-9300-61873196C06B}"/>
    <cellStyle name="Migliaia 12 3 3 9" xfId="16047" xr:uid="{737589E5-6834-4128-91AA-1F1FE6859184}"/>
    <cellStyle name="Migliaia 12 3 4" xfId="3153" xr:uid="{8178739E-405A-435A-A7C7-1BB8B63F3A4A}"/>
    <cellStyle name="Migliaia 12 3 4 2" xfId="4879" xr:uid="{AFDD348B-746B-4BD8-89A7-AFB7611D5890}"/>
    <cellStyle name="Migliaia 12 3 4 2 2" xfId="14426" xr:uid="{8AEDBDAA-50D9-4381-AB33-23E4BC0928C9}"/>
    <cellStyle name="Migliaia 12 3 4 2 3" xfId="18123" xr:uid="{B99A7B18-CA51-4589-A482-514E63287654}"/>
    <cellStyle name="Migliaia 12 3 4 2 4" xfId="19853" xr:uid="{2B935762-984F-4012-88C6-3A94B6081A02}"/>
    <cellStyle name="Migliaia 12 3 4 2 5" xfId="32300" xr:uid="{5B8A38F5-1400-4CE0-9C5B-F8DF71F3497A}"/>
    <cellStyle name="Migliaia 12 3 4 2 6" xfId="16050" xr:uid="{79740858-8735-4BA7-9BB1-666B54081424}"/>
    <cellStyle name="Migliaia 12 3 4 2 7" xfId="8849" xr:uid="{7641843A-DE05-4B25-8872-1FE0621877F1}"/>
    <cellStyle name="Migliaia 12 3 4 3" xfId="6100" xr:uid="{5AF1D86E-62BC-4A97-A496-263DD57BE6D8}"/>
    <cellStyle name="Migliaia 12 3 4 3 2" xfId="35144" xr:uid="{85C3E2A0-3E4B-49AD-8C57-499EC4FC3B0F}"/>
    <cellStyle name="Migliaia 12 3 4 3 2 2" xfId="40302" xr:uid="{B83CCE3D-ECAE-44A5-BA93-57812BD95610}"/>
    <cellStyle name="Migliaia 12 3 4 3 2 3" xfId="45604" xr:uid="{1F16817A-844B-46AA-89EC-4E368470113B}"/>
    <cellStyle name="Migliaia 12 3 4 3 3" xfId="37651" xr:uid="{F934ED5B-BBCD-4203-B86F-8E057FFE7FAA}"/>
    <cellStyle name="Migliaia 12 3 4 3 4" xfId="42953" xr:uid="{E2016880-55A0-410A-8BC7-079837FC3065}"/>
    <cellStyle name="Migliaia 12 3 4 3 5" xfId="13674" xr:uid="{4038EBBF-CA20-4C4B-926D-BA59DE298C9B}"/>
    <cellStyle name="Migliaia 12 3 4 4" xfId="19852" xr:uid="{53965E50-C3BD-4784-8F6D-550B02EE3A48}"/>
    <cellStyle name="Migliaia 12 3 4 4 2" xfId="38463" xr:uid="{C2BDA08A-DD98-4CF6-AF66-9E53EA43A85F}"/>
    <cellStyle name="Migliaia 12 3 4 4 3" xfId="43765" xr:uid="{BB65B032-51EE-469F-91C8-B0847F814F1A}"/>
    <cellStyle name="Migliaia 12 3 4 4 4" xfId="33101" xr:uid="{C9A7C269-5F98-44A1-BE39-2B888A9B6360}"/>
    <cellStyle name="Migliaia 12 3 4 5" xfId="35991" xr:uid="{B8415B6B-F224-4473-9B28-254C8FEE0784}"/>
    <cellStyle name="Migliaia 12 3 4 6" xfId="41114" xr:uid="{EE6CD038-58AD-424A-B091-EAA8339650F0}"/>
    <cellStyle name="Migliaia 12 3 4 7" xfId="16049" xr:uid="{66D31040-5982-41D9-A097-DCF246BD5DB3}"/>
    <cellStyle name="Migliaia 12 3 4 8" xfId="7659" xr:uid="{5DDBA917-C3FA-4CB9-90E9-DE5D70A9E948}"/>
    <cellStyle name="Migliaia 12 3 5" xfId="3154" xr:uid="{492F36A3-B5D0-4AEB-842D-2464647AD64C}"/>
    <cellStyle name="Migliaia 12 3 5 2" xfId="4880" xr:uid="{66DA381E-E6CF-4D4C-AA56-BA4987492713}"/>
    <cellStyle name="Migliaia 12 3 5 2 2" xfId="35145" xr:uid="{AC86EA49-695B-4C67-B81C-788BC8377685}"/>
    <cellStyle name="Migliaia 12 3 5 2 2 2" xfId="40303" xr:uid="{84CD675B-1381-4FC3-A4F8-FA04A79370AC}"/>
    <cellStyle name="Migliaia 12 3 5 2 2 3" xfId="45605" xr:uid="{B2DFB04E-C2D3-4565-AB45-A1B937C2C02B}"/>
    <cellStyle name="Migliaia 12 3 5 2 3" xfId="37652" xr:uid="{B5FFD926-7FFE-4DEA-B8DE-222625F7C548}"/>
    <cellStyle name="Migliaia 12 3 5 2 4" xfId="42954" xr:uid="{474CF11E-1C9B-4587-9462-3C158CC7FC2C}"/>
    <cellStyle name="Migliaia 12 3 5 2 5" xfId="14189" xr:uid="{67F64A2C-E52E-46E1-9FA3-3E1C6BE1451A}"/>
    <cellStyle name="Migliaia 12 3 5 3" xfId="6101" xr:uid="{970692A7-995C-477A-AB08-2FAB0920E134}"/>
    <cellStyle name="Migliaia 12 3 5 3 2" xfId="38464" xr:uid="{71759DC9-2952-4F59-B1A1-CDE341373FED}"/>
    <cellStyle name="Migliaia 12 3 5 3 3" xfId="43766" xr:uid="{80B729B2-89B4-4372-8A14-7694C5CEA6D0}"/>
    <cellStyle name="Migliaia 12 3 5 3 4" xfId="33102" xr:uid="{A30BAE08-F452-4876-8087-E4F664BFD433}"/>
    <cellStyle name="Migliaia 12 3 5 3 5" xfId="19854" xr:uid="{3A49DE88-9602-4A2A-9E73-EB05C89D0877}"/>
    <cellStyle name="Migliaia 12 3 5 4" xfId="35992" xr:uid="{84235D84-FCCD-4810-9FE0-B258F64FB0C2}"/>
    <cellStyle name="Migliaia 12 3 5 5" xfId="41115" xr:uid="{8BC3D49F-080A-460A-A879-A94EFC733C9E}"/>
    <cellStyle name="Migliaia 12 3 5 6" xfId="16051" xr:uid="{B721255E-8831-4130-ADFD-40CC0F499D97}"/>
    <cellStyle name="Migliaia 12 3 5 7" xfId="8251" xr:uid="{D94F7CBE-F17D-4EC1-8AF8-D3DBED0FB401}"/>
    <cellStyle name="Migliaia 12 3 6" xfId="4875" xr:uid="{C448DC17-F901-42C0-B428-A6B0E69CD659}"/>
    <cellStyle name="Migliaia 12 3 6 2" xfId="13892" xr:uid="{51F0ABF4-2696-4E7C-8FDA-7D07DEC9BF79}"/>
    <cellStyle name="Migliaia 12 3 6 2 2" xfId="38465" xr:uid="{652B75A3-5FD6-4FCD-A9F9-13D3667139C2}"/>
    <cellStyle name="Migliaia 12 3 6 2 3" xfId="43767" xr:uid="{75B492BF-B72A-40F8-B833-20A3A301F1B5}"/>
    <cellStyle name="Migliaia 12 3 6 3" xfId="18726" xr:uid="{4C130FC1-DF28-42CB-AF2E-A1059B5D61F9}"/>
    <cellStyle name="Migliaia 12 3 6 4" xfId="19855" xr:uid="{9EEF38E7-611A-4766-8E86-59A61F30B69E}"/>
    <cellStyle name="Migliaia 12 3 6 4 2" xfId="41116" xr:uid="{E9AFBBC5-1F79-46A2-BD76-D1CCCBAD2EBF}"/>
    <cellStyle name="Migliaia 12 3 6 5" xfId="16052" xr:uid="{0B86DB14-C7C1-460D-BC29-494DF084CEB1}"/>
    <cellStyle name="Migliaia 12 3 6 6" xfId="7833" xr:uid="{95101843-DFCF-4E9B-9FC7-87F768A12011}"/>
    <cellStyle name="Migliaia 12 3 7" xfId="6096" xr:uid="{591653F3-782E-43B7-B29C-5FB6E4E94E44}"/>
    <cellStyle name="Migliaia 12 3 7 2" xfId="33103" xr:uid="{8DA47C13-9DE7-46C1-9FAD-4AEE827C0285}"/>
    <cellStyle name="Migliaia 12 3 7 2 2" xfId="38466" xr:uid="{479A9DC7-4FE3-489A-9B57-AD7039244C41}"/>
    <cellStyle name="Migliaia 12 3 7 2 3" xfId="43768" xr:uid="{B663BEA7-9E3C-44F9-A0E1-DD52D91EC2AB}"/>
    <cellStyle name="Migliaia 12 3 7 3" xfId="35994" xr:uid="{FB308374-5EAE-4744-9E4B-7E56930F4F60}"/>
    <cellStyle name="Migliaia 12 3 7 4" xfId="41117" xr:uid="{89F96890-EACC-42BC-B095-9E0DB7A5DBA5}"/>
    <cellStyle name="Migliaia 12 3 7 5" xfId="11536" xr:uid="{5E436DE7-1627-40A5-B379-72A31D0A766B}"/>
    <cellStyle name="Migliaia 12 3 8" xfId="3149" xr:uid="{D033ECDC-07B2-4114-8759-D3578544B6F0}"/>
    <cellStyle name="Migliaia 12 3 8 2" xfId="33104" xr:uid="{1D7658F6-DF5A-4AAD-84D8-999D02B67E32}"/>
    <cellStyle name="Migliaia 12 3 8 2 2" xfId="38467" xr:uid="{533B5539-F15B-473D-B98E-8CA77FFEC85E}"/>
    <cellStyle name="Migliaia 12 3 8 2 3" xfId="43769" xr:uid="{5E58C54B-8844-4DFB-983C-AB230A7D4976}"/>
    <cellStyle name="Migliaia 12 3 8 3" xfId="35995" xr:uid="{8D2C9D1B-FA73-45A0-9EEF-8A02D6CD49B8}"/>
    <cellStyle name="Migliaia 12 3 8 4" xfId="41118" xr:uid="{E1798DB6-EDBB-4008-8432-A6F41E8DB994}"/>
    <cellStyle name="Migliaia 12 3 8 5" xfId="24266" xr:uid="{41099032-7CCD-4296-BF4A-3E327594E623}"/>
    <cellStyle name="Migliaia 12 3 8 6" xfId="17418" xr:uid="{5340246C-4BCA-4637-890A-F0AA232CA0EB}"/>
    <cellStyle name="Migliaia 12 3 9" xfId="19846" xr:uid="{63A36259-6855-42BC-AB2C-03BB619C177C}"/>
    <cellStyle name="Migliaia 12 4" xfId="1670" xr:uid="{00000000-0005-0000-0000-0000D9020000}"/>
    <cellStyle name="Migliaia 12 4 2" xfId="1671" xr:uid="{00000000-0005-0000-0000-0000DA020000}"/>
    <cellStyle name="Migliaia 12 4 2 2" xfId="4882" xr:uid="{64ADEC96-35AE-427F-AC03-E63B5C4A0257}"/>
    <cellStyle name="Migliaia 12 4 2 2 2" xfId="33105" xr:uid="{E3185428-5948-417D-A144-E51BC3D6C28D}"/>
    <cellStyle name="Migliaia 12 4 2 2 2 2" xfId="38468" xr:uid="{C4B6B87C-7B6E-4505-847B-62898F914631}"/>
    <cellStyle name="Migliaia 12 4 2 2 2 3" xfId="43770" xr:uid="{C7D6EB93-A869-4984-B271-DFECA0C98ACC}"/>
    <cellStyle name="Migliaia 12 4 2 2 3" xfId="35996" xr:uid="{2304D37D-1763-45ED-93E0-70C05A642AE6}"/>
    <cellStyle name="Migliaia 12 4 2 2 4" xfId="41119" xr:uid="{F2ADE3E7-185B-496A-ACF8-A82036C23878}"/>
    <cellStyle name="Migliaia 12 4 2 2 5" xfId="9114" xr:uid="{6965DF6D-9E0B-4304-8BF1-45E726CE1929}"/>
    <cellStyle name="Migliaia 12 4 2 3" xfId="3156" xr:uid="{2DFE1BE3-1A35-4771-90E3-BFD323A3B8AE}"/>
    <cellStyle name="Migliaia 12 4 2 3 2" xfId="33106" xr:uid="{F8084055-C1B7-4137-A34E-B13A30959B2A}"/>
    <cellStyle name="Migliaia 12 4 2 3 2 2" xfId="38469" xr:uid="{9FEEBBE1-B8D0-4E90-AC26-EF92E5235787}"/>
    <cellStyle name="Migliaia 12 4 2 3 2 3" xfId="43771" xr:uid="{2A7AB3B9-1FF0-49CC-8848-DD0FA0D7A4F8}"/>
    <cellStyle name="Migliaia 12 4 2 3 3" xfId="35997" xr:uid="{70915F0D-040C-4913-B388-34CC31A50735}"/>
    <cellStyle name="Migliaia 12 4 2 3 4" xfId="41120" xr:uid="{2409F0C3-D826-4BFA-AD44-22FD604088DC}"/>
    <cellStyle name="Migliaia 12 4 2 3 5" xfId="11897" xr:uid="{3F2C8E16-53D4-4CE3-AEAF-67BAA38E7FE2}"/>
    <cellStyle name="Migliaia 12 4 2 4" xfId="11250" xr:uid="{1FC66FA4-1B68-4B08-91A0-750213AB1518}"/>
    <cellStyle name="Migliaia 12 4 2 5" xfId="10748" xr:uid="{ABC22400-A317-4B6D-9215-FFA6F8F6482A}"/>
    <cellStyle name="Migliaia 12 4 2 5 2" xfId="21383" xr:uid="{43E29348-A924-46E4-80CF-8D5AEDE9D58D}"/>
    <cellStyle name="Migliaia 12 4 2 5 3" xfId="46204" xr:uid="{174E0A5A-9E00-4557-9ACA-6F62F49ADFC0}"/>
    <cellStyle name="Migliaia 12 4 2 5 4" xfId="50398" xr:uid="{76763F90-5EEC-4567-AFC2-81EE7B675D78}"/>
    <cellStyle name="Migliaia 12 4 2 5 5" xfId="53414" xr:uid="{D3B0504E-A96D-490D-85D7-FF519FCB153B}"/>
    <cellStyle name="Migliaia 12 4 2 6" xfId="19857" xr:uid="{92FE4C58-72D3-4143-92A1-9E335FB7B6A8}"/>
    <cellStyle name="Migliaia 12 4 2 7" xfId="24268" xr:uid="{ABFE2CC6-EA4C-4A9E-B105-75C42C97B700}"/>
    <cellStyle name="Migliaia 12 4 2 8" xfId="8501" xr:uid="{8AC895DB-EF11-4D75-9C62-2E84EC759CA8}"/>
    <cellStyle name="Migliaia 12 4 3" xfId="4881" xr:uid="{94686066-066E-4C73-8762-AFA38DA81BA6}"/>
    <cellStyle name="Migliaia 12 4 3 2" xfId="18169" xr:uid="{563499E1-D9CB-491B-AC5C-4073A9B005D1}"/>
    <cellStyle name="Migliaia 12 4 3 2 2" xfId="38470" xr:uid="{72956707-2D8B-44C3-9A6E-B8C2BF7AE82C}"/>
    <cellStyle name="Migliaia 12 4 3 2 3" xfId="43772" xr:uid="{49F9CD8E-4D9A-4E4D-B103-1A6E45DDD7F7}"/>
    <cellStyle name="Migliaia 12 4 3 3" xfId="35998" xr:uid="{87A19D24-F3BB-4DDD-9406-185FE481C561}"/>
    <cellStyle name="Migliaia 12 4 3 4" xfId="41121" xr:uid="{E236DE1A-C6AD-4B7A-B9E8-81439C4E6802}"/>
    <cellStyle name="Migliaia 12 4 3 5" xfId="17416" xr:uid="{1FF24943-555E-41C3-BE61-9BA235EFA38D}"/>
    <cellStyle name="Migliaia 12 4 3 6" xfId="9115" xr:uid="{4F452EDD-A485-4099-ABB5-53CDF76CDDB6}"/>
    <cellStyle name="Migliaia 12 4 4" xfId="6102" xr:uid="{F5F5D41C-7F64-43A1-A652-3A5B4A45F42A}"/>
    <cellStyle name="Migliaia 12 4 4 2" xfId="33108" xr:uid="{27283054-22A0-431B-8E3B-6E4CAB1F4410}"/>
    <cellStyle name="Migliaia 12 4 4 2 2" xfId="38471" xr:uid="{1B60651E-8759-43F2-A647-EA1EEE8B74DE}"/>
    <cellStyle name="Migliaia 12 4 4 2 3" xfId="43773" xr:uid="{4F23A831-D3FE-4BBD-BB85-0F3A71C95485}"/>
    <cellStyle name="Migliaia 12 4 4 3" xfId="35999" xr:uid="{4826B3B2-DCB5-4C8D-AFC0-EA5F6AD8F662}"/>
    <cellStyle name="Migliaia 12 4 4 4" xfId="41122" xr:uid="{7D2FB3EE-6274-40E8-8790-C510C3858A69}"/>
    <cellStyle name="Migliaia 12 4 4 5" xfId="11898" xr:uid="{1F26541D-0E4F-47CB-A3F6-1FAC3C6ABFB4}"/>
    <cellStyle name="Migliaia 12 4 5" xfId="3155" xr:uid="{F4C2503B-6570-41EF-B2E5-5822E770F9E7}"/>
    <cellStyle name="Migliaia 12 4 5 2" xfId="33109" xr:uid="{073AC3D0-9D14-4D30-9DE5-19C81A6710A7}"/>
    <cellStyle name="Migliaia 12 4 5 2 2" xfId="38472" xr:uid="{81967BB2-AE48-4DAF-9065-23589834B289}"/>
    <cellStyle name="Migliaia 12 4 5 2 3" xfId="43774" xr:uid="{D717F0EB-363F-46CC-A35D-5B1CB1B019D7}"/>
    <cellStyle name="Migliaia 12 4 5 3" xfId="36000" xr:uid="{5B94E344-7F45-48C3-8D7E-458D687DFDA5}"/>
    <cellStyle name="Migliaia 12 4 5 4" xfId="41123" xr:uid="{1623BBA7-6B86-4E4F-B9DF-E6BF7527CDD9}"/>
    <cellStyle name="Migliaia 12 4 5 5" xfId="11249" xr:uid="{DB961A35-D30A-4706-96AD-C5729942A9FC}"/>
    <cellStyle name="Migliaia 12 4 6" xfId="10747" xr:uid="{0E44F4B0-C0DC-4980-A6C7-91C7EEFC001A}"/>
    <cellStyle name="Migliaia 12 4 6 2" xfId="21382" xr:uid="{A5161040-DC56-42C2-929F-439243C2FA9F}"/>
    <cellStyle name="Migliaia 12 4 6 2 2" xfId="38473" xr:uid="{47250455-BFA8-4C49-A995-7AB4B577165E}"/>
    <cellStyle name="Migliaia 12 4 6 2 3" xfId="43775" xr:uid="{67509E28-6E64-43EB-BB47-946D43CD218B}"/>
    <cellStyle name="Migliaia 12 4 6 2 4" xfId="33110" xr:uid="{8C395921-333B-42A6-B6F7-D1C5F3CB490F}"/>
    <cellStyle name="Migliaia 12 4 6 3" xfId="36001" xr:uid="{CBAAA4DC-CAD3-48FE-BA84-BAECBD6C1B06}"/>
    <cellStyle name="Migliaia 12 4 6 4" xfId="41124" xr:uid="{33E8A58D-FB40-40A9-88AD-978A37B7C474}"/>
    <cellStyle name="Migliaia 12 4 6 5" xfId="24272" xr:uid="{F9BA27D1-C906-4EA5-B14A-3CC76C4FE324}"/>
    <cellStyle name="Migliaia 12 4 6 6" xfId="47657" xr:uid="{6FBA7373-FE78-494B-A606-2F91B03AF46F}"/>
    <cellStyle name="Migliaia 12 4 6 7" xfId="50397" xr:uid="{BD2E9B3F-F241-4AE2-8471-734C81AE0040}"/>
    <cellStyle name="Migliaia 12 4 6 8" xfId="53413" xr:uid="{4AC236A4-589D-4D37-9925-5A7E54A04C7F}"/>
    <cellStyle name="Migliaia 12 4 7" xfId="19856" xr:uid="{E382010E-F11A-44C6-9428-B801C6A1A2AE}"/>
    <cellStyle name="Migliaia 12 4 7 2" xfId="33111" xr:uid="{45E76D08-77B5-438D-873D-774A514356D4}"/>
    <cellStyle name="Migliaia 12 4 7 2 2" xfId="38474" xr:uid="{8A58B1B7-1AA9-48E2-B49F-DF06BCF7E696}"/>
    <cellStyle name="Migliaia 12 4 7 2 3" xfId="43776" xr:uid="{3980248D-9BF2-4E58-8D98-6A0EC2B58A8B}"/>
    <cellStyle name="Migliaia 12 4 7 3" xfId="36002" xr:uid="{6503FF19-931B-4A95-923F-3936DBAF0A86}"/>
    <cellStyle name="Migliaia 12 4 7 4" xfId="41125" xr:uid="{3E7B9802-8B41-4666-B424-21AB6B217243}"/>
    <cellStyle name="Migliaia 12 4 7 5" xfId="24273" xr:uid="{57599DAD-BE95-4CDB-9AAE-89486D1AD948}"/>
    <cellStyle name="Migliaia 12 4 8" xfId="24267" xr:uid="{E50C9890-56BF-44CF-BD6C-58314AD36454}"/>
    <cellStyle name="Migliaia 12 4 9" xfId="7311" xr:uid="{E67A72F3-FDBC-482C-AFE8-981201F3B316}"/>
    <cellStyle name="Migliaia 12 5" xfId="1672" xr:uid="{00000000-0005-0000-0000-0000DB020000}"/>
    <cellStyle name="Migliaia 12 5 2" xfId="4883" xr:uid="{38762639-744D-4E2E-A5D1-1F058BE1A8F3}"/>
    <cellStyle name="Migliaia 12 5 2 2" xfId="18368" xr:uid="{71E55D41-C6BE-425F-AE2C-A7C30123C942}"/>
    <cellStyle name="Migliaia 12 5 2 2 2" xfId="38475" xr:uid="{217B2B4D-B95A-4D0B-B583-74F441071C6D}"/>
    <cellStyle name="Migliaia 12 5 2 2 3" xfId="43777" xr:uid="{3F0331B1-9C6C-4836-BF3A-8A74143D5F6D}"/>
    <cellStyle name="Migliaia 12 5 2 3" xfId="19859" xr:uid="{73597348-2646-4C73-9E09-02E7F9155314}"/>
    <cellStyle name="Migliaia 12 5 2 3 2" xfId="36003" xr:uid="{89B665C8-429E-4B6C-BE68-9B0B299EA61A}"/>
    <cellStyle name="Migliaia 12 5 2 4" xfId="41126" xr:uid="{B7EAFB53-6DF3-42E8-A332-78A8F70526F3}"/>
    <cellStyle name="Migliaia 12 5 2 5" xfId="16053" xr:uid="{A2823AEA-97F5-4D5B-9549-0E1E7D6B5581}"/>
    <cellStyle name="Migliaia 12 5 2 6" xfId="8502" xr:uid="{7F891993-5C45-4390-8E29-AF1885D07973}"/>
    <cellStyle name="Migliaia 12 5 3" xfId="6103" xr:uid="{08AD2E37-95D7-47B9-925A-1BFC38CC5B52}"/>
    <cellStyle name="Migliaia 12 5 3 2" xfId="33112" xr:uid="{C05DB0A5-E5AD-4FC7-BCC6-233E580213A9}"/>
    <cellStyle name="Migliaia 12 5 3 2 2" xfId="38476" xr:uid="{38E97CA1-3195-4A37-BB19-68D4866B219F}"/>
    <cellStyle name="Migliaia 12 5 3 2 3" xfId="43778" xr:uid="{FA94798E-198F-462A-8E94-8190B667C68A}"/>
    <cellStyle name="Migliaia 12 5 3 3" xfId="36004" xr:uid="{04567FDB-5E60-4439-958B-400754FCAFD1}"/>
    <cellStyle name="Migliaia 12 5 3 4" xfId="41127" xr:uid="{2B295F00-911D-4ED5-BCFB-3B618F741532}"/>
    <cellStyle name="Migliaia 12 5 3 5" xfId="11251" xr:uid="{B1640766-966F-4D55-95FB-C27FCA81203B}"/>
    <cellStyle name="Migliaia 12 5 4" xfId="3157" xr:uid="{18458A4A-BDBC-4D50-9F14-16CBB8C6CEAA}"/>
    <cellStyle name="Migliaia 12 5 4 2" xfId="21384" xr:uid="{D03914BA-BBD2-48C7-AE62-C5F0FA8C243F}"/>
    <cellStyle name="Migliaia 12 5 4 2 2" xfId="38477" xr:uid="{8393E3F9-F4B2-4845-AA3F-C44FD09644A8}"/>
    <cellStyle name="Migliaia 12 5 4 2 3" xfId="43779" xr:uid="{8BF1FEDE-C760-48D9-AD9A-7E536AC3020C}"/>
    <cellStyle name="Migliaia 12 5 4 2 4" xfId="33113" xr:uid="{5203F827-A6AC-4738-9553-206A08764ECB}"/>
    <cellStyle name="Migliaia 12 5 4 3" xfId="36005" xr:uid="{86CEEA9A-4AF7-466D-AF6B-1A88C29191AE}"/>
    <cellStyle name="Migliaia 12 5 4 4" xfId="41128" xr:uid="{860A5A78-AC34-46B6-AA54-0579ED4E94E4}"/>
    <cellStyle name="Migliaia 12 5 4 5" xfId="24276" xr:uid="{AADA9F79-F02D-4FBF-8CCC-B403DBC5EA7E}"/>
    <cellStyle name="Migliaia 12 5 4 6" xfId="48468" xr:uid="{0FC1A687-533A-4705-8975-F49C2B39A204}"/>
    <cellStyle name="Migliaia 12 5 4 7" xfId="50399" xr:uid="{C87C876E-F9D5-43A4-A968-7F06C4CABAE3}"/>
    <cellStyle name="Migliaia 12 5 4 8" xfId="53415" xr:uid="{25317C33-BE77-4649-82A8-EF36577362EF}"/>
    <cellStyle name="Migliaia 12 5 4 9" xfId="10749" xr:uid="{DBE81409-9D14-47DD-9A48-83E135EADCFC}"/>
    <cellStyle name="Migliaia 12 5 5" xfId="19858" xr:uid="{ED261F33-4123-4A41-B20E-E6DD02D2CB26}"/>
    <cellStyle name="Migliaia 12 5 5 2" xfId="33114" xr:uid="{87330F1E-1CE4-49C8-9B3E-12C474804E5E}"/>
    <cellStyle name="Migliaia 12 5 5 2 2" xfId="38478" xr:uid="{EB1F1A63-D1BF-4090-8845-963EE93149AB}"/>
    <cellStyle name="Migliaia 12 5 5 2 3" xfId="43780" xr:uid="{E49EAC13-485A-456D-8234-55F34E818194}"/>
    <cellStyle name="Migliaia 12 5 5 3" xfId="36006" xr:uid="{272DE43A-E75B-46B8-A721-EF98E202F3CD}"/>
    <cellStyle name="Migliaia 12 5 5 4" xfId="41129" xr:uid="{51D3AD3B-F6BB-4392-B116-16CE330E8C0E}"/>
    <cellStyle name="Migliaia 12 5 5 5" xfId="24277" xr:uid="{DE401DB1-FC28-45E7-8C88-4AB10FABC349}"/>
    <cellStyle name="Migliaia 12 5 6" xfId="24278" xr:uid="{FB96238B-3512-4240-9F5A-8051A46D5AFA}"/>
    <cellStyle name="Migliaia 12 5 6 2" xfId="33115" xr:uid="{59AA7262-BA13-4F36-A6D9-93828687D1F4}"/>
    <cellStyle name="Migliaia 12 5 6 2 2" xfId="38479" xr:uid="{803569C6-9635-4D88-A262-9279BF9E4CA8}"/>
    <cellStyle name="Migliaia 12 5 6 2 3" xfId="43781" xr:uid="{208ACF1B-49D7-458E-AE83-3625EE7B261B}"/>
    <cellStyle name="Migliaia 12 5 6 3" xfId="36007" xr:uid="{3E6A5515-493B-46E2-ACF7-AB38FD821524}"/>
    <cellStyle name="Migliaia 12 5 6 4" xfId="41130" xr:uid="{EECDEAA8-60FC-4CCA-AF65-BE1BC15C3CC9}"/>
    <cellStyle name="Migliaia 12 5 7" xfId="24274" xr:uid="{0596E5D3-8816-469F-A6A7-96C0370D9E4A}"/>
    <cellStyle name="Migliaia 12 5 8" xfId="7312" xr:uid="{A210C92F-8AC7-4AE7-AF31-2CD433175374}"/>
    <cellStyle name="Migliaia 12 6" xfId="3158" xr:uid="{9503B7AD-BA91-46F1-B22D-A652C757E984}"/>
    <cellStyle name="Migliaia 12 6 2" xfId="4884" xr:uid="{877E4229-2819-4A41-944C-85AF6E445815}"/>
    <cellStyle name="Migliaia 12 6 2 2" xfId="9887" xr:uid="{81EC56C0-6154-43A0-9982-5C5FB555308E}"/>
    <cellStyle name="Migliaia 12 6 2 3" xfId="18677" xr:uid="{C1B72BF1-28F3-475C-B823-9AB6517DC6C2}"/>
    <cellStyle name="Migliaia 12 6 2 4" xfId="19861" xr:uid="{23CE94BF-2D50-4A3E-A0E0-562BE6C3E409}"/>
    <cellStyle name="Migliaia 12 6 2 5" xfId="32302" xr:uid="{FAFD3320-AC4B-4931-B785-88C9A37BE917}"/>
    <cellStyle name="Migliaia 12 6 2 6" xfId="16055" xr:uid="{219AB93B-D1C5-4992-9075-C746CD3D3A17}"/>
    <cellStyle name="Migliaia 12 6 2 7" xfId="8497" xr:uid="{6BEBFF2F-C4B5-4ADC-A2D1-1FEEEDBCE211}"/>
    <cellStyle name="Migliaia 12 6 3" xfId="6104" xr:uid="{B5987781-2502-4D75-855B-0A3CF0ACF3F6}"/>
    <cellStyle name="Migliaia 12 6 3 2" xfId="35146" xr:uid="{40962928-69EB-4797-8403-6C1F60A7F313}"/>
    <cellStyle name="Migliaia 12 6 3 2 2" xfId="40304" xr:uid="{C59C36A0-F225-4F65-BD95-EC16D94C0F59}"/>
    <cellStyle name="Migliaia 12 6 3 2 3" xfId="45606" xr:uid="{49F8FAC3-5BBE-4203-B022-D93627441748}"/>
    <cellStyle name="Migliaia 12 6 3 3" xfId="37653" xr:uid="{E626ECBE-5AAB-4F77-A61B-585D2A790628}"/>
    <cellStyle name="Migliaia 12 6 3 4" xfId="42955" xr:uid="{F430EFE5-49C3-4FA9-B118-E6E57C594BBE}"/>
    <cellStyle name="Migliaia 12 6 3 5" xfId="9650" xr:uid="{DF96AC1A-7C3D-4C1B-83F2-FA39BBB80365}"/>
    <cellStyle name="Migliaia 12 6 4" xfId="19860" xr:uid="{3913EDBF-1E4F-460F-8195-101839DA5F44}"/>
    <cellStyle name="Migliaia 12 6 4 2" xfId="38480" xr:uid="{9D4D7D40-866F-4432-8D18-C1103679F37E}"/>
    <cellStyle name="Migliaia 12 6 4 3" xfId="43782" xr:uid="{2ABA948F-C61C-4E95-AF1E-04DDF1BC630A}"/>
    <cellStyle name="Migliaia 12 6 4 4" xfId="33116" xr:uid="{09F992A9-9075-4A87-A8B5-37E8F8FB5971}"/>
    <cellStyle name="Migliaia 12 6 5" xfId="36008" xr:uid="{18628A60-A1D0-4C05-B36A-522A57217C5F}"/>
    <cellStyle name="Migliaia 12 6 6" xfId="41131" xr:uid="{5332A66B-CBD0-4879-9928-F5438EF99AC3}"/>
    <cellStyle name="Migliaia 12 6 7" xfId="16054" xr:uid="{A8E3BB26-EEC1-4F0A-8E64-FB587FE67FE0}"/>
    <cellStyle name="Migliaia 12 6 8" xfId="7307" xr:uid="{F41E35DC-07A1-46F2-8E6E-87638C2DDE67}"/>
    <cellStyle name="Migliaia 12 7" xfId="3159" xr:uid="{ACF34F87-6BB0-47D8-B927-0C79E96B6B07}"/>
    <cellStyle name="Migliaia 12 7 2" xfId="4885" xr:uid="{8E2875EA-BF38-4B52-B802-C75B67C1756E}"/>
    <cellStyle name="Migliaia 12 7 2 2" xfId="35147" xr:uid="{FE4CDB15-38F0-4D98-B1CE-1FA939DBF18B}"/>
    <cellStyle name="Migliaia 12 7 2 2 2" xfId="40305" xr:uid="{75744782-80EF-4131-BA2A-BF51C59CBD04}"/>
    <cellStyle name="Migliaia 12 7 2 2 3" xfId="45607" xr:uid="{76514405-332F-4B7F-A16C-08A9E3EE800C}"/>
    <cellStyle name="Migliaia 12 7 2 3" xfId="37654" xr:uid="{08B492BB-7FD7-44AF-ACBB-501A43843748}"/>
    <cellStyle name="Migliaia 12 7 2 4" xfId="42956" xr:uid="{3409CE2E-4BEB-4344-B2DC-BD148F110FFB}"/>
    <cellStyle name="Migliaia 12 7 2 5" xfId="14187" xr:uid="{75BC3BC1-02CE-4370-BA94-5E73642C7A45}"/>
    <cellStyle name="Migliaia 12 7 3" xfId="6105" xr:uid="{4CCDF21F-2D5C-4788-9FF7-E5DC671434CA}"/>
    <cellStyle name="Migliaia 12 7 3 2" xfId="38481" xr:uid="{600FCA9D-3462-4021-99EA-F71B9ED6BEC0}"/>
    <cellStyle name="Migliaia 12 7 3 3" xfId="43783" xr:uid="{7B2DBBAC-9AF5-4D8A-A08E-E87A439DDA1F}"/>
    <cellStyle name="Migliaia 12 7 3 4" xfId="33117" xr:uid="{BB463672-C3FA-4CB0-B98C-A5248D86E82F}"/>
    <cellStyle name="Migliaia 12 7 3 5" xfId="19862" xr:uid="{DD11B9A0-5BDF-42FF-A0C7-B44E20B75E8A}"/>
    <cellStyle name="Migliaia 12 7 4" xfId="36009" xr:uid="{98B6DD39-1D5B-426E-B7D0-5FEEA3C8579C}"/>
    <cellStyle name="Migliaia 12 7 5" xfId="41132" xr:uid="{747C7715-5D04-450C-93D2-9EA43750ACBD}"/>
    <cellStyle name="Migliaia 12 7 6" xfId="16056" xr:uid="{5A5EDEC6-5D47-40E1-AF0F-AF0327D0FE7D}"/>
    <cellStyle name="Migliaia 12 7 7" xfId="8249" xr:uid="{6773306B-4AC9-41AD-BEEC-0EAED601DF4B}"/>
    <cellStyle name="Migliaia 12 8" xfId="3160" xr:uid="{1DB4988F-B914-42C9-A67D-9B3082907BFA}"/>
    <cellStyle name="Migliaia 12 8 2" xfId="4886" xr:uid="{199382FC-D74F-49AF-9B0A-818EEDE5DE3A}"/>
    <cellStyle name="Migliaia 12 8 2 2" xfId="35148" xr:uid="{64E71298-5F0E-4DD1-B6EB-3DC6C39B4C3F}"/>
    <cellStyle name="Migliaia 12 8 2 2 2" xfId="40306" xr:uid="{EA23738D-B13A-4319-8457-DF5D468CF5AC}"/>
    <cellStyle name="Migliaia 12 8 2 2 3" xfId="45608" xr:uid="{88722D66-43EC-4DB3-8D0B-B8FFD07056B3}"/>
    <cellStyle name="Migliaia 12 8 2 3" xfId="37655" xr:uid="{849D623E-6CD8-4E4B-9975-798D1A10A8B4}"/>
    <cellStyle name="Migliaia 12 8 2 4" xfId="42957" xr:uid="{625042D2-C03C-40FE-A9DD-60C548C43A4E}"/>
    <cellStyle name="Migliaia 12 8 2 5" xfId="13890" xr:uid="{A3840AF2-F8D3-4203-91E0-2121ACF29014}"/>
    <cellStyle name="Migliaia 12 8 3" xfId="6106" xr:uid="{BB4E5FF9-63DB-47C2-B924-94818810A7BE}"/>
    <cellStyle name="Migliaia 12 8 3 2" xfId="38482" xr:uid="{EA9C82BA-23FA-4393-ABC5-4DDB0292A3FF}"/>
    <cellStyle name="Migliaia 12 8 3 3" xfId="43784" xr:uid="{4D589F99-7E5E-45E3-A890-84ADCF36992A}"/>
    <cellStyle name="Migliaia 12 8 3 4" xfId="33118" xr:uid="{68E63804-E5BC-4A56-8C65-145C081A4465}"/>
    <cellStyle name="Migliaia 12 8 3 5" xfId="19863" xr:uid="{17E8517C-18E2-4AF3-BD19-ACE17988E01D}"/>
    <cellStyle name="Migliaia 12 8 4" xfId="36010" xr:uid="{7EA59135-826F-4499-887E-E1387CF981D8}"/>
    <cellStyle name="Migliaia 12 8 5" xfId="41133" xr:uid="{04A9B474-960A-42FC-81A3-C59E96F648D3}"/>
    <cellStyle name="Migliaia 12 8 6" xfId="16057" xr:uid="{BDDF4167-F03B-4069-A4AD-82D256622D39}"/>
    <cellStyle name="Migliaia 12 8 7" xfId="7831" xr:uid="{08C7BABC-E205-439C-A2EA-1748B7FC8FDB}"/>
    <cellStyle name="Migliaia 12 9" xfId="4871" xr:uid="{F28BA2FE-2EE4-4FE3-A14B-DC4F9E9E900A}"/>
    <cellStyle name="Migliaia 12 9 2" xfId="33119" xr:uid="{57B9718D-D61C-4D7F-A588-DD93FEB11BB9}"/>
    <cellStyle name="Migliaia 12 9 2 2" xfId="38483" xr:uid="{08F86D5A-5665-41F5-BF25-63510F6E54C9}"/>
    <cellStyle name="Migliaia 12 9 2 3" xfId="43785" xr:uid="{655F32DD-2489-4DF6-A0F8-4B9ABF6373B9}"/>
    <cellStyle name="Migliaia 12 9 3" xfId="36011" xr:uid="{213D324D-5962-4823-8FAE-15AE6F88DB61}"/>
    <cellStyle name="Migliaia 12 9 4" xfId="41134" xr:uid="{74F9B252-C58A-448B-A5A4-0326B9D9478A}"/>
    <cellStyle name="Migliaia 12 9 5" xfId="17141" xr:uid="{6B116451-9D68-4769-977E-34D58B33D316}"/>
    <cellStyle name="Migliaia 13" xfId="313" xr:uid="{00000000-0005-0000-0000-0000DC020000}"/>
    <cellStyle name="Migliaia 13 10" xfId="6107" xr:uid="{5D6D4B16-DA40-47C3-8243-13938052D7C9}"/>
    <cellStyle name="Migliaia 13 10 2" xfId="38484" xr:uid="{F67A63B2-67BD-4B49-8CAE-CE3580D9F233}"/>
    <cellStyle name="Migliaia 13 10 3" xfId="43786" xr:uid="{A6906076-D7B4-4362-9A47-EAE0C89CF1C4}"/>
    <cellStyle name="Migliaia 13 10 4" xfId="33120" xr:uid="{90ED5AD3-EEAE-4B52-BDF8-38C7D5D6B083}"/>
    <cellStyle name="Migliaia 13 10 5" xfId="19864" xr:uid="{59E0AF99-0056-4C21-BD30-A4518964AD2F}"/>
    <cellStyle name="Migliaia 13 11" xfId="3161" xr:uid="{09E6412F-0F58-4666-B9AC-2E9D7F747AFC}"/>
    <cellStyle name="Migliaia 13 11 2" xfId="36012" xr:uid="{80347B30-FBC9-4C1C-9874-1FCF616EE567}"/>
    <cellStyle name="Migliaia 13 12" xfId="41135" xr:uid="{0275051D-5344-45F1-95F2-D56B4326A273}"/>
    <cellStyle name="Migliaia 13 13" xfId="7053" xr:uid="{CF46D87E-8AE9-4310-B4D1-C58A7F7B90E7}"/>
    <cellStyle name="Migliaia 13 2" xfId="314" xr:uid="{00000000-0005-0000-0000-0000DD020000}"/>
    <cellStyle name="Migliaia 13 2 2" xfId="1673" xr:uid="{00000000-0005-0000-0000-0000DE020000}"/>
    <cellStyle name="Migliaia 13 2 2 2" xfId="4889" xr:uid="{FC4E82FF-9D03-45BA-A766-864BD39DB474}"/>
    <cellStyle name="Migliaia 13 2 2 2 2" xfId="14366" xr:uid="{8085C5DC-A28E-4EEF-9E2E-D93914FF5F6C}"/>
    <cellStyle name="Migliaia 13 2 2 2 2 2" xfId="38485" xr:uid="{F0295566-2DCE-463F-BFE1-4187CFB6288F}"/>
    <cellStyle name="Migliaia 13 2 2 2 2 3" xfId="43787" xr:uid="{8AC8E510-A905-41A0-8AE9-89B37CA638F0}"/>
    <cellStyle name="Migliaia 13 2 2 2 3" xfId="18369" xr:uid="{9B3DF302-C990-4D04-8105-965D853267CA}"/>
    <cellStyle name="Migliaia 13 2 2 2 4" xfId="19867" xr:uid="{0874976D-2306-43ED-85CA-23E41097DE53}"/>
    <cellStyle name="Migliaia 13 2 2 2 4 2" xfId="41136" xr:uid="{77D432EB-F043-41DA-A707-8A773E676929}"/>
    <cellStyle name="Migliaia 13 2 2 2 5" xfId="16058" xr:uid="{28359CFC-53A3-49F0-BEA4-EEAB048CBCB4}"/>
    <cellStyle name="Migliaia 13 2 2 2 6" xfId="8504" xr:uid="{11D30C22-4B12-4FFF-BD70-E9028D2E32FA}"/>
    <cellStyle name="Migliaia 13 2 2 3" xfId="6109" xr:uid="{DB9DC704-4F9C-42AB-9FDB-7985C106CC11}"/>
    <cellStyle name="Migliaia 13 2 2 3 2" xfId="35149" xr:uid="{0BC149C7-702D-493F-830B-3BD678D41C81}"/>
    <cellStyle name="Migliaia 13 2 2 3 2 2" xfId="40307" xr:uid="{C241327A-DA4E-4D3D-AB3E-C97935C31123}"/>
    <cellStyle name="Migliaia 13 2 2 3 2 3" xfId="45609" xr:uid="{11E406DB-F8ED-45FB-843B-6D531B32DFF0}"/>
    <cellStyle name="Migliaia 13 2 2 3 3" xfId="37656" xr:uid="{8839FCCA-F64C-45A3-A310-527926A8D08F}"/>
    <cellStyle name="Migliaia 13 2 2 3 4" xfId="42958" xr:uid="{A9DB306F-3257-4207-A897-0AC2A893CCD2}"/>
    <cellStyle name="Migliaia 13 2 2 3 5" xfId="11595" xr:uid="{8C2747FD-822B-4B5C-B6BE-E6E8EE5DA491}"/>
    <cellStyle name="Migliaia 13 2 2 4" xfId="3163" xr:uid="{63D960BE-A424-478C-84BF-5B369371F83F}"/>
    <cellStyle name="Migliaia 13 2 2 4 2" xfId="21385" xr:uid="{B18B73E1-5B8B-4AE2-B81A-C1FAB9949309}"/>
    <cellStyle name="Migliaia 13 2 2 4 3" xfId="47709" xr:uid="{F7E92C70-761E-479A-8118-B8F93F4A2FA2}"/>
    <cellStyle name="Migliaia 13 2 2 4 4" xfId="50400" xr:uid="{9BCD673C-5CE5-45BE-A6FB-90B674646E81}"/>
    <cellStyle name="Migliaia 13 2 2 4 5" xfId="53416" xr:uid="{A5BB65DA-3651-4428-89E5-6F9435AFD18D}"/>
    <cellStyle name="Migliaia 13 2 2 4 6" xfId="10750" xr:uid="{C250C1A3-6DF8-40EB-B045-6ECB1B9CBEEE}"/>
    <cellStyle name="Migliaia 13 2 2 5" xfId="19866" xr:uid="{4C447600-16F0-48C6-A087-B3FE8FEA363F}"/>
    <cellStyle name="Migliaia 13 2 2 6" xfId="24282" xr:uid="{4287D536-BFF7-4B17-A404-B472494774B9}"/>
    <cellStyle name="Migliaia 13 2 2 7" xfId="7314" xr:uid="{6F1F2658-62A9-462C-A4D6-5854274C48B1}"/>
    <cellStyle name="Migliaia 13 2 3" xfId="3164" xr:uid="{9D27D88A-F843-4C61-8D6A-73876A5CA16D}"/>
    <cellStyle name="Migliaia 13 2 3 2" xfId="4890" xr:uid="{9BFFE2B8-2E98-44AB-8CF3-CCAC76611FFB}"/>
    <cellStyle name="Migliaia 13 2 3 2 2" xfId="35150" xr:uid="{1860E640-F5A8-4567-A4AB-3E86B945A2B8}"/>
    <cellStyle name="Migliaia 13 2 3 2 2 2" xfId="40308" xr:uid="{F605E033-3E78-41B0-AD06-4F06955666FB}"/>
    <cellStyle name="Migliaia 13 2 3 2 2 3" xfId="45610" xr:uid="{E221A1DE-0ED2-4CD1-9FB2-FAE3E1C612E8}"/>
    <cellStyle name="Migliaia 13 2 3 2 3" xfId="37657" xr:uid="{8DD8CE83-B111-4B08-9835-F07E993178F6}"/>
    <cellStyle name="Migliaia 13 2 3 2 4" xfId="42959" xr:uid="{3E052F91-C5C2-4953-A868-0D9ED0F2D095}"/>
    <cellStyle name="Migliaia 13 2 3 2 5" xfId="14191" xr:uid="{E4E48BAC-9D4E-4B18-966C-031DCA6E7360}"/>
    <cellStyle name="Migliaia 13 2 3 3" xfId="6110" xr:uid="{CA312D67-2DBF-4A1D-B861-7AF4731EB0E3}"/>
    <cellStyle name="Migliaia 13 2 3 3 2" xfId="38486" xr:uid="{55D047DE-34B6-4B76-9009-D75DD3882308}"/>
    <cellStyle name="Migliaia 13 2 3 3 3" xfId="43788" xr:uid="{A13FA218-5544-48A8-93D3-B5A6F7B393B2}"/>
    <cellStyle name="Migliaia 13 2 3 3 4" xfId="33121" xr:uid="{9A24475F-082E-47CF-B30A-38869019002B}"/>
    <cellStyle name="Migliaia 13 2 3 3 5" xfId="19868" xr:uid="{BB89726D-8C6A-417A-BB7F-07859DAF66C0}"/>
    <cellStyle name="Migliaia 13 2 3 4" xfId="36013" xr:uid="{6856A3A9-0F1E-4C33-BB55-E6D12B509E40}"/>
    <cellStyle name="Migliaia 13 2 3 5" xfId="41137" xr:uid="{C042C2B1-167D-4157-874D-0198495306B8}"/>
    <cellStyle name="Migliaia 13 2 3 6" xfId="16059" xr:uid="{A7FCB255-068E-4A36-8DA1-CD15D8346A84}"/>
    <cellStyle name="Migliaia 13 2 3 7" xfId="8253" xr:uid="{626E2F1A-FAF5-48E9-AF16-2F8C313584CE}"/>
    <cellStyle name="Migliaia 13 2 4" xfId="4888" xr:uid="{C45F99DF-7532-49A3-AFEB-2DA09467268B}"/>
    <cellStyle name="Migliaia 13 2 4 2" xfId="13894" xr:uid="{8679ED33-92BD-4499-8258-284F3E21D6B5}"/>
    <cellStyle name="Migliaia 13 2 4 2 2" xfId="38487" xr:uid="{DB95A8D4-2D80-449F-90A4-806AC79EACB9}"/>
    <cellStyle name="Migliaia 13 2 4 2 3" xfId="43789" xr:uid="{80D0F791-CD39-48F8-B1AB-7F38E0984602}"/>
    <cellStyle name="Migliaia 13 2 4 3" xfId="18621" xr:uid="{378C210E-8804-4E38-91B1-32A62ABFBB9B}"/>
    <cellStyle name="Migliaia 13 2 4 4" xfId="19869" xr:uid="{52FDD361-D03A-40D0-8C89-9B0C991DF2FE}"/>
    <cellStyle name="Migliaia 13 2 4 4 2" xfId="41138" xr:uid="{9206F731-DCDE-45D7-A59F-E50ECBCA9421}"/>
    <cellStyle name="Migliaia 13 2 4 5" xfId="16060" xr:uid="{E3B8C340-FCEA-4349-A627-99524F7FD3C8}"/>
    <cellStyle name="Migliaia 13 2 4 6" xfId="7836" xr:uid="{9E621748-536A-47F5-B18F-FE4FD33A6A18}"/>
    <cellStyle name="Migliaia 13 2 5" xfId="6108" xr:uid="{115A4F19-8093-4D4E-AC14-9B16F248F8E6}"/>
    <cellStyle name="Migliaia 13 2 5 2" xfId="33122" xr:uid="{DB17DBE3-EEC5-444C-B205-0BB38C480B99}"/>
    <cellStyle name="Migliaia 13 2 5 2 2" xfId="38488" xr:uid="{6A83248A-B5C2-48FC-967A-40C974600140}"/>
    <cellStyle name="Migliaia 13 2 5 2 3" xfId="43790" xr:uid="{E2F8F938-D4B6-411D-B499-B58043F1B15F}"/>
    <cellStyle name="Migliaia 13 2 5 3" xfId="36014" xr:uid="{33D2F415-AE0F-41A1-AD17-2FABEB261CF0}"/>
    <cellStyle name="Migliaia 13 2 5 4" xfId="41139" xr:uid="{7EE94C8E-B5A1-41FC-A97E-3A4AFB06F801}"/>
    <cellStyle name="Migliaia 13 2 5 5" xfId="13106" xr:uid="{D993BD00-D523-4B87-9B23-0BA34634053E}"/>
    <cellStyle name="Migliaia 13 2 6" xfId="3162" xr:uid="{155E54D4-3460-40DA-81FC-81B681406173}"/>
    <cellStyle name="Migliaia 13 2 6 2" xfId="33123" xr:uid="{BF9C1BCB-8B3F-4D8B-A4BF-F81B0618849F}"/>
    <cellStyle name="Migliaia 13 2 6 2 2" xfId="38489" xr:uid="{09F32E4A-7A8F-4084-A799-A40B1DD206AA}"/>
    <cellStyle name="Migliaia 13 2 6 2 3" xfId="43791" xr:uid="{CFA04556-86B4-45F7-821A-7A6F637C3AC1}"/>
    <cellStyle name="Migliaia 13 2 6 3" xfId="36015" xr:uid="{E4467274-CF25-4E1E-873A-04918D969CCD}"/>
    <cellStyle name="Migliaia 13 2 6 4" xfId="41140" xr:uid="{C8D9ADAB-2423-43D6-BA6E-2FA530D8A74F}"/>
    <cellStyle name="Migliaia 13 2 6 5" xfId="24284" xr:uid="{0040627A-8CB5-448B-A827-0663CF6BE835}"/>
    <cellStyle name="Migliaia 13 2 6 6" xfId="19865" xr:uid="{A58575B0-F2D3-4E2C-8FEA-9B909A5CD456}"/>
    <cellStyle name="Migliaia 13 2 7" xfId="24281" xr:uid="{D3B5A207-4D2B-46AE-9610-DDC7A5F04828}"/>
    <cellStyle name="Migliaia 13 2 8" xfId="7054" xr:uid="{377355B7-526A-498D-B72E-828072E1B355}"/>
    <cellStyle name="Migliaia 13 3" xfId="315" xr:uid="{00000000-0005-0000-0000-0000DF020000}"/>
    <cellStyle name="Migliaia 13 3 10" xfId="24285" xr:uid="{695D1931-698C-4CF6-A0C7-7E9EC01F4365}"/>
    <cellStyle name="Migliaia 13 3 11" xfId="16061" xr:uid="{BD5217E7-E09F-4A0F-9CC3-BE873F781575}"/>
    <cellStyle name="Migliaia 13 3 12" xfId="7055" xr:uid="{E19C80BB-9220-411C-930E-5501D863BD63}"/>
    <cellStyle name="Migliaia 13 3 2" xfId="316" xr:uid="{00000000-0005-0000-0000-0000E0020000}"/>
    <cellStyle name="Migliaia 13 3 2 2" xfId="1674" xr:uid="{00000000-0005-0000-0000-0000E1020000}"/>
    <cellStyle name="Migliaia 13 3 2 2 2" xfId="4893" xr:uid="{C5056A13-1A38-4030-8737-65812B4CF267}"/>
    <cellStyle name="Migliaia 13 3 2 2 2 2" xfId="18370" xr:uid="{B547A2C3-9D4F-4732-B19D-3AA54F697E17}"/>
    <cellStyle name="Migliaia 13 3 2 2 2 2 2" xfId="21841" xr:uid="{1FE4410A-553F-4D7C-BF7E-B8CC6BA955D2}"/>
    <cellStyle name="Migliaia 13 3 2 2 2 2 2 2" xfId="38490" xr:uid="{7A5F0233-06FC-4A85-948F-130CF9AC0EE6}"/>
    <cellStyle name="Migliaia 13 3 2 2 2 2 3" xfId="43792" xr:uid="{8F0A4DA3-9956-4DC5-B39E-A1AA97512353}"/>
    <cellStyle name="Migliaia 13 3 2 2 2 2 4" xfId="33124" xr:uid="{4CA4199D-0F76-455B-8385-AB62C37E4BBA}"/>
    <cellStyle name="Migliaia 13 3 2 2 2 3" xfId="36016" xr:uid="{C8C1097D-E6F2-488D-97D6-8181D41E099F}"/>
    <cellStyle name="Migliaia 13 3 2 2 2 4" xfId="41141" xr:uid="{2229C532-A8DE-4BD8-972A-3143EA2C0BA1}"/>
    <cellStyle name="Migliaia 13 3 2 2 2 5" xfId="48319" xr:uid="{F7EB2BCD-6E22-4ACF-85FD-862DF1EB39B8}"/>
    <cellStyle name="Migliaia 13 3 2 2 2 6" xfId="50869" xr:uid="{4BF544EA-66CD-408C-A691-CED96E8E9CA8}"/>
    <cellStyle name="Migliaia 13 3 2 2 2 7" xfId="53885" xr:uid="{17AE7836-24CE-4391-A275-A09F9804629F}"/>
    <cellStyle name="Migliaia 13 3 2 2 2 8" xfId="17642" xr:uid="{CF0FF939-4751-4B57-8DC6-75740FD3BB3F}"/>
    <cellStyle name="Migliaia 13 3 2 2 2 9" xfId="11899" xr:uid="{8D7C2397-3413-4305-8F80-2F8AB8ACD510}"/>
    <cellStyle name="Migliaia 13 3 2 2 3" xfId="6113" xr:uid="{CD15CD71-C6D3-43F6-A745-C7428349F5FA}"/>
    <cellStyle name="Migliaia 13 3 2 2 3 2" xfId="11683" xr:uid="{B4D644D2-2BD4-4640-B454-64B1ECB46E3F}"/>
    <cellStyle name="Migliaia 13 3 2 2 4" xfId="3167" xr:uid="{36D8744D-29B7-435E-9C04-FDD237B7375D}"/>
    <cellStyle name="Migliaia 13 3 2 2 4 2" xfId="21386" xr:uid="{893481CA-DF44-47EB-AE1D-4F776286302F}"/>
    <cellStyle name="Migliaia 13 3 2 2 4 3" xfId="46205" xr:uid="{E681A86C-33F8-4594-9F47-0782B78D5D3B}"/>
    <cellStyle name="Migliaia 13 3 2 2 4 4" xfId="50401" xr:uid="{8D4C01F6-EA58-4439-8DD5-A7DEC3E65316}"/>
    <cellStyle name="Migliaia 13 3 2 2 4 5" xfId="53417" xr:uid="{5979F21D-3E13-4266-B1A1-23085DB7D931}"/>
    <cellStyle name="Migliaia 13 3 2 2 4 6" xfId="10751" xr:uid="{33BCDF90-2BBA-44FE-AFE1-23CADCA3E763}"/>
    <cellStyle name="Migliaia 13 3 2 2 5" xfId="19872" xr:uid="{5F99DD9F-F84F-43A4-9ECA-077C54E6DC98}"/>
    <cellStyle name="Migliaia 13 3 2 2 6" xfId="24287" xr:uid="{7B5A2AF3-103B-4E8B-A035-24C59B93EC25}"/>
    <cellStyle name="Migliaia 13 3 2 2 7" xfId="8506" xr:uid="{BCFC9975-5D01-4183-951E-85BE2F8CAD4A}"/>
    <cellStyle name="Migliaia 13 3 2 3" xfId="4892" xr:uid="{C74095C0-EB27-42DC-9582-C1C0DF80B826}"/>
    <cellStyle name="Migliaia 13 3 2 3 2" xfId="12230" xr:uid="{10A1B32D-2ECA-47B1-B547-126E5FCDEA7C}"/>
    <cellStyle name="Migliaia 13 3 2 3 2 2" xfId="38491" xr:uid="{C55E11EC-AE83-4A3A-A0D3-DDC9875C799D}"/>
    <cellStyle name="Migliaia 13 3 2 3 2 3" xfId="43793" xr:uid="{558A9F79-7892-4635-960A-2285D95B854D}"/>
    <cellStyle name="Migliaia 13 3 2 3 2 4" xfId="33125" xr:uid="{8D56D85E-1C64-4220-92A3-4E29E7F86464}"/>
    <cellStyle name="Migliaia 13 3 2 3 3" xfId="11900" xr:uid="{57D5AF94-7EEF-48EC-B95C-14D88190AB34}"/>
    <cellStyle name="Migliaia 13 3 2 3 4" xfId="19873" xr:uid="{06F64D4C-C265-4CD7-A8FD-4E5EFDFA7B5C}"/>
    <cellStyle name="Migliaia 13 3 2 3 4 2" xfId="41142" xr:uid="{393E1E55-39FF-4134-B492-6ED53634DB55}"/>
    <cellStyle name="Migliaia 13 3 2 3 5" xfId="16062" xr:uid="{55285ADD-5319-4D74-ABE1-C63DB5BE83A0}"/>
    <cellStyle name="Migliaia 13 3 2 3 6" xfId="7838" xr:uid="{7E40BFE7-5ACD-42BE-BBFD-6622F787FB06}"/>
    <cellStyle name="Migliaia 13 3 2 4" xfId="6112" xr:uid="{A3E9D46F-E1E5-46B7-BD89-05FEDAAC51A8}"/>
    <cellStyle name="Migliaia 13 3 2 4 2" xfId="18061" xr:uid="{A275D42F-EE70-4C5A-BAF7-2340AEE030CF}"/>
    <cellStyle name="Migliaia 13 3 2 4 2 2" xfId="38492" xr:uid="{DA8A71F5-9C43-4D16-A9A2-B0FE59739F98}"/>
    <cellStyle name="Migliaia 13 3 2 4 2 3" xfId="43794" xr:uid="{5D84E24F-24F6-45DE-BE74-4DB3B77E8F58}"/>
    <cellStyle name="Migliaia 13 3 2 4 3" xfId="36017" xr:uid="{048E8295-D2B6-4D4F-96E3-5CCF4E44E550}"/>
    <cellStyle name="Migliaia 13 3 2 4 4" xfId="41143" xr:uid="{41E2DDA9-B9DA-4EA4-B88C-2AAE416E2F45}"/>
    <cellStyle name="Migliaia 13 3 2 4 5" xfId="17144" xr:uid="{21807994-EC28-4420-945B-67882487FBA0}"/>
    <cellStyle name="Migliaia 13 3 2 4 6" xfId="11252" xr:uid="{2E0D13EF-F558-45F6-BAE8-26183AE47D99}"/>
    <cellStyle name="Migliaia 13 3 2 5" xfId="3166" xr:uid="{83C5FE20-DFA4-4E8F-9C85-83F3D81FA44B}"/>
    <cellStyle name="Migliaia 13 3 2 5 2" xfId="33126" xr:uid="{FD303AD3-F20E-414B-A281-B3E36EA99D29}"/>
    <cellStyle name="Migliaia 13 3 2 5 2 2" xfId="38493" xr:uid="{1C85637A-897C-405C-9073-81879DE41D4A}"/>
    <cellStyle name="Migliaia 13 3 2 5 2 3" xfId="43795" xr:uid="{D061C224-D057-40CD-A6D4-0C8E00345105}"/>
    <cellStyle name="Migliaia 13 3 2 5 3" xfId="36018" xr:uid="{3AFD2D73-58FF-4D97-9491-539CD6519DBE}"/>
    <cellStyle name="Migliaia 13 3 2 5 4" xfId="41144" xr:uid="{D95A87AD-FFB0-474D-9635-05F7429B0D5F}"/>
    <cellStyle name="Migliaia 13 3 2 5 5" xfId="17414" xr:uid="{0ABC631B-D0EA-4465-A688-87CDD0FD0439}"/>
    <cellStyle name="Migliaia 13 3 2 6" xfId="19871" xr:uid="{A5DB9374-5340-469C-8803-D39428C77295}"/>
    <cellStyle name="Migliaia 13 3 2 6 2" xfId="33127" xr:uid="{DD2E9D13-C409-4C6A-8DC7-A22322C709A7}"/>
    <cellStyle name="Migliaia 13 3 2 6 2 2" xfId="38494" xr:uid="{EFD0F37C-E8E8-43FC-9002-DDA4B06F1465}"/>
    <cellStyle name="Migliaia 13 3 2 6 2 3" xfId="43796" xr:uid="{D192DCE6-2F25-498B-9E95-71F5BF551E1B}"/>
    <cellStyle name="Migliaia 13 3 2 6 3" xfId="36019" xr:uid="{96458C42-1853-4CF8-A593-C5CC1F4C5F30}"/>
    <cellStyle name="Migliaia 13 3 2 6 4" xfId="41145" xr:uid="{D4BC9B6F-81EF-48EB-AEE2-AD251202D68E}"/>
    <cellStyle name="Migliaia 13 3 2 6 5" xfId="24288" xr:uid="{5DE57111-FBD3-4ED6-9C9A-5F8A9A268B61}"/>
    <cellStyle name="Migliaia 13 3 2 7" xfId="24286" xr:uid="{D97A8603-8D04-4D94-9A36-41EAA0EEF273}"/>
    <cellStyle name="Migliaia 13 3 2 8" xfId="7316" xr:uid="{15BA2662-E48D-4A6F-B62A-4352918D46AC}"/>
    <cellStyle name="Migliaia 13 3 3" xfId="3168" xr:uid="{01C7999D-9801-4DF6-9189-0B1618EBC488}"/>
    <cellStyle name="Migliaia 13 3 3 10" xfId="7315" xr:uid="{F7776939-DF37-4BF4-8EB4-492423E3E058}"/>
    <cellStyle name="Migliaia 13 3 3 2" xfId="4894" xr:uid="{9B8F57F6-0A2A-4DF3-AC3C-8570DB1143D2}"/>
    <cellStyle name="Migliaia 13 3 3 2 2" xfId="9890" xr:uid="{A758C2BC-B7FE-4C20-B742-DC246E608DB3}"/>
    <cellStyle name="Migliaia 13 3 3 2 2 2" xfId="38496" xr:uid="{DBCE2735-2F02-41DD-91E8-3F6AEEFEA2BE}"/>
    <cellStyle name="Migliaia 13 3 3 2 2 3" xfId="43798" xr:uid="{C466FE7A-C2F6-4882-9E53-D6B7BF46ED40}"/>
    <cellStyle name="Migliaia 13 3 3 2 3" xfId="18170" xr:uid="{ACC28F55-18A6-43D8-89CE-5101369651BA}"/>
    <cellStyle name="Migliaia 13 3 3 2 4" xfId="19875" xr:uid="{CB1FDCEC-B04F-4184-9133-94EB05D9C70E}"/>
    <cellStyle name="Migliaia 13 3 3 2 4 2" xfId="41147" xr:uid="{BC0AD68D-98D2-4B8A-9334-2A2219B1D8D6}"/>
    <cellStyle name="Migliaia 13 3 3 2 5" xfId="16064" xr:uid="{235EE33F-01D5-45AF-B502-826E25C2A0E2}"/>
    <cellStyle name="Migliaia 13 3 3 2 6" xfId="8505" xr:uid="{FB37B0DE-CEC0-449A-B7B1-4A82ED5D3AD3}"/>
    <cellStyle name="Migliaia 13 3 3 3" xfId="6114" xr:uid="{B5370FC0-1A0A-4602-A6AE-9CA4C871D6BA}"/>
    <cellStyle name="Migliaia 13 3 3 3 2" xfId="33129" xr:uid="{F0289015-94F8-4595-AE42-9E5449B48096}"/>
    <cellStyle name="Migliaia 13 3 3 3 2 2" xfId="38497" xr:uid="{A8422077-E7F1-4FC8-AA51-991633B69F55}"/>
    <cellStyle name="Migliaia 13 3 3 3 2 3" xfId="43799" xr:uid="{8CFE1B3F-96BA-432F-8C24-241BADD76598}"/>
    <cellStyle name="Migliaia 13 3 3 3 3" xfId="36021" xr:uid="{CE1C219F-ADF3-4997-AD39-B664B33BF472}"/>
    <cellStyle name="Migliaia 13 3 3 3 4" xfId="41148" xr:uid="{B1752BD1-99D9-4AA7-9747-1E3D1CD0C7BB}"/>
    <cellStyle name="Migliaia 13 3 3 3 5" xfId="9653" xr:uid="{2B09EBCB-1661-4599-ABA2-9F8EEF1D51A3}"/>
    <cellStyle name="Migliaia 13 3 3 4" xfId="19874" xr:uid="{3F335271-1239-4887-9289-471982AFD78D}"/>
    <cellStyle name="Migliaia 13 3 3 4 2" xfId="33130" xr:uid="{9ED262FD-FAF3-48DD-8D41-8B47819F917A}"/>
    <cellStyle name="Migliaia 13 3 3 4 2 2" xfId="38498" xr:uid="{937533F2-E8EB-4939-912F-A0A22F298F0F}"/>
    <cellStyle name="Migliaia 13 3 3 4 2 3" xfId="43800" xr:uid="{263A51B5-1785-4660-82AA-C688242F5DDB}"/>
    <cellStyle name="Migliaia 13 3 3 4 3" xfId="36022" xr:uid="{0AB07C8F-338D-47C2-BE6E-BF26FDC6806D}"/>
    <cellStyle name="Migliaia 13 3 3 4 4" xfId="41149" xr:uid="{27D3ACF9-C645-4DFF-8A1E-957054AFF3F3}"/>
    <cellStyle name="Migliaia 13 3 3 4 5" xfId="24289" xr:uid="{ABA023FE-B396-41C2-8EB3-9A5E33954AC5}"/>
    <cellStyle name="Migliaia 13 3 3 5" xfId="24290" xr:uid="{BC0457B8-C6B4-457F-9866-6BFB94DAB4CC}"/>
    <cellStyle name="Migliaia 13 3 3 5 2" xfId="33131" xr:uid="{27AC7BCB-B3D9-4724-B8DC-590AA4F8C410}"/>
    <cellStyle name="Migliaia 13 3 3 5 2 2" xfId="38499" xr:uid="{27F8D0A6-87B6-48A5-BFAC-9F83CC60A92E}"/>
    <cellStyle name="Migliaia 13 3 3 5 2 3" xfId="43801" xr:uid="{9C0F05C7-6A98-4E22-956E-47B175665C94}"/>
    <cellStyle name="Migliaia 13 3 3 5 3" xfId="36023" xr:uid="{85D52C16-E518-4DFF-AF7E-537755BEA870}"/>
    <cellStyle name="Migliaia 13 3 3 5 4" xfId="41150" xr:uid="{6CBE42E2-8985-4D08-A465-AF200F4EF6AC}"/>
    <cellStyle name="Migliaia 13 3 3 6" xfId="33128" xr:uid="{26DEDCCE-1D15-4FC3-A793-DD2EA6B989C9}"/>
    <cellStyle name="Migliaia 13 3 3 6 2" xfId="38495" xr:uid="{14921817-ED05-434C-860E-36C175A64480}"/>
    <cellStyle name="Migliaia 13 3 3 6 3" xfId="43797" xr:uid="{44EDCE3B-FC96-43F2-928E-6F293F2A5389}"/>
    <cellStyle name="Migliaia 13 3 3 7" xfId="36020" xr:uid="{DEB8B4E7-859D-445C-BFBF-08327548E1C5}"/>
    <cellStyle name="Migliaia 13 3 3 8" xfId="41146" xr:uid="{6C71EB55-5407-44CE-AD16-36C9B827E763}"/>
    <cellStyle name="Migliaia 13 3 3 9" xfId="16063" xr:uid="{C4BD6F7C-9873-4D20-AF0B-9A3C71E463E6}"/>
    <cellStyle name="Migliaia 13 3 4" xfId="3169" xr:uid="{A61A1210-B8E5-475E-BABD-732487E89306}"/>
    <cellStyle name="Migliaia 13 3 4 2" xfId="4895" xr:uid="{18EE2707-D1BC-47FD-8981-5F175A889292}"/>
    <cellStyle name="Migliaia 13 3 4 2 2" xfId="14427" xr:uid="{73DFCAF7-FD19-43C0-8790-E266D0478E38}"/>
    <cellStyle name="Migliaia 13 3 4 2 3" xfId="18124" xr:uid="{FC927985-1816-4500-8A1B-64AF30BE2D8A}"/>
    <cellStyle name="Migliaia 13 3 4 2 4" xfId="19877" xr:uid="{69229E31-9236-4F5C-8352-DDB32A4A94D5}"/>
    <cellStyle name="Migliaia 13 3 4 2 5" xfId="32306" xr:uid="{6C2D9659-3434-4A93-AE0F-BA61E6C4E378}"/>
    <cellStyle name="Migliaia 13 3 4 2 6" xfId="16066" xr:uid="{955A3673-DD14-4B83-AD6E-A7DF401DBA6B}"/>
    <cellStyle name="Migliaia 13 3 4 2 7" xfId="8850" xr:uid="{81006866-8338-4E60-BFDA-49025DD9C642}"/>
    <cellStyle name="Migliaia 13 3 4 3" xfId="6115" xr:uid="{261F2727-3BF5-4372-B120-02CEE8202AD5}"/>
    <cellStyle name="Migliaia 13 3 4 3 2" xfId="35151" xr:uid="{EEADC89F-AAE8-4359-A9CA-AD64FC80D0CA}"/>
    <cellStyle name="Migliaia 13 3 4 3 2 2" xfId="40309" xr:uid="{B4EC5F4C-66D1-4CEA-B264-ECDD02686F06}"/>
    <cellStyle name="Migliaia 13 3 4 3 2 3" xfId="45611" xr:uid="{C93BE1F3-928F-466F-A7EC-D2215D0B7E30}"/>
    <cellStyle name="Migliaia 13 3 4 3 3" xfId="37658" xr:uid="{7CF8D75E-8641-4CE5-96C3-FC691D2A271A}"/>
    <cellStyle name="Migliaia 13 3 4 3 4" xfId="42960" xr:uid="{EDF99230-0DB4-48D9-A2DD-4F5F20559890}"/>
    <cellStyle name="Migliaia 13 3 4 3 5" xfId="13675" xr:uid="{D0607EC0-3F04-43D4-97A3-A08457C234A7}"/>
    <cellStyle name="Migliaia 13 3 4 4" xfId="19876" xr:uid="{214F7C01-2B87-40E3-B66B-AAD106ED3755}"/>
    <cellStyle name="Migliaia 13 3 4 4 2" xfId="38500" xr:uid="{D1D1F8B2-0A13-4E14-8B92-DF619EAEC31F}"/>
    <cellStyle name="Migliaia 13 3 4 4 3" xfId="43802" xr:uid="{0E86EB3C-37C7-43EE-8E1F-2C45C517931B}"/>
    <cellStyle name="Migliaia 13 3 4 4 4" xfId="33132" xr:uid="{08901327-461B-4AD5-B87C-A7E223196985}"/>
    <cellStyle name="Migliaia 13 3 4 5" xfId="36024" xr:uid="{A94D2549-0E20-4D2B-8C0E-B30B7F832C06}"/>
    <cellStyle name="Migliaia 13 3 4 6" xfId="41151" xr:uid="{A6F91BD4-120C-4692-9A69-F4553CD82A77}"/>
    <cellStyle name="Migliaia 13 3 4 7" xfId="16065" xr:uid="{AC745AA2-7921-45BC-9F3B-95839445EA95}"/>
    <cellStyle name="Migliaia 13 3 4 8" xfId="7660" xr:uid="{7FE1FE73-7BEA-4DB4-97DD-755206E79271}"/>
    <cellStyle name="Migliaia 13 3 5" xfId="3170" xr:uid="{410ABB33-A421-470A-8A3F-4D60B1326D36}"/>
    <cellStyle name="Migliaia 13 3 5 2" xfId="4896" xr:uid="{D6AD3404-3C82-400C-B5ED-E6C80DB31045}"/>
    <cellStyle name="Migliaia 13 3 5 2 2" xfId="35152" xr:uid="{623362B1-2325-40DD-84E0-9A6846463EE5}"/>
    <cellStyle name="Migliaia 13 3 5 2 2 2" xfId="40310" xr:uid="{5B6C4EEA-28D4-46C6-BF22-411DC9CCC834}"/>
    <cellStyle name="Migliaia 13 3 5 2 2 3" xfId="45612" xr:uid="{21DAC837-6EDC-45CC-A271-6C7A85713867}"/>
    <cellStyle name="Migliaia 13 3 5 2 3" xfId="37659" xr:uid="{3537F842-7A65-4C95-AE4A-0629E55AA5CC}"/>
    <cellStyle name="Migliaia 13 3 5 2 4" xfId="42961" xr:uid="{9828CCFB-92F0-438E-B7A3-E93F6C051E36}"/>
    <cellStyle name="Migliaia 13 3 5 2 5" xfId="14192" xr:uid="{98B20F58-13F0-45E6-881B-EFA409C2EE32}"/>
    <cellStyle name="Migliaia 13 3 5 3" xfId="6116" xr:uid="{7E5E9E5D-C0FC-4126-9366-9A48628C0366}"/>
    <cellStyle name="Migliaia 13 3 5 3 2" xfId="38501" xr:uid="{4D6787F4-A4F3-44E5-A535-45EE62F18B72}"/>
    <cellStyle name="Migliaia 13 3 5 3 3" xfId="43803" xr:uid="{969BE628-8F89-416F-8280-92AAD471AA06}"/>
    <cellStyle name="Migliaia 13 3 5 3 4" xfId="33133" xr:uid="{74257700-84B0-4D96-8E52-05A000E58170}"/>
    <cellStyle name="Migliaia 13 3 5 3 5" xfId="19878" xr:uid="{1EE49E10-9088-49F3-99C1-3621EE6A3C57}"/>
    <cellStyle name="Migliaia 13 3 5 4" xfId="36025" xr:uid="{F82926E8-79C7-48FC-8BD3-6BEB24F7AA0D}"/>
    <cellStyle name="Migliaia 13 3 5 5" xfId="41152" xr:uid="{71E76345-4CFA-4F22-BF2E-9521085DE6E6}"/>
    <cellStyle name="Migliaia 13 3 5 6" xfId="16067" xr:uid="{6B663030-38C1-45FA-BAF2-0E0436DC556A}"/>
    <cellStyle name="Migliaia 13 3 5 7" xfId="8254" xr:uid="{538F63B1-BC54-497F-BEC2-61EBE5A49466}"/>
    <cellStyle name="Migliaia 13 3 6" xfId="4891" xr:uid="{858D9BBD-0F9D-4BCE-8635-24FBC9C78950}"/>
    <cellStyle name="Migliaia 13 3 6 2" xfId="13895" xr:uid="{290E83DA-5657-402C-BA1C-682AFFA9CD1C}"/>
    <cellStyle name="Migliaia 13 3 6 2 2" xfId="38502" xr:uid="{FAE024C9-EA9F-48AE-919E-C83D9B342A25}"/>
    <cellStyle name="Migliaia 13 3 6 2 3" xfId="43804" xr:uid="{87E7924D-97D0-44BA-A3B7-E34C47479F57}"/>
    <cellStyle name="Migliaia 13 3 6 3" xfId="18725" xr:uid="{3DC852B0-0D48-4062-BB8F-9E32E566B535}"/>
    <cellStyle name="Migliaia 13 3 6 4" xfId="19879" xr:uid="{BE2139F2-D9C7-40CC-87CE-9708724929A6}"/>
    <cellStyle name="Migliaia 13 3 6 4 2" xfId="41153" xr:uid="{7C5674B4-1DE4-44F7-9DD3-9F6DF50502F9}"/>
    <cellStyle name="Migliaia 13 3 6 5" xfId="16068" xr:uid="{A6DB407F-9E8B-4DFA-9A13-3E173B75DAF7}"/>
    <cellStyle name="Migliaia 13 3 6 6" xfId="7837" xr:uid="{D91B749A-12EA-4CD4-AE96-748E2FE7E442}"/>
    <cellStyle name="Migliaia 13 3 7" xfId="6111" xr:uid="{C486398C-25B5-4552-AC69-2C4289274139}"/>
    <cellStyle name="Migliaia 13 3 7 2" xfId="33134" xr:uid="{81702407-5EE1-4CAF-BE33-ABF8036D39CC}"/>
    <cellStyle name="Migliaia 13 3 7 2 2" xfId="38503" xr:uid="{477B24C5-E712-4828-8F53-A61631A08F59}"/>
    <cellStyle name="Migliaia 13 3 7 2 3" xfId="43805" xr:uid="{C9C26002-ECF8-4222-A1CE-1CB93E46ECBC}"/>
    <cellStyle name="Migliaia 13 3 7 3" xfId="36026" xr:uid="{6FA27A09-B079-4049-9D59-5A860EB266A0}"/>
    <cellStyle name="Migliaia 13 3 7 4" xfId="41154" xr:uid="{38420493-5B58-4657-9F9F-4DD158F4F44B}"/>
    <cellStyle name="Migliaia 13 3 7 5" xfId="11537" xr:uid="{969E253F-C756-48AD-BD9D-53CF197F0596}"/>
    <cellStyle name="Migliaia 13 3 8" xfId="3165" xr:uid="{2B86652C-9C3C-46EC-AD65-45BF4149F07D}"/>
    <cellStyle name="Migliaia 13 3 8 2" xfId="33135" xr:uid="{33147197-AC59-4888-8730-5D125F12FF40}"/>
    <cellStyle name="Migliaia 13 3 8 2 2" xfId="38504" xr:uid="{3D2C07EC-82E5-414F-9BD5-2B996E73627B}"/>
    <cellStyle name="Migliaia 13 3 8 2 3" xfId="43806" xr:uid="{5759B342-F93E-45CD-805A-E1032A612750}"/>
    <cellStyle name="Migliaia 13 3 8 3" xfId="36027" xr:uid="{A47A6518-EBB2-423F-8087-7F84C43B2BD0}"/>
    <cellStyle name="Migliaia 13 3 8 4" xfId="41155" xr:uid="{06CFD5C4-1F05-47D9-B8E4-1E7EE5F5E985}"/>
    <cellStyle name="Migliaia 13 3 8 5" xfId="24291" xr:uid="{2C3B42CA-5537-43CE-BE04-D7F42962C0F4}"/>
    <cellStyle name="Migliaia 13 3 8 6" xfId="17415" xr:uid="{CFC3A4D7-B714-47AF-B98B-A5498F1F49A9}"/>
    <cellStyle name="Migliaia 13 3 9" xfId="19870" xr:uid="{6793AB0E-B160-484F-8D65-A4AC0B645956}"/>
    <cellStyle name="Migliaia 13 4" xfId="1675" xr:uid="{00000000-0005-0000-0000-0000E2020000}"/>
    <cellStyle name="Migliaia 13 4 2" xfId="1676" xr:uid="{00000000-0005-0000-0000-0000E3020000}"/>
    <cellStyle name="Migliaia 13 4 2 2" xfId="4898" xr:uid="{B3A36047-123D-47F2-B1E0-E4A09A8F394D}"/>
    <cellStyle name="Migliaia 13 4 2 2 2" xfId="33136" xr:uid="{42A87BD4-FA4C-4592-A29A-5E2084D9F38D}"/>
    <cellStyle name="Migliaia 13 4 2 2 2 2" xfId="38505" xr:uid="{9B016901-822B-4C0D-8922-7C93475B4935}"/>
    <cellStyle name="Migliaia 13 4 2 2 2 3" xfId="43807" xr:uid="{DD4F9299-C638-44DB-B4FD-ABF8719C419A}"/>
    <cellStyle name="Migliaia 13 4 2 2 3" xfId="36028" xr:uid="{D795B05E-0498-4BE2-B520-8E7B7FCEA16A}"/>
    <cellStyle name="Migliaia 13 4 2 2 4" xfId="41156" xr:uid="{0A450C79-74B2-4CE9-AC47-A7610FE61F4F}"/>
    <cellStyle name="Migliaia 13 4 2 2 5" xfId="9116" xr:uid="{D4329E2E-F283-49BC-BEA4-F8E7517E490A}"/>
    <cellStyle name="Migliaia 13 4 2 3" xfId="3172" xr:uid="{83692C0B-9970-497B-A1B1-6A5560D3D7D9}"/>
    <cellStyle name="Migliaia 13 4 2 3 2" xfId="33137" xr:uid="{FA545E86-B25F-47D7-A340-A5ADD4290845}"/>
    <cellStyle name="Migliaia 13 4 2 3 2 2" xfId="38506" xr:uid="{B7515984-017C-46C9-8896-5046A9C659D9}"/>
    <cellStyle name="Migliaia 13 4 2 3 2 3" xfId="43808" xr:uid="{0805016D-394D-4B06-9E3E-F960301BA524}"/>
    <cellStyle name="Migliaia 13 4 2 3 3" xfId="36029" xr:uid="{8570B593-871C-4CB8-B1A0-9EBD282E5AED}"/>
    <cellStyle name="Migliaia 13 4 2 3 4" xfId="41157" xr:uid="{55E20B4E-E723-42B1-9FE6-BBAE9B1E3829}"/>
    <cellStyle name="Migliaia 13 4 2 3 5" xfId="11901" xr:uid="{755EC655-7EB0-4C63-91B9-BEE848AE690D}"/>
    <cellStyle name="Migliaia 13 4 2 4" xfId="11254" xr:uid="{670949F5-0B83-42E5-AFC9-F88DBB625F1F}"/>
    <cellStyle name="Migliaia 13 4 2 5" xfId="10753" xr:uid="{E50D963F-10B9-4321-9C7D-FBB8D62FD49E}"/>
    <cellStyle name="Migliaia 13 4 2 5 2" xfId="21388" xr:uid="{59FA774F-F561-4F1E-B6A5-363F0D8787A3}"/>
    <cellStyle name="Migliaia 13 4 2 5 3" xfId="46206" xr:uid="{8337E772-1C5A-40CD-9FEE-670C20E89F82}"/>
    <cellStyle name="Migliaia 13 4 2 5 4" xfId="50403" xr:uid="{D823162B-C1C7-4927-A9E7-7F7BF5045AD1}"/>
    <cellStyle name="Migliaia 13 4 2 5 5" xfId="53419" xr:uid="{461DD0CB-0B65-4567-88A8-4C967A4B5A19}"/>
    <cellStyle name="Migliaia 13 4 2 6" xfId="19881" xr:uid="{75D90760-AAB5-4F0B-A1FE-3AAC4C092F96}"/>
    <cellStyle name="Migliaia 13 4 2 7" xfId="24293" xr:uid="{885BA528-8F2D-4840-8816-C51D83EC4838}"/>
    <cellStyle name="Migliaia 13 4 2 8" xfId="8507" xr:uid="{D2425F8B-79FD-45D4-8AE1-F50DFE0D7C64}"/>
    <cellStyle name="Migliaia 13 4 3" xfId="4897" xr:uid="{711F58F8-8663-4039-A95F-0C01D4930FB8}"/>
    <cellStyle name="Migliaia 13 4 3 2" xfId="18171" xr:uid="{80AFED1D-F92E-4EAA-A039-8AA2520967F0}"/>
    <cellStyle name="Migliaia 13 4 3 2 2" xfId="38507" xr:uid="{5A770A35-68FB-4C3A-B6FD-DD7DD5AFD4C0}"/>
    <cellStyle name="Migliaia 13 4 3 2 3" xfId="43809" xr:uid="{6BA74E7D-56EE-4DCA-9764-820929A46BB8}"/>
    <cellStyle name="Migliaia 13 4 3 3" xfId="36030" xr:uid="{2BC186DE-F7FF-4557-AF9C-FAF1F1DDBAE9}"/>
    <cellStyle name="Migliaia 13 4 3 4" xfId="41158" xr:uid="{F35D50BF-5206-48CF-A5A6-615C596F4C06}"/>
    <cellStyle name="Migliaia 13 4 3 5" xfId="17413" xr:uid="{74B06A15-5B26-4034-B567-28980FCAAE8A}"/>
    <cellStyle name="Migliaia 13 4 3 6" xfId="9117" xr:uid="{7725E552-2DC4-40E8-B42B-3C7A8859FC65}"/>
    <cellStyle name="Migliaia 13 4 4" xfId="6117" xr:uid="{D81A398A-2A1B-43C5-A7F9-2DAC2AC3B283}"/>
    <cellStyle name="Migliaia 13 4 4 2" xfId="33138" xr:uid="{D503203A-8A81-47F8-94ED-06DBD04EBBE5}"/>
    <cellStyle name="Migliaia 13 4 4 2 2" xfId="38508" xr:uid="{E14BD15B-17CE-46D6-AF94-1CFFD35FE955}"/>
    <cellStyle name="Migliaia 13 4 4 2 3" xfId="43810" xr:uid="{2F9031C6-2B4D-43B4-B61E-369CB253D2A7}"/>
    <cellStyle name="Migliaia 13 4 4 3" xfId="36031" xr:uid="{48157D7F-E9D9-4C35-BE97-B8293E9DB038}"/>
    <cellStyle name="Migliaia 13 4 4 4" xfId="41159" xr:uid="{0FDF23F0-B66B-4287-AF04-3E0EF385244E}"/>
    <cellStyle name="Migliaia 13 4 4 5" xfId="11902" xr:uid="{D725919C-0D72-440E-8ADC-9D796E635EA0}"/>
    <cellStyle name="Migliaia 13 4 5" xfId="3171" xr:uid="{0AD3A0E4-6ACF-45CD-B481-0B20E880362E}"/>
    <cellStyle name="Migliaia 13 4 5 2" xfId="33139" xr:uid="{A6FBFE95-DA72-40C9-97F4-45A297B7D64D}"/>
    <cellStyle name="Migliaia 13 4 5 2 2" xfId="38509" xr:uid="{FF1939D3-877C-4D40-959D-F799DDE733C0}"/>
    <cellStyle name="Migliaia 13 4 5 2 3" xfId="43811" xr:uid="{6469BE71-5D00-4E1F-ADF9-ED6160D201A3}"/>
    <cellStyle name="Migliaia 13 4 5 3" xfId="36032" xr:uid="{DD21A5DD-566F-4C45-9F3E-F9BD4928D54D}"/>
    <cellStyle name="Migliaia 13 4 5 4" xfId="41160" xr:uid="{D6E72F80-D7AF-4492-8596-B789E4992E45}"/>
    <cellStyle name="Migliaia 13 4 5 5" xfId="11253" xr:uid="{6C2828DD-E6A0-464B-B1EB-003507C311BD}"/>
    <cellStyle name="Migliaia 13 4 6" xfId="10752" xr:uid="{C3479E68-1FDC-41B6-AF0D-2236C461F5C7}"/>
    <cellStyle name="Migliaia 13 4 6 2" xfId="21387" xr:uid="{B8FBC699-8E57-4365-9B34-BB441F893A9F}"/>
    <cellStyle name="Migliaia 13 4 6 2 2" xfId="38510" xr:uid="{61752FDD-91E4-4FC6-B973-F28F34236A26}"/>
    <cellStyle name="Migliaia 13 4 6 2 3" xfId="43812" xr:uid="{8CF414B0-63FD-4B22-82E7-350F082B1818}"/>
    <cellStyle name="Migliaia 13 4 6 2 4" xfId="33140" xr:uid="{8D17FBAB-6737-42D7-B5DF-1B65EFBA01F9}"/>
    <cellStyle name="Migliaia 13 4 6 3" xfId="36033" xr:uid="{1A3C2171-D24D-45AC-8BB9-2C2ECF1E937C}"/>
    <cellStyle name="Migliaia 13 4 6 4" xfId="41161" xr:uid="{E6D68F82-D2EA-416C-B8DF-D5810BFB0E2D}"/>
    <cellStyle name="Migliaia 13 4 6 5" xfId="24294" xr:uid="{F20AE55E-52DD-4D37-8E32-BC863D171E35}"/>
    <cellStyle name="Migliaia 13 4 6 6" xfId="48288" xr:uid="{56EE33AB-B482-4E4B-B444-B7802C6D1CCB}"/>
    <cellStyle name="Migliaia 13 4 6 7" xfId="50402" xr:uid="{1DC1C5E2-BF86-4D5E-9127-AD40E1F57A51}"/>
    <cellStyle name="Migliaia 13 4 6 8" xfId="53418" xr:uid="{DE6B36BB-8B67-4ECF-A912-EB0F1C517D89}"/>
    <cellStyle name="Migliaia 13 4 7" xfId="19880" xr:uid="{67DB3A32-E343-46DF-AF5E-6656A1CCE6E9}"/>
    <cellStyle name="Migliaia 13 4 7 2" xfId="33141" xr:uid="{99716DFD-B47C-4BCB-9051-FBE069955238}"/>
    <cellStyle name="Migliaia 13 4 7 2 2" xfId="38511" xr:uid="{CC03CFA4-F469-4510-9F71-A45F835B98D9}"/>
    <cellStyle name="Migliaia 13 4 7 2 3" xfId="43813" xr:uid="{F78DEA16-C7A8-43F8-9F47-CFE6318DE90A}"/>
    <cellStyle name="Migliaia 13 4 7 3" xfId="36034" xr:uid="{68B75C7E-51ED-4F1A-9CBF-AF650261CB81}"/>
    <cellStyle name="Migliaia 13 4 7 4" xfId="41162" xr:uid="{61109483-2544-47FA-B7F5-83B9AD506574}"/>
    <cellStyle name="Migliaia 13 4 7 5" xfId="24295" xr:uid="{88F0DA72-2DE2-4514-AF17-D3F991493C87}"/>
    <cellStyle name="Migliaia 13 4 8" xfId="24292" xr:uid="{77BD7B34-EA3B-4AF9-9AF7-A87CD3766043}"/>
    <cellStyle name="Migliaia 13 4 9" xfId="7317" xr:uid="{97D325CC-3DB2-4CF0-B782-DC432AF1327D}"/>
    <cellStyle name="Migliaia 13 5" xfId="1677" xr:uid="{00000000-0005-0000-0000-0000E4020000}"/>
    <cellStyle name="Migliaia 13 5 2" xfId="4899" xr:uid="{F18C8C67-41AE-4411-92E0-0E2781DA4201}"/>
    <cellStyle name="Migliaia 13 5 2 2" xfId="18371" xr:uid="{55FB874F-81D8-45B7-BA89-93452E1673CA}"/>
    <cellStyle name="Migliaia 13 5 2 2 2" xfId="38512" xr:uid="{6EB933B8-9E75-4B81-A73E-C2A2994D94F0}"/>
    <cellStyle name="Migliaia 13 5 2 2 3" xfId="43814" xr:uid="{94694091-1CCF-49E1-B1CC-2FE6BC41800A}"/>
    <cellStyle name="Migliaia 13 5 2 3" xfId="19883" xr:uid="{58657380-4904-42BF-8F60-0018A1A472C4}"/>
    <cellStyle name="Migliaia 13 5 2 3 2" xfId="36035" xr:uid="{888EC172-D6B7-4DCB-9E06-6D2C5DC4FD80}"/>
    <cellStyle name="Migliaia 13 5 2 4" xfId="41163" xr:uid="{9911A6B1-FFFF-45B1-89D9-82282017420A}"/>
    <cellStyle name="Migliaia 13 5 2 5" xfId="16069" xr:uid="{BD0334E2-E8DE-4C74-9E92-53C6DC8ED15A}"/>
    <cellStyle name="Migliaia 13 5 2 6" xfId="8508" xr:uid="{544106B1-FDAE-484F-9A5A-7D80A14AA199}"/>
    <cellStyle name="Migliaia 13 5 3" xfId="6118" xr:uid="{66ED7BD3-5C9C-4C53-9DF5-B8F8BA69CB87}"/>
    <cellStyle name="Migliaia 13 5 3 2" xfId="33142" xr:uid="{9636B4EA-4742-4FC4-9B6D-84529E6D40CF}"/>
    <cellStyle name="Migliaia 13 5 3 2 2" xfId="38513" xr:uid="{33CA0F71-7CFE-4B31-8EBA-F3B77FD39712}"/>
    <cellStyle name="Migliaia 13 5 3 2 3" xfId="43815" xr:uid="{5B8BC182-0065-426C-A060-9FDE6560C2B2}"/>
    <cellStyle name="Migliaia 13 5 3 3" xfId="36036" xr:uid="{44816237-00D7-4410-B664-20865B1206FC}"/>
    <cellStyle name="Migliaia 13 5 3 4" xfId="41164" xr:uid="{44F0EB65-8076-463C-83CE-2D007287ECC5}"/>
    <cellStyle name="Migliaia 13 5 3 5" xfId="11255" xr:uid="{484F4FA7-B5C8-4541-9CA2-F29DC81FD8B4}"/>
    <cellStyle name="Migliaia 13 5 4" xfId="3173" xr:uid="{A0836E60-A796-4B81-9C6A-4C3FB9145E77}"/>
    <cellStyle name="Migliaia 13 5 4 2" xfId="21389" xr:uid="{DF479013-38F7-4C8E-9633-FA1A4C5C2A91}"/>
    <cellStyle name="Migliaia 13 5 4 2 2" xfId="38514" xr:uid="{3E217622-D775-4549-A674-8B1A9DF7463B}"/>
    <cellStyle name="Migliaia 13 5 4 2 3" xfId="43816" xr:uid="{BD8EC983-7AB8-455A-852E-53920CA24780}"/>
    <cellStyle name="Migliaia 13 5 4 2 4" xfId="33143" xr:uid="{EE66C35C-4BE4-4E11-AD9A-7C7B1DB994CE}"/>
    <cellStyle name="Migliaia 13 5 4 3" xfId="36037" xr:uid="{D8E6F0DD-9F7C-4A05-AA74-1E178D9F254B}"/>
    <cellStyle name="Migliaia 13 5 4 4" xfId="41165" xr:uid="{67D588DE-C809-409B-8A8A-1BAA07459325}"/>
    <cellStyle name="Migliaia 13 5 4 5" xfId="24297" xr:uid="{3B84B158-1380-4880-9D21-2B4128B70EF1}"/>
    <cellStyle name="Migliaia 13 5 4 6" xfId="47300" xr:uid="{375E4AE2-8DAC-450D-8D1B-148BBE122808}"/>
    <cellStyle name="Migliaia 13 5 4 7" xfId="50404" xr:uid="{6A05FEF6-2D49-44DA-88FD-3BA0DB68A360}"/>
    <cellStyle name="Migliaia 13 5 4 8" xfId="53420" xr:uid="{C191B21B-74BD-464E-9119-36A5B4A11AAF}"/>
    <cellStyle name="Migliaia 13 5 4 9" xfId="10754" xr:uid="{D6DB2D08-9DDB-48C3-BB7D-0F42BAFF0512}"/>
    <cellStyle name="Migliaia 13 5 5" xfId="19882" xr:uid="{6A9EF6F7-FCB2-4AFB-9526-EDA7D993D363}"/>
    <cellStyle name="Migliaia 13 5 5 2" xfId="33144" xr:uid="{5BDEC56E-8725-454E-A552-2ED6FC7EC391}"/>
    <cellStyle name="Migliaia 13 5 5 2 2" xfId="38515" xr:uid="{558B4B65-65BC-4C57-A00C-3B15091E2FB1}"/>
    <cellStyle name="Migliaia 13 5 5 2 3" xfId="43817" xr:uid="{21C72AC5-BAA4-40BB-9831-93F2769B7188}"/>
    <cellStyle name="Migliaia 13 5 5 3" xfId="36038" xr:uid="{53E73467-8D26-443C-902B-E6D31E8B856A}"/>
    <cellStyle name="Migliaia 13 5 5 4" xfId="41166" xr:uid="{B254FE10-DF0A-4F09-8576-8A82587488FE}"/>
    <cellStyle name="Migliaia 13 5 5 5" xfId="24298" xr:uid="{C2C013C0-E0ED-4CEE-A396-4580C57EA267}"/>
    <cellStyle name="Migliaia 13 5 6" xfId="24299" xr:uid="{FC0BB3D2-C55C-4E3C-BB2E-399BE35492B9}"/>
    <cellStyle name="Migliaia 13 5 6 2" xfId="33145" xr:uid="{1BA155B9-2BF7-48C3-81F0-4BC774AA16FC}"/>
    <cellStyle name="Migliaia 13 5 6 2 2" xfId="38516" xr:uid="{A3CAEC0D-2CD6-45A9-9AB9-7160F516C0DC}"/>
    <cellStyle name="Migliaia 13 5 6 2 3" xfId="43818" xr:uid="{165A1816-544D-4291-8574-BC1C42099227}"/>
    <cellStyle name="Migliaia 13 5 6 3" xfId="36039" xr:uid="{D808C6E8-C7D8-41EF-B382-00CCAC06725C}"/>
    <cellStyle name="Migliaia 13 5 6 4" xfId="41167" xr:uid="{D36663F6-0567-40C7-ABB3-D4BC0B7A7804}"/>
    <cellStyle name="Migliaia 13 5 7" xfId="24296" xr:uid="{83349A3D-ED20-4913-AC3A-8B78EE590400}"/>
    <cellStyle name="Migliaia 13 5 8" xfId="7318" xr:uid="{4DA8059C-A065-40DB-841B-CCEDAAD72BA4}"/>
    <cellStyle name="Migliaia 13 6" xfId="3174" xr:uid="{CE1B7F1C-7D78-4B76-A55C-FE5798633F07}"/>
    <cellStyle name="Migliaia 13 6 2" xfId="4900" xr:uid="{E3B8178D-DDED-4F1F-A089-ADA8A44EFF91}"/>
    <cellStyle name="Migliaia 13 6 2 2" xfId="9889" xr:uid="{6671354B-9ACE-42A6-8A6D-5E0551C6E069}"/>
    <cellStyle name="Migliaia 13 6 2 3" xfId="18676" xr:uid="{004783EA-B33A-4B50-9B18-24DA65A6E4B5}"/>
    <cellStyle name="Migliaia 13 6 2 4" xfId="19885" xr:uid="{41FF3440-A793-42AD-ABB2-9EF374AC4D58}"/>
    <cellStyle name="Migliaia 13 6 2 5" xfId="32307" xr:uid="{80C0F73C-521B-48B2-B5D6-28F02E6669DE}"/>
    <cellStyle name="Migliaia 13 6 2 6" xfId="16071" xr:uid="{DBCF1BAB-0CE7-466A-92F7-368029320C2F}"/>
    <cellStyle name="Migliaia 13 6 2 7" xfId="8503" xr:uid="{5FADAEA8-31F2-4207-8CDC-CFB4A1C4E133}"/>
    <cellStyle name="Migliaia 13 6 3" xfId="6119" xr:uid="{A2AA4359-D3F0-4189-B69B-B61DC128451E}"/>
    <cellStyle name="Migliaia 13 6 3 2" xfId="35153" xr:uid="{FC157022-F096-4E6E-AC8D-4781D30B0642}"/>
    <cellStyle name="Migliaia 13 6 3 2 2" xfId="40311" xr:uid="{8379A4B3-8195-4B61-8212-6731C5AF9F8E}"/>
    <cellStyle name="Migliaia 13 6 3 2 3" xfId="45613" xr:uid="{031D1A15-8890-4220-9C01-B7D995BF27D8}"/>
    <cellStyle name="Migliaia 13 6 3 3" xfId="37660" xr:uid="{178C8F4E-BD29-46D7-99E7-2BC9D462D282}"/>
    <cellStyle name="Migliaia 13 6 3 4" xfId="42962" xr:uid="{E6904C30-5B5A-4D49-B20D-AF53A783DC9D}"/>
    <cellStyle name="Migliaia 13 6 3 5" xfId="9652" xr:uid="{66B9BA0F-B3DE-46F6-81CA-3767647C7EF3}"/>
    <cellStyle name="Migliaia 13 6 4" xfId="19884" xr:uid="{A43AB79D-576B-4A82-AA9A-A8DD635F427B}"/>
    <cellStyle name="Migliaia 13 6 4 2" xfId="38517" xr:uid="{B346B248-F048-4C7D-B35E-E7A467541FB6}"/>
    <cellStyle name="Migliaia 13 6 4 3" xfId="43819" xr:uid="{F0F607BC-11C3-4726-80C3-0DB80A655C57}"/>
    <cellStyle name="Migliaia 13 6 4 4" xfId="33146" xr:uid="{EA11353A-51B6-4CA7-90A2-6225A266F2EB}"/>
    <cellStyle name="Migliaia 13 6 5" xfId="36040" xr:uid="{15C76789-B972-4419-AF33-B3DD28004BA7}"/>
    <cellStyle name="Migliaia 13 6 6" xfId="41168" xr:uid="{90E9163A-2762-4B37-9A1F-25EF1AE41D5C}"/>
    <cellStyle name="Migliaia 13 6 7" xfId="16070" xr:uid="{72483167-9ED5-418A-874C-9D58D43DACBA}"/>
    <cellStyle name="Migliaia 13 6 8" xfId="7313" xr:uid="{8B4695D9-CE5E-4F83-A358-8E4906EF3440}"/>
    <cellStyle name="Migliaia 13 7" xfId="3175" xr:uid="{F2B4D53E-3B7A-4476-B9EA-28716B1C0261}"/>
    <cellStyle name="Migliaia 13 7 2" xfId="4901" xr:uid="{EE3FAAD7-ECDA-4512-80E1-D398A5ACCAF5}"/>
    <cellStyle name="Migliaia 13 7 2 2" xfId="35154" xr:uid="{460CE8EC-12F9-4083-9C6E-B44FF8763609}"/>
    <cellStyle name="Migliaia 13 7 2 2 2" xfId="40312" xr:uid="{C99EA8DA-BD57-4595-A641-F2212C346108}"/>
    <cellStyle name="Migliaia 13 7 2 2 3" xfId="45614" xr:uid="{1BCBA3F7-5445-4012-8199-CC222797A478}"/>
    <cellStyle name="Migliaia 13 7 2 3" xfId="37661" xr:uid="{4521D11D-A4B8-45F0-B36E-787A4586E2D3}"/>
    <cellStyle name="Migliaia 13 7 2 4" xfId="42963" xr:uid="{1A7B0B3C-A03C-4466-8254-AB14A085CAD0}"/>
    <cellStyle name="Migliaia 13 7 2 5" xfId="14190" xr:uid="{2D687C2C-A340-40B6-B857-3C50999F3E58}"/>
    <cellStyle name="Migliaia 13 7 3" xfId="6120" xr:uid="{AAE0BC7D-E9A3-4924-AD41-8819BB72148B}"/>
    <cellStyle name="Migliaia 13 7 3 2" xfId="38518" xr:uid="{B1AB54A1-DEFD-420E-A634-80BEEF82F4A0}"/>
    <cellStyle name="Migliaia 13 7 3 3" xfId="43820" xr:uid="{03A84541-2D34-41BA-A152-E3BE9083E5F6}"/>
    <cellStyle name="Migliaia 13 7 3 4" xfId="33147" xr:uid="{1E7E1196-05C0-4B82-8B96-E45A7D397341}"/>
    <cellStyle name="Migliaia 13 7 3 5" xfId="19886" xr:uid="{185331CA-A25A-4CD2-A1B0-3E63F506BDBF}"/>
    <cellStyle name="Migliaia 13 7 4" xfId="36041" xr:uid="{B50927E9-0F20-44C0-AC6D-0C7D9070B1D7}"/>
    <cellStyle name="Migliaia 13 7 5" xfId="41169" xr:uid="{12F81F7E-6B98-47AA-8587-AD44E6F5866F}"/>
    <cellStyle name="Migliaia 13 7 6" xfId="16072" xr:uid="{D4AF85A0-CE02-4580-A425-3DE81A685154}"/>
    <cellStyle name="Migliaia 13 7 7" xfId="8252" xr:uid="{60A6F641-699A-4752-8A61-5E44838C29AA}"/>
    <cellStyle name="Migliaia 13 8" xfId="3176" xr:uid="{6C611D75-8C11-4475-ABEC-F475F7738929}"/>
    <cellStyle name="Migliaia 13 8 2" xfId="4902" xr:uid="{CCEF93C9-81AF-4D94-94A4-117CF2EA4B6C}"/>
    <cellStyle name="Migliaia 13 8 2 2" xfId="35155" xr:uid="{C1881006-959F-41A2-AB28-17FBC0322BD4}"/>
    <cellStyle name="Migliaia 13 8 2 2 2" xfId="40313" xr:uid="{D9781DDB-C60F-4A97-B678-6C0FE1A086E0}"/>
    <cellStyle name="Migliaia 13 8 2 2 3" xfId="45615" xr:uid="{09AA256B-1220-441E-B436-386AF7A77F1F}"/>
    <cellStyle name="Migliaia 13 8 2 3" xfId="37662" xr:uid="{7B704A5E-6CE6-4EE7-91B4-26BF0F3EB353}"/>
    <cellStyle name="Migliaia 13 8 2 4" xfId="42964" xr:uid="{1529B2DC-2FAE-4696-9673-AE0F687443D7}"/>
    <cellStyle name="Migliaia 13 8 2 5" xfId="13893" xr:uid="{16DB425E-B24E-4E1A-93DD-F021FC9B7B3D}"/>
    <cellStyle name="Migliaia 13 8 3" xfId="6121" xr:uid="{16DF3222-E734-45C8-A646-AAB2935B52AE}"/>
    <cellStyle name="Migliaia 13 8 3 2" xfId="38519" xr:uid="{51BA05D8-B55F-4F8A-9521-BA7BF92DBEEC}"/>
    <cellStyle name="Migliaia 13 8 3 3" xfId="43821" xr:uid="{7AC84393-9FCD-4ED6-BB45-E266F7EA5109}"/>
    <cellStyle name="Migliaia 13 8 3 4" xfId="33148" xr:uid="{4E27C67D-B8C5-4AE3-8862-D7EEBE8BC8CB}"/>
    <cellStyle name="Migliaia 13 8 3 5" xfId="19887" xr:uid="{907D0214-F1D7-412F-9BD1-BC4F7BDAE411}"/>
    <cellStyle name="Migliaia 13 8 4" xfId="36042" xr:uid="{A5FB4337-B083-4D6A-B04B-A142E038ABB5}"/>
    <cellStyle name="Migliaia 13 8 5" xfId="41170" xr:uid="{1EF852E5-8761-4D92-B8CC-E8027721B105}"/>
    <cellStyle name="Migliaia 13 8 6" xfId="16073" xr:uid="{772E4B4A-90D7-4547-81D2-FC2E18C146D3}"/>
    <cellStyle name="Migliaia 13 8 7" xfId="7835" xr:uid="{8E7BEBA3-7D2D-43DF-9868-4E31E989B326}"/>
    <cellStyle name="Migliaia 13 9" xfId="4887" xr:uid="{C6B1E964-4974-4B1E-AB6E-DF1142806F8B}"/>
    <cellStyle name="Migliaia 13 9 2" xfId="33149" xr:uid="{F36BFB54-76CF-4FBB-A28F-664A9305AEC0}"/>
    <cellStyle name="Migliaia 13 9 2 2" xfId="38520" xr:uid="{A545EAC1-C2F0-478A-ADBC-AC2C730CCEAE}"/>
    <cellStyle name="Migliaia 13 9 2 3" xfId="43822" xr:uid="{9FC89445-7036-4E33-ABFB-60C5A194BE03}"/>
    <cellStyle name="Migliaia 13 9 3" xfId="36043" xr:uid="{6792ED95-35D0-4205-9A4A-5C000D3BC63A}"/>
    <cellStyle name="Migliaia 13 9 4" xfId="41171" xr:uid="{9B4ED42D-6811-4F77-A928-F22C42BCD3FB}"/>
    <cellStyle name="Migliaia 13 9 5" xfId="17143" xr:uid="{7856E001-00F8-4F01-B6BF-0841F2A7B796}"/>
    <cellStyle name="Migliaia 14" xfId="317" xr:uid="{00000000-0005-0000-0000-0000E5020000}"/>
    <cellStyle name="Migliaia 14 10" xfId="6122" xr:uid="{AFACF5B1-C2F3-4AEB-9BCE-49C4D3ACC986}"/>
    <cellStyle name="Migliaia 14 10 2" xfId="38521" xr:uid="{C1D0AA0D-ADE9-4823-9412-E884A2F5A337}"/>
    <cellStyle name="Migliaia 14 10 3" xfId="43823" xr:uid="{09E85EBD-AD99-40FC-85C7-5B7C9F6D2E79}"/>
    <cellStyle name="Migliaia 14 10 4" xfId="33150" xr:uid="{27C0FAD6-B2D7-4401-916B-6875DBB1BA32}"/>
    <cellStyle name="Migliaia 14 10 5" xfId="19888" xr:uid="{D023BE3A-68B3-4041-ACFB-2B38111494EC}"/>
    <cellStyle name="Migliaia 14 11" xfId="3177" xr:uid="{78461DA8-8FA0-482B-8F9A-044A55B48314}"/>
    <cellStyle name="Migliaia 14 11 2" xfId="36044" xr:uid="{901FF3A3-DB9D-44CC-8AFA-15B63AB82D2E}"/>
    <cellStyle name="Migliaia 14 12" xfId="41172" xr:uid="{6CA679D3-47A1-435A-8621-11C5991464A1}"/>
    <cellStyle name="Migliaia 14 13" xfId="7056" xr:uid="{1AA3B54C-E46A-430E-9C89-E178B6D4A471}"/>
    <cellStyle name="Migliaia 14 2" xfId="318" xr:uid="{00000000-0005-0000-0000-0000E6020000}"/>
    <cellStyle name="Migliaia 14 2 2" xfId="1678" xr:uid="{00000000-0005-0000-0000-0000E7020000}"/>
    <cellStyle name="Migliaia 14 2 2 2" xfId="4905" xr:uid="{F52D6DEA-4681-4C4C-BBA3-BF6643C38E59}"/>
    <cellStyle name="Migliaia 14 2 2 2 2" xfId="14367" xr:uid="{E5EC9185-E031-45F8-A675-B5602138B5B8}"/>
    <cellStyle name="Migliaia 14 2 2 2 2 2" xfId="38522" xr:uid="{ACAA560D-B2A0-455A-B38F-298F6CA0D90D}"/>
    <cellStyle name="Migliaia 14 2 2 2 2 3" xfId="43824" xr:uid="{C4B506F5-02C9-403E-9C48-ADC8D27A9A76}"/>
    <cellStyle name="Migliaia 14 2 2 2 3" xfId="18372" xr:uid="{7357510F-A1BA-45E2-9F46-317AD1B26B5A}"/>
    <cellStyle name="Migliaia 14 2 2 2 4" xfId="19891" xr:uid="{636AF86B-0331-46C9-9EA1-370477A226A1}"/>
    <cellStyle name="Migliaia 14 2 2 2 4 2" xfId="41173" xr:uid="{10CD394B-336E-44D9-8B41-DC7A6FF81772}"/>
    <cellStyle name="Migliaia 14 2 2 2 5" xfId="16074" xr:uid="{87492518-09C8-46D8-BB8A-113BC75804D5}"/>
    <cellStyle name="Migliaia 14 2 2 2 6" xfId="8510" xr:uid="{AE80EF08-F13D-4D7D-9C2A-76E5B14EDD72}"/>
    <cellStyle name="Migliaia 14 2 2 3" xfId="6124" xr:uid="{5D9525EA-ECB8-4772-BE57-F5038E65D7E8}"/>
    <cellStyle name="Migliaia 14 2 2 3 2" xfId="35156" xr:uid="{B45DCD7A-905B-4595-B838-38A13A3B1DAB}"/>
    <cellStyle name="Migliaia 14 2 2 3 2 2" xfId="40314" xr:uid="{ADE803AC-299E-4ADA-8F28-1190A302E7A5}"/>
    <cellStyle name="Migliaia 14 2 2 3 2 3" xfId="45616" xr:uid="{3BE61AD0-A66D-49CE-81F4-9D75D1C2DBEF}"/>
    <cellStyle name="Migliaia 14 2 2 3 3" xfId="37663" xr:uid="{EE0C7E03-FF60-4CB5-BB50-15BBFC08CC87}"/>
    <cellStyle name="Migliaia 14 2 2 3 4" xfId="42965" xr:uid="{C02EC9C1-2539-4BAB-84E7-918FAC90E6DC}"/>
    <cellStyle name="Migliaia 14 2 2 3 5" xfId="11596" xr:uid="{9771F3F0-1D8D-4D42-A975-CCAB3F982230}"/>
    <cellStyle name="Migliaia 14 2 2 4" xfId="3179" xr:uid="{82FBAFE7-646B-42EC-B368-3B8605EFADBD}"/>
    <cellStyle name="Migliaia 14 2 2 4 2" xfId="21390" xr:uid="{150DB793-BD82-4A20-95EF-81F8DE788D2D}"/>
    <cellStyle name="Migliaia 14 2 2 4 3" xfId="46207" xr:uid="{924E932C-7A9E-439A-ACB2-1FFF7EEEF8AD}"/>
    <cellStyle name="Migliaia 14 2 2 4 4" xfId="50405" xr:uid="{9EDF6B1D-980B-4133-8E32-6773098E33F4}"/>
    <cellStyle name="Migliaia 14 2 2 4 5" xfId="53421" xr:uid="{0B024939-FFA6-4BF0-84CB-1464A3502D89}"/>
    <cellStyle name="Migliaia 14 2 2 4 6" xfId="10755" xr:uid="{A4D6208B-4C4A-473A-B168-2C326266DB54}"/>
    <cellStyle name="Migliaia 14 2 2 5" xfId="19890" xr:uid="{D98561F1-9AF5-477C-B687-D3CA4DF6C98E}"/>
    <cellStyle name="Migliaia 14 2 2 6" xfId="24301" xr:uid="{25EDC3C1-2499-4277-A931-39059B13D39E}"/>
    <cellStyle name="Migliaia 14 2 2 7" xfId="7320" xr:uid="{5E273ABD-F298-4801-B795-A60BA5CCBD07}"/>
    <cellStyle name="Migliaia 14 2 3" xfId="3180" xr:uid="{32BEA417-3353-4F51-B00C-88EE0C5B6102}"/>
    <cellStyle name="Migliaia 14 2 3 2" xfId="4906" xr:uid="{940981CB-36D8-4ECE-B7D0-01CB84AF46C7}"/>
    <cellStyle name="Migliaia 14 2 3 2 2" xfId="35157" xr:uid="{31E77326-7DAC-4C5B-A545-6DF97E660CE0}"/>
    <cellStyle name="Migliaia 14 2 3 2 2 2" xfId="40315" xr:uid="{B72E752F-B372-4441-AF11-6A30DB08772F}"/>
    <cellStyle name="Migliaia 14 2 3 2 2 3" xfId="45617" xr:uid="{DA943A6B-B947-42F0-9D3B-4C1D8640FA15}"/>
    <cellStyle name="Migliaia 14 2 3 2 3" xfId="37664" xr:uid="{1C864A16-55AF-4BA3-8EFE-D0DF7FBD0A2D}"/>
    <cellStyle name="Migliaia 14 2 3 2 4" xfId="42966" xr:uid="{9C20A4C3-F36E-4255-A08B-4B69130E7E9C}"/>
    <cellStyle name="Migliaia 14 2 3 2 5" xfId="14194" xr:uid="{5B9DBDF0-1950-4462-8E30-BEB83954E99C}"/>
    <cellStyle name="Migliaia 14 2 3 3" xfId="6125" xr:uid="{D561AFD0-14F8-493C-9F25-E619828D2D6F}"/>
    <cellStyle name="Migliaia 14 2 3 3 2" xfId="38523" xr:uid="{DB1C3635-96E2-4157-B650-5C951016FF2B}"/>
    <cellStyle name="Migliaia 14 2 3 3 3" xfId="43825" xr:uid="{CF2D76E8-9128-4934-A823-35EB0EC637B7}"/>
    <cellStyle name="Migliaia 14 2 3 3 4" xfId="33151" xr:uid="{EC00FCC0-B2C8-4DFD-982A-13966D70C726}"/>
    <cellStyle name="Migliaia 14 2 3 3 5" xfId="19892" xr:uid="{3056E3C4-0582-41F3-BD32-D34F1E796536}"/>
    <cellStyle name="Migliaia 14 2 3 4" xfId="36045" xr:uid="{E8E45BC3-8B16-49F7-B6F9-B0117DFB6CDF}"/>
    <cellStyle name="Migliaia 14 2 3 5" xfId="41174" xr:uid="{5CCD46FC-06BD-4688-84D8-09DAB39FA0E3}"/>
    <cellStyle name="Migliaia 14 2 3 6" xfId="16075" xr:uid="{A0191910-BC00-4732-B64C-78DCDB890E52}"/>
    <cellStyle name="Migliaia 14 2 3 7" xfId="8256" xr:uid="{A0088051-C4DD-4CFC-BC6D-D4B74A2F2AAC}"/>
    <cellStyle name="Migliaia 14 2 4" xfId="4904" xr:uid="{5251EC31-29E0-4091-AB8A-DC3B8E62B3DB}"/>
    <cellStyle name="Migliaia 14 2 4 2" xfId="13897" xr:uid="{8B1715B8-6472-423D-97C8-45B8C6E4EC97}"/>
    <cellStyle name="Migliaia 14 2 4 2 2" xfId="38524" xr:uid="{5ECEEC35-67E7-42CC-9DCC-2439189F1957}"/>
    <cellStyle name="Migliaia 14 2 4 2 3" xfId="43826" xr:uid="{14CC94F0-DC98-41E4-8857-72CD4256BD4C}"/>
    <cellStyle name="Migliaia 14 2 4 3" xfId="18013" xr:uid="{93047A84-3441-4FF9-B44D-1FFC28A97CCE}"/>
    <cellStyle name="Migliaia 14 2 4 4" xfId="19893" xr:uid="{4FE7A76C-B401-45C6-B332-CB77CC9B92AB}"/>
    <cellStyle name="Migliaia 14 2 4 4 2" xfId="41175" xr:uid="{00DC8DA6-8601-4CFD-9E94-260E7DB0D1C1}"/>
    <cellStyle name="Migliaia 14 2 4 5" xfId="16076" xr:uid="{AC35D904-385A-4AE6-B325-06C02AC61BAE}"/>
    <cellStyle name="Migliaia 14 2 4 6" xfId="7840" xr:uid="{08FC95BF-F9E6-40C1-9340-666208CEBA5B}"/>
    <cellStyle name="Migliaia 14 2 5" xfId="6123" xr:uid="{09CD4F76-96EC-494D-A98B-7D418438084F}"/>
    <cellStyle name="Migliaia 14 2 5 2" xfId="33152" xr:uid="{B5927BDD-FD9B-4EB1-9AC9-2FE9D14335F7}"/>
    <cellStyle name="Migliaia 14 2 5 2 2" xfId="38525" xr:uid="{B41DA60F-40CA-4AFD-82A5-F77AC7ACF9A1}"/>
    <cellStyle name="Migliaia 14 2 5 2 3" xfId="43827" xr:uid="{7F959AC0-D57D-498F-A938-720033F8C50D}"/>
    <cellStyle name="Migliaia 14 2 5 3" xfId="36046" xr:uid="{A8E01118-0C5A-45B7-B570-AA5144C9A25A}"/>
    <cellStyle name="Migliaia 14 2 5 4" xfId="41176" xr:uid="{BA12B95B-04BA-4A4C-96A8-CABFFEFFF6CA}"/>
    <cellStyle name="Migliaia 14 2 5 5" xfId="13107" xr:uid="{1B731F3E-8161-42A7-BE4A-0260599E2A9F}"/>
    <cellStyle name="Migliaia 14 2 6" xfId="3178" xr:uid="{74A4A554-2E88-4081-A7EB-F7671F8EB68D}"/>
    <cellStyle name="Migliaia 14 2 6 2" xfId="33153" xr:uid="{59F4F62C-627C-4AE0-95C1-549991C484A8}"/>
    <cellStyle name="Migliaia 14 2 6 2 2" xfId="38526" xr:uid="{FCB188E5-B1D2-4787-B4A0-210D168818CC}"/>
    <cellStyle name="Migliaia 14 2 6 2 3" xfId="43828" xr:uid="{784D1E07-BCB3-4D87-90C5-CDE826E9CAC5}"/>
    <cellStyle name="Migliaia 14 2 6 3" xfId="36047" xr:uid="{2F992291-C9FE-4CA3-9236-6BAE63F6693F}"/>
    <cellStyle name="Migliaia 14 2 6 4" xfId="41177" xr:uid="{0A9ABF8A-38A6-46FD-934F-26918FFDC674}"/>
    <cellStyle name="Migliaia 14 2 6 5" xfId="24302" xr:uid="{8F759785-B364-4570-82EE-A5D516E2FAC9}"/>
    <cellStyle name="Migliaia 14 2 6 6" xfId="19889" xr:uid="{0781619E-19B4-41B2-A2EC-53028DDAE5E7}"/>
    <cellStyle name="Migliaia 14 2 7" xfId="24300" xr:uid="{3A6E4FD7-695F-4FE9-9078-9CA638F59A3C}"/>
    <cellStyle name="Migliaia 14 2 8" xfId="7057" xr:uid="{A54FBA84-0C4B-49D3-A766-61FC1FB4B94D}"/>
    <cellStyle name="Migliaia 14 3" xfId="319" xr:uid="{00000000-0005-0000-0000-0000E8020000}"/>
    <cellStyle name="Migliaia 14 3 10" xfId="24303" xr:uid="{3C2CA67B-A5EC-4101-9EFC-98BEA704E975}"/>
    <cellStyle name="Migliaia 14 3 11" xfId="16077" xr:uid="{577AFD19-FB0C-49DE-9847-3BF393646A3C}"/>
    <cellStyle name="Migliaia 14 3 12" xfId="7058" xr:uid="{16F23169-127F-4C8C-BDDB-4272236A52CC}"/>
    <cellStyle name="Migliaia 14 3 2" xfId="320" xr:uid="{00000000-0005-0000-0000-0000E9020000}"/>
    <cellStyle name="Migliaia 14 3 2 2" xfId="1679" xr:uid="{00000000-0005-0000-0000-0000EA020000}"/>
    <cellStyle name="Migliaia 14 3 2 2 2" xfId="4909" xr:uid="{41CE3350-31F8-46B8-BC3F-A316BB34751B}"/>
    <cellStyle name="Migliaia 14 3 2 2 2 2" xfId="18373" xr:uid="{F165BAFD-5488-46DE-ADE1-B9D024088B95}"/>
    <cellStyle name="Migliaia 14 3 2 2 2 2 2" xfId="21842" xr:uid="{E7248319-FC69-4610-809A-1918A9E8FFB8}"/>
    <cellStyle name="Migliaia 14 3 2 2 2 2 2 2" xfId="38527" xr:uid="{F021E581-1495-4577-B3F4-B8263D515DDB}"/>
    <cellStyle name="Migliaia 14 3 2 2 2 2 3" xfId="43829" xr:uid="{ECB2152B-F24F-4539-B4E0-E70FD9943C46}"/>
    <cellStyle name="Migliaia 14 3 2 2 2 2 4" xfId="33154" xr:uid="{18CB0AFA-69BC-44DA-A7D6-76E799CC1AE8}"/>
    <cellStyle name="Migliaia 14 3 2 2 2 3" xfId="36048" xr:uid="{F0209CFE-DFBA-4F09-99B1-46119262B1C6}"/>
    <cellStyle name="Migliaia 14 3 2 2 2 4" xfId="41178" xr:uid="{E8A668D1-AA73-4798-A0BB-B951C1ADE450}"/>
    <cellStyle name="Migliaia 14 3 2 2 2 5" xfId="47011" xr:uid="{FA873E99-A689-4F0B-922B-6F3A796FD069}"/>
    <cellStyle name="Migliaia 14 3 2 2 2 6" xfId="50870" xr:uid="{7A3FAC1A-FC31-45E8-BCAB-E34B9E635EDD}"/>
    <cellStyle name="Migliaia 14 3 2 2 2 7" xfId="53886" xr:uid="{4732F40A-43B1-49D1-8399-38EAF56E6B2D}"/>
    <cellStyle name="Migliaia 14 3 2 2 2 8" xfId="17643" xr:uid="{B4B3959D-E2A7-4668-8C4C-B416870198E6}"/>
    <cellStyle name="Migliaia 14 3 2 2 2 9" xfId="11903" xr:uid="{E6C98EEE-56DA-41E7-968D-AB4A40323D7A}"/>
    <cellStyle name="Migliaia 14 3 2 2 3" xfId="6128" xr:uid="{D802CEEB-D8D8-4D38-8969-12DF2413B3AD}"/>
    <cellStyle name="Migliaia 14 3 2 2 3 2" xfId="11684" xr:uid="{63E62E25-7D6A-4054-ABD2-5B4FDD2A8F3E}"/>
    <cellStyle name="Migliaia 14 3 2 2 4" xfId="3183" xr:uid="{74E7B9BD-C74A-4CB3-8CCF-ABBC90B4FC95}"/>
    <cellStyle name="Migliaia 14 3 2 2 4 2" xfId="21391" xr:uid="{FC0037A1-E5F4-4D4E-B8AD-B307246EFBD3}"/>
    <cellStyle name="Migliaia 14 3 2 2 4 3" xfId="47893" xr:uid="{1ED8681A-C796-45DA-8A69-A704D2CC3C17}"/>
    <cellStyle name="Migliaia 14 3 2 2 4 4" xfId="50406" xr:uid="{A44DCC71-0956-46C2-A8C8-0F62B513B9E5}"/>
    <cellStyle name="Migliaia 14 3 2 2 4 5" xfId="53422" xr:uid="{845BA1D3-4177-4988-9BEC-7BD316EC6752}"/>
    <cellStyle name="Migliaia 14 3 2 2 4 6" xfId="10756" xr:uid="{481CA621-C63A-478B-92DC-B97B08147A1A}"/>
    <cellStyle name="Migliaia 14 3 2 2 5" xfId="19896" xr:uid="{6E54C4D9-F41A-430E-8A6E-2DB8D11D7E53}"/>
    <cellStyle name="Migliaia 14 3 2 2 6" xfId="24305" xr:uid="{18EDD79C-E717-4DC1-9323-EEE4E5D4A467}"/>
    <cellStyle name="Migliaia 14 3 2 2 7" xfId="8512" xr:uid="{FCAB6E4A-85EE-41A7-8D68-A52014D4059F}"/>
    <cellStyle name="Migliaia 14 3 2 3" xfId="4908" xr:uid="{B232A490-8FE6-420F-B286-0DD6248FEF86}"/>
    <cellStyle name="Migliaia 14 3 2 3 2" xfId="12229" xr:uid="{9631D86B-DB0A-4A58-8969-A12D21B85006}"/>
    <cellStyle name="Migliaia 14 3 2 3 2 2" xfId="38528" xr:uid="{0C353A9F-71C1-4367-AAFE-773592B983E7}"/>
    <cellStyle name="Migliaia 14 3 2 3 2 3" xfId="43830" xr:uid="{8B125071-DDB3-494B-8D3B-9795EEADF1AE}"/>
    <cellStyle name="Migliaia 14 3 2 3 2 4" xfId="33155" xr:uid="{A13E61A6-19CA-4FAC-A874-D4187B8788C8}"/>
    <cellStyle name="Migliaia 14 3 2 3 3" xfId="11904" xr:uid="{90C262F6-124A-4992-8EE4-6412C7E78C80}"/>
    <cellStyle name="Migliaia 14 3 2 3 4" xfId="19897" xr:uid="{23E6B408-F54B-46D1-AD0A-A22285BC8124}"/>
    <cellStyle name="Migliaia 14 3 2 3 4 2" xfId="41179" xr:uid="{051FC932-8766-4086-ACAE-3829056C5EB2}"/>
    <cellStyle name="Migliaia 14 3 2 3 5" xfId="16078" xr:uid="{36D3AF57-3608-4EDD-93FB-3698B4367CE3}"/>
    <cellStyle name="Migliaia 14 3 2 3 6" xfId="7842" xr:uid="{393C3883-3C3D-4FE8-810A-B6291E8D40F4}"/>
    <cellStyle name="Migliaia 14 3 2 4" xfId="6127" xr:uid="{39C6231B-DA26-4A21-B036-C02DB5C2B50C}"/>
    <cellStyle name="Migliaia 14 3 2 4 2" xfId="18062" xr:uid="{C34D441C-5812-40BD-BCFD-B98B474B437C}"/>
    <cellStyle name="Migliaia 14 3 2 4 2 2" xfId="38529" xr:uid="{59BB7ABF-30FA-4AC3-9467-15637B92D1A0}"/>
    <cellStyle name="Migliaia 14 3 2 4 2 3" xfId="43831" xr:uid="{420702B3-8DD4-476E-A531-5CBD2F5640A6}"/>
    <cellStyle name="Migliaia 14 3 2 4 3" xfId="36049" xr:uid="{76AD4847-2435-4F42-BD9B-AAA6531A845F}"/>
    <cellStyle name="Migliaia 14 3 2 4 4" xfId="41180" xr:uid="{C7C98953-1CEB-42A6-9CA6-729C31B418D3}"/>
    <cellStyle name="Migliaia 14 3 2 4 5" xfId="17146" xr:uid="{EBC447C4-539B-4BCD-81CC-762C44C4C9CA}"/>
    <cellStyle name="Migliaia 14 3 2 4 6" xfId="11256" xr:uid="{42699003-3C2A-4188-8142-CEBEC766AD48}"/>
    <cellStyle name="Migliaia 14 3 2 5" xfId="3182" xr:uid="{6D45E44A-773D-49DB-9840-317B2F7A8008}"/>
    <cellStyle name="Migliaia 14 3 2 5 2" xfId="33156" xr:uid="{B9637F82-6EE0-4621-837C-E0F196C9A393}"/>
    <cellStyle name="Migliaia 14 3 2 5 2 2" xfId="38530" xr:uid="{3DD8EA34-0584-483F-96F5-688AF1BF7DE5}"/>
    <cellStyle name="Migliaia 14 3 2 5 2 3" xfId="43832" xr:uid="{B5D1CF3C-0FDD-4DDF-9523-D697934AB166}"/>
    <cellStyle name="Migliaia 14 3 2 5 3" xfId="36050" xr:uid="{7B25D02E-F2EF-4306-80F4-964E18F4BAED}"/>
    <cellStyle name="Migliaia 14 3 2 5 4" xfId="41181" xr:uid="{3A44DED8-098C-4730-A498-2617A1F6A7D4}"/>
    <cellStyle name="Migliaia 14 3 2 5 5" xfId="17411" xr:uid="{76F949D4-7ABC-43E3-96C9-93197C996827}"/>
    <cellStyle name="Migliaia 14 3 2 6" xfId="19895" xr:uid="{D7F6CBED-CCEF-4AFC-97EA-3BB281D8F9F4}"/>
    <cellStyle name="Migliaia 14 3 2 6 2" xfId="33157" xr:uid="{6D2298B3-F96D-4833-8FFB-A6B94443581F}"/>
    <cellStyle name="Migliaia 14 3 2 6 2 2" xfId="38531" xr:uid="{FDAB7E14-42FF-4CF7-AF7F-E2674775459F}"/>
    <cellStyle name="Migliaia 14 3 2 6 2 3" xfId="43833" xr:uid="{247A7D39-2E94-4400-A1DA-82381C6239CC}"/>
    <cellStyle name="Migliaia 14 3 2 6 3" xfId="36051" xr:uid="{0369604B-4637-4618-B4A7-DBE4E287255B}"/>
    <cellStyle name="Migliaia 14 3 2 6 4" xfId="41182" xr:uid="{0678942B-4EC1-4E5F-8297-B8E45E4D915E}"/>
    <cellStyle name="Migliaia 14 3 2 6 5" xfId="24306" xr:uid="{C26446E8-BC5B-4B19-8DF4-48D926804253}"/>
    <cellStyle name="Migliaia 14 3 2 7" xfId="24304" xr:uid="{3073E27F-1D88-4971-8BD4-F66A3D312FBB}"/>
    <cellStyle name="Migliaia 14 3 2 8" xfId="7322" xr:uid="{FD2CB1D8-FB23-4070-8C0B-DBDDADFCF949}"/>
    <cellStyle name="Migliaia 14 3 3" xfId="3184" xr:uid="{77B6B7C9-BEE3-4219-9908-79E01EEC9A5E}"/>
    <cellStyle name="Migliaia 14 3 3 10" xfId="7321" xr:uid="{FA332ECA-DE23-4C7B-834E-908D2150B1B2}"/>
    <cellStyle name="Migliaia 14 3 3 2" xfId="4910" xr:uid="{339D99ED-FA04-4698-9C93-F6AFE701BD66}"/>
    <cellStyle name="Migliaia 14 3 3 2 2" xfId="9892" xr:uid="{587DC493-344C-4124-B1EE-BD32D41511EF}"/>
    <cellStyle name="Migliaia 14 3 3 2 2 2" xfId="38533" xr:uid="{E4CB58DC-79F9-4516-BD88-5EDC8D00AC5C}"/>
    <cellStyle name="Migliaia 14 3 3 2 2 3" xfId="43835" xr:uid="{EFED0053-7707-49E5-BD18-3EE82DA74B4A}"/>
    <cellStyle name="Migliaia 14 3 3 2 3" xfId="18172" xr:uid="{7E0F3060-4AD8-4204-86E9-33D4F5A2BF83}"/>
    <cellStyle name="Migliaia 14 3 3 2 4" xfId="19899" xr:uid="{70EAA542-2F49-4135-AF5F-503F243F3E3A}"/>
    <cellStyle name="Migliaia 14 3 3 2 4 2" xfId="41184" xr:uid="{C8856DF2-DE56-477F-872F-5269E2D2315C}"/>
    <cellStyle name="Migliaia 14 3 3 2 5" xfId="16080" xr:uid="{2C65882F-58CE-4F94-AC22-DC04C2EC1DCD}"/>
    <cellStyle name="Migliaia 14 3 3 2 6" xfId="8511" xr:uid="{CE32ACB1-3EB5-4341-B9AF-A9DCE93788FA}"/>
    <cellStyle name="Migliaia 14 3 3 3" xfId="6129" xr:uid="{537EF845-9A4C-4164-A1AB-E22DA3A22BAB}"/>
    <cellStyle name="Migliaia 14 3 3 3 2" xfId="33159" xr:uid="{6BD2C782-177A-4B31-A175-E04B9A3B9C79}"/>
    <cellStyle name="Migliaia 14 3 3 3 2 2" xfId="38534" xr:uid="{452A7293-2610-415E-BBA5-19F35A3C632E}"/>
    <cellStyle name="Migliaia 14 3 3 3 2 3" xfId="43836" xr:uid="{E92BB78A-A4C7-47D1-80F0-9D8D86A4DF47}"/>
    <cellStyle name="Migliaia 14 3 3 3 3" xfId="36053" xr:uid="{3D564776-4873-460E-BD50-18EBAAC59A68}"/>
    <cellStyle name="Migliaia 14 3 3 3 4" xfId="41185" xr:uid="{1D8259A2-528E-44E3-BC86-3EDAEE399D6D}"/>
    <cellStyle name="Migliaia 14 3 3 3 5" xfId="9655" xr:uid="{9E655186-3CB7-4583-AE39-1C897B184717}"/>
    <cellStyle name="Migliaia 14 3 3 4" xfId="19898" xr:uid="{DBCF3341-2705-45A6-8042-FA8A4B6EF773}"/>
    <cellStyle name="Migliaia 14 3 3 4 2" xfId="33160" xr:uid="{E6D2BBC2-E76A-4191-A957-423093CCBCCE}"/>
    <cellStyle name="Migliaia 14 3 3 4 2 2" xfId="38535" xr:uid="{FC117751-711A-4ABC-8A4C-84F89A0E4DF9}"/>
    <cellStyle name="Migliaia 14 3 3 4 2 3" xfId="43837" xr:uid="{651BA3B7-F7A2-4A03-8F1F-55132F9A40F7}"/>
    <cellStyle name="Migliaia 14 3 3 4 3" xfId="36054" xr:uid="{480794EB-B3CA-4F48-9458-D83902B5B588}"/>
    <cellStyle name="Migliaia 14 3 3 4 4" xfId="41186" xr:uid="{C76E9435-8D56-4175-AB8E-9FF108E02C0B}"/>
    <cellStyle name="Migliaia 14 3 3 4 5" xfId="24307" xr:uid="{3717FECF-7419-4249-BDFA-7C4949136229}"/>
    <cellStyle name="Migliaia 14 3 3 5" xfId="24308" xr:uid="{C44713CE-D2BB-4A7F-A15A-42BB17B77EE9}"/>
    <cellStyle name="Migliaia 14 3 3 5 2" xfId="33161" xr:uid="{3AD90E83-45DC-49A4-BC53-E307C7D17C84}"/>
    <cellStyle name="Migliaia 14 3 3 5 2 2" xfId="38536" xr:uid="{88DF9220-7A09-4DA3-8B16-3EAC43347424}"/>
    <cellStyle name="Migliaia 14 3 3 5 2 3" xfId="43838" xr:uid="{9C029CB2-FA4D-4A60-8059-233EB6DC365D}"/>
    <cellStyle name="Migliaia 14 3 3 5 3" xfId="36055" xr:uid="{22E54C94-EBDC-4A33-A481-3EACCFB38345}"/>
    <cellStyle name="Migliaia 14 3 3 5 4" xfId="41187" xr:uid="{A363EA79-30F9-4886-B1A9-2238E07B8587}"/>
    <cellStyle name="Migliaia 14 3 3 6" xfId="33158" xr:uid="{2E3A7C85-084A-4AB8-AE14-57CAA78C0B59}"/>
    <cellStyle name="Migliaia 14 3 3 6 2" xfId="38532" xr:uid="{574E574A-3ABF-4423-8C9E-F7A6D4A9E803}"/>
    <cellStyle name="Migliaia 14 3 3 6 3" xfId="43834" xr:uid="{A60C0015-96AB-46DF-BD3B-C730EE3C6F87}"/>
    <cellStyle name="Migliaia 14 3 3 7" xfId="36052" xr:uid="{6688C23E-CE50-4731-B2F1-0B09A5A01C7D}"/>
    <cellStyle name="Migliaia 14 3 3 8" xfId="41183" xr:uid="{10E156EF-0DB7-45F9-84E5-1BCE52AF1752}"/>
    <cellStyle name="Migliaia 14 3 3 9" xfId="16079" xr:uid="{BB3D3A44-D38C-4B86-9A6B-55081F602EE7}"/>
    <cellStyle name="Migliaia 14 3 4" xfId="3185" xr:uid="{A1EA2DB7-F7D2-4E69-A1E3-C4E9B0E70487}"/>
    <cellStyle name="Migliaia 14 3 4 2" xfId="4911" xr:uid="{9DB0BA99-6A06-41B5-87EE-FF0581E1AD4A}"/>
    <cellStyle name="Migliaia 14 3 4 2 2" xfId="14428" xr:uid="{DFB52A4B-79D4-421E-B208-3EE984846675}"/>
    <cellStyle name="Migliaia 14 3 4 2 3" xfId="18590" xr:uid="{1DC66BA3-68FE-415B-96A1-DB0F26D1D895}"/>
    <cellStyle name="Migliaia 14 3 4 2 4" xfId="19901" xr:uid="{3CE5CD89-6C71-437B-B0D0-61888BBD8F3A}"/>
    <cellStyle name="Migliaia 14 3 4 2 5" xfId="32308" xr:uid="{79FF99F2-EF60-4F5C-9AF8-5006B2477015}"/>
    <cellStyle name="Migliaia 14 3 4 2 6" xfId="16082" xr:uid="{EB8CD7E3-6FAC-411A-94C8-7BD71EBCBDB4}"/>
    <cellStyle name="Migliaia 14 3 4 2 7" xfId="8851" xr:uid="{EC80AF0C-CD31-481E-9D60-649518A0B3C8}"/>
    <cellStyle name="Migliaia 14 3 4 3" xfId="6130" xr:uid="{F2793EA7-0D19-41B5-B2C8-CEBC7078C830}"/>
    <cellStyle name="Migliaia 14 3 4 3 2" xfId="35158" xr:uid="{9583A157-10CD-47D5-9699-8A583F1C1392}"/>
    <cellStyle name="Migliaia 14 3 4 3 2 2" xfId="40316" xr:uid="{45203ABE-A586-4D72-ABAC-C5630AD01C9E}"/>
    <cellStyle name="Migliaia 14 3 4 3 2 3" xfId="45618" xr:uid="{F9255F09-FA4E-4092-A858-2E3DB350C3AC}"/>
    <cellStyle name="Migliaia 14 3 4 3 3" xfId="37665" xr:uid="{2C672F2C-5C47-4B39-BC55-0AB1BD715A26}"/>
    <cellStyle name="Migliaia 14 3 4 3 4" xfId="42967" xr:uid="{D9AB312D-6385-4874-91BA-0360BBC0A08B}"/>
    <cellStyle name="Migliaia 14 3 4 3 5" xfId="13676" xr:uid="{1BEC15A8-E0D3-42A2-AA2F-25975BDB41AC}"/>
    <cellStyle name="Migliaia 14 3 4 4" xfId="19900" xr:uid="{87095BB7-AE7A-4AC7-8618-986AAB4EB90B}"/>
    <cellStyle name="Migliaia 14 3 4 4 2" xfId="38537" xr:uid="{ED0F0894-D8AE-4A0F-A922-1F21848A235B}"/>
    <cellStyle name="Migliaia 14 3 4 4 3" xfId="43839" xr:uid="{0A77125C-F34B-4925-BBDB-BC18E7E96427}"/>
    <cellStyle name="Migliaia 14 3 4 4 4" xfId="33162" xr:uid="{2992360E-AB4C-4401-8F84-7CBC91CE112F}"/>
    <cellStyle name="Migliaia 14 3 4 5" xfId="36056" xr:uid="{2E307412-7358-436F-9ADB-F7129F0D50E3}"/>
    <cellStyle name="Migliaia 14 3 4 6" xfId="41188" xr:uid="{230BEC15-61E2-4844-BCC8-549EFB4667FE}"/>
    <cellStyle name="Migliaia 14 3 4 7" xfId="16081" xr:uid="{4DD9A0F3-DE3E-4B02-A0AF-766D850E9158}"/>
    <cellStyle name="Migliaia 14 3 4 8" xfId="7661" xr:uid="{C32E770C-8456-478F-B0C4-7F1CD1CE7C60}"/>
    <cellStyle name="Migliaia 14 3 5" xfId="3186" xr:uid="{45BB84BB-5639-4FF8-A183-C59773CCAD04}"/>
    <cellStyle name="Migliaia 14 3 5 2" xfId="4912" xr:uid="{6A4A9AA9-46A7-4B3F-A8C0-22FD0377A141}"/>
    <cellStyle name="Migliaia 14 3 5 2 2" xfId="35159" xr:uid="{734B478F-FAAE-4A6D-AB78-AF15A013B6CF}"/>
    <cellStyle name="Migliaia 14 3 5 2 2 2" xfId="40317" xr:uid="{15FD9506-0B53-4D75-BAD7-7CD74C134D44}"/>
    <cellStyle name="Migliaia 14 3 5 2 2 3" xfId="45619" xr:uid="{79489D8A-7768-4B2E-BA34-745ECF3D0A6F}"/>
    <cellStyle name="Migliaia 14 3 5 2 3" xfId="37666" xr:uid="{40DA44B5-F2B8-44CD-8AD5-5A8D697FCEEB}"/>
    <cellStyle name="Migliaia 14 3 5 2 4" xfId="42968" xr:uid="{AA9B2593-3402-476B-8BE6-1C9052D363ED}"/>
    <cellStyle name="Migliaia 14 3 5 2 5" xfId="14195" xr:uid="{B1E0D2D8-AD1E-45BC-87A4-2D60EB2A7DB1}"/>
    <cellStyle name="Migliaia 14 3 5 3" xfId="6131" xr:uid="{99C11310-EE17-4A91-8C4B-96692250718C}"/>
    <cellStyle name="Migliaia 14 3 5 3 2" xfId="38538" xr:uid="{314EAED1-319C-4E71-A315-488100612951}"/>
    <cellStyle name="Migliaia 14 3 5 3 3" xfId="43840" xr:uid="{C0D1BB47-795D-4C6E-BFC8-77000989D3CB}"/>
    <cellStyle name="Migliaia 14 3 5 3 4" xfId="33163" xr:uid="{B45A5D82-969E-4CBD-B374-343A7EE5DCDB}"/>
    <cellStyle name="Migliaia 14 3 5 3 5" xfId="19902" xr:uid="{139B61D3-5DBB-452B-9FB1-A993D96E58E8}"/>
    <cellStyle name="Migliaia 14 3 5 4" xfId="36057" xr:uid="{6700DDD3-5D31-4BAA-8061-BE7149DDEBEF}"/>
    <cellStyle name="Migliaia 14 3 5 5" xfId="41189" xr:uid="{A49DB6D4-F9E7-460C-A62F-C396CA90C224}"/>
    <cellStyle name="Migliaia 14 3 5 6" xfId="16083" xr:uid="{1808A08F-4AED-43EF-BCCF-3CD38FD34504}"/>
    <cellStyle name="Migliaia 14 3 5 7" xfId="8257" xr:uid="{FDB96DC4-8E80-4D4C-AA6B-DADDB8257F70}"/>
    <cellStyle name="Migliaia 14 3 6" xfId="4907" xr:uid="{C9EE868E-C7D0-43EC-9439-13FF0AFEFCFE}"/>
    <cellStyle name="Migliaia 14 3 6 2" xfId="13898" xr:uid="{0E047370-C71D-4FE4-B845-1DB669AF2AE9}"/>
    <cellStyle name="Migliaia 14 3 6 2 2" xfId="38539" xr:uid="{24989A41-780C-43FF-B176-B146D611F711}"/>
    <cellStyle name="Migliaia 14 3 6 2 3" xfId="43841" xr:uid="{A8C68BD0-6A07-436B-ACD3-07230F44D937}"/>
    <cellStyle name="Migliaia 14 3 6 3" xfId="18724" xr:uid="{400511DF-CA84-43C0-861F-6EE414128397}"/>
    <cellStyle name="Migliaia 14 3 6 4" xfId="19903" xr:uid="{9D0D3DAC-9DF6-4F2E-AC8F-38CA6967F12A}"/>
    <cellStyle name="Migliaia 14 3 6 4 2" xfId="41190" xr:uid="{C30170C7-509C-409A-B6CD-E828A21F9878}"/>
    <cellStyle name="Migliaia 14 3 6 5" xfId="16084" xr:uid="{0DDBA85D-4950-4C28-AA42-25868A12CF57}"/>
    <cellStyle name="Migliaia 14 3 6 6" xfId="7841" xr:uid="{3FC9C6B4-68F1-4319-A722-1503B797D9B5}"/>
    <cellStyle name="Migliaia 14 3 7" xfId="6126" xr:uid="{17DF4EE6-88E2-48FB-B2A3-BBC49217EFAC}"/>
    <cellStyle name="Migliaia 14 3 7 2" xfId="33164" xr:uid="{AA0133B9-ACD5-4BB9-ABE9-CB0EA7B223B0}"/>
    <cellStyle name="Migliaia 14 3 7 2 2" xfId="38540" xr:uid="{F41AE793-46A8-4164-9E60-76E22D8688E5}"/>
    <cellStyle name="Migliaia 14 3 7 2 3" xfId="43842" xr:uid="{3E6F5B3D-99A6-49B8-AAFF-D16781CD3C1B}"/>
    <cellStyle name="Migliaia 14 3 7 3" xfId="36059" xr:uid="{3C2F6237-1ADE-4D88-838E-95AB22DE5F22}"/>
    <cellStyle name="Migliaia 14 3 7 4" xfId="41191" xr:uid="{8149C89B-E7FF-431D-9741-5D4F27F87332}"/>
    <cellStyle name="Migliaia 14 3 7 5" xfId="11222" xr:uid="{F8E240BF-37C9-4F7E-A9D0-46B408D72649}"/>
    <cellStyle name="Migliaia 14 3 8" xfId="3181" xr:uid="{6BE41C24-B8C9-445C-878A-E46708774162}"/>
    <cellStyle name="Migliaia 14 3 8 2" xfId="33165" xr:uid="{E5588EBE-0F92-4037-978B-A08578EF87D6}"/>
    <cellStyle name="Migliaia 14 3 8 2 2" xfId="38541" xr:uid="{7908F303-6EA5-46DE-A501-C630CE5E2968}"/>
    <cellStyle name="Migliaia 14 3 8 2 3" xfId="43843" xr:uid="{6BE97FAA-D0AA-49C5-BBF3-0ADB57F28AE6}"/>
    <cellStyle name="Migliaia 14 3 8 3" xfId="36060" xr:uid="{F51A75B7-E6FD-4304-8219-7CCF9F7622F8}"/>
    <cellStyle name="Migliaia 14 3 8 4" xfId="41192" xr:uid="{15605105-CEB5-4B1B-8FC4-CCDA6D4BE1EC}"/>
    <cellStyle name="Migliaia 14 3 8 5" xfId="24310" xr:uid="{05839B43-0693-458E-9228-5E42759D4D48}"/>
    <cellStyle name="Migliaia 14 3 8 6" xfId="17412" xr:uid="{31E6400B-65A0-43D3-B240-61FD8C45C119}"/>
    <cellStyle name="Migliaia 14 3 9" xfId="19894" xr:uid="{FE9F0DBB-3286-4DA1-B06E-A527148BCF74}"/>
    <cellStyle name="Migliaia 14 4" xfId="1680" xr:uid="{00000000-0005-0000-0000-0000EB020000}"/>
    <cellStyle name="Migliaia 14 4 2" xfId="1681" xr:uid="{00000000-0005-0000-0000-0000EC020000}"/>
    <cellStyle name="Migliaia 14 4 2 2" xfId="4914" xr:uid="{5221FF7D-2A52-41F0-AE8B-10CBECCFF2EC}"/>
    <cellStyle name="Migliaia 14 4 2 2 2" xfId="33166" xr:uid="{C704FB6B-4D44-4005-A1D4-CDB5B481C518}"/>
    <cellStyle name="Migliaia 14 4 2 2 2 2" xfId="38542" xr:uid="{E16FD695-71F7-4870-B6CB-49D6495CA6BF}"/>
    <cellStyle name="Migliaia 14 4 2 2 2 3" xfId="43844" xr:uid="{7F2C7774-1DF0-418C-8194-D10637692481}"/>
    <cellStyle name="Migliaia 14 4 2 2 3" xfId="36061" xr:uid="{435B6F30-13A1-4428-8079-F1238F73F8C5}"/>
    <cellStyle name="Migliaia 14 4 2 2 4" xfId="41193" xr:uid="{01B51405-6D33-490C-8DBE-2A8FE8FDAA7A}"/>
    <cellStyle name="Migliaia 14 4 2 2 5" xfId="9118" xr:uid="{3A9759FA-F3D9-443E-8B6A-7F3814EA5D3A}"/>
    <cellStyle name="Migliaia 14 4 2 3" xfId="3188" xr:uid="{C54C62C7-FA7C-47A7-B735-283770C5007E}"/>
    <cellStyle name="Migliaia 14 4 2 3 2" xfId="33167" xr:uid="{6FFCF5CA-CF45-4954-B5E6-53E05705D5C5}"/>
    <cellStyle name="Migliaia 14 4 2 3 2 2" xfId="38543" xr:uid="{844C308F-E676-4295-807A-E8CB8BA8E960}"/>
    <cellStyle name="Migliaia 14 4 2 3 2 3" xfId="43845" xr:uid="{BB6CF709-512C-43FE-81FF-7B57AE083B5C}"/>
    <cellStyle name="Migliaia 14 4 2 3 3" xfId="36062" xr:uid="{7567DBC5-1221-416C-AED1-9EC43AEA80DE}"/>
    <cellStyle name="Migliaia 14 4 2 3 4" xfId="41194" xr:uid="{ED3998BD-2AC8-4C10-9492-51A86EFC513A}"/>
    <cellStyle name="Migliaia 14 4 2 3 5" xfId="11905" xr:uid="{E202E015-00DB-4566-B194-A370D272CD0D}"/>
    <cellStyle name="Migliaia 14 4 2 4" xfId="11258" xr:uid="{83BA6371-BE5B-456F-BA81-FBEDD4E54662}"/>
    <cellStyle name="Migliaia 14 4 2 5" xfId="10758" xr:uid="{97214CF5-BFFE-4B54-A873-0820CEE6184F}"/>
    <cellStyle name="Migliaia 14 4 2 5 2" xfId="21393" xr:uid="{0BE20979-43C7-4702-B186-550DCDA52703}"/>
    <cellStyle name="Migliaia 14 4 2 5 3" xfId="46209" xr:uid="{AE1D45B8-9A22-417E-AC28-7EEDE6D8637F}"/>
    <cellStyle name="Migliaia 14 4 2 5 4" xfId="50408" xr:uid="{D69CE45E-8F16-41C6-AB94-9B061C23E406}"/>
    <cellStyle name="Migliaia 14 4 2 5 5" xfId="53424" xr:uid="{43D40255-7BD9-4321-B429-DF4DDC275D75}"/>
    <cellStyle name="Migliaia 14 4 2 6" xfId="19905" xr:uid="{E1DF71DB-7B9C-4CD5-B1C3-5FD54D7A9E4F}"/>
    <cellStyle name="Migliaia 14 4 2 7" xfId="24312" xr:uid="{65BE748B-B680-4C1F-9516-6FCDA8891358}"/>
    <cellStyle name="Migliaia 14 4 2 8" xfId="8513" xr:uid="{F50C578F-AF3F-4866-8BFB-391A768AA1DC}"/>
    <cellStyle name="Migliaia 14 4 3" xfId="4913" xr:uid="{918A0472-B2C7-4907-891C-E492A19C61BB}"/>
    <cellStyle name="Migliaia 14 4 3 2" xfId="18173" xr:uid="{1A01C0F3-16BC-4D5F-84DE-A56E997B3479}"/>
    <cellStyle name="Migliaia 14 4 3 2 2" xfId="38544" xr:uid="{5CB8E730-6635-4394-ADEF-7091503EE53E}"/>
    <cellStyle name="Migliaia 14 4 3 2 3" xfId="43846" xr:uid="{89DF4FB0-A96D-493F-AB52-D794D81ECD61}"/>
    <cellStyle name="Migliaia 14 4 3 3" xfId="36063" xr:uid="{1E59D8F0-F2B2-4948-85C6-7FE025079D46}"/>
    <cellStyle name="Migliaia 14 4 3 4" xfId="41195" xr:uid="{F113262A-34BE-414A-B596-611E33791E7B}"/>
    <cellStyle name="Migliaia 14 4 3 5" xfId="17410" xr:uid="{B9512EBD-8148-4CF4-AEC1-7C9559B0D807}"/>
    <cellStyle name="Migliaia 14 4 3 6" xfId="9119" xr:uid="{8A5991F9-3F66-4BDA-B231-774D92BF8AE1}"/>
    <cellStyle name="Migliaia 14 4 4" xfId="6132" xr:uid="{820D8213-5592-4CFF-982D-9851E2FD878D}"/>
    <cellStyle name="Migliaia 14 4 4 2" xfId="33169" xr:uid="{548EE332-CB17-47D5-91AD-6FC58EBD6780}"/>
    <cellStyle name="Migliaia 14 4 4 2 2" xfId="38545" xr:uid="{3ED5EECA-DDBD-4A19-B2C1-3043574DDA59}"/>
    <cellStyle name="Migliaia 14 4 4 2 3" xfId="43847" xr:uid="{69552277-121A-4B21-8FBF-0B195DA1F5A2}"/>
    <cellStyle name="Migliaia 14 4 4 3" xfId="36064" xr:uid="{638F3A29-3F43-4252-A1AA-A0B3C7D1990A}"/>
    <cellStyle name="Migliaia 14 4 4 4" xfId="41196" xr:uid="{6160DB15-A213-4051-B4E6-D2DD2D395D13}"/>
    <cellStyle name="Migliaia 14 4 4 5" xfId="11906" xr:uid="{94CC2C6A-D0E3-409D-A262-A424745E6FB7}"/>
    <cellStyle name="Migliaia 14 4 5" xfId="3187" xr:uid="{BC286E36-6ADB-44AB-ACF3-BDB94DD408AD}"/>
    <cellStyle name="Migliaia 14 4 5 2" xfId="33170" xr:uid="{23DFE0CB-6D0A-4B23-B89E-7A819D9A5FAB}"/>
    <cellStyle name="Migliaia 14 4 5 2 2" xfId="38546" xr:uid="{84432882-82A8-49E7-B6CE-876D06DFD05A}"/>
    <cellStyle name="Migliaia 14 4 5 2 3" xfId="43848" xr:uid="{7F3BBC49-4995-41B4-B4E6-F0F4BEE78E17}"/>
    <cellStyle name="Migliaia 14 4 5 3" xfId="36065" xr:uid="{1C5F57EB-9D0A-415B-A95A-B066DA06C54D}"/>
    <cellStyle name="Migliaia 14 4 5 4" xfId="41197" xr:uid="{F6539369-384D-4777-869B-90F562C9EEBF}"/>
    <cellStyle name="Migliaia 14 4 5 5" xfId="11257" xr:uid="{3E2423AA-4F19-450D-94EB-E85B08938075}"/>
    <cellStyle name="Migliaia 14 4 6" xfId="10757" xr:uid="{13D001F7-533F-4052-89FA-080CE9973E2A}"/>
    <cellStyle name="Migliaia 14 4 6 2" xfId="21392" xr:uid="{4C13B776-52AB-4FC0-A8C7-87F4118CE5EB}"/>
    <cellStyle name="Migliaia 14 4 6 2 2" xfId="38547" xr:uid="{E59ABBC9-F6C2-46B1-B1F5-DFD5D4F17EB4}"/>
    <cellStyle name="Migliaia 14 4 6 2 3" xfId="43849" xr:uid="{09A7900C-15ED-400C-AAE1-08C15CC03702}"/>
    <cellStyle name="Migliaia 14 4 6 2 4" xfId="33171" xr:uid="{6476E19B-A2A3-4934-8863-28D84F49324F}"/>
    <cellStyle name="Migliaia 14 4 6 3" xfId="36066" xr:uid="{2C9C94C9-7C98-4E6F-8EED-DA3D2C88FEB0}"/>
    <cellStyle name="Migliaia 14 4 6 4" xfId="41198" xr:uid="{AF028236-4B5D-4625-96A9-E9E3AB24C063}"/>
    <cellStyle name="Migliaia 14 4 6 5" xfId="24317" xr:uid="{31C01CDC-B91C-4CFB-B359-E7046E5B665E}"/>
    <cellStyle name="Migliaia 14 4 6 6" xfId="46208" xr:uid="{D578CE96-B7DA-408F-A9D5-1B80B8F2A0D2}"/>
    <cellStyle name="Migliaia 14 4 6 7" xfId="50407" xr:uid="{8AAFA9B6-F204-4059-A9D0-7D761B2A689F}"/>
    <cellStyle name="Migliaia 14 4 6 8" xfId="53423" xr:uid="{5E4530AF-2BE5-46E3-833A-E83BED27882D}"/>
    <cellStyle name="Migliaia 14 4 7" xfId="19904" xr:uid="{C30689F5-5A26-4CFE-8F85-F6DAEABC167D}"/>
    <cellStyle name="Migliaia 14 4 7 2" xfId="33172" xr:uid="{51DA1C08-73FC-4695-9A3B-4DCB93F2D66A}"/>
    <cellStyle name="Migliaia 14 4 7 2 2" xfId="38548" xr:uid="{94720733-CC76-4467-BFF1-16C0A5ED3A69}"/>
    <cellStyle name="Migliaia 14 4 7 2 3" xfId="43850" xr:uid="{DB2EC6B0-230D-4295-9FAA-FE086441EDA2}"/>
    <cellStyle name="Migliaia 14 4 7 3" xfId="36067" xr:uid="{56501EC8-0857-4905-9D3B-93080C53507B}"/>
    <cellStyle name="Migliaia 14 4 7 4" xfId="41199" xr:uid="{1759DA51-E062-4060-8F96-A85F1ED11F35}"/>
    <cellStyle name="Migliaia 14 4 7 5" xfId="24318" xr:uid="{2C52EE2C-B77A-4B99-BA92-01327501B22D}"/>
    <cellStyle name="Migliaia 14 4 8" xfId="24311" xr:uid="{EDE59271-68B3-4CCF-A68D-492361390C36}"/>
    <cellStyle name="Migliaia 14 4 9" xfId="7323" xr:uid="{4F0140F9-9981-41C8-9259-85FF4DA3679A}"/>
    <cellStyle name="Migliaia 14 5" xfId="1682" xr:uid="{00000000-0005-0000-0000-0000ED020000}"/>
    <cellStyle name="Migliaia 14 5 2" xfId="4915" xr:uid="{482ABD40-BBF9-46F6-8409-5A5630DB9417}"/>
    <cellStyle name="Migliaia 14 5 2 2" xfId="18374" xr:uid="{ABE91369-3A22-4FE6-8733-2EAAF987EDB4}"/>
    <cellStyle name="Migliaia 14 5 2 2 2" xfId="38549" xr:uid="{9D17CF5F-13DE-4EB0-8888-5FB2297E0584}"/>
    <cellStyle name="Migliaia 14 5 2 2 3" xfId="43851" xr:uid="{AFFDE406-FC32-48C6-98AC-2CBAB1C005DD}"/>
    <cellStyle name="Migliaia 14 5 2 3" xfId="19907" xr:uid="{298F394A-D808-43FE-BFF4-A1B7DCED90F2}"/>
    <cellStyle name="Migliaia 14 5 2 3 2" xfId="36068" xr:uid="{B0193DB0-7C52-4915-A1A6-D1AD06143203}"/>
    <cellStyle name="Migliaia 14 5 2 4" xfId="41200" xr:uid="{51A8ABCC-50B6-48FE-A09C-6E7E0F7B2C90}"/>
    <cellStyle name="Migliaia 14 5 2 5" xfId="16085" xr:uid="{7AD4DEAA-037B-4817-9ADB-F4CBD3169358}"/>
    <cellStyle name="Migliaia 14 5 2 6" xfId="8514" xr:uid="{5382C5CF-7954-4E1A-A123-645B8A2D0BCD}"/>
    <cellStyle name="Migliaia 14 5 3" xfId="6133" xr:uid="{067A04A7-0942-47F2-87E4-D968C2557137}"/>
    <cellStyle name="Migliaia 14 5 3 2" xfId="33173" xr:uid="{7846DF79-6E29-404B-95C8-968154E0C8D9}"/>
    <cellStyle name="Migliaia 14 5 3 2 2" xfId="38550" xr:uid="{A707B04C-DC72-450B-9AA3-A38114DDD3C6}"/>
    <cellStyle name="Migliaia 14 5 3 2 3" xfId="43852" xr:uid="{150F9117-6D81-49A6-A1F0-E0B230B5DD9A}"/>
    <cellStyle name="Migliaia 14 5 3 3" xfId="36069" xr:uid="{89CE4FBE-D0F7-4DBA-AA16-CABAA66E54C0}"/>
    <cellStyle name="Migliaia 14 5 3 4" xfId="41201" xr:uid="{110DA762-B507-4834-94DB-AC981413EDA9}"/>
    <cellStyle name="Migliaia 14 5 3 5" xfId="11259" xr:uid="{C7A9032A-E1B7-4EDE-A84E-126A87A30DD7}"/>
    <cellStyle name="Migliaia 14 5 4" xfId="3189" xr:uid="{EAF6DF6C-09F4-464E-AE15-06C92F06EE35}"/>
    <cellStyle name="Migliaia 14 5 4 2" xfId="21394" xr:uid="{266C1A7D-0C26-4867-9CA7-BDB8FEB3EF1D}"/>
    <cellStyle name="Migliaia 14 5 4 2 2" xfId="38551" xr:uid="{06385F11-350F-4D6B-A4F9-B5ABD0EB6F7C}"/>
    <cellStyle name="Migliaia 14 5 4 2 3" xfId="43853" xr:uid="{3BE60867-6C5A-4D3C-BEA1-6ABCD3147E46}"/>
    <cellStyle name="Migliaia 14 5 4 2 4" xfId="33174" xr:uid="{BB3F4199-7E76-4CD9-AF0A-68FE164B6106}"/>
    <cellStyle name="Migliaia 14 5 4 3" xfId="36070" xr:uid="{51165706-6B89-4E9F-8179-78AB24BFE68F}"/>
    <cellStyle name="Migliaia 14 5 4 4" xfId="41202" xr:uid="{342D0E3A-08E2-45FB-A6BB-2DA6CD451653}"/>
    <cellStyle name="Migliaia 14 5 4 5" xfId="24320" xr:uid="{44059D4D-04A5-49E7-9C63-E4A5A7C638AB}"/>
    <cellStyle name="Migliaia 14 5 4 6" xfId="47596" xr:uid="{E26BD476-4A4F-4B7A-AC33-560BA750A4DA}"/>
    <cellStyle name="Migliaia 14 5 4 7" xfId="50409" xr:uid="{29D2FBB3-CDA9-4452-AC38-A60BBA804E7C}"/>
    <cellStyle name="Migliaia 14 5 4 8" xfId="53425" xr:uid="{FCAAFA3E-F705-4BA5-BA06-8FB5F4DE78EA}"/>
    <cellStyle name="Migliaia 14 5 4 9" xfId="10759" xr:uid="{99BC7182-7F3B-4F05-885C-E5D5DCC7804A}"/>
    <cellStyle name="Migliaia 14 5 5" xfId="19906" xr:uid="{486B8BEA-F11B-4BBF-B784-E7E77F744896}"/>
    <cellStyle name="Migliaia 14 5 5 2" xfId="33175" xr:uid="{205CC15B-F12C-40AF-AC10-87248B83B077}"/>
    <cellStyle name="Migliaia 14 5 5 2 2" xfId="38552" xr:uid="{25194D83-80DC-4D0D-84AE-00A70CF0538D}"/>
    <cellStyle name="Migliaia 14 5 5 2 3" xfId="43854" xr:uid="{D9820F54-BA95-4B1B-A7DD-23C54AB5D453}"/>
    <cellStyle name="Migliaia 14 5 5 3" xfId="36071" xr:uid="{938D8CB8-303A-466A-A731-2287FD281D0A}"/>
    <cellStyle name="Migliaia 14 5 5 4" xfId="41203" xr:uid="{D8A12F15-92EF-4ACC-98CB-1F38308CA0DC}"/>
    <cellStyle name="Migliaia 14 5 5 5" xfId="24321" xr:uid="{45FE23E9-B485-4B87-96CE-D8A3CC65188E}"/>
    <cellStyle name="Migliaia 14 5 6" xfId="24322" xr:uid="{D1E31FEB-4E62-4EB9-99C9-4AD036773D3E}"/>
    <cellStyle name="Migliaia 14 5 6 2" xfId="33176" xr:uid="{2CF5C1D8-5F64-4C59-825F-E4243D2005D5}"/>
    <cellStyle name="Migliaia 14 5 6 2 2" xfId="38553" xr:uid="{09E23AD8-AE07-4677-953F-3746AF7839D0}"/>
    <cellStyle name="Migliaia 14 5 6 2 3" xfId="43855" xr:uid="{E330AA27-8139-4B05-A4D4-FA5FFBEE785F}"/>
    <cellStyle name="Migliaia 14 5 6 3" xfId="36072" xr:uid="{AB316B6B-3D7D-4DE1-8591-034E83C8E8F5}"/>
    <cellStyle name="Migliaia 14 5 6 4" xfId="41204" xr:uid="{A10BC7AF-3CFD-4712-BC0C-7F282DF8E785}"/>
    <cellStyle name="Migliaia 14 5 7" xfId="24319" xr:uid="{88CBA463-82AB-459D-9EED-D762C89A995A}"/>
    <cellStyle name="Migliaia 14 5 8" xfId="7324" xr:uid="{5CA77168-DEC3-41EE-82E3-705DE97F1C48}"/>
    <cellStyle name="Migliaia 14 6" xfId="3190" xr:uid="{5B7FA07A-DD4B-48EA-8CAE-35B92D471FB4}"/>
    <cellStyle name="Migliaia 14 6 2" xfId="4916" xr:uid="{E8054902-4583-4A77-805E-3D0CFC3FB816}"/>
    <cellStyle name="Migliaia 14 6 2 2" xfId="9891" xr:uid="{564B511C-8971-4280-9049-0285A200A4F0}"/>
    <cellStyle name="Migliaia 14 6 2 3" xfId="18675" xr:uid="{9EDFC359-4002-445A-8EB3-1BA98237E902}"/>
    <cellStyle name="Migliaia 14 6 2 4" xfId="19909" xr:uid="{B2D64AC8-680B-42E3-AFD3-DBDBCC6194D0}"/>
    <cellStyle name="Migliaia 14 6 2 5" xfId="32309" xr:uid="{1CEC483F-87A5-4AD7-87AA-52C6921F4575}"/>
    <cellStyle name="Migliaia 14 6 2 6" xfId="16087" xr:uid="{760B41B5-8C85-4379-AB17-E9F5ED9AA4A7}"/>
    <cellStyle name="Migliaia 14 6 2 7" xfId="8509" xr:uid="{9FCF0930-296C-4BE8-BC15-693C5E8156EC}"/>
    <cellStyle name="Migliaia 14 6 3" xfId="6134" xr:uid="{A9BB2211-B30D-42E8-AAE1-3CDA90774B32}"/>
    <cellStyle name="Migliaia 14 6 3 2" xfId="35160" xr:uid="{39B12B02-B26C-4F10-ACAE-03C79B99AE48}"/>
    <cellStyle name="Migliaia 14 6 3 2 2" xfId="40318" xr:uid="{B50A9FCF-416D-44D1-B9B7-C9B0E317148F}"/>
    <cellStyle name="Migliaia 14 6 3 2 3" xfId="45620" xr:uid="{D3B1625E-4860-4699-86D1-CF8E15B878D4}"/>
    <cellStyle name="Migliaia 14 6 3 3" xfId="37667" xr:uid="{DBB7F981-5D93-45E5-9466-8BEBE7962DDF}"/>
    <cellStyle name="Migliaia 14 6 3 4" xfId="42969" xr:uid="{466F168B-218E-4E34-9541-E2B43B5B4066}"/>
    <cellStyle name="Migliaia 14 6 3 5" xfId="9654" xr:uid="{FAC0C2FF-75D0-4E4F-8961-A4BFD7C7E4CD}"/>
    <cellStyle name="Migliaia 14 6 4" xfId="19908" xr:uid="{91FF11CB-6A53-4A21-9DF0-242C79B56B90}"/>
    <cellStyle name="Migliaia 14 6 4 2" xfId="38554" xr:uid="{8F10A1A7-242F-4518-ACBA-5D7695198679}"/>
    <cellStyle name="Migliaia 14 6 4 3" xfId="43856" xr:uid="{25A4AEFB-C135-4E27-A3D3-0C196471F652}"/>
    <cellStyle name="Migliaia 14 6 4 4" xfId="33177" xr:uid="{2CB052FB-08BE-4144-BA60-D9F9136A8337}"/>
    <cellStyle name="Migliaia 14 6 5" xfId="36073" xr:uid="{94E336ED-45DB-4324-ACB5-33EC83087EBC}"/>
    <cellStyle name="Migliaia 14 6 6" xfId="41205" xr:uid="{A4C7B944-6F03-46F5-A3D7-B1370B9C061B}"/>
    <cellStyle name="Migliaia 14 6 7" xfId="16086" xr:uid="{A63FCDB5-ED33-489B-BC8F-CD4AB98B478D}"/>
    <cellStyle name="Migliaia 14 6 8" xfId="7319" xr:uid="{2DE58EB7-FBD0-4C09-BC15-8B57F6590484}"/>
    <cellStyle name="Migliaia 14 7" xfId="3191" xr:uid="{B0502376-8199-4235-998D-A43526585DF6}"/>
    <cellStyle name="Migliaia 14 7 2" xfId="4917" xr:uid="{81C9A68C-3CA4-4195-A397-794860A0D82B}"/>
    <cellStyle name="Migliaia 14 7 2 2" xfId="35161" xr:uid="{1E734DBA-E3B3-444E-AFA7-2AF5801753D1}"/>
    <cellStyle name="Migliaia 14 7 2 2 2" xfId="40319" xr:uid="{AF5794FD-3BB7-472A-BC19-1DCE8A06C032}"/>
    <cellStyle name="Migliaia 14 7 2 2 3" xfId="45621" xr:uid="{053F2957-11D9-48F7-969E-BC2B252EB66C}"/>
    <cellStyle name="Migliaia 14 7 2 3" xfId="37668" xr:uid="{BDE7E447-B931-413B-9D17-0B2D51801402}"/>
    <cellStyle name="Migliaia 14 7 2 4" xfId="42970" xr:uid="{33D8A830-9E16-4252-9810-87EE0BF3818E}"/>
    <cellStyle name="Migliaia 14 7 2 5" xfId="14193" xr:uid="{12B62338-45E7-4544-BBEF-891D69FE4EFF}"/>
    <cellStyle name="Migliaia 14 7 3" xfId="6135" xr:uid="{FFAD9086-CABD-41F9-9A98-0B3F6E130EB4}"/>
    <cellStyle name="Migliaia 14 7 3 2" xfId="38555" xr:uid="{8E0F0460-2A52-4F0D-AFBC-8E8AEFB89C9A}"/>
    <cellStyle name="Migliaia 14 7 3 3" xfId="43857" xr:uid="{0104A5D2-6379-4080-BB0C-262C68792B38}"/>
    <cellStyle name="Migliaia 14 7 3 4" xfId="33178" xr:uid="{12CB694E-5862-4854-884D-633B319F3DDC}"/>
    <cellStyle name="Migliaia 14 7 3 5" xfId="19910" xr:uid="{6609AB38-564E-4E05-80F9-32FFDC58E535}"/>
    <cellStyle name="Migliaia 14 7 4" xfId="36074" xr:uid="{10FA7D14-F33C-4CBB-A9BD-6669B418DF15}"/>
    <cellStyle name="Migliaia 14 7 5" xfId="41206" xr:uid="{C3C5EC8F-7CFD-4B7F-817F-F73C8C9B7332}"/>
    <cellStyle name="Migliaia 14 7 6" xfId="16088" xr:uid="{8274DACF-9E6B-404B-8DA5-647241CAC3AD}"/>
    <cellStyle name="Migliaia 14 7 7" xfId="8255" xr:uid="{C8EAA807-E443-4015-9762-7810125EE12F}"/>
    <cellStyle name="Migliaia 14 8" xfId="3192" xr:uid="{99BD47AC-F989-47E9-93BE-9704085BD7F7}"/>
    <cellStyle name="Migliaia 14 8 2" xfId="4918" xr:uid="{E4CF2ED6-EF0B-4C64-A84D-736089083BC6}"/>
    <cellStyle name="Migliaia 14 8 2 2" xfId="35162" xr:uid="{B651276A-0AAD-4520-B94F-59F3F19A4914}"/>
    <cellStyle name="Migliaia 14 8 2 2 2" xfId="40320" xr:uid="{84CC97EF-9B26-464D-9FE6-96183909240B}"/>
    <cellStyle name="Migliaia 14 8 2 2 3" xfId="45622" xr:uid="{0D790391-FB65-4ED2-AE7A-62F72CFF64C5}"/>
    <cellStyle name="Migliaia 14 8 2 3" xfId="37669" xr:uid="{68DDF553-8C75-4365-BA0C-AD36FD2AC169}"/>
    <cellStyle name="Migliaia 14 8 2 4" xfId="42971" xr:uid="{0206C107-0BF1-45CC-80A5-803679777F54}"/>
    <cellStyle name="Migliaia 14 8 2 5" xfId="13896" xr:uid="{1C90DD37-055C-4463-A0BC-6236FADDB0FD}"/>
    <cellStyle name="Migliaia 14 8 3" xfId="6136" xr:uid="{0F04EDF2-8A69-48D2-88FB-7C3B10DDA678}"/>
    <cellStyle name="Migliaia 14 8 3 2" xfId="38556" xr:uid="{BB31E680-2DFE-4448-842C-1B7E0EE0C3DA}"/>
    <cellStyle name="Migliaia 14 8 3 3" xfId="43858" xr:uid="{42E5AB70-435E-4507-8962-A8AA9BEA0806}"/>
    <cellStyle name="Migliaia 14 8 3 4" xfId="33179" xr:uid="{0DF923AF-382F-413D-87D3-CCBD2EE87AC1}"/>
    <cellStyle name="Migliaia 14 8 3 5" xfId="19911" xr:uid="{E82E3222-3391-405C-93B3-9C474389C5EE}"/>
    <cellStyle name="Migliaia 14 8 4" xfId="36075" xr:uid="{051C96D6-BEAC-4781-9C6B-67799AC9ED4F}"/>
    <cellStyle name="Migliaia 14 8 5" xfId="41207" xr:uid="{2CEFD0A0-D6CB-4E12-9138-3B411379CADA}"/>
    <cellStyle name="Migliaia 14 8 6" xfId="16089" xr:uid="{11E247F1-68FC-4CF0-81F2-92C7F2C8B6B9}"/>
    <cellStyle name="Migliaia 14 8 7" xfId="7839" xr:uid="{D9A3D342-7A85-4050-8D61-706C97AF3D24}"/>
    <cellStyle name="Migliaia 14 9" xfId="4903" xr:uid="{CBE8CFEB-CA4A-407E-8C18-4385B40E25C9}"/>
    <cellStyle name="Migliaia 14 9 2" xfId="33180" xr:uid="{780DB616-3014-435C-B151-7602DA64DBEC}"/>
    <cellStyle name="Migliaia 14 9 2 2" xfId="38557" xr:uid="{AEBBA2D7-DDA4-4959-A74D-4F2AC1E5C0E0}"/>
    <cellStyle name="Migliaia 14 9 2 3" xfId="43859" xr:uid="{C5C75F99-269C-4ECC-AA32-4B8B49F1803C}"/>
    <cellStyle name="Migliaia 14 9 3" xfId="36076" xr:uid="{211CD71C-32D7-4E21-9425-9ACB72163D50}"/>
    <cellStyle name="Migliaia 14 9 4" xfId="41208" xr:uid="{525F3C53-2B9C-496B-9B12-21A3F9EDC990}"/>
    <cellStyle name="Migliaia 14 9 5" xfId="17145" xr:uid="{53D60D71-32B6-45E7-9AAD-6F6FA02ABC3C}"/>
    <cellStyle name="Migliaia 15" xfId="321" xr:uid="{00000000-0005-0000-0000-0000EE020000}"/>
    <cellStyle name="Migliaia 15 10" xfId="6137" xr:uid="{7B07B8FF-C2D1-44C1-A38B-753950E972E6}"/>
    <cellStyle name="Migliaia 15 10 2" xfId="38558" xr:uid="{11A07A7C-85AC-4F5A-9525-BD6F9F2A4C75}"/>
    <cellStyle name="Migliaia 15 10 3" xfId="43860" xr:uid="{DC1DB7D6-9CC1-478D-9259-771C6F098FD8}"/>
    <cellStyle name="Migliaia 15 10 4" xfId="33181" xr:uid="{912444F5-EBBA-4596-8DA0-A0C770515A2D}"/>
    <cellStyle name="Migliaia 15 10 5" xfId="19912" xr:uid="{4386BB8A-13B7-4048-BE65-8E45A82350E9}"/>
    <cellStyle name="Migliaia 15 11" xfId="3193" xr:uid="{3858E639-CA17-4088-809F-78DA78A8ADBF}"/>
    <cellStyle name="Migliaia 15 11 2" xfId="36077" xr:uid="{08C4200A-8E5E-4D10-93F7-C1114F2C87D7}"/>
    <cellStyle name="Migliaia 15 12" xfId="41209" xr:uid="{2EE01587-C9FA-4A28-97B8-6FDC8F2B0412}"/>
    <cellStyle name="Migliaia 15 13" xfId="7059" xr:uid="{2A88EACC-4028-49E8-A19D-B7AC74ABE5B9}"/>
    <cellStyle name="Migliaia 15 2" xfId="322" xr:uid="{00000000-0005-0000-0000-0000EF020000}"/>
    <cellStyle name="Migliaia 15 2 2" xfId="1683" xr:uid="{00000000-0005-0000-0000-0000F0020000}"/>
    <cellStyle name="Migliaia 15 2 2 2" xfId="4921" xr:uid="{D9FDB017-771C-4B12-844E-FA437A7D6E76}"/>
    <cellStyle name="Migliaia 15 2 2 2 2" xfId="14368" xr:uid="{D6A66F0E-97DD-48B1-AB12-421AB7FE19B9}"/>
    <cellStyle name="Migliaia 15 2 2 2 2 2" xfId="38559" xr:uid="{C003DAC4-DCCB-49C3-9596-75823A029641}"/>
    <cellStyle name="Migliaia 15 2 2 2 2 3" xfId="43861" xr:uid="{F6075E7D-C940-4401-9F49-D78F7D204D6E}"/>
    <cellStyle name="Migliaia 15 2 2 2 3" xfId="18375" xr:uid="{C7D60D10-18BA-42DE-8120-24799FFF4967}"/>
    <cellStyle name="Migliaia 15 2 2 2 4" xfId="19915" xr:uid="{5C806F89-DA94-49FF-A8EA-A0460A33ECD1}"/>
    <cellStyle name="Migliaia 15 2 2 2 4 2" xfId="41210" xr:uid="{20AA1C01-FAA4-45F4-A400-270C35267AC1}"/>
    <cellStyle name="Migliaia 15 2 2 2 5" xfId="16090" xr:uid="{BE1BA2B7-E894-4082-95F6-7AC8D92B569A}"/>
    <cellStyle name="Migliaia 15 2 2 2 6" xfId="8516" xr:uid="{EAEEB7A1-4846-4C0F-988E-FCF0E395B3F7}"/>
    <cellStyle name="Migliaia 15 2 2 3" xfId="6139" xr:uid="{37155FB9-7BC1-4086-B933-A7C2AEAF8181}"/>
    <cellStyle name="Migliaia 15 2 2 3 2" xfId="35163" xr:uid="{F1649E24-DE3B-4C86-9CB4-59BDB60E48E3}"/>
    <cellStyle name="Migliaia 15 2 2 3 2 2" xfId="40321" xr:uid="{06E3350A-A00E-4CCA-98BC-B731114C009B}"/>
    <cellStyle name="Migliaia 15 2 2 3 2 3" xfId="45623" xr:uid="{065C9284-DFEF-4394-B762-3809BD358255}"/>
    <cellStyle name="Migliaia 15 2 2 3 3" xfId="37670" xr:uid="{BFA2D767-43D3-466F-8C13-0FC204613731}"/>
    <cellStyle name="Migliaia 15 2 2 3 4" xfId="42972" xr:uid="{77922209-776E-4252-B2A4-ABB5D6F962C5}"/>
    <cellStyle name="Migliaia 15 2 2 3 5" xfId="11597" xr:uid="{DD2152A7-81FD-4F63-8E61-CFDA59B47CD2}"/>
    <cellStyle name="Migliaia 15 2 2 4" xfId="3195" xr:uid="{5DFBFD05-EDAC-4F4A-83D5-82D47E6CB0EA}"/>
    <cellStyle name="Migliaia 15 2 2 4 2" xfId="21395" xr:uid="{71C19F4C-4586-401F-963C-1AA20A5B2DB1}"/>
    <cellStyle name="Migliaia 15 2 2 4 3" xfId="47595" xr:uid="{E6D9376C-005F-4C8B-AC21-32A9CB49308E}"/>
    <cellStyle name="Migliaia 15 2 2 4 4" xfId="50410" xr:uid="{D8FD9946-3607-487B-91AF-2968E419097E}"/>
    <cellStyle name="Migliaia 15 2 2 4 5" xfId="53426" xr:uid="{45B66E3F-2D97-491C-A62F-417B0F2183B9}"/>
    <cellStyle name="Migliaia 15 2 2 4 6" xfId="10760" xr:uid="{AEDCEB8A-2ECD-4C4E-9731-A3D866FBA551}"/>
    <cellStyle name="Migliaia 15 2 2 5" xfId="19914" xr:uid="{2A08E29C-ED91-4989-AD49-1ADB7A2089BF}"/>
    <cellStyle name="Migliaia 15 2 2 6" xfId="24326" xr:uid="{5699C1E9-122C-41F7-9E6B-51872CD4CF88}"/>
    <cellStyle name="Migliaia 15 2 2 7" xfId="7326" xr:uid="{00FFA949-D6CF-4CBC-B6C2-E3F4B85C07FA}"/>
    <cellStyle name="Migliaia 15 2 3" xfId="3196" xr:uid="{481F3C6A-B2FB-47C5-ABD5-4E4CEA617EE3}"/>
    <cellStyle name="Migliaia 15 2 3 2" xfId="4922" xr:uid="{1600B0C0-F5B7-40A1-8564-FBFDEAFC3445}"/>
    <cellStyle name="Migliaia 15 2 3 2 2" xfId="35164" xr:uid="{30B1DD7C-DADA-4F4C-9E38-4EA424AA2D96}"/>
    <cellStyle name="Migliaia 15 2 3 2 2 2" xfId="40322" xr:uid="{FE73B2F9-3B2C-4762-950D-006BD21945B8}"/>
    <cellStyle name="Migliaia 15 2 3 2 2 3" xfId="45624" xr:uid="{0D8F9653-97D1-481C-9395-25CF5B62870C}"/>
    <cellStyle name="Migliaia 15 2 3 2 3" xfId="37671" xr:uid="{41F4A060-73D1-4BAC-AE88-B169C7BB0CB5}"/>
    <cellStyle name="Migliaia 15 2 3 2 4" xfId="42973" xr:uid="{8E585128-5AFA-4594-9BE2-2B97285617D4}"/>
    <cellStyle name="Migliaia 15 2 3 2 5" xfId="14197" xr:uid="{DCB7CAFC-BDBC-4E6E-ACEE-7CBF06826F37}"/>
    <cellStyle name="Migliaia 15 2 3 3" xfId="6140" xr:uid="{ABDB16BF-A422-42B8-BD44-6AC6A2A855DF}"/>
    <cellStyle name="Migliaia 15 2 3 3 2" xfId="38560" xr:uid="{841D0831-763E-449D-852C-EF43134B324B}"/>
    <cellStyle name="Migliaia 15 2 3 3 3" xfId="43862" xr:uid="{EA85454F-ED10-4097-805B-40E2E6A150BB}"/>
    <cellStyle name="Migliaia 15 2 3 3 4" xfId="33182" xr:uid="{52943425-108E-4583-BC71-1464C241FAB1}"/>
    <cellStyle name="Migliaia 15 2 3 3 5" xfId="19916" xr:uid="{2CFF87B4-78E3-4F71-9F51-1EF3614E37DC}"/>
    <cellStyle name="Migliaia 15 2 3 4" xfId="36078" xr:uid="{DDB0E0DE-0A6A-4ADE-AF39-C6339E27BEE2}"/>
    <cellStyle name="Migliaia 15 2 3 5" xfId="41211" xr:uid="{C5AAADC5-17DF-478E-AFB5-DE0BD86AAFED}"/>
    <cellStyle name="Migliaia 15 2 3 6" xfId="16091" xr:uid="{0382422C-9FC5-4C32-99BD-A0D9A7638B0D}"/>
    <cellStyle name="Migliaia 15 2 3 7" xfId="8259" xr:uid="{F20EF821-18C9-4D47-9D79-4E5749EAEB7A}"/>
    <cellStyle name="Migliaia 15 2 4" xfId="4920" xr:uid="{36129831-AD7B-4BDE-A8F7-8C1AAFCD490F}"/>
    <cellStyle name="Migliaia 15 2 4 2" xfId="13900" xr:uid="{9FD0CE0B-C445-48A8-98D0-7B8E89A16293}"/>
    <cellStyle name="Migliaia 15 2 4 2 2" xfId="38561" xr:uid="{A2F4D02F-9F81-4534-ABE4-D7968DF5DF54}"/>
    <cellStyle name="Migliaia 15 2 4 2 3" xfId="43863" xr:uid="{2E316C59-7053-4451-9A51-C2BE7E71A02E}"/>
    <cellStyle name="Migliaia 15 2 4 3" xfId="18014" xr:uid="{01A8CFC1-A3F6-41C8-8161-33F856DF2D44}"/>
    <cellStyle name="Migliaia 15 2 4 4" xfId="19917" xr:uid="{7300AEE2-4960-4B70-B881-3201B9EDA0C2}"/>
    <cellStyle name="Migliaia 15 2 4 4 2" xfId="41212" xr:uid="{772B7D9E-A332-441C-A002-645324B51F59}"/>
    <cellStyle name="Migliaia 15 2 4 5" xfId="16092" xr:uid="{BF5DA47D-4FDC-46CC-96CE-AD688DE69CED}"/>
    <cellStyle name="Migliaia 15 2 4 6" xfId="7844" xr:uid="{97B8A1A5-6D7E-4F7D-8200-A677833F6DAF}"/>
    <cellStyle name="Migliaia 15 2 5" xfId="6138" xr:uid="{4874C8E8-3ABD-4056-A296-F6E4D301D127}"/>
    <cellStyle name="Migliaia 15 2 5 2" xfId="33184" xr:uid="{AF483B0D-6010-4771-AB77-F673E615AB0F}"/>
    <cellStyle name="Migliaia 15 2 5 2 2" xfId="38562" xr:uid="{84E74B02-1588-4D99-9723-0A93AE8231BF}"/>
    <cellStyle name="Migliaia 15 2 5 2 3" xfId="43864" xr:uid="{9DBDF50F-74E9-4D44-BCBB-9CADF7AA407F}"/>
    <cellStyle name="Migliaia 15 2 5 3" xfId="36080" xr:uid="{7D8350C7-5B92-4BD3-969B-0BB330E42B92}"/>
    <cellStyle name="Migliaia 15 2 5 4" xfId="41213" xr:uid="{69BCCED4-DCED-4A4B-84DD-F28E9FF42950}"/>
    <cellStyle name="Migliaia 15 2 5 5" xfId="13108" xr:uid="{6CE107F1-6880-4D06-B545-74A311F015D3}"/>
    <cellStyle name="Migliaia 15 2 6" xfId="3194" xr:uid="{7C2277CD-4845-4997-B428-97F4B1717E11}"/>
    <cellStyle name="Migliaia 15 2 6 2" xfId="33185" xr:uid="{18F26002-6342-4F10-A562-85CF6354D745}"/>
    <cellStyle name="Migliaia 15 2 6 2 2" xfId="38563" xr:uid="{D146C577-3762-456A-9EDA-8FAE59C0EAC2}"/>
    <cellStyle name="Migliaia 15 2 6 2 3" xfId="43865" xr:uid="{E5447242-8755-4A5C-AE6A-6C869F8DB1A0}"/>
    <cellStyle name="Migliaia 15 2 6 3" xfId="36081" xr:uid="{8C9EB6F4-AA78-43BB-B460-E37893D392B4}"/>
    <cellStyle name="Migliaia 15 2 6 4" xfId="41214" xr:uid="{5CCC43EC-D958-4FAC-95EA-A4A4FD77DC10}"/>
    <cellStyle name="Migliaia 15 2 6 5" xfId="24329" xr:uid="{E5EC63EE-08FF-4B95-911F-857B902BF3A0}"/>
    <cellStyle name="Migliaia 15 2 6 6" xfId="19913" xr:uid="{E13C2399-E29C-4A8A-AC93-95778FD5E03C}"/>
    <cellStyle name="Migliaia 15 2 7" xfId="24325" xr:uid="{73372E14-D1E6-47FB-94E3-C18CE2BDC393}"/>
    <cellStyle name="Migliaia 15 2 8" xfId="7060" xr:uid="{FFD0FF5C-E011-4F4B-8BAA-089F3CBE270B}"/>
    <cellStyle name="Migliaia 15 3" xfId="323" xr:uid="{00000000-0005-0000-0000-0000F1020000}"/>
    <cellStyle name="Migliaia 15 3 10" xfId="24330" xr:uid="{D40DC108-28EB-4BE5-B584-3AA0C3B4906E}"/>
    <cellStyle name="Migliaia 15 3 11" xfId="16093" xr:uid="{CCE925FF-1A9E-4D63-ACB7-DBEFD91A60FF}"/>
    <cellStyle name="Migliaia 15 3 12" xfId="7061" xr:uid="{668EDB5D-37C0-447A-9A6A-29C98C309E13}"/>
    <cellStyle name="Migliaia 15 3 2" xfId="324" xr:uid="{00000000-0005-0000-0000-0000F2020000}"/>
    <cellStyle name="Migliaia 15 3 2 2" xfId="1684" xr:uid="{00000000-0005-0000-0000-0000F3020000}"/>
    <cellStyle name="Migliaia 15 3 2 2 2" xfId="4925" xr:uid="{A23F9B21-E516-4B42-A1A5-C78BCB985F94}"/>
    <cellStyle name="Migliaia 15 3 2 2 2 2" xfId="18376" xr:uid="{44B5F166-DEA9-4721-8764-44871C6E45DB}"/>
    <cellStyle name="Migliaia 15 3 2 2 2 2 2" xfId="21843" xr:uid="{2B07E006-1522-4BC6-96E7-60B178CE2251}"/>
    <cellStyle name="Migliaia 15 3 2 2 2 2 2 2" xfId="38564" xr:uid="{49FFF2E3-9217-457C-AD4C-934DE73E4FCD}"/>
    <cellStyle name="Migliaia 15 3 2 2 2 2 3" xfId="43866" xr:uid="{1DA434DE-2151-4D4E-A9E3-F626BD49E8A4}"/>
    <cellStyle name="Migliaia 15 3 2 2 2 2 4" xfId="33186" xr:uid="{635AB27F-C8AD-47FB-9EEE-0031F22331C5}"/>
    <cellStyle name="Migliaia 15 3 2 2 2 3" xfId="36082" xr:uid="{93F31CB1-DEFE-474C-9DCB-872313FFC23C}"/>
    <cellStyle name="Migliaia 15 3 2 2 2 4" xfId="41215" xr:uid="{C9B17755-8B89-4522-930C-7F6CD2B33BB8}"/>
    <cellStyle name="Migliaia 15 3 2 2 2 5" xfId="48485" xr:uid="{BCE3C54A-EC5D-4D0B-BF6D-B42790C2E061}"/>
    <cellStyle name="Migliaia 15 3 2 2 2 6" xfId="50871" xr:uid="{D4A9BCC9-6C24-4A7A-B765-37577262EBA3}"/>
    <cellStyle name="Migliaia 15 3 2 2 2 7" xfId="53887" xr:uid="{F498E164-03C1-4082-A9BE-586BB67F08CE}"/>
    <cellStyle name="Migliaia 15 3 2 2 2 8" xfId="17644" xr:uid="{53897B8B-978E-49DC-942E-D125F85E15F1}"/>
    <cellStyle name="Migliaia 15 3 2 2 2 9" xfId="11907" xr:uid="{FD08D605-6014-436A-A437-2768C68FCAB3}"/>
    <cellStyle name="Migliaia 15 3 2 2 3" xfId="6143" xr:uid="{9B1CE36B-50AB-4823-B464-F06ED05E7278}"/>
    <cellStyle name="Migliaia 15 3 2 2 3 2" xfId="11685" xr:uid="{76D5CF1F-3F61-45AB-9FDA-6164AA3B3482}"/>
    <cellStyle name="Migliaia 15 3 2 2 4" xfId="3199" xr:uid="{9BE245FA-3D26-4EEB-8E8D-683B64F61F6B}"/>
    <cellStyle name="Migliaia 15 3 2 2 4 2" xfId="21396" xr:uid="{8B6D74E6-FF50-46E3-9237-DA6BE6B71F6E}"/>
    <cellStyle name="Migliaia 15 3 2 2 4 3" xfId="46210" xr:uid="{3CFE6D8A-76B5-4BBA-B106-9C45C2E3F8EB}"/>
    <cellStyle name="Migliaia 15 3 2 2 4 4" xfId="50411" xr:uid="{BDA18968-9D77-49C8-8A7A-A5DFF0960861}"/>
    <cellStyle name="Migliaia 15 3 2 2 4 5" xfId="53427" xr:uid="{2431C386-02A3-46B5-BC6C-08EE1A574941}"/>
    <cellStyle name="Migliaia 15 3 2 2 4 6" xfId="10761" xr:uid="{3B45739C-CB70-4285-96DC-C97D3494D1B2}"/>
    <cellStyle name="Migliaia 15 3 2 2 5" xfId="19920" xr:uid="{631B6751-0440-46D9-8204-B63D68BC5697}"/>
    <cellStyle name="Migliaia 15 3 2 2 6" xfId="24332" xr:uid="{C8E57F2F-AAF2-4FD6-899E-0DA1D28F99FA}"/>
    <cellStyle name="Migliaia 15 3 2 2 7" xfId="8518" xr:uid="{4936CCE3-33A0-43EF-8F73-6A455C17A087}"/>
    <cellStyle name="Migliaia 15 3 2 3" xfId="4924" xr:uid="{D35E0E3C-31DE-47C9-A845-D82E40A1C66C}"/>
    <cellStyle name="Migliaia 15 3 2 3 2" xfId="12422" xr:uid="{DBFDB9E4-1D28-47FF-8153-8FBBF2343008}"/>
    <cellStyle name="Migliaia 15 3 2 3 2 2" xfId="38565" xr:uid="{B6AC02F1-7DB7-42FD-B2AD-4DF80ADE0FC4}"/>
    <cellStyle name="Migliaia 15 3 2 3 2 3" xfId="43867" xr:uid="{09CEB574-E7F5-4DBB-AA11-985B4E70B9A3}"/>
    <cellStyle name="Migliaia 15 3 2 3 2 4" xfId="33187" xr:uid="{C0B2248E-68D3-4ED7-B753-25A7D9F6BC6E}"/>
    <cellStyle name="Migliaia 15 3 2 3 3" xfId="11908" xr:uid="{105B8FA4-AF3F-489D-834E-C290E2324910}"/>
    <cellStyle name="Migliaia 15 3 2 3 4" xfId="19921" xr:uid="{37962CC0-8361-48C0-8F57-0A5813CC988F}"/>
    <cellStyle name="Migliaia 15 3 2 3 4 2" xfId="41216" xr:uid="{CB848C29-1F13-4B2C-A8D9-67E92932D065}"/>
    <cellStyle name="Migliaia 15 3 2 3 5" xfId="16094" xr:uid="{E3C20EFC-B67E-401B-B0EB-506DD6A014BB}"/>
    <cellStyle name="Migliaia 15 3 2 3 6" xfId="7846" xr:uid="{28A64F2F-C9DA-48F8-A80D-7C22D2E0A692}"/>
    <cellStyle name="Migliaia 15 3 2 4" xfId="6142" xr:uid="{F3AF43DF-A99B-4688-BCE6-2E3E5B173773}"/>
    <cellStyle name="Migliaia 15 3 2 4 2" xfId="18063" xr:uid="{613AD36D-4D1A-4458-B564-FE7373138C27}"/>
    <cellStyle name="Migliaia 15 3 2 4 2 2" xfId="38566" xr:uid="{56343C3C-D9D7-4C0F-835B-1E87E90675C7}"/>
    <cellStyle name="Migliaia 15 3 2 4 2 3" xfId="43868" xr:uid="{C55F7573-BF36-4909-89FB-B5E8EE53E14A}"/>
    <cellStyle name="Migliaia 15 3 2 4 3" xfId="36084" xr:uid="{5865A52E-2C38-4C31-A850-10BDD59D5766}"/>
    <cellStyle name="Migliaia 15 3 2 4 4" xfId="41217" xr:uid="{A9B15E84-2F5E-484E-A849-F4F23859BB9E}"/>
    <cellStyle name="Migliaia 15 3 2 4 5" xfId="17148" xr:uid="{74546613-5143-41DF-BC17-5D3BD6DC56C5}"/>
    <cellStyle name="Migliaia 15 3 2 4 6" xfId="11260" xr:uid="{BFCD491A-AE83-48DE-8854-010426531088}"/>
    <cellStyle name="Migliaia 15 3 2 5" xfId="3198" xr:uid="{5E82AD15-F9A0-410A-91E5-F26E020B9186}"/>
    <cellStyle name="Migliaia 15 3 2 5 2" xfId="33188" xr:uid="{9C080A51-35BC-44A9-A9B8-CF4C9B21109B}"/>
    <cellStyle name="Migliaia 15 3 2 5 2 2" xfId="38567" xr:uid="{051CC32A-8347-4986-9730-DA16651EFA9F}"/>
    <cellStyle name="Migliaia 15 3 2 5 2 3" xfId="43869" xr:uid="{6F6DC3E7-F54D-4A9A-A593-CCB5470E3C08}"/>
    <cellStyle name="Migliaia 15 3 2 5 3" xfId="36085" xr:uid="{A771EEF5-8399-471E-9C79-E53F28CE5160}"/>
    <cellStyle name="Migliaia 15 3 2 5 4" xfId="41218" xr:uid="{24EF94EA-7F29-41D2-92EB-66A74BFD145A}"/>
    <cellStyle name="Migliaia 15 3 2 5 5" xfId="17408" xr:uid="{7A96F778-7E2A-48A6-BC18-5F86F55131A2}"/>
    <cellStyle name="Migliaia 15 3 2 6" xfId="19919" xr:uid="{DEC335CF-5750-4006-9F4D-2EC7547B6DD7}"/>
    <cellStyle name="Migliaia 15 3 2 6 2" xfId="33189" xr:uid="{12BA0B1E-C4F7-4FAE-B1A0-19D826209945}"/>
    <cellStyle name="Migliaia 15 3 2 6 2 2" xfId="38568" xr:uid="{243E513E-3AB2-4CEE-ADFF-241E64231D6D}"/>
    <cellStyle name="Migliaia 15 3 2 6 2 3" xfId="43870" xr:uid="{986B5792-8181-4ED5-89DC-BAB8B70149E1}"/>
    <cellStyle name="Migliaia 15 3 2 6 3" xfId="36086" xr:uid="{ADBB4EC0-28BA-4EE8-9458-7573BAB4DBD7}"/>
    <cellStyle name="Migliaia 15 3 2 6 4" xfId="41219" xr:uid="{63B68AFD-DD46-4D0B-80CC-C03BF2C79EE2}"/>
    <cellStyle name="Migliaia 15 3 2 6 5" xfId="24335" xr:uid="{36F942EE-4477-4637-8CD1-10E78519C580}"/>
    <cellStyle name="Migliaia 15 3 2 7" xfId="24331" xr:uid="{395FBB99-BC3F-491B-BDB7-557685363973}"/>
    <cellStyle name="Migliaia 15 3 2 8" xfId="7328" xr:uid="{F6E8A6EC-088A-4480-886D-71C00F1DCDE6}"/>
    <cellStyle name="Migliaia 15 3 3" xfId="3200" xr:uid="{D8D3A422-13AD-4B2E-9C66-20BD6A9ABA85}"/>
    <cellStyle name="Migliaia 15 3 3 10" xfId="7327" xr:uid="{7C32527C-D102-442D-9B31-7F2627BAC3FA}"/>
    <cellStyle name="Migliaia 15 3 3 2" xfId="4926" xr:uid="{BA3E4949-F9B6-40BC-A13D-9C45349CF198}"/>
    <cellStyle name="Migliaia 15 3 3 2 2" xfId="9894" xr:uid="{D611FEA1-672B-43DB-A961-533DE1CAF6C6}"/>
    <cellStyle name="Migliaia 15 3 3 2 2 2" xfId="38570" xr:uid="{C3BB2381-EA62-46E3-8EC9-AD92FFF66538}"/>
    <cellStyle name="Migliaia 15 3 3 2 2 3" xfId="43872" xr:uid="{0C1A2697-B19A-4B22-B5E8-9A1BD7DAAB82}"/>
    <cellStyle name="Migliaia 15 3 3 2 3" xfId="18174" xr:uid="{C93684CA-CFC1-4458-AB76-A90677D86A45}"/>
    <cellStyle name="Migliaia 15 3 3 2 4" xfId="19923" xr:uid="{0EC98329-D4FB-4F38-B0E5-A4CD29494025}"/>
    <cellStyle name="Migliaia 15 3 3 2 4 2" xfId="41221" xr:uid="{169593CC-CE45-4EED-BA1D-81833AF6AD32}"/>
    <cellStyle name="Migliaia 15 3 3 2 5" xfId="16096" xr:uid="{8B38113D-1E68-43C8-BFB9-9CB8DEDA68A7}"/>
    <cellStyle name="Migliaia 15 3 3 2 6" xfId="8517" xr:uid="{460EA830-7CC0-4E3D-AA51-35D7F9F77631}"/>
    <cellStyle name="Migliaia 15 3 3 3" xfId="6144" xr:uid="{F3155F4F-FE05-4660-A85F-A83E0B774135}"/>
    <cellStyle name="Migliaia 15 3 3 3 2" xfId="33191" xr:uid="{A1FB5D6A-29F5-4C56-B2F7-69B2DED4F336}"/>
    <cellStyle name="Migliaia 15 3 3 3 2 2" xfId="38571" xr:uid="{9519E60B-0B55-4A46-B153-427CDBCEEA06}"/>
    <cellStyle name="Migliaia 15 3 3 3 2 3" xfId="43873" xr:uid="{DB994C24-C141-48E4-AB9F-05C451BCC237}"/>
    <cellStyle name="Migliaia 15 3 3 3 3" xfId="36088" xr:uid="{4441885D-DE21-4B34-8C3B-95EB2AF2BC96}"/>
    <cellStyle name="Migliaia 15 3 3 3 4" xfId="41222" xr:uid="{774906B2-CADC-40AF-BDE7-556C65CD7966}"/>
    <cellStyle name="Migliaia 15 3 3 3 5" xfId="9657" xr:uid="{B89BB049-B9E5-4090-B6EB-89DD6AF8AE32}"/>
    <cellStyle name="Migliaia 15 3 3 4" xfId="19922" xr:uid="{3E1B9852-0825-444A-A13F-EA992469C130}"/>
    <cellStyle name="Migliaia 15 3 3 4 2" xfId="33192" xr:uid="{EA8F1862-6011-4C28-8E2F-C43E9B432C26}"/>
    <cellStyle name="Migliaia 15 3 3 4 2 2" xfId="38572" xr:uid="{ECC96FCD-1457-49F6-9179-C8FEDB4687CA}"/>
    <cellStyle name="Migliaia 15 3 3 4 2 3" xfId="43874" xr:uid="{A7E49DAA-954E-4D5C-8088-08A68C0234F2}"/>
    <cellStyle name="Migliaia 15 3 3 4 3" xfId="36089" xr:uid="{A656913F-B9D7-4DE0-9B74-A2B8F96F9BED}"/>
    <cellStyle name="Migliaia 15 3 3 4 4" xfId="41223" xr:uid="{08093C6B-BD16-4BF5-A890-B272537D0B8D}"/>
    <cellStyle name="Migliaia 15 3 3 4 5" xfId="24336" xr:uid="{B4DB413B-05F5-47DB-8545-173347434EED}"/>
    <cellStyle name="Migliaia 15 3 3 5" xfId="24337" xr:uid="{E7367F17-670B-43E2-AB9A-303738C45EBE}"/>
    <cellStyle name="Migliaia 15 3 3 5 2" xfId="33193" xr:uid="{8BE0B32C-A42E-4E44-86B1-8ED7920C399C}"/>
    <cellStyle name="Migliaia 15 3 3 5 2 2" xfId="38573" xr:uid="{B50F54C9-D5FD-49CB-B16C-2405E3D6C8B5}"/>
    <cellStyle name="Migliaia 15 3 3 5 2 3" xfId="43875" xr:uid="{DC9D3F08-3CB6-423A-9053-1DA216A0B0AF}"/>
    <cellStyle name="Migliaia 15 3 3 5 3" xfId="36090" xr:uid="{FF8B30C5-EB8B-4311-A185-F9DF646EDC71}"/>
    <cellStyle name="Migliaia 15 3 3 5 4" xfId="41224" xr:uid="{FC93AAE0-6E0F-438F-9A24-D8042B78E1E6}"/>
    <cellStyle name="Migliaia 15 3 3 6" xfId="33190" xr:uid="{77B56A12-1F72-42CB-86E6-32150B92896D}"/>
    <cellStyle name="Migliaia 15 3 3 6 2" xfId="38569" xr:uid="{433FC8B3-654D-4A82-96A3-3F8B8C014DB7}"/>
    <cellStyle name="Migliaia 15 3 3 6 3" xfId="43871" xr:uid="{202F1EE6-A0F5-40C5-B052-D71D1F5591EA}"/>
    <cellStyle name="Migliaia 15 3 3 7" xfId="36087" xr:uid="{8BEE766D-EEAB-47B1-B4CE-FAF3E16865F0}"/>
    <cellStyle name="Migliaia 15 3 3 8" xfId="41220" xr:uid="{9C5713C9-A789-4F2A-8B7F-B7C26C72C012}"/>
    <cellStyle name="Migliaia 15 3 3 9" xfId="16095" xr:uid="{4D259F98-DDB9-499B-9FBA-F7F991918B1E}"/>
    <cellStyle name="Migliaia 15 3 4" xfId="3201" xr:uid="{BF52E8F6-432C-4E48-9E70-815FE8DBC92E}"/>
    <cellStyle name="Migliaia 15 3 4 2" xfId="4927" xr:uid="{0688F647-C651-4606-9B37-A716D0090F0B}"/>
    <cellStyle name="Migliaia 15 3 4 2 2" xfId="14429" xr:uid="{6D0CB39E-B78F-4A97-A575-D9E2893E92FD}"/>
    <cellStyle name="Migliaia 15 3 4 2 3" xfId="18591" xr:uid="{68EAA470-FD29-49C2-870C-46E23FA89D7D}"/>
    <cellStyle name="Migliaia 15 3 4 2 4" xfId="19925" xr:uid="{0D5D0468-BB56-40CF-B715-FAEB5FFB299D}"/>
    <cellStyle name="Migliaia 15 3 4 2 5" xfId="32312" xr:uid="{6ECB50DE-FB38-47A8-B745-8D2088A891ED}"/>
    <cellStyle name="Migliaia 15 3 4 2 6" xfId="16098" xr:uid="{A7A555EB-2F8D-4F9A-823C-E5ABB57E1C16}"/>
    <cellStyle name="Migliaia 15 3 4 2 7" xfId="8852" xr:uid="{03E22A7D-1F54-465B-9551-45DBEB5A947C}"/>
    <cellStyle name="Migliaia 15 3 4 3" xfId="6145" xr:uid="{20358AD4-7B8A-4072-965E-BCE96F1D6104}"/>
    <cellStyle name="Migliaia 15 3 4 3 2" xfId="35165" xr:uid="{CC90B20D-142E-482B-95CD-FEDB6743A596}"/>
    <cellStyle name="Migliaia 15 3 4 3 2 2" xfId="40323" xr:uid="{072866A9-50B6-4C16-9DC2-9DC37D1269F2}"/>
    <cellStyle name="Migliaia 15 3 4 3 2 3" xfId="45625" xr:uid="{CB1C8D84-62CB-4B4F-8771-26C8D7DD3DD6}"/>
    <cellStyle name="Migliaia 15 3 4 3 3" xfId="37672" xr:uid="{10FE2FF4-A723-4583-A7E3-82528810F8BC}"/>
    <cellStyle name="Migliaia 15 3 4 3 4" xfId="42974" xr:uid="{DFA97211-083D-4203-9A8E-6D64361476E2}"/>
    <cellStyle name="Migliaia 15 3 4 3 5" xfId="13677" xr:uid="{CD7C8617-4D77-4543-89DF-B1AA54EFB9CC}"/>
    <cellStyle name="Migliaia 15 3 4 4" xfId="19924" xr:uid="{D5CC2850-94BB-4674-8A7A-10A3CDD4FF24}"/>
    <cellStyle name="Migliaia 15 3 4 4 2" xfId="38574" xr:uid="{84754F8C-3B25-4F0A-A184-58F3E13CA5A8}"/>
    <cellStyle name="Migliaia 15 3 4 4 3" xfId="43876" xr:uid="{83EDC33A-A937-45B7-A393-8E6A9FED00F7}"/>
    <cellStyle name="Migliaia 15 3 4 4 4" xfId="33194" xr:uid="{5C28A453-0629-4D5C-A7C5-03F45E6C19C7}"/>
    <cellStyle name="Migliaia 15 3 4 5" xfId="36091" xr:uid="{DABC904D-C8A7-41C4-A6CB-99A589FCA8AD}"/>
    <cellStyle name="Migliaia 15 3 4 6" xfId="41225" xr:uid="{9229A211-7576-478C-AFBC-F5160B4F5AC6}"/>
    <cellStyle name="Migliaia 15 3 4 7" xfId="16097" xr:uid="{6DD76090-C7BB-4A29-80A3-621B06060CFB}"/>
    <cellStyle name="Migliaia 15 3 4 8" xfId="7662" xr:uid="{65DACACE-587A-465D-BC04-F3C147C9E582}"/>
    <cellStyle name="Migliaia 15 3 5" xfId="3202" xr:uid="{906EC72C-390D-4FAF-BC90-1C63139743B5}"/>
    <cellStyle name="Migliaia 15 3 5 2" xfId="4928" xr:uid="{6C2BE880-1069-4E36-8FFB-74E0B90B150E}"/>
    <cellStyle name="Migliaia 15 3 5 2 2" xfId="35166" xr:uid="{C8F63AC4-0446-4818-BDE2-4502FE84277E}"/>
    <cellStyle name="Migliaia 15 3 5 2 2 2" xfId="40324" xr:uid="{8BD5BA2F-E985-4C2D-8909-E8A90D7B6B98}"/>
    <cellStyle name="Migliaia 15 3 5 2 2 3" xfId="45626" xr:uid="{C8E66F7B-80EE-43EB-883E-F2E23B3F9B3B}"/>
    <cellStyle name="Migliaia 15 3 5 2 3" xfId="37673" xr:uid="{EB9A4446-0A6B-4272-A020-22E812986353}"/>
    <cellStyle name="Migliaia 15 3 5 2 4" xfId="42975" xr:uid="{5C4378FA-DB03-431F-9999-074076FF4DB9}"/>
    <cellStyle name="Migliaia 15 3 5 2 5" xfId="14198" xr:uid="{CE6ADBE2-BBFF-4979-B3D3-C3B752AB3D21}"/>
    <cellStyle name="Migliaia 15 3 5 3" xfId="6146" xr:uid="{6C3041CF-B857-4B58-84E7-E3655F4FCA1D}"/>
    <cellStyle name="Migliaia 15 3 5 3 2" xfId="38575" xr:uid="{B30052FC-A7EF-4875-8957-81DC639BFDCD}"/>
    <cellStyle name="Migliaia 15 3 5 3 3" xfId="43877" xr:uid="{A50B9900-4836-4DB9-B2C0-14B981109C22}"/>
    <cellStyle name="Migliaia 15 3 5 3 4" xfId="33195" xr:uid="{0C1447ED-51FF-40E8-A673-7B0A56A7C03D}"/>
    <cellStyle name="Migliaia 15 3 5 3 5" xfId="19926" xr:uid="{CF39F007-F988-40EF-B3C6-9984E811069D}"/>
    <cellStyle name="Migliaia 15 3 5 4" xfId="36092" xr:uid="{56AE81C5-9746-4BF5-AD90-85A2027B452C}"/>
    <cellStyle name="Migliaia 15 3 5 5" xfId="41226" xr:uid="{8AA7019D-4851-46DD-AC72-D198D8043BB0}"/>
    <cellStyle name="Migliaia 15 3 5 6" xfId="16099" xr:uid="{A5E56ED5-A2DF-47F6-AA9A-61429F411BE7}"/>
    <cellStyle name="Migliaia 15 3 5 7" xfId="8260" xr:uid="{B8C60512-9A0E-41EE-B429-64BAE20F162F}"/>
    <cellStyle name="Migliaia 15 3 6" xfId="4923" xr:uid="{1D5A5665-20A8-4010-B6BE-CC7C9D7435FE}"/>
    <cellStyle name="Migliaia 15 3 6 2" xfId="13901" xr:uid="{5088B75D-4B4C-4BAC-8AAE-5A12E078B90C}"/>
    <cellStyle name="Migliaia 15 3 6 2 2" xfId="38576" xr:uid="{02117926-BD2C-44A5-A1B2-6293053D2FA7}"/>
    <cellStyle name="Migliaia 15 3 6 2 3" xfId="43878" xr:uid="{DD9ED174-3985-4B34-AB0F-E79FFE9D81ED}"/>
    <cellStyle name="Migliaia 15 3 6 3" xfId="18723" xr:uid="{FAE251E3-9E2F-4F12-A44B-4111103BDF11}"/>
    <cellStyle name="Migliaia 15 3 6 4" xfId="19927" xr:uid="{A336C3E9-7374-4F12-8DDC-77519D6D56B4}"/>
    <cellStyle name="Migliaia 15 3 6 4 2" xfId="41227" xr:uid="{77EB948E-2AEA-44F0-B34B-DD6DFA064CB2}"/>
    <cellStyle name="Migliaia 15 3 6 5" xfId="16100" xr:uid="{D04FA320-5E0A-447F-8682-F606F7188830}"/>
    <cellStyle name="Migliaia 15 3 6 6" xfId="7845" xr:uid="{97FAE22F-7694-4004-93CF-96ECB7DE0DAD}"/>
    <cellStyle name="Migliaia 15 3 7" xfId="6141" xr:uid="{76D5811D-D168-4737-B64B-386D4C94D7D3}"/>
    <cellStyle name="Migliaia 15 3 7 2" xfId="33196" xr:uid="{725C7AAF-8892-4AB6-B275-E3FEE32E3394}"/>
    <cellStyle name="Migliaia 15 3 7 2 2" xfId="38577" xr:uid="{4238FA93-64EC-4848-8856-24090CE9A882}"/>
    <cellStyle name="Migliaia 15 3 7 2 3" xfId="43879" xr:uid="{88AF4724-1761-4840-90AA-23591146BFDB}"/>
    <cellStyle name="Migliaia 15 3 7 3" xfId="36093" xr:uid="{A443084D-6F24-47EA-AC63-1EE69E7BBCE7}"/>
    <cellStyle name="Migliaia 15 3 7 4" xfId="41228" xr:uid="{52EDE628-774D-4044-AC96-39943BA419EB}"/>
    <cellStyle name="Migliaia 15 3 7 5" xfId="12240" xr:uid="{CCA112BB-E2C6-4AD6-AAB7-73534765989F}"/>
    <cellStyle name="Migliaia 15 3 8" xfId="3197" xr:uid="{BECCB3E2-8A0A-487C-964D-9A075F5A9432}"/>
    <cellStyle name="Migliaia 15 3 8 2" xfId="33197" xr:uid="{703D4EC3-98DB-4B6B-AC3C-740BC567ADA2}"/>
    <cellStyle name="Migliaia 15 3 8 2 2" xfId="38578" xr:uid="{54CA03AE-C1E2-4F6C-8863-C158895728F9}"/>
    <cellStyle name="Migliaia 15 3 8 2 3" xfId="43880" xr:uid="{00BF184E-A4F7-443B-AC4A-24994736A3A1}"/>
    <cellStyle name="Migliaia 15 3 8 3" xfId="36094" xr:uid="{5E5D7CF4-CBF3-4AD0-958A-5E1092D42A99}"/>
    <cellStyle name="Migliaia 15 3 8 4" xfId="41229" xr:uid="{9022CFAC-355B-4193-B4A6-284AFCD79C95}"/>
    <cellStyle name="Migliaia 15 3 8 5" xfId="24338" xr:uid="{3EABDB17-BA7A-4479-ACC5-1ED84CBA7055}"/>
    <cellStyle name="Migliaia 15 3 8 6" xfId="17409" xr:uid="{14495BB6-89B9-4B3F-B2FD-EB222FBC98E3}"/>
    <cellStyle name="Migliaia 15 3 9" xfId="19918" xr:uid="{CF096428-5BDE-4C2F-82FB-775202223F29}"/>
    <cellStyle name="Migliaia 15 4" xfId="1685" xr:uid="{00000000-0005-0000-0000-0000F4020000}"/>
    <cellStyle name="Migliaia 15 4 2" xfId="1686" xr:uid="{00000000-0005-0000-0000-0000F5020000}"/>
    <cellStyle name="Migliaia 15 4 2 2" xfId="4930" xr:uid="{F0315FC7-1B6D-4DCB-9A82-93271EAED387}"/>
    <cellStyle name="Migliaia 15 4 2 2 2" xfId="33198" xr:uid="{0A49BFED-3FD1-40F3-AAAD-4DF062533BB6}"/>
    <cellStyle name="Migliaia 15 4 2 2 2 2" xfId="38579" xr:uid="{15FE8F4A-6C7D-42CF-BDD3-A2639A7705AE}"/>
    <cellStyle name="Migliaia 15 4 2 2 2 3" xfId="43881" xr:uid="{4235525F-2439-43BB-BD7D-0404B39D977D}"/>
    <cellStyle name="Migliaia 15 4 2 2 3" xfId="36095" xr:uid="{876AA161-0D39-4755-AD01-0358D3971840}"/>
    <cellStyle name="Migliaia 15 4 2 2 4" xfId="41230" xr:uid="{D678CC23-7220-4933-B139-10707F46C501}"/>
    <cellStyle name="Migliaia 15 4 2 2 5" xfId="9120" xr:uid="{08009A0D-0411-42B7-A91C-BD7D2F5D3A33}"/>
    <cellStyle name="Migliaia 15 4 2 3" xfId="3204" xr:uid="{D7D70FDB-1670-4614-90A7-3910191D886B}"/>
    <cellStyle name="Migliaia 15 4 2 3 2" xfId="33199" xr:uid="{F7FF87C4-5742-436D-A4C3-45C8D650F781}"/>
    <cellStyle name="Migliaia 15 4 2 3 2 2" xfId="38580" xr:uid="{C6075D65-73C4-4812-9162-A9EB89BF9FF3}"/>
    <cellStyle name="Migliaia 15 4 2 3 2 3" xfId="43882" xr:uid="{1859AF7B-8811-438A-BC9D-B5D6A9CC96AC}"/>
    <cellStyle name="Migliaia 15 4 2 3 3" xfId="36096" xr:uid="{34453133-AC57-47B9-B2AA-2C7229371A69}"/>
    <cellStyle name="Migliaia 15 4 2 3 4" xfId="41231" xr:uid="{77D37543-0143-4EE0-AB5D-6DE1BC0ADFD5}"/>
    <cellStyle name="Migliaia 15 4 2 3 5" xfId="11909" xr:uid="{1799EF63-05F0-45EF-85F4-7612DA0ED60D}"/>
    <cellStyle name="Migliaia 15 4 2 4" xfId="11262" xr:uid="{7EC25FB2-1DA8-4D80-8F80-CA5058E4CA8D}"/>
    <cellStyle name="Migliaia 15 4 2 5" xfId="10763" xr:uid="{4127AC4B-6ECF-4E0A-93C0-8829EE2F7A52}"/>
    <cellStyle name="Migliaia 15 4 2 5 2" xfId="21398" xr:uid="{A2D8743D-2CB8-4BC6-AEF1-02E055AFD249}"/>
    <cellStyle name="Migliaia 15 4 2 5 3" xfId="46211" xr:uid="{99815DE9-BB18-490E-8A20-746DBB447059}"/>
    <cellStyle name="Migliaia 15 4 2 5 4" xfId="50413" xr:uid="{46629FC9-E433-4B57-87D8-72584957D39D}"/>
    <cellStyle name="Migliaia 15 4 2 5 5" xfId="53429" xr:uid="{148571E1-3084-46A9-9822-96954AE1B0DB}"/>
    <cellStyle name="Migliaia 15 4 2 6" xfId="19929" xr:uid="{D74E1B6F-2760-4C77-874F-D05F30A29F7A}"/>
    <cellStyle name="Migliaia 15 4 2 7" xfId="24340" xr:uid="{96CB7F97-AC59-4E45-9D8D-FE7669A75A32}"/>
    <cellStyle name="Migliaia 15 4 2 8" xfId="8519" xr:uid="{FD2BA068-62EA-4FF6-85F5-71F951A3F397}"/>
    <cellStyle name="Migliaia 15 4 3" xfId="4929" xr:uid="{74F9374A-0F94-4442-8850-61E54C977B71}"/>
    <cellStyle name="Migliaia 15 4 3 2" xfId="18175" xr:uid="{8B019767-B1F3-42EF-A955-1C7D80B4D1FB}"/>
    <cellStyle name="Migliaia 15 4 3 2 2" xfId="38581" xr:uid="{00B5773E-0D4C-4110-8EBF-7E92CD4E2CCA}"/>
    <cellStyle name="Migliaia 15 4 3 2 3" xfId="43883" xr:uid="{FC0B8896-3A09-46BC-B9FE-4E20D708E407}"/>
    <cellStyle name="Migliaia 15 4 3 3" xfId="36097" xr:uid="{0C39596F-2AE3-4AAD-BDA7-8312594EB738}"/>
    <cellStyle name="Migliaia 15 4 3 4" xfId="41232" xr:uid="{9584CA4A-AE03-4700-B778-E587640AE6FB}"/>
    <cellStyle name="Migliaia 15 4 3 5" xfId="17407" xr:uid="{AFE243A3-15AC-4333-8555-5C256223B302}"/>
    <cellStyle name="Migliaia 15 4 3 6" xfId="9121" xr:uid="{CE69A2CE-8514-46CA-BCB4-8A375BC4A440}"/>
    <cellStyle name="Migliaia 15 4 4" xfId="6147" xr:uid="{99B47C6C-44E3-432F-BEF7-061E82C9C296}"/>
    <cellStyle name="Migliaia 15 4 4 2" xfId="33200" xr:uid="{225C6E99-BCDD-4A7D-A21C-BADCD06609BF}"/>
    <cellStyle name="Migliaia 15 4 4 2 2" xfId="38582" xr:uid="{CDEDD6E6-0962-4D30-9340-27817EF1D7F7}"/>
    <cellStyle name="Migliaia 15 4 4 2 3" xfId="43884" xr:uid="{93D50303-D849-421F-8E5E-AC543B46C274}"/>
    <cellStyle name="Migliaia 15 4 4 3" xfId="36098" xr:uid="{79F9080E-B9E7-47CE-A4E3-6A4639E34617}"/>
    <cellStyle name="Migliaia 15 4 4 4" xfId="41233" xr:uid="{BCFF5229-2614-4637-B319-FA3511BEE021}"/>
    <cellStyle name="Migliaia 15 4 4 5" xfId="11910" xr:uid="{8262A869-0C79-46BD-B010-CA258380DAE7}"/>
    <cellStyle name="Migliaia 15 4 5" xfId="3203" xr:uid="{3C459EEA-2071-4A48-9706-F3AA822F3A39}"/>
    <cellStyle name="Migliaia 15 4 5 2" xfId="33201" xr:uid="{B5F1F146-AD1E-443C-8907-D57DF38914A0}"/>
    <cellStyle name="Migliaia 15 4 5 2 2" xfId="38583" xr:uid="{D722A848-8E23-4F6D-9D01-57AC030B2A60}"/>
    <cellStyle name="Migliaia 15 4 5 2 3" xfId="43885" xr:uid="{F3A4B3B9-C2EC-4932-A1C1-C2FF657666AE}"/>
    <cellStyle name="Migliaia 15 4 5 3" xfId="36099" xr:uid="{4C9B3F0C-4CD9-4FFB-8EBC-9E3EBCDA3CCE}"/>
    <cellStyle name="Migliaia 15 4 5 4" xfId="41234" xr:uid="{CC916DAA-BD2A-4D9D-B519-B7141A50A5CA}"/>
    <cellStyle name="Migliaia 15 4 5 5" xfId="11261" xr:uid="{25DF2ABC-5AB5-49D2-86D1-1EFCB326376D}"/>
    <cellStyle name="Migliaia 15 4 6" xfId="10762" xr:uid="{09143AFD-0ABB-4F1B-883F-A1DA59BEADFC}"/>
    <cellStyle name="Migliaia 15 4 6 2" xfId="21397" xr:uid="{5251B042-ED16-4026-ADDF-BE0CBF8F1C69}"/>
    <cellStyle name="Migliaia 15 4 6 2 2" xfId="38584" xr:uid="{903DD8CB-B6F7-419B-A9BB-FD08F0604A15}"/>
    <cellStyle name="Migliaia 15 4 6 2 3" xfId="43886" xr:uid="{20CE1D35-53C7-4261-8460-0CD3F7FC5281}"/>
    <cellStyle name="Migliaia 15 4 6 2 4" xfId="33202" xr:uid="{D99B4463-4F33-4E85-82EF-2E7C382C63BD}"/>
    <cellStyle name="Migliaia 15 4 6 3" xfId="36100" xr:uid="{D53F2F64-EE9B-4AC0-9CC7-F7F0FCDAD3DD}"/>
    <cellStyle name="Migliaia 15 4 6 4" xfId="41235" xr:uid="{845009BB-DDAE-4480-968F-9E2F52FA5243}"/>
    <cellStyle name="Migliaia 15 4 6 5" xfId="24341" xr:uid="{D2CCA8C5-76F0-4006-B720-581FB04CE051}"/>
    <cellStyle name="Migliaia 15 4 6 6" xfId="48171" xr:uid="{1D6983AF-E2C4-4213-A661-246918E54E99}"/>
    <cellStyle name="Migliaia 15 4 6 7" xfId="50412" xr:uid="{C7FA1F9B-178B-48DB-9F27-4BDD74053704}"/>
    <cellStyle name="Migliaia 15 4 6 8" xfId="53428" xr:uid="{839A56CC-F103-49C0-AFA5-CB3519C272DA}"/>
    <cellStyle name="Migliaia 15 4 7" xfId="19928" xr:uid="{E8C8E4FC-9621-4925-BE3D-51AA09C436CD}"/>
    <cellStyle name="Migliaia 15 4 7 2" xfId="33203" xr:uid="{A6CF1D92-4817-4F0C-9298-36D0381852C9}"/>
    <cellStyle name="Migliaia 15 4 7 2 2" xfId="38585" xr:uid="{CA13D40F-EC12-42FF-98F3-D2FDC20803AB}"/>
    <cellStyle name="Migliaia 15 4 7 2 3" xfId="43887" xr:uid="{AB2FD64F-D60C-4EF2-A592-673651223788}"/>
    <cellStyle name="Migliaia 15 4 7 3" xfId="36101" xr:uid="{8E1653DB-6071-479E-B5A6-BB4CB250645C}"/>
    <cellStyle name="Migliaia 15 4 7 4" xfId="41236" xr:uid="{4EFF631D-D700-4867-8828-8F3FBD947E39}"/>
    <cellStyle name="Migliaia 15 4 7 5" xfId="24342" xr:uid="{0BBB819A-9B21-4C29-8A5C-F8B85224AA21}"/>
    <cellStyle name="Migliaia 15 4 8" xfId="24339" xr:uid="{83696358-CEE8-462E-953D-7119B70AA20D}"/>
    <cellStyle name="Migliaia 15 4 9" xfId="7329" xr:uid="{B298B8B8-ECDB-49C3-9E3C-6964125295FB}"/>
    <cellStyle name="Migliaia 15 5" xfId="1687" xr:uid="{00000000-0005-0000-0000-0000F6020000}"/>
    <cellStyle name="Migliaia 15 5 2" xfId="4931" xr:uid="{406E4B41-3978-412D-A8EB-3DAE53749793}"/>
    <cellStyle name="Migliaia 15 5 2 2" xfId="18377" xr:uid="{CDC6A4D0-C079-4024-9D34-F2CD41D9A3E4}"/>
    <cellStyle name="Migliaia 15 5 2 2 2" xfId="38586" xr:uid="{98BE843E-DA04-4997-B8FF-443DBBA238D3}"/>
    <cellStyle name="Migliaia 15 5 2 2 3" xfId="43888" xr:uid="{6CCAE07D-6005-4DE8-8FEB-93D8CB634ABE}"/>
    <cellStyle name="Migliaia 15 5 2 3" xfId="19931" xr:uid="{6A9507A3-0A7E-40E9-A86F-75AC01E3353F}"/>
    <cellStyle name="Migliaia 15 5 2 3 2" xfId="36102" xr:uid="{8AA64F52-E913-40E3-ADF8-3720788E40E6}"/>
    <cellStyle name="Migliaia 15 5 2 4" xfId="41237" xr:uid="{E03F0380-96D2-482E-A5AE-3A2E2159DBC6}"/>
    <cellStyle name="Migliaia 15 5 2 5" xfId="16101" xr:uid="{1CECC315-7CD2-48A6-A99B-EF21C5E4E829}"/>
    <cellStyle name="Migliaia 15 5 2 6" xfId="8520" xr:uid="{C0AF20CB-9D0B-4AD1-8448-8EBA53EE0AFC}"/>
    <cellStyle name="Migliaia 15 5 3" xfId="6148" xr:uid="{BAEB0A72-3CED-432B-B54F-15E743DD28F3}"/>
    <cellStyle name="Migliaia 15 5 3 2" xfId="33204" xr:uid="{C1A468E7-D95B-4F87-8541-C795A769D11F}"/>
    <cellStyle name="Migliaia 15 5 3 2 2" xfId="38587" xr:uid="{A1DFF070-3B6D-4E2E-8CEE-49FEA2974945}"/>
    <cellStyle name="Migliaia 15 5 3 2 3" xfId="43889" xr:uid="{D1DAD569-5BBD-4FD1-AA9E-1F1B6DCE1AA1}"/>
    <cellStyle name="Migliaia 15 5 3 3" xfId="36103" xr:uid="{4034F7FB-1731-4316-8082-028602A9FCDE}"/>
    <cellStyle name="Migliaia 15 5 3 4" xfId="41238" xr:uid="{8B0ACE90-4E5B-491B-BA7B-65170AD6B89E}"/>
    <cellStyle name="Migliaia 15 5 3 5" xfId="11263" xr:uid="{58466D27-32F6-4AA0-A93B-F0E4FBBD5558}"/>
    <cellStyle name="Migliaia 15 5 4" xfId="3205" xr:uid="{A1490F85-18DA-4582-A053-BD0899C472C3}"/>
    <cellStyle name="Migliaia 15 5 4 2" xfId="21399" xr:uid="{F9EC2B49-DF8F-4CCF-BB48-FC4AC45C6C88}"/>
    <cellStyle name="Migliaia 15 5 4 2 2" xfId="38588" xr:uid="{D9848CF4-5E00-442D-ACD4-4994ADFE1430}"/>
    <cellStyle name="Migliaia 15 5 4 2 3" xfId="43890" xr:uid="{B57A342A-3D7B-4D3D-85D1-872947390C4F}"/>
    <cellStyle name="Migliaia 15 5 4 2 4" xfId="33205" xr:uid="{B0ECC455-8D57-47DF-8A93-85C4F931EBCA}"/>
    <cellStyle name="Migliaia 15 5 4 3" xfId="36104" xr:uid="{D9EE240B-C4CC-4EF7-8147-045ABAA253AC}"/>
    <cellStyle name="Migliaia 15 5 4 4" xfId="41239" xr:uid="{15FF85F9-02C1-4A67-8AC5-1E7F00DE665A}"/>
    <cellStyle name="Migliaia 15 5 4 5" xfId="24344" xr:uid="{B1D1788A-AD8E-46C6-92A1-F1D951909493}"/>
    <cellStyle name="Migliaia 15 5 4 6" xfId="33089" xr:uid="{9714EC3B-5AE4-4D29-AB26-B7B01383F863}"/>
    <cellStyle name="Migliaia 15 5 4 7" xfId="50414" xr:uid="{4C730DE1-3922-473C-9E11-ACB5C63E4D72}"/>
    <cellStyle name="Migliaia 15 5 4 8" xfId="53430" xr:uid="{E7ADE665-B312-45A4-9B84-8A2FDF0F50C7}"/>
    <cellStyle name="Migliaia 15 5 4 9" xfId="10764" xr:uid="{50C18D8C-6415-49EA-BF7D-D7BE8AC47A69}"/>
    <cellStyle name="Migliaia 15 5 5" xfId="19930" xr:uid="{59CBCC75-CBF0-47B9-90EE-EE4A9D8C9F68}"/>
    <cellStyle name="Migliaia 15 5 5 2" xfId="33206" xr:uid="{612D6F72-9062-44E5-AB21-6E83A9788EF7}"/>
    <cellStyle name="Migliaia 15 5 5 2 2" xfId="38589" xr:uid="{A0642FC7-1CB4-4182-B34F-DFE5DE79C1BD}"/>
    <cellStyle name="Migliaia 15 5 5 2 3" xfId="43891" xr:uid="{78C09E2F-E92A-4BCA-B047-006BF4354802}"/>
    <cellStyle name="Migliaia 15 5 5 3" xfId="36105" xr:uid="{3DDAADC9-4491-4367-A98A-FC6A425B5A63}"/>
    <cellStyle name="Migliaia 15 5 5 4" xfId="41240" xr:uid="{A471E0F8-0214-41BD-BEEC-2C52192C817F}"/>
    <cellStyle name="Migliaia 15 5 5 5" xfId="24345" xr:uid="{F0B2258F-8CE9-4CB2-AC00-264EA0E794EB}"/>
    <cellStyle name="Migliaia 15 5 6" xfId="24346" xr:uid="{EAC7EE6C-315E-414E-9672-2AE70720EF6F}"/>
    <cellStyle name="Migliaia 15 5 6 2" xfId="33207" xr:uid="{DA190A61-34AA-48A0-894C-761697F9E0AF}"/>
    <cellStyle name="Migliaia 15 5 6 2 2" xfId="38590" xr:uid="{2F21BCA3-90D6-4CAC-AC33-84CF97C30373}"/>
    <cellStyle name="Migliaia 15 5 6 2 3" xfId="43892" xr:uid="{A8484B54-A080-4F03-ADEE-444C0E893B33}"/>
    <cellStyle name="Migliaia 15 5 6 3" xfId="36106" xr:uid="{69539C14-30F7-463C-B90B-C30D24D07186}"/>
    <cellStyle name="Migliaia 15 5 6 4" xfId="41241" xr:uid="{F54B652D-CDA4-4C29-86D0-51E4D8F21E1E}"/>
    <cellStyle name="Migliaia 15 5 7" xfId="24343" xr:uid="{37C3FFD0-BF64-4685-A65C-F662C5E34274}"/>
    <cellStyle name="Migliaia 15 5 8" xfId="7330" xr:uid="{A543D059-332E-4B16-9F79-A3D59272FC87}"/>
    <cellStyle name="Migliaia 15 6" xfId="3206" xr:uid="{91C84716-3AB3-47AC-814F-628D07476DA0}"/>
    <cellStyle name="Migliaia 15 6 2" xfId="4932" xr:uid="{41DEB13C-20EF-4157-91D8-656487658DA6}"/>
    <cellStyle name="Migliaia 15 6 2 2" xfId="9893" xr:uid="{73946358-1D0F-43CE-9329-A27CEDCDFAF8}"/>
    <cellStyle name="Migliaia 15 6 2 3" xfId="18674" xr:uid="{E6AA9546-4717-473A-BB41-A57AAA133938}"/>
    <cellStyle name="Migliaia 15 6 2 4" xfId="19933" xr:uid="{C4EDBF7B-3B3F-4EF8-BA80-F2F6D26A87B4}"/>
    <cellStyle name="Migliaia 15 6 2 5" xfId="32313" xr:uid="{686DB2CC-B738-4D1B-8301-4766E072F276}"/>
    <cellStyle name="Migliaia 15 6 2 6" xfId="16103" xr:uid="{5C5CF37B-580E-44AC-8BED-E0D0189E2CA1}"/>
    <cellStyle name="Migliaia 15 6 2 7" xfId="8515" xr:uid="{15DFE0EB-B2B7-47C3-B027-A88F57D55162}"/>
    <cellStyle name="Migliaia 15 6 3" xfId="6149" xr:uid="{F5E79BA5-3C71-44DA-991A-6F3A3698B9D2}"/>
    <cellStyle name="Migliaia 15 6 3 2" xfId="35167" xr:uid="{E3680E98-E574-4F63-B08E-7C2A7F807C15}"/>
    <cellStyle name="Migliaia 15 6 3 2 2" xfId="40325" xr:uid="{FFC783FE-B82F-4498-8CF6-F47623F60559}"/>
    <cellStyle name="Migliaia 15 6 3 2 3" xfId="45627" xr:uid="{A50215F3-16DF-4D05-B958-B3812D371080}"/>
    <cellStyle name="Migliaia 15 6 3 3" xfId="37674" xr:uid="{1F73D95C-3861-4B73-9809-DAF20BD891C4}"/>
    <cellStyle name="Migliaia 15 6 3 4" xfId="42976" xr:uid="{4562C6A3-B2C3-4DA9-8B66-58301540C506}"/>
    <cellStyle name="Migliaia 15 6 3 5" xfId="9656" xr:uid="{B248C432-D489-4608-88F4-81F15FABD68C}"/>
    <cellStyle name="Migliaia 15 6 4" xfId="19932" xr:uid="{EDF20483-B7DA-447C-BCC8-E23106825C09}"/>
    <cellStyle name="Migliaia 15 6 4 2" xfId="38591" xr:uid="{856FE62C-EB8F-4513-B33D-40C5F6DCFDCB}"/>
    <cellStyle name="Migliaia 15 6 4 3" xfId="43893" xr:uid="{FFFC54FF-E489-4287-B71D-86CB4A87551C}"/>
    <cellStyle name="Migliaia 15 6 4 4" xfId="33208" xr:uid="{21065ECC-AF19-4A1A-9926-B1DFFEEAD8C1}"/>
    <cellStyle name="Migliaia 15 6 5" xfId="36107" xr:uid="{FE884AA2-B617-4AA9-A1F4-5DD036E9C322}"/>
    <cellStyle name="Migliaia 15 6 6" xfId="41242" xr:uid="{E6FB7D0C-4B39-45D9-80A5-59757D635509}"/>
    <cellStyle name="Migliaia 15 6 7" xfId="16102" xr:uid="{DFA394D4-90EB-4456-9A39-74B63A3B24F8}"/>
    <cellStyle name="Migliaia 15 6 8" xfId="7325" xr:uid="{C22DC42A-F004-493C-ACB8-64D07B7AC35B}"/>
    <cellStyle name="Migliaia 15 7" xfId="3207" xr:uid="{C2051085-84AA-4FB9-B3A2-8112F538E386}"/>
    <cellStyle name="Migliaia 15 7 2" xfId="4933" xr:uid="{97DD9A87-770D-4E17-9423-B9792975C01C}"/>
    <cellStyle name="Migliaia 15 7 2 2" xfId="35168" xr:uid="{77233111-71DF-4132-B39A-3C13E3BD6034}"/>
    <cellStyle name="Migliaia 15 7 2 2 2" xfId="40326" xr:uid="{9635E57B-0E1F-4262-8BBE-A282881F2E7D}"/>
    <cellStyle name="Migliaia 15 7 2 2 3" xfId="45628" xr:uid="{29CD9648-43EB-4BCE-9387-5FB9F809671C}"/>
    <cellStyle name="Migliaia 15 7 2 3" xfId="37675" xr:uid="{06F1AA65-FCF7-4C13-A5D2-BE1FCBEF267A}"/>
    <cellStyle name="Migliaia 15 7 2 4" xfId="42977" xr:uid="{6882F342-27A7-4E5C-91E9-6D9A6B47DEAB}"/>
    <cellStyle name="Migliaia 15 7 2 5" xfId="14196" xr:uid="{0A07FD1D-100F-49F9-A7EB-5A5440DDB266}"/>
    <cellStyle name="Migliaia 15 7 3" xfId="6150" xr:uid="{9D13C3A7-40DD-4DC9-A1C1-319CB80BC3E1}"/>
    <cellStyle name="Migliaia 15 7 3 2" xfId="38592" xr:uid="{B0CEC19E-3193-434C-954E-CDEC1FC2343C}"/>
    <cellStyle name="Migliaia 15 7 3 3" xfId="43894" xr:uid="{34E9F4E8-3C5A-46E0-839E-61805697986D}"/>
    <cellStyle name="Migliaia 15 7 3 4" xfId="33209" xr:uid="{3F1DA8E6-7BAC-426C-B1AD-B1940613111B}"/>
    <cellStyle name="Migliaia 15 7 3 5" xfId="19934" xr:uid="{D3651384-8636-454E-8D10-8742019EAEF4}"/>
    <cellStyle name="Migliaia 15 7 4" xfId="36108" xr:uid="{D4E69C3B-1A8B-4E54-A367-EEEFA0707C2E}"/>
    <cellStyle name="Migliaia 15 7 5" xfId="41243" xr:uid="{F07389DE-D396-43B4-8909-8D578361C9B9}"/>
    <cellStyle name="Migliaia 15 7 6" xfId="16104" xr:uid="{82DF921F-81C9-498D-9FFE-28E05C34C955}"/>
    <cellStyle name="Migliaia 15 7 7" xfId="8258" xr:uid="{40352F0E-DE47-488C-90B1-133DB4061443}"/>
    <cellStyle name="Migliaia 15 8" xfId="3208" xr:uid="{F9FB3714-966D-4FD4-84D8-F3EEDB8F10D0}"/>
    <cellStyle name="Migliaia 15 8 2" xfId="4934" xr:uid="{34E7FDAB-5CED-485A-BA5F-DDB25AF1A923}"/>
    <cellStyle name="Migliaia 15 8 2 2" xfId="35169" xr:uid="{67B1BC95-9AC0-4A58-88BB-80CA8C9401C7}"/>
    <cellStyle name="Migliaia 15 8 2 2 2" xfId="40327" xr:uid="{311012E3-D276-4BB1-A153-625CEA4F7A3F}"/>
    <cellStyle name="Migliaia 15 8 2 2 3" xfId="45629" xr:uid="{AD984597-3329-4A11-9406-78E290C18142}"/>
    <cellStyle name="Migliaia 15 8 2 3" xfId="37676" xr:uid="{15520B55-D864-44EF-91B0-E81AE0AD7607}"/>
    <cellStyle name="Migliaia 15 8 2 4" xfId="42978" xr:uid="{0E54E2B6-CBBD-4546-8455-CE1C78C4842D}"/>
    <cellStyle name="Migliaia 15 8 2 5" xfId="13899" xr:uid="{7C7BE377-4C25-4F1E-B4C0-AEC680E38782}"/>
    <cellStyle name="Migliaia 15 8 3" xfId="6151" xr:uid="{C46C367F-F677-4C36-AC0E-3E931A673B03}"/>
    <cellStyle name="Migliaia 15 8 3 2" xfId="38593" xr:uid="{E788DFCE-5D09-4061-8A10-4786C4B7F338}"/>
    <cellStyle name="Migliaia 15 8 3 3" xfId="43895" xr:uid="{78B258E9-AB28-4BEB-AFD9-1C3D1209D841}"/>
    <cellStyle name="Migliaia 15 8 3 4" xfId="33210" xr:uid="{E6BE2D53-2319-46F1-B8CC-18811ADE838A}"/>
    <cellStyle name="Migliaia 15 8 3 5" xfId="19935" xr:uid="{43378650-EB70-4468-9779-28A11CB55F2F}"/>
    <cellStyle name="Migliaia 15 8 4" xfId="36109" xr:uid="{0DC367DB-C70F-4686-92FD-D91BACD6B171}"/>
    <cellStyle name="Migliaia 15 8 5" xfId="41244" xr:uid="{B9E900DC-FCE9-4A2E-92ED-52C94EA2167F}"/>
    <cellStyle name="Migliaia 15 8 6" xfId="16105" xr:uid="{2C64FBDB-3FE3-45E5-86F1-63293CAC2349}"/>
    <cellStyle name="Migliaia 15 8 7" xfId="7843" xr:uid="{D40F5D92-DD8D-4C3B-9969-4AD4B48D2D8F}"/>
    <cellStyle name="Migliaia 15 9" xfId="4919" xr:uid="{29D03140-C706-474F-B3A8-566A2EC01030}"/>
    <cellStyle name="Migliaia 15 9 2" xfId="33211" xr:uid="{C8249F94-F5A3-4151-A7E8-21C27EAAFE39}"/>
    <cellStyle name="Migliaia 15 9 2 2" xfId="38594" xr:uid="{9AE1B65F-C3B1-4D7C-AD04-4D261E07C8E9}"/>
    <cellStyle name="Migliaia 15 9 2 3" xfId="43896" xr:uid="{F05446DD-2394-40D9-9C37-ED392EDAC6F4}"/>
    <cellStyle name="Migliaia 15 9 3" xfId="36110" xr:uid="{B01CA184-B9FC-4C79-B0CA-545ED79EAB34}"/>
    <cellStyle name="Migliaia 15 9 4" xfId="41245" xr:uid="{2ACBCD6F-0454-4578-9F60-560173BF612C}"/>
    <cellStyle name="Migliaia 15 9 5" xfId="17147" xr:uid="{186D5303-3F8F-4BAA-8C28-C568FB516A29}"/>
    <cellStyle name="Migliaia 16" xfId="325" xr:uid="{00000000-0005-0000-0000-0000F7020000}"/>
    <cellStyle name="Migliaia 16 10" xfId="6152" xr:uid="{A458F813-D2A8-40BA-9C11-FB508621C721}"/>
    <cellStyle name="Migliaia 16 10 2" xfId="38595" xr:uid="{580FFBBD-6EC9-45B7-BA77-128414CDB4C1}"/>
    <cellStyle name="Migliaia 16 10 3" xfId="43897" xr:uid="{1A4E3B8B-F111-4F77-B3E1-05B0AEC42DCE}"/>
    <cellStyle name="Migliaia 16 10 4" xfId="33212" xr:uid="{6B4A887F-920F-4474-B4B2-FCFB205C13D4}"/>
    <cellStyle name="Migliaia 16 10 5" xfId="19936" xr:uid="{EB13F93B-E979-4758-938C-945A5C438237}"/>
    <cellStyle name="Migliaia 16 11" xfId="3209" xr:uid="{D0E80C30-C1E1-4410-97DE-A42569E1E65E}"/>
    <cellStyle name="Migliaia 16 11 2" xfId="36111" xr:uid="{A23FF212-4C7F-4E1D-A939-D7C90131A548}"/>
    <cellStyle name="Migliaia 16 12" xfId="41246" xr:uid="{E4D5949E-EBFF-494E-B7E1-4DCA133B8C1D}"/>
    <cellStyle name="Migliaia 16 13" xfId="7062" xr:uid="{E9BCFE29-E45D-400C-B93D-B298A40B27F1}"/>
    <cellStyle name="Migliaia 16 2" xfId="326" xr:uid="{00000000-0005-0000-0000-0000F8020000}"/>
    <cellStyle name="Migliaia 16 2 2" xfId="1688" xr:uid="{00000000-0005-0000-0000-0000F9020000}"/>
    <cellStyle name="Migliaia 16 2 2 2" xfId="4937" xr:uid="{E1DD2827-8E5B-4DB5-A199-FEF4BD8CCCE4}"/>
    <cellStyle name="Migliaia 16 2 2 2 2" xfId="14369" xr:uid="{48F4A20E-F1E4-4070-B3BC-A290754EDA14}"/>
    <cellStyle name="Migliaia 16 2 2 2 2 2" xfId="38596" xr:uid="{483DED47-1434-4E37-877C-CB58C6A81953}"/>
    <cellStyle name="Migliaia 16 2 2 2 2 3" xfId="43898" xr:uid="{575A14C4-A833-41E5-AD60-5976B456FAE4}"/>
    <cellStyle name="Migliaia 16 2 2 2 3" xfId="18378" xr:uid="{80923644-EC6E-4E8E-9D85-932BC2E69DA0}"/>
    <cellStyle name="Migliaia 16 2 2 2 4" xfId="19939" xr:uid="{D828F2D0-763D-4811-A6F0-AA28B33822C7}"/>
    <cellStyle name="Migliaia 16 2 2 2 4 2" xfId="41247" xr:uid="{39A4F227-7A83-46B0-B968-F2722EADCE22}"/>
    <cellStyle name="Migliaia 16 2 2 2 5" xfId="16106" xr:uid="{B60F561A-C698-4358-9B46-3A8C0B586E39}"/>
    <cellStyle name="Migliaia 16 2 2 2 6" xfId="8522" xr:uid="{255A2A75-E874-450A-8E7F-B277971E51B5}"/>
    <cellStyle name="Migliaia 16 2 2 3" xfId="6154" xr:uid="{D660994A-5113-4282-AFB3-817CC42605D2}"/>
    <cellStyle name="Migliaia 16 2 2 3 2" xfId="35170" xr:uid="{4AC40687-A37B-4099-BAA0-658C94BEEBA3}"/>
    <cellStyle name="Migliaia 16 2 2 3 2 2" xfId="40328" xr:uid="{B571613A-E271-4F48-8904-85B88238A82A}"/>
    <cellStyle name="Migliaia 16 2 2 3 2 3" xfId="45630" xr:uid="{B26B5A04-E65A-4C70-B0F7-76419BFA3732}"/>
    <cellStyle name="Migliaia 16 2 2 3 3" xfId="37677" xr:uid="{67EF8772-6F3C-4910-B63C-33918878E8CF}"/>
    <cellStyle name="Migliaia 16 2 2 3 4" xfId="42979" xr:uid="{13138C05-CD9C-46C2-BAA1-822B9E657BDC}"/>
    <cellStyle name="Migliaia 16 2 2 3 5" xfId="11598" xr:uid="{CF440F0E-40C9-4C1B-8573-57687949BC45}"/>
    <cellStyle name="Migliaia 16 2 2 4" xfId="3211" xr:uid="{324ED930-B00C-4F15-8EFB-D7046203C253}"/>
    <cellStyle name="Migliaia 16 2 2 4 2" xfId="21400" xr:uid="{21EFAF0C-D56C-4220-A2D5-0023E5CAEC74}"/>
    <cellStyle name="Migliaia 16 2 2 4 3" xfId="47115" xr:uid="{106AA8EA-36D6-4645-A770-BA731C3F807D}"/>
    <cellStyle name="Migliaia 16 2 2 4 4" xfId="50415" xr:uid="{CADF2D6D-2692-479F-B08B-2F545BAEE0F0}"/>
    <cellStyle name="Migliaia 16 2 2 4 5" xfId="53431" xr:uid="{2744779D-CC06-4333-AD68-632394E11433}"/>
    <cellStyle name="Migliaia 16 2 2 4 6" xfId="10765" xr:uid="{AF36D93C-E3F0-4583-B2E7-E61EA757AA1D}"/>
    <cellStyle name="Migliaia 16 2 2 5" xfId="19938" xr:uid="{75793145-35F6-4048-8A4D-EEFD805327A4}"/>
    <cellStyle name="Migliaia 16 2 2 6" xfId="24348" xr:uid="{C89C41FE-786D-43A5-8F33-3C92A1A6B1AB}"/>
    <cellStyle name="Migliaia 16 2 2 7" xfId="7332" xr:uid="{C186AF65-D7A1-4C43-A706-6540EE788DD7}"/>
    <cellStyle name="Migliaia 16 2 3" xfId="3212" xr:uid="{8D050877-C74C-4E3B-BF05-0027D5C5482C}"/>
    <cellStyle name="Migliaia 16 2 3 2" xfId="4938" xr:uid="{25BA2046-E345-4D53-9150-232D9788F847}"/>
    <cellStyle name="Migliaia 16 2 3 2 2" xfId="35171" xr:uid="{0ADF95AA-8E7F-4F53-A2E7-FA64542A98BA}"/>
    <cellStyle name="Migliaia 16 2 3 2 2 2" xfId="40329" xr:uid="{3842A115-FFA5-4368-A80D-2F29E980C933}"/>
    <cellStyle name="Migliaia 16 2 3 2 2 3" xfId="45631" xr:uid="{3CAA23FA-7F6C-46A8-928C-E251B1E21A6F}"/>
    <cellStyle name="Migliaia 16 2 3 2 3" xfId="37678" xr:uid="{E28C9AE9-BF45-4B6C-955E-4C6F83368F85}"/>
    <cellStyle name="Migliaia 16 2 3 2 4" xfId="42980" xr:uid="{82C04E44-41B6-4B9E-9DCC-499CD0299503}"/>
    <cellStyle name="Migliaia 16 2 3 2 5" xfId="14200" xr:uid="{48631341-D131-4E5C-920B-F92DCF614C25}"/>
    <cellStyle name="Migliaia 16 2 3 3" xfId="6155" xr:uid="{E223A856-631D-4177-B855-17F93EF56F47}"/>
    <cellStyle name="Migliaia 16 2 3 3 2" xfId="38597" xr:uid="{3069F65E-99EC-4701-81E5-24B853157E9E}"/>
    <cellStyle name="Migliaia 16 2 3 3 3" xfId="43899" xr:uid="{1D9A3A2B-8644-4F1B-AA8E-91FAF6A16488}"/>
    <cellStyle name="Migliaia 16 2 3 3 4" xfId="33213" xr:uid="{7A6B18F3-5937-4423-9D4A-6AA5A682A712}"/>
    <cellStyle name="Migliaia 16 2 3 3 5" xfId="19940" xr:uid="{129FBC72-626D-4991-9A32-02A98F2A2B54}"/>
    <cellStyle name="Migliaia 16 2 3 4" xfId="36112" xr:uid="{60B6AA46-8355-421E-919D-337470BF36E1}"/>
    <cellStyle name="Migliaia 16 2 3 5" xfId="41248" xr:uid="{560FA2C2-F049-4599-9ACD-EA193946A008}"/>
    <cellStyle name="Migliaia 16 2 3 6" xfId="16107" xr:uid="{F7530E43-7845-472F-B8D6-8657FDBBA7B5}"/>
    <cellStyle name="Migliaia 16 2 3 7" xfId="8262" xr:uid="{AA5ABC2C-BEC1-4235-A529-7800FEF158B9}"/>
    <cellStyle name="Migliaia 16 2 4" xfId="4936" xr:uid="{A6CD6303-25FE-4FA1-980D-0C8F0846086D}"/>
    <cellStyle name="Migliaia 16 2 4 2" xfId="13903" xr:uid="{1C6018B7-30C1-4058-812C-1976E9DFFAB1}"/>
    <cellStyle name="Migliaia 16 2 4 2 2" xfId="38598" xr:uid="{C4FE7BF6-DDBC-462B-9928-095AA55C1FE4}"/>
    <cellStyle name="Migliaia 16 2 4 2 3" xfId="43900" xr:uid="{5447D9B4-5913-4E6A-B937-8E2483F8A772}"/>
    <cellStyle name="Migliaia 16 2 4 3" xfId="18015" xr:uid="{3EB38968-6DF8-48D0-9188-5BAB43520042}"/>
    <cellStyle name="Migliaia 16 2 4 4" xfId="19941" xr:uid="{0884916E-335F-49A4-B63A-D0A0704898EE}"/>
    <cellStyle name="Migliaia 16 2 4 4 2" xfId="41249" xr:uid="{3D0369B8-B3DD-4755-A559-45901E368969}"/>
    <cellStyle name="Migliaia 16 2 4 5" xfId="16108" xr:uid="{A10AD8B7-2E88-4F55-B4B3-66FB036C890E}"/>
    <cellStyle name="Migliaia 16 2 4 6" xfId="7848" xr:uid="{18CE678E-9656-46D4-880C-EA6F1FE3CE29}"/>
    <cellStyle name="Migliaia 16 2 5" xfId="6153" xr:uid="{B2950C2F-0546-4574-A6DD-4BE0709E50BE}"/>
    <cellStyle name="Migliaia 16 2 5 2" xfId="33214" xr:uid="{8DBB98E3-CB5C-409A-97A2-6FDD46E6B63F}"/>
    <cellStyle name="Migliaia 16 2 5 2 2" xfId="38599" xr:uid="{7C8B14BD-951C-425E-B77F-084A5495556F}"/>
    <cellStyle name="Migliaia 16 2 5 2 3" xfId="43901" xr:uid="{38F1C8C5-6D95-4C73-AF4B-A4E8B382EA2E}"/>
    <cellStyle name="Migliaia 16 2 5 3" xfId="36113" xr:uid="{ED133F94-C983-4F5C-8B6C-231ED2EE94AE}"/>
    <cellStyle name="Migliaia 16 2 5 4" xfId="41250" xr:uid="{50B4E326-E5DE-413E-ACAC-12417BD562B0}"/>
    <cellStyle name="Migliaia 16 2 5 5" xfId="13109" xr:uid="{EB0A5617-FDF1-45CA-8775-A64040C2B70A}"/>
    <cellStyle name="Migliaia 16 2 6" xfId="3210" xr:uid="{8368FD26-3CEC-4A82-80D5-403BC16C9C61}"/>
    <cellStyle name="Migliaia 16 2 6 2" xfId="33215" xr:uid="{0E92BFCF-9DD9-4146-8F03-78481DA34BC9}"/>
    <cellStyle name="Migliaia 16 2 6 2 2" xfId="38600" xr:uid="{534B4425-6322-4315-BA6D-1E930D71C1B8}"/>
    <cellStyle name="Migliaia 16 2 6 2 3" xfId="43902" xr:uid="{21DB6734-8A1C-42EE-A389-1C071CA3A89C}"/>
    <cellStyle name="Migliaia 16 2 6 3" xfId="36114" xr:uid="{BF8547DC-1E9A-4326-83A1-64C5FA8E7BE6}"/>
    <cellStyle name="Migliaia 16 2 6 4" xfId="41251" xr:uid="{9D146AFE-343F-42A4-85F7-321F9A49398F}"/>
    <cellStyle name="Migliaia 16 2 6 5" xfId="24349" xr:uid="{CCDF1F01-BB63-45FC-83F3-BF6443298462}"/>
    <cellStyle name="Migliaia 16 2 6 6" xfId="19937" xr:uid="{CB8D31F7-2BA9-40DA-80F9-0594FE977433}"/>
    <cellStyle name="Migliaia 16 2 7" xfId="24347" xr:uid="{DCF8C17D-F1FF-4296-AA7F-D0D534648B1E}"/>
    <cellStyle name="Migliaia 16 2 8" xfId="7063" xr:uid="{20D80B1C-69F5-4D8B-A5A1-04BF3AA5AD33}"/>
    <cellStyle name="Migliaia 16 3" xfId="327" xr:uid="{00000000-0005-0000-0000-0000FA020000}"/>
    <cellStyle name="Migliaia 16 3 10" xfId="24350" xr:uid="{B1101935-AAA4-4E58-A7F1-D2B0CC60E34E}"/>
    <cellStyle name="Migliaia 16 3 11" xfId="16109" xr:uid="{70794D43-0390-4B01-99C5-B9D0E3A7FF6B}"/>
    <cellStyle name="Migliaia 16 3 12" xfId="7064" xr:uid="{AA8E639A-0D6A-4265-B2FD-7C4FE62ADC78}"/>
    <cellStyle name="Migliaia 16 3 2" xfId="328" xr:uid="{00000000-0005-0000-0000-0000FB020000}"/>
    <cellStyle name="Migliaia 16 3 2 2" xfId="1689" xr:uid="{00000000-0005-0000-0000-0000FC020000}"/>
    <cellStyle name="Migliaia 16 3 2 2 2" xfId="4941" xr:uid="{D5C00C69-87FB-428A-B87A-C0A76BFFEBF9}"/>
    <cellStyle name="Migliaia 16 3 2 2 2 2" xfId="18379" xr:uid="{7D027C33-FF8F-49A2-BDB0-FA39C4851CD1}"/>
    <cellStyle name="Migliaia 16 3 2 2 2 2 2" xfId="21844" xr:uid="{A863E0A2-73EB-4A35-AA4B-7DE60306830F}"/>
    <cellStyle name="Migliaia 16 3 2 2 2 2 2 2" xfId="38601" xr:uid="{13602CA6-863D-45E5-847C-973C06EA5570}"/>
    <cellStyle name="Migliaia 16 3 2 2 2 2 3" xfId="43903" xr:uid="{863AF04C-8573-4EED-817E-9C97AF1780B5}"/>
    <cellStyle name="Migliaia 16 3 2 2 2 2 4" xfId="33216" xr:uid="{8793F260-04CE-40B1-AECE-1E94E2378364}"/>
    <cellStyle name="Migliaia 16 3 2 2 2 3" xfId="36115" xr:uid="{F7801852-DE25-4565-BD81-8B6F72DAE665}"/>
    <cellStyle name="Migliaia 16 3 2 2 2 4" xfId="41252" xr:uid="{660B5676-A503-4A0F-B911-AD997596D0BA}"/>
    <cellStyle name="Migliaia 16 3 2 2 2 5" xfId="47450" xr:uid="{29A33919-FE04-46EA-99CD-3E0D0B5EEF58}"/>
    <cellStyle name="Migliaia 16 3 2 2 2 6" xfId="50872" xr:uid="{5CBC10B4-02B1-480E-BA08-BF1EDF727C8A}"/>
    <cellStyle name="Migliaia 16 3 2 2 2 7" xfId="53888" xr:uid="{F9B12965-B0FE-49D3-8AAD-03C05D613A94}"/>
    <cellStyle name="Migliaia 16 3 2 2 2 8" xfId="17645" xr:uid="{1658718C-B791-4456-A8D8-D90BD5D66184}"/>
    <cellStyle name="Migliaia 16 3 2 2 2 9" xfId="11911" xr:uid="{6EA20DDE-EDC5-4B9B-8875-646B719DF6AF}"/>
    <cellStyle name="Migliaia 16 3 2 2 3" xfId="6158" xr:uid="{7ED3B557-4352-409A-B9F7-CA638A0C95DD}"/>
    <cellStyle name="Migliaia 16 3 2 2 3 2" xfId="11686" xr:uid="{9AD16051-B1D7-4575-969B-A079C5F0B6BF}"/>
    <cellStyle name="Migliaia 16 3 2 2 4" xfId="3215" xr:uid="{6BEF3A34-01EF-4ECC-AC62-39BA76C482F6}"/>
    <cellStyle name="Migliaia 16 3 2 2 4 2" xfId="21401" xr:uid="{5CC6138A-3A1E-49C0-97A5-3D671B369EB2}"/>
    <cellStyle name="Migliaia 16 3 2 2 4 3" xfId="47301" xr:uid="{A31D9E93-FD5A-45AC-9127-06517B651F28}"/>
    <cellStyle name="Migliaia 16 3 2 2 4 4" xfId="50416" xr:uid="{DB671147-669F-42F7-A0DB-B0C44606AB16}"/>
    <cellStyle name="Migliaia 16 3 2 2 4 5" xfId="53432" xr:uid="{B0D8FC51-3BDC-4601-ACEA-92AC588D859B}"/>
    <cellStyle name="Migliaia 16 3 2 2 4 6" xfId="10766" xr:uid="{A2CE2A4D-8F58-40F1-A883-166E429C9B73}"/>
    <cellStyle name="Migliaia 16 3 2 2 5" xfId="19944" xr:uid="{DEF6BB5F-0363-47AC-8E2B-0532382ED797}"/>
    <cellStyle name="Migliaia 16 3 2 2 6" xfId="24352" xr:uid="{EFA82FBE-AD4F-45AD-B46F-9778C71017C0}"/>
    <cellStyle name="Migliaia 16 3 2 2 7" xfId="8524" xr:uid="{2991651A-2CC2-4996-B5C0-C716763E8880}"/>
    <cellStyle name="Migliaia 16 3 2 3" xfId="4940" xr:uid="{8C06B9D4-7CA3-4861-B45B-20C32E99E95C}"/>
    <cellStyle name="Migliaia 16 3 2 3 2" xfId="12421" xr:uid="{91FD7417-6EC0-4B07-89ED-22A9667BBBFF}"/>
    <cellStyle name="Migliaia 16 3 2 3 2 2" xfId="38602" xr:uid="{6EA744AC-051D-4220-AE79-98695875EAC7}"/>
    <cellStyle name="Migliaia 16 3 2 3 2 3" xfId="43904" xr:uid="{0C5FC094-8E71-44C9-8B10-35D1EB8F1F35}"/>
    <cellStyle name="Migliaia 16 3 2 3 2 4" xfId="33217" xr:uid="{F84A9AA8-7CD8-4F92-B819-EA70EB62BFDA}"/>
    <cellStyle name="Migliaia 16 3 2 3 3" xfId="11912" xr:uid="{E8780139-44FD-44F8-8DF3-3FA490D21425}"/>
    <cellStyle name="Migliaia 16 3 2 3 4" xfId="19945" xr:uid="{02A59375-880C-4CDD-A01A-99C77FF591C9}"/>
    <cellStyle name="Migliaia 16 3 2 3 4 2" xfId="41253" xr:uid="{9F749291-5D93-4176-B2D9-E17E6DFCA50A}"/>
    <cellStyle name="Migliaia 16 3 2 3 5" xfId="16110" xr:uid="{763DC202-9C01-42B2-AB45-793367135D21}"/>
    <cellStyle name="Migliaia 16 3 2 3 6" xfId="7850" xr:uid="{AD3BC069-8281-402B-B4E3-11EF8680322D}"/>
    <cellStyle name="Migliaia 16 3 2 4" xfId="6157" xr:uid="{BAB117E8-8454-4F3D-AFFD-6E5D20F5C2C3}"/>
    <cellStyle name="Migliaia 16 3 2 4 2" xfId="18064" xr:uid="{1DBB4243-C452-4E03-B21A-BE8D699E4FDA}"/>
    <cellStyle name="Migliaia 16 3 2 4 2 2" xfId="38603" xr:uid="{6EB1CD47-9EF9-4E72-A288-E1EAA55FE58C}"/>
    <cellStyle name="Migliaia 16 3 2 4 2 3" xfId="43905" xr:uid="{97700F0B-DDD5-4D43-9236-6B5E6EF3DD5D}"/>
    <cellStyle name="Migliaia 16 3 2 4 3" xfId="36116" xr:uid="{6706A706-A7E0-4F69-A14D-7790255E9F1F}"/>
    <cellStyle name="Migliaia 16 3 2 4 4" xfId="41254" xr:uid="{908D67BE-E046-4AC4-A266-F79587B28E66}"/>
    <cellStyle name="Migliaia 16 3 2 4 5" xfId="17150" xr:uid="{A07FF433-BBB7-43DF-8332-F184A9DC89DB}"/>
    <cellStyle name="Migliaia 16 3 2 4 6" xfId="11264" xr:uid="{9800D830-6628-4550-B010-2B10505A278B}"/>
    <cellStyle name="Migliaia 16 3 2 5" xfId="3214" xr:uid="{0736BE52-8B4E-4198-BD8D-B2545DBB7C79}"/>
    <cellStyle name="Migliaia 16 3 2 5 2" xfId="33218" xr:uid="{8863A6D2-06FF-4F19-BED2-1BA93BBDC669}"/>
    <cellStyle name="Migliaia 16 3 2 5 2 2" xfId="38604" xr:uid="{52B9FE63-88AF-4116-B369-8C681366C57C}"/>
    <cellStyle name="Migliaia 16 3 2 5 2 3" xfId="43906" xr:uid="{61185E90-0F28-4654-8A06-CD8974F3C975}"/>
    <cellStyle name="Migliaia 16 3 2 5 3" xfId="36117" xr:uid="{22A3FC9B-AA49-4BB9-8ABA-97F8E9E020DD}"/>
    <cellStyle name="Migliaia 16 3 2 5 4" xfId="41255" xr:uid="{532D34B0-C1DE-492E-92DC-2EFA73012F05}"/>
    <cellStyle name="Migliaia 16 3 2 5 5" xfId="17405" xr:uid="{FD46D9CB-2106-4527-9A00-3F2FBE51F953}"/>
    <cellStyle name="Migliaia 16 3 2 6" xfId="19943" xr:uid="{98A686BD-7C89-41A7-A16A-8609BA469430}"/>
    <cellStyle name="Migliaia 16 3 2 6 2" xfId="33219" xr:uid="{C085A391-7B31-499B-8A2B-202E6A74B341}"/>
    <cellStyle name="Migliaia 16 3 2 6 2 2" xfId="38605" xr:uid="{09899627-5D1F-400A-BEAD-2714F4B2B645}"/>
    <cellStyle name="Migliaia 16 3 2 6 2 3" xfId="43907" xr:uid="{3E1CE7C6-D015-4B21-B0FC-98B1CA414FAF}"/>
    <cellStyle name="Migliaia 16 3 2 6 3" xfId="36118" xr:uid="{EA788965-6DB0-4957-81AF-749EA47CC3F4}"/>
    <cellStyle name="Migliaia 16 3 2 6 4" xfId="41256" xr:uid="{59D679EC-8169-4FB4-8E7B-EF2E381F695C}"/>
    <cellStyle name="Migliaia 16 3 2 6 5" xfId="24353" xr:uid="{D9C46003-FEEB-4256-AC90-FF23C52914F4}"/>
    <cellStyle name="Migliaia 16 3 2 7" xfId="24351" xr:uid="{0A91F369-32A4-4C27-BF7D-530C768D7617}"/>
    <cellStyle name="Migliaia 16 3 2 8" xfId="7334" xr:uid="{BA7C866C-91C6-4EE5-A54D-EDA1A619B81E}"/>
    <cellStyle name="Migliaia 16 3 3" xfId="3216" xr:uid="{21A3FBAC-31AF-4780-AAC4-1A173292D86D}"/>
    <cellStyle name="Migliaia 16 3 3 10" xfId="7333" xr:uid="{AEC2CFEE-DF4B-4796-97B5-AEDC729EE8C3}"/>
    <cellStyle name="Migliaia 16 3 3 2" xfId="4942" xr:uid="{2B9D2E43-3C7F-468F-B5AA-DE807D4E18D6}"/>
    <cellStyle name="Migliaia 16 3 3 2 2" xfId="9896" xr:uid="{46B0FB47-1EA7-47FB-A51A-D122288001E4}"/>
    <cellStyle name="Migliaia 16 3 3 2 2 2" xfId="38607" xr:uid="{89D48AFC-2D78-4AA2-8794-17364C99B906}"/>
    <cellStyle name="Migliaia 16 3 3 2 2 3" xfId="43909" xr:uid="{751AE55B-87B1-4671-AF02-1522866A2024}"/>
    <cellStyle name="Migliaia 16 3 3 2 3" xfId="18176" xr:uid="{4705A63F-1A0D-40E3-A473-FF8D48FC1310}"/>
    <cellStyle name="Migliaia 16 3 3 2 4" xfId="19947" xr:uid="{1F22D0C2-07AA-440A-84D1-BC0D988696BB}"/>
    <cellStyle name="Migliaia 16 3 3 2 4 2" xfId="41258" xr:uid="{D069E7A1-BE7C-436E-AF58-A47D5D243354}"/>
    <cellStyle name="Migliaia 16 3 3 2 5" xfId="16112" xr:uid="{0125EB12-9C2D-4340-B71F-006FE75A7E31}"/>
    <cellStyle name="Migliaia 16 3 3 2 6" xfId="8523" xr:uid="{0B52F541-A946-491D-908D-C42304483AC2}"/>
    <cellStyle name="Migliaia 16 3 3 3" xfId="6159" xr:uid="{660E4021-C2B9-4652-9296-9D45E689D00C}"/>
    <cellStyle name="Migliaia 16 3 3 3 2" xfId="33221" xr:uid="{79161D8F-889D-460C-81A3-8F20335154C7}"/>
    <cellStyle name="Migliaia 16 3 3 3 2 2" xfId="38608" xr:uid="{DC8A3ACA-0B18-4C8A-95E8-08AA7F2F194A}"/>
    <cellStyle name="Migliaia 16 3 3 3 2 3" xfId="43910" xr:uid="{5432FED6-267F-47C5-AEB4-B9B8DF96C354}"/>
    <cellStyle name="Migliaia 16 3 3 3 3" xfId="36120" xr:uid="{AAFE74F9-9001-45ED-A72C-9894BA6B0953}"/>
    <cellStyle name="Migliaia 16 3 3 3 4" xfId="41259" xr:uid="{2CA6A201-8965-4EDC-8642-38EBE650975E}"/>
    <cellStyle name="Migliaia 16 3 3 3 5" xfId="9659" xr:uid="{AFC7AD12-C7C0-45BD-A475-2EE4CDAB8952}"/>
    <cellStyle name="Migliaia 16 3 3 4" xfId="19946" xr:uid="{DDFF46A2-E5B1-419D-AB61-46262264F079}"/>
    <cellStyle name="Migliaia 16 3 3 4 2" xfId="33222" xr:uid="{92FE2A99-2E19-432B-910F-2D41DB26BC4F}"/>
    <cellStyle name="Migliaia 16 3 3 4 2 2" xfId="38609" xr:uid="{023E9884-54EB-449E-B14A-C14F61EF206D}"/>
    <cellStyle name="Migliaia 16 3 3 4 2 3" xfId="43911" xr:uid="{805C37D8-AC38-4FAA-B297-7D6A0C45F497}"/>
    <cellStyle name="Migliaia 16 3 3 4 3" xfId="36121" xr:uid="{9BDEE3A5-0C73-4284-9DAA-BAEA927DE310}"/>
    <cellStyle name="Migliaia 16 3 3 4 4" xfId="41260" xr:uid="{3C7F90A0-BF46-44DD-8924-76C544583BA0}"/>
    <cellStyle name="Migliaia 16 3 3 4 5" xfId="24354" xr:uid="{BEF3779F-AE39-4092-81A0-D90ECE3DFDEB}"/>
    <cellStyle name="Migliaia 16 3 3 5" xfId="24355" xr:uid="{37D188C2-2F40-4D43-B686-E5635F2E3BA5}"/>
    <cellStyle name="Migliaia 16 3 3 5 2" xfId="33223" xr:uid="{743817CB-3F79-4390-9F5E-AB0874D73F9F}"/>
    <cellStyle name="Migliaia 16 3 3 5 2 2" xfId="38610" xr:uid="{D63AC7DC-859B-4F98-AC12-9A6A5F72B5DA}"/>
    <cellStyle name="Migliaia 16 3 3 5 2 3" xfId="43912" xr:uid="{8FF7278D-3B75-4664-BFA9-DDCF35997CF7}"/>
    <cellStyle name="Migliaia 16 3 3 5 3" xfId="36122" xr:uid="{D00ED263-FFB4-4AD1-A552-A1913E495F16}"/>
    <cellStyle name="Migliaia 16 3 3 5 4" xfId="41261" xr:uid="{68F055CC-E72C-4929-B10A-8728CAF906BA}"/>
    <cellStyle name="Migliaia 16 3 3 6" xfId="33220" xr:uid="{4572C456-0ABD-47F5-8AFB-96F8835EC85E}"/>
    <cellStyle name="Migliaia 16 3 3 6 2" xfId="38606" xr:uid="{294A6879-D97C-421B-BE05-4449643186CC}"/>
    <cellStyle name="Migliaia 16 3 3 6 3" xfId="43908" xr:uid="{0C996361-8933-4B9D-9D5C-93751BF0145C}"/>
    <cellStyle name="Migliaia 16 3 3 7" xfId="36119" xr:uid="{42E0F65F-FA22-47B4-ABC4-AA7CBC9DD497}"/>
    <cellStyle name="Migliaia 16 3 3 8" xfId="41257" xr:uid="{97195DAA-26AE-4D44-BAC1-CB0DFFCFD670}"/>
    <cellStyle name="Migliaia 16 3 3 9" xfId="16111" xr:uid="{A3CA392C-6659-4531-B0C1-6BE31C77C442}"/>
    <cellStyle name="Migliaia 16 3 4" xfId="3217" xr:uid="{2BC36462-1492-4B99-9ED1-41E3181EECB0}"/>
    <cellStyle name="Migliaia 16 3 4 2" xfId="4943" xr:uid="{20849AFC-71DE-4430-A01C-83EBB7DF3642}"/>
    <cellStyle name="Migliaia 16 3 4 2 2" xfId="14430" xr:uid="{729E1CC7-DE38-4979-9BDF-E419ADA96ABC}"/>
    <cellStyle name="Migliaia 16 3 4 2 3" xfId="18033" xr:uid="{0C3B9A4C-60D7-48F4-AEF2-E833C421C890}"/>
    <cellStyle name="Migliaia 16 3 4 2 4" xfId="19949" xr:uid="{77CCA6E6-852B-48F3-9A95-247582E41990}"/>
    <cellStyle name="Migliaia 16 3 4 2 5" xfId="32314" xr:uid="{D3B016D8-5A60-4B4C-BAB8-D3DEB056AA3D}"/>
    <cellStyle name="Migliaia 16 3 4 2 6" xfId="16114" xr:uid="{2F037308-8C98-45B8-890D-96D666B8F798}"/>
    <cellStyle name="Migliaia 16 3 4 2 7" xfId="8853" xr:uid="{3D73D651-8E51-4E61-A256-85F4271498FB}"/>
    <cellStyle name="Migliaia 16 3 4 3" xfId="6160" xr:uid="{97EF078D-C318-45EA-AAFF-3A421D7EAFB7}"/>
    <cellStyle name="Migliaia 16 3 4 3 2" xfId="35172" xr:uid="{1E4556D5-1C28-48C4-AA7D-CDC5E21556F0}"/>
    <cellStyle name="Migliaia 16 3 4 3 2 2" xfId="40330" xr:uid="{647AD4B4-6769-4C98-8268-0DB22751B549}"/>
    <cellStyle name="Migliaia 16 3 4 3 2 3" xfId="45632" xr:uid="{8E0F2ED4-780D-43CF-B04E-2A43C12BEA87}"/>
    <cellStyle name="Migliaia 16 3 4 3 3" xfId="37679" xr:uid="{C1048131-4340-496D-97C2-F39353451DA1}"/>
    <cellStyle name="Migliaia 16 3 4 3 4" xfId="42981" xr:uid="{08B128DD-7BC0-48B6-9A19-3C782843DF8C}"/>
    <cellStyle name="Migliaia 16 3 4 3 5" xfId="13678" xr:uid="{654AC9E1-7776-4E00-A82E-F39B2AF5B854}"/>
    <cellStyle name="Migliaia 16 3 4 4" xfId="19948" xr:uid="{CE87768F-1727-4084-AAFE-4928E6027F71}"/>
    <cellStyle name="Migliaia 16 3 4 4 2" xfId="38611" xr:uid="{941A5F7E-0A9D-4396-A806-3BFC4852F29A}"/>
    <cellStyle name="Migliaia 16 3 4 4 3" xfId="43913" xr:uid="{36746A1A-29A6-40AD-AB14-590405E9EE3B}"/>
    <cellStyle name="Migliaia 16 3 4 4 4" xfId="33224" xr:uid="{B8BF7D7E-A677-4134-A174-389418E3D5E4}"/>
    <cellStyle name="Migliaia 16 3 4 5" xfId="36123" xr:uid="{F1DF0FD2-D0C5-4D2C-AFF7-ECE698CB630D}"/>
    <cellStyle name="Migliaia 16 3 4 6" xfId="41262" xr:uid="{BB1DFEF6-4CE0-4E15-8E29-839D789807C4}"/>
    <cellStyle name="Migliaia 16 3 4 7" xfId="16113" xr:uid="{1B9794BC-62F3-4BE8-9358-750F59621231}"/>
    <cellStyle name="Migliaia 16 3 4 8" xfId="7663" xr:uid="{6F746281-9CAA-4991-BBB8-6019CCAD0073}"/>
    <cellStyle name="Migliaia 16 3 5" xfId="3218" xr:uid="{A90785C4-DFDF-4332-AC54-1CDA67480740}"/>
    <cellStyle name="Migliaia 16 3 5 2" xfId="4944" xr:uid="{3E5199E1-1F7E-4A2D-9961-E629987FEE54}"/>
    <cellStyle name="Migliaia 16 3 5 2 2" xfId="35173" xr:uid="{C88DE0B6-08C1-4B29-A69A-DAC15D643001}"/>
    <cellStyle name="Migliaia 16 3 5 2 2 2" xfId="40331" xr:uid="{389F3B4B-EE37-4146-8F38-2947D35F26A1}"/>
    <cellStyle name="Migliaia 16 3 5 2 2 3" xfId="45633" xr:uid="{08F3DFB8-1AAC-4348-98D1-87F211FF1CEB}"/>
    <cellStyle name="Migliaia 16 3 5 2 3" xfId="37680" xr:uid="{77ABD28E-8FBF-4D1E-A288-EC5792B97530}"/>
    <cellStyle name="Migliaia 16 3 5 2 4" xfId="42982" xr:uid="{88C51716-65F5-42E9-8C12-B224893401EE}"/>
    <cellStyle name="Migliaia 16 3 5 2 5" xfId="14201" xr:uid="{43501212-D93D-4BCF-B0CA-D8C7F00E146E}"/>
    <cellStyle name="Migliaia 16 3 5 3" xfId="6161" xr:uid="{FC833FDF-BDCD-4896-B72F-B830E950E2DD}"/>
    <cellStyle name="Migliaia 16 3 5 3 2" xfId="38612" xr:uid="{A8DC8F0A-EA71-4572-AD97-8996893F3DC0}"/>
    <cellStyle name="Migliaia 16 3 5 3 3" xfId="43914" xr:uid="{A45D209B-D4EB-4A95-AE22-EB133C5AA682}"/>
    <cellStyle name="Migliaia 16 3 5 3 4" xfId="33225" xr:uid="{5723E308-51DB-41D1-B4A7-903EEDE721F3}"/>
    <cellStyle name="Migliaia 16 3 5 3 5" xfId="19950" xr:uid="{2FC04596-793C-4604-917A-B37EE251375B}"/>
    <cellStyle name="Migliaia 16 3 5 4" xfId="36124" xr:uid="{23B0D030-6B0A-4FC0-9C84-679D08E72CD9}"/>
    <cellStyle name="Migliaia 16 3 5 5" xfId="41263" xr:uid="{617F6816-B0BB-42E6-9746-F0A08280F9F4}"/>
    <cellStyle name="Migliaia 16 3 5 6" xfId="16115" xr:uid="{A4223CC8-C19B-45FE-9F17-DA2B72EB3A30}"/>
    <cellStyle name="Migliaia 16 3 5 7" xfId="8263" xr:uid="{292D34DB-F48D-41E5-BA03-2213FDD66A87}"/>
    <cellStyle name="Migliaia 16 3 6" xfId="4939" xr:uid="{5EA4443C-0496-4476-B8BE-A5CE1F575BE8}"/>
    <cellStyle name="Migliaia 16 3 6 2" xfId="13904" xr:uid="{F75E4FF9-4E17-4C8B-A242-F9865202BAEF}"/>
    <cellStyle name="Migliaia 16 3 6 2 2" xfId="38613" xr:uid="{24B0ABDD-76CF-46FC-B369-0652DCECD64B}"/>
    <cellStyle name="Migliaia 16 3 6 2 3" xfId="43915" xr:uid="{3B33BE0D-56D2-4661-88AB-EFB27FEA1992}"/>
    <cellStyle name="Migliaia 16 3 6 3" xfId="18722" xr:uid="{89D5115E-3963-47C9-A289-7315B5644DC8}"/>
    <cellStyle name="Migliaia 16 3 6 4" xfId="19951" xr:uid="{53A27B17-0297-4045-9623-46FDF3BA264F}"/>
    <cellStyle name="Migliaia 16 3 6 4 2" xfId="41264" xr:uid="{282688B0-D7F9-48E2-B9C6-320424F4A433}"/>
    <cellStyle name="Migliaia 16 3 6 5" xfId="16116" xr:uid="{EEE2977B-0296-4F31-9522-CC24EE552F98}"/>
    <cellStyle name="Migliaia 16 3 6 6" xfId="7849" xr:uid="{7CD7F2B0-63B9-406F-A512-0F56EA4C8104}"/>
    <cellStyle name="Migliaia 16 3 7" xfId="6156" xr:uid="{FBE4E020-7F17-4AE8-A927-05DCC289AC59}"/>
    <cellStyle name="Migliaia 16 3 7 2" xfId="33226" xr:uid="{B4AFDA9D-3910-43A9-956B-1E6D802EAFFF}"/>
    <cellStyle name="Migliaia 16 3 7 2 2" xfId="38614" xr:uid="{07F404D2-A898-468E-B9EF-90D5424C63F2}"/>
    <cellStyle name="Migliaia 16 3 7 2 3" xfId="43916" xr:uid="{A6C7C660-3E5A-42ED-B2A1-EEA1CCD1F3E1}"/>
    <cellStyle name="Migliaia 16 3 7 3" xfId="36125" xr:uid="{A349CDC9-F91F-4868-B9DC-6825E0DFCC79}"/>
    <cellStyle name="Migliaia 16 3 7 4" xfId="41265" xr:uid="{46BB699E-F31D-4FDB-A104-AFA9FA8CAAF3}"/>
    <cellStyle name="Migliaia 16 3 7 5" xfId="12279" xr:uid="{E7B27C3C-5CA0-4E90-BF25-D1569DD63009}"/>
    <cellStyle name="Migliaia 16 3 8" xfId="3213" xr:uid="{37890EC3-B3B9-4EDE-876F-E9882B80912E}"/>
    <cellStyle name="Migliaia 16 3 8 2" xfId="33227" xr:uid="{A475BDCC-C1A1-48FA-8168-9A91B8943EA4}"/>
    <cellStyle name="Migliaia 16 3 8 2 2" xfId="38615" xr:uid="{CDEA2418-E10D-4EA1-AF6E-2361ADBA120D}"/>
    <cellStyle name="Migliaia 16 3 8 2 3" xfId="43917" xr:uid="{43871EA1-C002-4403-97D1-2278CB1CAF99}"/>
    <cellStyle name="Migliaia 16 3 8 3" xfId="36126" xr:uid="{835A928C-9FF5-4789-BAF8-9BF8E486E9D5}"/>
    <cellStyle name="Migliaia 16 3 8 4" xfId="41266" xr:uid="{B1D34873-2CB7-4FD0-81C6-25460582F713}"/>
    <cellStyle name="Migliaia 16 3 8 5" xfId="24356" xr:uid="{FDE3C7F7-A581-438A-8FB9-E8AFDFA9CDE0}"/>
    <cellStyle name="Migliaia 16 3 8 6" xfId="17406" xr:uid="{2E08B518-923F-4965-8CBC-FBB2AC0FA6FA}"/>
    <cellStyle name="Migliaia 16 3 9" xfId="19942" xr:uid="{23376AF9-721D-430D-81A3-788099873787}"/>
    <cellStyle name="Migliaia 16 4" xfId="1690" xr:uid="{00000000-0005-0000-0000-0000FD020000}"/>
    <cellStyle name="Migliaia 16 4 2" xfId="1691" xr:uid="{00000000-0005-0000-0000-0000FE020000}"/>
    <cellStyle name="Migliaia 16 4 2 2" xfId="4946" xr:uid="{33748097-BF56-4AD6-ACE1-6610C0301E59}"/>
    <cellStyle name="Migliaia 16 4 2 2 2" xfId="33228" xr:uid="{EF049D46-69E6-445C-A5BF-7B8F4C7C6305}"/>
    <cellStyle name="Migliaia 16 4 2 2 2 2" xfId="38616" xr:uid="{4B3DD087-D3BC-4C29-B23B-2FD35E67DD25}"/>
    <cellStyle name="Migliaia 16 4 2 2 2 3" xfId="43918" xr:uid="{847B4C3A-D7E6-4CA4-9A9A-F640DDCE1F03}"/>
    <cellStyle name="Migliaia 16 4 2 2 3" xfId="36127" xr:uid="{CF36ACEC-1D23-458A-94BC-BC6419439DF0}"/>
    <cellStyle name="Migliaia 16 4 2 2 4" xfId="41267" xr:uid="{052316EE-13F4-407D-9429-061643E119B2}"/>
    <cellStyle name="Migliaia 16 4 2 2 5" xfId="9122" xr:uid="{12D909C1-7501-4D6A-8B89-11EC5865D1F9}"/>
    <cellStyle name="Migliaia 16 4 2 3" xfId="3220" xr:uid="{4623FA19-E8E2-4B98-88A4-5996386DF123}"/>
    <cellStyle name="Migliaia 16 4 2 3 2" xfId="33229" xr:uid="{351D522F-3D30-4779-8D5A-1F47AC8FC246}"/>
    <cellStyle name="Migliaia 16 4 2 3 2 2" xfId="38617" xr:uid="{F22C6BE1-5EB5-46BA-92D8-72DDAC190353}"/>
    <cellStyle name="Migliaia 16 4 2 3 2 3" xfId="43919" xr:uid="{57530E7E-85F3-4F72-A3E0-D6FA6C76F620}"/>
    <cellStyle name="Migliaia 16 4 2 3 3" xfId="36128" xr:uid="{530A11FE-275F-4EE6-93F5-814E080BE2C6}"/>
    <cellStyle name="Migliaia 16 4 2 3 4" xfId="41268" xr:uid="{45316445-C23B-480F-985A-C3CE4B66F6D6}"/>
    <cellStyle name="Migliaia 16 4 2 3 5" xfId="11913" xr:uid="{5C3FE879-21F7-4731-A580-ED89AFB5E08C}"/>
    <cellStyle name="Migliaia 16 4 2 4" xfId="11266" xr:uid="{FA3956EC-2CBF-4B40-A7B2-6CDC236B0AAD}"/>
    <cellStyle name="Migliaia 16 4 2 5" xfId="10768" xr:uid="{F53E1326-3D9A-4845-B5BE-2143A9D56594}"/>
    <cellStyle name="Migliaia 16 4 2 5 2" xfId="21403" xr:uid="{EAAC8579-F961-497C-82F8-E832E7F2A292}"/>
    <cellStyle name="Migliaia 16 4 2 5 3" xfId="48469" xr:uid="{6F120213-8C88-45CB-A576-B3DD9ADEB271}"/>
    <cellStyle name="Migliaia 16 4 2 5 4" xfId="50418" xr:uid="{4D5CAADE-CC53-40C5-AFBB-DA1F1AF4BABC}"/>
    <cellStyle name="Migliaia 16 4 2 5 5" xfId="53434" xr:uid="{86F8A9D1-37CC-4A67-80B8-A8E7E5A9717D}"/>
    <cellStyle name="Migliaia 16 4 2 6" xfId="19953" xr:uid="{B4A8BFF2-F36E-45D4-95B0-F2E22A416041}"/>
    <cellStyle name="Migliaia 16 4 2 7" xfId="24358" xr:uid="{610079FA-2B62-441F-9B94-F709AA6106B0}"/>
    <cellStyle name="Migliaia 16 4 2 8" xfId="8525" xr:uid="{C5965C10-D731-4894-A4BC-6E21C89DC70D}"/>
    <cellStyle name="Migliaia 16 4 3" xfId="4945" xr:uid="{612FC0C7-567C-48A8-B4C0-28E29EB27411}"/>
    <cellStyle name="Migliaia 16 4 3 2" xfId="18177" xr:uid="{1BFB51EF-1B6C-4E56-9551-7094B3BED1C8}"/>
    <cellStyle name="Migliaia 16 4 3 2 2" xfId="38618" xr:uid="{1942D815-C85E-4D27-8B3E-EC42D3E410AD}"/>
    <cellStyle name="Migliaia 16 4 3 2 3" xfId="43920" xr:uid="{98813566-5EEB-40C2-A4BB-C37296BF6C33}"/>
    <cellStyle name="Migliaia 16 4 3 3" xfId="36129" xr:uid="{BABE4B14-802B-4A2D-967A-D289C7A85396}"/>
    <cellStyle name="Migliaia 16 4 3 4" xfId="41269" xr:uid="{157305A4-BE07-4719-94B3-20FAE68BBD69}"/>
    <cellStyle name="Migliaia 16 4 3 5" xfId="17404" xr:uid="{4DA96E88-3B72-42EB-8589-BA9799272B65}"/>
    <cellStyle name="Migliaia 16 4 3 6" xfId="9123" xr:uid="{AAF6768A-7D5B-4B5D-BCFC-A51BA65340EC}"/>
    <cellStyle name="Migliaia 16 4 4" xfId="6162" xr:uid="{EE0E1019-BA5D-451C-A865-8943731C0874}"/>
    <cellStyle name="Migliaia 16 4 4 2" xfId="33230" xr:uid="{58F236F4-3BE2-4772-9E84-D66435485A88}"/>
    <cellStyle name="Migliaia 16 4 4 2 2" xfId="38619" xr:uid="{10C77992-313B-46D2-BD1D-77C83A829BF5}"/>
    <cellStyle name="Migliaia 16 4 4 2 3" xfId="43921" xr:uid="{FFE78E92-CB06-484C-A433-DB61AEC6BACE}"/>
    <cellStyle name="Migliaia 16 4 4 3" xfId="36130" xr:uid="{7EE82547-7380-46B1-8976-9FB8743BB526}"/>
    <cellStyle name="Migliaia 16 4 4 4" xfId="41270" xr:uid="{4F2B3EAC-39DF-456F-B6AB-A4D84AD508CF}"/>
    <cellStyle name="Migliaia 16 4 4 5" xfId="11914" xr:uid="{65825A56-C770-449F-A8FB-CC3598CF9551}"/>
    <cellStyle name="Migliaia 16 4 5" xfId="3219" xr:uid="{B4233E2A-7FC8-4227-B35D-15BE41C99CDD}"/>
    <cellStyle name="Migliaia 16 4 5 2" xfId="33231" xr:uid="{0887B4BE-A23D-473B-85A4-CDDD49AB6F44}"/>
    <cellStyle name="Migliaia 16 4 5 2 2" xfId="38620" xr:uid="{53F5944A-6008-4497-A4CE-7E1EB0F9C5D1}"/>
    <cellStyle name="Migliaia 16 4 5 2 3" xfId="43922" xr:uid="{8C886214-8CF9-415B-BCFB-74DACBD61771}"/>
    <cellStyle name="Migliaia 16 4 5 3" xfId="36131" xr:uid="{9B4CC388-CD41-4C06-A22B-4F7A9BFF8712}"/>
    <cellStyle name="Migliaia 16 4 5 4" xfId="41271" xr:uid="{DB50DE5E-E273-450F-98B1-E76906F11FCF}"/>
    <cellStyle name="Migliaia 16 4 5 5" xfId="11265" xr:uid="{735D7798-2E00-4BAA-8D24-71674D2E0034}"/>
    <cellStyle name="Migliaia 16 4 6" xfId="10767" xr:uid="{4D068051-EF57-487F-8DAF-D891A94FA382}"/>
    <cellStyle name="Migliaia 16 4 6 2" xfId="21402" xr:uid="{86AC641B-CD78-400C-876D-3450E47832BE}"/>
    <cellStyle name="Migliaia 16 4 6 2 2" xfId="38621" xr:uid="{30A24DDE-C8EB-4C81-8E2C-DE384D77D067}"/>
    <cellStyle name="Migliaia 16 4 6 2 3" xfId="43923" xr:uid="{D960DB82-E540-4D2F-BBF3-9C62EBB6C674}"/>
    <cellStyle name="Migliaia 16 4 6 2 4" xfId="33232" xr:uid="{1FF72B4B-4913-47AC-99B7-8E077EBEFE40}"/>
    <cellStyle name="Migliaia 16 4 6 3" xfId="36132" xr:uid="{23384D03-BEA3-440F-BD32-2E4D43A6DD1F}"/>
    <cellStyle name="Migliaia 16 4 6 4" xfId="41272" xr:uid="{60BF27B0-BEF1-4555-BBC9-B451FBF1A2FE}"/>
    <cellStyle name="Migliaia 16 4 6 5" xfId="24359" xr:uid="{A2C61E78-E862-4BC5-82C1-D466D8EA4265}"/>
    <cellStyle name="Migliaia 16 4 6 6" xfId="46212" xr:uid="{83A3F7B1-2012-47F3-BF67-52F8BB82B620}"/>
    <cellStyle name="Migliaia 16 4 6 7" xfId="50417" xr:uid="{3FF780AA-83F0-4E52-AA35-21F86EE6C8C0}"/>
    <cellStyle name="Migliaia 16 4 6 8" xfId="53433" xr:uid="{78AADC0A-FB9D-4808-90CF-80CF5B81CF9D}"/>
    <cellStyle name="Migliaia 16 4 7" xfId="19952" xr:uid="{0B1B4419-325B-4AB4-B537-424A0DA1DC5B}"/>
    <cellStyle name="Migliaia 16 4 7 2" xfId="33233" xr:uid="{CA334A4F-60B2-4A98-9200-FECD75A24D6C}"/>
    <cellStyle name="Migliaia 16 4 7 2 2" xfId="38622" xr:uid="{CAA26200-D18B-4468-B925-8CF8B140750F}"/>
    <cellStyle name="Migliaia 16 4 7 2 3" xfId="43924" xr:uid="{E41DF771-E208-4F1C-8C9E-6320F392CE13}"/>
    <cellStyle name="Migliaia 16 4 7 3" xfId="36133" xr:uid="{6FBEDDF4-2B5F-46AD-9EDF-A1317C2B2F54}"/>
    <cellStyle name="Migliaia 16 4 7 4" xfId="41273" xr:uid="{A21AA385-D7DE-4959-BF41-FBDB55DFE93C}"/>
    <cellStyle name="Migliaia 16 4 7 5" xfId="24360" xr:uid="{E8342581-B7F5-4024-807A-2A0B4B8652C0}"/>
    <cellStyle name="Migliaia 16 4 8" xfId="24357" xr:uid="{516EC437-531B-4C73-B862-BCA2B08E40B3}"/>
    <cellStyle name="Migliaia 16 4 9" xfId="7335" xr:uid="{A7D9B295-081D-4E8F-B503-0A6F77C72615}"/>
    <cellStyle name="Migliaia 16 5" xfId="1692" xr:uid="{00000000-0005-0000-0000-0000FF020000}"/>
    <cellStyle name="Migliaia 16 5 2" xfId="4947" xr:uid="{FECCBD8E-1D57-4C1D-8A50-26C3EA39370E}"/>
    <cellStyle name="Migliaia 16 5 2 2" xfId="18380" xr:uid="{1365AF44-1F22-4599-8400-C79001BE021F}"/>
    <cellStyle name="Migliaia 16 5 2 2 2" xfId="38623" xr:uid="{51E19B75-2A83-47C2-B96C-3E9E62B0B09D}"/>
    <cellStyle name="Migliaia 16 5 2 2 3" xfId="43925" xr:uid="{CDE1ABDC-7C49-4E1D-B36C-5868C5DF4A5F}"/>
    <cellStyle name="Migliaia 16 5 2 3" xfId="19955" xr:uid="{35887FD6-8349-45FA-9E7F-01D75805A6D0}"/>
    <cellStyle name="Migliaia 16 5 2 3 2" xfId="36134" xr:uid="{C89B62D1-2D04-413F-93B1-79D31F1C0855}"/>
    <cellStyle name="Migliaia 16 5 2 4" xfId="41274" xr:uid="{262800A6-8B95-4323-857A-B85DE6C1D7B2}"/>
    <cellStyle name="Migliaia 16 5 2 5" xfId="16117" xr:uid="{AF898C8E-2FA1-4813-9A7B-EAF444371143}"/>
    <cellStyle name="Migliaia 16 5 2 6" xfId="8526" xr:uid="{8780CFA9-7B3B-40E4-BD15-4F8A9CAF112C}"/>
    <cellStyle name="Migliaia 16 5 3" xfId="6163" xr:uid="{430DC52C-4757-4EEE-A55E-DF1BAAC038BA}"/>
    <cellStyle name="Migliaia 16 5 3 2" xfId="33234" xr:uid="{33C3729D-64AB-4C09-AED7-0E002F971FC8}"/>
    <cellStyle name="Migliaia 16 5 3 2 2" xfId="38624" xr:uid="{637401F0-7111-4425-8284-7DFE8C904AE3}"/>
    <cellStyle name="Migliaia 16 5 3 2 3" xfId="43926" xr:uid="{418B9CEB-B911-4F21-A0DA-3165ECBEF380}"/>
    <cellStyle name="Migliaia 16 5 3 3" xfId="36135" xr:uid="{20F550B9-DF02-4233-A585-2FA40E92CAD8}"/>
    <cellStyle name="Migliaia 16 5 3 4" xfId="41275" xr:uid="{2F6194A5-5E32-4C03-A6B8-0335069A7012}"/>
    <cellStyle name="Migliaia 16 5 3 5" xfId="11267" xr:uid="{B962C6D9-25F9-4201-9A15-0D0E9FB9547F}"/>
    <cellStyle name="Migliaia 16 5 4" xfId="3221" xr:uid="{82A7E26C-C8AC-4C75-B7F2-670D9EDDA009}"/>
    <cellStyle name="Migliaia 16 5 4 2" xfId="21404" xr:uid="{94F883B2-A3B3-4D2C-9D8B-69B70A2651F4}"/>
    <cellStyle name="Migliaia 16 5 4 2 2" xfId="38625" xr:uid="{81C56BD1-FF2A-4B9E-B316-32AA4EED3272}"/>
    <cellStyle name="Migliaia 16 5 4 2 3" xfId="43927" xr:uid="{D519B07A-F7D4-4A3A-B3AC-5D01354B49DF}"/>
    <cellStyle name="Migliaia 16 5 4 2 4" xfId="33235" xr:uid="{DEAA6BEE-5AF9-4F28-8963-18A4EB258881}"/>
    <cellStyle name="Migliaia 16 5 4 3" xfId="36136" xr:uid="{F773D170-757B-4A93-9012-A14B939C4204}"/>
    <cellStyle name="Migliaia 16 5 4 4" xfId="41276" xr:uid="{043085B1-59A2-43E9-AA3F-9F1E4FDEA2A3}"/>
    <cellStyle name="Migliaia 16 5 4 5" xfId="24362" xr:uid="{71816D7A-D4E7-4AC3-83F9-68A6F3C3C3BE}"/>
    <cellStyle name="Migliaia 16 5 4 6" xfId="47894" xr:uid="{75AA1272-A975-41FD-A304-7CB7EA6BBC01}"/>
    <cellStyle name="Migliaia 16 5 4 7" xfId="50419" xr:uid="{8519C745-7528-433A-A924-471D3D537819}"/>
    <cellStyle name="Migliaia 16 5 4 8" xfId="53435" xr:uid="{17886891-2530-4369-8F6A-1B051A064CF4}"/>
    <cellStyle name="Migliaia 16 5 4 9" xfId="10769" xr:uid="{24B15DEE-8D0A-4AB1-94D4-DD4EFF229AF7}"/>
    <cellStyle name="Migliaia 16 5 5" xfId="19954" xr:uid="{AD099A20-F304-440C-8000-A77B280E4673}"/>
    <cellStyle name="Migliaia 16 5 5 2" xfId="33236" xr:uid="{717745CB-C3D2-448C-8EDA-6508BA6B8F25}"/>
    <cellStyle name="Migliaia 16 5 5 2 2" xfId="38626" xr:uid="{10AC867C-9D67-41CF-963F-C1DF7E61BBB5}"/>
    <cellStyle name="Migliaia 16 5 5 2 3" xfId="43928" xr:uid="{BB613216-87C2-45D6-9B81-E2C365C1E860}"/>
    <cellStyle name="Migliaia 16 5 5 3" xfId="36137" xr:uid="{3C0C7346-B776-428E-819D-1743A8E0C639}"/>
    <cellStyle name="Migliaia 16 5 5 4" xfId="41277" xr:uid="{AD803BFF-75D0-43B7-902E-53ABE265D08A}"/>
    <cellStyle name="Migliaia 16 5 5 5" xfId="24363" xr:uid="{DA76A78C-8060-4176-A295-9DDF2D4077EB}"/>
    <cellStyle name="Migliaia 16 5 6" xfId="24364" xr:uid="{474643C1-2187-45DD-8A5E-62DAE1A9962A}"/>
    <cellStyle name="Migliaia 16 5 6 2" xfId="33237" xr:uid="{807017ED-334C-4BD8-9BEB-245DC299564D}"/>
    <cellStyle name="Migliaia 16 5 6 2 2" xfId="38627" xr:uid="{E6598368-A480-459B-88F4-DC3DE73095E5}"/>
    <cellStyle name="Migliaia 16 5 6 2 3" xfId="43929" xr:uid="{2707A2CC-07CF-4BB3-B112-EC238B77C993}"/>
    <cellStyle name="Migliaia 16 5 6 3" xfId="36138" xr:uid="{CAD4F7F4-1F5F-435E-81E1-20F1F10DEB34}"/>
    <cellStyle name="Migliaia 16 5 6 4" xfId="41278" xr:uid="{4B86B498-BCEB-46C1-9220-CDD7707F3E45}"/>
    <cellStyle name="Migliaia 16 5 7" xfId="24361" xr:uid="{0E117C60-DF59-4AB2-A250-1F5BC88BD99A}"/>
    <cellStyle name="Migliaia 16 5 8" xfId="7336" xr:uid="{67876D50-13A9-4EF2-A402-F46AA3E4A10B}"/>
    <cellStyle name="Migliaia 16 6" xfId="3222" xr:uid="{66EDDB79-6AA3-4646-8F38-4D76577588FD}"/>
    <cellStyle name="Migliaia 16 6 2" xfId="4948" xr:uid="{7DB9EAB6-4387-45F8-96C1-93C58C807D5F}"/>
    <cellStyle name="Migliaia 16 6 2 2" xfId="9895" xr:uid="{213CAF51-6AB9-4267-97D8-7D40998AE23B}"/>
    <cellStyle name="Migliaia 16 6 2 3" xfId="18673" xr:uid="{51E1ADCB-EA3B-42A2-9F80-C7EAD9667723}"/>
    <cellStyle name="Migliaia 16 6 2 4" xfId="19957" xr:uid="{A1BF94A8-B27E-4992-8B0D-7FC28ADABEAF}"/>
    <cellStyle name="Migliaia 16 6 2 5" xfId="32315" xr:uid="{FA06763C-E689-4682-8383-7F31DC00B50A}"/>
    <cellStyle name="Migliaia 16 6 2 6" xfId="16119" xr:uid="{AB963D8A-7E37-458B-A978-D7E7FDE88DFA}"/>
    <cellStyle name="Migliaia 16 6 2 7" xfId="8521" xr:uid="{5F91CE8D-2581-4432-956F-6CDB41CCCD42}"/>
    <cellStyle name="Migliaia 16 6 3" xfId="6164" xr:uid="{DBB586DC-B786-4B33-B3B4-E3265610A976}"/>
    <cellStyle name="Migliaia 16 6 3 2" xfId="35174" xr:uid="{5C5E259F-502F-4E83-8E6D-44D2F2DB4519}"/>
    <cellStyle name="Migliaia 16 6 3 2 2" xfId="40332" xr:uid="{02F28DDE-8D98-473B-AA8E-3DCF3651D1DC}"/>
    <cellStyle name="Migliaia 16 6 3 2 3" xfId="45634" xr:uid="{2FAC0A90-DC5F-44E7-A836-5B20C8CEB8B6}"/>
    <cellStyle name="Migliaia 16 6 3 3" xfId="37681" xr:uid="{6C58C55D-D0E0-4CDC-8C1C-8248C3781AF7}"/>
    <cellStyle name="Migliaia 16 6 3 4" xfId="42983" xr:uid="{BBEE9698-CEA4-41DA-AAE5-CD90580D2653}"/>
    <cellStyle name="Migliaia 16 6 3 5" xfId="9658" xr:uid="{17649B34-C24B-49AA-89FA-361BCC1D5416}"/>
    <cellStyle name="Migliaia 16 6 4" xfId="19956" xr:uid="{BCF18FEE-33A5-4F76-BD04-882C1DA72428}"/>
    <cellStyle name="Migliaia 16 6 4 2" xfId="38628" xr:uid="{81BAA3EC-EE2E-41EE-92C2-A105A3354191}"/>
    <cellStyle name="Migliaia 16 6 4 3" xfId="43930" xr:uid="{534C4DE5-23FB-4638-9343-2D0B517ACC09}"/>
    <cellStyle name="Migliaia 16 6 4 4" xfId="33238" xr:uid="{7ABC46CE-9B37-4049-91B5-3C1E1D1D982A}"/>
    <cellStyle name="Migliaia 16 6 5" xfId="36139" xr:uid="{D9E64C45-B0CE-4C64-972C-FF7D8D7BDFEE}"/>
    <cellStyle name="Migliaia 16 6 6" xfId="41279" xr:uid="{B992991A-F906-4D87-A17B-F0DC0765126B}"/>
    <cellStyle name="Migliaia 16 6 7" xfId="16118" xr:uid="{2B38826D-6922-4D84-95BE-D7D44561F76A}"/>
    <cellStyle name="Migliaia 16 6 8" xfId="7331" xr:uid="{53DC7EDE-EF66-47A3-8008-4BE5B848A239}"/>
    <cellStyle name="Migliaia 16 7" xfId="3223" xr:uid="{9116D72B-23F8-4790-BAB6-73152061C4CA}"/>
    <cellStyle name="Migliaia 16 7 2" xfId="4949" xr:uid="{8500CA5C-8D52-4E38-A342-3AFD01F418E4}"/>
    <cellStyle name="Migliaia 16 7 2 2" xfId="35175" xr:uid="{1B4E0CC4-CBCD-49ED-8209-20DB3C0A2E28}"/>
    <cellStyle name="Migliaia 16 7 2 2 2" xfId="40333" xr:uid="{32ED87FC-208F-46E9-9025-91A069EA2143}"/>
    <cellStyle name="Migliaia 16 7 2 2 3" xfId="45635" xr:uid="{4B0B7D04-EB3E-450F-9618-13BEFDBC807D}"/>
    <cellStyle name="Migliaia 16 7 2 3" xfId="37682" xr:uid="{86E680EB-3E3D-4B46-BEAC-F8F34FB1A28C}"/>
    <cellStyle name="Migliaia 16 7 2 4" xfId="42984" xr:uid="{17F527A1-4935-4E0B-B126-64CBC87C3753}"/>
    <cellStyle name="Migliaia 16 7 2 5" xfId="14199" xr:uid="{C9D773B8-FCB5-46A1-8478-83EFA100327B}"/>
    <cellStyle name="Migliaia 16 7 3" xfId="6165" xr:uid="{5376C883-DF44-4A3E-B3E1-A5A04B9F6B36}"/>
    <cellStyle name="Migliaia 16 7 3 2" xfId="38629" xr:uid="{56CD2025-68A3-4C0D-BA8C-702336C37ADB}"/>
    <cellStyle name="Migliaia 16 7 3 3" xfId="43931" xr:uid="{F10666B6-B6BC-482A-9EDF-4B91D3EEAA99}"/>
    <cellStyle name="Migliaia 16 7 3 4" xfId="33239" xr:uid="{181E91D4-E9C0-44E4-AD59-AD03A283CD1A}"/>
    <cellStyle name="Migliaia 16 7 3 5" xfId="19958" xr:uid="{FD590284-4016-4D5C-863F-FE313C7C0827}"/>
    <cellStyle name="Migliaia 16 7 4" xfId="36140" xr:uid="{58F89D82-6A54-4CB5-864D-ECE5667086D8}"/>
    <cellStyle name="Migliaia 16 7 5" xfId="41280" xr:uid="{2E9197E6-DE9F-41EF-ABB9-2FC069F38676}"/>
    <cellStyle name="Migliaia 16 7 6" xfId="16120" xr:uid="{E2DA430F-7327-4687-87A8-FC785D966902}"/>
    <cellStyle name="Migliaia 16 7 7" xfId="8261" xr:uid="{AC96EA17-F0D9-4D97-949B-8697780C06F1}"/>
    <cellStyle name="Migliaia 16 8" xfId="3224" xr:uid="{F5E9D481-4024-4216-B3A7-18E13A81E535}"/>
    <cellStyle name="Migliaia 16 8 2" xfId="4950" xr:uid="{719F73F2-1384-4687-8842-89D1854050D4}"/>
    <cellStyle name="Migliaia 16 8 2 2" xfId="35176" xr:uid="{17D0FD5D-8AB2-405D-B820-000BC5A29547}"/>
    <cellStyle name="Migliaia 16 8 2 2 2" xfId="40334" xr:uid="{AE854CA0-2D3C-4FB2-A53C-EA53090409DB}"/>
    <cellStyle name="Migliaia 16 8 2 2 3" xfId="45636" xr:uid="{56AF987A-7919-4675-81D8-E2CD7C7FF340}"/>
    <cellStyle name="Migliaia 16 8 2 3" xfId="37683" xr:uid="{BA4AB2DC-D25E-4462-9CF1-A28C7D2BD9E6}"/>
    <cellStyle name="Migliaia 16 8 2 4" xfId="42985" xr:uid="{7EE779EC-B4DB-445D-AA91-76BE69F58D32}"/>
    <cellStyle name="Migliaia 16 8 2 5" xfId="13902" xr:uid="{FCDDBEFB-C173-413A-BF4E-40A68A78BC29}"/>
    <cellStyle name="Migliaia 16 8 3" xfId="6166" xr:uid="{AE8F9E46-D909-4E5A-8AA1-D58B68859054}"/>
    <cellStyle name="Migliaia 16 8 3 2" xfId="38630" xr:uid="{459EA9F8-3DA3-4ED2-B7CB-5E030CCFB0EB}"/>
    <cellStyle name="Migliaia 16 8 3 3" xfId="43932" xr:uid="{8AF7B83D-C09A-4FEB-94E9-C6EE1A60CD0E}"/>
    <cellStyle name="Migliaia 16 8 3 4" xfId="33240" xr:uid="{3AF9E119-F5A8-4A6A-8DBF-0EC1FABD8E9B}"/>
    <cellStyle name="Migliaia 16 8 3 5" xfId="19959" xr:uid="{FC4A25FB-22A2-4CE3-9BC8-D9529C65D1DA}"/>
    <cellStyle name="Migliaia 16 8 4" xfId="36141" xr:uid="{49FDFD01-6E25-40E0-B090-32EEEEF86692}"/>
    <cellStyle name="Migliaia 16 8 5" xfId="41281" xr:uid="{FCE85E9B-7410-45D7-880F-C00D738455D7}"/>
    <cellStyle name="Migliaia 16 8 6" xfId="16121" xr:uid="{30222956-8E38-4A66-AFE5-83C5DDDDD8B1}"/>
    <cellStyle name="Migliaia 16 8 7" xfId="7847" xr:uid="{74169595-4600-4DBD-B413-40F6F78D1BCC}"/>
    <cellStyle name="Migliaia 16 9" xfId="4935" xr:uid="{92157AAB-3F43-49E5-A200-E9CBC37921B5}"/>
    <cellStyle name="Migliaia 16 9 2" xfId="33241" xr:uid="{6EB18193-E08B-490E-892C-09A2CCC50E03}"/>
    <cellStyle name="Migliaia 16 9 2 2" xfId="38631" xr:uid="{E0346405-24A5-4973-90DA-EC16A16AD172}"/>
    <cellStyle name="Migliaia 16 9 2 3" xfId="43933" xr:uid="{ECBF548A-6737-4D15-B133-7437002BBEAB}"/>
    <cellStyle name="Migliaia 16 9 3" xfId="36142" xr:uid="{37875761-2694-4AB8-BF3E-9457AD5E13A1}"/>
    <cellStyle name="Migliaia 16 9 4" xfId="41282" xr:uid="{14145234-0DFE-4227-B162-663D80534B9E}"/>
    <cellStyle name="Migliaia 16 9 5" xfId="17149" xr:uid="{51BCFD1C-CFB1-42A6-A6AA-AD5813325560}"/>
    <cellStyle name="Migliaia 17" xfId="329" xr:uid="{00000000-0005-0000-0000-000000030000}"/>
    <cellStyle name="Migliaia 17 10" xfId="6167" xr:uid="{B449B038-E41A-43A1-B283-DD8A34D3ED52}"/>
    <cellStyle name="Migliaia 17 10 2" xfId="38632" xr:uid="{9E8C4C0A-0DA0-4642-9D53-96DAB85B4592}"/>
    <cellStyle name="Migliaia 17 10 3" xfId="43934" xr:uid="{0669F917-DA37-420B-B237-7972D3BC5616}"/>
    <cellStyle name="Migliaia 17 10 4" xfId="33242" xr:uid="{F2239F6F-A775-4814-87DD-55A5B6C3A0B3}"/>
    <cellStyle name="Migliaia 17 10 5" xfId="19960" xr:uid="{8D10313E-BD6D-4B44-9501-2D91AD89C57F}"/>
    <cellStyle name="Migliaia 17 11" xfId="3225" xr:uid="{3046D155-BC93-4761-A084-C4E6361BB75B}"/>
    <cellStyle name="Migliaia 17 11 2" xfId="36143" xr:uid="{40A89BE5-2552-49C6-B7CD-3800EC724B2C}"/>
    <cellStyle name="Migliaia 17 12" xfId="41283" xr:uid="{A988D3D7-D0FB-4867-B681-236D1120DD48}"/>
    <cellStyle name="Migliaia 17 13" xfId="7065" xr:uid="{7E22735B-84BA-4D97-AB47-3B56FD0110CF}"/>
    <cellStyle name="Migliaia 17 2" xfId="330" xr:uid="{00000000-0005-0000-0000-000001030000}"/>
    <cellStyle name="Migliaia 17 2 2" xfId="1693" xr:uid="{00000000-0005-0000-0000-000002030000}"/>
    <cellStyle name="Migliaia 17 2 2 2" xfId="4953" xr:uid="{695FE019-1048-4F96-87E5-CB4E1C1EE737}"/>
    <cellStyle name="Migliaia 17 2 2 2 2" xfId="14370" xr:uid="{54907CFE-2036-4300-91A1-35AC6FF8E76A}"/>
    <cellStyle name="Migliaia 17 2 2 2 2 2" xfId="38633" xr:uid="{D2C73655-C532-40F8-A2D3-C865B7EBCE8C}"/>
    <cellStyle name="Migliaia 17 2 2 2 2 3" xfId="43935" xr:uid="{A318D58B-46B0-4A39-BE2E-0991896970D7}"/>
    <cellStyle name="Migliaia 17 2 2 2 3" xfId="18381" xr:uid="{C75EC32C-3A8B-4561-AFDE-4EBAFF070427}"/>
    <cellStyle name="Migliaia 17 2 2 2 4" xfId="19963" xr:uid="{C04B57C1-32CE-489B-A23C-E55F1089832A}"/>
    <cellStyle name="Migliaia 17 2 2 2 4 2" xfId="41284" xr:uid="{0FCC133E-8B9F-46BB-9EF8-551BFDCDFAF6}"/>
    <cellStyle name="Migliaia 17 2 2 2 5" xfId="16122" xr:uid="{F3FF8562-A7FF-4EEB-B146-44B98ED62041}"/>
    <cellStyle name="Migliaia 17 2 2 2 6" xfId="8528" xr:uid="{A251528A-6481-4940-99B3-DAD2BC84F726}"/>
    <cellStyle name="Migliaia 17 2 2 3" xfId="6169" xr:uid="{59EA1EA9-D1A2-4ADE-96BF-8C4DB3BDBB8C}"/>
    <cellStyle name="Migliaia 17 2 2 3 2" xfId="35177" xr:uid="{0AC0916E-06F8-4BF0-87A2-86D37B6EE8E2}"/>
    <cellStyle name="Migliaia 17 2 2 3 2 2" xfId="40335" xr:uid="{C6A3FA7B-05DF-484D-B53F-2AA83AEB1620}"/>
    <cellStyle name="Migliaia 17 2 2 3 2 3" xfId="45637" xr:uid="{32F368AF-FB11-4772-BA65-2E5905D3A254}"/>
    <cellStyle name="Migliaia 17 2 2 3 3" xfId="37684" xr:uid="{91D98528-7127-44E9-8412-6C6E5D38CF68}"/>
    <cellStyle name="Migliaia 17 2 2 3 4" xfId="42986" xr:uid="{AFFB5D2B-FAB1-4808-8F71-DD8895CCC87A}"/>
    <cellStyle name="Migliaia 17 2 2 3 5" xfId="11599" xr:uid="{F67B5F90-E355-4198-A52C-E1DC05E0C056}"/>
    <cellStyle name="Migliaia 17 2 2 4" xfId="3227" xr:uid="{7703B99E-8B88-4E71-B09F-8CE24733E721}"/>
    <cellStyle name="Migliaia 17 2 2 4 2" xfId="21405" xr:uid="{049D4B03-D639-4DE4-B18E-E5816F6EEF11}"/>
    <cellStyle name="Migliaia 17 2 2 4 3" xfId="46213" xr:uid="{3AB9506D-DE54-48BF-83F9-DDF4D8E158A2}"/>
    <cellStyle name="Migliaia 17 2 2 4 4" xfId="50420" xr:uid="{432C77BA-CC57-47CD-BED3-CCDE674C9EFF}"/>
    <cellStyle name="Migliaia 17 2 2 4 5" xfId="53436" xr:uid="{2B7F8976-2A03-4423-87EB-ED6B39825D66}"/>
    <cellStyle name="Migliaia 17 2 2 4 6" xfId="10770" xr:uid="{FF3E0A22-5FC4-4103-A0EE-8648BF9967CC}"/>
    <cellStyle name="Migliaia 17 2 2 5" xfId="19962" xr:uid="{61B53B67-7480-497B-B76F-27EBD1EB2368}"/>
    <cellStyle name="Migliaia 17 2 2 6" xfId="24366" xr:uid="{075AD09B-80FA-413E-A07D-55A3B94CD123}"/>
    <cellStyle name="Migliaia 17 2 2 7" xfId="7338" xr:uid="{ED944338-38B5-45C1-9A1D-CD6533C2505B}"/>
    <cellStyle name="Migliaia 17 2 3" xfId="3228" xr:uid="{0B847C8A-4DCD-4132-8C9E-CAA77CE9928A}"/>
    <cellStyle name="Migliaia 17 2 3 2" xfId="4954" xr:uid="{A164BD99-8283-40BF-8EB6-539D876E88F1}"/>
    <cellStyle name="Migliaia 17 2 3 2 2" xfId="35178" xr:uid="{956E3ADA-7300-4BEC-AB64-11C7B24239DE}"/>
    <cellStyle name="Migliaia 17 2 3 2 2 2" xfId="40336" xr:uid="{9BD19FEE-06D9-4866-B065-4CEB09D6D4BA}"/>
    <cellStyle name="Migliaia 17 2 3 2 2 3" xfId="45638" xr:uid="{A2DB6B2F-3DB3-4E67-BC56-228F93171424}"/>
    <cellStyle name="Migliaia 17 2 3 2 3" xfId="37685" xr:uid="{D44AA5DC-9B8D-4A34-9288-D27A55651E1A}"/>
    <cellStyle name="Migliaia 17 2 3 2 4" xfId="42987" xr:uid="{D1A33497-CE9F-47BC-88D1-41519A6F4D37}"/>
    <cellStyle name="Migliaia 17 2 3 2 5" xfId="14203" xr:uid="{8B2421FC-B8BD-47D1-8C56-3387CE87F9C5}"/>
    <cellStyle name="Migliaia 17 2 3 3" xfId="6170" xr:uid="{67FCBE1A-BC13-47B3-B5F6-D287E5FCC063}"/>
    <cellStyle name="Migliaia 17 2 3 3 2" xfId="38634" xr:uid="{8A01A3BC-BE06-4756-9650-7E03F2B14611}"/>
    <cellStyle name="Migliaia 17 2 3 3 3" xfId="43936" xr:uid="{C418E403-7F6A-431B-9F5A-3B53FF028854}"/>
    <cellStyle name="Migliaia 17 2 3 3 4" xfId="33243" xr:uid="{6DCC7D6A-A54A-46F2-9A1A-4346EE5E1CEE}"/>
    <cellStyle name="Migliaia 17 2 3 3 5" xfId="19964" xr:uid="{1F09644F-2127-41C6-B046-837605DFD386}"/>
    <cellStyle name="Migliaia 17 2 3 4" xfId="36144" xr:uid="{D3479BF0-BF0D-4337-BC83-1B10E8F53BD3}"/>
    <cellStyle name="Migliaia 17 2 3 5" xfId="41285" xr:uid="{A24D0385-2C88-4333-B018-4335BFA4ADF0}"/>
    <cellStyle name="Migliaia 17 2 3 6" xfId="16123" xr:uid="{06A31656-0AD1-4B20-B7C5-20B706B5A6CD}"/>
    <cellStyle name="Migliaia 17 2 3 7" xfId="8265" xr:uid="{1DCB137C-AC1D-492A-BAF1-525C9C5B96BD}"/>
    <cellStyle name="Migliaia 17 2 4" xfId="4952" xr:uid="{4D730830-2A8D-44F6-891A-BAE705955E6A}"/>
    <cellStyle name="Migliaia 17 2 4 2" xfId="13906" xr:uid="{989A84EA-5BE2-4C80-AE3C-AD7DF189AA11}"/>
    <cellStyle name="Migliaia 17 2 4 2 2" xfId="38635" xr:uid="{6C341AEF-0627-4B64-ABF7-CDC77F9E5361}"/>
    <cellStyle name="Migliaia 17 2 4 2 3" xfId="43937" xr:uid="{77CCFEF7-1BE9-48D1-B722-AF60FDFF8DA2}"/>
    <cellStyle name="Migliaia 17 2 4 3" xfId="18037" xr:uid="{0401657A-EBAB-4EBB-8D9B-45E3FFEBA57B}"/>
    <cellStyle name="Migliaia 17 2 4 4" xfId="19965" xr:uid="{548CB9C6-F236-4DEF-BBE8-5D6F4C4AEFAC}"/>
    <cellStyle name="Migliaia 17 2 4 4 2" xfId="41286" xr:uid="{BBDA4D85-F2E4-4B4C-860B-EABD79C7EA73}"/>
    <cellStyle name="Migliaia 17 2 4 5" xfId="16124" xr:uid="{CDC8DE12-A519-4513-83EB-C2A30B29F4F4}"/>
    <cellStyle name="Migliaia 17 2 4 6" xfId="7852" xr:uid="{3F7DF65C-F761-4829-A9E1-DCCCFFC6D60B}"/>
    <cellStyle name="Migliaia 17 2 5" xfId="6168" xr:uid="{55BF6CD0-2152-456E-9153-6075540BED1F}"/>
    <cellStyle name="Migliaia 17 2 5 2" xfId="33244" xr:uid="{4A16FC28-86E3-4F68-BA24-0EEB308E37CD}"/>
    <cellStyle name="Migliaia 17 2 5 2 2" xfId="38636" xr:uid="{CAA91EE2-43B3-4DE2-BA8E-224C74E8EAB2}"/>
    <cellStyle name="Migliaia 17 2 5 2 3" xfId="43938" xr:uid="{88E32656-36C8-4F37-AB97-E2AAD3A92381}"/>
    <cellStyle name="Migliaia 17 2 5 3" xfId="36145" xr:uid="{54D490FD-227B-4532-BE92-740882516B7D}"/>
    <cellStyle name="Migliaia 17 2 5 4" xfId="41287" xr:uid="{61BA04BF-CF65-43FF-90E8-EB338AEEF5A7}"/>
    <cellStyle name="Migliaia 17 2 5 5" xfId="13110" xr:uid="{F3BCFA3B-BA4A-465F-9AAC-B6A995D6336E}"/>
    <cellStyle name="Migliaia 17 2 6" xfId="3226" xr:uid="{FB3752D8-FD09-45FE-B603-F3340391FA73}"/>
    <cellStyle name="Migliaia 17 2 6 2" xfId="33245" xr:uid="{4E36AF71-972A-4C13-A3DC-66A549876C5B}"/>
    <cellStyle name="Migliaia 17 2 6 2 2" xfId="38637" xr:uid="{44A365DF-6C8C-4EFF-8BB3-292B7C15AF34}"/>
    <cellStyle name="Migliaia 17 2 6 2 3" xfId="43939" xr:uid="{AA75E65D-FED8-4E12-8859-938B0FBF4568}"/>
    <cellStyle name="Migliaia 17 2 6 3" xfId="36146" xr:uid="{A50137B0-B81E-4995-81D5-1D50DC9674AA}"/>
    <cellStyle name="Migliaia 17 2 6 4" xfId="41288" xr:uid="{203866A3-C66E-4128-9560-EE74A3B32DEC}"/>
    <cellStyle name="Migliaia 17 2 6 5" xfId="24367" xr:uid="{3857656E-3261-4C06-8CCC-AF56AD5C5C2E}"/>
    <cellStyle name="Migliaia 17 2 6 6" xfId="19961" xr:uid="{2F06A27F-B493-4048-962B-69CABBB9D0C4}"/>
    <cellStyle name="Migliaia 17 2 7" xfId="24365" xr:uid="{18C4B83E-8793-4404-BC47-0D212B842D42}"/>
    <cellStyle name="Migliaia 17 2 8" xfId="7066" xr:uid="{8F8CF34C-1564-40F9-849C-787625831EDD}"/>
    <cellStyle name="Migliaia 17 3" xfId="331" xr:uid="{00000000-0005-0000-0000-000003030000}"/>
    <cellStyle name="Migliaia 17 3 10" xfId="24368" xr:uid="{DC516846-AF4E-4539-8836-9A537815A8DB}"/>
    <cellStyle name="Migliaia 17 3 11" xfId="16125" xr:uid="{1B32E09C-CF63-4FBC-8244-9C4B1C6688D6}"/>
    <cellStyle name="Migliaia 17 3 12" xfId="7067" xr:uid="{F53F1333-B419-4347-A318-569ACBCBD9B2}"/>
    <cellStyle name="Migliaia 17 3 2" xfId="332" xr:uid="{00000000-0005-0000-0000-000004030000}"/>
    <cellStyle name="Migliaia 17 3 2 2" xfId="1694" xr:uid="{00000000-0005-0000-0000-000005030000}"/>
    <cellStyle name="Migliaia 17 3 2 2 2" xfId="4957" xr:uid="{EAFDC47D-6F89-4548-8DC7-9811C57B3594}"/>
    <cellStyle name="Migliaia 17 3 2 2 2 2" xfId="18382" xr:uid="{67F3E7C7-FF80-4F4F-B2FE-FD3EBC13D3F4}"/>
    <cellStyle name="Migliaia 17 3 2 2 2 2 2" xfId="21845" xr:uid="{2E742B63-7870-41AE-A8C2-35CEF1F8BACF}"/>
    <cellStyle name="Migliaia 17 3 2 2 2 2 2 2" xfId="38638" xr:uid="{35DA64C3-9935-42AD-ABD1-BA31AF46B2E3}"/>
    <cellStyle name="Migliaia 17 3 2 2 2 2 3" xfId="43940" xr:uid="{990690D4-BCF9-4132-BD02-8352FE9D6677}"/>
    <cellStyle name="Migliaia 17 3 2 2 2 2 4" xfId="33246" xr:uid="{ADFC38D2-1034-437E-BA66-3AE13DF970BF}"/>
    <cellStyle name="Migliaia 17 3 2 2 2 3" xfId="36147" xr:uid="{68B8D57B-895C-4683-A85F-916649398E60}"/>
    <cellStyle name="Migliaia 17 3 2 2 2 4" xfId="41289" xr:uid="{77823050-F214-483A-9A18-127B9BB1887B}"/>
    <cellStyle name="Migliaia 17 3 2 2 2 5" xfId="47012" xr:uid="{4BEA76B3-6E5D-4512-AAF9-860EF761BF02}"/>
    <cellStyle name="Migliaia 17 3 2 2 2 6" xfId="50873" xr:uid="{FD777EB7-111F-4CB5-8285-3A6F97B8033F}"/>
    <cellStyle name="Migliaia 17 3 2 2 2 7" xfId="53889" xr:uid="{7830D8BE-4982-4EF4-9998-C0412A9697AB}"/>
    <cellStyle name="Migliaia 17 3 2 2 2 8" xfId="17646" xr:uid="{6EE92FA2-D73A-4760-BB54-DAD6C056A290}"/>
    <cellStyle name="Migliaia 17 3 2 2 2 9" xfId="11915" xr:uid="{FD2E061B-2F60-4510-A8FB-5878B31C274F}"/>
    <cellStyle name="Migliaia 17 3 2 2 3" xfId="6173" xr:uid="{03F2D1A1-C66C-4C0E-8BC7-4884B93EF7C6}"/>
    <cellStyle name="Migliaia 17 3 2 2 3 2" xfId="11687" xr:uid="{EC0DB964-6D20-453A-814C-BEDE0F8D51F9}"/>
    <cellStyle name="Migliaia 17 3 2 2 4" xfId="3231" xr:uid="{48A5F7A4-3E71-4609-812F-59F6D9139260}"/>
    <cellStyle name="Migliaia 17 3 2 2 4 2" xfId="21406" xr:uid="{4FEE47F2-B079-4CA6-9BAF-7A0BBACF7B2B}"/>
    <cellStyle name="Migliaia 17 3 2 2 4 3" xfId="46214" xr:uid="{E1A1C1A5-A544-469C-B6F8-65B5B3075779}"/>
    <cellStyle name="Migliaia 17 3 2 2 4 4" xfId="50421" xr:uid="{EF9EB4EF-C9BD-4CEF-9EA9-364EDECAD4F4}"/>
    <cellStyle name="Migliaia 17 3 2 2 4 5" xfId="53437" xr:uid="{7F97CC5F-E93D-42F0-84E4-572BBDA23CD0}"/>
    <cellStyle name="Migliaia 17 3 2 2 4 6" xfId="10771" xr:uid="{0A5D4B7A-FF3C-460D-B825-2EB50E0EB21C}"/>
    <cellStyle name="Migliaia 17 3 2 2 5" xfId="19968" xr:uid="{C11D27C0-6219-4F92-81B5-D87F0D47C9E2}"/>
    <cellStyle name="Migliaia 17 3 2 2 6" xfId="24370" xr:uid="{E73B8BF7-E080-4F5C-9B98-ACEAF2B7B996}"/>
    <cellStyle name="Migliaia 17 3 2 2 7" xfId="8530" xr:uid="{6E6EDA39-5AD0-4A41-8288-7B8846C9BC26}"/>
    <cellStyle name="Migliaia 17 3 2 3" xfId="4956" xr:uid="{BFD71815-3366-482C-8B9F-6B7E59AC4D32}"/>
    <cellStyle name="Migliaia 17 3 2 3 2" xfId="12420" xr:uid="{6F9D5A9F-E1BA-46CC-9753-E92DDD569DD0}"/>
    <cellStyle name="Migliaia 17 3 2 3 2 2" xfId="38639" xr:uid="{76F9E58A-0528-496F-8498-4580A6EB1332}"/>
    <cellStyle name="Migliaia 17 3 2 3 2 3" xfId="43941" xr:uid="{8CB2741F-2D91-4C0A-BCD0-57389AAFD91C}"/>
    <cellStyle name="Migliaia 17 3 2 3 2 4" xfId="33247" xr:uid="{BFA832D8-FE72-4AE7-91DC-B7D8B84BADDC}"/>
    <cellStyle name="Migliaia 17 3 2 3 3" xfId="11916" xr:uid="{1E890120-C677-4FA7-91C5-D3CAF037500E}"/>
    <cellStyle name="Migliaia 17 3 2 3 4" xfId="19969" xr:uid="{BF69DC16-BDA4-419C-B1FA-03D81FCDDC81}"/>
    <cellStyle name="Migliaia 17 3 2 3 4 2" xfId="41290" xr:uid="{64E5282A-09D0-4650-8DFD-EB19570CCDEA}"/>
    <cellStyle name="Migliaia 17 3 2 3 5" xfId="16126" xr:uid="{3383E7A1-A31A-49C2-BAE2-30DBC5385028}"/>
    <cellStyle name="Migliaia 17 3 2 3 6" xfId="7854" xr:uid="{9A2671AD-2506-4BB0-B235-C11789DD5A6D}"/>
    <cellStyle name="Migliaia 17 3 2 4" xfId="6172" xr:uid="{B9C3E0C3-34CA-4438-ADDD-BFD99F6726B3}"/>
    <cellStyle name="Migliaia 17 3 2 4 2" xfId="18065" xr:uid="{5D0B996D-9F4A-468E-9E19-6E73374A7F55}"/>
    <cellStyle name="Migliaia 17 3 2 4 2 2" xfId="38640" xr:uid="{4E2A999A-2C33-4281-8541-3C8422C5BDB8}"/>
    <cellStyle name="Migliaia 17 3 2 4 2 3" xfId="43942" xr:uid="{82AD9950-8B83-4416-9F01-88C0105E1F29}"/>
    <cellStyle name="Migliaia 17 3 2 4 3" xfId="36148" xr:uid="{6CDA3637-76AA-489C-9928-232F5C134CC9}"/>
    <cellStyle name="Migliaia 17 3 2 4 4" xfId="41291" xr:uid="{9EA56CAA-6F51-4D1A-9293-4B96761C3E02}"/>
    <cellStyle name="Migliaia 17 3 2 4 5" xfId="17152" xr:uid="{37058580-AD0E-48A6-8101-C275CCF46442}"/>
    <cellStyle name="Migliaia 17 3 2 4 6" xfId="11268" xr:uid="{AB248D6D-789F-47D6-88B7-5DE9BFEACC5F}"/>
    <cellStyle name="Migliaia 17 3 2 5" xfId="3230" xr:uid="{2B9C8FD2-44DC-4C24-92A5-3D6D6B051CD1}"/>
    <cellStyle name="Migliaia 17 3 2 5 2" xfId="33248" xr:uid="{43796F83-6292-4746-823C-01513F4AC251}"/>
    <cellStyle name="Migliaia 17 3 2 5 2 2" xfId="38641" xr:uid="{9DDD84B0-9B25-4D68-9528-E993E39E9544}"/>
    <cellStyle name="Migliaia 17 3 2 5 2 3" xfId="43943" xr:uid="{80097DD2-2C57-4283-8733-AECC432D5277}"/>
    <cellStyle name="Migliaia 17 3 2 5 3" xfId="36149" xr:uid="{1D7D8393-0562-4655-9C75-AA4DE7561B84}"/>
    <cellStyle name="Migliaia 17 3 2 5 4" xfId="41292" xr:uid="{FD97BA04-0655-493D-BADF-29CC3590C07B}"/>
    <cellStyle name="Migliaia 17 3 2 5 5" xfId="17402" xr:uid="{7A6BFB72-F1AB-44B3-A334-4C4D456C5704}"/>
    <cellStyle name="Migliaia 17 3 2 6" xfId="19967" xr:uid="{BDD6326C-984E-4F3E-B644-5121FD99D045}"/>
    <cellStyle name="Migliaia 17 3 2 6 2" xfId="33249" xr:uid="{60966B9D-1083-4D22-91BB-B1E073931CBD}"/>
    <cellStyle name="Migliaia 17 3 2 6 2 2" xfId="38642" xr:uid="{34ACA1F3-AB75-485B-B7ED-C2F91EEB12A2}"/>
    <cellStyle name="Migliaia 17 3 2 6 2 3" xfId="43944" xr:uid="{7B2D9822-1884-43B6-B980-3695D40603C4}"/>
    <cellStyle name="Migliaia 17 3 2 6 3" xfId="36150" xr:uid="{2DC455FD-32BC-485C-AAB6-BF7119022913}"/>
    <cellStyle name="Migliaia 17 3 2 6 4" xfId="41293" xr:uid="{EEC08D85-1226-44E9-A191-D1111E691B26}"/>
    <cellStyle name="Migliaia 17 3 2 6 5" xfId="24371" xr:uid="{53A641D1-D732-40E4-A51E-2A7123BD3F3C}"/>
    <cellStyle name="Migliaia 17 3 2 7" xfId="24369" xr:uid="{00E0DE6D-01D2-4959-AB43-BED231203968}"/>
    <cellStyle name="Migliaia 17 3 2 8" xfId="7340" xr:uid="{8B7AEB54-A2E4-435B-82D8-99E6FC38CD18}"/>
    <cellStyle name="Migliaia 17 3 3" xfId="3232" xr:uid="{A80063E3-B088-41B8-9A02-523362C1393B}"/>
    <cellStyle name="Migliaia 17 3 3 10" xfId="7339" xr:uid="{D1E24BC9-A78A-43BF-B9ED-10D1AB47281C}"/>
    <cellStyle name="Migliaia 17 3 3 2" xfId="4958" xr:uid="{C5AAF257-1944-4FD3-8FB6-60DD81F4CFE2}"/>
    <cellStyle name="Migliaia 17 3 3 2 2" xfId="9898" xr:uid="{9747B959-3BD1-45CC-8C2A-4E2986297F9C}"/>
    <cellStyle name="Migliaia 17 3 3 2 2 2" xfId="38644" xr:uid="{CDB0D9C3-62D4-4A67-8B7E-43C61AD06C19}"/>
    <cellStyle name="Migliaia 17 3 3 2 2 3" xfId="43946" xr:uid="{785CC999-4220-436D-B1A1-E2C315A73809}"/>
    <cellStyle name="Migliaia 17 3 3 2 3" xfId="18178" xr:uid="{CC749553-EA74-4BCD-8B00-7D827C0E0CE9}"/>
    <cellStyle name="Migliaia 17 3 3 2 4" xfId="19971" xr:uid="{0A06860B-AFE4-4C62-B731-76677152E67C}"/>
    <cellStyle name="Migliaia 17 3 3 2 4 2" xfId="41295" xr:uid="{9055CDCF-17A2-4100-9876-03088326CB01}"/>
    <cellStyle name="Migliaia 17 3 3 2 5" xfId="16128" xr:uid="{5357F337-7C2B-45A6-88A6-37DFC7CD3BF2}"/>
    <cellStyle name="Migliaia 17 3 3 2 6" xfId="8529" xr:uid="{701A44FA-7557-4F56-9A1D-4A3C7B3B136A}"/>
    <cellStyle name="Migliaia 17 3 3 3" xfId="6174" xr:uid="{CC8B715A-52C4-4EC2-89C0-EB35B3C3E5CE}"/>
    <cellStyle name="Migliaia 17 3 3 3 2" xfId="33251" xr:uid="{7F29D9E0-CF8E-4BA0-BBDD-412513D956E6}"/>
    <cellStyle name="Migliaia 17 3 3 3 2 2" xfId="38645" xr:uid="{77C01EAE-9589-4DC7-9A1A-A1F2E6DA493C}"/>
    <cellStyle name="Migliaia 17 3 3 3 2 3" xfId="43947" xr:uid="{BBC3D8C9-C9D4-4F7B-B167-321BD82DEAEA}"/>
    <cellStyle name="Migliaia 17 3 3 3 3" xfId="36152" xr:uid="{24917D9D-A004-4A35-ACE4-6A265FDB9060}"/>
    <cellStyle name="Migliaia 17 3 3 3 4" xfId="41296" xr:uid="{65F77B2A-E5AF-4329-B5A9-7DF7C51CB82D}"/>
    <cellStyle name="Migliaia 17 3 3 3 5" xfId="9661" xr:uid="{7DB300FD-5344-4583-A7F7-0D17A23A3469}"/>
    <cellStyle name="Migliaia 17 3 3 4" xfId="19970" xr:uid="{347D124B-8EA5-49DB-808A-BEFA10D296D3}"/>
    <cellStyle name="Migliaia 17 3 3 4 2" xfId="33252" xr:uid="{02F33E70-C0AA-4F04-A5BE-1EB377F0C6C2}"/>
    <cellStyle name="Migliaia 17 3 3 4 2 2" xfId="38646" xr:uid="{4F65CA18-854A-4093-961E-37E8A104EB4C}"/>
    <cellStyle name="Migliaia 17 3 3 4 2 3" xfId="43948" xr:uid="{BAAFE9D4-B2E2-4E46-8D0D-00495261173F}"/>
    <cellStyle name="Migliaia 17 3 3 4 3" xfId="36153" xr:uid="{A3160904-16F1-4D2F-A7D2-031983C3523E}"/>
    <cellStyle name="Migliaia 17 3 3 4 4" xfId="41297" xr:uid="{77D74BF0-9C65-4270-91CF-450BF7A74C7C}"/>
    <cellStyle name="Migliaia 17 3 3 4 5" xfId="24372" xr:uid="{5D5DE8C0-AD38-4063-9AFC-F97781D43B59}"/>
    <cellStyle name="Migliaia 17 3 3 5" xfId="24373" xr:uid="{56551602-8A2C-4048-991A-40BB906E2C49}"/>
    <cellStyle name="Migliaia 17 3 3 5 2" xfId="33253" xr:uid="{22B5E680-FCC8-4661-AE03-B03CE2260587}"/>
    <cellStyle name="Migliaia 17 3 3 5 2 2" xfId="38647" xr:uid="{D4FB754A-3FB5-4F43-B104-B9EE128F4DB7}"/>
    <cellStyle name="Migliaia 17 3 3 5 2 3" xfId="43949" xr:uid="{759E8544-15A5-4E79-8472-1C6F3D442523}"/>
    <cellStyle name="Migliaia 17 3 3 5 3" xfId="36154" xr:uid="{82999E6F-E2A6-4592-8429-93582994919B}"/>
    <cellStyle name="Migliaia 17 3 3 5 4" xfId="41298" xr:uid="{4BAB0219-A2F2-4509-BDE0-3BF6964312AF}"/>
    <cellStyle name="Migliaia 17 3 3 6" xfId="33250" xr:uid="{6BBD938D-D7EB-4E54-99B0-9E3BCF9A536D}"/>
    <cellStyle name="Migliaia 17 3 3 6 2" xfId="38643" xr:uid="{CBCDEB96-C12E-4469-B03B-A84B50CAAE12}"/>
    <cellStyle name="Migliaia 17 3 3 6 3" xfId="43945" xr:uid="{A64E350A-6720-493B-95A6-C8639C5090A8}"/>
    <cellStyle name="Migliaia 17 3 3 7" xfId="36151" xr:uid="{ECF4CAD8-85B5-438C-9BB8-DD926AA92D9D}"/>
    <cellStyle name="Migliaia 17 3 3 8" xfId="41294" xr:uid="{11A9447A-06BE-4976-87F2-990BD95E6EBF}"/>
    <cellStyle name="Migliaia 17 3 3 9" xfId="16127" xr:uid="{B960A75C-7828-45FD-97E1-4227427E47ED}"/>
    <cellStyle name="Migliaia 17 3 4" xfId="3233" xr:uid="{8E72B6F0-A2BD-4AE4-8B2A-45ABB98C85D9}"/>
    <cellStyle name="Migliaia 17 3 4 2" xfId="4959" xr:uid="{9867DA51-5C58-4E79-AA12-71F9A24E03C9}"/>
    <cellStyle name="Migliaia 17 3 4 2 2" xfId="14431" xr:uid="{14805276-127D-4361-AE43-1B9093D4CC42}"/>
    <cellStyle name="Migliaia 17 3 4 2 3" xfId="18630" xr:uid="{F8615EF5-93CF-4A02-9A73-4FCA3C914CD4}"/>
    <cellStyle name="Migliaia 17 3 4 2 4" xfId="19973" xr:uid="{A61ADE68-485F-45B4-8558-96F0D14826CA}"/>
    <cellStyle name="Migliaia 17 3 4 2 5" xfId="32316" xr:uid="{5B600506-3B02-4E93-BE2B-C7FD0A5B4812}"/>
    <cellStyle name="Migliaia 17 3 4 2 6" xfId="16130" xr:uid="{B5227A91-678C-47A8-AD9C-4620483C2BBC}"/>
    <cellStyle name="Migliaia 17 3 4 2 7" xfId="8854" xr:uid="{33BEF809-5366-404B-8337-B7C84D656511}"/>
    <cellStyle name="Migliaia 17 3 4 3" xfId="6175" xr:uid="{99FE320E-2D40-43D6-8FE4-2EAF9FE9C851}"/>
    <cellStyle name="Migliaia 17 3 4 3 2" xfId="35179" xr:uid="{00D12E05-04BD-475C-BEFF-BEB0161E3B9B}"/>
    <cellStyle name="Migliaia 17 3 4 3 2 2" xfId="40337" xr:uid="{7C3E32C7-E0B2-497F-BF95-BE1F8FFCB60D}"/>
    <cellStyle name="Migliaia 17 3 4 3 2 3" xfId="45639" xr:uid="{19ED795C-D6A8-4147-902F-09897DF1EE69}"/>
    <cellStyle name="Migliaia 17 3 4 3 3" xfId="37686" xr:uid="{997EE07C-3329-4944-8C61-4387B8CDBAB9}"/>
    <cellStyle name="Migliaia 17 3 4 3 4" xfId="42988" xr:uid="{03BAF29D-D7B2-409C-8CE7-FB0D48272EC2}"/>
    <cellStyle name="Migliaia 17 3 4 3 5" xfId="13679" xr:uid="{93210857-95AC-4E10-A247-EDBA673889C1}"/>
    <cellStyle name="Migliaia 17 3 4 4" xfId="19972" xr:uid="{B906EDB6-AAA1-4DCA-B3FD-B29D6FF32213}"/>
    <cellStyle name="Migliaia 17 3 4 4 2" xfId="38648" xr:uid="{2A99154C-1E66-480B-A958-80F1EC52408A}"/>
    <cellStyle name="Migliaia 17 3 4 4 3" xfId="43950" xr:uid="{054323BB-AC90-4281-8F84-CA02316144BF}"/>
    <cellStyle name="Migliaia 17 3 4 4 4" xfId="33254" xr:uid="{5FC72A7C-6FDA-40C6-B64A-B4B09FD9C2B3}"/>
    <cellStyle name="Migliaia 17 3 4 5" xfId="36155" xr:uid="{29BA9455-43EA-44D8-BBD8-68347DCEA225}"/>
    <cellStyle name="Migliaia 17 3 4 6" xfId="41299" xr:uid="{1EB460CC-71C2-46CC-A078-B5AB6899B864}"/>
    <cellStyle name="Migliaia 17 3 4 7" xfId="16129" xr:uid="{CFDBCF4C-AB3B-479C-86DE-44E135FE5731}"/>
    <cellStyle name="Migliaia 17 3 4 8" xfId="7664" xr:uid="{16A4B8D8-3471-4602-B8F5-AD9129690804}"/>
    <cellStyle name="Migliaia 17 3 5" xfId="3234" xr:uid="{FA61D102-D688-4095-994F-E7644FBC5035}"/>
    <cellStyle name="Migliaia 17 3 5 2" xfId="4960" xr:uid="{975A1586-6716-459C-8B1E-F42FF417E0F1}"/>
    <cellStyle name="Migliaia 17 3 5 2 2" xfId="35180" xr:uid="{8B6E5D17-3B57-4463-99A7-43C9B12EA94D}"/>
    <cellStyle name="Migliaia 17 3 5 2 2 2" xfId="40338" xr:uid="{E4259C3E-2926-4226-A077-B716A7EB0905}"/>
    <cellStyle name="Migliaia 17 3 5 2 2 3" xfId="45640" xr:uid="{2B4897F6-0B82-4E8D-8252-D686B0EE8738}"/>
    <cellStyle name="Migliaia 17 3 5 2 3" xfId="37687" xr:uid="{4A6E6B32-1CE5-437F-AF95-49F8397DE916}"/>
    <cellStyle name="Migliaia 17 3 5 2 4" xfId="42989" xr:uid="{306E8D32-2E5A-4561-82AB-BEE570091B09}"/>
    <cellStyle name="Migliaia 17 3 5 2 5" xfId="14204" xr:uid="{63D81AA6-54DD-413B-BDB0-2B62864ADA37}"/>
    <cellStyle name="Migliaia 17 3 5 3" xfId="6176" xr:uid="{E9256CF4-117D-44BE-B3D0-E174700CC2A2}"/>
    <cellStyle name="Migliaia 17 3 5 3 2" xfId="38649" xr:uid="{8BF509B2-3D8E-4278-8227-B1B69265162B}"/>
    <cellStyle name="Migliaia 17 3 5 3 3" xfId="43951" xr:uid="{ACB54699-A892-403B-BC12-9185C8E99605}"/>
    <cellStyle name="Migliaia 17 3 5 3 4" xfId="33255" xr:uid="{F6094D80-A027-40A8-9B43-7DEBB754118D}"/>
    <cellStyle name="Migliaia 17 3 5 3 5" xfId="19974" xr:uid="{C7839D37-5DFC-43D8-BCF1-A38E306B25D8}"/>
    <cellStyle name="Migliaia 17 3 5 4" xfId="36156" xr:uid="{32C92865-3AD9-49D4-BB51-045C68942DA3}"/>
    <cellStyle name="Migliaia 17 3 5 5" xfId="41300" xr:uid="{C5F1160F-26A9-47BA-BF86-46CF8F9A5995}"/>
    <cellStyle name="Migliaia 17 3 5 6" xfId="16131" xr:uid="{BECDBD3F-89A1-451B-8636-D5638638BEA5}"/>
    <cellStyle name="Migliaia 17 3 5 7" xfId="8266" xr:uid="{A569A431-839E-4CB4-ADF4-773C7DE7DE24}"/>
    <cellStyle name="Migliaia 17 3 6" xfId="4955" xr:uid="{8C261088-6E59-4060-9B7A-9D82E997A473}"/>
    <cellStyle name="Migliaia 17 3 6 2" xfId="13907" xr:uid="{25A3E6B9-6E99-4D87-921A-4F484EFE9D81}"/>
    <cellStyle name="Migliaia 17 3 6 2 2" xfId="38650" xr:uid="{3AE8BF2F-4D2C-437F-BAC7-B37B8F636F71}"/>
    <cellStyle name="Migliaia 17 3 6 2 3" xfId="43952" xr:uid="{6188521A-7711-4354-A3EF-A2DE621C5728}"/>
    <cellStyle name="Migliaia 17 3 6 3" xfId="18151" xr:uid="{899FC44B-FEA1-4841-B268-102716824A4F}"/>
    <cellStyle name="Migliaia 17 3 6 4" xfId="19975" xr:uid="{270BC2E1-8890-42DF-B426-3EF6CDC57427}"/>
    <cellStyle name="Migliaia 17 3 6 4 2" xfId="41301" xr:uid="{47AC783C-42A5-4135-95F1-2B278D3B804E}"/>
    <cellStyle name="Migliaia 17 3 6 5" xfId="16132" xr:uid="{7740FCAC-EFB9-4681-AD32-41E74B4D20F3}"/>
    <cellStyle name="Migliaia 17 3 6 6" xfId="7853" xr:uid="{8F03D81C-5C44-4E77-BF0D-1A1C0940C15C}"/>
    <cellStyle name="Migliaia 17 3 7" xfId="6171" xr:uid="{4D0DAE86-91A0-4490-9FBE-2D8A0CB81B60}"/>
    <cellStyle name="Migliaia 17 3 7 2" xfId="33256" xr:uid="{3A8C9DC8-F7C0-4838-BA50-0711C1879C37}"/>
    <cellStyle name="Migliaia 17 3 7 2 2" xfId="38651" xr:uid="{B6075176-6C5B-4694-B70A-9E9BCAA2F1A7}"/>
    <cellStyle name="Migliaia 17 3 7 2 3" xfId="43953" xr:uid="{59C8B5B0-6534-40CC-ACC7-0FDE635A356F}"/>
    <cellStyle name="Migliaia 17 3 7 3" xfId="36157" xr:uid="{957CF238-BF16-43B3-8125-40F6AE2B3D44}"/>
    <cellStyle name="Migliaia 17 3 7 4" xfId="41302" xr:uid="{466FB695-3BCF-4679-92D2-F3294685AA28}"/>
    <cellStyle name="Migliaia 17 3 7 5" xfId="12278" xr:uid="{B41A2FFD-1ABA-4C6A-AB0E-4AF1A60A760C}"/>
    <cellStyle name="Migliaia 17 3 8" xfId="3229" xr:uid="{4C4F8F08-D78A-406A-AC12-07AFB98FD700}"/>
    <cellStyle name="Migliaia 17 3 8 2" xfId="33257" xr:uid="{7DB13F26-0960-40F3-A4EF-027840C0B2FD}"/>
    <cellStyle name="Migliaia 17 3 8 2 2" xfId="38652" xr:uid="{18FD21B3-C2CF-4FDF-8747-0BE37AB657B6}"/>
    <cellStyle name="Migliaia 17 3 8 2 3" xfId="43954" xr:uid="{83B8A6DD-4A35-404C-B788-797893FDE9E5}"/>
    <cellStyle name="Migliaia 17 3 8 3" xfId="36158" xr:uid="{1A13E3D3-FAD7-4184-AD2F-132528D9F79F}"/>
    <cellStyle name="Migliaia 17 3 8 4" xfId="41303" xr:uid="{37E0417B-B814-4237-9A2A-D12795C41D8F}"/>
    <cellStyle name="Migliaia 17 3 8 5" xfId="24374" xr:uid="{9570EF61-E08E-45AE-A35A-06B9554E7473}"/>
    <cellStyle name="Migliaia 17 3 8 6" xfId="17403" xr:uid="{4FC2E113-7A9D-46E2-B9AB-ADBF257E3857}"/>
    <cellStyle name="Migliaia 17 3 9" xfId="19966" xr:uid="{3551A41F-2308-4D7F-8E27-167C53EE4AB5}"/>
    <cellStyle name="Migliaia 17 4" xfId="1695" xr:uid="{00000000-0005-0000-0000-000006030000}"/>
    <cellStyle name="Migliaia 17 4 2" xfId="1696" xr:uid="{00000000-0005-0000-0000-000007030000}"/>
    <cellStyle name="Migliaia 17 4 2 2" xfId="4962" xr:uid="{EA948EB0-65CE-4A56-91D0-E2FDF1EFEB82}"/>
    <cellStyle name="Migliaia 17 4 2 2 2" xfId="33258" xr:uid="{4061F405-B4D1-4D43-B077-D07DF7FD9F34}"/>
    <cellStyle name="Migliaia 17 4 2 2 2 2" xfId="38653" xr:uid="{65818559-8E5D-4A4C-ABE9-DDD47657BB4B}"/>
    <cellStyle name="Migliaia 17 4 2 2 2 3" xfId="43955" xr:uid="{9FE5E140-B21B-48C0-9574-C7B33B8A94EC}"/>
    <cellStyle name="Migliaia 17 4 2 2 3" xfId="36159" xr:uid="{5A536FF2-3026-4E6C-AE98-0318E30A1FFC}"/>
    <cellStyle name="Migliaia 17 4 2 2 4" xfId="41304" xr:uid="{DBDC592E-89B4-4594-8CF1-0BFB3B499809}"/>
    <cellStyle name="Migliaia 17 4 2 2 5" xfId="9124" xr:uid="{0DE86AC9-EB78-4CBD-92CD-FD23FD7B979B}"/>
    <cellStyle name="Migliaia 17 4 2 3" xfId="3236" xr:uid="{38E83EC4-9AD6-4D1A-BB4F-2967DE7C4D9F}"/>
    <cellStyle name="Migliaia 17 4 2 3 2" xfId="33259" xr:uid="{0B5A7F66-9FA0-44AC-9FCE-A82091A3808B}"/>
    <cellStyle name="Migliaia 17 4 2 3 2 2" xfId="38654" xr:uid="{1ABD01CF-11D8-43D9-B939-FFAFAD18648C}"/>
    <cellStyle name="Migliaia 17 4 2 3 2 3" xfId="43956" xr:uid="{2C75A031-6640-4AFA-9939-DAFD8DC4AC57}"/>
    <cellStyle name="Migliaia 17 4 2 3 3" xfId="36160" xr:uid="{F2AF347D-8195-4EFB-AB3A-11AEF4F3AA7A}"/>
    <cellStyle name="Migliaia 17 4 2 3 4" xfId="41305" xr:uid="{91DE9B65-1E6A-41EF-A5D0-B3A1DF8D92D1}"/>
    <cellStyle name="Migliaia 17 4 2 3 5" xfId="11917" xr:uid="{1026604A-8C7D-4663-9851-C5B993AA6CC0}"/>
    <cellStyle name="Migliaia 17 4 2 4" xfId="11270" xr:uid="{EB074027-DC5F-413D-88D5-B0A2DA8364FF}"/>
    <cellStyle name="Migliaia 17 4 2 5" xfId="10773" xr:uid="{2BD5613F-F85E-4EEE-A18A-E01249A5DB84}"/>
    <cellStyle name="Migliaia 17 4 2 5 2" xfId="21408" xr:uid="{D46373E3-5BE1-4DCA-ADB3-2D5B81F34FE6}"/>
    <cellStyle name="Migliaia 17 4 2 5 3" xfId="46216" xr:uid="{70033626-D9DD-42C6-8D5A-732E9C167C44}"/>
    <cellStyle name="Migliaia 17 4 2 5 4" xfId="50423" xr:uid="{AA8D7321-645D-4BC5-8109-E5801E166BA4}"/>
    <cellStyle name="Migliaia 17 4 2 5 5" xfId="53439" xr:uid="{51F17C15-1656-450F-BC25-2ED31F0E529F}"/>
    <cellStyle name="Migliaia 17 4 2 6" xfId="19977" xr:uid="{EF00231F-87B9-4E85-8C4B-659A2C6EB1FA}"/>
    <cellStyle name="Migliaia 17 4 2 7" xfId="24376" xr:uid="{F8B4573F-3B1E-4115-8158-E40DCD451BA2}"/>
    <cellStyle name="Migliaia 17 4 2 8" xfId="8531" xr:uid="{F39BEE44-8774-4FB5-A290-0124ECF3F99B}"/>
    <cellStyle name="Migliaia 17 4 3" xfId="4961" xr:uid="{8D50FFE8-B994-400F-9759-66E5DCF7E603}"/>
    <cellStyle name="Migliaia 17 4 3 2" xfId="18179" xr:uid="{3E85213C-456E-42DF-9CF3-00D92770FE75}"/>
    <cellStyle name="Migliaia 17 4 3 2 2" xfId="38655" xr:uid="{22DB63BA-77DD-4D20-99F8-6BAB8D5C0A44}"/>
    <cellStyle name="Migliaia 17 4 3 2 3" xfId="43957" xr:uid="{524C9519-BEEC-4382-BB01-4BD68A570A85}"/>
    <cellStyle name="Migliaia 17 4 3 3" xfId="36161" xr:uid="{A9904348-94D7-48BE-8C4B-D736928EE1DA}"/>
    <cellStyle name="Migliaia 17 4 3 4" xfId="41306" xr:uid="{ACA46080-EDA1-4FBC-A429-35FA86A51734}"/>
    <cellStyle name="Migliaia 17 4 3 5" xfId="17401" xr:uid="{2EB8F574-849E-40E8-999C-8D10BFE2F15E}"/>
    <cellStyle name="Migliaia 17 4 3 6" xfId="9125" xr:uid="{FDFA4846-590D-4069-8EA3-CFC45784F95F}"/>
    <cellStyle name="Migliaia 17 4 4" xfId="6177" xr:uid="{4081831F-FEC0-41DD-B863-4210B06B10FF}"/>
    <cellStyle name="Migliaia 17 4 4 2" xfId="33260" xr:uid="{94DF58DB-654C-46CD-A16E-B0ADC435E92B}"/>
    <cellStyle name="Migliaia 17 4 4 2 2" xfId="38656" xr:uid="{B7697C0D-DAC7-4F73-9FA7-0A1EB98EF520}"/>
    <cellStyle name="Migliaia 17 4 4 2 3" xfId="43958" xr:uid="{D6E8B409-5DD5-4F84-944B-1C658A7CE91F}"/>
    <cellStyle name="Migliaia 17 4 4 3" xfId="36162" xr:uid="{74444F30-C178-42F5-AC80-C32054807FE7}"/>
    <cellStyle name="Migliaia 17 4 4 4" xfId="41307" xr:uid="{A9C1524F-8FAD-42C6-920B-B8C87C8CD2CE}"/>
    <cellStyle name="Migliaia 17 4 4 5" xfId="11918" xr:uid="{4340E103-1137-43CA-AD0A-F45F1B37ACF1}"/>
    <cellStyle name="Migliaia 17 4 5" xfId="3235" xr:uid="{6358207B-6C03-42A2-A1E0-B356CCA37138}"/>
    <cellStyle name="Migliaia 17 4 5 2" xfId="33261" xr:uid="{176AED85-2A7F-4400-9BF4-BD210A615CCE}"/>
    <cellStyle name="Migliaia 17 4 5 2 2" xfId="38657" xr:uid="{E47A7365-4CCE-41E8-945F-ABA934FE3EB1}"/>
    <cellStyle name="Migliaia 17 4 5 2 3" xfId="43959" xr:uid="{B076026F-269D-4A67-806E-468F004B6F0F}"/>
    <cellStyle name="Migliaia 17 4 5 3" xfId="36163" xr:uid="{D9D2A683-CA95-48A5-A0E6-B9A54FA44405}"/>
    <cellStyle name="Migliaia 17 4 5 4" xfId="41308" xr:uid="{6F448CAA-343F-4A97-A0A4-021482536502}"/>
    <cellStyle name="Migliaia 17 4 5 5" xfId="11269" xr:uid="{50E15731-58F1-4A70-94E0-98EB2DDF76C8}"/>
    <cellStyle name="Migliaia 17 4 6" xfId="10772" xr:uid="{FB79BF5F-CFE3-4AC9-BBEC-3F7C82548798}"/>
    <cellStyle name="Migliaia 17 4 6 2" xfId="21407" xr:uid="{5F615FCA-1788-4849-8EDB-7A1F7968B216}"/>
    <cellStyle name="Migliaia 17 4 6 2 2" xfId="38658" xr:uid="{9EB8BCCE-9255-43C2-82A2-1E1F4E1452B1}"/>
    <cellStyle name="Migliaia 17 4 6 2 3" xfId="43960" xr:uid="{3FF9313A-5F2C-4D1D-817A-C9259B24F060}"/>
    <cellStyle name="Migliaia 17 4 6 2 4" xfId="33262" xr:uid="{F2B1808D-A855-4838-883E-72D0118A6659}"/>
    <cellStyle name="Migliaia 17 4 6 3" xfId="36164" xr:uid="{BB43EEEA-EA9E-48F0-B868-A0D7237722D7}"/>
    <cellStyle name="Migliaia 17 4 6 4" xfId="41309" xr:uid="{CDB05B42-0D52-4A73-8BA3-CFE4C4825793}"/>
    <cellStyle name="Migliaia 17 4 6 5" xfId="24377" xr:uid="{AF64BAE4-1FE7-4BBB-B291-9A44B9667755}"/>
    <cellStyle name="Migliaia 17 4 6 6" xfId="46215" xr:uid="{BCF761A0-5281-4DDD-ADE5-83FA702DAC47}"/>
    <cellStyle name="Migliaia 17 4 6 7" xfId="50422" xr:uid="{482D063B-4886-48AB-8A1F-C00B72BD379B}"/>
    <cellStyle name="Migliaia 17 4 6 8" xfId="53438" xr:uid="{9C902ACE-E8E0-4332-931B-B7D67B2DB7FE}"/>
    <cellStyle name="Migliaia 17 4 7" xfId="19976" xr:uid="{CE56F9EE-5DB9-4B2D-AE60-5C89BD53F975}"/>
    <cellStyle name="Migliaia 17 4 7 2" xfId="33263" xr:uid="{0D80D5E6-64DB-4A90-A249-20841B19544B}"/>
    <cellStyle name="Migliaia 17 4 7 2 2" xfId="38659" xr:uid="{8203A3E7-C0EF-478D-93DC-023FAD90F108}"/>
    <cellStyle name="Migliaia 17 4 7 2 3" xfId="43961" xr:uid="{4B946A28-0FCC-4720-A822-9EA692E10795}"/>
    <cellStyle name="Migliaia 17 4 7 3" xfId="36165" xr:uid="{B55F1E95-0AF6-4AE0-8B3C-E9F85A4DC240}"/>
    <cellStyle name="Migliaia 17 4 7 4" xfId="41310" xr:uid="{CEF65EB6-50F6-4807-8CEA-FD1C297EC9EE}"/>
    <cellStyle name="Migliaia 17 4 7 5" xfId="24378" xr:uid="{C63C7EFE-5492-4E9B-9B74-5238492A17BC}"/>
    <cellStyle name="Migliaia 17 4 8" xfId="24375" xr:uid="{52BD8CE0-19AB-418F-A215-CE2485DD1F12}"/>
    <cellStyle name="Migliaia 17 4 9" xfId="7341" xr:uid="{6F0F07F6-00AD-439F-A43E-1EFF7EF39245}"/>
    <cellStyle name="Migliaia 17 5" xfId="1697" xr:uid="{00000000-0005-0000-0000-000008030000}"/>
    <cellStyle name="Migliaia 17 5 2" xfId="4963" xr:uid="{85C5DCF9-C859-4531-9C7B-A9BCF7AC412B}"/>
    <cellStyle name="Migliaia 17 5 2 2" xfId="18383" xr:uid="{AE8C7C86-9216-4FDD-AAEF-80664D60AF13}"/>
    <cellStyle name="Migliaia 17 5 2 2 2" xfId="38660" xr:uid="{2AA8F958-DBA6-4167-A4BE-23F449A06526}"/>
    <cellStyle name="Migliaia 17 5 2 2 3" xfId="43962" xr:uid="{9666F595-6F89-43D6-9AA1-BEE69BFCB88B}"/>
    <cellStyle name="Migliaia 17 5 2 3" xfId="19979" xr:uid="{A835E618-8962-47A0-AC5C-F463BE27AD94}"/>
    <cellStyle name="Migliaia 17 5 2 3 2" xfId="36166" xr:uid="{3F64D83C-F851-45E1-AA93-FFF20A749D98}"/>
    <cellStyle name="Migliaia 17 5 2 4" xfId="41311" xr:uid="{C3B929DF-2414-48A4-A732-8AEB1F76DD3B}"/>
    <cellStyle name="Migliaia 17 5 2 5" xfId="16133" xr:uid="{C2161123-CBB3-4AF0-85C2-6D49EDFF8D05}"/>
    <cellStyle name="Migliaia 17 5 2 6" xfId="8532" xr:uid="{865292EF-2F66-44EA-A3C2-95C4C74DAAE3}"/>
    <cellStyle name="Migliaia 17 5 3" xfId="6178" xr:uid="{C19D1431-B0B3-4C4D-8446-6DC11B039C80}"/>
    <cellStyle name="Migliaia 17 5 3 2" xfId="33264" xr:uid="{2BF74C71-E88C-4880-94BF-A4AA689EEA4A}"/>
    <cellStyle name="Migliaia 17 5 3 2 2" xfId="38661" xr:uid="{14CA29B7-62FC-4F08-8C6F-477D6BAE4662}"/>
    <cellStyle name="Migliaia 17 5 3 2 3" xfId="43963" xr:uid="{7290917F-D342-4B67-B8D2-4C99700BAE92}"/>
    <cellStyle name="Migliaia 17 5 3 3" xfId="36167" xr:uid="{6DC3643F-9B49-484F-BC31-9022C1B88A80}"/>
    <cellStyle name="Migliaia 17 5 3 4" xfId="41312" xr:uid="{2632C193-91B9-432C-8E4C-781B1B26D599}"/>
    <cellStyle name="Migliaia 17 5 3 5" xfId="11271" xr:uid="{3FC5DA1F-63BB-4D03-9FC1-D6BF1EFC2BF6}"/>
    <cellStyle name="Migliaia 17 5 4" xfId="3237" xr:uid="{8B1FB564-F176-448E-AF2B-2C1C55D260C9}"/>
    <cellStyle name="Migliaia 17 5 4 2" xfId="21409" xr:uid="{AD7D8ACE-9A2B-47F8-84A0-2DF7B609EE4E}"/>
    <cellStyle name="Migliaia 17 5 4 2 2" xfId="38662" xr:uid="{5FE160C5-1FB1-44C6-9145-2A4079C4AE40}"/>
    <cellStyle name="Migliaia 17 5 4 2 3" xfId="43964" xr:uid="{FAAAAB42-ECCF-42F7-AC32-47890D189BB4}"/>
    <cellStyle name="Migliaia 17 5 4 2 4" xfId="33265" xr:uid="{1F70D9E4-8A0A-4410-AE55-CEC90DAE6392}"/>
    <cellStyle name="Migliaia 17 5 4 3" xfId="36168" xr:uid="{0946D029-A713-4AC0-8CBC-01C5E046DF1D}"/>
    <cellStyle name="Migliaia 17 5 4 4" xfId="41313" xr:uid="{BB614C84-19E1-4226-8C6F-FDBBFF68B6E5}"/>
    <cellStyle name="Migliaia 17 5 4 5" xfId="24380" xr:uid="{838BE503-179B-49EA-B52B-9FF648EF4642}"/>
    <cellStyle name="Migliaia 17 5 4 6" xfId="32299" xr:uid="{C40AEEF3-0530-45D9-BB23-BC072A10C246}"/>
    <cellStyle name="Migliaia 17 5 4 7" xfId="50424" xr:uid="{99D39033-47EB-4002-B4F0-1B37ECE2C03C}"/>
    <cellStyle name="Migliaia 17 5 4 8" xfId="53440" xr:uid="{48979346-1EAA-4813-BA21-7B79AFAB02B7}"/>
    <cellStyle name="Migliaia 17 5 4 9" xfId="10774" xr:uid="{0BACDFC6-BE63-4939-A271-A50CC4DE6006}"/>
    <cellStyle name="Migliaia 17 5 5" xfId="19978" xr:uid="{3F9E7AFA-6FD6-4982-93C1-80361D42864B}"/>
    <cellStyle name="Migliaia 17 5 5 2" xfId="33266" xr:uid="{9B25D6CF-447A-4F7F-ABDE-7474F70931EC}"/>
    <cellStyle name="Migliaia 17 5 5 2 2" xfId="38663" xr:uid="{82C43B24-80AF-4EDC-B6C8-3EE77BF237E9}"/>
    <cellStyle name="Migliaia 17 5 5 2 3" xfId="43965" xr:uid="{0EC206BC-761B-4091-AF22-D5FFCD2FB92B}"/>
    <cellStyle name="Migliaia 17 5 5 3" xfId="36169" xr:uid="{0140C273-0CFA-401B-8ED7-6461A6AAD13C}"/>
    <cellStyle name="Migliaia 17 5 5 4" xfId="41314" xr:uid="{6A118074-354A-4EA1-AD2B-FD5C090D1E6A}"/>
    <cellStyle name="Migliaia 17 5 5 5" xfId="24381" xr:uid="{517F0955-CE3B-4CE3-8B48-2B36C4185769}"/>
    <cellStyle name="Migliaia 17 5 6" xfId="24382" xr:uid="{D903B164-837A-43EB-98AD-A1B4DAFC7817}"/>
    <cellStyle name="Migliaia 17 5 6 2" xfId="33267" xr:uid="{7701231E-E95F-43B4-9453-C8FC714A80DE}"/>
    <cellStyle name="Migliaia 17 5 6 2 2" xfId="38664" xr:uid="{C7A87B69-0033-4D18-A49F-6F528BACEB73}"/>
    <cellStyle name="Migliaia 17 5 6 2 3" xfId="43966" xr:uid="{3C065A06-BA1D-4221-B28C-A1E233DA3F74}"/>
    <cellStyle name="Migliaia 17 5 6 3" xfId="36170" xr:uid="{FB48427D-931E-4811-BD52-87C7FC0E3596}"/>
    <cellStyle name="Migliaia 17 5 6 4" xfId="41315" xr:uid="{251762E0-E6EC-425B-9AE7-604C43B1CAC5}"/>
    <cellStyle name="Migliaia 17 5 7" xfId="24379" xr:uid="{1B8C4579-5D17-45A2-A2AD-0E3CCB2027BF}"/>
    <cellStyle name="Migliaia 17 5 8" xfId="7342" xr:uid="{329D688F-288E-406E-A74E-F76194FD145A}"/>
    <cellStyle name="Migliaia 17 6" xfId="3238" xr:uid="{4DE26CC1-1D91-4FAF-86BA-4722C17A60B7}"/>
    <cellStyle name="Migliaia 17 6 2" xfId="4964" xr:uid="{6C405154-6A46-4C0C-846D-53DBEE1743F2}"/>
    <cellStyle name="Migliaia 17 6 2 2" xfId="9897" xr:uid="{13616DE7-0120-4A81-B8B7-BE2A7DDCCC92}"/>
    <cellStyle name="Migliaia 17 6 2 3" xfId="18672" xr:uid="{BD84A016-6641-4F4F-8CFA-9DAB422A5851}"/>
    <cellStyle name="Migliaia 17 6 2 4" xfId="19981" xr:uid="{0B1C43B3-BF3A-484B-9135-59781EEDEA88}"/>
    <cellStyle name="Migliaia 17 6 2 5" xfId="32317" xr:uid="{E352E30D-51B9-4F80-8CC9-5FBB499C1144}"/>
    <cellStyle name="Migliaia 17 6 2 6" xfId="16135" xr:uid="{AD599E8B-9579-418E-A6DD-F97BE9FF5B78}"/>
    <cellStyle name="Migliaia 17 6 2 7" xfId="8527" xr:uid="{71A8283E-A00E-4B6D-9F8C-3F4C0058A5B2}"/>
    <cellStyle name="Migliaia 17 6 3" xfId="6179" xr:uid="{FCC1FADF-1434-4BAD-9114-E749D59E36E2}"/>
    <cellStyle name="Migliaia 17 6 3 2" xfId="35181" xr:uid="{66FFD332-AEC0-4E13-B040-C7905C831173}"/>
    <cellStyle name="Migliaia 17 6 3 2 2" xfId="40339" xr:uid="{9ECE3CBF-7E0D-4E7B-9DFC-3BC949AF4A69}"/>
    <cellStyle name="Migliaia 17 6 3 2 3" xfId="45641" xr:uid="{48EB361A-DEBD-424D-9FA8-C4A61A1E6850}"/>
    <cellStyle name="Migliaia 17 6 3 3" xfId="37688" xr:uid="{C78F039B-B558-4003-953D-7CE9894A310F}"/>
    <cellStyle name="Migliaia 17 6 3 4" xfId="42990" xr:uid="{BFC91DA7-FFD3-414B-8FCE-66A1E5CC254E}"/>
    <cellStyle name="Migliaia 17 6 3 5" xfId="9660" xr:uid="{2702CC73-7D14-4D9B-B470-C01B880E7728}"/>
    <cellStyle name="Migliaia 17 6 4" xfId="19980" xr:uid="{89BBCF71-3481-4FDF-9429-895FE863CCC6}"/>
    <cellStyle name="Migliaia 17 6 4 2" xfId="38665" xr:uid="{0829433C-29C7-4B91-8B10-4D83FFA031F0}"/>
    <cellStyle name="Migliaia 17 6 4 3" xfId="43967" xr:uid="{356A5BF1-6CC6-42A1-AE5A-F249DC57551D}"/>
    <cellStyle name="Migliaia 17 6 4 4" xfId="33268" xr:uid="{C091C55B-D1ED-4A0C-8DA1-FC9A911B8BA2}"/>
    <cellStyle name="Migliaia 17 6 5" xfId="36171" xr:uid="{7E1B9F28-215F-4E3C-AF85-8A1707A61E1E}"/>
    <cellStyle name="Migliaia 17 6 6" xfId="41316" xr:uid="{94F6852E-E95A-4C2F-B8D5-0A2C33439870}"/>
    <cellStyle name="Migliaia 17 6 7" xfId="16134" xr:uid="{98F142C5-F219-4C20-8C27-032D6CC7ECA7}"/>
    <cellStyle name="Migliaia 17 6 8" xfId="7337" xr:uid="{3B2C4E45-B56B-4F22-821D-BD1014633F73}"/>
    <cellStyle name="Migliaia 17 7" xfId="3239" xr:uid="{CD92DC21-FF47-45E4-A089-FA24C227C465}"/>
    <cellStyle name="Migliaia 17 7 2" xfId="4965" xr:uid="{1E73715D-6A5F-4F26-BD3F-2AE652BF7760}"/>
    <cellStyle name="Migliaia 17 7 2 2" xfId="35182" xr:uid="{AEE52EC8-3137-4D36-82EC-3596D1903DAB}"/>
    <cellStyle name="Migliaia 17 7 2 2 2" xfId="40340" xr:uid="{8BC99FED-FDB5-4ABE-BA3E-223A748BBC5F}"/>
    <cellStyle name="Migliaia 17 7 2 2 3" xfId="45642" xr:uid="{6F5C545D-5E3C-45D5-A78E-40D575E0823F}"/>
    <cellStyle name="Migliaia 17 7 2 3" xfId="37689" xr:uid="{4456D632-B5FC-41AE-83C8-064229BF93B9}"/>
    <cellStyle name="Migliaia 17 7 2 4" xfId="42991" xr:uid="{057DF39F-368F-4066-9854-BB15762D828F}"/>
    <cellStyle name="Migliaia 17 7 2 5" xfId="14202" xr:uid="{BA824A1B-FF85-4BC4-8E40-38C82E089AF4}"/>
    <cellStyle name="Migliaia 17 7 3" xfId="6180" xr:uid="{74626AA6-CBB9-49CA-B849-B6F3A3E695D1}"/>
    <cellStyle name="Migliaia 17 7 3 2" xfId="38666" xr:uid="{ED047387-1284-4889-BFAB-D8161F904455}"/>
    <cellStyle name="Migliaia 17 7 3 3" xfId="43968" xr:uid="{0EAD3359-FE3B-46CC-80C9-FD30DE76499F}"/>
    <cellStyle name="Migliaia 17 7 3 4" xfId="33269" xr:uid="{D9B5F33A-5CA5-4D5E-974D-F757D581A991}"/>
    <cellStyle name="Migliaia 17 7 3 5" xfId="19982" xr:uid="{BC2727CF-ADD3-4B46-BE7C-46DE8D8048E4}"/>
    <cellStyle name="Migliaia 17 7 4" xfId="36172" xr:uid="{33082F20-D815-4811-A831-FEE0876F3F35}"/>
    <cellStyle name="Migliaia 17 7 5" xfId="41317" xr:uid="{20B8E61A-19F8-41DA-8F11-701CC3F61FAC}"/>
    <cellStyle name="Migliaia 17 7 6" xfId="16136" xr:uid="{3748E98A-EBF4-40B7-92EF-8EA85B9CCE05}"/>
    <cellStyle name="Migliaia 17 7 7" xfId="8264" xr:uid="{586B16B4-BC22-461A-B02A-0D9AD73BAFAB}"/>
    <cellStyle name="Migliaia 17 8" xfId="3240" xr:uid="{27BA129C-EE2A-4CE8-B3CC-77F0996D1203}"/>
    <cellStyle name="Migliaia 17 8 2" xfId="4966" xr:uid="{C157ADDC-F69A-4A90-8A04-7CB2043C705F}"/>
    <cellStyle name="Migliaia 17 8 2 2" xfId="35183" xr:uid="{B4E32680-EF84-4F61-9529-D2822E37AEE7}"/>
    <cellStyle name="Migliaia 17 8 2 2 2" xfId="40341" xr:uid="{482C7D39-452B-42EE-ABC9-7E1963DF6D93}"/>
    <cellStyle name="Migliaia 17 8 2 2 3" xfId="45643" xr:uid="{C8F069FF-58A9-4EF5-AD1F-9940947E354D}"/>
    <cellStyle name="Migliaia 17 8 2 3" xfId="37690" xr:uid="{D7B55900-88A5-43EC-8500-40432BB04BFC}"/>
    <cellStyle name="Migliaia 17 8 2 4" xfId="42992" xr:uid="{2A9A5B11-B095-4691-919B-839F3716E2E7}"/>
    <cellStyle name="Migliaia 17 8 2 5" xfId="13905" xr:uid="{82612CEE-5F50-4C31-B0B5-69D2D6C2142C}"/>
    <cellStyle name="Migliaia 17 8 3" xfId="6181" xr:uid="{2750B2C4-F597-45FF-84B2-54122E95EA12}"/>
    <cellStyle name="Migliaia 17 8 3 2" xfId="38667" xr:uid="{6AF14182-B629-457C-BE50-1699C64B764B}"/>
    <cellStyle name="Migliaia 17 8 3 3" xfId="43969" xr:uid="{09232286-1F50-4FD9-909C-D9816013EF09}"/>
    <cellStyle name="Migliaia 17 8 3 4" xfId="33270" xr:uid="{FD4F8C47-895A-4751-8802-C59B24559377}"/>
    <cellStyle name="Migliaia 17 8 3 5" xfId="19983" xr:uid="{8A5164E7-DDAF-49CB-BA50-6BC830B40941}"/>
    <cellStyle name="Migliaia 17 8 4" xfId="36173" xr:uid="{5B654AF7-84C0-4735-BC0C-55527C08E09E}"/>
    <cellStyle name="Migliaia 17 8 5" xfId="41318" xr:uid="{BFEED062-FC46-4F4A-BFC3-F20AEC9885D5}"/>
    <cellStyle name="Migliaia 17 8 6" xfId="16137" xr:uid="{A7E4A316-A9C8-43DF-860A-9C5EACFD2591}"/>
    <cellStyle name="Migliaia 17 8 7" xfId="7851" xr:uid="{37F6C097-BDE2-423D-9859-1D3A97971E8C}"/>
    <cellStyle name="Migliaia 17 9" xfId="4951" xr:uid="{3B01EF58-5995-47A2-BF0B-D0E7DDEC5F71}"/>
    <cellStyle name="Migliaia 17 9 2" xfId="33271" xr:uid="{CD0FCFD3-2726-4D00-B57C-F273560EFABD}"/>
    <cellStyle name="Migliaia 17 9 2 2" xfId="38668" xr:uid="{3EFC08D2-4934-4EE0-8177-C19FF1A85198}"/>
    <cellStyle name="Migliaia 17 9 2 3" xfId="43970" xr:uid="{7FC1C557-3E5A-4C36-8AF4-AC4991F5F12A}"/>
    <cellStyle name="Migliaia 17 9 3" xfId="36174" xr:uid="{BEEA5689-804E-4236-9B31-A8E951C5CA72}"/>
    <cellStyle name="Migliaia 17 9 4" xfId="41319" xr:uid="{146E63DC-AB5E-434C-9F4E-4EF7A42AD6B0}"/>
    <cellStyle name="Migliaia 17 9 5" xfId="17151" xr:uid="{5059C4F0-C006-4BC5-A3AF-5C2020314C80}"/>
    <cellStyle name="Migliaia 18" xfId="333" xr:uid="{00000000-0005-0000-0000-000009030000}"/>
    <cellStyle name="Migliaia 18 10" xfId="6182" xr:uid="{36F4397E-53D2-4029-A735-5FA42F1809EE}"/>
    <cellStyle name="Migliaia 18 10 2" xfId="38669" xr:uid="{07352BD3-E7E3-4F6D-8308-8EBB8A8D699D}"/>
    <cellStyle name="Migliaia 18 10 3" xfId="43971" xr:uid="{5E1A0CA7-251A-4211-9311-382057B9A08A}"/>
    <cellStyle name="Migliaia 18 10 4" xfId="33272" xr:uid="{C4C5BEA9-B9D6-43BB-9A33-2421AD7BDF1E}"/>
    <cellStyle name="Migliaia 18 10 5" xfId="19984" xr:uid="{43AB8E17-5C40-4BB5-AC0A-F76D1C3D272C}"/>
    <cellStyle name="Migliaia 18 11" xfId="3241" xr:uid="{E1980C94-BECB-4725-A3DC-DADD294D717B}"/>
    <cellStyle name="Migliaia 18 11 2" xfId="36175" xr:uid="{43FEA7D9-6496-420B-89DC-4C9340DA5BFD}"/>
    <cellStyle name="Migliaia 18 12" xfId="41320" xr:uid="{E51F50AA-7062-4BA8-A2CE-4644DB813F76}"/>
    <cellStyle name="Migliaia 18 13" xfId="7068" xr:uid="{9D67F6F4-07B7-4B62-9CBB-C5908F011424}"/>
    <cellStyle name="Migliaia 18 2" xfId="334" xr:uid="{00000000-0005-0000-0000-00000A030000}"/>
    <cellStyle name="Migliaia 18 2 2" xfId="1698" xr:uid="{00000000-0005-0000-0000-00000B030000}"/>
    <cellStyle name="Migliaia 18 2 2 2" xfId="4969" xr:uid="{A71E8641-E7CA-411E-9CA4-8900CA4196B8}"/>
    <cellStyle name="Migliaia 18 2 2 2 2" xfId="14371" xr:uid="{DE48CE36-9B29-44F1-A600-1247A1198329}"/>
    <cellStyle name="Migliaia 18 2 2 2 2 2" xfId="38670" xr:uid="{CD6B4C17-B35D-4489-8AA0-6A04522BB076}"/>
    <cellStyle name="Migliaia 18 2 2 2 2 3" xfId="43972" xr:uid="{BCD5543E-6753-440B-BDCF-C29FE7210C4D}"/>
    <cellStyle name="Migliaia 18 2 2 2 3" xfId="18384" xr:uid="{16AF4FCB-0E37-461F-B436-2F5EA80CCAF6}"/>
    <cellStyle name="Migliaia 18 2 2 2 4" xfId="19987" xr:uid="{59DC6ACE-A830-418E-A142-FF4343E17A73}"/>
    <cellStyle name="Migliaia 18 2 2 2 4 2" xfId="41321" xr:uid="{F483A4F8-9A37-4C15-8D14-3941020165F4}"/>
    <cellStyle name="Migliaia 18 2 2 2 5" xfId="16138" xr:uid="{546D2DE4-425B-4C8B-AF2C-F128D9146622}"/>
    <cellStyle name="Migliaia 18 2 2 2 6" xfId="8534" xr:uid="{4C018A12-CE66-46E3-BC6C-4EDB8D9AC4FF}"/>
    <cellStyle name="Migliaia 18 2 2 3" xfId="6184" xr:uid="{AA3AE2D2-A546-476A-A26F-908A55AEBCBE}"/>
    <cellStyle name="Migliaia 18 2 2 3 2" xfId="35184" xr:uid="{FD7B3B73-BE6D-4605-BB60-F41C1FE743D6}"/>
    <cellStyle name="Migliaia 18 2 2 3 2 2" xfId="40342" xr:uid="{D4807848-7558-4D92-AB56-37DAE7160F04}"/>
    <cellStyle name="Migliaia 18 2 2 3 2 3" xfId="45644" xr:uid="{C791E1B2-EDE9-4796-95CE-A384DBFF66BB}"/>
    <cellStyle name="Migliaia 18 2 2 3 3" xfId="37691" xr:uid="{C1E63225-C040-4D4B-8B46-2A1E8E083F0B}"/>
    <cellStyle name="Migliaia 18 2 2 3 4" xfId="42993" xr:uid="{026B24FC-90A4-4087-8B7D-FDD556C50104}"/>
    <cellStyle name="Migliaia 18 2 2 3 5" xfId="11600" xr:uid="{27C487E6-8FB6-4F4F-9641-0B1A8B21A468}"/>
    <cellStyle name="Migliaia 18 2 2 4" xfId="3243" xr:uid="{16468B8A-E153-47DF-AACF-DACAE5BF140D}"/>
    <cellStyle name="Migliaia 18 2 2 4 2" xfId="21410" xr:uid="{9DE25AF1-85A8-4927-B44A-62920A4B84BE}"/>
    <cellStyle name="Migliaia 18 2 2 4 3" xfId="24248" xr:uid="{CE0B43BC-64B2-40AE-8833-AA0E684602BC}"/>
    <cellStyle name="Migliaia 18 2 2 4 4" xfId="50425" xr:uid="{1DAA2822-418D-4210-9542-B06A2C7DB08E}"/>
    <cellStyle name="Migliaia 18 2 2 4 5" xfId="53441" xr:uid="{1AA3F0C8-5878-40CC-AB29-57FE937860A5}"/>
    <cellStyle name="Migliaia 18 2 2 4 6" xfId="10775" xr:uid="{D472331D-D401-4EC2-B7C5-CFC48C48890C}"/>
    <cellStyle name="Migliaia 18 2 2 5" xfId="19986" xr:uid="{F226DDC8-352C-40E9-8CF2-98FC75C2661B}"/>
    <cellStyle name="Migliaia 18 2 2 6" xfId="24384" xr:uid="{AD3E127E-4D72-4F9E-8EF4-6C2CBC3F6E7E}"/>
    <cellStyle name="Migliaia 18 2 2 7" xfId="7344" xr:uid="{D0F57906-1151-4CD7-8105-B93AF51BA4F2}"/>
    <cellStyle name="Migliaia 18 2 3" xfId="3244" xr:uid="{259C5CCE-5155-401E-A417-4339BBD49EA4}"/>
    <cellStyle name="Migliaia 18 2 3 2" xfId="4970" xr:uid="{45CF8233-509F-4388-87FE-F73AB72A4433}"/>
    <cellStyle name="Migliaia 18 2 3 2 2" xfId="35185" xr:uid="{47B4A5FD-1CC3-46FC-8EDD-42683FEAB7CE}"/>
    <cellStyle name="Migliaia 18 2 3 2 2 2" xfId="40343" xr:uid="{340E7D2D-BC75-4506-849A-E5374903BFD8}"/>
    <cellStyle name="Migliaia 18 2 3 2 2 3" xfId="45645" xr:uid="{D40C5D95-8C65-48B5-AE26-A0976E642E5A}"/>
    <cellStyle name="Migliaia 18 2 3 2 3" xfId="37692" xr:uid="{96CD9757-4868-43C7-9E75-EE6198A70BBB}"/>
    <cellStyle name="Migliaia 18 2 3 2 4" xfId="42994" xr:uid="{7EF79479-AD34-4EEF-A083-0131ED96F6EF}"/>
    <cellStyle name="Migliaia 18 2 3 2 5" xfId="14206" xr:uid="{AAE879C7-4802-4154-8E45-9CE901BEEFF1}"/>
    <cellStyle name="Migliaia 18 2 3 3" xfId="6185" xr:uid="{7E1CBE8C-3EEB-4485-B3F2-3BEA2C707E79}"/>
    <cellStyle name="Migliaia 18 2 3 3 2" xfId="38671" xr:uid="{F6F41B03-B2CE-48ED-ABB5-2E22ABB5058C}"/>
    <cellStyle name="Migliaia 18 2 3 3 3" xfId="43973" xr:uid="{9476F0B3-7D0C-4602-8C4C-C6CD527CA109}"/>
    <cellStyle name="Migliaia 18 2 3 3 4" xfId="33273" xr:uid="{FA25E04D-1028-44F1-BF7D-AC204BE83DA9}"/>
    <cellStyle name="Migliaia 18 2 3 3 5" xfId="19988" xr:uid="{275E030A-6CBC-42DA-BF31-B93924E60717}"/>
    <cellStyle name="Migliaia 18 2 3 4" xfId="36176" xr:uid="{F8F9CF8B-335F-4FBE-9623-3EC98452652C}"/>
    <cellStyle name="Migliaia 18 2 3 5" xfId="41322" xr:uid="{6DED6DF9-3E88-45D6-AD3D-2F8FBA710104}"/>
    <cellStyle name="Migliaia 18 2 3 6" xfId="16139" xr:uid="{7A295940-62E0-46BD-8F69-9CB46B16D161}"/>
    <cellStyle name="Migliaia 18 2 3 7" xfId="8268" xr:uid="{1851E33F-20BB-4230-AEF4-AD45DFA73E69}"/>
    <cellStyle name="Migliaia 18 2 4" xfId="4968" xr:uid="{1404A246-297D-4A47-9EE6-B70F5C069C22}"/>
    <cellStyle name="Migliaia 18 2 4 2" xfId="13909" xr:uid="{9D1592C4-39A5-429C-A867-CE21C1E6771E}"/>
    <cellStyle name="Migliaia 18 2 4 2 2" xfId="38672" xr:uid="{4CEB250E-A637-4244-AD3C-90D1DD631F0B}"/>
    <cellStyle name="Migliaia 18 2 4 2 3" xfId="43974" xr:uid="{06FEFDF8-F12E-4C31-98D2-596901BA88F4}"/>
    <cellStyle name="Migliaia 18 2 4 3" xfId="18285" xr:uid="{444B1BE0-F1DF-4E55-9FC1-9E0A91A903C7}"/>
    <cellStyle name="Migliaia 18 2 4 4" xfId="19989" xr:uid="{61B3D180-7622-4A50-8597-A9AEC53CD2B0}"/>
    <cellStyle name="Migliaia 18 2 4 4 2" xfId="41323" xr:uid="{D534000A-5316-4143-A42E-E0A26EBE001C}"/>
    <cellStyle name="Migliaia 18 2 4 5" xfId="16140" xr:uid="{CC1A21C6-21B1-43BC-89C7-A5F8DDB6BE85}"/>
    <cellStyle name="Migliaia 18 2 4 6" xfId="7856" xr:uid="{33D009F8-756B-4BBF-B6E7-84454E92D1F8}"/>
    <cellStyle name="Migliaia 18 2 5" xfId="6183" xr:uid="{21B9BB6A-2983-4B41-9CBE-72C15599D672}"/>
    <cellStyle name="Migliaia 18 2 5 2" xfId="33274" xr:uid="{7811234A-85EA-413F-830F-7FE04823AFF3}"/>
    <cellStyle name="Migliaia 18 2 5 2 2" xfId="38673" xr:uid="{33C1B2A2-F0E2-454D-8877-8124D5003F0A}"/>
    <cellStyle name="Migliaia 18 2 5 2 3" xfId="43975" xr:uid="{F5DF6B65-2E4A-4ECE-B157-A5DE4C4774C7}"/>
    <cellStyle name="Migliaia 18 2 5 3" xfId="36177" xr:uid="{38586A8B-4446-4150-87A1-29C9234F40DE}"/>
    <cellStyle name="Migliaia 18 2 5 4" xfId="41324" xr:uid="{69C321A6-200E-4D49-9BFA-13364EE119B0}"/>
    <cellStyle name="Migliaia 18 2 5 5" xfId="13111" xr:uid="{65C6AC8D-43C7-4D29-BFA3-E78572D12FE3}"/>
    <cellStyle name="Migliaia 18 2 6" xfId="3242" xr:uid="{5F30935A-B8D3-4E40-A511-758B78429BE0}"/>
    <cellStyle name="Migliaia 18 2 6 2" xfId="33275" xr:uid="{3FDFF647-5CDF-4486-A284-1E9819A79F23}"/>
    <cellStyle name="Migliaia 18 2 6 2 2" xfId="38674" xr:uid="{533D29BD-1542-4D94-BCE6-673B20C3588C}"/>
    <cellStyle name="Migliaia 18 2 6 2 3" xfId="43976" xr:uid="{8CFAABCE-2AC8-4A66-80D3-7B97FB0D3B0C}"/>
    <cellStyle name="Migliaia 18 2 6 3" xfId="36178" xr:uid="{96514600-A07C-468A-B07A-A3432F90DC45}"/>
    <cellStyle name="Migliaia 18 2 6 4" xfId="41325" xr:uid="{2E031840-2C54-44E3-9395-44B95DB2855B}"/>
    <cellStyle name="Migliaia 18 2 6 5" xfId="24385" xr:uid="{48535E4E-ADF5-45A5-9215-823AF5E58C54}"/>
    <cellStyle name="Migliaia 18 2 6 6" xfId="19985" xr:uid="{0F3F889A-B59E-40D8-ACAF-2C512B24B109}"/>
    <cellStyle name="Migliaia 18 2 7" xfId="24383" xr:uid="{09123246-14D1-4491-8741-3356B6791FF3}"/>
    <cellStyle name="Migliaia 18 2 8" xfId="7069" xr:uid="{2E9F8BC5-1E76-4532-B49D-0BEDC3BFD8A8}"/>
    <cellStyle name="Migliaia 18 3" xfId="335" xr:uid="{00000000-0005-0000-0000-00000C030000}"/>
    <cellStyle name="Migliaia 18 3 10" xfId="24386" xr:uid="{681A1F59-0D97-4866-B813-8B111DF65E7D}"/>
    <cellStyle name="Migliaia 18 3 11" xfId="16141" xr:uid="{3C9790FB-596F-404B-B392-68F23180FF02}"/>
    <cellStyle name="Migliaia 18 3 12" xfId="7070" xr:uid="{12085CDC-B5E6-49DC-999F-C9B778B3AF46}"/>
    <cellStyle name="Migliaia 18 3 2" xfId="336" xr:uid="{00000000-0005-0000-0000-00000D030000}"/>
    <cellStyle name="Migliaia 18 3 2 2" xfId="1699" xr:uid="{00000000-0005-0000-0000-00000E030000}"/>
    <cellStyle name="Migliaia 18 3 2 2 2" xfId="4973" xr:uid="{55FF77B5-B280-4A7F-B6F9-FCC79EF42BBD}"/>
    <cellStyle name="Migliaia 18 3 2 2 2 2" xfId="18385" xr:uid="{591CF16B-EF9F-41F4-BB1C-B0473CB05228}"/>
    <cellStyle name="Migliaia 18 3 2 2 2 2 2" xfId="21846" xr:uid="{89702E85-AD43-488D-B828-8276169C9C28}"/>
    <cellStyle name="Migliaia 18 3 2 2 2 2 2 2" xfId="38675" xr:uid="{A7A949B4-3F1D-4480-AE71-DB07C3F2D2C9}"/>
    <cellStyle name="Migliaia 18 3 2 2 2 2 3" xfId="43977" xr:uid="{D37C0711-C9C5-4C30-9AFC-A50A72A55B1E}"/>
    <cellStyle name="Migliaia 18 3 2 2 2 2 4" xfId="33276" xr:uid="{53185B97-9E21-49D8-9BF4-F57CEE3A96BE}"/>
    <cellStyle name="Migliaia 18 3 2 2 2 3" xfId="36179" xr:uid="{E7A5C9A8-DC79-4637-B6CA-D4C9032AB308}"/>
    <cellStyle name="Migliaia 18 3 2 2 2 4" xfId="41326" xr:uid="{BB2718B4-B866-4251-884F-5B94E399387F}"/>
    <cellStyle name="Migliaia 18 3 2 2 2 5" xfId="47610" xr:uid="{8F19EE86-63C3-483D-8C91-4EC0FC110E28}"/>
    <cellStyle name="Migliaia 18 3 2 2 2 6" xfId="50874" xr:uid="{63E8AF17-E313-49C4-8591-8032AE7D7517}"/>
    <cellStyle name="Migliaia 18 3 2 2 2 7" xfId="53890" xr:uid="{CE9360B0-118E-4F84-99BE-D07A50D7EB90}"/>
    <cellStyle name="Migliaia 18 3 2 2 2 8" xfId="17647" xr:uid="{4DB67D3F-E1F4-4CAE-BE58-E1BFCDB8B171}"/>
    <cellStyle name="Migliaia 18 3 2 2 2 9" xfId="11919" xr:uid="{3360417C-6ED2-4932-9C2F-71143127BE4B}"/>
    <cellStyle name="Migliaia 18 3 2 2 3" xfId="6188" xr:uid="{0DA875BA-3D75-4924-94FB-B39D7544A924}"/>
    <cellStyle name="Migliaia 18 3 2 2 3 2" xfId="11688" xr:uid="{EA8A5357-FC9E-49DD-A248-79E6718EF1FB}"/>
    <cellStyle name="Migliaia 18 3 2 2 4" xfId="3247" xr:uid="{A405EDCB-D416-4927-8743-A9D12C6D3421}"/>
    <cellStyle name="Migliaia 18 3 2 2 4 2" xfId="21411" xr:uid="{C3A99BA2-50BC-4D89-BABB-BC36D303829C}"/>
    <cellStyle name="Migliaia 18 3 2 2 4 3" xfId="46217" xr:uid="{434EC7BF-0D99-40B0-9B8C-E6B713F01C01}"/>
    <cellStyle name="Migliaia 18 3 2 2 4 4" xfId="50426" xr:uid="{AF9EB816-B322-4119-B3FD-2ADF4F46C9C4}"/>
    <cellStyle name="Migliaia 18 3 2 2 4 5" xfId="53442" xr:uid="{B23FA60C-C5FC-4FAA-B988-600781194CE2}"/>
    <cellStyle name="Migliaia 18 3 2 2 4 6" xfId="10776" xr:uid="{447F5304-3893-47E6-8E03-58A3C0982D40}"/>
    <cellStyle name="Migliaia 18 3 2 2 5" xfId="19992" xr:uid="{A151D3A8-2221-4DA2-9DD1-CCF9D77A659D}"/>
    <cellStyle name="Migliaia 18 3 2 2 6" xfId="24388" xr:uid="{4651FDEF-E554-4C68-8113-FAD8273C008C}"/>
    <cellStyle name="Migliaia 18 3 2 2 7" xfId="8536" xr:uid="{7BF2E9AA-0A88-45E5-A7D3-73FDF494C545}"/>
    <cellStyle name="Migliaia 18 3 2 3" xfId="4972" xr:uid="{7ED9093F-318D-4552-B1EC-C780F0CAE4CC}"/>
    <cellStyle name="Migliaia 18 3 2 3 2" xfId="12228" xr:uid="{13D97EB3-F524-4DD4-A133-86E6914EBB45}"/>
    <cellStyle name="Migliaia 18 3 2 3 2 2" xfId="38676" xr:uid="{A3F63A6B-8348-4879-B2F9-E054984FD240}"/>
    <cellStyle name="Migliaia 18 3 2 3 2 3" xfId="43978" xr:uid="{3EAE37C9-1107-420B-BF08-8A93F4C3223D}"/>
    <cellStyle name="Migliaia 18 3 2 3 2 4" xfId="33277" xr:uid="{7A710BFE-AA98-4E5C-B140-2136FA416D6F}"/>
    <cellStyle name="Migliaia 18 3 2 3 3" xfId="11920" xr:uid="{D9217884-147D-488B-A8EC-21518CFF7B91}"/>
    <cellStyle name="Migliaia 18 3 2 3 4" xfId="19993" xr:uid="{027C3AE5-62B0-4F1B-92F7-714B4A827443}"/>
    <cellStyle name="Migliaia 18 3 2 3 4 2" xfId="41327" xr:uid="{6E18E3D0-FEBB-4067-9982-7AF25555F2F8}"/>
    <cellStyle name="Migliaia 18 3 2 3 5" xfId="16142" xr:uid="{7883E0A3-AE8D-438B-A8BC-41FE043306A3}"/>
    <cellStyle name="Migliaia 18 3 2 3 6" xfId="7858" xr:uid="{85B8C7F7-1FD5-4624-9112-721C24958D4D}"/>
    <cellStyle name="Migliaia 18 3 2 4" xfId="6187" xr:uid="{B6FD2D44-EFF2-4E51-8929-DFC10D1ED45E}"/>
    <cellStyle name="Migliaia 18 3 2 4 2" xfId="18066" xr:uid="{4300E6EA-2F1D-4413-A08E-C742B2B51079}"/>
    <cellStyle name="Migliaia 18 3 2 4 2 2" xfId="38677" xr:uid="{8CAB0851-29FB-453A-9EF0-87C97CB522E5}"/>
    <cellStyle name="Migliaia 18 3 2 4 2 3" xfId="43979" xr:uid="{11198D05-EE15-4C1E-A96A-7A0BB4772296}"/>
    <cellStyle name="Migliaia 18 3 2 4 3" xfId="36180" xr:uid="{C611A11B-B61B-4A84-8978-CCA75C070B07}"/>
    <cellStyle name="Migliaia 18 3 2 4 4" xfId="41328" xr:uid="{1217C062-B334-47D5-8FC9-5B9EE749E553}"/>
    <cellStyle name="Migliaia 18 3 2 4 5" xfId="17154" xr:uid="{D1F35E32-64C7-4182-BA4D-9CB013708E0F}"/>
    <cellStyle name="Migliaia 18 3 2 4 6" xfId="11272" xr:uid="{53039961-4C18-4373-9268-924408EA620F}"/>
    <cellStyle name="Migliaia 18 3 2 5" xfId="3246" xr:uid="{FC030BE4-6931-41B1-A709-FC9C4F953837}"/>
    <cellStyle name="Migliaia 18 3 2 5 2" xfId="33278" xr:uid="{56A1F0CC-CA6A-41BB-887B-82C3D13B5BBC}"/>
    <cellStyle name="Migliaia 18 3 2 5 2 2" xfId="38678" xr:uid="{710CFF4D-40D7-4369-8E99-0A43EDBB4BFD}"/>
    <cellStyle name="Migliaia 18 3 2 5 2 3" xfId="43980" xr:uid="{EDCB2FAC-0CB8-4985-A53C-9C22B87C88B5}"/>
    <cellStyle name="Migliaia 18 3 2 5 3" xfId="36181" xr:uid="{A55B125F-4646-4697-9630-CCD21C3C95DE}"/>
    <cellStyle name="Migliaia 18 3 2 5 4" xfId="41329" xr:uid="{5FDAF3E5-C5D0-4B79-8656-DFEF09125621}"/>
    <cellStyle name="Migliaia 18 3 2 5 5" xfId="17399" xr:uid="{DFFD9AEF-5946-4727-8058-3DD7439F80FF}"/>
    <cellStyle name="Migliaia 18 3 2 6" xfId="19991" xr:uid="{76D4E2AE-F182-4EA3-9551-DAB851954CCC}"/>
    <cellStyle name="Migliaia 18 3 2 6 2" xfId="33279" xr:uid="{9B799969-CBE9-433F-AE44-CA4BC61DB0BE}"/>
    <cellStyle name="Migliaia 18 3 2 6 2 2" xfId="38679" xr:uid="{434FE026-4CEA-4DF4-9AE1-52BD336E855A}"/>
    <cellStyle name="Migliaia 18 3 2 6 2 3" xfId="43981" xr:uid="{B0450F28-F000-49D5-92F7-1728E9D847FB}"/>
    <cellStyle name="Migliaia 18 3 2 6 3" xfId="36182" xr:uid="{A884A10D-6B47-4A3D-A226-12BD576A480A}"/>
    <cellStyle name="Migliaia 18 3 2 6 4" xfId="41330" xr:uid="{D5648A08-58BD-46AE-B4D4-E978604D71FD}"/>
    <cellStyle name="Migliaia 18 3 2 6 5" xfId="24389" xr:uid="{2EAAC100-561E-4F2B-8E0D-2FFDEA3283B5}"/>
    <cellStyle name="Migliaia 18 3 2 7" xfId="24387" xr:uid="{C6B1DB9C-3512-4C0B-9D21-D284D050D38A}"/>
    <cellStyle name="Migliaia 18 3 2 8" xfId="7346" xr:uid="{A1629FEF-98C8-492F-9432-07D41357A911}"/>
    <cellStyle name="Migliaia 18 3 3" xfId="3248" xr:uid="{430B9F98-81F4-4DE4-9E7B-CC42C9FA1FB0}"/>
    <cellStyle name="Migliaia 18 3 3 10" xfId="7345" xr:uid="{5C48C6CB-03C6-4540-87D6-2053E4996974}"/>
    <cellStyle name="Migliaia 18 3 3 2" xfId="4974" xr:uid="{156C09C0-292F-4410-80BE-6124317C1B1A}"/>
    <cellStyle name="Migliaia 18 3 3 2 2" xfId="9900" xr:uid="{91BCD279-3937-46BD-8416-082888BCB9AE}"/>
    <cellStyle name="Migliaia 18 3 3 2 2 2" xfId="38681" xr:uid="{DBE520A1-2B12-40C6-994D-EAA1C3241550}"/>
    <cellStyle name="Migliaia 18 3 3 2 2 3" xfId="43983" xr:uid="{C85E1CAA-6091-4212-9EF6-0B36DE896FEA}"/>
    <cellStyle name="Migliaia 18 3 3 2 3" xfId="18180" xr:uid="{C27DC687-03DB-431E-9379-3EF588A7D317}"/>
    <cellStyle name="Migliaia 18 3 3 2 4" xfId="19995" xr:uid="{EDE35325-1F09-467D-807D-47145F5EAEF2}"/>
    <cellStyle name="Migliaia 18 3 3 2 4 2" xfId="41332" xr:uid="{C2AF6FC2-D245-48D3-BC12-D782EB5CD9AD}"/>
    <cellStyle name="Migliaia 18 3 3 2 5" xfId="16144" xr:uid="{0F50E41C-AA2D-4D80-BDE3-6059D6591260}"/>
    <cellStyle name="Migliaia 18 3 3 2 6" xfId="8535" xr:uid="{9E482B97-BA7F-43B3-B64E-5A93E568DC3A}"/>
    <cellStyle name="Migliaia 18 3 3 3" xfId="6189" xr:uid="{7B963DDB-A511-4C50-8C4D-F52EA317543F}"/>
    <cellStyle name="Migliaia 18 3 3 3 2" xfId="33281" xr:uid="{F8F5265C-7DA8-4CE7-9FF9-7F19D20CC46E}"/>
    <cellStyle name="Migliaia 18 3 3 3 2 2" xfId="38682" xr:uid="{B1CCBD7C-B29D-4E68-AF80-E238D758B1D4}"/>
    <cellStyle name="Migliaia 18 3 3 3 2 3" xfId="43984" xr:uid="{F07DE647-91A1-4A65-A02A-2899186D641C}"/>
    <cellStyle name="Migliaia 18 3 3 3 3" xfId="36184" xr:uid="{A46B7CFE-0336-421A-8825-C9A48F1FB953}"/>
    <cellStyle name="Migliaia 18 3 3 3 4" xfId="41333" xr:uid="{DE337EE4-B085-425F-93BB-48C4D29E12EE}"/>
    <cellStyle name="Migliaia 18 3 3 3 5" xfId="9663" xr:uid="{68D9AF52-E7DD-44E5-9591-B24482213A96}"/>
    <cellStyle name="Migliaia 18 3 3 4" xfId="19994" xr:uid="{37FFB616-62DC-4AB2-A30A-56B4CC14DB94}"/>
    <cellStyle name="Migliaia 18 3 3 4 2" xfId="33282" xr:uid="{DE1FAB86-A99E-4926-AA4C-EDCF8A529EFB}"/>
    <cellStyle name="Migliaia 18 3 3 4 2 2" xfId="38683" xr:uid="{AB0A081A-4B92-4CE8-834F-CF68E3E0F28B}"/>
    <cellStyle name="Migliaia 18 3 3 4 2 3" xfId="43985" xr:uid="{D042C98A-13B3-4386-9A3A-CE538118A025}"/>
    <cellStyle name="Migliaia 18 3 3 4 3" xfId="36185" xr:uid="{9E670F0A-1425-45A4-A0D9-9550663FB2A8}"/>
    <cellStyle name="Migliaia 18 3 3 4 4" xfId="41334" xr:uid="{8079C364-21DE-43E7-8F88-CF2458C5E6F0}"/>
    <cellStyle name="Migliaia 18 3 3 4 5" xfId="24390" xr:uid="{84AD111A-149D-4D22-9B2C-5767480BB02F}"/>
    <cellStyle name="Migliaia 18 3 3 5" xfId="24391" xr:uid="{4951700B-40C2-4493-B584-0AD38B67172D}"/>
    <cellStyle name="Migliaia 18 3 3 5 2" xfId="33283" xr:uid="{0EA71F77-067F-4D77-83A4-41059CBF6441}"/>
    <cellStyle name="Migliaia 18 3 3 5 2 2" xfId="38684" xr:uid="{E1C8B9D9-AFFE-4689-B032-630E32DEADEF}"/>
    <cellStyle name="Migliaia 18 3 3 5 2 3" xfId="43986" xr:uid="{20BEE44F-42C5-4B10-A1ED-0D8EA7B41D68}"/>
    <cellStyle name="Migliaia 18 3 3 5 3" xfId="36186" xr:uid="{533E9D5B-66A7-4A28-B92D-71E2FA2B57AF}"/>
    <cellStyle name="Migliaia 18 3 3 5 4" xfId="41335" xr:uid="{3B7F4615-9969-4F10-95E1-D2D0D6A976CC}"/>
    <cellStyle name="Migliaia 18 3 3 6" xfId="33280" xr:uid="{2877E676-48DE-43B5-B7B4-F995349CF5AC}"/>
    <cellStyle name="Migliaia 18 3 3 6 2" xfId="38680" xr:uid="{38E98E1B-65FF-41A2-B067-05862A14C40B}"/>
    <cellStyle name="Migliaia 18 3 3 6 3" xfId="43982" xr:uid="{AF05C728-3C87-45D0-9383-64B1463B7A39}"/>
    <cellStyle name="Migliaia 18 3 3 7" xfId="36183" xr:uid="{2BF6BA0E-9B7B-410F-B281-F901EB750583}"/>
    <cellStyle name="Migliaia 18 3 3 8" xfId="41331" xr:uid="{3297A982-DC62-4EF5-B04E-5DB455225BD9}"/>
    <cellStyle name="Migliaia 18 3 3 9" xfId="16143" xr:uid="{7B37D553-6F14-41C4-B161-1A3C144BD800}"/>
    <cellStyle name="Migliaia 18 3 4" xfId="3249" xr:uid="{F5F6F761-2D0E-4D86-8F87-37956FAF3AA6}"/>
    <cellStyle name="Migliaia 18 3 4 2" xfId="4975" xr:uid="{156AFBDD-1C9B-4CE9-B4D4-E8A357EDF98D}"/>
    <cellStyle name="Migliaia 18 3 4 2 2" xfId="14432" xr:uid="{D0DE9AD0-CC1E-4C61-8EE0-CB67E69B6909}"/>
    <cellStyle name="Migliaia 18 3 4 2 3" xfId="18044" xr:uid="{5007053C-9401-4741-86AC-E95E9BAA32F1}"/>
    <cellStyle name="Migliaia 18 3 4 2 4" xfId="19997" xr:uid="{79DCA7D9-CF90-4C8B-AEAD-B3EDE5CA40F9}"/>
    <cellStyle name="Migliaia 18 3 4 2 5" xfId="32318" xr:uid="{0A2B3F01-919A-45F0-B1B8-80B69AB2E964}"/>
    <cellStyle name="Migliaia 18 3 4 2 6" xfId="16146" xr:uid="{2A371200-7ED6-453A-9B7B-A28D548AF661}"/>
    <cellStyle name="Migliaia 18 3 4 2 7" xfId="8855" xr:uid="{86B6569F-1F56-48E0-8621-68F5459948D5}"/>
    <cellStyle name="Migliaia 18 3 4 3" xfId="6190" xr:uid="{260D90DD-FD82-4E5D-83EA-C12406F7F007}"/>
    <cellStyle name="Migliaia 18 3 4 3 2" xfId="35186" xr:uid="{FC92268E-73FF-4A4F-AF5A-B63352BDF687}"/>
    <cellStyle name="Migliaia 18 3 4 3 2 2" xfId="40344" xr:uid="{A1C2D0A8-802F-4FAB-B8E1-900FE9F0A9EF}"/>
    <cellStyle name="Migliaia 18 3 4 3 2 3" xfId="45646" xr:uid="{AAB7558C-8A2C-4593-B3C7-8D8916493ED9}"/>
    <cellStyle name="Migliaia 18 3 4 3 3" xfId="37693" xr:uid="{2165DD4A-83BE-4A2E-A85E-ABDB7A0E2898}"/>
    <cellStyle name="Migliaia 18 3 4 3 4" xfId="42995" xr:uid="{0EC0C5B5-8B8A-4CEB-823A-EBA072679CB0}"/>
    <cellStyle name="Migliaia 18 3 4 3 5" xfId="13680" xr:uid="{4DA67D68-20E5-4C19-83A4-30D6AE21CDE6}"/>
    <cellStyle name="Migliaia 18 3 4 4" xfId="19996" xr:uid="{A77675EF-4DB9-4271-AEC2-A51E3E1996B2}"/>
    <cellStyle name="Migliaia 18 3 4 4 2" xfId="38685" xr:uid="{A368F075-79B7-4890-AFD8-C763840DFBD9}"/>
    <cellStyle name="Migliaia 18 3 4 4 3" xfId="43987" xr:uid="{2B8A67CF-B9AC-4B09-8861-3293CE25D9D4}"/>
    <cellStyle name="Migliaia 18 3 4 4 4" xfId="33284" xr:uid="{F733BED8-9C5B-431C-8DA1-2A2C9B682001}"/>
    <cellStyle name="Migliaia 18 3 4 5" xfId="36187" xr:uid="{70D1D39D-88FE-4AC2-9106-39176744AD20}"/>
    <cellStyle name="Migliaia 18 3 4 6" xfId="41336" xr:uid="{B751D560-248C-4976-A1F8-094ED407E59D}"/>
    <cellStyle name="Migliaia 18 3 4 7" xfId="16145" xr:uid="{E664C4C6-F13F-4D97-989C-19DEF0A97374}"/>
    <cellStyle name="Migliaia 18 3 4 8" xfId="7665" xr:uid="{BF9A5024-504A-4A4A-9011-AC8D6C3CDD01}"/>
    <cellStyle name="Migliaia 18 3 5" xfId="3250" xr:uid="{D5FAE978-7003-4C46-A043-FCC3D4781EC9}"/>
    <cellStyle name="Migliaia 18 3 5 2" xfId="4976" xr:uid="{3E5E59C9-1C93-4DFF-82B8-D71C12297645}"/>
    <cellStyle name="Migliaia 18 3 5 2 2" xfId="35187" xr:uid="{2529F158-71D4-4C48-B533-2D90E24677AC}"/>
    <cellStyle name="Migliaia 18 3 5 2 2 2" xfId="40345" xr:uid="{DB4D5E1F-5308-4561-96B2-AB8D6D7415CA}"/>
    <cellStyle name="Migliaia 18 3 5 2 2 3" xfId="45647" xr:uid="{FAE84243-E3A5-437F-BEFB-18001616F148}"/>
    <cellStyle name="Migliaia 18 3 5 2 3" xfId="37694" xr:uid="{415C2A3B-C2DF-42B6-852F-BEC3FAC42D98}"/>
    <cellStyle name="Migliaia 18 3 5 2 4" xfId="42996" xr:uid="{0050AE0A-31EC-4378-9568-983228942821}"/>
    <cellStyle name="Migliaia 18 3 5 2 5" xfId="14207" xr:uid="{8AAF2B73-0E5C-4236-B967-73BB816E00C7}"/>
    <cellStyle name="Migliaia 18 3 5 3" xfId="6191" xr:uid="{79ACBB37-7CC4-4D6C-B59D-437DF2CFF59E}"/>
    <cellStyle name="Migliaia 18 3 5 3 2" xfId="38686" xr:uid="{F9FF17A5-F0BF-4C2B-B1B1-801237090AD6}"/>
    <cellStyle name="Migliaia 18 3 5 3 3" xfId="43988" xr:uid="{5030830B-DAA0-4180-AF8E-40337FB4BE34}"/>
    <cellStyle name="Migliaia 18 3 5 3 4" xfId="33285" xr:uid="{80409918-F10C-400B-8190-80DAD98A1F1B}"/>
    <cellStyle name="Migliaia 18 3 5 3 5" xfId="19998" xr:uid="{F3F13EC2-046B-4BA6-92A5-337846FB045B}"/>
    <cellStyle name="Migliaia 18 3 5 4" xfId="36188" xr:uid="{5B00A7EB-E3F6-492E-B8E7-9799F9A0BA41}"/>
    <cellStyle name="Migliaia 18 3 5 5" xfId="41337" xr:uid="{51562B16-CB99-4E2A-B98B-36BDB31EDA7A}"/>
    <cellStyle name="Migliaia 18 3 5 6" xfId="16147" xr:uid="{EAE26CB2-B575-4A58-8C7B-32450FF8C49B}"/>
    <cellStyle name="Migliaia 18 3 5 7" xfId="8269" xr:uid="{864908D9-F661-4492-9233-955E283107D6}"/>
    <cellStyle name="Migliaia 18 3 6" xfId="4971" xr:uid="{A251C484-39B1-480B-A25D-02ABBC4FAFA7}"/>
    <cellStyle name="Migliaia 18 3 6 2" xfId="13910" xr:uid="{FBE68077-3505-4F04-B374-F4265EC5816E}"/>
    <cellStyle name="Migliaia 18 3 6 2 2" xfId="38687" xr:uid="{30A580E2-CB6E-43AE-BF48-BB85BF2D5B1E}"/>
    <cellStyle name="Migliaia 18 3 6 2 3" xfId="43989" xr:uid="{DAC9447B-5494-4BFA-AB19-78E12A381159}"/>
    <cellStyle name="Migliaia 18 3 6 3" xfId="18721" xr:uid="{8D2F1551-EFE6-4905-9F1B-249B5BDC5A41}"/>
    <cellStyle name="Migliaia 18 3 6 4" xfId="19999" xr:uid="{EFB88A77-A737-48B5-A698-19D60852ED7D}"/>
    <cellStyle name="Migliaia 18 3 6 4 2" xfId="41338" xr:uid="{4F3D91CD-6BB7-43C6-BF9E-A9402868C722}"/>
    <cellStyle name="Migliaia 18 3 6 5" xfId="16148" xr:uid="{DEEC6800-FA44-41E0-B14D-E146B1BF3D42}"/>
    <cellStyle name="Migliaia 18 3 6 6" xfId="7857" xr:uid="{EF6231B3-6866-40B8-A940-E877448162DC}"/>
    <cellStyle name="Migliaia 18 3 7" xfId="6186" xr:uid="{86055873-FA63-4967-A37C-5BC95402A521}"/>
    <cellStyle name="Migliaia 18 3 7 2" xfId="33286" xr:uid="{793D35A3-80BB-402E-99F7-BC7E116A8286}"/>
    <cellStyle name="Migliaia 18 3 7 2 2" xfId="38688" xr:uid="{5C432C09-5139-43DE-951A-213D61845012}"/>
    <cellStyle name="Migliaia 18 3 7 2 3" xfId="43990" xr:uid="{10854C25-8965-4E42-BECF-284410FF14FC}"/>
    <cellStyle name="Migliaia 18 3 7 3" xfId="36189" xr:uid="{6B58DF25-66C7-4F00-9B59-6833322ABF66}"/>
    <cellStyle name="Migliaia 18 3 7 4" xfId="41339" xr:uid="{FCEA5F38-F740-4F14-89F2-29A7CAAEDC3C}"/>
    <cellStyle name="Migliaia 18 3 7 5" xfId="11170" xr:uid="{BF60A7EB-EC19-4FA3-A184-DD13D545862E}"/>
    <cellStyle name="Migliaia 18 3 8" xfId="3245" xr:uid="{C18AA86D-3A41-48BC-9780-FA515A7B1EDF}"/>
    <cellStyle name="Migliaia 18 3 8 2" xfId="33287" xr:uid="{C7378154-5640-4B66-B951-456D3DBAAB33}"/>
    <cellStyle name="Migliaia 18 3 8 2 2" xfId="38689" xr:uid="{A104C502-C8A3-49BE-86AD-D81CC40D8A48}"/>
    <cellStyle name="Migliaia 18 3 8 2 3" xfId="43991" xr:uid="{C03E6606-E740-4A6E-9A13-F4E3D877E74F}"/>
    <cellStyle name="Migliaia 18 3 8 3" xfId="36190" xr:uid="{8E323BBC-C397-4340-BF22-9604D8A16C68}"/>
    <cellStyle name="Migliaia 18 3 8 4" xfId="41340" xr:uid="{D532BE1D-D25E-444C-AD15-72E3C515719E}"/>
    <cellStyle name="Migliaia 18 3 8 5" xfId="24392" xr:uid="{11FD7864-56A0-4CC7-9FD0-1F17AFD53A63}"/>
    <cellStyle name="Migliaia 18 3 8 6" xfId="17400" xr:uid="{0BF0BCBC-2652-44F9-B836-DA8333D288B0}"/>
    <cellStyle name="Migliaia 18 3 9" xfId="19990" xr:uid="{E05CDBB1-A375-48F1-8DCF-229351CD9FE0}"/>
    <cellStyle name="Migliaia 18 4" xfId="1700" xr:uid="{00000000-0005-0000-0000-00000F030000}"/>
    <cellStyle name="Migliaia 18 4 2" xfId="1701" xr:uid="{00000000-0005-0000-0000-000010030000}"/>
    <cellStyle name="Migliaia 18 4 2 2" xfId="4978" xr:uid="{CB6C5291-2053-48BC-B6E4-9E3E503A7291}"/>
    <cellStyle name="Migliaia 18 4 2 2 2" xfId="33288" xr:uid="{6652A917-6E8D-4D19-A472-0AC3A923B30C}"/>
    <cellStyle name="Migliaia 18 4 2 2 2 2" xfId="38690" xr:uid="{8ADBF6D3-E9AA-4239-B0CF-F46A5451550A}"/>
    <cellStyle name="Migliaia 18 4 2 2 2 3" xfId="43992" xr:uid="{05AD4C3E-F368-4FA8-AB3E-481110AD0465}"/>
    <cellStyle name="Migliaia 18 4 2 2 3" xfId="36191" xr:uid="{C4009F50-1EE3-4004-925E-0A0E4B51E905}"/>
    <cellStyle name="Migliaia 18 4 2 2 4" xfId="41341" xr:uid="{C639436F-CE8C-4BC9-8AF5-E873F420B60B}"/>
    <cellStyle name="Migliaia 18 4 2 2 5" xfId="9126" xr:uid="{41F88C5D-5A84-4F00-B1FA-BC56475A8992}"/>
    <cellStyle name="Migliaia 18 4 2 3" xfId="3252" xr:uid="{C25EADA2-F88D-4E27-9E3E-A9381DE8B3AA}"/>
    <cellStyle name="Migliaia 18 4 2 3 2" xfId="33289" xr:uid="{3954B6AC-47A9-48B1-9976-5AC692FD979B}"/>
    <cellStyle name="Migliaia 18 4 2 3 2 2" xfId="38691" xr:uid="{187D9318-177E-4A84-AD09-4935FB0529D5}"/>
    <cellStyle name="Migliaia 18 4 2 3 2 3" xfId="43993" xr:uid="{96F0A4E4-2A52-4AC7-8371-AB07EAE8CFA6}"/>
    <cellStyle name="Migliaia 18 4 2 3 3" xfId="36192" xr:uid="{5BCA4BBE-CF45-4012-8B99-B8BADFD1CC2E}"/>
    <cellStyle name="Migliaia 18 4 2 3 4" xfId="41342" xr:uid="{2BA2DA17-26A4-4E39-98C6-192796CB8759}"/>
    <cellStyle name="Migliaia 18 4 2 3 5" xfId="11921" xr:uid="{69596C02-9D77-4D78-A2A8-E034B892A291}"/>
    <cellStyle name="Migliaia 18 4 2 4" xfId="11274" xr:uid="{4F68CEA1-CC97-4706-B51C-B535A7C62315}"/>
    <cellStyle name="Migliaia 18 4 2 5" xfId="10778" xr:uid="{9B03D567-7DC9-4BB7-906A-C0DA7E90B5E2}"/>
    <cellStyle name="Migliaia 18 4 2 5 2" xfId="21413" xr:uid="{F5A9518C-6EE2-426F-B16E-5802EA342AEC}"/>
    <cellStyle name="Migliaia 18 4 2 5 3" xfId="46218" xr:uid="{59FC0CD8-3356-4CA8-AD77-D4AD6C9959A4}"/>
    <cellStyle name="Migliaia 18 4 2 5 4" xfId="50428" xr:uid="{FB95E301-6A56-4421-B06C-F01BCB830EE8}"/>
    <cellStyle name="Migliaia 18 4 2 5 5" xfId="53444" xr:uid="{9A85C897-3D01-4358-884A-AACC1522C4DD}"/>
    <cellStyle name="Migliaia 18 4 2 6" xfId="20001" xr:uid="{30CF0E08-3D1E-43AA-95EF-B57F9549716F}"/>
    <cellStyle name="Migliaia 18 4 2 7" xfId="24394" xr:uid="{DB0C426F-7752-480E-98DB-30E88FD6ECA5}"/>
    <cellStyle name="Migliaia 18 4 2 8" xfId="8537" xr:uid="{4049AE9B-6944-46A9-B1FB-97558265EFAF}"/>
    <cellStyle name="Migliaia 18 4 3" xfId="4977" xr:uid="{C642B941-0DA9-46F6-9D7C-81EFB3C2EE7B}"/>
    <cellStyle name="Migliaia 18 4 3 2" xfId="18181" xr:uid="{B8B08D11-1095-40ED-8771-8CFD207F0730}"/>
    <cellStyle name="Migliaia 18 4 3 2 2" xfId="38692" xr:uid="{D98654C8-82E1-428E-BFA3-1DEDA133DAB7}"/>
    <cellStyle name="Migliaia 18 4 3 2 3" xfId="43994" xr:uid="{65F7A44E-25CB-4E56-896F-A8316F57AFFA}"/>
    <cellStyle name="Migliaia 18 4 3 3" xfId="36193" xr:uid="{0B9BEB65-7A7E-4F7F-93BB-BD087D781920}"/>
    <cellStyle name="Migliaia 18 4 3 4" xfId="41343" xr:uid="{05F50C14-E06C-49EF-AD9B-B9CE480CDD31}"/>
    <cellStyle name="Migliaia 18 4 3 5" xfId="17398" xr:uid="{17687B9D-3236-4ABC-B87F-EA3FADCD39BC}"/>
    <cellStyle name="Migliaia 18 4 3 6" xfId="9127" xr:uid="{F1F32696-5EC2-416B-94F3-56371523F735}"/>
    <cellStyle name="Migliaia 18 4 4" xfId="6192" xr:uid="{E6C8AD2C-FF1B-455F-9EFC-38183A76351F}"/>
    <cellStyle name="Migliaia 18 4 4 2" xfId="33290" xr:uid="{2365273E-A21A-4760-A909-1E10852C8846}"/>
    <cellStyle name="Migliaia 18 4 4 2 2" xfId="38693" xr:uid="{245A66CC-9C1B-4E5F-BA8E-E22EC796B105}"/>
    <cellStyle name="Migliaia 18 4 4 2 3" xfId="43995" xr:uid="{B279A33D-4657-4D47-944B-8383B69B744A}"/>
    <cellStyle name="Migliaia 18 4 4 3" xfId="36194" xr:uid="{4AEBB073-5F74-498A-B454-9F4430E74F9F}"/>
    <cellStyle name="Migliaia 18 4 4 4" xfId="41344" xr:uid="{2CBBC549-6E82-4E12-A93F-FE90923717C5}"/>
    <cellStyle name="Migliaia 18 4 4 5" xfId="11922" xr:uid="{5761EB8D-5CB1-4DEA-AE48-F6FFA3108812}"/>
    <cellStyle name="Migliaia 18 4 5" xfId="3251" xr:uid="{A7158CD3-8D23-4D72-93AF-9956B8CB27DE}"/>
    <cellStyle name="Migliaia 18 4 5 2" xfId="33291" xr:uid="{C1CB386F-8D88-4087-9D2F-CF96ADAE96EA}"/>
    <cellStyle name="Migliaia 18 4 5 2 2" xfId="38694" xr:uid="{35FDE9D8-F432-42DB-8C08-FD240137D1BE}"/>
    <cellStyle name="Migliaia 18 4 5 2 3" xfId="43996" xr:uid="{98BE0F5D-1E5F-4F4E-9685-5BCDD6C95076}"/>
    <cellStyle name="Migliaia 18 4 5 3" xfId="36195" xr:uid="{FC9C1A0A-0855-433E-BB0F-DD967E2FD1B1}"/>
    <cellStyle name="Migliaia 18 4 5 4" xfId="41345" xr:uid="{6741FC72-5A98-4F13-B19A-F27C4D4DFA9A}"/>
    <cellStyle name="Migliaia 18 4 5 5" xfId="11273" xr:uid="{8B8946A6-AC75-4C2B-8ECB-BFF4D8824766}"/>
    <cellStyle name="Migliaia 18 4 6" xfId="10777" xr:uid="{655FB8CB-F257-4259-BCD4-39CB791CF61C}"/>
    <cellStyle name="Migliaia 18 4 6 2" xfId="21412" xr:uid="{B8265A67-1F1A-4AE6-8778-9CC146B5165D}"/>
    <cellStyle name="Migliaia 18 4 6 2 2" xfId="38695" xr:uid="{F36D4736-CAA3-424C-B178-EBB567303379}"/>
    <cellStyle name="Migliaia 18 4 6 2 3" xfId="43997" xr:uid="{1D74F439-B913-4563-9E78-BE96600A99F8}"/>
    <cellStyle name="Migliaia 18 4 6 2 4" xfId="33292" xr:uid="{947D8056-B786-48F4-9929-63A64A37F907}"/>
    <cellStyle name="Migliaia 18 4 6 3" xfId="36196" xr:uid="{3916CF03-08DD-4F3F-8513-007D061A37BF}"/>
    <cellStyle name="Migliaia 18 4 6 4" xfId="41346" xr:uid="{CE3BC043-3294-47B8-B4E3-FFA850C26192}"/>
    <cellStyle name="Migliaia 18 4 6 5" xfId="24395" xr:uid="{EF1CAD11-BE77-4402-BD10-188ED7C51A0A}"/>
    <cellStyle name="Migliaia 18 4 6 6" xfId="47302" xr:uid="{9CF971EB-CD00-40E7-9E0A-E460A4D70DBC}"/>
    <cellStyle name="Migliaia 18 4 6 7" xfId="50427" xr:uid="{FE41136D-B87D-463B-B1D1-94BB8F3F58BD}"/>
    <cellStyle name="Migliaia 18 4 6 8" xfId="53443" xr:uid="{7659857D-FA3E-4E91-A98C-EB23B0377ECA}"/>
    <cellStyle name="Migliaia 18 4 7" xfId="20000" xr:uid="{99FFC4DB-1D65-4029-9FC3-A35B4C7C40B7}"/>
    <cellStyle name="Migliaia 18 4 7 2" xfId="33293" xr:uid="{5A166ED8-C0E9-4292-B3C3-20C77E35C078}"/>
    <cellStyle name="Migliaia 18 4 7 2 2" xfId="38696" xr:uid="{AA2ACEFF-BDA0-4809-ADBD-2F21B5DB5807}"/>
    <cellStyle name="Migliaia 18 4 7 2 3" xfId="43998" xr:uid="{9ABCFE30-847A-4D1F-92BD-ED684DE431DE}"/>
    <cellStyle name="Migliaia 18 4 7 3" xfId="36197" xr:uid="{7DC9BFED-F91E-4B3D-9AA2-FEB484BF4925}"/>
    <cellStyle name="Migliaia 18 4 7 4" xfId="41347" xr:uid="{C46B2583-8619-4679-943B-8C2886AC00E7}"/>
    <cellStyle name="Migliaia 18 4 7 5" xfId="24396" xr:uid="{98EDC7CC-8E73-4A29-8BD6-21507DF4F0B1}"/>
    <cellStyle name="Migliaia 18 4 8" xfId="24393" xr:uid="{FB6A0F4B-8D9D-4324-9C9C-A6415DBD4E7A}"/>
    <cellStyle name="Migliaia 18 4 9" xfId="7347" xr:uid="{5A147507-4BD4-4D51-B195-52B05AA8881A}"/>
    <cellStyle name="Migliaia 18 5" xfId="1702" xr:uid="{00000000-0005-0000-0000-000011030000}"/>
    <cellStyle name="Migliaia 18 5 2" xfId="4979" xr:uid="{E297393A-EC80-4BB4-853A-F766CA6B4C3A}"/>
    <cellStyle name="Migliaia 18 5 2 2" xfId="18386" xr:uid="{AB51F75D-AB03-4893-B0F0-BBE7A33C9DA9}"/>
    <cellStyle name="Migliaia 18 5 2 2 2" xfId="38697" xr:uid="{A67B46C6-2351-4EBA-B9CA-ADC5CB554369}"/>
    <cellStyle name="Migliaia 18 5 2 2 3" xfId="43999" xr:uid="{DF5F43C4-BDF2-471F-BE77-690C112B83E0}"/>
    <cellStyle name="Migliaia 18 5 2 3" xfId="20003" xr:uid="{3F0002BA-05AD-4377-B69C-2D4BA1880AA3}"/>
    <cellStyle name="Migliaia 18 5 2 3 2" xfId="36198" xr:uid="{3E26E249-E078-4F5A-B0D9-A089E76ED8E0}"/>
    <cellStyle name="Migliaia 18 5 2 4" xfId="41348" xr:uid="{87ADCE75-71BA-4BA3-B780-2B5107EE53C4}"/>
    <cellStyle name="Migliaia 18 5 2 5" xfId="16149" xr:uid="{50DDA30C-4924-484B-B67D-DA45157593C8}"/>
    <cellStyle name="Migliaia 18 5 2 6" xfId="8538" xr:uid="{3B1AE94A-ED18-44E2-A136-0BD33FA96829}"/>
    <cellStyle name="Migliaia 18 5 3" xfId="6193" xr:uid="{394108E8-E9BC-47C0-BFEC-6A27180EC848}"/>
    <cellStyle name="Migliaia 18 5 3 2" xfId="33294" xr:uid="{F4EBB68E-286C-4D7F-91B6-48718CBE046F}"/>
    <cellStyle name="Migliaia 18 5 3 2 2" xfId="38698" xr:uid="{0CC9DA3A-4101-4F26-AECB-6CF65D6B8083}"/>
    <cellStyle name="Migliaia 18 5 3 2 3" xfId="44000" xr:uid="{12F22B00-F94A-4CBB-A019-8F97891CA101}"/>
    <cellStyle name="Migliaia 18 5 3 3" xfId="36199" xr:uid="{E4589A08-008D-408A-B3FE-13DD3CA534B5}"/>
    <cellStyle name="Migliaia 18 5 3 4" xfId="41349" xr:uid="{19DFCF1B-86E4-47F7-9B11-84F97E9A5DB3}"/>
    <cellStyle name="Migliaia 18 5 3 5" xfId="11275" xr:uid="{79D33FF0-71BE-48AD-B4C4-5EA664E8E3E8}"/>
    <cellStyle name="Migliaia 18 5 4" xfId="3253" xr:uid="{74D5BC7B-ABC9-4CB8-B50B-B541E1D07398}"/>
    <cellStyle name="Migliaia 18 5 4 2" xfId="21414" xr:uid="{DFDA2728-A687-46C7-92AD-B9F3A153846D}"/>
    <cellStyle name="Migliaia 18 5 4 2 2" xfId="38699" xr:uid="{D95811D3-DAD0-4208-BFC5-189C3C944794}"/>
    <cellStyle name="Migliaia 18 5 4 2 3" xfId="44001" xr:uid="{D1E38AB0-C210-469F-A4C3-50998D1464D0}"/>
    <cellStyle name="Migliaia 18 5 4 2 4" xfId="33295" xr:uid="{8441F492-4988-4E2B-A541-3B717565DF16}"/>
    <cellStyle name="Migliaia 18 5 4 3" xfId="36200" xr:uid="{78D3DD12-E2B3-4CF2-B0A0-FA72A29C566C}"/>
    <cellStyle name="Migliaia 18 5 4 4" xfId="41350" xr:uid="{83567279-CF99-4250-90FB-EE767427DAFE}"/>
    <cellStyle name="Migliaia 18 5 4 5" xfId="24398" xr:uid="{C60EEC17-A325-4909-B3AF-92C28B28950F}"/>
    <cellStyle name="Migliaia 18 5 4 6" xfId="47895" xr:uid="{1B80AC08-FF37-4FA3-8EBE-A007712520E5}"/>
    <cellStyle name="Migliaia 18 5 4 7" xfId="50429" xr:uid="{0D1F57AD-BF70-4E2C-8574-F46A42A020C8}"/>
    <cellStyle name="Migliaia 18 5 4 8" xfId="53445" xr:uid="{3DC8128A-75C3-438B-8F91-B63BBAD341DC}"/>
    <cellStyle name="Migliaia 18 5 4 9" xfId="10779" xr:uid="{21B3D448-C28D-40C2-AB0F-4C8ACB68B283}"/>
    <cellStyle name="Migliaia 18 5 5" xfId="20002" xr:uid="{996F1C14-3653-4EF9-BD55-510883316C3A}"/>
    <cellStyle name="Migliaia 18 5 5 2" xfId="33296" xr:uid="{1B13C5B4-BC0F-42C4-902C-610B09C7530E}"/>
    <cellStyle name="Migliaia 18 5 5 2 2" xfId="38700" xr:uid="{9EB763E0-2785-4BDA-A802-12CF673CAD61}"/>
    <cellStyle name="Migliaia 18 5 5 2 3" xfId="44002" xr:uid="{8F31B599-EFD3-4075-AB62-B9B253C5BABC}"/>
    <cellStyle name="Migliaia 18 5 5 3" xfId="36201" xr:uid="{793F8D02-C9B5-488D-AFA8-08ABCC6C1A85}"/>
    <cellStyle name="Migliaia 18 5 5 4" xfId="41351" xr:uid="{8E98A27F-AE5C-4EED-A0FC-486FAB2D24FD}"/>
    <cellStyle name="Migliaia 18 5 5 5" xfId="24399" xr:uid="{0C9EFD97-B940-44FF-AA4A-D9A21AB75505}"/>
    <cellStyle name="Migliaia 18 5 6" xfId="24400" xr:uid="{4B9DAC7A-93C7-4B2B-AA59-3383BCB1EED0}"/>
    <cellStyle name="Migliaia 18 5 6 2" xfId="33297" xr:uid="{82E63DDD-D5A0-44A6-923B-31C202CEBCBB}"/>
    <cellStyle name="Migliaia 18 5 6 2 2" xfId="38701" xr:uid="{630FAC23-1692-4F57-90D1-245C6B6A66D6}"/>
    <cellStyle name="Migliaia 18 5 6 2 3" xfId="44003" xr:uid="{A4FA18E1-FB06-4DD4-BD2C-DF4F8DE21389}"/>
    <cellStyle name="Migliaia 18 5 6 3" xfId="36202" xr:uid="{8809781D-3F11-42F2-AFE6-FCA3A0320309}"/>
    <cellStyle name="Migliaia 18 5 6 4" xfId="41352" xr:uid="{B47160B1-C5CF-44FC-9587-8AD72D4E994C}"/>
    <cellStyle name="Migliaia 18 5 7" xfId="24397" xr:uid="{A4FF38FE-E0D1-484C-9187-5205415F264B}"/>
    <cellStyle name="Migliaia 18 5 8" xfId="7348" xr:uid="{FC92DDCB-EB0A-4B60-AB7F-4A26DBE22052}"/>
    <cellStyle name="Migliaia 18 6" xfId="3254" xr:uid="{3498BE42-B814-4C83-B7FD-9D05ED71684E}"/>
    <cellStyle name="Migliaia 18 6 2" xfId="4980" xr:uid="{4A83D9D6-647E-4AE2-AE6D-B898F24326A4}"/>
    <cellStyle name="Migliaia 18 6 2 2" xfId="9899" xr:uid="{274AA407-8B03-4352-9B8D-E1A785A368C8}"/>
    <cellStyle name="Migliaia 18 6 2 3" xfId="18671" xr:uid="{643953AC-64FA-4E9C-A527-B8B233AE51ED}"/>
    <cellStyle name="Migliaia 18 6 2 4" xfId="20005" xr:uid="{0C6C71C5-1136-4BB9-9711-93FFC38D6449}"/>
    <cellStyle name="Migliaia 18 6 2 5" xfId="32319" xr:uid="{71F1A15A-52A8-4B9C-BB3A-8F5FFEBEB3A8}"/>
    <cellStyle name="Migliaia 18 6 2 6" xfId="16151" xr:uid="{87BB119A-FC39-4918-832B-1E61AD93CA27}"/>
    <cellStyle name="Migliaia 18 6 2 7" xfId="8533" xr:uid="{1B1D2710-74F9-47CA-BD13-09A43E9146D3}"/>
    <cellStyle name="Migliaia 18 6 3" xfId="6194" xr:uid="{595170DD-7BCA-4302-9C2B-23DE8AA19F08}"/>
    <cellStyle name="Migliaia 18 6 3 2" xfId="35188" xr:uid="{CAA1A526-3F74-4CEB-A544-7C6C37215F11}"/>
    <cellStyle name="Migliaia 18 6 3 2 2" xfId="40346" xr:uid="{F1685436-F79D-45F6-B49F-154D1AB601E8}"/>
    <cellStyle name="Migliaia 18 6 3 2 3" xfId="45648" xr:uid="{90F92983-A6E2-4700-ABF9-A1DFBF4B84D6}"/>
    <cellStyle name="Migliaia 18 6 3 3" xfId="37695" xr:uid="{09C4C73B-DD10-463D-9E35-034B1CAB27EC}"/>
    <cellStyle name="Migliaia 18 6 3 4" xfId="42997" xr:uid="{7DF28D8B-D05C-4CC3-BCC1-55745ED5C8AC}"/>
    <cellStyle name="Migliaia 18 6 3 5" xfId="9662" xr:uid="{36FBFE96-5CDF-4731-913A-01AE1FEC11B9}"/>
    <cellStyle name="Migliaia 18 6 4" xfId="20004" xr:uid="{6DBCDE9A-B595-425C-9D5C-11335501709A}"/>
    <cellStyle name="Migliaia 18 6 4 2" xfId="38702" xr:uid="{CC575593-3818-4D6C-8B94-7B0DF92EC86D}"/>
    <cellStyle name="Migliaia 18 6 4 3" xfId="44004" xr:uid="{E8063FFF-0DFF-42F3-A7C9-FCD46C4F5651}"/>
    <cellStyle name="Migliaia 18 6 4 4" xfId="33298" xr:uid="{38E0F131-2371-4790-ACF4-DB3162D03260}"/>
    <cellStyle name="Migliaia 18 6 5" xfId="36203" xr:uid="{001C1B2E-E0F1-4662-933C-C1E65B535271}"/>
    <cellStyle name="Migliaia 18 6 6" xfId="41353" xr:uid="{45785412-F610-4C5B-91D9-B18A40A79F4D}"/>
    <cellStyle name="Migliaia 18 6 7" xfId="16150" xr:uid="{EEBCDBDA-249D-4EF0-A65D-6E8826173A60}"/>
    <cellStyle name="Migliaia 18 6 8" xfId="7343" xr:uid="{2C1168BB-3E92-462C-AD8D-FB7D01355293}"/>
    <cellStyle name="Migliaia 18 7" xfId="3255" xr:uid="{206CE5AF-B63C-475E-9426-19CB5C7EF6A1}"/>
    <cellStyle name="Migliaia 18 7 2" xfId="4981" xr:uid="{657C8964-6238-4F06-A362-2B3D9DB238D6}"/>
    <cellStyle name="Migliaia 18 7 2 2" xfId="35189" xr:uid="{56653F05-7FCE-4E65-BD25-2B5C811E5471}"/>
    <cellStyle name="Migliaia 18 7 2 2 2" xfId="40347" xr:uid="{8E200BF2-7FBC-4D4C-8DF2-372294629BA0}"/>
    <cellStyle name="Migliaia 18 7 2 2 3" xfId="45649" xr:uid="{F5B18389-177E-46F3-B94E-5520F4E5FD63}"/>
    <cellStyle name="Migliaia 18 7 2 3" xfId="37696" xr:uid="{E20A15DC-99C7-483D-94DF-5A0C7EF83603}"/>
    <cellStyle name="Migliaia 18 7 2 4" xfId="42998" xr:uid="{7311C135-143D-45C3-B63B-478276160B9C}"/>
    <cellStyle name="Migliaia 18 7 2 5" xfId="14205" xr:uid="{D4C712AF-B14A-4C82-9F89-2444E7BE0B9D}"/>
    <cellStyle name="Migliaia 18 7 3" xfId="6195" xr:uid="{5AEBC77C-D365-432E-A1A8-C0E33617CA18}"/>
    <cellStyle name="Migliaia 18 7 3 2" xfId="38703" xr:uid="{52C64ADC-0763-4BD0-BD07-5A8B27522272}"/>
    <cellStyle name="Migliaia 18 7 3 3" xfId="44005" xr:uid="{09B8DD8D-1D53-4725-B415-087D12E5A910}"/>
    <cellStyle name="Migliaia 18 7 3 4" xfId="33299" xr:uid="{DE7FDAFD-0D8C-4B13-BE6F-DFD95C317997}"/>
    <cellStyle name="Migliaia 18 7 3 5" xfId="20006" xr:uid="{B2800E0F-355A-4187-9CF9-B5A3D7A4C54D}"/>
    <cellStyle name="Migliaia 18 7 4" xfId="36204" xr:uid="{0C5C988E-557B-47FF-B012-176821BEB0CA}"/>
    <cellStyle name="Migliaia 18 7 5" xfId="41354" xr:uid="{0C5A1683-E27E-4726-A118-D84229E4F267}"/>
    <cellStyle name="Migliaia 18 7 6" xfId="16152" xr:uid="{BFA2BD0C-E2D1-42F5-849E-A6A8E842811C}"/>
    <cellStyle name="Migliaia 18 7 7" xfId="8267" xr:uid="{A0042DB1-3E54-4F73-9158-17863CA41CC0}"/>
    <cellStyle name="Migliaia 18 8" xfId="3256" xr:uid="{6D1929A2-F3D2-4667-B144-AF276F38C545}"/>
    <cellStyle name="Migliaia 18 8 2" xfId="4982" xr:uid="{EDAE835E-7130-43B1-9258-0F1DF4940E4D}"/>
    <cellStyle name="Migliaia 18 8 2 2" xfId="35190" xr:uid="{66C74D1C-DD0C-47D3-935D-5BAB36C364DE}"/>
    <cellStyle name="Migliaia 18 8 2 2 2" xfId="40348" xr:uid="{3C68F9A8-0AFD-4952-A3CB-9C6D25AE1774}"/>
    <cellStyle name="Migliaia 18 8 2 2 3" xfId="45650" xr:uid="{D78BE253-5859-4D43-B58B-4851B7A5A276}"/>
    <cellStyle name="Migliaia 18 8 2 3" xfId="37697" xr:uid="{EEE10B04-D97D-46DF-9305-27B62A4A41C6}"/>
    <cellStyle name="Migliaia 18 8 2 4" xfId="42999" xr:uid="{318231D4-70DA-48B3-B4CB-9B177447002C}"/>
    <cellStyle name="Migliaia 18 8 2 5" xfId="13908" xr:uid="{67FBB53C-B260-40E3-86EA-FE65BAC72109}"/>
    <cellStyle name="Migliaia 18 8 3" xfId="6196" xr:uid="{08C5AA62-83C5-4B77-9684-48FECFC26092}"/>
    <cellStyle name="Migliaia 18 8 3 2" xfId="38704" xr:uid="{2B9E1853-B830-4394-84C8-5B18F4016B1F}"/>
    <cellStyle name="Migliaia 18 8 3 3" xfId="44006" xr:uid="{B95CF518-91FE-4C10-AC5D-E85D7589DB22}"/>
    <cellStyle name="Migliaia 18 8 3 4" xfId="33300" xr:uid="{BA95BE91-40A0-407A-956D-5A743C7A36EC}"/>
    <cellStyle name="Migliaia 18 8 3 5" xfId="20007" xr:uid="{A2BC7AA9-D569-42FD-8F2E-A39662548AEE}"/>
    <cellStyle name="Migliaia 18 8 4" xfId="36205" xr:uid="{7F3FED12-6AB2-4220-9C6A-63E38E8C6FA5}"/>
    <cellStyle name="Migliaia 18 8 5" xfId="41355" xr:uid="{BA9BE426-EB33-497E-87F4-98552B247504}"/>
    <cellStyle name="Migliaia 18 8 6" xfId="16153" xr:uid="{2DF86487-24BE-4D62-B84A-58803B357B9D}"/>
    <cellStyle name="Migliaia 18 8 7" xfId="7855" xr:uid="{DE682423-EBFC-4E05-A213-DCEE8522F1BB}"/>
    <cellStyle name="Migliaia 18 9" xfId="4967" xr:uid="{55F06D92-48AB-43F3-9B9C-87408D17C528}"/>
    <cellStyle name="Migliaia 18 9 2" xfId="33301" xr:uid="{D1D281F9-7A48-4005-BB27-E7E489446162}"/>
    <cellStyle name="Migliaia 18 9 2 2" xfId="38705" xr:uid="{D8FF94D1-D464-4AA3-9260-3686D7E62AD8}"/>
    <cellStyle name="Migliaia 18 9 2 3" xfId="44007" xr:uid="{F75C8D24-B11A-4C11-A56C-93C06BFB17FE}"/>
    <cellStyle name="Migliaia 18 9 3" xfId="36206" xr:uid="{AC9F9359-B98F-4901-84F8-093E1386F75F}"/>
    <cellStyle name="Migliaia 18 9 4" xfId="41356" xr:uid="{1F8481CD-70F4-4BC9-8055-92E738840BD8}"/>
    <cellStyle name="Migliaia 18 9 5" xfId="17153" xr:uid="{468122B8-2167-4393-B30A-F46B2195DA42}"/>
    <cellStyle name="Migliaia 19" xfId="337" xr:uid="{00000000-0005-0000-0000-000012030000}"/>
    <cellStyle name="Migliaia 19 10" xfId="6197" xr:uid="{C2AF1743-B07D-4726-B6A6-5F02C1CDC405}"/>
    <cellStyle name="Migliaia 19 10 2" xfId="38706" xr:uid="{2658C8A4-BE7F-450A-B5E3-1B35E1A11769}"/>
    <cellStyle name="Migliaia 19 10 3" xfId="44008" xr:uid="{3D7059F5-73DE-450E-8AAA-24C7FD5973F8}"/>
    <cellStyle name="Migliaia 19 10 4" xfId="33302" xr:uid="{D6CA8D78-2431-4224-95FB-70D7DC425A07}"/>
    <cellStyle name="Migliaia 19 10 5" xfId="20008" xr:uid="{0B6F59EC-7989-4E89-BDEF-A62A005350A7}"/>
    <cellStyle name="Migliaia 19 11" xfId="3257" xr:uid="{AB62268D-6912-4A2A-893D-E7EBC2DD6476}"/>
    <cellStyle name="Migliaia 19 11 2" xfId="36207" xr:uid="{215AC61D-4453-4055-B230-7F6C022FFFCA}"/>
    <cellStyle name="Migliaia 19 12" xfId="41357" xr:uid="{0A1DD245-6827-4971-92C6-C932FEF70640}"/>
    <cellStyle name="Migliaia 19 13" xfId="7071" xr:uid="{33891F14-4403-489E-81AA-557B08F7A800}"/>
    <cellStyle name="Migliaia 19 2" xfId="338" xr:uid="{00000000-0005-0000-0000-000013030000}"/>
    <cellStyle name="Migliaia 19 2 2" xfId="1703" xr:uid="{00000000-0005-0000-0000-000014030000}"/>
    <cellStyle name="Migliaia 19 2 2 2" xfId="4985" xr:uid="{E7BD9BEB-9AAB-418B-9D86-2BD326F53B24}"/>
    <cellStyle name="Migliaia 19 2 2 2 2" xfId="14372" xr:uid="{EB329AD8-BF55-4909-941F-AFCFB0EF5CB5}"/>
    <cellStyle name="Migliaia 19 2 2 2 2 2" xfId="38707" xr:uid="{78EEE48B-82CB-41ED-8B64-C2E229636F6C}"/>
    <cellStyle name="Migliaia 19 2 2 2 2 3" xfId="44009" xr:uid="{E9AD26BE-5F2B-4D4B-9C8C-F08F1E4DE908}"/>
    <cellStyle name="Migliaia 19 2 2 2 3" xfId="18387" xr:uid="{D9AF0AB8-A095-4F3B-8018-561DF25E161F}"/>
    <cellStyle name="Migliaia 19 2 2 2 4" xfId="20011" xr:uid="{AD745BDB-2EAA-4E24-87DB-81DDF62D2C83}"/>
    <cellStyle name="Migliaia 19 2 2 2 4 2" xfId="41358" xr:uid="{3FE8F544-6275-4611-99FD-A8440FE3786D}"/>
    <cellStyle name="Migliaia 19 2 2 2 5" xfId="16154" xr:uid="{ACC728A3-CD77-442D-94B9-B12BCEA02F16}"/>
    <cellStyle name="Migliaia 19 2 2 2 6" xfId="8540" xr:uid="{9E1B864F-C346-4BDE-A4AD-87FA808C0006}"/>
    <cellStyle name="Migliaia 19 2 2 3" xfId="6199" xr:uid="{5BA40000-DAC1-4889-AAB7-7B27DA42DB75}"/>
    <cellStyle name="Migliaia 19 2 2 3 2" xfId="35191" xr:uid="{92829383-6004-45A8-A402-EA261C510CAC}"/>
    <cellStyle name="Migliaia 19 2 2 3 2 2" xfId="40349" xr:uid="{9250C7ED-4776-4FD9-B301-E3DFFE96A3CD}"/>
    <cellStyle name="Migliaia 19 2 2 3 2 3" xfId="45651" xr:uid="{DAAB0BF6-508E-46E4-890F-783CF0A6BCDF}"/>
    <cellStyle name="Migliaia 19 2 2 3 3" xfId="37698" xr:uid="{F37C246A-5827-48DD-BA72-B24566A99AE7}"/>
    <cellStyle name="Migliaia 19 2 2 3 4" xfId="43000" xr:uid="{DC51E967-0C40-4757-83F1-A4DBA1DB0CE1}"/>
    <cellStyle name="Migliaia 19 2 2 3 5" xfId="11601" xr:uid="{EFB4BA9F-17B5-4A78-90B9-8006C5DC4B83}"/>
    <cellStyle name="Migliaia 19 2 2 4" xfId="3259" xr:uid="{4A40C458-532A-4333-BC84-0F5988C66984}"/>
    <cellStyle name="Migliaia 19 2 2 4 2" xfId="21415" xr:uid="{7931B141-5A0B-4EB6-A38A-84BDBF81C88F}"/>
    <cellStyle name="Migliaia 19 2 2 4 3" xfId="46219" xr:uid="{E69FA679-4E3D-4C1B-9176-6CDF880E327F}"/>
    <cellStyle name="Migliaia 19 2 2 4 4" xfId="50430" xr:uid="{457DBC7D-DC26-4F37-9289-1C77DF5C2BEE}"/>
    <cellStyle name="Migliaia 19 2 2 4 5" xfId="53446" xr:uid="{1639B9D7-4449-499D-88A9-9D6379223219}"/>
    <cellStyle name="Migliaia 19 2 2 4 6" xfId="10780" xr:uid="{A2068905-6933-44B9-B0FC-FDDE1BDC35F9}"/>
    <cellStyle name="Migliaia 19 2 2 5" xfId="20010" xr:uid="{E589DA89-4BF4-415F-B6EB-97FFE92D3D8D}"/>
    <cellStyle name="Migliaia 19 2 2 6" xfId="24402" xr:uid="{385EDC80-D31E-42C1-B3E1-9C1F605BECC5}"/>
    <cellStyle name="Migliaia 19 2 2 7" xfId="7350" xr:uid="{E6BFB5D5-D476-4FB1-A35F-3E700C7C9F5C}"/>
    <cellStyle name="Migliaia 19 2 3" xfId="3260" xr:uid="{93D562CB-150D-44C1-8FB4-39996E533BE7}"/>
    <cellStyle name="Migliaia 19 2 3 2" xfId="4986" xr:uid="{B96B279A-42E6-478A-9B7C-DB4BB94B714A}"/>
    <cellStyle name="Migliaia 19 2 3 2 2" xfId="35192" xr:uid="{60ECB5F1-B02C-4850-B1AA-303438DD2483}"/>
    <cellStyle name="Migliaia 19 2 3 2 2 2" xfId="40350" xr:uid="{DC36C656-A4EB-41D6-8EE7-B899C6220D30}"/>
    <cellStyle name="Migliaia 19 2 3 2 2 3" xfId="45652" xr:uid="{AB098A76-19DA-4E04-87EE-2C9959346F10}"/>
    <cellStyle name="Migliaia 19 2 3 2 3" xfId="37699" xr:uid="{E3D11CAF-BD46-4645-BC69-D5A0C2355D21}"/>
    <cellStyle name="Migliaia 19 2 3 2 4" xfId="43001" xr:uid="{EDA444F5-B534-46AC-9C6B-A3758AB48290}"/>
    <cellStyle name="Migliaia 19 2 3 2 5" xfId="14209" xr:uid="{16DE83D3-348E-4CAC-A493-B7B2D5D4FBF6}"/>
    <cellStyle name="Migliaia 19 2 3 3" xfId="6200" xr:uid="{E1A81C96-9813-49A0-958C-201DCF294027}"/>
    <cellStyle name="Migliaia 19 2 3 3 2" xfId="38708" xr:uid="{4774AA61-03CA-43A8-8937-8CD6D754A753}"/>
    <cellStyle name="Migliaia 19 2 3 3 3" xfId="44010" xr:uid="{837103F6-4DBA-4232-8E51-074D9B3D6AF3}"/>
    <cellStyle name="Migliaia 19 2 3 3 4" xfId="33303" xr:uid="{F05D2A9F-42D3-4D5B-85E3-B9988F3EF2D6}"/>
    <cellStyle name="Migliaia 19 2 3 3 5" xfId="20012" xr:uid="{B1185B14-64CA-4D6B-A841-66E773B653EE}"/>
    <cellStyle name="Migliaia 19 2 3 4" xfId="36208" xr:uid="{B801EA2F-32DB-4A64-8FEA-CEF9CA390C71}"/>
    <cellStyle name="Migliaia 19 2 3 5" xfId="41359" xr:uid="{9D5CD27E-73F1-4017-AC01-C71391C6538C}"/>
    <cellStyle name="Migliaia 19 2 3 6" xfId="16155" xr:uid="{B2FE1429-E10E-4B6F-9570-F97053A2DB1E}"/>
    <cellStyle name="Migliaia 19 2 3 7" xfId="8271" xr:uid="{2AA0577D-2B01-4C28-BB61-4845744C05B7}"/>
    <cellStyle name="Migliaia 19 2 4" xfId="4984" xr:uid="{C793143C-B402-42D0-AB28-3BD64F5249B6}"/>
    <cellStyle name="Migliaia 19 2 4 2" xfId="13912" xr:uid="{B6BDB3AE-C0E6-4FA8-A54F-98C08289EAC4}"/>
    <cellStyle name="Migliaia 19 2 4 2 2" xfId="38709" xr:uid="{619E0895-D217-451E-B61D-BB88331DCEB0}"/>
    <cellStyle name="Migliaia 19 2 4 2 3" xfId="44011" xr:uid="{46B627F4-8854-4F8A-9E27-85FF6E16AC57}"/>
    <cellStyle name="Migliaia 19 2 4 3" xfId="18620" xr:uid="{055BA807-2AF3-4B1B-9F64-805D5101C3DB}"/>
    <cellStyle name="Migliaia 19 2 4 4" xfId="20013" xr:uid="{095C0B2D-0E2A-426E-8454-3131C4DA3026}"/>
    <cellStyle name="Migliaia 19 2 4 4 2" xfId="41360" xr:uid="{7182C418-170E-46CE-8C77-0B195D1F8A62}"/>
    <cellStyle name="Migliaia 19 2 4 5" xfId="16156" xr:uid="{386FA3B7-5CC0-4D12-A684-6EA49A63EC63}"/>
    <cellStyle name="Migliaia 19 2 4 6" xfId="7860" xr:uid="{1C9C7EFF-FA94-49F1-B435-54358D6108AF}"/>
    <cellStyle name="Migliaia 19 2 5" xfId="6198" xr:uid="{AF0B5318-5D52-4428-BF2C-AC1DED89A204}"/>
    <cellStyle name="Migliaia 19 2 5 2" xfId="33304" xr:uid="{0E4B1240-3F52-4ED4-8614-D44B8F790776}"/>
    <cellStyle name="Migliaia 19 2 5 2 2" xfId="38710" xr:uid="{E23FE35B-636C-4904-ACB2-43117858EF45}"/>
    <cellStyle name="Migliaia 19 2 5 2 3" xfId="44012" xr:uid="{496E3D7B-38E3-45F9-889F-DA1CFEA2E5D7}"/>
    <cellStyle name="Migliaia 19 2 5 3" xfId="36209" xr:uid="{C2903C8A-C31C-4A6B-AA99-5C49A795664D}"/>
    <cellStyle name="Migliaia 19 2 5 4" xfId="41361" xr:uid="{29D6E7F6-C414-43EA-A55E-3C2F97848989}"/>
    <cellStyle name="Migliaia 19 2 5 5" xfId="13112" xr:uid="{0CB7EEAC-800B-4894-A9F3-1145C9234EE5}"/>
    <cellStyle name="Migliaia 19 2 6" xfId="3258" xr:uid="{85FE3AEE-D9F4-40E3-89FB-A1E14EEBD672}"/>
    <cellStyle name="Migliaia 19 2 6 2" xfId="33305" xr:uid="{007F6701-EBEA-4D37-BCA8-52AB575CA11B}"/>
    <cellStyle name="Migliaia 19 2 6 2 2" xfId="38711" xr:uid="{FE4086D8-E9FA-4CEA-BFE3-975BAA00779B}"/>
    <cellStyle name="Migliaia 19 2 6 2 3" xfId="44013" xr:uid="{B33DD25B-F7C5-4793-B740-1BBC321FFBC3}"/>
    <cellStyle name="Migliaia 19 2 6 3" xfId="36210" xr:uid="{ADA2DDA4-12EB-41C8-869B-B4EE3AA5AF5C}"/>
    <cellStyle name="Migliaia 19 2 6 4" xfId="41362" xr:uid="{F0C6DF97-650E-4745-B326-DFE608B320F3}"/>
    <cellStyle name="Migliaia 19 2 6 5" xfId="24403" xr:uid="{9C96E56D-9B76-49A7-A04F-529406A0FD8F}"/>
    <cellStyle name="Migliaia 19 2 6 6" xfId="20009" xr:uid="{997EDC78-E137-47C4-89B8-BFBD0DC84337}"/>
    <cellStyle name="Migliaia 19 2 7" xfId="24401" xr:uid="{925CC520-9E09-4E62-8036-F42D68B51135}"/>
    <cellStyle name="Migliaia 19 2 8" xfId="7072" xr:uid="{C60606A8-CD82-4790-8EE1-1F7BF688FA69}"/>
    <cellStyle name="Migliaia 19 3" xfId="339" xr:uid="{00000000-0005-0000-0000-000015030000}"/>
    <cellStyle name="Migliaia 19 3 10" xfId="24404" xr:uid="{B11E87CB-E87B-4ABC-B8EF-00D5D46D1B69}"/>
    <cellStyle name="Migliaia 19 3 11" xfId="16157" xr:uid="{9A8A9BCD-6513-44E1-B2AB-2254F6E064D4}"/>
    <cellStyle name="Migliaia 19 3 12" xfId="7073" xr:uid="{5B6384EC-9299-458D-8399-4AEB9533AFA8}"/>
    <cellStyle name="Migliaia 19 3 2" xfId="340" xr:uid="{00000000-0005-0000-0000-000016030000}"/>
    <cellStyle name="Migliaia 19 3 2 2" xfId="1704" xr:uid="{00000000-0005-0000-0000-000017030000}"/>
    <cellStyle name="Migliaia 19 3 2 2 2" xfId="4989" xr:uid="{A1BAE3DD-820A-49AF-AA68-4C3930EA6216}"/>
    <cellStyle name="Migliaia 19 3 2 2 2 2" xfId="18388" xr:uid="{7E64B54C-9224-4D10-9EA9-C7082F9206ED}"/>
    <cellStyle name="Migliaia 19 3 2 2 2 2 2" xfId="21847" xr:uid="{CAE7CDF4-7FF6-4755-9018-EF55BB4BF0C1}"/>
    <cellStyle name="Migliaia 19 3 2 2 2 2 2 2" xfId="38712" xr:uid="{A565763F-C24A-4147-B22E-AD4B5548AD36}"/>
    <cellStyle name="Migliaia 19 3 2 2 2 2 3" xfId="44014" xr:uid="{C3A597A6-AE90-407F-A357-2F9CDC3FA20E}"/>
    <cellStyle name="Migliaia 19 3 2 2 2 2 4" xfId="33306" xr:uid="{CC95B84A-5E28-455A-8850-906ACC7C4341}"/>
    <cellStyle name="Migliaia 19 3 2 2 2 3" xfId="36211" xr:uid="{91E5648B-2C3E-4789-AC9D-4F688E9B5F3D}"/>
    <cellStyle name="Migliaia 19 3 2 2 2 4" xfId="41363" xr:uid="{45B10680-EB8B-4C7B-9397-9DE71801415D}"/>
    <cellStyle name="Migliaia 19 3 2 2 2 5" xfId="48034" xr:uid="{4F54FD58-3706-49B3-BBAB-E378FD809D7B}"/>
    <cellStyle name="Migliaia 19 3 2 2 2 6" xfId="50875" xr:uid="{6E4CABF9-7D3D-41A6-90E9-322E8A6DC967}"/>
    <cellStyle name="Migliaia 19 3 2 2 2 7" xfId="53891" xr:uid="{0B513F68-70D5-462F-9718-EA27FBED58F8}"/>
    <cellStyle name="Migliaia 19 3 2 2 2 8" xfId="17648" xr:uid="{B3311226-1EFC-4C7C-9195-13232BC31F0F}"/>
    <cellStyle name="Migliaia 19 3 2 2 2 9" xfId="11923" xr:uid="{0D18327A-5B93-4DCF-A073-1AA73216A880}"/>
    <cellStyle name="Migliaia 19 3 2 2 3" xfId="6203" xr:uid="{491965D6-8099-40DA-BE0F-6272D26187E1}"/>
    <cellStyle name="Migliaia 19 3 2 2 3 2" xfId="11689" xr:uid="{7C0CB161-0732-4DDA-A977-2F36D117F8DE}"/>
    <cellStyle name="Migliaia 19 3 2 2 4" xfId="3263" xr:uid="{3401942F-8864-444A-9B47-92F0FE77A196}"/>
    <cellStyle name="Migliaia 19 3 2 2 4 2" xfId="21416" xr:uid="{7102D77A-A898-4F17-B540-94B98B3A212C}"/>
    <cellStyle name="Migliaia 19 3 2 2 4 3" xfId="48470" xr:uid="{4E7AD688-25DA-4B6A-AA60-A4C79B54F2BD}"/>
    <cellStyle name="Migliaia 19 3 2 2 4 4" xfId="50431" xr:uid="{E4DAD1D1-9450-4111-97AB-5BC8EF1D555C}"/>
    <cellStyle name="Migliaia 19 3 2 2 4 5" xfId="53447" xr:uid="{80127767-BD27-464B-BFEB-9983514A6BF9}"/>
    <cellStyle name="Migliaia 19 3 2 2 4 6" xfId="10781" xr:uid="{AABF90C6-D4B7-41E9-8749-A216FCDAD21B}"/>
    <cellStyle name="Migliaia 19 3 2 2 5" xfId="20016" xr:uid="{9A32B558-8643-4E65-B3CC-D774A853F65F}"/>
    <cellStyle name="Migliaia 19 3 2 2 6" xfId="24406" xr:uid="{FEDB7C9A-5AB3-4280-B2AE-ED33EFF31782}"/>
    <cellStyle name="Migliaia 19 3 2 2 7" xfId="8542" xr:uid="{03BB0E86-6F00-43CB-AFED-8B977C1EE595}"/>
    <cellStyle name="Migliaia 19 3 2 3" xfId="4988" xr:uid="{AAC3B8DD-58FE-4913-BE27-C5214A88C764}"/>
    <cellStyle name="Migliaia 19 3 2 3 2" xfId="11104" xr:uid="{2A9D8D9C-8B1B-40B1-B3E4-97BB5812C00E}"/>
    <cellStyle name="Migliaia 19 3 2 3 2 2" xfId="38713" xr:uid="{39E3FC52-F8D0-47C9-807F-683F65C443D5}"/>
    <cellStyle name="Migliaia 19 3 2 3 2 3" xfId="44015" xr:uid="{6CDB5EB9-0529-4590-BC4B-2FF4EE2D3E90}"/>
    <cellStyle name="Migliaia 19 3 2 3 2 4" xfId="33307" xr:uid="{7F3CEFF9-D6AA-4D10-AB53-1C656176AB6F}"/>
    <cellStyle name="Migliaia 19 3 2 3 3" xfId="11924" xr:uid="{31F01D6C-FF74-45EC-A8EE-59812A0DA611}"/>
    <cellStyle name="Migliaia 19 3 2 3 4" xfId="20017" xr:uid="{542C5E9D-87DF-4CD3-8F40-3EF5A49B5E72}"/>
    <cellStyle name="Migliaia 19 3 2 3 4 2" xfId="41364" xr:uid="{2B30DF0C-F7A4-412E-804B-194BD75736B2}"/>
    <cellStyle name="Migliaia 19 3 2 3 5" xfId="16158" xr:uid="{7ABB8FC3-4956-41B3-BAFB-4BFF0D3F3148}"/>
    <cellStyle name="Migliaia 19 3 2 3 6" xfId="7862" xr:uid="{5E9DE3C0-831B-4ACD-AFA6-1B8ADDEF2EE9}"/>
    <cellStyle name="Migliaia 19 3 2 4" xfId="6202" xr:uid="{77E51C55-6F86-4456-AC6C-E8FCD54AB083}"/>
    <cellStyle name="Migliaia 19 3 2 4 2" xfId="18067" xr:uid="{7435E20C-BC2D-436F-BA6F-63DA30C7FB80}"/>
    <cellStyle name="Migliaia 19 3 2 4 2 2" xfId="38714" xr:uid="{4FA9751E-1FBF-4D55-A1F2-1A9C5A579199}"/>
    <cellStyle name="Migliaia 19 3 2 4 2 3" xfId="44016" xr:uid="{4F09331D-8CB9-4106-9B1C-15249CADED67}"/>
    <cellStyle name="Migliaia 19 3 2 4 3" xfId="36212" xr:uid="{2B2DD447-B6D2-429C-9C4C-F7FF43646A99}"/>
    <cellStyle name="Migliaia 19 3 2 4 4" xfId="41365" xr:uid="{F51EE2EC-01F0-4669-9CE9-9A0806A40777}"/>
    <cellStyle name="Migliaia 19 3 2 4 5" xfId="17156" xr:uid="{6412584E-E599-423E-B8BF-682EB4297981}"/>
    <cellStyle name="Migliaia 19 3 2 4 6" xfId="11276" xr:uid="{D6750727-CD26-4763-8135-80512D98954A}"/>
    <cellStyle name="Migliaia 19 3 2 5" xfId="3262" xr:uid="{2BD6D86B-BC73-42BD-B1EA-B22170EA6BE9}"/>
    <cellStyle name="Migliaia 19 3 2 5 2" xfId="33308" xr:uid="{3477D35B-78BD-4CEB-9937-A2869B240140}"/>
    <cellStyle name="Migliaia 19 3 2 5 2 2" xfId="38715" xr:uid="{415E4272-F93C-416F-8C83-949E3EAD78F1}"/>
    <cellStyle name="Migliaia 19 3 2 5 2 3" xfId="44017" xr:uid="{CDEED874-6B76-4242-82F9-74045E16908B}"/>
    <cellStyle name="Migliaia 19 3 2 5 3" xfId="36213" xr:uid="{82C518B0-DF99-4923-A0CC-AB7A4E5F6307}"/>
    <cellStyle name="Migliaia 19 3 2 5 4" xfId="41366" xr:uid="{8081A9DA-2D2B-4CA4-9641-6B8217B767AD}"/>
    <cellStyle name="Migliaia 19 3 2 5 5" xfId="17396" xr:uid="{F639D3CD-B95A-4E85-B848-BB77F889BFB5}"/>
    <cellStyle name="Migliaia 19 3 2 6" xfId="20015" xr:uid="{06765607-E8FE-42E7-99B0-434810FB4616}"/>
    <cellStyle name="Migliaia 19 3 2 6 2" xfId="33309" xr:uid="{163934BF-6DE2-4DE6-BA4E-E89550D3DECF}"/>
    <cellStyle name="Migliaia 19 3 2 6 2 2" xfId="38716" xr:uid="{9D557F40-EE71-4804-B82D-6C91B9136695}"/>
    <cellStyle name="Migliaia 19 3 2 6 2 3" xfId="44018" xr:uid="{EDE35FC6-CA39-462D-9D45-F391085967F8}"/>
    <cellStyle name="Migliaia 19 3 2 6 3" xfId="36214" xr:uid="{6FAF8CD7-F346-40BB-B330-28ECE479E624}"/>
    <cellStyle name="Migliaia 19 3 2 6 4" xfId="41367" xr:uid="{77883306-BD26-4B3D-B1C1-2B2730E944B4}"/>
    <cellStyle name="Migliaia 19 3 2 6 5" xfId="24407" xr:uid="{7CECC288-A491-4854-974B-DD621F6A3947}"/>
    <cellStyle name="Migliaia 19 3 2 7" xfId="24405" xr:uid="{D65EA606-3954-4D7E-B30E-57E5F1544688}"/>
    <cellStyle name="Migliaia 19 3 2 8" xfId="7352" xr:uid="{D163855C-2D64-4290-BC34-033855794801}"/>
    <cellStyle name="Migliaia 19 3 3" xfId="3264" xr:uid="{95E934C0-2E91-490A-A54A-8CB19BB87552}"/>
    <cellStyle name="Migliaia 19 3 3 10" xfId="7351" xr:uid="{3963F2B3-A43B-43EC-804F-EABBBE604DE3}"/>
    <cellStyle name="Migliaia 19 3 3 2" xfId="4990" xr:uid="{C3BED81C-BE51-42DC-8EE0-4D6331C7903C}"/>
    <cellStyle name="Migliaia 19 3 3 2 2" xfId="9902" xr:uid="{B959FC3E-85F6-40DD-B729-0629C26EF1FE}"/>
    <cellStyle name="Migliaia 19 3 3 2 2 2" xfId="38718" xr:uid="{50D0D446-0547-470F-89AA-0FACE5504E51}"/>
    <cellStyle name="Migliaia 19 3 3 2 2 3" xfId="44020" xr:uid="{369266F0-2C9F-43DC-9B2C-99E58FCC35BE}"/>
    <cellStyle name="Migliaia 19 3 3 2 3" xfId="18182" xr:uid="{5753F73F-B7E2-42DC-A5FB-4C43F111C377}"/>
    <cellStyle name="Migliaia 19 3 3 2 4" xfId="20019" xr:uid="{D010FCF2-F5A0-4C58-9290-886226E199E9}"/>
    <cellStyle name="Migliaia 19 3 3 2 4 2" xfId="41369" xr:uid="{AF9F8D65-EDC4-41AE-A108-4CA39AC02DB7}"/>
    <cellStyle name="Migliaia 19 3 3 2 5" xfId="16160" xr:uid="{A092A9D3-7EF7-4F5B-8292-05ED2D76771E}"/>
    <cellStyle name="Migliaia 19 3 3 2 6" xfId="8541" xr:uid="{C8585DBC-2384-45BE-B2AA-D9F6023B8F77}"/>
    <cellStyle name="Migliaia 19 3 3 3" xfId="6204" xr:uid="{B42D0791-23A0-4522-B2D4-0FB9D408F63C}"/>
    <cellStyle name="Migliaia 19 3 3 3 2" xfId="33311" xr:uid="{4E730F4B-53B5-4A1F-884C-7D2F45FB28FA}"/>
    <cellStyle name="Migliaia 19 3 3 3 2 2" xfId="38719" xr:uid="{9226303F-E0FA-47E5-A4D2-3019B3312E8E}"/>
    <cellStyle name="Migliaia 19 3 3 3 2 3" xfId="44021" xr:uid="{6F4FA5B6-3522-4E44-B6D9-18C2A86E5277}"/>
    <cellStyle name="Migliaia 19 3 3 3 3" xfId="36216" xr:uid="{A4E62C0B-ACFD-4000-8625-AA34C2CD7485}"/>
    <cellStyle name="Migliaia 19 3 3 3 4" xfId="41370" xr:uid="{D17B946D-F8D3-41FD-817E-16BFBEF8561C}"/>
    <cellStyle name="Migliaia 19 3 3 3 5" xfId="9665" xr:uid="{33FF5600-03A0-4B1F-8D06-DC25D191CD7F}"/>
    <cellStyle name="Migliaia 19 3 3 4" xfId="20018" xr:uid="{205FC833-C287-4EC0-8795-B5FE9098849D}"/>
    <cellStyle name="Migliaia 19 3 3 4 2" xfId="33312" xr:uid="{C03898B3-298A-48D0-ABF3-36199B5066D5}"/>
    <cellStyle name="Migliaia 19 3 3 4 2 2" xfId="38720" xr:uid="{82B74096-7987-4C4D-AF63-79F6C72B86BC}"/>
    <cellStyle name="Migliaia 19 3 3 4 2 3" xfId="44022" xr:uid="{6229A847-4D7F-402A-B460-8E0B77B9189F}"/>
    <cellStyle name="Migliaia 19 3 3 4 3" xfId="36217" xr:uid="{3460253B-1FB6-499A-9C3B-B301BE9CB3B6}"/>
    <cellStyle name="Migliaia 19 3 3 4 4" xfId="41371" xr:uid="{CB4211F8-2DFC-40C8-BE6A-5BCA36898F12}"/>
    <cellStyle name="Migliaia 19 3 3 4 5" xfId="24408" xr:uid="{F555238A-EBA8-4730-8824-EA39C16658A8}"/>
    <cellStyle name="Migliaia 19 3 3 5" xfId="24409" xr:uid="{167E4B83-9C85-4115-874B-97AAFA5E0F78}"/>
    <cellStyle name="Migliaia 19 3 3 5 2" xfId="33313" xr:uid="{B5BB0DD3-0A83-4706-9DC8-53440778194E}"/>
    <cellStyle name="Migliaia 19 3 3 5 2 2" xfId="38721" xr:uid="{082F1FEC-A1F3-4DFD-84A4-C908553A1B84}"/>
    <cellStyle name="Migliaia 19 3 3 5 2 3" xfId="44023" xr:uid="{9283E4E7-A390-4501-AD4E-57D171ECA8DE}"/>
    <cellStyle name="Migliaia 19 3 3 5 3" xfId="36218" xr:uid="{81594651-CE07-4A6B-87EB-5B77320A89A4}"/>
    <cellStyle name="Migliaia 19 3 3 5 4" xfId="41372" xr:uid="{32A2FF99-DD29-417D-AB44-DD830A57576B}"/>
    <cellStyle name="Migliaia 19 3 3 6" xfId="33310" xr:uid="{D79FC2D4-4C18-4947-A8C9-8A2090C7EC9A}"/>
    <cellStyle name="Migliaia 19 3 3 6 2" xfId="38717" xr:uid="{C8800881-733A-4E4C-959D-5BD5EE1256D0}"/>
    <cellStyle name="Migliaia 19 3 3 6 3" xfId="44019" xr:uid="{D281916C-5557-4407-BD61-F30AC1089DED}"/>
    <cellStyle name="Migliaia 19 3 3 7" xfId="36215" xr:uid="{BB955A4F-1CCA-4428-8C76-109D7E170F99}"/>
    <cellStyle name="Migliaia 19 3 3 8" xfId="41368" xr:uid="{6E23ADE0-1137-4781-B814-B28BF1064002}"/>
    <cellStyle name="Migliaia 19 3 3 9" xfId="16159" xr:uid="{E6879DEB-D352-46F8-AACF-867C280B7458}"/>
    <cellStyle name="Migliaia 19 3 4" xfId="3265" xr:uid="{7AE4E268-5745-47EA-A3A7-1B75C330C6F2}"/>
    <cellStyle name="Migliaia 19 3 4 2" xfId="4991" xr:uid="{C43FD034-2D57-4E28-BA33-8811DD7D8BF2}"/>
    <cellStyle name="Migliaia 19 3 4 2 2" xfId="14433" xr:uid="{64AAB4EC-E513-4552-9FFC-C94FF7A86B30}"/>
    <cellStyle name="Migliaia 19 3 4 2 3" xfId="18125" xr:uid="{04834807-0E05-4F60-9114-C8A878E67004}"/>
    <cellStyle name="Migliaia 19 3 4 2 4" xfId="20021" xr:uid="{DF5EE6BD-FC0F-45F5-9628-44E478EAAAA5}"/>
    <cellStyle name="Migliaia 19 3 4 2 5" xfId="32320" xr:uid="{E3E3EB9C-68B4-4F31-8E43-6FF1EED4D586}"/>
    <cellStyle name="Migliaia 19 3 4 2 6" xfId="16162" xr:uid="{FE00FE4D-F263-4F6E-A5A1-C2D7BF606247}"/>
    <cellStyle name="Migliaia 19 3 4 2 7" xfId="8856" xr:uid="{E6359A4E-4730-48CE-B9E1-823EBC5DD857}"/>
    <cellStyle name="Migliaia 19 3 4 3" xfId="6205" xr:uid="{66ECF252-D3A6-4BEF-A3B2-38A11E62F731}"/>
    <cellStyle name="Migliaia 19 3 4 3 2" xfId="35193" xr:uid="{A8B2E4C4-3516-44EC-9B4A-118212C87BF5}"/>
    <cellStyle name="Migliaia 19 3 4 3 2 2" xfId="40351" xr:uid="{ED7A801A-3702-4531-BC71-0DA4D6969F40}"/>
    <cellStyle name="Migliaia 19 3 4 3 2 3" xfId="45653" xr:uid="{75A8AEF4-FECB-423F-94A7-EFF57534EEDA}"/>
    <cellStyle name="Migliaia 19 3 4 3 3" xfId="37700" xr:uid="{7D339279-6F1B-4EA1-B5F7-2F1F3EAE5EC1}"/>
    <cellStyle name="Migliaia 19 3 4 3 4" xfId="43002" xr:uid="{0836829D-B087-40A2-9528-6444A4F77B70}"/>
    <cellStyle name="Migliaia 19 3 4 3 5" xfId="13681" xr:uid="{4A61832F-D473-4173-BA32-7F7DD00C76A6}"/>
    <cellStyle name="Migliaia 19 3 4 4" xfId="20020" xr:uid="{C8B1E694-9B76-403A-8FA7-D2057BBCD1DB}"/>
    <cellStyle name="Migliaia 19 3 4 4 2" xfId="38722" xr:uid="{42CE11EE-F492-455C-AFD8-B58A2F484DCE}"/>
    <cellStyle name="Migliaia 19 3 4 4 3" xfId="44024" xr:uid="{3BE973E0-7ABF-4E6D-A558-C62B25A545C6}"/>
    <cellStyle name="Migliaia 19 3 4 4 4" xfId="33314" xr:uid="{4554F24A-ADFC-492A-9760-A0D9E00528B3}"/>
    <cellStyle name="Migliaia 19 3 4 5" xfId="36219" xr:uid="{D7BB8408-9F1A-4FF1-8500-567A2E4D07BD}"/>
    <cellStyle name="Migliaia 19 3 4 6" xfId="41373" xr:uid="{1688D238-C9DE-45AF-8BD7-FB21148E429D}"/>
    <cellStyle name="Migliaia 19 3 4 7" xfId="16161" xr:uid="{0903A2CA-5CA0-439A-971D-D544BEA44EDA}"/>
    <cellStyle name="Migliaia 19 3 4 8" xfId="7666" xr:uid="{A668A322-D5A9-4395-AA77-089DDCAD28B5}"/>
    <cellStyle name="Migliaia 19 3 5" xfId="3266" xr:uid="{7DBC6E18-9DCF-4DF2-B801-CA13363F3EA5}"/>
    <cellStyle name="Migliaia 19 3 5 2" xfId="4992" xr:uid="{B09A3B84-BB0E-4386-AD27-CCCBEC6CCD7F}"/>
    <cellStyle name="Migliaia 19 3 5 2 2" xfId="35194" xr:uid="{F7AB143F-84F2-49FE-A362-44A38CBFF97C}"/>
    <cellStyle name="Migliaia 19 3 5 2 2 2" xfId="40352" xr:uid="{FAF7A392-E252-4904-9D42-16FA7E54F589}"/>
    <cellStyle name="Migliaia 19 3 5 2 2 3" xfId="45654" xr:uid="{23674197-229B-4EE8-9157-6BDABC253F9C}"/>
    <cellStyle name="Migliaia 19 3 5 2 3" xfId="37701" xr:uid="{DB7E587D-1A26-485C-841C-F7F444FAA991}"/>
    <cellStyle name="Migliaia 19 3 5 2 4" xfId="43003" xr:uid="{FC624441-5BA4-4589-BC4B-D0C616A0DA7A}"/>
    <cellStyle name="Migliaia 19 3 5 2 5" xfId="14210" xr:uid="{BD7C26B5-6059-471C-B57A-B94C947B7E13}"/>
    <cellStyle name="Migliaia 19 3 5 3" xfId="6206" xr:uid="{885B50DB-7E80-4EEC-8866-2842E19F13F7}"/>
    <cellStyle name="Migliaia 19 3 5 3 2" xfId="38723" xr:uid="{233A7816-E0B9-4E81-BAB8-D01E568EF771}"/>
    <cellStyle name="Migliaia 19 3 5 3 3" xfId="44025" xr:uid="{EE6E16A8-EA85-44C1-9437-668879829C25}"/>
    <cellStyle name="Migliaia 19 3 5 3 4" xfId="33315" xr:uid="{32A852DA-89B5-4F5C-A4E6-D4AF910664CA}"/>
    <cellStyle name="Migliaia 19 3 5 3 5" xfId="20022" xr:uid="{FD7F8732-F4DC-40FF-8789-5FADBE497F23}"/>
    <cellStyle name="Migliaia 19 3 5 4" xfId="36220" xr:uid="{720051DF-5FE5-4CA8-A0D4-B88ABCF9C360}"/>
    <cellStyle name="Migliaia 19 3 5 5" xfId="41374" xr:uid="{08274A0A-A148-46B3-8F56-2F48D1229D7B}"/>
    <cellStyle name="Migliaia 19 3 5 6" xfId="16163" xr:uid="{4006E7C7-7D1F-4940-8D36-6F764103C04D}"/>
    <cellStyle name="Migliaia 19 3 5 7" xfId="8272" xr:uid="{12F25D0D-5B92-439F-B122-CE532E3D7572}"/>
    <cellStyle name="Migliaia 19 3 6" xfId="4987" xr:uid="{49C4597E-B242-4533-A086-C6465140A1F1}"/>
    <cellStyle name="Migliaia 19 3 6 2" xfId="13913" xr:uid="{4534FF77-5F4F-475D-A55B-E97E99903106}"/>
    <cellStyle name="Migliaia 19 3 6 2 2" xfId="38724" xr:uid="{DD4EEB33-7415-4568-866F-AE16FA19EEF9}"/>
    <cellStyle name="Migliaia 19 3 6 2 3" xfId="44026" xr:uid="{FEE89E05-7BA5-40B6-B8CA-A1AADBFE57C7}"/>
    <cellStyle name="Migliaia 19 3 6 3" xfId="18284" xr:uid="{4E5E1C55-EE00-41F8-8681-7DEF9AE08FC9}"/>
    <cellStyle name="Migliaia 19 3 6 4" xfId="20023" xr:uid="{B636A309-4C43-456E-AE46-85C1408CCBFC}"/>
    <cellStyle name="Migliaia 19 3 6 4 2" xfId="41375" xr:uid="{91DC4194-9F11-4CFD-9724-90E7A7A340EC}"/>
    <cellStyle name="Migliaia 19 3 6 5" xfId="16164" xr:uid="{0195F767-FD19-456A-880E-B637217D243B}"/>
    <cellStyle name="Migliaia 19 3 6 6" xfId="7861" xr:uid="{8B085D41-0E6E-4E6A-A35A-7669FE2F3476}"/>
    <cellStyle name="Migliaia 19 3 7" xfId="6201" xr:uid="{590C9D33-19A5-44AB-A278-CFCB3369BEC6}"/>
    <cellStyle name="Migliaia 19 3 7 2" xfId="33316" xr:uid="{789A6294-4653-4A96-8B19-A43619A9338C}"/>
    <cellStyle name="Migliaia 19 3 7 2 2" xfId="38725" xr:uid="{93978D2B-E222-4AEF-A2D8-1BF07CF1C2CC}"/>
    <cellStyle name="Migliaia 19 3 7 2 3" xfId="44027" xr:uid="{0499B81E-4D6A-4398-A096-D2FB7719A7B2}"/>
    <cellStyle name="Migliaia 19 3 7 3" xfId="36221" xr:uid="{4FCA7A6B-8D21-40C0-87DC-F01C4038ED96}"/>
    <cellStyle name="Migliaia 19 3 7 4" xfId="41376" xr:uid="{1F4389E1-D324-4F11-BEC3-6AD26E70319F}"/>
    <cellStyle name="Migliaia 19 3 7 5" xfId="11153" xr:uid="{24FFCA82-F75B-45C5-9B52-5D953EC1FAF0}"/>
    <cellStyle name="Migliaia 19 3 8" xfId="3261" xr:uid="{D1585B06-D85F-4FD1-9716-BA81838D8BEA}"/>
    <cellStyle name="Migliaia 19 3 8 2" xfId="33317" xr:uid="{B0DFA7A9-6DFE-47CC-ACBE-AE4DA870707E}"/>
    <cellStyle name="Migliaia 19 3 8 2 2" xfId="38726" xr:uid="{55D1ACD7-7BB6-43BE-9079-5D748AD2B522}"/>
    <cellStyle name="Migliaia 19 3 8 2 3" xfId="44028" xr:uid="{DC81B492-6270-4BF6-9BF4-9C2548ECE0A7}"/>
    <cellStyle name="Migliaia 19 3 8 3" xfId="36222" xr:uid="{061E00C2-2E68-4571-9690-590F7AC6DA0C}"/>
    <cellStyle name="Migliaia 19 3 8 4" xfId="41377" xr:uid="{D8C2AFE7-5B8E-48D3-A947-319E36BC2CCA}"/>
    <cellStyle name="Migliaia 19 3 8 5" xfId="24410" xr:uid="{D80F8E62-D46E-4885-95A4-79F9F32969B0}"/>
    <cellStyle name="Migliaia 19 3 8 6" xfId="17397" xr:uid="{8B61653D-DF12-4419-971B-00375EBE74B6}"/>
    <cellStyle name="Migliaia 19 3 9" xfId="20014" xr:uid="{1C0BDB71-3426-4777-AFDA-F2D0468604C7}"/>
    <cellStyle name="Migliaia 19 4" xfId="1705" xr:uid="{00000000-0005-0000-0000-000018030000}"/>
    <cellStyle name="Migliaia 19 4 2" xfId="1706" xr:uid="{00000000-0005-0000-0000-000019030000}"/>
    <cellStyle name="Migliaia 19 4 2 2" xfId="4994" xr:uid="{9A7E0493-C426-4B43-A10C-65DFF4630C10}"/>
    <cellStyle name="Migliaia 19 4 2 2 2" xfId="33318" xr:uid="{A3B6B49A-08B2-4A16-9A1C-44BE7801EAB6}"/>
    <cellStyle name="Migliaia 19 4 2 2 2 2" xfId="38727" xr:uid="{D02D64BD-66AB-4F14-8BFE-BB758BD4A3FB}"/>
    <cellStyle name="Migliaia 19 4 2 2 2 3" xfId="44029" xr:uid="{1883EDFD-C52E-439F-8D4E-A601E6530E7D}"/>
    <cellStyle name="Migliaia 19 4 2 2 3" xfId="36223" xr:uid="{15BE44CA-189D-4B55-8005-B6197EFB2A9B}"/>
    <cellStyle name="Migliaia 19 4 2 2 4" xfId="41378" xr:uid="{A978B24E-6DC2-4919-8BCA-25104FB0F86E}"/>
    <cellStyle name="Migliaia 19 4 2 2 5" xfId="9128" xr:uid="{D42879A1-9C59-4879-8546-2B1B0821FD6A}"/>
    <cellStyle name="Migliaia 19 4 2 3" xfId="3268" xr:uid="{0331420F-C1C0-4F70-8B65-7C19B75EA04A}"/>
    <cellStyle name="Migliaia 19 4 2 3 2" xfId="33319" xr:uid="{BBCD78B1-DFA6-4FDB-BC67-48FA8D5D1055}"/>
    <cellStyle name="Migliaia 19 4 2 3 2 2" xfId="38728" xr:uid="{ABB59DB7-D1B7-42DE-A232-7F78D47261E4}"/>
    <cellStyle name="Migliaia 19 4 2 3 2 3" xfId="44030" xr:uid="{F9DD283C-5854-404E-B77C-D63FF187C2AB}"/>
    <cellStyle name="Migliaia 19 4 2 3 3" xfId="36224" xr:uid="{90F423C1-A7F2-4E46-8818-F6395F68AE4D}"/>
    <cellStyle name="Migliaia 19 4 2 3 4" xfId="41379" xr:uid="{212AC411-B139-4B65-9281-F59EC5D1245D}"/>
    <cellStyle name="Migliaia 19 4 2 3 5" xfId="11925" xr:uid="{5AF50A60-10BB-47CD-BC90-7BB4FA1691B6}"/>
    <cellStyle name="Migliaia 19 4 2 4" xfId="11278" xr:uid="{7F97FBE8-639F-457D-9749-2CB19D52465A}"/>
    <cellStyle name="Migliaia 19 4 2 5" xfId="10783" xr:uid="{0BC90DA6-6C2D-43A6-9482-E0100B9D2EE0}"/>
    <cellStyle name="Migliaia 19 4 2 5 2" xfId="21418" xr:uid="{E18FAECE-E9A5-49B4-B3AA-AAEAD1A5EA51}"/>
    <cellStyle name="Migliaia 19 4 2 5 3" xfId="47510" xr:uid="{A915D1EE-C591-4211-8A74-EAE0FAC11A84}"/>
    <cellStyle name="Migliaia 19 4 2 5 4" xfId="50433" xr:uid="{F3DA111E-5CFA-47F2-B4E7-CC4984341588}"/>
    <cellStyle name="Migliaia 19 4 2 5 5" xfId="53449" xr:uid="{780218B4-E7A9-4CCF-9B2A-EE4E3871C0D9}"/>
    <cellStyle name="Migliaia 19 4 2 6" xfId="20025" xr:uid="{A065521C-9111-420A-9E6A-239C1F73CAED}"/>
    <cellStyle name="Migliaia 19 4 2 7" xfId="24412" xr:uid="{421F4B0F-E300-4FA2-BE45-51FD85D50ED6}"/>
    <cellStyle name="Migliaia 19 4 2 8" xfId="8543" xr:uid="{8F617E21-1BDA-48A3-B9B3-3F530C4EB201}"/>
    <cellStyle name="Migliaia 19 4 3" xfId="4993" xr:uid="{8E2B633E-7A4D-4718-A1C5-F4F5A6A43BA4}"/>
    <cellStyle name="Migliaia 19 4 3 2" xfId="18183" xr:uid="{AF1A9A07-DAB9-4EEA-BACC-D2266945B990}"/>
    <cellStyle name="Migliaia 19 4 3 2 2" xfId="38729" xr:uid="{32407F9A-BD9E-4DF2-84D7-788E5CD8CF72}"/>
    <cellStyle name="Migliaia 19 4 3 2 3" xfId="44031" xr:uid="{112AE0F2-8B94-48A4-B731-77DF762B24EC}"/>
    <cellStyle name="Migliaia 19 4 3 3" xfId="36225" xr:uid="{A9F2169A-FCA2-45FE-93E0-B491D4DB096D}"/>
    <cellStyle name="Migliaia 19 4 3 4" xfId="41380" xr:uid="{864375CB-702B-4327-907F-40C74F79F30C}"/>
    <cellStyle name="Migliaia 19 4 3 5" xfId="17395" xr:uid="{BD8B0A27-FBF1-4687-8ABC-CF4898C47DDB}"/>
    <cellStyle name="Migliaia 19 4 3 6" xfId="9129" xr:uid="{8783F385-74FD-42C7-B46F-73BF03F01F95}"/>
    <cellStyle name="Migliaia 19 4 4" xfId="6207" xr:uid="{4009F911-1E47-417E-9639-404C56AFD691}"/>
    <cellStyle name="Migliaia 19 4 4 2" xfId="33320" xr:uid="{2DC0711B-F414-45B3-93D0-8B9D5C9CFE2C}"/>
    <cellStyle name="Migliaia 19 4 4 2 2" xfId="38730" xr:uid="{CF75503A-61A8-4C7D-8280-DE06DF2034A3}"/>
    <cellStyle name="Migliaia 19 4 4 2 3" xfId="44032" xr:uid="{BE161814-B243-4357-82EC-90128F529384}"/>
    <cellStyle name="Migliaia 19 4 4 3" xfId="36226" xr:uid="{06346F87-7A21-44D3-ACA0-39D15FDB07F5}"/>
    <cellStyle name="Migliaia 19 4 4 4" xfId="41381" xr:uid="{A499EEE9-1B11-48A7-9003-26C55B85F33A}"/>
    <cellStyle name="Migliaia 19 4 4 5" xfId="11926" xr:uid="{440F1549-8ABF-4382-A7C4-CF8B6B5B5043}"/>
    <cellStyle name="Migliaia 19 4 5" xfId="3267" xr:uid="{48EFFAB1-8DE9-48F6-89BA-FE2089E96E51}"/>
    <cellStyle name="Migliaia 19 4 5 2" xfId="33321" xr:uid="{BAECF780-258D-4114-8F58-D2064BAB3DC4}"/>
    <cellStyle name="Migliaia 19 4 5 2 2" xfId="38731" xr:uid="{C7F3E419-0E03-4B71-B936-A485E48127DE}"/>
    <cellStyle name="Migliaia 19 4 5 2 3" xfId="44033" xr:uid="{FF71E524-E24B-43E2-A825-1E30C97BF310}"/>
    <cellStyle name="Migliaia 19 4 5 3" xfId="36227" xr:uid="{1DF9FD80-BE0F-4EE3-A257-8C7AE0C6AADA}"/>
    <cellStyle name="Migliaia 19 4 5 4" xfId="41382" xr:uid="{6488D82C-ADDD-471A-B575-50FC8A7F587D}"/>
    <cellStyle name="Migliaia 19 4 5 5" xfId="11277" xr:uid="{E7867458-88D9-402F-92E0-F57F93799DCA}"/>
    <cellStyle name="Migliaia 19 4 6" xfId="10782" xr:uid="{685334C2-DAC1-4141-AA26-462E4CE737F2}"/>
    <cellStyle name="Migliaia 19 4 6 2" xfId="21417" xr:uid="{68C2ED6B-FB48-4F2E-96D8-EE3E5E1FD94C}"/>
    <cellStyle name="Migliaia 19 4 6 2 2" xfId="38732" xr:uid="{0A2824EC-ADD7-4526-BFD4-452634E2C8E5}"/>
    <cellStyle name="Migliaia 19 4 6 2 3" xfId="44034" xr:uid="{BE47BBAE-ADCF-4380-AD8C-242F6805AB77}"/>
    <cellStyle name="Migliaia 19 4 6 2 4" xfId="33322" xr:uid="{F0572057-5651-4F00-A0AE-560BD8410843}"/>
    <cellStyle name="Migliaia 19 4 6 3" xfId="36228" xr:uid="{121DC5C7-6331-4642-9AD5-E2A3E298F93A}"/>
    <cellStyle name="Migliaia 19 4 6 4" xfId="41383" xr:uid="{507AB781-D461-4547-B738-1EC138CC3E34}"/>
    <cellStyle name="Migliaia 19 4 6 5" xfId="24413" xr:uid="{2E9E7209-A566-4CB6-9971-7B0C18D17ACE}"/>
    <cellStyle name="Migliaia 19 4 6 6" xfId="25356" xr:uid="{A2DD55E7-B1E5-4BD8-BCE7-E6AA66008F18}"/>
    <cellStyle name="Migliaia 19 4 6 7" xfId="50432" xr:uid="{6C2ADE09-73E0-48E1-830F-A64B105961BB}"/>
    <cellStyle name="Migliaia 19 4 6 8" xfId="53448" xr:uid="{53ED3FC4-5B36-46DE-93D1-382B074EAE5F}"/>
    <cellStyle name="Migliaia 19 4 7" xfId="20024" xr:uid="{9A123EBE-B7AF-4281-A4F4-8C06557FC750}"/>
    <cellStyle name="Migliaia 19 4 7 2" xfId="33323" xr:uid="{C9A64987-AA63-4F71-9CE5-B692E91A268A}"/>
    <cellStyle name="Migliaia 19 4 7 2 2" xfId="38733" xr:uid="{0C1AAD1C-A7AD-4012-AECE-4A39A18767AA}"/>
    <cellStyle name="Migliaia 19 4 7 2 3" xfId="44035" xr:uid="{2AAA7D85-4352-4070-BB8F-C6FB882E8818}"/>
    <cellStyle name="Migliaia 19 4 7 3" xfId="36229" xr:uid="{473E0AE4-55FE-400A-8F8B-2E2F0F825CD0}"/>
    <cellStyle name="Migliaia 19 4 7 4" xfId="41384" xr:uid="{91048FCE-E965-42FA-B508-517B45362E16}"/>
    <cellStyle name="Migliaia 19 4 7 5" xfId="24414" xr:uid="{A390FB7D-14B3-4E29-AF81-9D7FBFA28317}"/>
    <cellStyle name="Migliaia 19 4 8" xfId="24411" xr:uid="{8490E49C-14BD-45C6-A544-8AD5F0276C55}"/>
    <cellStyle name="Migliaia 19 4 9" xfId="7353" xr:uid="{EBC4F6A8-5630-4EA5-A67A-41CA3BB62B6B}"/>
    <cellStyle name="Migliaia 19 5" xfId="1707" xr:uid="{00000000-0005-0000-0000-00001A030000}"/>
    <cellStyle name="Migliaia 19 5 2" xfId="4995" xr:uid="{6C3915C5-B17E-43D0-8D4A-A8D692791784}"/>
    <cellStyle name="Migliaia 19 5 2 2" xfId="18389" xr:uid="{B7CF790D-4B89-4DA6-A117-A001F7E1332A}"/>
    <cellStyle name="Migliaia 19 5 2 2 2" xfId="38734" xr:uid="{6C86CE4D-BE6D-49A5-BA6C-E4B555A6CB29}"/>
    <cellStyle name="Migliaia 19 5 2 2 3" xfId="44036" xr:uid="{66281E05-9F28-439E-8CF2-BF0B42BB4E5B}"/>
    <cellStyle name="Migliaia 19 5 2 3" xfId="20027" xr:uid="{BB5CD387-E616-46D0-B5CD-EB485C3C2789}"/>
    <cellStyle name="Migliaia 19 5 2 3 2" xfId="36230" xr:uid="{C9392C77-188B-4CE8-909F-64631258E84D}"/>
    <cellStyle name="Migliaia 19 5 2 4" xfId="41385" xr:uid="{F3AA3698-D0AE-48E3-923F-7377B6A68903}"/>
    <cellStyle name="Migliaia 19 5 2 5" xfId="16165" xr:uid="{0636802F-CC55-4CE3-91AE-CAC4BBE78DA6}"/>
    <cellStyle name="Migliaia 19 5 2 6" xfId="8544" xr:uid="{40CC1468-1C7C-449C-8C4B-F531D0AE5A01}"/>
    <cellStyle name="Migliaia 19 5 3" xfId="6208" xr:uid="{6337CDC3-6F42-4890-8DDC-D92BCB0691A6}"/>
    <cellStyle name="Migliaia 19 5 3 2" xfId="33324" xr:uid="{B8E7C28F-C655-4DB0-BD8D-A9C7C5E4F8F0}"/>
    <cellStyle name="Migliaia 19 5 3 2 2" xfId="38735" xr:uid="{D997939B-95AC-41FD-A213-16E230B3E66D}"/>
    <cellStyle name="Migliaia 19 5 3 2 3" xfId="44037" xr:uid="{683255F6-DA7C-4EAE-87A1-3ED9A87DE886}"/>
    <cellStyle name="Migliaia 19 5 3 3" xfId="36231" xr:uid="{DCF364AF-E3DF-4469-AEEF-32E1E2D67D94}"/>
    <cellStyle name="Migliaia 19 5 3 4" xfId="41386" xr:uid="{31ADEE18-C402-4CCB-A949-80170CAC42E9}"/>
    <cellStyle name="Migliaia 19 5 3 5" xfId="11279" xr:uid="{618337C7-24BE-4AB4-B646-79DA8DFF26AA}"/>
    <cellStyle name="Migliaia 19 5 4" xfId="3269" xr:uid="{900A732B-E6FB-4C98-80FD-512C52368D6D}"/>
    <cellStyle name="Migliaia 19 5 4 2" xfId="21419" xr:uid="{9829B61A-B1B6-4280-B4A1-F54FBC0A52F7}"/>
    <cellStyle name="Migliaia 19 5 4 2 2" xfId="38736" xr:uid="{80375388-E257-424E-BDF3-86288F13E576}"/>
    <cellStyle name="Migliaia 19 5 4 2 3" xfId="44038" xr:uid="{B048E96F-DAF4-41E1-BDF9-9DAFF6810836}"/>
    <cellStyle name="Migliaia 19 5 4 2 4" xfId="33325" xr:uid="{6E71E114-14B0-4A6F-A08B-A92C40A3DA52}"/>
    <cellStyle name="Migliaia 19 5 4 3" xfId="36232" xr:uid="{23E34F39-B90E-48F5-8D04-5FDA5002DEBB}"/>
    <cellStyle name="Migliaia 19 5 4 4" xfId="41387" xr:uid="{FA84B9F7-1F5D-4353-A5AA-E38A1AEDD55F}"/>
    <cellStyle name="Migliaia 19 5 4 5" xfId="24416" xr:uid="{1CB7599E-6903-48D2-8E8E-2A4913A12985}"/>
    <cellStyle name="Migliaia 19 5 4 6" xfId="46641" xr:uid="{8D140FF8-F284-4517-BCCE-900D6A75CFD4}"/>
    <cellStyle name="Migliaia 19 5 4 7" xfId="50434" xr:uid="{C0C3E1D8-7D9A-4858-BB96-9B8CE44DA882}"/>
    <cellStyle name="Migliaia 19 5 4 8" xfId="53450" xr:uid="{9FA208F5-8C93-4D79-99AC-AF16C5C8251E}"/>
    <cellStyle name="Migliaia 19 5 4 9" xfId="10784" xr:uid="{A94E93BD-224C-4516-922F-B76236B75A70}"/>
    <cellStyle name="Migliaia 19 5 5" xfId="20026" xr:uid="{097642FD-A81D-4FE0-8BFA-F8E23473A998}"/>
    <cellStyle name="Migliaia 19 5 5 2" xfId="33326" xr:uid="{DFD1899C-E2AC-4207-8A9D-333807010F26}"/>
    <cellStyle name="Migliaia 19 5 5 2 2" xfId="38737" xr:uid="{0A731911-99E8-4417-B445-A717F3F312EA}"/>
    <cellStyle name="Migliaia 19 5 5 2 3" xfId="44039" xr:uid="{3A752BB4-F6D3-4930-B459-EC82E8FBA724}"/>
    <cellStyle name="Migliaia 19 5 5 3" xfId="36233" xr:uid="{70A75A2D-3D3F-48F9-980A-3A190FC5DFE0}"/>
    <cellStyle name="Migliaia 19 5 5 4" xfId="41388" xr:uid="{B39459B7-07ED-4AF7-A9C0-AE4B7FA32B71}"/>
    <cellStyle name="Migliaia 19 5 5 5" xfId="24417" xr:uid="{00EE7565-3381-4F9E-9E7B-061636DEAE97}"/>
    <cellStyle name="Migliaia 19 5 6" xfId="24418" xr:uid="{AE406D2F-88F6-4632-A902-9541F50D1FB6}"/>
    <cellStyle name="Migliaia 19 5 6 2" xfId="33327" xr:uid="{8B2B073B-A9F4-492D-B75E-73B274147B8E}"/>
    <cellStyle name="Migliaia 19 5 6 2 2" xfId="38738" xr:uid="{07CA01FD-7CAA-4A14-BFE1-81EFE90E87F4}"/>
    <cellStyle name="Migliaia 19 5 6 2 3" xfId="44040" xr:uid="{D817383D-FFF7-4862-86B2-559399CB9BA9}"/>
    <cellStyle name="Migliaia 19 5 6 3" xfId="36234" xr:uid="{67975F22-F13D-44C0-A323-8CA3645BD125}"/>
    <cellStyle name="Migliaia 19 5 6 4" xfId="41389" xr:uid="{281F5DE0-ADA4-44FB-B90E-212454AEFB97}"/>
    <cellStyle name="Migliaia 19 5 7" xfId="24415" xr:uid="{F77CB3E2-F500-4500-9437-9FB41F4D984A}"/>
    <cellStyle name="Migliaia 19 5 8" xfId="7354" xr:uid="{F7FCBE2B-BA32-4F27-86D8-ECEA8D97D9A9}"/>
    <cellStyle name="Migliaia 19 6" xfId="3270" xr:uid="{9E9B04EA-73B5-4D5F-AD77-19BC7159F5F6}"/>
    <cellStyle name="Migliaia 19 6 2" xfId="4996" xr:uid="{BEF9BF70-E567-427B-A749-B4BF012B562E}"/>
    <cellStyle name="Migliaia 19 6 2 2" xfId="9901" xr:uid="{E7BA0BA0-8373-4BFD-925E-1204A804741C}"/>
    <cellStyle name="Migliaia 19 6 2 3" xfId="18670" xr:uid="{8A43E0D0-0149-49F4-AD47-C1DA9E46157E}"/>
    <cellStyle name="Migliaia 19 6 2 4" xfId="20029" xr:uid="{92DD9B66-38CA-4BE4-8A66-35830E9A80D5}"/>
    <cellStyle name="Migliaia 19 6 2 5" xfId="32321" xr:uid="{21EA5E36-24E4-4288-B809-1451ACA059BD}"/>
    <cellStyle name="Migliaia 19 6 2 6" xfId="16167" xr:uid="{A7C799AA-D5C5-4D8A-A733-7195E2C8D7AA}"/>
    <cellStyle name="Migliaia 19 6 2 7" xfId="8539" xr:uid="{872DE083-59CF-462E-A3DE-FC770E01A54C}"/>
    <cellStyle name="Migliaia 19 6 3" xfId="6209" xr:uid="{AA3B5161-7F66-4F29-9650-14FB5D09038A}"/>
    <cellStyle name="Migliaia 19 6 3 2" xfId="35195" xr:uid="{688B643C-5B42-48E1-9246-DB6A89527A08}"/>
    <cellStyle name="Migliaia 19 6 3 2 2" xfId="40353" xr:uid="{7E328D6F-033C-4946-8219-D2963A202C8F}"/>
    <cellStyle name="Migliaia 19 6 3 2 3" xfId="45655" xr:uid="{3C5FA514-621E-4B37-BFE8-AC2F09FFBEC0}"/>
    <cellStyle name="Migliaia 19 6 3 3" xfId="37702" xr:uid="{CF919D72-EED1-4A8B-90A9-357700CABCBA}"/>
    <cellStyle name="Migliaia 19 6 3 4" xfId="43004" xr:uid="{2C43DFBB-FACE-4FC5-9409-943B395A05A9}"/>
    <cellStyle name="Migliaia 19 6 3 5" xfId="9664" xr:uid="{A11F4D50-BCDD-49E4-9AAC-F248D0F44E40}"/>
    <cellStyle name="Migliaia 19 6 4" xfId="20028" xr:uid="{55873864-4A84-4E32-927D-9E10F507B627}"/>
    <cellStyle name="Migliaia 19 6 4 2" xfId="38739" xr:uid="{BAA85C4E-EDCB-4BDF-B838-7EF0E5FA68B9}"/>
    <cellStyle name="Migliaia 19 6 4 3" xfId="44041" xr:uid="{AF79CA51-B8D1-4553-8593-B98D56CCB7AB}"/>
    <cellStyle name="Migliaia 19 6 4 4" xfId="33328" xr:uid="{8C1CF259-6744-47D4-8C73-4D504CE42AD1}"/>
    <cellStyle name="Migliaia 19 6 5" xfId="36235" xr:uid="{0A3C2C0C-F4FA-43AE-A424-7BA558578C72}"/>
    <cellStyle name="Migliaia 19 6 6" xfId="41390" xr:uid="{06D5E3DB-F62E-4CD7-A757-383E451801EE}"/>
    <cellStyle name="Migliaia 19 6 7" xfId="16166" xr:uid="{497BF3DF-BE9F-4EFD-9E04-050F6F78342D}"/>
    <cellStyle name="Migliaia 19 6 8" xfId="7349" xr:uid="{54770B47-5106-465C-A7BC-3AE53F5B45A6}"/>
    <cellStyle name="Migliaia 19 7" xfId="3271" xr:uid="{AF4F06DB-E708-406F-ABF3-550629CB2981}"/>
    <cellStyle name="Migliaia 19 7 2" xfId="4997" xr:uid="{25F5E1BD-2A63-4269-B98E-1FB3CC9225E7}"/>
    <cellStyle name="Migliaia 19 7 2 2" xfId="35196" xr:uid="{BF6C4F3A-28D7-40CF-8454-05A68064D552}"/>
    <cellStyle name="Migliaia 19 7 2 2 2" xfId="40354" xr:uid="{8E93AB57-B516-4B71-9A0B-2BE0A45E82B0}"/>
    <cellStyle name="Migliaia 19 7 2 2 3" xfId="45656" xr:uid="{FA1A310D-6C06-4967-9732-0189D1F6B7AE}"/>
    <cellStyle name="Migliaia 19 7 2 3" xfId="37703" xr:uid="{0B2C1D80-0FE9-40E2-A394-3BA62BEF96B1}"/>
    <cellStyle name="Migliaia 19 7 2 4" xfId="43005" xr:uid="{DA0B3067-1043-4BCE-9FE9-B8B2B4F9A0BE}"/>
    <cellStyle name="Migliaia 19 7 2 5" xfId="14208" xr:uid="{04CC0476-68F8-48FE-B0B9-D1A7ABA07F03}"/>
    <cellStyle name="Migliaia 19 7 3" xfId="6210" xr:uid="{55BDB78C-303D-4D0E-AD1D-619FA0383594}"/>
    <cellStyle name="Migliaia 19 7 3 2" xfId="38740" xr:uid="{255870B3-0735-4BEB-B923-32839B2EDB1D}"/>
    <cellStyle name="Migliaia 19 7 3 3" xfId="44042" xr:uid="{3A75D4B4-DD98-441F-810A-D734A363567A}"/>
    <cellStyle name="Migliaia 19 7 3 4" xfId="33329" xr:uid="{19F4541A-7F6B-496A-BF41-6EFF4BCE5B5A}"/>
    <cellStyle name="Migliaia 19 7 3 5" xfId="20030" xr:uid="{4C31C687-C765-4065-AAF6-CB9228CCD430}"/>
    <cellStyle name="Migliaia 19 7 4" xfId="36236" xr:uid="{4641B8FF-6010-4AF9-A9E3-10430C431DDD}"/>
    <cellStyle name="Migliaia 19 7 5" xfId="41391" xr:uid="{22B2BF61-A236-49AC-BD64-A6E0F83547E8}"/>
    <cellStyle name="Migliaia 19 7 6" xfId="16168" xr:uid="{49C7D5D8-F4C7-4217-9BCB-9F241B29A93A}"/>
    <cellStyle name="Migliaia 19 7 7" xfId="8270" xr:uid="{BEFBF744-9311-4E1B-9383-A10993ADD9B0}"/>
    <cellStyle name="Migliaia 19 8" xfId="3272" xr:uid="{5566C951-33FE-44D7-A4E8-F43C5A3EF700}"/>
    <cellStyle name="Migliaia 19 8 2" xfId="4998" xr:uid="{B8CC2568-7246-4347-916C-67F7C6ABC2A9}"/>
    <cellStyle name="Migliaia 19 8 2 2" xfId="35197" xr:uid="{80C2ABA9-004E-4C6C-BC7D-DF2D31A822D5}"/>
    <cellStyle name="Migliaia 19 8 2 2 2" xfId="40355" xr:uid="{8E9E0D33-0E8B-40EA-B60E-6F6B0E297765}"/>
    <cellStyle name="Migliaia 19 8 2 2 3" xfId="45657" xr:uid="{D9CA7C40-05D5-4A9E-B9F1-31E024932925}"/>
    <cellStyle name="Migliaia 19 8 2 3" xfId="37704" xr:uid="{B5E8B5B6-40DD-4EEC-BB8E-D08C2678FF54}"/>
    <cellStyle name="Migliaia 19 8 2 4" xfId="43006" xr:uid="{68FB98FF-0B3A-4C8B-9C1B-1903A5C3E968}"/>
    <cellStyle name="Migliaia 19 8 2 5" xfId="13911" xr:uid="{F6A67192-6A7C-4AFA-B65C-CB2B8C73BEE3}"/>
    <cellStyle name="Migliaia 19 8 3" xfId="6211" xr:uid="{BA7C29A5-E350-40E2-A6C7-2C692546E808}"/>
    <cellStyle name="Migliaia 19 8 3 2" xfId="38741" xr:uid="{0AEDEF3C-BB9D-4533-8119-BF0B1F38D2B4}"/>
    <cellStyle name="Migliaia 19 8 3 3" xfId="44043" xr:uid="{90B16E7F-8B3D-44FD-A9DA-A07529EE3986}"/>
    <cellStyle name="Migliaia 19 8 3 4" xfId="33330" xr:uid="{AE0E5C99-575E-4330-94D9-57E06691E2F2}"/>
    <cellStyle name="Migliaia 19 8 3 5" xfId="20031" xr:uid="{33A75AD8-3FDC-4AE4-A979-57E0DFB79786}"/>
    <cellStyle name="Migliaia 19 8 4" xfId="36237" xr:uid="{3B72A9A1-4B70-477E-B761-C8E770E1BD94}"/>
    <cellStyle name="Migliaia 19 8 5" xfId="41392" xr:uid="{C5AA8C2D-1954-4F0E-BC35-A436155AD194}"/>
    <cellStyle name="Migliaia 19 8 6" xfId="16169" xr:uid="{B7CACCDC-BF75-4E5F-9D0D-0F7D64E00304}"/>
    <cellStyle name="Migliaia 19 8 7" xfId="7859" xr:uid="{C2D395DD-64E1-4B4B-A554-04551546AA07}"/>
    <cellStyle name="Migliaia 19 9" xfId="4983" xr:uid="{5F3156E5-6723-4E6B-A76C-941F804F61BC}"/>
    <cellStyle name="Migliaia 19 9 2" xfId="33331" xr:uid="{94F1A84B-3C73-45E1-9BF6-0C9084279039}"/>
    <cellStyle name="Migliaia 19 9 2 2" xfId="38742" xr:uid="{76C9448F-71DE-4516-A5EE-947F75D72A95}"/>
    <cellStyle name="Migliaia 19 9 2 3" xfId="44044" xr:uid="{D5983B7A-812E-46F4-8294-3C61C35F8C2F}"/>
    <cellStyle name="Migliaia 19 9 3" xfId="36238" xr:uid="{FBC2D0F9-03F0-40D1-87C3-F5D7A85E7C5E}"/>
    <cellStyle name="Migliaia 19 9 4" xfId="41393" xr:uid="{91D85D67-B73C-4890-966B-CB95C0C1A0A0}"/>
    <cellStyle name="Migliaia 19 9 5" xfId="17155" xr:uid="{A6CA0B53-920C-430E-9463-C8AF544F5F93}"/>
    <cellStyle name="Migliaia 2" xfId="341" xr:uid="{00000000-0005-0000-0000-00001B030000}"/>
    <cellStyle name="Migliaia 2 10" xfId="4999" xr:uid="{1480CEB5-1E07-4C79-8572-8D3FB29E028C}"/>
    <cellStyle name="Migliaia 2 10 2" xfId="33333" xr:uid="{5259A681-EB37-401C-873D-850A99293890}"/>
    <cellStyle name="Migliaia 2 10 2 2" xfId="38744" xr:uid="{B2C27B2F-0A60-4668-842C-2379C9111A09}"/>
    <cellStyle name="Migliaia 2 10 2 3" xfId="44046" xr:uid="{FC82B226-C1B0-425A-9B5E-F0BFE9A7A96F}"/>
    <cellStyle name="Migliaia 2 10 3" xfId="36240" xr:uid="{54272243-0B1B-476B-9C1A-B3316468EAF6}"/>
    <cellStyle name="Migliaia 2 10 4" xfId="41395" xr:uid="{168F3A47-A8B8-445C-AD71-24863FDCCA63}"/>
    <cellStyle name="Migliaia 2 10 5" xfId="17157" xr:uid="{50AB3997-EF98-477D-B36E-B24E5C3BB31F}"/>
    <cellStyle name="Migliaia 2 11" xfId="6212" xr:uid="{E2A3FF69-2D76-49D2-860F-7E229160CB45}"/>
    <cellStyle name="Migliaia 2 11 2" xfId="38743" xr:uid="{F2624769-4AE4-42E5-92C7-F70B9C223DE4}"/>
    <cellStyle name="Migliaia 2 11 3" xfId="44045" xr:uid="{76F776ED-1B2E-46FC-9DED-4D10FB8881EE}"/>
    <cellStyle name="Migliaia 2 11 4" xfId="33332" xr:uid="{C64F5166-0B70-4F66-9D6D-FBB65B3DACB4}"/>
    <cellStyle name="Migliaia 2 11 5" xfId="20032" xr:uid="{776BF45B-35CF-4726-8F40-8787048BACC0}"/>
    <cellStyle name="Migliaia 2 12" xfId="3273" xr:uid="{D9B214DA-C113-486E-9C50-6BFF5CF73B48}"/>
    <cellStyle name="Migliaia 2 12 2" xfId="36239" xr:uid="{C20EB4FE-3AB6-4D92-8929-AD08C6C1ABD0}"/>
    <cellStyle name="Migliaia 2 13" xfId="41394" xr:uid="{A439D3C7-09EA-45FA-A41F-A3D5B3E6FFA4}"/>
    <cellStyle name="Migliaia 2 14" xfId="7074" xr:uid="{46C11791-1B9F-4CC3-9D79-5E38325D1470}"/>
    <cellStyle name="Migliaia 2 2" xfId="342" xr:uid="{00000000-0005-0000-0000-00001C030000}"/>
    <cellStyle name="Migliaia 2 2 2" xfId="343" xr:uid="{00000000-0005-0000-0000-00001D030000}"/>
    <cellStyle name="Migliaia 2 2 2 2" xfId="1708" xr:uid="{00000000-0005-0000-0000-00001E030000}"/>
    <cellStyle name="Migliaia 2 2 2 2 2" xfId="5002" xr:uid="{4151EF42-B990-4EA4-A64D-394F5CA3E2F9}"/>
    <cellStyle name="Migliaia 2 2 2 2 2 2" xfId="14373" xr:uid="{634B9219-E15F-43D6-ACCF-AD7CA4AE05A7}"/>
    <cellStyle name="Migliaia 2 2 2 2 2 2 2" xfId="40356" xr:uid="{400E14BC-391D-4DF8-A163-E0D04DADDEEE}"/>
    <cellStyle name="Migliaia 2 2 2 2 2 2 3" xfId="45658" xr:uid="{F4C9394C-0D96-492C-814B-261DC88D2D18}"/>
    <cellStyle name="Migliaia 2 2 2 2 2 3" xfId="18390" xr:uid="{5356D76D-C968-42B9-BD1F-A45DC1FC35F6}"/>
    <cellStyle name="Migliaia 2 2 2 2 2 3 2" xfId="21848" xr:uid="{6D2BF530-FECE-4CC1-A4B3-072E6A7EBC4E}"/>
    <cellStyle name="Migliaia 2 2 2 2 2 3 3" xfId="37705" xr:uid="{FB23BE44-55ED-4815-A489-246342FC59F0}"/>
    <cellStyle name="Migliaia 2 2 2 2 2 4" xfId="43007" xr:uid="{FDD52600-6612-4217-A03C-74B21C631537}"/>
    <cellStyle name="Migliaia 2 2 2 2 2 5" xfId="46299" xr:uid="{D175D9FE-E1CC-46C4-9706-1ABCBC946822}"/>
    <cellStyle name="Migliaia 2 2 2 2 2 6" xfId="50876" xr:uid="{21416358-302D-4CF7-BE7C-86C06E772A00}"/>
    <cellStyle name="Migliaia 2 2 2 2 2 7" xfId="53892" xr:uid="{0AC4011B-DED9-4D53-8984-1F822949AD6B}"/>
    <cellStyle name="Migliaia 2 2 2 2 2 8" xfId="11927" xr:uid="{E6B9DBA3-3B8E-4239-A384-69527A97D92A}"/>
    <cellStyle name="Migliaia 2 2 2 2 3" xfId="6215" xr:uid="{C9B664DE-3406-4329-AC2B-3BA5854A637C}"/>
    <cellStyle name="Migliaia 2 2 2 2 3 2" xfId="12321" xr:uid="{D2269481-46FE-4CE1-8758-2FEFB2B8BBB0}"/>
    <cellStyle name="Migliaia 2 2 2 2 4" xfId="3276" xr:uid="{27A40D0C-C092-4C67-89EA-E2BF5349A4E2}"/>
    <cellStyle name="Migliaia 2 2 2 2 4 2" xfId="21420" xr:uid="{CAB4D01A-4EFC-4AA0-A682-8C9D0E2C5476}"/>
    <cellStyle name="Migliaia 2 2 2 2 4 3" xfId="48032" xr:uid="{52FE6ECF-5F26-4AF9-86C1-37E5F8AB3296}"/>
    <cellStyle name="Migliaia 2 2 2 2 4 4" xfId="50435" xr:uid="{2DA0DB26-5C7C-48CC-BBD8-7294A0A3E612}"/>
    <cellStyle name="Migliaia 2 2 2 2 4 5" xfId="53451" xr:uid="{575757EE-20DF-4F56-BED4-911EDA53D38D}"/>
    <cellStyle name="Migliaia 2 2 2 2 4 6" xfId="10785" xr:uid="{39409F43-428D-4E1F-9770-2362BEB7FB0C}"/>
    <cellStyle name="Migliaia 2 2 2 2 5" xfId="20035" xr:uid="{BA3B9CAE-8CE1-4CBC-B02D-CE53B1917E1B}"/>
    <cellStyle name="Migliaia 2 2 2 2 6" xfId="24420" xr:uid="{6E81679C-07A5-4FC7-9F6D-55060E62D762}"/>
    <cellStyle name="Migliaia 2 2 2 2 7" xfId="48879" xr:uid="{C993A4CE-CBA9-4226-BA2D-992947409206}"/>
    <cellStyle name="Migliaia 2 2 2 2 8" xfId="49785" xr:uid="{B5E6BF6A-3DB6-4607-91E7-A0AC733D93F9}"/>
    <cellStyle name="Migliaia 2 2 2 2 9" xfId="8546" xr:uid="{039A1A85-E66D-4BC5-A634-215B12AAF005}"/>
    <cellStyle name="Migliaia 2 2 2 3" xfId="5001" xr:uid="{909FAF59-2F5D-45F8-B7F2-5DF77332F382}"/>
    <cellStyle name="Migliaia 2 2 2 3 2" xfId="13916" xr:uid="{327786BB-1CA0-4C4A-9B82-E0FC1E6E189D}"/>
    <cellStyle name="Migliaia 2 2 2 3 2 2" xfId="38746" xr:uid="{50268C34-3EB5-4512-980B-940FF5AFBFBC}"/>
    <cellStyle name="Migliaia 2 2 2 3 2 3" xfId="44048" xr:uid="{0B9B06C9-F0F9-4740-B439-C236B8576FEF}"/>
    <cellStyle name="Migliaia 2 2 2 3 3" xfId="18391" xr:uid="{6FE3F1AA-EC49-4C61-B1F8-B529794AAECF}"/>
    <cellStyle name="Migliaia 2 2 2 3 4" xfId="20036" xr:uid="{E1BA81FE-C021-4007-A482-26851C6B14CA}"/>
    <cellStyle name="Migliaia 2 2 2 3 4 2" xfId="41397" xr:uid="{ADB5545D-A72C-4251-8775-659AF11563E4}"/>
    <cellStyle name="Migliaia 2 2 2 3 5" xfId="16170" xr:uid="{0F95FBF8-F09D-43EE-92DA-55DEE89AE3F9}"/>
    <cellStyle name="Migliaia 2 2 2 3 6" xfId="7865" xr:uid="{9F4D753C-F63F-4DA7-B4CA-6F84F1A47087}"/>
    <cellStyle name="Migliaia 2 2 2 4" xfId="6214" xr:uid="{C8872AF5-4A70-4ABC-A8A7-72D0B07CCC90}"/>
    <cellStyle name="Migliaia 2 2 2 4 2" xfId="35198" xr:uid="{6D22EC10-B13B-415E-9154-6C2C6E725E6B}"/>
    <cellStyle name="Migliaia 2 2 2 4 2 2" xfId="40357" xr:uid="{43DCC28B-BA13-40E4-B125-3E13302E745D}"/>
    <cellStyle name="Migliaia 2 2 2 4 2 3" xfId="45659" xr:uid="{2CF09856-0E22-4455-83D7-1D75D30F75E3}"/>
    <cellStyle name="Migliaia 2 2 2 4 3" xfId="37706" xr:uid="{1B5C71F2-9770-4FD7-AEDC-EE8F2D0F7D76}"/>
    <cellStyle name="Migliaia 2 2 2 4 4" xfId="43008" xr:uid="{601265C3-7DE8-429F-9BD6-6D551EEB2162}"/>
    <cellStyle name="Migliaia 2 2 2 4 5" xfId="13424" xr:uid="{7386B26A-F341-4C69-8266-7FEB61228F3A}"/>
    <cellStyle name="Migliaia 2 2 2 5" xfId="3275" xr:uid="{1EB91DD0-EC1B-452B-8B94-3EB9A3794F69}"/>
    <cellStyle name="Migliaia 2 2 2 5 2" xfId="20034" xr:uid="{ADAF22FB-D013-4D46-936D-5B704C293AC5}"/>
    <cellStyle name="Migliaia 2 2 2 6" xfId="24419" xr:uid="{559A39E9-1294-4080-8CE9-B74883D48836}"/>
    <cellStyle name="Migliaia 2 2 2 7" xfId="7356" xr:uid="{B3ACA9F7-2734-4258-8725-2E75E48A5EDA}"/>
    <cellStyle name="Migliaia 2 2 3" xfId="1709" xr:uid="{00000000-0005-0000-0000-00001F030000}"/>
    <cellStyle name="Migliaia 2 2 3 2" xfId="5003" xr:uid="{01E80628-C824-494C-936A-0574AB80B482}"/>
    <cellStyle name="Migliaia 2 2 3 2 2" xfId="14212" xr:uid="{41D82864-9966-4DBF-8A9C-D8B4EE70FE68}"/>
    <cellStyle name="Migliaia 2 2 3 2 2 2" xfId="38747" xr:uid="{D6CF6732-0D3D-45F4-9E8D-D2A68BB437D9}"/>
    <cellStyle name="Migliaia 2 2 3 2 2 3" xfId="44049" xr:uid="{CDA0D9FB-DDA3-40C0-9E2F-6734FFDDB591}"/>
    <cellStyle name="Migliaia 2 2 3 2 3" xfId="18392" xr:uid="{A968516C-DC7B-47EF-962B-3963726D60B8}"/>
    <cellStyle name="Migliaia 2 2 3 2 3 2" xfId="21849" xr:uid="{DBDFB638-B052-4500-8372-9F7FD10B5021}"/>
    <cellStyle name="Migliaia 2 2 3 2 3 3" xfId="36242" xr:uid="{608A97D5-355D-43A1-8490-99067CB8C4F4}"/>
    <cellStyle name="Migliaia 2 2 3 2 4" xfId="41398" xr:uid="{A54566AB-2EB9-4093-B2AE-439CCCAA1B39}"/>
    <cellStyle name="Migliaia 2 2 3 2 5" xfId="34229" xr:uid="{43996A90-122E-4CF3-ADFC-919FC88D9C3C}"/>
    <cellStyle name="Migliaia 2 2 3 2 6" xfId="50877" xr:uid="{92F08A41-E251-495E-A371-D49505A5ACDC}"/>
    <cellStyle name="Migliaia 2 2 3 2 7" xfId="53893" xr:uid="{FDA94FBE-1235-4F94-B625-D969D85F1346}"/>
    <cellStyle name="Migliaia 2 2 3 2 8" xfId="11928" xr:uid="{C3939CA6-45C3-4CFD-AF33-841938793915}"/>
    <cellStyle name="Migliaia 2 2 3 3" xfId="6216" xr:uid="{E1BC3190-97DF-4C15-A597-B73A2D70083F}"/>
    <cellStyle name="Migliaia 2 2 3 3 2" xfId="12361" xr:uid="{1C5B7197-5FEB-463A-A363-CDB2D3DB1D79}"/>
    <cellStyle name="Migliaia 2 2 3 4" xfId="3277" xr:uid="{C7CBA413-010A-43CB-97D0-248DE553800E}"/>
    <cellStyle name="Migliaia 2 2 3 4 2" xfId="21421" xr:uid="{CFDD191F-A6C2-4A2E-873A-810FDA81F502}"/>
    <cellStyle name="Migliaia 2 2 3 4 3" xfId="32311" xr:uid="{8AA7EAC8-7A01-4494-A1F3-B28374884CBB}"/>
    <cellStyle name="Migliaia 2 2 3 4 4" xfId="50436" xr:uid="{F27E1E43-FC0D-4B8D-812A-F6C4D721ADB1}"/>
    <cellStyle name="Migliaia 2 2 3 4 5" xfId="53452" xr:uid="{5765B041-AA08-4C4B-8123-4719EE610DBC}"/>
    <cellStyle name="Migliaia 2 2 3 4 6" xfId="10786" xr:uid="{1D39699C-5029-425B-861D-033FAE8AF85F}"/>
    <cellStyle name="Migliaia 2 2 3 5" xfId="20037" xr:uid="{4518C99B-33B4-4BA0-B7AD-E9851CF1B4C4}"/>
    <cellStyle name="Migliaia 2 2 3 6" xfId="24421" xr:uid="{6DEAC35A-0284-439A-AD26-718FB366EF82}"/>
    <cellStyle name="Migliaia 2 2 3 7" xfId="8274" xr:uid="{6F9EBFAD-01BA-4C5A-AD2B-384788C66D3B}"/>
    <cellStyle name="Migliaia 2 2 4" xfId="3278" xr:uid="{3D5921FC-0AD1-48B0-A019-A9DA0E364A2A}"/>
    <cellStyle name="Migliaia 2 2 4 2" xfId="5004" xr:uid="{FDFB4F86-09F9-40DF-AA98-CFA4057DC610}"/>
    <cellStyle name="Migliaia 2 2 4 2 2" xfId="35199" xr:uid="{F9026A45-0502-4139-B406-91B84F8AAEDD}"/>
    <cellStyle name="Migliaia 2 2 4 2 2 2" xfId="40358" xr:uid="{FC015540-03A4-4CCA-8C05-A24ECDA8DE3A}"/>
    <cellStyle name="Migliaia 2 2 4 2 2 3" xfId="45660" xr:uid="{B3510D9A-36C7-4174-AC80-C6C69AD107F1}"/>
    <cellStyle name="Migliaia 2 2 4 2 3" xfId="37707" xr:uid="{AD8613F2-32B9-4882-844E-5A5AD52FABB4}"/>
    <cellStyle name="Migliaia 2 2 4 2 4" xfId="43009" xr:uid="{C0CAB8EC-EB94-4306-8367-C48CD69F51A5}"/>
    <cellStyle name="Migliaia 2 2 4 2 5" xfId="13915" xr:uid="{BDD5D86C-D37C-4DE0-A4AB-A569EDF16618}"/>
    <cellStyle name="Migliaia 2 2 4 3" xfId="6217" xr:uid="{21AFA343-1DC7-460D-A31D-639A802EBC7E}"/>
    <cellStyle name="Migliaia 2 2 4 3 2" xfId="38748" xr:uid="{6E9A2AFD-F220-4BFB-B036-4B2B8D4A0B8C}"/>
    <cellStyle name="Migliaia 2 2 4 3 3" xfId="44050" xr:uid="{79C7EB68-1384-4319-8349-51EE9FFA6351}"/>
    <cellStyle name="Migliaia 2 2 4 3 4" xfId="33335" xr:uid="{E7B13EB4-4E8F-4CF7-99E6-C79252946433}"/>
    <cellStyle name="Migliaia 2 2 4 3 5" xfId="20038" xr:uid="{A0677FDB-FBA4-40CB-843F-24AC4FA621F4}"/>
    <cellStyle name="Migliaia 2 2 4 4" xfId="36243" xr:uid="{389A1875-749B-4BFA-9C79-5D310B37F0D6}"/>
    <cellStyle name="Migliaia 2 2 4 5" xfId="41399" xr:uid="{BE606A08-AA59-4803-A4B7-411D48BBC2DC}"/>
    <cellStyle name="Migliaia 2 2 4 6" xfId="16171" xr:uid="{46942864-3D3A-4715-BA29-71D6206C761A}"/>
    <cellStyle name="Migliaia 2 2 4 7" xfId="7864" xr:uid="{22F5CFD2-C1C3-4551-9136-68009288CF83}"/>
    <cellStyle name="Migliaia 2 2 5" xfId="5000" xr:uid="{7FC49C26-C1A9-4FB4-B783-69D167268BA9}"/>
    <cellStyle name="Migliaia 2 2 5 2" xfId="33336" xr:uid="{21BD6EB9-BAE7-4F11-991A-FE6168510A53}"/>
    <cellStyle name="Migliaia 2 2 5 2 2" xfId="38749" xr:uid="{5EC8219C-DBA6-4828-862E-D2C2789588F0}"/>
    <cellStyle name="Migliaia 2 2 5 2 3" xfId="44051" xr:uid="{F1FB615B-6A86-4A4B-90F9-88CD4C1A1184}"/>
    <cellStyle name="Migliaia 2 2 5 3" xfId="36244" xr:uid="{00BF8782-5BFA-4773-8FA6-B05C34021889}"/>
    <cellStyle name="Migliaia 2 2 5 4" xfId="41400" xr:uid="{0F0498C4-104D-40DD-9883-365408396277}"/>
    <cellStyle name="Migliaia 2 2 5 5" xfId="13113" xr:uid="{82F527F3-5841-45D2-9650-F093E2B88549}"/>
    <cellStyle name="Migliaia 2 2 6" xfId="6213" xr:uid="{E99B7043-BBBD-4ED5-9F1B-376533687FEF}"/>
    <cellStyle name="Migliaia 2 2 6 2" xfId="38745" xr:uid="{E2907E9B-4BB7-464F-BA40-A828F4FEA6A5}"/>
    <cellStyle name="Migliaia 2 2 6 3" xfId="44047" xr:uid="{EEE55B37-A448-42B9-A9CC-1697A6D5BAA6}"/>
    <cellStyle name="Migliaia 2 2 6 4" xfId="33334" xr:uid="{DFBBCCF2-AD28-448F-A0B1-59B168C6F938}"/>
    <cellStyle name="Migliaia 2 2 6 5" xfId="20033" xr:uid="{F42B524A-6A34-4FFA-9C1B-83269BDE2F4E}"/>
    <cellStyle name="Migliaia 2 2 7" xfId="3274" xr:uid="{8E4D8616-416F-4F8B-84CE-4463CE69F919}"/>
    <cellStyle name="Migliaia 2 2 7 2" xfId="36241" xr:uid="{D55A64BB-4819-4E7D-9C18-35715BF895C9}"/>
    <cellStyle name="Migliaia 2 2 8" xfId="41396" xr:uid="{1DDC7795-A460-4415-9E58-AD3FABCB59DF}"/>
    <cellStyle name="Migliaia 2 2 9" xfId="7075" xr:uid="{F1337438-DC36-4938-87C2-0691AF7BEA35}"/>
    <cellStyle name="Migliaia 2 3" xfId="344" xr:uid="{00000000-0005-0000-0000-000020030000}"/>
    <cellStyle name="Migliaia 2 3 2" xfId="345" xr:uid="{00000000-0005-0000-0000-000021030000}"/>
    <cellStyle name="Migliaia 2 3 2 2" xfId="1710" xr:uid="{00000000-0005-0000-0000-000022030000}"/>
    <cellStyle name="Migliaia 2 3 2 2 2" xfId="5007" xr:uid="{23FD522D-2D1F-4361-8EEB-80C70AB7C9B6}"/>
    <cellStyle name="Migliaia 2 3 2 2 2 2" xfId="14374" xr:uid="{4EABF0AA-515B-471B-939E-AE0B2C457C3C}"/>
    <cellStyle name="Migliaia 2 3 2 2 2 2 2" xfId="40359" xr:uid="{33E81392-3E0D-40B5-A508-7330CB850B2D}"/>
    <cellStyle name="Migliaia 2 3 2 2 2 2 3" xfId="45661" xr:uid="{32FFE910-2DB4-4C8E-8C18-5EAE7415CD9A}"/>
    <cellStyle name="Migliaia 2 3 2 2 2 3" xfId="18393" xr:uid="{3E6A2B54-FE88-4C84-B6C2-778EA3DED3CD}"/>
    <cellStyle name="Migliaia 2 3 2 2 2 3 2" xfId="21850" xr:uid="{B346645F-2A1E-4BC0-81DE-003C3DCB447C}"/>
    <cellStyle name="Migliaia 2 3 2 2 2 3 3" xfId="37708" xr:uid="{41D79DE5-A80E-4724-A19E-C0253A1B2B42}"/>
    <cellStyle name="Migliaia 2 3 2 2 2 4" xfId="43010" xr:uid="{B4D968D3-455F-4608-83A6-8A1A503BF7B1}"/>
    <cellStyle name="Migliaia 2 3 2 2 2 5" xfId="48102" xr:uid="{761EA916-CECF-43E0-BE3C-6721CCAC798E}"/>
    <cellStyle name="Migliaia 2 3 2 2 2 6" xfId="50878" xr:uid="{D8F0360F-777A-4E29-8848-020F536B873B}"/>
    <cellStyle name="Migliaia 2 3 2 2 2 7" xfId="53894" xr:uid="{4C315017-F0BB-4862-87C7-BFF9F94DFF86}"/>
    <cellStyle name="Migliaia 2 3 2 2 2 8" xfId="11929" xr:uid="{9E7712A9-FC2D-4E58-A263-341A8E1EE7E5}"/>
    <cellStyle name="Migliaia 2 3 2 2 3" xfId="6220" xr:uid="{CFE0DA81-A6B2-4F4B-A137-CB592F01CAF8}"/>
    <cellStyle name="Migliaia 2 3 2 2 3 2" xfId="12320" xr:uid="{5C190C4E-EEAC-4502-9E69-6195C3652DBD}"/>
    <cellStyle name="Migliaia 2 3 2 2 4" xfId="3281" xr:uid="{46959D5D-19D9-46C3-AE7C-4377508B6F29}"/>
    <cellStyle name="Migliaia 2 3 2 2 4 2" xfId="21422" xr:uid="{AD6F2EA0-DFC2-4F0F-8F95-C6837B5C90FD}"/>
    <cellStyle name="Migliaia 2 3 2 2 4 3" xfId="48237" xr:uid="{BB82D588-6CE2-4C7E-B042-183595EA261A}"/>
    <cellStyle name="Migliaia 2 3 2 2 4 4" xfId="50437" xr:uid="{AA10A300-0AB9-4C7E-B996-A1426F9F6DF7}"/>
    <cellStyle name="Migliaia 2 3 2 2 4 5" xfId="53453" xr:uid="{9A961663-4E68-4C78-ACD2-B50942CBB37B}"/>
    <cellStyle name="Migliaia 2 3 2 2 4 6" xfId="10787" xr:uid="{E9D074DC-21EC-4D6B-9909-44401B1EC832}"/>
    <cellStyle name="Migliaia 2 3 2 2 5" xfId="20041" xr:uid="{277D31A5-A4B2-4BAA-831A-C0C1E97EC72A}"/>
    <cellStyle name="Migliaia 2 3 2 2 6" xfId="24423" xr:uid="{E3DE3A4B-55D9-40E2-BD61-02071F0C15CA}"/>
    <cellStyle name="Migliaia 2 3 2 2 7" xfId="48880" xr:uid="{1531DA26-93F0-4266-B1D7-2FD07232DD72}"/>
    <cellStyle name="Migliaia 2 3 2 2 8" xfId="49786" xr:uid="{0AE33CBE-35F5-4055-B27D-362582745849}"/>
    <cellStyle name="Migliaia 2 3 2 2 9" xfId="8547" xr:uid="{C7321832-4C68-4527-9E8F-3EE59151B027}"/>
    <cellStyle name="Migliaia 2 3 2 3" xfId="5006" xr:uid="{90607764-0333-47FE-8ADD-08043CADD077}"/>
    <cellStyle name="Migliaia 2 3 2 3 2" xfId="13918" xr:uid="{87B6CF00-5BFD-487E-94B9-CF62605EA4EB}"/>
    <cellStyle name="Migliaia 2 3 2 3 2 2" xfId="38751" xr:uid="{9D8865E1-60CA-489D-AE63-CEFBC2C03D50}"/>
    <cellStyle name="Migliaia 2 3 2 3 2 3" xfId="44053" xr:uid="{F7E3E1E4-32C2-4238-8DEA-BC2DF2AF00E2}"/>
    <cellStyle name="Migliaia 2 3 2 3 3" xfId="18394" xr:uid="{F3935CFD-B2E7-4D7A-9659-ED164322E0BA}"/>
    <cellStyle name="Migliaia 2 3 2 3 4" xfId="20042" xr:uid="{1C9A0EF9-7EB5-4710-A37B-E02A1C08727D}"/>
    <cellStyle name="Migliaia 2 3 2 3 4 2" xfId="41402" xr:uid="{2235B3F9-EE6C-4616-BE3B-AFD2A1A12726}"/>
    <cellStyle name="Migliaia 2 3 2 3 5" xfId="16172" xr:uid="{0CF55406-B8AC-461F-9F9D-7FB0EDA80A59}"/>
    <cellStyle name="Migliaia 2 3 2 3 6" xfId="7867" xr:uid="{72E1BF35-0858-4F5E-90AE-6F6EB73AE265}"/>
    <cellStyle name="Migliaia 2 3 2 4" xfId="6219" xr:uid="{39D79570-887C-4031-BE1A-84DF0F37F61B}"/>
    <cellStyle name="Migliaia 2 3 2 4 2" xfId="35200" xr:uid="{87E1C5F8-7EA9-40E2-BA42-59999D3091EC}"/>
    <cellStyle name="Migliaia 2 3 2 4 2 2" xfId="40360" xr:uid="{4CBAC95D-F3C4-4101-AD14-512479F22E7B}"/>
    <cellStyle name="Migliaia 2 3 2 4 2 3" xfId="45662" xr:uid="{ACE6B89A-A956-4C1E-AB11-AC7685A84EF0}"/>
    <cellStyle name="Migliaia 2 3 2 4 3" xfId="37709" xr:uid="{47F7759C-2F54-4FB7-8EEF-C424D2D1DB41}"/>
    <cellStyle name="Migliaia 2 3 2 4 4" xfId="43011" xr:uid="{732AE90D-36F6-4D4C-BE24-416C50D238EC}"/>
    <cellStyle name="Migliaia 2 3 2 4 5" xfId="13425" xr:uid="{627494CC-6B9E-4EFC-ABC2-24D1E1F9ED66}"/>
    <cellStyle name="Migliaia 2 3 2 5" xfId="3280" xr:uid="{D21DD2B8-0CC5-449D-A615-A2CEA3998AE9}"/>
    <cellStyle name="Migliaia 2 3 2 5 2" xfId="20040" xr:uid="{1F3342D6-695B-42C8-9E71-09C5531E02F4}"/>
    <cellStyle name="Migliaia 2 3 2 6" xfId="24422" xr:uid="{61956F49-E230-4AA6-9051-8F1399F89A5D}"/>
    <cellStyle name="Migliaia 2 3 2 7" xfId="7357" xr:uid="{B9162646-3E61-45D4-A31B-AE16D1A3BAD2}"/>
    <cellStyle name="Migliaia 2 3 3" xfId="1711" xr:uid="{00000000-0005-0000-0000-000023030000}"/>
    <cellStyle name="Migliaia 2 3 3 2" xfId="5008" xr:uid="{32E7F843-F741-464B-92D9-9D98A020FAD1}"/>
    <cellStyle name="Migliaia 2 3 3 2 2" xfId="14213" xr:uid="{64E764AA-A75A-4073-BDCF-C52135B0E42E}"/>
    <cellStyle name="Migliaia 2 3 3 2 2 2" xfId="38752" xr:uid="{E9C22E07-0751-4BEA-9BE9-E51425F5AF46}"/>
    <cellStyle name="Migliaia 2 3 3 2 2 3" xfId="44054" xr:uid="{422F67EA-3F9E-4827-BF05-5BA70CF6DD43}"/>
    <cellStyle name="Migliaia 2 3 3 2 3" xfId="18395" xr:uid="{28A6C0A4-0EC3-44D3-920D-E8C0264E3ABF}"/>
    <cellStyle name="Migliaia 2 3 3 2 3 2" xfId="21851" xr:uid="{F3022CC2-6970-43E5-A284-B3EE0086B3FE}"/>
    <cellStyle name="Migliaia 2 3 3 2 3 3" xfId="36246" xr:uid="{04F2884F-EAD8-472C-82D2-262BB4131988}"/>
    <cellStyle name="Migliaia 2 3 3 2 4" xfId="41403" xr:uid="{4B3ADBF8-3923-43DE-9CC4-6308A376AFFF}"/>
    <cellStyle name="Migliaia 2 3 3 2 5" xfId="46745" xr:uid="{98604482-C3E5-4176-9064-748C0BA4B85C}"/>
    <cellStyle name="Migliaia 2 3 3 2 6" xfId="50879" xr:uid="{04E790E9-EEC2-4B17-96D8-A5C934669C1C}"/>
    <cellStyle name="Migliaia 2 3 3 2 7" xfId="53895" xr:uid="{90C9F93C-5E82-4A33-B797-1D7C5D93DB85}"/>
    <cellStyle name="Migliaia 2 3 3 2 8" xfId="11930" xr:uid="{5ECF33B0-32F0-47E3-A5B3-5C8934352680}"/>
    <cellStyle name="Migliaia 2 3 3 3" xfId="6221" xr:uid="{CBED6DD8-C44F-4484-ADDF-27053AA8F4D9}"/>
    <cellStyle name="Migliaia 2 3 3 3 2" xfId="12206" xr:uid="{16EA82D8-46BC-4F56-9FC0-C916745E8CA9}"/>
    <cellStyle name="Migliaia 2 3 3 4" xfId="3282" xr:uid="{58CB81B8-7558-4515-99EF-269EE35CBD77}"/>
    <cellStyle name="Migliaia 2 3 3 4 2" xfId="21423" xr:uid="{53E77737-E01E-462E-A80F-BA851369D4F3}"/>
    <cellStyle name="Migliaia 2 3 3 4 3" xfId="46220" xr:uid="{8838C759-18F3-4F48-9014-74B7145CB6CE}"/>
    <cellStyle name="Migliaia 2 3 3 4 4" xfId="50438" xr:uid="{7BBA7246-AF7F-4160-A81E-919BB565683D}"/>
    <cellStyle name="Migliaia 2 3 3 4 5" xfId="53454" xr:uid="{21B9C977-9381-445F-8A49-8418F76AD605}"/>
    <cellStyle name="Migliaia 2 3 3 4 6" xfId="10788" xr:uid="{BD1AEBAB-84B7-4AC8-9CCD-45111CD1FD79}"/>
    <cellStyle name="Migliaia 2 3 3 5" xfId="20043" xr:uid="{3A6EF7C2-0D95-4E5F-A477-92C234960B75}"/>
    <cellStyle name="Migliaia 2 3 3 6" xfId="24424" xr:uid="{D66C38E9-1D24-4C1A-B81A-F8CA6DCFFDB7}"/>
    <cellStyle name="Migliaia 2 3 3 7" xfId="8275" xr:uid="{4E154A4D-0F88-4961-9BFA-BBE13C6757DE}"/>
    <cellStyle name="Migliaia 2 3 4" xfId="3283" xr:uid="{1046049D-0618-453C-8721-E7E3AFA1BBC5}"/>
    <cellStyle name="Migliaia 2 3 4 2" xfId="5009" xr:uid="{B06C11EE-4197-421B-B65A-F2F6E68134C9}"/>
    <cellStyle name="Migliaia 2 3 4 2 2" xfId="35201" xr:uid="{62537689-733E-407C-9977-DDB19CD25A23}"/>
    <cellStyle name="Migliaia 2 3 4 2 2 2" xfId="40361" xr:uid="{7816C2CA-1DE9-4C3D-ABFD-14C7800EF0C1}"/>
    <cellStyle name="Migliaia 2 3 4 2 2 3" xfId="45663" xr:uid="{6F0848A5-8F3C-4C71-921F-C6B3A8D6E8DA}"/>
    <cellStyle name="Migliaia 2 3 4 2 3" xfId="37710" xr:uid="{7C5FC91A-63FB-4E68-A103-E61DB032C598}"/>
    <cellStyle name="Migliaia 2 3 4 2 4" xfId="43012" xr:uid="{6BDCBD88-0A95-49F5-853F-33C53A10D233}"/>
    <cellStyle name="Migliaia 2 3 4 2 5" xfId="13917" xr:uid="{8D38F847-41E6-4001-B0E1-13C57F20BA7B}"/>
    <cellStyle name="Migliaia 2 3 4 3" xfId="6222" xr:uid="{4E13B1AE-3BFC-4C3C-8CC9-9AC679DF91EF}"/>
    <cellStyle name="Migliaia 2 3 4 3 2" xfId="38753" xr:uid="{DDC512B7-7612-4D0B-AA06-A6C5203A952E}"/>
    <cellStyle name="Migliaia 2 3 4 3 3" xfId="44055" xr:uid="{B8CAB0BE-2679-4C77-AC6E-6E229EF06A79}"/>
    <cellStyle name="Migliaia 2 3 4 3 4" xfId="33338" xr:uid="{11F52A5A-028F-49DB-9B58-DC3104695454}"/>
    <cellStyle name="Migliaia 2 3 4 3 5" xfId="20044" xr:uid="{63E31A92-4655-4715-96AA-61AACD8C62F1}"/>
    <cellStyle name="Migliaia 2 3 4 4" xfId="36247" xr:uid="{E7160A3A-081E-4C3A-A07F-AEBE477418C6}"/>
    <cellStyle name="Migliaia 2 3 4 5" xfId="41404" xr:uid="{B5089F96-9C2E-42CE-9D58-D311BB477DE0}"/>
    <cellStyle name="Migliaia 2 3 4 6" xfId="16173" xr:uid="{CBF2C6C3-DEF0-48CE-8CFA-A88577EB0CD7}"/>
    <cellStyle name="Migliaia 2 3 4 7" xfId="7866" xr:uid="{5A496B8A-7265-4F59-A8EC-9059852C57C3}"/>
    <cellStyle name="Migliaia 2 3 5" xfId="5005" xr:uid="{FE31A036-F8A8-4D03-A7EB-D665C8849A76}"/>
    <cellStyle name="Migliaia 2 3 5 2" xfId="33339" xr:uid="{C8BF8B99-CF52-4885-8EDF-48E72B2BA22C}"/>
    <cellStyle name="Migliaia 2 3 5 2 2" xfId="38754" xr:uid="{56BDE571-79C8-4EF8-BFFB-EBDACF366AF8}"/>
    <cellStyle name="Migliaia 2 3 5 2 3" xfId="44056" xr:uid="{E14F59FC-74AF-4CDA-9552-619F723ABCD0}"/>
    <cellStyle name="Migliaia 2 3 5 3" xfId="36248" xr:uid="{DF419E1B-AD3C-4989-A3F9-ACAD12B0F689}"/>
    <cellStyle name="Migliaia 2 3 5 4" xfId="41405" xr:uid="{610F5657-492E-45B4-866A-AA41000A013A}"/>
    <cellStyle name="Migliaia 2 3 5 5" xfId="13114" xr:uid="{313DDAC7-B3DE-44F2-8A28-EEC98135726C}"/>
    <cellStyle name="Migliaia 2 3 6" xfId="6218" xr:uid="{F415DDD9-26DC-4E6A-8F43-27B2BA59D7A2}"/>
    <cellStyle name="Migliaia 2 3 6 2" xfId="38750" xr:uid="{0BDCBA4D-4E6D-49BF-9E74-8B8956C8BD88}"/>
    <cellStyle name="Migliaia 2 3 6 3" xfId="44052" xr:uid="{2B4B1203-743F-4607-A2CE-DFE403C01910}"/>
    <cellStyle name="Migliaia 2 3 6 4" xfId="33337" xr:uid="{3F74DDFA-21E4-47C9-846C-435EFC61B321}"/>
    <cellStyle name="Migliaia 2 3 6 5" xfId="20039" xr:uid="{29398D2B-297E-4E7C-B410-0C8D9398C4DE}"/>
    <cellStyle name="Migliaia 2 3 7" xfId="3279" xr:uid="{6A53BADA-415B-42DD-91A8-5A6BAE9B0D2D}"/>
    <cellStyle name="Migliaia 2 3 7 2" xfId="36245" xr:uid="{7EFEF9FD-EA3C-40F6-A85C-65536C3ABBE2}"/>
    <cellStyle name="Migliaia 2 3 8" xfId="41401" xr:uid="{41B3BC09-7B01-4B76-8204-F941FBD3A4A2}"/>
    <cellStyle name="Migliaia 2 3 9" xfId="7076" xr:uid="{C4A315EF-6789-435A-83FD-63EEF8883597}"/>
    <cellStyle name="Migliaia 2 4" xfId="346" xr:uid="{00000000-0005-0000-0000-000024030000}"/>
    <cellStyle name="Migliaia 2 4 10" xfId="24425" xr:uid="{94909370-37FC-4EF1-BB1F-4B3BC62776BE}"/>
    <cellStyle name="Migliaia 2 4 11" xfId="16174" xr:uid="{27E50699-F19E-4808-BB93-F802378E38C2}"/>
    <cellStyle name="Migliaia 2 4 12" xfId="7077" xr:uid="{A0F4F46B-0797-436D-91F5-F18AE1855D21}"/>
    <cellStyle name="Migliaia 2 4 2" xfId="347" xr:uid="{00000000-0005-0000-0000-000025030000}"/>
    <cellStyle name="Migliaia 2 4 2 2" xfId="1712" xr:uid="{00000000-0005-0000-0000-000026030000}"/>
    <cellStyle name="Migliaia 2 4 2 2 2" xfId="5012" xr:uid="{E8E4F5F2-E2AB-42E8-A528-C5B8C0F01698}"/>
    <cellStyle name="Migliaia 2 4 2 2 2 2" xfId="18396" xr:uid="{3887D09A-46CA-4159-B5FF-3D5B4AC5233A}"/>
    <cellStyle name="Migliaia 2 4 2 2 2 2 2" xfId="21852" xr:uid="{9A5FCCF4-A082-49CB-8C4F-E0D38363DAAA}"/>
    <cellStyle name="Migliaia 2 4 2 2 2 2 2 2" xfId="38755" xr:uid="{992AECA4-EF4D-4ABB-88EB-946585A1FF8A}"/>
    <cellStyle name="Migliaia 2 4 2 2 2 2 3" xfId="44057" xr:uid="{B4ECD0EB-AB7B-4BE0-AB14-DB46F84C44B0}"/>
    <cellStyle name="Migliaia 2 4 2 2 2 2 4" xfId="33340" xr:uid="{861887CA-5ECD-40F0-94C1-615ED97865DE}"/>
    <cellStyle name="Migliaia 2 4 2 2 2 3" xfId="36249" xr:uid="{E8FA4111-974B-4C23-99EB-B3771CDB4516}"/>
    <cellStyle name="Migliaia 2 4 2 2 2 4" xfId="41406" xr:uid="{B65AE30D-F993-470C-97DD-0B49653A3F6B}"/>
    <cellStyle name="Migliaia 2 4 2 2 2 5" xfId="32369" xr:uid="{033097A5-1487-449B-8901-1BB1B682E379}"/>
    <cellStyle name="Migliaia 2 4 2 2 2 6" xfId="50880" xr:uid="{3B63C355-E090-4EE2-8C58-F644CAA4D6B5}"/>
    <cellStyle name="Migliaia 2 4 2 2 2 7" xfId="53896" xr:uid="{C151AE7F-ABBC-414A-AF2B-34935448F595}"/>
    <cellStyle name="Migliaia 2 4 2 2 2 8" xfId="17649" xr:uid="{F5D8B2FF-8BA3-45BF-A6EF-A1B01305E346}"/>
    <cellStyle name="Migliaia 2 4 2 2 2 9" xfId="11931" xr:uid="{C81C21F8-8B94-4ACD-B0BF-7E64941094DA}"/>
    <cellStyle name="Migliaia 2 4 2 2 3" xfId="6225" xr:uid="{32AAB6BA-F6BD-4F97-88BD-E82E2FE18686}"/>
    <cellStyle name="Migliaia 2 4 2 2 3 2" xfId="11135" xr:uid="{E7B8923D-5FD3-4245-B82E-BAB032A938BE}"/>
    <cellStyle name="Migliaia 2 4 2 2 4" xfId="3286" xr:uid="{93EBDA48-AC11-4098-A9DE-A4321B82135D}"/>
    <cellStyle name="Migliaia 2 4 2 2 4 2" xfId="21424" xr:uid="{22E08E11-3A2F-4E6C-A135-872E163714C5}"/>
    <cellStyle name="Migliaia 2 4 2 2 4 3" xfId="48173" xr:uid="{B311725B-E0A8-4478-887E-41C82A872CB0}"/>
    <cellStyle name="Migliaia 2 4 2 2 4 4" xfId="50439" xr:uid="{773C6CDB-6A54-4F57-BD27-CCE65CD3451C}"/>
    <cellStyle name="Migliaia 2 4 2 2 4 5" xfId="53455" xr:uid="{6B36D3D4-FDA0-407C-B26D-BE7F20D49047}"/>
    <cellStyle name="Migliaia 2 4 2 2 4 6" xfId="10789" xr:uid="{DEFC1065-1017-4544-9D44-0E1CB54EC221}"/>
    <cellStyle name="Migliaia 2 4 2 2 5" xfId="20047" xr:uid="{3FA2CD42-4E42-4DEB-8CDA-4F94BC29A48C}"/>
    <cellStyle name="Migliaia 2 4 2 2 6" xfId="24427" xr:uid="{F7B10CC9-4B8D-4D35-92F5-88CFD862F6F8}"/>
    <cellStyle name="Migliaia 2 4 2 2 7" xfId="8549" xr:uid="{67F136E0-79D8-47F5-9E7D-CF8B0A5CBFDF}"/>
    <cellStyle name="Migliaia 2 4 2 3" xfId="5011" xr:uid="{EFB12892-107F-4990-BE20-6C86ABA3CE33}"/>
    <cellStyle name="Migliaia 2 4 2 3 2" xfId="11656" xr:uid="{F8F18FBA-5E87-46B2-92C2-C130BB255D50}"/>
    <cellStyle name="Migliaia 2 4 2 3 2 2" xfId="38756" xr:uid="{D4C8504A-E16C-47C7-AF25-7B9E5205838D}"/>
    <cellStyle name="Migliaia 2 4 2 3 2 3" xfId="44058" xr:uid="{2F59D9A1-E42E-45EB-A1F5-60409F80C7FE}"/>
    <cellStyle name="Migliaia 2 4 2 3 2 4" xfId="33341" xr:uid="{8ACF2B1C-467C-4785-8718-83BC02487F48}"/>
    <cellStyle name="Migliaia 2 4 2 3 3" xfId="11932" xr:uid="{436C3C78-9C83-4408-AF68-1C9C99C1D1CB}"/>
    <cellStyle name="Migliaia 2 4 2 3 4" xfId="20048" xr:uid="{8B1260B5-EECA-4538-B49F-E6BA5B1A1DA0}"/>
    <cellStyle name="Migliaia 2 4 2 3 4 2" xfId="41407" xr:uid="{C7CF1141-1858-4DF7-BF8F-EBCC044AFFD6}"/>
    <cellStyle name="Migliaia 2 4 2 3 5" xfId="16175" xr:uid="{5AA603F1-C11D-42CD-849B-17EE80C16677}"/>
    <cellStyle name="Migliaia 2 4 2 3 6" xfId="7869" xr:uid="{3FFA4FFF-91C6-4CE2-BBFF-41642650A566}"/>
    <cellStyle name="Migliaia 2 4 2 4" xfId="6224" xr:uid="{346D6FCC-A8B2-4A45-8C76-ABCB6081163D}"/>
    <cellStyle name="Migliaia 2 4 2 4 2" xfId="18068" xr:uid="{BCEBEC2F-EF0A-47B2-8784-72FA0E746B75}"/>
    <cellStyle name="Migliaia 2 4 2 4 2 2" xfId="38757" xr:uid="{9D634947-2E62-4682-9892-9B33FC491852}"/>
    <cellStyle name="Migliaia 2 4 2 4 2 3" xfId="44059" xr:uid="{AF23BEF5-FFC7-4F2A-AF0A-805B02D3874E}"/>
    <cellStyle name="Migliaia 2 4 2 4 3" xfId="36250" xr:uid="{5AEE5AEA-0E91-4482-A819-D416562EBA8B}"/>
    <cellStyle name="Migliaia 2 4 2 4 4" xfId="41408" xr:uid="{23967B0A-0EED-496B-B242-E2953D463882}"/>
    <cellStyle name="Migliaia 2 4 2 4 5" xfId="17158" xr:uid="{7235D10B-EB52-4446-94DF-B998AC2E2359}"/>
    <cellStyle name="Migliaia 2 4 2 4 6" xfId="11280" xr:uid="{C7A99DA0-44F2-49C8-85F2-781A3FF72582}"/>
    <cellStyle name="Migliaia 2 4 2 5" xfId="3285" xr:uid="{D4B547F0-ED5F-46EE-A72A-C6C01C6C62E7}"/>
    <cellStyle name="Migliaia 2 4 2 5 2" xfId="33342" xr:uid="{F639744C-3CA3-49A7-9707-A30F11550FC5}"/>
    <cellStyle name="Migliaia 2 4 2 5 2 2" xfId="38758" xr:uid="{DF01655E-8E80-40F5-A421-0191FE21F5B8}"/>
    <cellStyle name="Migliaia 2 4 2 5 2 3" xfId="44060" xr:uid="{0FF647B3-1478-43F2-89C2-DDF65017606F}"/>
    <cellStyle name="Migliaia 2 4 2 5 3" xfId="36251" xr:uid="{D42C274C-9DFB-4EAA-8FCF-9A7950CF2208}"/>
    <cellStyle name="Migliaia 2 4 2 5 4" xfId="41409" xr:uid="{01B45585-2ED5-4505-A35C-F8C63AA6D3AA}"/>
    <cellStyle name="Migliaia 2 4 2 5 5" xfId="17393" xr:uid="{99B6405E-8577-46BF-9DCE-69AD5BFC6753}"/>
    <cellStyle name="Migliaia 2 4 2 6" xfId="20046" xr:uid="{382BE7FF-80E1-4669-976E-12FEE110776D}"/>
    <cellStyle name="Migliaia 2 4 2 6 2" xfId="33343" xr:uid="{79BA1B1A-FF34-4C55-B3E8-F59DFB3CC183}"/>
    <cellStyle name="Migliaia 2 4 2 6 2 2" xfId="38759" xr:uid="{49EE6B11-F658-4A81-A002-5B1FD76629E4}"/>
    <cellStyle name="Migliaia 2 4 2 6 2 3" xfId="44061" xr:uid="{076A9673-A5F0-4116-8E99-021A20E4C246}"/>
    <cellStyle name="Migliaia 2 4 2 6 3" xfId="36252" xr:uid="{F6A0F061-82B8-4218-AD85-AB4BFC72493B}"/>
    <cellStyle name="Migliaia 2 4 2 6 4" xfId="41410" xr:uid="{8B7655C1-2F8D-4597-BE3E-367A45A2570B}"/>
    <cellStyle name="Migliaia 2 4 2 6 5" xfId="24428" xr:uid="{C4820288-4F45-4886-86D9-2E706AC1B7EB}"/>
    <cellStyle name="Migliaia 2 4 2 7" xfId="24426" xr:uid="{88A9C379-64F3-455A-A07F-CF9274E5AFF5}"/>
    <cellStyle name="Migliaia 2 4 2 8" xfId="7359" xr:uid="{612D6CC2-A562-4C53-8B73-4441D76CEAC4}"/>
    <cellStyle name="Migliaia 2 4 3" xfId="3287" xr:uid="{6773787C-506C-4F7A-B3F4-FC25C2A3FD3D}"/>
    <cellStyle name="Migliaia 2 4 3 10" xfId="7358" xr:uid="{33311101-B47F-4D14-8BE9-8654DDFABB91}"/>
    <cellStyle name="Migliaia 2 4 3 2" xfId="5013" xr:uid="{A7C3AE6B-5FE9-4093-BB37-ABF4D206E5DD}"/>
    <cellStyle name="Migliaia 2 4 3 2 2" xfId="9904" xr:uid="{7E724A2F-7358-4297-9D72-983DA515017E}"/>
    <cellStyle name="Migliaia 2 4 3 2 2 2" xfId="38761" xr:uid="{B40B8A87-B4BC-41AE-96E5-5C466E4D8CD4}"/>
    <cellStyle name="Migliaia 2 4 3 2 2 3" xfId="44063" xr:uid="{0ED910AF-3FD3-4064-82D7-429284062633}"/>
    <cellStyle name="Migliaia 2 4 3 2 3" xfId="18184" xr:uid="{AF719FB3-17AF-48DD-8F14-F23D3DF8E195}"/>
    <cellStyle name="Migliaia 2 4 3 2 4" xfId="20050" xr:uid="{529C2AD4-6323-46CF-8D41-B3812FF1D0B5}"/>
    <cellStyle name="Migliaia 2 4 3 2 4 2" xfId="41412" xr:uid="{DEDA3555-3706-4C93-88BC-E68146B878C8}"/>
    <cellStyle name="Migliaia 2 4 3 2 5" xfId="16177" xr:uid="{F484160D-299A-4BB3-9B04-1D668D93A0AE}"/>
    <cellStyle name="Migliaia 2 4 3 2 6" xfId="8548" xr:uid="{8B3BE295-ACF6-40FD-AA2A-4F401E980870}"/>
    <cellStyle name="Migliaia 2 4 3 3" xfId="6226" xr:uid="{B93834EA-3B72-4FB4-B87D-7E85C51B412B}"/>
    <cellStyle name="Migliaia 2 4 3 3 2" xfId="33346" xr:uid="{5221B6C7-411D-4011-8F1A-D3D91C41B0F5}"/>
    <cellStyle name="Migliaia 2 4 3 3 2 2" xfId="38762" xr:uid="{C54E360C-47A1-46A3-A461-8E225EE7D3B4}"/>
    <cellStyle name="Migliaia 2 4 3 3 2 3" xfId="44064" xr:uid="{66608664-8596-4F64-A212-2CA47352DF68}"/>
    <cellStyle name="Migliaia 2 4 3 3 3" xfId="36255" xr:uid="{9EDF88B3-F947-438F-A8E4-C3F8B67C2884}"/>
    <cellStyle name="Migliaia 2 4 3 3 4" xfId="41413" xr:uid="{FB1A2B40-EA7C-4FE0-AAB0-22E8C3936B9F}"/>
    <cellStyle name="Migliaia 2 4 3 3 5" xfId="9667" xr:uid="{65CE8DA6-61AD-44E4-B4D8-DF4B7E1ACE4E}"/>
    <cellStyle name="Migliaia 2 4 3 4" xfId="20049" xr:uid="{A552C4D9-95A7-41FB-86AF-FB46CDB003E3}"/>
    <cellStyle name="Migliaia 2 4 3 4 2" xfId="33347" xr:uid="{1D97894A-302F-4670-B098-4AD749B01A62}"/>
    <cellStyle name="Migliaia 2 4 3 4 2 2" xfId="38763" xr:uid="{CA24E057-3D4B-429D-86B8-8AB924354887}"/>
    <cellStyle name="Migliaia 2 4 3 4 2 3" xfId="44065" xr:uid="{67201CC9-23D9-4BD3-A085-F62037275CDA}"/>
    <cellStyle name="Migliaia 2 4 3 4 3" xfId="36256" xr:uid="{4017E7A9-ED21-4D29-ADE0-07F5A40703B1}"/>
    <cellStyle name="Migliaia 2 4 3 4 4" xfId="41414" xr:uid="{2016016F-51B5-46E2-ADA6-D012E84CAB54}"/>
    <cellStyle name="Migliaia 2 4 3 4 5" xfId="24431" xr:uid="{FDA70345-49FC-49EC-9336-C6B661EB29FC}"/>
    <cellStyle name="Migliaia 2 4 3 5" xfId="24432" xr:uid="{46EAECE5-CF4A-480B-BF57-DC832A50573F}"/>
    <cellStyle name="Migliaia 2 4 3 5 2" xfId="33348" xr:uid="{6BBAF128-D852-48F7-ABBD-AF0BDB5BDC3A}"/>
    <cellStyle name="Migliaia 2 4 3 5 2 2" xfId="38764" xr:uid="{40E32D22-3E08-4B8D-B832-777C15E61ACD}"/>
    <cellStyle name="Migliaia 2 4 3 5 2 3" xfId="44066" xr:uid="{FC9DAF4C-3A2E-4D2E-8C60-C99A0539397C}"/>
    <cellStyle name="Migliaia 2 4 3 5 3" xfId="36257" xr:uid="{53AADF98-7F07-4257-8DE1-D2AF4A2F90EF}"/>
    <cellStyle name="Migliaia 2 4 3 5 4" xfId="41415" xr:uid="{45F795BD-1C5C-4B8A-90A5-6329C2ABA1D6}"/>
    <cellStyle name="Migliaia 2 4 3 6" xfId="33344" xr:uid="{7FBA321B-8B62-447C-A810-4C93F21CD62F}"/>
    <cellStyle name="Migliaia 2 4 3 6 2" xfId="38760" xr:uid="{E87B10FF-0BAB-46FC-9B15-162A9F377FA8}"/>
    <cellStyle name="Migliaia 2 4 3 6 3" xfId="44062" xr:uid="{8742B7FB-AF23-4ED0-9F8A-CDC8B808CD11}"/>
    <cellStyle name="Migliaia 2 4 3 7" xfId="36253" xr:uid="{EDAB03F0-5CFA-43B7-94AA-EDD7CC57E81C}"/>
    <cellStyle name="Migliaia 2 4 3 8" xfId="41411" xr:uid="{00103DEA-A384-42F5-9FBA-D12136C22335}"/>
    <cellStyle name="Migliaia 2 4 3 9" xfId="16176" xr:uid="{7C4BEDAC-EB2D-4C81-ABCD-7B42F63B23B8}"/>
    <cellStyle name="Migliaia 2 4 4" xfId="3288" xr:uid="{D2F8B913-FBFB-4260-BAE9-4FBC8FEF9287}"/>
    <cellStyle name="Migliaia 2 4 4 2" xfId="5014" xr:uid="{B1876A30-D678-4F59-96E5-F988C599CC7C}"/>
    <cellStyle name="Migliaia 2 4 4 2 2" xfId="14434" xr:uid="{B4BD31E3-0000-4C9A-80E1-75EEA80D129F}"/>
    <cellStyle name="Migliaia 2 4 4 2 3" xfId="18589" xr:uid="{9078020F-B7E1-4A23-A602-66FF5573E8CA}"/>
    <cellStyle name="Migliaia 2 4 4 2 4" xfId="20052" xr:uid="{74FC741A-3919-4D57-B9A6-C045A60D95E8}"/>
    <cellStyle name="Migliaia 2 4 4 2 5" xfId="32322" xr:uid="{B9557279-1178-4BDE-8C6C-4BFCC4BEF6C2}"/>
    <cellStyle name="Migliaia 2 4 4 2 6" xfId="16179" xr:uid="{AB1C2D0B-1316-4D43-ACBC-0B2151CC0F66}"/>
    <cellStyle name="Migliaia 2 4 4 2 7" xfId="8857" xr:uid="{280EEA2F-1A54-41D7-B82D-689CC0CD609D}"/>
    <cellStyle name="Migliaia 2 4 4 3" xfId="6227" xr:uid="{D5863DA8-CD6C-45C2-85F3-94261CC78BBE}"/>
    <cellStyle name="Migliaia 2 4 4 3 2" xfId="35202" xr:uid="{94C4657A-E0A1-4D34-A912-2BC73AC7F2DD}"/>
    <cellStyle name="Migliaia 2 4 4 3 2 2" xfId="40362" xr:uid="{73202DB0-B273-4534-BD8D-A3016E3A7476}"/>
    <cellStyle name="Migliaia 2 4 4 3 2 3" xfId="45664" xr:uid="{A0D43821-C2FE-42C6-BBB4-57BDE450F0F6}"/>
    <cellStyle name="Migliaia 2 4 4 3 3" xfId="37711" xr:uid="{60270A5A-76A2-4D24-B0E2-C6E0A4C2F9DA}"/>
    <cellStyle name="Migliaia 2 4 4 3 4" xfId="43013" xr:uid="{8ABD8B41-968E-4E26-8540-263B091CF81B}"/>
    <cellStyle name="Migliaia 2 4 4 3 5" xfId="13682" xr:uid="{A969A554-101C-469E-BEF7-6FD6EE6193E5}"/>
    <cellStyle name="Migliaia 2 4 4 4" xfId="20051" xr:uid="{F0CD82CE-64C8-475F-B996-BA9806E9C452}"/>
    <cellStyle name="Migliaia 2 4 4 4 2" xfId="38765" xr:uid="{58B6522E-2259-4FB3-B42A-2E9869D6B336}"/>
    <cellStyle name="Migliaia 2 4 4 4 3" xfId="44067" xr:uid="{C0DBF095-D419-406C-8DA4-7496632EA762}"/>
    <cellStyle name="Migliaia 2 4 4 4 4" xfId="33349" xr:uid="{ACE10792-828A-43FA-A3ED-3CED8395ACCF}"/>
    <cellStyle name="Migliaia 2 4 4 5" xfId="36258" xr:uid="{8223D4B5-31FC-47E8-8E79-A8267FB52427}"/>
    <cellStyle name="Migliaia 2 4 4 6" xfId="41416" xr:uid="{37CDC8DF-0DB1-4DD7-9639-83EDBFFB0D17}"/>
    <cellStyle name="Migliaia 2 4 4 7" xfId="16178" xr:uid="{E3E25CFD-38F4-4772-92AB-DB769AF8F304}"/>
    <cellStyle name="Migliaia 2 4 4 8" xfId="7667" xr:uid="{9BC72672-DC5C-4504-8678-9335A09B1CAB}"/>
    <cellStyle name="Migliaia 2 4 5" xfId="3289" xr:uid="{FCFD3830-21C6-43C7-B379-F69622E682A8}"/>
    <cellStyle name="Migliaia 2 4 5 2" xfId="5015" xr:uid="{2B448884-D15D-4649-B059-209AEADDFBE6}"/>
    <cellStyle name="Migliaia 2 4 5 2 2" xfId="35203" xr:uid="{6972551A-C47C-4583-8A00-C2236609F367}"/>
    <cellStyle name="Migliaia 2 4 5 2 2 2" xfId="40363" xr:uid="{A14D3FA1-3E9D-475F-B063-736C0643DCBB}"/>
    <cellStyle name="Migliaia 2 4 5 2 2 3" xfId="45665" xr:uid="{FFB9E733-2F55-49F3-A4FA-2FC687E678CB}"/>
    <cellStyle name="Migliaia 2 4 5 2 3" xfId="37712" xr:uid="{F8137B25-7A75-4A98-97F3-94473AB24D14}"/>
    <cellStyle name="Migliaia 2 4 5 2 4" xfId="43014" xr:uid="{E36284A7-BD3E-44AF-8610-9B8C05C6BED4}"/>
    <cellStyle name="Migliaia 2 4 5 2 5" xfId="14214" xr:uid="{2FD9437C-392F-4915-9FE7-DB596354F8E6}"/>
    <cellStyle name="Migliaia 2 4 5 3" xfId="6228" xr:uid="{3669D17E-14F2-41E8-B4F2-7185758F6B06}"/>
    <cellStyle name="Migliaia 2 4 5 3 2" xfId="38766" xr:uid="{B122BB19-1E71-44D4-A751-031805CB91B5}"/>
    <cellStyle name="Migliaia 2 4 5 3 3" xfId="44068" xr:uid="{FC7633DD-6FFE-4A22-BB7C-5DC0F44E913B}"/>
    <cellStyle name="Migliaia 2 4 5 3 4" xfId="33350" xr:uid="{54700EC5-AA76-4F87-894E-C2C00C332B55}"/>
    <cellStyle name="Migliaia 2 4 5 3 5" xfId="20053" xr:uid="{B1333D1D-6CE5-459F-B876-149EC204BF5B}"/>
    <cellStyle name="Migliaia 2 4 5 4" xfId="36259" xr:uid="{6409B427-BA28-4565-ADA6-4E8C7A368FA1}"/>
    <cellStyle name="Migliaia 2 4 5 5" xfId="41417" xr:uid="{3F8DEE61-DCD8-433C-8593-17BF9681C9B1}"/>
    <cellStyle name="Migliaia 2 4 5 6" xfId="16180" xr:uid="{0040A0FA-FB8E-4A77-8CF2-D0D36C857743}"/>
    <cellStyle name="Migliaia 2 4 5 7" xfId="8276" xr:uid="{6D23EB6D-D052-489E-A237-DB52B803EDE4}"/>
    <cellStyle name="Migliaia 2 4 6" xfId="5010" xr:uid="{73A036D0-27F8-4D04-90F1-CB92AC6BCB96}"/>
    <cellStyle name="Migliaia 2 4 6 2" xfId="13919" xr:uid="{4A164075-7745-41BD-AD69-DD9F7C26476E}"/>
    <cellStyle name="Migliaia 2 4 6 2 2" xfId="38767" xr:uid="{30985A6E-67E2-429C-8B98-D793506F20C4}"/>
    <cellStyle name="Migliaia 2 4 6 2 3" xfId="44069" xr:uid="{7A760A8D-B128-47E1-B156-B3809157D4D9}"/>
    <cellStyle name="Migliaia 2 4 6 3" xfId="18720" xr:uid="{BC33D941-5F45-42C1-92E0-7277D2C64BBE}"/>
    <cellStyle name="Migliaia 2 4 6 4" xfId="20054" xr:uid="{6D9AEB66-CE48-494A-A031-4B6B6803FC9F}"/>
    <cellStyle name="Migliaia 2 4 6 4 2" xfId="41418" xr:uid="{6F3CCB5A-93C7-45FF-82E9-6C1EF84764E7}"/>
    <cellStyle name="Migliaia 2 4 6 5" xfId="16181" xr:uid="{BF33451C-8D43-46FE-92C9-0F784703B777}"/>
    <cellStyle name="Migliaia 2 4 6 6" xfId="7868" xr:uid="{BAB9AB5E-7F57-4C35-AF2F-692A6678AFED}"/>
    <cellStyle name="Migliaia 2 4 7" xfId="6223" xr:uid="{8966786E-3C56-48F6-8867-236387508E69}"/>
    <cellStyle name="Migliaia 2 4 7 2" xfId="33352" xr:uid="{DA9D35F4-05CE-4116-A638-C6D781575DFF}"/>
    <cellStyle name="Migliaia 2 4 7 2 2" xfId="38768" xr:uid="{60B370FB-E041-4580-9D0F-9242E95F1D78}"/>
    <cellStyle name="Migliaia 2 4 7 2 3" xfId="44070" xr:uid="{03C22B0F-E2C1-4869-A06B-0D150D9B0AF0}"/>
    <cellStyle name="Migliaia 2 4 7 3" xfId="36261" xr:uid="{144F4996-9E31-4D39-A2E0-6BC5E268EACC}"/>
    <cellStyle name="Migliaia 2 4 7 4" xfId="41419" xr:uid="{2402890A-BB50-444B-AA6E-024D1C25278A}"/>
    <cellStyle name="Migliaia 2 4 7 5" xfId="12242" xr:uid="{1FBD43FC-4D0C-4560-9CCD-75E71B147D20}"/>
    <cellStyle name="Migliaia 2 4 8" xfId="3284" xr:uid="{17716854-2421-4F77-85A3-548D80B88D03}"/>
    <cellStyle name="Migliaia 2 4 8 2" xfId="33353" xr:uid="{42BE69ED-CF88-49CB-89FF-AA9FD527ADC3}"/>
    <cellStyle name="Migliaia 2 4 8 2 2" xfId="38769" xr:uid="{654D7A9B-2A2E-459C-BCB2-98A433427E5F}"/>
    <cellStyle name="Migliaia 2 4 8 2 3" xfId="44071" xr:uid="{9E77719C-C75C-4085-BD2B-4452CA64BC6F}"/>
    <cellStyle name="Migliaia 2 4 8 3" xfId="36262" xr:uid="{19626D6B-B5AC-4472-8168-F4105A048CCE}"/>
    <cellStyle name="Migliaia 2 4 8 4" xfId="41420" xr:uid="{24FAE28B-F397-4ECE-B7A5-DAD6AE02EA45}"/>
    <cellStyle name="Migliaia 2 4 8 5" xfId="24437" xr:uid="{EA77457D-14D2-4FAD-BA60-9A9C1185BD73}"/>
    <cellStyle name="Migliaia 2 4 8 6" xfId="17394" xr:uid="{99EDB5BF-EC0A-4EFA-A969-3F59E56F88CE}"/>
    <cellStyle name="Migliaia 2 4 9" xfId="20045" xr:uid="{9029E69C-6145-47C9-8CAA-8C2345F5BB6C}"/>
    <cellStyle name="Migliaia 2 5" xfId="1713" xr:uid="{00000000-0005-0000-0000-000027030000}"/>
    <cellStyle name="Migliaia 2 5 2" xfId="1714" xr:uid="{00000000-0005-0000-0000-000028030000}"/>
    <cellStyle name="Migliaia 2 5 2 2" xfId="5017" xr:uid="{44FADA94-FF22-4C65-B658-685C6E8AF8AD}"/>
    <cellStyle name="Migliaia 2 5 2 2 2" xfId="33354" xr:uid="{5B9E3598-DA5D-4854-A6A4-59FA7F44DBBB}"/>
    <cellStyle name="Migliaia 2 5 2 2 2 2" xfId="38770" xr:uid="{F6892D53-8174-4702-8062-6667C474B68C}"/>
    <cellStyle name="Migliaia 2 5 2 2 2 3" xfId="44072" xr:uid="{F5D1BD8D-C45F-460C-B406-A6FAB247C18E}"/>
    <cellStyle name="Migliaia 2 5 2 2 3" xfId="36263" xr:uid="{F6B52846-A4A4-46E8-B85F-ADB65EC56CBA}"/>
    <cellStyle name="Migliaia 2 5 2 2 4" xfId="41421" xr:uid="{5BED2311-2989-4E69-8404-E8A61183CC13}"/>
    <cellStyle name="Migliaia 2 5 2 2 5" xfId="9130" xr:uid="{E63E56B8-A03C-4E21-B3CE-9C5F90504AF5}"/>
    <cellStyle name="Migliaia 2 5 2 3" xfId="3291" xr:uid="{8022DF06-7796-4E28-85CC-7F90D6FDC2F9}"/>
    <cellStyle name="Migliaia 2 5 2 3 2" xfId="33355" xr:uid="{301F22E5-B1BE-4F09-B9C9-70A29B13B7C3}"/>
    <cellStyle name="Migliaia 2 5 2 3 2 2" xfId="38771" xr:uid="{B723307E-10E6-4288-8470-301972E79663}"/>
    <cellStyle name="Migliaia 2 5 2 3 2 3" xfId="44073" xr:uid="{8D8C63EF-B84E-424A-B341-CE6686D9B5EB}"/>
    <cellStyle name="Migliaia 2 5 2 3 3" xfId="36264" xr:uid="{2A2DA942-3B2E-4600-A0EC-2372F976B051}"/>
    <cellStyle name="Migliaia 2 5 2 3 4" xfId="41422" xr:uid="{C8A1A566-293C-4C9E-85B4-B4F3A8213FE9}"/>
    <cellStyle name="Migliaia 2 5 2 3 5" xfId="11933" xr:uid="{DE3624DB-86D3-4D36-BB6B-4F26BCA13C2D}"/>
    <cellStyle name="Migliaia 2 5 2 4" xfId="11282" xr:uid="{095D5B4A-78A6-4898-9598-C0F9AABF46E0}"/>
    <cellStyle name="Migliaia 2 5 2 5" xfId="10791" xr:uid="{2725919E-A49A-4219-8C4E-0F3C043A5D24}"/>
    <cellStyle name="Migliaia 2 5 2 5 2" xfId="21426" xr:uid="{28F1D639-91B5-41D3-836F-112D5C95C151}"/>
    <cellStyle name="Migliaia 2 5 2 5 3" xfId="48091" xr:uid="{4A7F872B-DE84-4C49-8D08-91EC3E42F48A}"/>
    <cellStyle name="Migliaia 2 5 2 5 4" xfId="50441" xr:uid="{9E5578B7-F6BA-43EA-80AD-0A96AB9785E0}"/>
    <cellStyle name="Migliaia 2 5 2 5 5" xfId="53457" xr:uid="{0D24BFF7-9571-4731-BA74-F76063E84BA9}"/>
    <cellStyle name="Migliaia 2 5 2 6" xfId="20056" xr:uid="{76357BE1-9A77-464E-965E-6E6FBF24D1A5}"/>
    <cellStyle name="Migliaia 2 5 2 7" xfId="24439" xr:uid="{B4FC2360-4408-4838-9FC8-27F2C750B564}"/>
    <cellStyle name="Migliaia 2 5 2 8" xfId="8550" xr:uid="{EA1CDAD3-DAE6-419A-AD7C-8CC4A6775DE2}"/>
    <cellStyle name="Migliaia 2 5 3" xfId="5016" xr:uid="{849FD1B5-8348-4CD9-ACB8-1C41D81D6DF2}"/>
    <cellStyle name="Migliaia 2 5 3 2" xfId="18185" xr:uid="{5034C0FF-5C0F-4544-BE1F-5F6D5D334000}"/>
    <cellStyle name="Migliaia 2 5 3 2 2" xfId="38772" xr:uid="{2559E454-0057-45BF-9B16-0C2AC2C2DEF8}"/>
    <cellStyle name="Migliaia 2 5 3 2 3" xfId="44074" xr:uid="{CA1A1379-D7F2-42D9-83BD-346C0916795D}"/>
    <cellStyle name="Migliaia 2 5 3 3" xfId="36265" xr:uid="{F944EE3F-38CE-4DD1-B0F1-ED46EB8534E4}"/>
    <cellStyle name="Migliaia 2 5 3 4" xfId="41423" xr:uid="{173E9DE0-7C77-4AFE-825E-8C7EDE9B0AF1}"/>
    <cellStyle name="Migliaia 2 5 3 5" xfId="17392" xr:uid="{ED3E643A-C26C-490D-B8A4-4AAD46D0CF02}"/>
    <cellStyle name="Migliaia 2 5 3 6" xfId="9131" xr:uid="{3A309D89-CA57-4309-A589-7B436A2013A4}"/>
    <cellStyle name="Migliaia 2 5 4" xfId="6229" xr:uid="{8B7CC546-7B11-46C8-AA2B-08089385C232}"/>
    <cellStyle name="Migliaia 2 5 4 2" xfId="33357" xr:uid="{F33F8C18-A7F6-4BD4-9D08-7BAC70D816B6}"/>
    <cellStyle name="Migliaia 2 5 4 2 2" xfId="38773" xr:uid="{6135C2F2-4D2D-48AE-8609-A70248F4CB44}"/>
    <cellStyle name="Migliaia 2 5 4 2 3" xfId="44075" xr:uid="{6C5680B6-6775-413C-BD98-8263AEF4D730}"/>
    <cellStyle name="Migliaia 2 5 4 3" xfId="36266" xr:uid="{F663F975-F764-42C3-AE93-4B2A42C0FEED}"/>
    <cellStyle name="Migliaia 2 5 4 4" xfId="41424" xr:uid="{CDD4E958-650F-4332-A7DF-A22DB1CD9EAB}"/>
    <cellStyle name="Migliaia 2 5 4 5" xfId="11934" xr:uid="{6934B792-02A2-4458-91B8-0C01078DAFBF}"/>
    <cellStyle name="Migliaia 2 5 5" xfId="3290" xr:uid="{22768DDA-9E50-40D6-920D-86E954561F62}"/>
    <cellStyle name="Migliaia 2 5 5 2" xfId="33358" xr:uid="{0602F257-C246-4069-B7EE-EC49BCECF9F2}"/>
    <cellStyle name="Migliaia 2 5 5 2 2" xfId="38774" xr:uid="{2A85D31E-E588-46D7-96E9-9880E8D4D5F7}"/>
    <cellStyle name="Migliaia 2 5 5 2 3" xfId="44076" xr:uid="{DBAB0D6E-624C-4A56-AF72-31322487B022}"/>
    <cellStyle name="Migliaia 2 5 5 3" xfId="36267" xr:uid="{D3294D43-972C-4906-B963-F5D072EC077A}"/>
    <cellStyle name="Migliaia 2 5 5 4" xfId="41425" xr:uid="{6B096E8C-9AF5-40A0-BA9A-DC71B3618672}"/>
    <cellStyle name="Migliaia 2 5 5 5" xfId="11281" xr:uid="{9F8DA251-393A-43D5-B2FD-58D9D3EB278B}"/>
    <cellStyle name="Migliaia 2 5 6" xfId="10790" xr:uid="{5A874BFF-95F9-4E33-AF92-4575DD2D12F1}"/>
    <cellStyle name="Migliaia 2 5 6 2" xfId="21425" xr:uid="{FE9AAD73-3D9B-4650-9A65-AD09BF95F8C6}"/>
    <cellStyle name="Migliaia 2 5 6 2 2" xfId="38775" xr:uid="{B035FB42-620D-4AA1-9513-88FD91390469}"/>
    <cellStyle name="Migliaia 2 5 6 2 3" xfId="44077" xr:uid="{E6AEA4BF-D397-4AA8-8AB0-6C71E4BF21CA}"/>
    <cellStyle name="Migliaia 2 5 6 2 4" xfId="33359" xr:uid="{A19CB3C7-7CF1-4A8A-AFCD-108910A52172}"/>
    <cellStyle name="Migliaia 2 5 6 3" xfId="36268" xr:uid="{67E9550D-D10F-4328-9D61-A05C3B66EAF8}"/>
    <cellStyle name="Migliaia 2 5 6 4" xfId="41426" xr:uid="{5A98DFDE-F46B-4ACF-84C0-24369B4AC3F0}"/>
    <cellStyle name="Migliaia 2 5 6 5" xfId="24445" xr:uid="{2B2BDA9F-897C-4A8A-B3CE-91C9C3D20218}"/>
    <cellStyle name="Migliaia 2 5 6 6" xfId="46990" xr:uid="{C386F55A-BFD6-4D82-8A63-8CC1AB778500}"/>
    <cellStyle name="Migliaia 2 5 6 7" xfId="50440" xr:uid="{0B0D1FEF-9EFF-4263-8FBC-52C6EB2BF757}"/>
    <cellStyle name="Migliaia 2 5 6 8" xfId="53456" xr:uid="{5F72D8DD-7FF2-476D-8D44-9FFE639F9EC9}"/>
    <cellStyle name="Migliaia 2 5 7" xfId="20055" xr:uid="{C43E9343-91FD-4B27-AA16-FE8D4953EF7B}"/>
    <cellStyle name="Migliaia 2 5 7 2" xfId="33360" xr:uid="{F1E51331-765E-4ADB-8458-265657B3FDA3}"/>
    <cellStyle name="Migliaia 2 5 7 2 2" xfId="38776" xr:uid="{E010D85F-BBB5-4A9F-B176-E182285FC34C}"/>
    <cellStyle name="Migliaia 2 5 7 2 3" xfId="44078" xr:uid="{F295DCE4-BA0C-4820-8191-8198351A48D3}"/>
    <cellStyle name="Migliaia 2 5 7 3" xfId="36269" xr:uid="{1BD07E4A-F7DF-4856-A703-A9C849E19BA3}"/>
    <cellStyle name="Migliaia 2 5 7 4" xfId="41427" xr:uid="{EE91D510-3527-49E5-9962-60BA0FF9FF38}"/>
    <cellStyle name="Migliaia 2 5 7 5" xfId="24446" xr:uid="{2DA02DCD-CE67-46C4-A87F-A46839E90230}"/>
    <cellStyle name="Migliaia 2 5 8" xfId="24438" xr:uid="{461E4296-B618-47C3-A7F1-BF50E9315302}"/>
    <cellStyle name="Migliaia 2 5 9" xfId="7360" xr:uid="{A3D9DDA7-DDD1-4979-9CC1-DE8308DE16A7}"/>
    <cellStyle name="Migliaia 2 6" xfId="1715" xr:uid="{00000000-0005-0000-0000-000029030000}"/>
    <cellStyle name="Migliaia 2 6 2" xfId="5018" xr:uid="{3D8FD8E2-0E5F-42AD-BC74-2A09D49DBDC6}"/>
    <cellStyle name="Migliaia 2 6 2 2" xfId="18397" xr:uid="{4A02D837-2E8A-44B5-84B9-F2F46026CDB0}"/>
    <cellStyle name="Migliaia 2 6 2 2 2" xfId="38777" xr:uid="{5EDD9192-23F5-42A1-BA75-406A789019F2}"/>
    <cellStyle name="Migliaia 2 6 2 2 3" xfId="44079" xr:uid="{987896E6-09A8-400C-820D-BA96863CA9C3}"/>
    <cellStyle name="Migliaia 2 6 2 3" xfId="20058" xr:uid="{B9DD8D7C-077A-4047-911F-0271962E3990}"/>
    <cellStyle name="Migliaia 2 6 2 3 2" xfId="36270" xr:uid="{3E43F844-CD25-4F1C-A5C3-D1633130510F}"/>
    <cellStyle name="Migliaia 2 6 2 4" xfId="41428" xr:uid="{35A905DC-F1F6-4910-B7C5-CA2044861537}"/>
    <cellStyle name="Migliaia 2 6 2 5" xfId="16182" xr:uid="{A5D19AFA-1C63-401C-A5D6-82A4BB78781A}"/>
    <cellStyle name="Migliaia 2 6 2 6" xfId="8551" xr:uid="{432113FB-DC29-4019-9AEF-4983B5447753}"/>
    <cellStyle name="Migliaia 2 6 3" xfId="6230" xr:uid="{8CFB1711-6679-4C73-A0B6-62BBBB00EA8C}"/>
    <cellStyle name="Migliaia 2 6 3 2" xfId="33362" xr:uid="{68B6A305-4E4D-4D06-9F32-93A3F4E452D9}"/>
    <cellStyle name="Migliaia 2 6 3 2 2" xfId="38778" xr:uid="{A0CF6E6B-D51F-4EFB-B897-F604A8FA3F52}"/>
    <cellStyle name="Migliaia 2 6 3 2 3" xfId="44080" xr:uid="{D32B0D67-F824-4DFC-844C-BEBB2AAFE225}"/>
    <cellStyle name="Migliaia 2 6 3 3" xfId="36271" xr:uid="{BB09F04F-43A7-4FDB-B340-0C7A86443B76}"/>
    <cellStyle name="Migliaia 2 6 3 4" xfId="41429" xr:uid="{6BB848FE-9286-4C3E-81C8-97D825225C9E}"/>
    <cellStyle name="Migliaia 2 6 3 5" xfId="11283" xr:uid="{76A6960A-050A-446C-B646-5D63515C26A7}"/>
    <cellStyle name="Migliaia 2 6 4" xfId="3292" xr:uid="{13E20299-CEF5-4C30-91A4-C2E5DFBD7A7A}"/>
    <cellStyle name="Migliaia 2 6 4 2" xfId="21427" xr:uid="{1B2E4373-3235-4C5D-B874-C1BC6B580213}"/>
    <cellStyle name="Migliaia 2 6 4 2 2" xfId="38779" xr:uid="{EA56E3A3-4B70-45A7-9785-9E43A9047B84}"/>
    <cellStyle name="Migliaia 2 6 4 2 3" xfId="44081" xr:uid="{14CE69CA-6945-4FF3-B1FA-EBA72CF07AB0}"/>
    <cellStyle name="Migliaia 2 6 4 2 4" xfId="33363" xr:uid="{72FF53FE-7740-4117-BA3D-87692A1E61F3}"/>
    <cellStyle name="Migliaia 2 6 4 3" xfId="36272" xr:uid="{6690B0B5-F47D-4519-B16F-EA3354B47EEA}"/>
    <cellStyle name="Migliaia 2 6 4 4" xfId="41430" xr:uid="{067FACF6-66DA-4412-A3F0-802E0992781F}"/>
    <cellStyle name="Migliaia 2 6 4 5" xfId="24450" xr:uid="{56B14DB1-5CFD-44C4-A6C3-C73273080188}"/>
    <cellStyle name="Migliaia 2 6 4 6" xfId="46642" xr:uid="{02828E1F-53A4-4774-B3CA-02E7C405800A}"/>
    <cellStyle name="Migliaia 2 6 4 7" xfId="50442" xr:uid="{07CD19F0-EB1A-4FF6-8071-7C204E4B14FD}"/>
    <cellStyle name="Migliaia 2 6 4 8" xfId="53458" xr:uid="{97AACED4-52AF-4773-A611-3B4C3CBE0FEC}"/>
    <cellStyle name="Migliaia 2 6 4 9" xfId="10792" xr:uid="{E861EF3C-BCBE-4011-B728-A785C95B291B}"/>
    <cellStyle name="Migliaia 2 6 5" xfId="20057" xr:uid="{955FECE2-1E2A-4102-97DF-037E544E6D4D}"/>
    <cellStyle name="Migliaia 2 6 5 2" xfId="33364" xr:uid="{70314BFF-EF07-453C-8A08-E3FB30FFCF9D}"/>
    <cellStyle name="Migliaia 2 6 5 2 2" xfId="38780" xr:uid="{43CE75A3-8E6C-4949-AB54-E1CE2393FED2}"/>
    <cellStyle name="Migliaia 2 6 5 2 3" xfId="44082" xr:uid="{D60A781C-2CED-45BA-B7BC-FB5FD40CA145}"/>
    <cellStyle name="Migliaia 2 6 5 3" xfId="36273" xr:uid="{8C91583D-4D16-4FC6-A0F4-77E978B6C791}"/>
    <cellStyle name="Migliaia 2 6 5 4" xfId="41431" xr:uid="{07661FD2-135A-4971-BD53-8A9FC283EEB8}"/>
    <cellStyle name="Migliaia 2 6 5 5" xfId="24451" xr:uid="{52BF00B2-8437-4AE1-B6C8-215A6C71D244}"/>
    <cellStyle name="Migliaia 2 6 6" xfId="24452" xr:uid="{087C5178-6ED8-42E8-B34D-AB9CBF88022C}"/>
    <cellStyle name="Migliaia 2 6 6 2" xfId="33365" xr:uid="{91612340-E1F1-4C17-9A57-C06BA43335E8}"/>
    <cellStyle name="Migliaia 2 6 6 2 2" xfId="38781" xr:uid="{10AA59C7-9AB9-41FE-A3CF-9C9758D6F09E}"/>
    <cellStyle name="Migliaia 2 6 6 2 3" xfId="44083" xr:uid="{BCC29380-45AA-4F3D-B26F-81C8B8370C31}"/>
    <cellStyle name="Migliaia 2 6 6 3" xfId="36274" xr:uid="{8447AE36-E6CB-4C1C-946B-A8334F711E2A}"/>
    <cellStyle name="Migliaia 2 6 6 4" xfId="41432" xr:uid="{2981C7F4-C366-4FA4-8B3C-A50BD5C26AED}"/>
    <cellStyle name="Migliaia 2 6 7" xfId="24447" xr:uid="{05D33622-BF2D-4D12-BB73-7663E766B191}"/>
    <cellStyle name="Migliaia 2 6 8" xfId="7361" xr:uid="{90BCD6CC-9019-4179-9FBD-D4D15513AA6A}"/>
    <cellStyle name="Migliaia 2 7" xfId="3293" xr:uid="{78903D78-8E1C-4A87-9C1C-3DCCB9D8732C}"/>
    <cellStyle name="Migliaia 2 7 2" xfId="5019" xr:uid="{7CCE4399-0168-4BFB-B938-FC5996119C9A}"/>
    <cellStyle name="Migliaia 2 7 2 2" xfId="9903" xr:uid="{EE43F49B-6489-482B-BFFF-0A8D9712A16D}"/>
    <cellStyle name="Migliaia 2 7 2 3" xfId="18669" xr:uid="{EEA65477-5CAD-49BE-BB20-8BF23455A1A7}"/>
    <cellStyle name="Migliaia 2 7 2 4" xfId="20060" xr:uid="{724B6FA3-5DA0-4C5C-B1DD-5B8668C1A090}"/>
    <cellStyle name="Migliaia 2 7 2 5" xfId="32325" xr:uid="{1A75DCEB-6299-4B71-A745-26AE42DD88CF}"/>
    <cellStyle name="Migliaia 2 7 2 6" xfId="16184" xr:uid="{B44A3509-F1CA-4B9C-97BD-1FD2776F3AE6}"/>
    <cellStyle name="Migliaia 2 7 2 7" xfId="8545" xr:uid="{AC6EBD31-DF03-4083-9106-15715F3A5799}"/>
    <cellStyle name="Migliaia 2 7 3" xfId="6231" xr:uid="{4E0449D4-F979-45B5-8C2D-5851662595C3}"/>
    <cellStyle name="Migliaia 2 7 3 2" xfId="35204" xr:uid="{59BE1629-7379-4184-8822-8EA6296D4A91}"/>
    <cellStyle name="Migliaia 2 7 3 2 2" xfId="40364" xr:uid="{B207E0D1-ABCA-46EF-A39A-2912430C3354}"/>
    <cellStyle name="Migliaia 2 7 3 2 3" xfId="45666" xr:uid="{3485CC75-43F2-472F-AFAC-8B1B128D45AF}"/>
    <cellStyle name="Migliaia 2 7 3 3" xfId="37713" xr:uid="{C96BBE19-FF21-44C2-8694-FE724A5C5016}"/>
    <cellStyle name="Migliaia 2 7 3 4" xfId="43015" xr:uid="{94C32676-D146-445D-BF80-52B8FAF39986}"/>
    <cellStyle name="Migliaia 2 7 3 5" xfId="9666" xr:uid="{D691E924-F008-45D2-B103-F04CFF042105}"/>
    <cellStyle name="Migliaia 2 7 4" xfId="20059" xr:uid="{C46704B5-FA41-47EC-9D8E-A2D19BD7DF81}"/>
    <cellStyle name="Migliaia 2 7 4 2" xfId="38782" xr:uid="{3A239D58-6322-4F8B-B973-B6430E5EECD5}"/>
    <cellStyle name="Migliaia 2 7 4 3" xfId="44084" xr:uid="{1C91332B-5AF0-49F2-A296-54B111812119}"/>
    <cellStyle name="Migliaia 2 7 4 4" xfId="33366" xr:uid="{8842D231-97AE-4B12-AF52-2D418AE3C2A0}"/>
    <cellStyle name="Migliaia 2 7 5" xfId="36275" xr:uid="{0B5A9BBD-2E87-4AF4-B84F-2C1108D9DA3A}"/>
    <cellStyle name="Migliaia 2 7 6" xfId="41433" xr:uid="{56962C13-DD4F-4A7C-9CF2-B436C75967F7}"/>
    <cellStyle name="Migliaia 2 7 7" xfId="16183" xr:uid="{9A061F21-62B0-4833-BE5F-EAA2C34462F5}"/>
    <cellStyle name="Migliaia 2 7 8" xfId="7355" xr:uid="{69B14685-1C49-45F0-9480-2C4E0E4E0DDC}"/>
    <cellStyle name="Migliaia 2 8" xfId="3294" xr:uid="{86ECFAAB-FAD6-472A-9E67-E31D3269714B}"/>
    <cellStyle name="Migliaia 2 8 2" xfId="5020" xr:uid="{3720FAC7-423A-4FD8-9816-A274ED2C4B3A}"/>
    <cellStyle name="Migliaia 2 8 2 2" xfId="35205" xr:uid="{B554A710-CE58-4CB3-8290-FFF3D7C1A5D1}"/>
    <cellStyle name="Migliaia 2 8 2 2 2" xfId="40365" xr:uid="{018E913D-9346-416D-9010-4A7F9CEC0FE2}"/>
    <cellStyle name="Migliaia 2 8 2 2 3" xfId="45667" xr:uid="{817FB4EA-D030-48FD-8C37-66A236FD10B8}"/>
    <cellStyle name="Migliaia 2 8 2 3" xfId="37714" xr:uid="{5C5DB4C1-9BBE-4F9A-BEB3-653FDC8A763B}"/>
    <cellStyle name="Migliaia 2 8 2 4" xfId="43016" xr:uid="{88A6049F-B2B1-4370-9C17-A694457E57C5}"/>
    <cellStyle name="Migliaia 2 8 2 5" xfId="14211" xr:uid="{31ACF652-9AFF-420D-8694-BB115D2BA26B}"/>
    <cellStyle name="Migliaia 2 8 3" xfId="6232" xr:uid="{150BF95C-39C8-48A7-9237-8E01383320D7}"/>
    <cellStyle name="Migliaia 2 8 3 2" xfId="38783" xr:uid="{A09ABF34-A033-4D01-B330-9294DA5A0117}"/>
    <cellStyle name="Migliaia 2 8 3 3" xfId="44085" xr:uid="{FE49A8DF-90A2-441A-9CBB-E4803A4B5125}"/>
    <cellStyle name="Migliaia 2 8 3 4" xfId="33367" xr:uid="{640AAEBA-B6EB-47FA-B7B4-481D3C76AD2C}"/>
    <cellStyle name="Migliaia 2 8 3 5" xfId="20061" xr:uid="{6A89695E-0A24-46B1-A6D3-2F8032412FA2}"/>
    <cellStyle name="Migliaia 2 8 4" xfId="36276" xr:uid="{71D6A228-5524-42FD-BEAB-33B39CE6E223}"/>
    <cellStyle name="Migliaia 2 8 5" xfId="41434" xr:uid="{B44E6F58-27CD-4B58-B96E-B02DC5C392B9}"/>
    <cellStyle name="Migliaia 2 8 6" xfId="16185" xr:uid="{070619B1-336B-4E07-852B-6353C4626989}"/>
    <cellStyle name="Migliaia 2 8 7" xfId="8273" xr:uid="{7B63F6AF-C52C-4868-99DB-8F431D6C5218}"/>
    <cellStyle name="Migliaia 2 9" xfId="3295" xr:uid="{B053A15E-2E9B-4371-875E-87510B4B7718}"/>
    <cellStyle name="Migliaia 2 9 2" xfId="5021" xr:uid="{444ADB4F-8060-4F06-B335-28548C8F684E}"/>
    <cellStyle name="Migliaia 2 9 2 2" xfId="35206" xr:uid="{619C9F1A-464A-4534-9A59-25172FF288AB}"/>
    <cellStyle name="Migliaia 2 9 2 2 2" xfId="40366" xr:uid="{214C7EDF-1A15-4DBA-AA28-5058C45D1CBF}"/>
    <cellStyle name="Migliaia 2 9 2 2 3" xfId="45668" xr:uid="{C590079A-02B1-492F-AFD1-A245EEDE081D}"/>
    <cellStyle name="Migliaia 2 9 2 3" xfId="37715" xr:uid="{2D321364-0FEC-4EFD-94A1-A263FEEFAA5B}"/>
    <cellStyle name="Migliaia 2 9 2 4" xfId="43017" xr:uid="{E688B1EA-90DD-4F15-B7A4-721704A2D139}"/>
    <cellStyle name="Migliaia 2 9 2 5" xfId="13914" xr:uid="{9DBAD143-85E6-46CB-8D0E-566C93710B83}"/>
    <cellStyle name="Migliaia 2 9 3" xfId="6233" xr:uid="{31997909-8540-4461-B1B6-FF13B8551299}"/>
    <cellStyle name="Migliaia 2 9 3 2" xfId="38784" xr:uid="{252B9866-0250-44F6-A67A-6156BC5A7DD5}"/>
    <cellStyle name="Migliaia 2 9 3 3" xfId="44086" xr:uid="{3C6C16A2-BC56-452B-8194-DAD4538D7895}"/>
    <cellStyle name="Migliaia 2 9 3 4" xfId="33368" xr:uid="{96D28798-0259-4CA7-ADF0-D0E4735CFCB3}"/>
    <cellStyle name="Migliaia 2 9 3 5" xfId="20062" xr:uid="{3A9E3403-4048-4EF6-9A70-F56264B4A479}"/>
    <cellStyle name="Migliaia 2 9 4" xfId="36277" xr:uid="{7E82CF76-F294-40E2-B9CB-3E8B633A3CE1}"/>
    <cellStyle name="Migliaia 2 9 5" xfId="41435" xr:uid="{CBBC8EF1-0DBF-45C7-99AF-B355AF41EFAC}"/>
    <cellStyle name="Migliaia 2 9 6" xfId="16186" xr:uid="{C5C582A7-2AC3-4553-B439-CB3EEBC3AA75}"/>
    <cellStyle name="Migliaia 2 9 7" xfId="7863" xr:uid="{586D940F-7A11-4792-A64B-C0C552534433}"/>
    <cellStyle name="Migliaia 2_Domestico_reg&amp;naz" xfId="348" xr:uid="{00000000-0005-0000-0000-00002A030000}"/>
    <cellStyle name="Migliaia 20" xfId="349" xr:uid="{00000000-0005-0000-0000-00002B030000}"/>
    <cellStyle name="Migliaia 20 10" xfId="6234" xr:uid="{09C1254B-4066-4040-AEC8-96E67004F079}"/>
    <cellStyle name="Migliaia 20 10 2" xfId="38785" xr:uid="{76DD6C0C-C974-4F97-8660-AAB5D4D87C75}"/>
    <cellStyle name="Migliaia 20 10 3" xfId="44087" xr:uid="{3F15227A-115E-467A-AED6-4E815D01B1B3}"/>
    <cellStyle name="Migliaia 20 10 4" xfId="33369" xr:uid="{F710BA1B-8E09-4A78-AEA0-CE7035EBD0B1}"/>
    <cellStyle name="Migliaia 20 10 5" xfId="20063" xr:uid="{6217A06B-06E4-494D-B9A7-27431E06A727}"/>
    <cellStyle name="Migliaia 20 11" xfId="3296" xr:uid="{51E0C443-0B0E-477A-A1B7-543751C10135}"/>
    <cellStyle name="Migliaia 20 11 2" xfId="36278" xr:uid="{2A6207CB-7F82-46FC-BCF3-09F4D3ECD8BB}"/>
    <cellStyle name="Migliaia 20 12" xfId="41436" xr:uid="{E972BDFC-4F25-4492-AC68-A926932CE431}"/>
    <cellStyle name="Migliaia 20 13" xfId="7078" xr:uid="{C985E475-B773-4E72-91B0-33E4F5C31830}"/>
    <cellStyle name="Migliaia 20 2" xfId="350" xr:uid="{00000000-0005-0000-0000-00002C030000}"/>
    <cellStyle name="Migliaia 20 2 2" xfId="1716" xr:uid="{00000000-0005-0000-0000-00002D030000}"/>
    <cellStyle name="Migliaia 20 2 2 2" xfId="5024" xr:uid="{4483A384-E81A-458E-8460-16A4CF5F83AE}"/>
    <cellStyle name="Migliaia 20 2 2 2 2" xfId="14375" xr:uid="{88FDFF7F-5D1F-49E2-9AFA-E23373482D75}"/>
    <cellStyle name="Migliaia 20 2 2 2 2 2" xfId="38786" xr:uid="{C40E469A-D110-42D6-A9CC-1B547ABA1F41}"/>
    <cellStyle name="Migliaia 20 2 2 2 2 3" xfId="44088" xr:uid="{BE72FC88-2621-4EDE-86F1-85A5118B3C67}"/>
    <cellStyle name="Migliaia 20 2 2 2 3" xfId="18398" xr:uid="{D085BBA0-A566-469D-AE27-143654F7FAC7}"/>
    <cellStyle name="Migliaia 20 2 2 2 4" xfId="20066" xr:uid="{8A590F44-731B-4192-821D-7949F328313F}"/>
    <cellStyle name="Migliaia 20 2 2 2 4 2" xfId="41437" xr:uid="{8EF95C7A-5039-4C93-A234-49959869E09D}"/>
    <cellStyle name="Migliaia 20 2 2 2 5" xfId="16187" xr:uid="{7D26BC8C-281F-4F74-A48D-A0E5CA54F172}"/>
    <cellStyle name="Migliaia 20 2 2 2 6" xfId="8553" xr:uid="{30742BC3-1094-4CC9-BE89-6CFBB42EF8F6}"/>
    <cellStyle name="Migliaia 20 2 2 3" xfId="6236" xr:uid="{8DAA7853-6C5C-4B96-9F8D-6048623EA17E}"/>
    <cellStyle name="Migliaia 20 2 2 3 2" xfId="35207" xr:uid="{F47C2681-93F9-46B1-B2BE-F0121A3B6EE2}"/>
    <cellStyle name="Migliaia 20 2 2 3 2 2" xfId="40367" xr:uid="{BF668FBF-F8EE-48E3-980B-74EB3F9DF5F1}"/>
    <cellStyle name="Migliaia 20 2 2 3 2 3" xfId="45669" xr:uid="{7E3DCF9E-5D73-4670-B6FD-EB77C9C5E4ED}"/>
    <cellStyle name="Migliaia 20 2 2 3 3" xfId="37716" xr:uid="{D5C58352-07B5-4259-A7CC-E80E19813802}"/>
    <cellStyle name="Migliaia 20 2 2 3 4" xfId="43018" xr:uid="{1A279B86-7699-4A1B-8A81-45F15572E7AB}"/>
    <cellStyle name="Migliaia 20 2 2 3 5" xfId="11602" xr:uid="{53B78297-7F65-496B-9C0C-3ED242ABCFB8}"/>
    <cellStyle name="Migliaia 20 2 2 4" xfId="3298" xr:uid="{BEA27ECB-21E2-4490-A30F-4137FD2E0B61}"/>
    <cellStyle name="Migliaia 20 2 2 4 2" xfId="21428" xr:uid="{8F8694E2-93B2-4862-80CF-02C83CBEA4C9}"/>
    <cellStyle name="Migliaia 20 2 2 4 3" xfId="33782" xr:uid="{DB51A685-FE78-4E79-B39A-BFB451F0D5BB}"/>
    <cellStyle name="Migliaia 20 2 2 4 4" xfId="50443" xr:uid="{0CC440D1-ED6E-40B0-9249-4F076D2C7A3D}"/>
    <cellStyle name="Migliaia 20 2 2 4 5" xfId="53459" xr:uid="{BCF27F57-FCB8-4EB6-B9BF-2A425F5A3B05}"/>
    <cellStyle name="Migliaia 20 2 2 4 6" xfId="10793" xr:uid="{C031A717-8F78-44BB-B677-70E1277DEA78}"/>
    <cellStyle name="Migliaia 20 2 2 5" xfId="20065" xr:uid="{C950557D-C313-465E-A207-04839FD43781}"/>
    <cellStyle name="Migliaia 20 2 2 6" xfId="24458" xr:uid="{2F945B28-224D-49A3-845F-C9B39CD49CDE}"/>
    <cellStyle name="Migliaia 20 2 2 7" xfId="7363" xr:uid="{CF06589C-84C2-43B9-A0CC-B85B0BEF66A1}"/>
    <cellStyle name="Migliaia 20 2 3" xfId="3299" xr:uid="{4C2C4986-E553-4008-87E4-209F6EB137BE}"/>
    <cellStyle name="Migliaia 20 2 3 2" xfId="5025" xr:uid="{0CD160EE-02EC-41AB-9FB4-51E75B9D74B4}"/>
    <cellStyle name="Migliaia 20 2 3 2 2" xfId="35208" xr:uid="{AFE56817-7F53-4436-A33A-06316BC44ED7}"/>
    <cellStyle name="Migliaia 20 2 3 2 2 2" xfId="40368" xr:uid="{1E7CF647-2F0A-45A4-BAB4-5AF38CAA1ED2}"/>
    <cellStyle name="Migliaia 20 2 3 2 2 3" xfId="45670" xr:uid="{10FD98AC-7433-4556-BCA1-A16491C89969}"/>
    <cellStyle name="Migliaia 20 2 3 2 3" xfId="37717" xr:uid="{E34D0A21-CC95-4B1D-BF85-7AB8EF34FD47}"/>
    <cellStyle name="Migliaia 20 2 3 2 4" xfId="43019" xr:uid="{EC243582-84A7-4299-9D18-D9F4067CFEFE}"/>
    <cellStyle name="Migliaia 20 2 3 2 5" xfId="14216" xr:uid="{D8693E71-F8F9-4BAF-9860-0133930022DF}"/>
    <cellStyle name="Migliaia 20 2 3 3" xfId="6237" xr:uid="{C41AEA15-B0A9-4053-8E36-222FA2906A01}"/>
    <cellStyle name="Migliaia 20 2 3 3 2" xfId="38787" xr:uid="{9B730F06-363F-4E43-93B7-44D55FE9DAA6}"/>
    <cellStyle name="Migliaia 20 2 3 3 3" xfId="44089" xr:uid="{A3A45162-2267-4076-9F16-8754BDDE8A07}"/>
    <cellStyle name="Migliaia 20 2 3 3 4" xfId="33371" xr:uid="{D109DFEA-6405-4148-87FA-2B04733B77BA}"/>
    <cellStyle name="Migliaia 20 2 3 3 5" xfId="20067" xr:uid="{BA63D5D9-EC81-44CC-8D66-3D79F3FDF5E9}"/>
    <cellStyle name="Migliaia 20 2 3 4" xfId="36280" xr:uid="{8795E217-1A34-4042-ABCC-FA0366BF8880}"/>
    <cellStyle name="Migliaia 20 2 3 5" xfId="41438" xr:uid="{7F10D9AC-AF5D-4707-B06B-3F403B054F4F}"/>
    <cellStyle name="Migliaia 20 2 3 6" xfId="16188" xr:uid="{630840ED-6968-4115-91F6-E6F8BC6C7378}"/>
    <cellStyle name="Migliaia 20 2 3 7" xfId="8278" xr:uid="{11EE2C72-32C9-4D58-BE4F-F72AF59AC700}"/>
    <cellStyle name="Migliaia 20 2 4" xfId="5023" xr:uid="{E690E513-41D2-4F5F-B2D0-3A977F8ABB90}"/>
    <cellStyle name="Migliaia 20 2 4 2" xfId="13921" xr:uid="{240FA36D-0ED3-4F18-8E10-C935A687685D}"/>
    <cellStyle name="Migliaia 20 2 4 2 2" xfId="38788" xr:uid="{A53040BF-41F6-403A-A535-68D9D60094F0}"/>
    <cellStyle name="Migliaia 20 2 4 2 3" xfId="44090" xr:uid="{B20DE2C4-5CC6-478D-A914-7FF97E8B42EF}"/>
    <cellStyle name="Migliaia 20 2 4 3" xfId="18719" xr:uid="{95E30E9D-9C15-4127-90BE-341F86C5FEDC}"/>
    <cellStyle name="Migliaia 20 2 4 4" xfId="20068" xr:uid="{38060229-A978-45F9-A009-F64761E57CC8}"/>
    <cellStyle name="Migliaia 20 2 4 4 2" xfId="41439" xr:uid="{E72DB524-F588-412D-92B2-E902EFB013A9}"/>
    <cellStyle name="Migliaia 20 2 4 5" xfId="16189" xr:uid="{3398D8AF-8665-4F50-9A65-DE8B025CAD89}"/>
    <cellStyle name="Migliaia 20 2 4 6" xfId="7871" xr:uid="{5C945C41-0018-4B8D-9627-65FED1F85F1E}"/>
    <cellStyle name="Migliaia 20 2 5" xfId="6235" xr:uid="{FF37BF19-91B6-4B3E-A92E-127F81DA7260}"/>
    <cellStyle name="Migliaia 20 2 5 2" xfId="33372" xr:uid="{3774D4EC-28C7-4CF1-849D-478D597DF977}"/>
    <cellStyle name="Migliaia 20 2 5 2 2" xfId="38789" xr:uid="{D2A45269-FD21-4316-8820-9B9813605618}"/>
    <cellStyle name="Migliaia 20 2 5 2 3" xfId="44091" xr:uid="{6B3B4FCF-1727-44AE-BFC1-FD18E90E98A7}"/>
    <cellStyle name="Migliaia 20 2 5 3" xfId="36281" xr:uid="{AF001F02-0956-450C-B298-933E1EADFCC1}"/>
    <cellStyle name="Migliaia 20 2 5 4" xfId="41440" xr:uid="{D4DE2673-ABD6-49E8-BF57-1D7406395089}"/>
    <cellStyle name="Migliaia 20 2 5 5" xfId="13115" xr:uid="{3147E584-E1B4-4A12-B4C1-F81F8DACD4A8}"/>
    <cellStyle name="Migliaia 20 2 6" xfId="3297" xr:uid="{7F3C78A9-AE06-4C91-9E2C-AAEEEABDBC72}"/>
    <cellStyle name="Migliaia 20 2 6 2" xfId="33373" xr:uid="{5675B69B-3D54-4D62-BA01-E944E9B68225}"/>
    <cellStyle name="Migliaia 20 2 6 2 2" xfId="38790" xr:uid="{C7DFF3EA-2DE6-4926-AE09-CFBADA1BEEBF}"/>
    <cellStyle name="Migliaia 20 2 6 2 3" xfId="44092" xr:uid="{AEDDDDCA-5F7A-489E-8BD6-0051340B7BF4}"/>
    <cellStyle name="Migliaia 20 2 6 3" xfId="36282" xr:uid="{7779A5A2-03E2-4617-BB8B-CB4356831D7F}"/>
    <cellStyle name="Migliaia 20 2 6 4" xfId="41441" xr:uid="{545F1D60-7680-41D2-9BF6-A4385DF82330}"/>
    <cellStyle name="Migliaia 20 2 6 5" xfId="24461" xr:uid="{9271C1FD-AA47-4249-95BE-19F40FB0A590}"/>
    <cellStyle name="Migliaia 20 2 6 6" xfId="20064" xr:uid="{09AA98A5-1EDC-468E-AFDE-AE12B98C2AE3}"/>
    <cellStyle name="Migliaia 20 2 7" xfId="24457" xr:uid="{3435B057-6D4B-426D-9C9F-9D72C7373992}"/>
    <cellStyle name="Migliaia 20 2 8" xfId="7079" xr:uid="{269FF50A-CAD5-4C6F-A8D0-F4A2B720FF13}"/>
    <cellStyle name="Migliaia 20 3" xfId="351" xr:uid="{00000000-0005-0000-0000-00002E030000}"/>
    <cellStyle name="Migliaia 20 3 10" xfId="24462" xr:uid="{A17C928C-3AB5-427B-8155-E0C11ED29699}"/>
    <cellStyle name="Migliaia 20 3 11" xfId="16190" xr:uid="{0085834A-B4BC-4E8F-9254-0B9A1770D6BE}"/>
    <cellStyle name="Migliaia 20 3 12" xfId="7080" xr:uid="{C1DA829C-A7B1-4E46-8F26-CB5C0039DA54}"/>
    <cellStyle name="Migliaia 20 3 2" xfId="352" xr:uid="{00000000-0005-0000-0000-00002F030000}"/>
    <cellStyle name="Migliaia 20 3 2 2" xfId="1717" xr:uid="{00000000-0005-0000-0000-000030030000}"/>
    <cellStyle name="Migliaia 20 3 2 2 2" xfId="5028" xr:uid="{E6FCE665-6B03-4854-BAFC-9D6DF9752672}"/>
    <cellStyle name="Migliaia 20 3 2 2 2 2" xfId="18399" xr:uid="{8BD545CE-BDCC-47E5-A826-8958ECB34B8A}"/>
    <cellStyle name="Migliaia 20 3 2 2 2 2 2" xfId="21853" xr:uid="{86BE38A1-87E0-4990-B31B-C5748BB43CAB}"/>
    <cellStyle name="Migliaia 20 3 2 2 2 2 2 2" xfId="38791" xr:uid="{69698E00-9997-4AC0-B3F7-393520D34D13}"/>
    <cellStyle name="Migliaia 20 3 2 2 2 2 3" xfId="44093" xr:uid="{3E3B7347-83EC-41D4-8076-7613BDAE7E63}"/>
    <cellStyle name="Migliaia 20 3 2 2 2 2 4" xfId="33374" xr:uid="{9B826E4A-21C7-4D5E-9221-04BB2AC381CA}"/>
    <cellStyle name="Migliaia 20 3 2 2 2 3" xfId="36283" xr:uid="{489CFB81-4E00-43E9-8E1F-180B34AE1765}"/>
    <cellStyle name="Migliaia 20 3 2 2 2 4" xfId="41442" xr:uid="{A2CFB6ED-B99B-49D0-A706-9EB8C4993BCB}"/>
    <cellStyle name="Migliaia 20 3 2 2 2 5" xfId="33410" xr:uid="{2AD93B0A-D472-4EAF-81AD-7C2A64652639}"/>
    <cellStyle name="Migliaia 20 3 2 2 2 6" xfId="50881" xr:uid="{6E2DD9F2-E3B0-4873-B6E7-EEC5E9DE4E5F}"/>
    <cellStyle name="Migliaia 20 3 2 2 2 7" xfId="53897" xr:uid="{141E300C-7AD7-4989-A1BA-833FCDBB1A4B}"/>
    <cellStyle name="Migliaia 20 3 2 2 2 8" xfId="17650" xr:uid="{9C8D73F4-14D0-4B29-9992-EAA1B8A44BFA}"/>
    <cellStyle name="Migliaia 20 3 2 2 2 9" xfId="11935" xr:uid="{DB8D743D-BE2F-4EA6-968C-7536B86BFA66}"/>
    <cellStyle name="Migliaia 20 3 2 2 3" xfId="6240" xr:uid="{57CE9A27-30DB-436C-BF92-68F3E852652C}"/>
    <cellStyle name="Migliaia 20 3 2 2 3 2" xfId="11671" xr:uid="{5A0C01CC-5C22-40FD-A29A-BA66239AC47D}"/>
    <cellStyle name="Migliaia 20 3 2 2 4" xfId="3302" xr:uid="{F74D9D9D-625F-4285-A195-459E63E670BC}"/>
    <cellStyle name="Migliaia 20 3 2 2 4 2" xfId="21429" xr:uid="{11C4FB04-4A9E-48F6-B0F1-7249603B682F}"/>
    <cellStyle name="Migliaia 20 3 2 2 4 3" xfId="47063" xr:uid="{F38DFD9D-1076-4125-A11C-2D2A7B03006F}"/>
    <cellStyle name="Migliaia 20 3 2 2 4 4" xfId="50444" xr:uid="{547268B3-28AC-4142-8060-C3BEF0FDDFEE}"/>
    <cellStyle name="Migliaia 20 3 2 2 4 5" xfId="53460" xr:uid="{264EAAFA-1672-47AF-8E23-12A65001D48D}"/>
    <cellStyle name="Migliaia 20 3 2 2 4 6" xfId="10794" xr:uid="{5FF074A4-5EB6-4068-9559-6964886301F3}"/>
    <cellStyle name="Migliaia 20 3 2 2 5" xfId="20071" xr:uid="{F6BB960D-4AA8-4D3F-9C78-A8A765A8F3B6}"/>
    <cellStyle name="Migliaia 20 3 2 2 6" xfId="24464" xr:uid="{1C224087-0A54-4488-9509-65EB2DF4EDD6}"/>
    <cellStyle name="Migliaia 20 3 2 2 7" xfId="8555" xr:uid="{BDDB9F06-A3FF-4EE9-82C6-D098ACC64F80}"/>
    <cellStyle name="Migliaia 20 3 2 3" xfId="5027" xr:uid="{8A8376F0-2401-4CFE-A451-CA53D0A8F04D}"/>
    <cellStyle name="Migliaia 20 3 2 3 2" xfId="12227" xr:uid="{E5D030C1-D702-42BD-A656-43BB87ACAF49}"/>
    <cellStyle name="Migliaia 20 3 2 3 2 2" xfId="38792" xr:uid="{14D9856F-F27D-4A4D-BC60-2A36AFFA102E}"/>
    <cellStyle name="Migliaia 20 3 2 3 2 3" xfId="44094" xr:uid="{8C468954-1D19-48B0-A34A-2A6BAAF192E1}"/>
    <cellStyle name="Migliaia 20 3 2 3 2 4" xfId="33375" xr:uid="{F96F718D-3CDA-4221-B534-CEAE5B2B96D7}"/>
    <cellStyle name="Migliaia 20 3 2 3 3" xfId="11936" xr:uid="{D708CCA0-30D5-4223-B75E-D1FE29478E81}"/>
    <cellStyle name="Migliaia 20 3 2 3 4" xfId="20072" xr:uid="{1831CCD9-D791-45F6-90B1-CF8C8AD5F6D4}"/>
    <cellStyle name="Migliaia 20 3 2 3 4 2" xfId="41443" xr:uid="{7527B870-C5B9-42DB-A79A-CD0B05026379}"/>
    <cellStyle name="Migliaia 20 3 2 3 5" xfId="16191" xr:uid="{4410F69F-71E0-44B6-8615-A277F8BEAEC6}"/>
    <cellStyle name="Migliaia 20 3 2 3 6" xfId="7873" xr:uid="{5AAB10DC-FCC2-4926-9347-B8E3321A3A25}"/>
    <cellStyle name="Migliaia 20 3 2 4" xfId="6239" xr:uid="{47707BAA-DEA3-40FD-8145-10731F90B767}"/>
    <cellStyle name="Migliaia 20 3 2 4 2" xfId="18069" xr:uid="{82D3D426-5560-4480-8B2F-F0BEBF89A972}"/>
    <cellStyle name="Migliaia 20 3 2 4 2 2" xfId="38793" xr:uid="{0E86FAC4-5699-4E9D-9FD7-12061A69A8B9}"/>
    <cellStyle name="Migliaia 20 3 2 4 2 3" xfId="44095" xr:uid="{C2082BF6-F645-4028-8E98-16621CC0507A}"/>
    <cellStyle name="Migliaia 20 3 2 4 3" xfId="36284" xr:uid="{08CEBBE6-FB5D-4C06-A433-63A29C8C35A2}"/>
    <cellStyle name="Migliaia 20 3 2 4 4" xfId="41444" xr:uid="{FA8FFA2D-E369-4A4A-9351-75FB9141C034}"/>
    <cellStyle name="Migliaia 20 3 2 4 5" xfId="17160" xr:uid="{70D8E08A-5E6A-45D1-8D38-C8633644F0EE}"/>
    <cellStyle name="Migliaia 20 3 2 4 6" xfId="11284" xr:uid="{278E56E6-2B74-4AAD-B989-50818BEB44F6}"/>
    <cellStyle name="Migliaia 20 3 2 5" xfId="3301" xr:uid="{B25961CB-D410-45B9-B077-5028FFE1B82F}"/>
    <cellStyle name="Migliaia 20 3 2 5 2" xfId="33376" xr:uid="{AD579B22-BC14-429B-97F1-0338EF0520C3}"/>
    <cellStyle name="Migliaia 20 3 2 5 2 2" xfId="38794" xr:uid="{A161C357-4789-49D9-B55C-E46311A32332}"/>
    <cellStyle name="Migliaia 20 3 2 5 2 3" xfId="44096" xr:uid="{30DC804B-4B3E-43B1-A965-B9F6936C5882}"/>
    <cellStyle name="Migliaia 20 3 2 5 3" xfId="36285" xr:uid="{D6FE94FF-A6F5-47A6-B574-200BB286272F}"/>
    <cellStyle name="Migliaia 20 3 2 5 4" xfId="41445" xr:uid="{20A22DBD-2809-4171-B924-EDB40EF3A280}"/>
    <cellStyle name="Migliaia 20 3 2 5 5" xfId="17390" xr:uid="{815E4FF7-3C87-4A51-8C50-16AC753BE700}"/>
    <cellStyle name="Migliaia 20 3 2 6" xfId="20070" xr:uid="{0DD90139-23ED-46D1-B498-F4FCF85F46A7}"/>
    <cellStyle name="Migliaia 20 3 2 6 2" xfId="33377" xr:uid="{E94146A6-52A6-4D1A-A0A4-19930607887A}"/>
    <cellStyle name="Migliaia 20 3 2 6 2 2" xfId="38795" xr:uid="{510BFE7F-4BB2-4C07-9CC6-5E6882AD3214}"/>
    <cellStyle name="Migliaia 20 3 2 6 2 3" xfId="44097" xr:uid="{DA03918C-FAE7-41D0-B988-1160F1379F35}"/>
    <cellStyle name="Migliaia 20 3 2 6 3" xfId="36286" xr:uid="{CF2D3AC7-F64E-48BE-92FA-1B9C11F1507E}"/>
    <cellStyle name="Migliaia 20 3 2 6 4" xfId="41446" xr:uid="{07759690-12A9-4D49-80FE-BC6C86B7F225}"/>
    <cellStyle name="Migliaia 20 3 2 6 5" xfId="24465" xr:uid="{25464AC2-3D96-4183-879C-19D1B47C14ED}"/>
    <cellStyle name="Migliaia 20 3 2 7" xfId="24463" xr:uid="{C66F03A7-3F9C-4F3C-B0AF-D9B17FAFD92C}"/>
    <cellStyle name="Migliaia 20 3 2 8" xfId="7365" xr:uid="{B8554499-9ECF-4F6D-9F3F-AAD59E769EFC}"/>
    <cellStyle name="Migliaia 20 3 3" xfId="3303" xr:uid="{0A7F90EE-771F-4DC2-B84D-11BB559D1429}"/>
    <cellStyle name="Migliaia 20 3 3 10" xfId="7364" xr:uid="{17B6D7B0-9193-4D17-AC17-2951A6AF8886}"/>
    <cellStyle name="Migliaia 20 3 3 2" xfId="5029" xr:uid="{6E96B5C7-43CC-465F-94A6-CB6A4C61889A}"/>
    <cellStyle name="Migliaia 20 3 3 2 2" xfId="9906" xr:uid="{C08D98CF-B599-4CE6-8AC6-26E19664F3B1}"/>
    <cellStyle name="Migliaia 20 3 3 2 2 2" xfId="38797" xr:uid="{F4CC941E-68DC-4865-9202-29DE40B17708}"/>
    <cellStyle name="Migliaia 20 3 3 2 2 3" xfId="44099" xr:uid="{8BAFC7DB-091F-4159-8D1B-3B40E0983847}"/>
    <cellStyle name="Migliaia 20 3 3 2 3" xfId="18186" xr:uid="{6FEF4D3F-4348-4639-A5CC-5B2C2EE7EBF9}"/>
    <cellStyle name="Migliaia 20 3 3 2 4" xfId="20074" xr:uid="{475CB908-5C93-459C-8FAA-EE03DBC50EB2}"/>
    <cellStyle name="Migliaia 20 3 3 2 4 2" xfId="41448" xr:uid="{EAEDF548-3F0B-4ECF-BAD0-93B35BF3851E}"/>
    <cellStyle name="Migliaia 20 3 3 2 5" xfId="16193" xr:uid="{C50B3CD1-74AB-450F-99F6-7B665561CC72}"/>
    <cellStyle name="Migliaia 20 3 3 2 6" xfId="8554" xr:uid="{115B8379-FC69-41FD-AE6E-F1B342985B61}"/>
    <cellStyle name="Migliaia 20 3 3 3" xfId="6241" xr:uid="{1584519A-704C-49C9-BFEE-0111DBF08D03}"/>
    <cellStyle name="Migliaia 20 3 3 3 2" xfId="33379" xr:uid="{A17583D3-BA04-4FA0-BE8B-915D8D0502B1}"/>
    <cellStyle name="Migliaia 20 3 3 3 2 2" xfId="38798" xr:uid="{C6D28FCC-5FF0-475E-8DD8-C7276A26F623}"/>
    <cellStyle name="Migliaia 20 3 3 3 2 3" xfId="44100" xr:uid="{70ECDD93-CED2-4D0D-B38C-6B20563848B7}"/>
    <cellStyle name="Migliaia 20 3 3 3 3" xfId="36288" xr:uid="{FA1E8770-8860-451B-8587-36BFF65E60B3}"/>
    <cellStyle name="Migliaia 20 3 3 3 4" xfId="41449" xr:uid="{79EBE2F3-633C-4074-88EC-BC1EDAEDF5A1}"/>
    <cellStyle name="Migliaia 20 3 3 3 5" xfId="9669" xr:uid="{B968158F-7243-463A-8C62-9BE226677763}"/>
    <cellStyle name="Migliaia 20 3 3 4" xfId="20073" xr:uid="{65E4927C-D330-4AE6-9609-DAC9C5028FD5}"/>
    <cellStyle name="Migliaia 20 3 3 4 2" xfId="33380" xr:uid="{942E6642-4EC1-41D1-A580-8831D28BC801}"/>
    <cellStyle name="Migliaia 20 3 3 4 2 2" xfId="38799" xr:uid="{329CE132-3AA2-418B-B6AC-D32A378AD3E0}"/>
    <cellStyle name="Migliaia 20 3 3 4 2 3" xfId="44101" xr:uid="{CEA7D693-FF0A-4B3B-9898-42C941910FF5}"/>
    <cellStyle name="Migliaia 20 3 3 4 3" xfId="36289" xr:uid="{432EEDEC-3DB1-4C3F-A598-A8785C46986E}"/>
    <cellStyle name="Migliaia 20 3 3 4 4" xfId="41450" xr:uid="{A1D711AE-72AC-4731-B6E3-6E6A768414C9}"/>
    <cellStyle name="Migliaia 20 3 3 4 5" xfId="24466" xr:uid="{C165E444-1A40-4D8C-9B03-83D69D84EBB4}"/>
    <cellStyle name="Migliaia 20 3 3 5" xfId="24467" xr:uid="{2D187CA7-328C-4857-AC00-CB27CCB256E4}"/>
    <cellStyle name="Migliaia 20 3 3 5 2" xfId="33381" xr:uid="{900B0004-3534-48AD-A40A-20BAE56151AD}"/>
    <cellStyle name="Migliaia 20 3 3 5 2 2" xfId="38800" xr:uid="{EAF6EEA0-D669-4B4A-9B93-3D200A394485}"/>
    <cellStyle name="Migliaia 20 3 3 5 2 3" xfId="44102" xr:uid="{03C3F5C4-7A7B-4787-9E2D-52DA0AE01190}"/>
    <cellStyle name="Migliaia 20 3 3 5 3" xfId="36290" xr:uid="{AB07E5E5-3D9C-4362-865F-5FDE0077218F}"/>
    <cellStyle name="Migliaia 20 3 3 5 4" xfId="41451" xr:uid="{62A161BA-C478-4101-A4F0-E7019BFBA4DC}"/>
    <cellStyle name="Migliaia 20 3 3 6" xfId="33378" xr:uid="{8EF0CF96-FEB5-4A2A-9246-A3379A5F7DFF}"/>
    <cellStyle name="Migliaia 20 3 3 6 2" xfId="38796" xr:uid="{36F36B6F-0DC0-4333-BE36-3EA684FCF596}"/>
    <cellStyle name="Migliaia 20 3 3 6 3" xfId="44098" xr:uid="{3880DD36-5495-403F-B017-C16661F60806}"/>
    <cellStyle name="Migliaia 20 3 3 7" xfId="36287" xr:uid="{72960EF2-3A26-4686-8CFC-304DB8ECA012}"/>
    <cellStyle name="Migliaia 20 3 3 8" xfId="41447" xr:uid="{8C7C277E-6656-4A9F-9293-B1725853CAEF}"/>
    <cellStyle name="Migliaia 20 3 3 9" xfId="16192" xr:uid="{B02018EA-AA95-43CA-8605-5D9FF5497731}"/>
    <cellStyle name="Migliaia 20 3 4" xfId="3304" xr:uid="{D40C12FB-7BE6-4B5C-B430-28748EF6E8CF}"/>
    <cellStyle name="Migliaia 20 3 4 2" xfId="5030" xr:uid="{AEA51B74-8505-48C0-B779-50D67A7C9DA4}"/>
    <cellStyle name="Migliaia 20 3 4 2 2" xfId="14435" xr:uid="{E0E16F88-4484-4359-A982-AC348A760F16}"/>
    <cellStyle name="Migliaia 20 3 4 2 3" xfId="18145" xr:uid="{A4A12C54-C714-46E5-88BC-3B5C26561766}"/>
    <cellStyle name="Migliaia 20 3 4 2 4" xfId="20076" xr:uid="{FDD89D5F-E57C-4161-8CFC-ED654CA66F77}"/>
    <cellStyle name="Migliaia 20 3 4 2 5" xfId="32331" xr:uid="{544F4D19-FE41-4080-B04A-E4CA67C0A811}"/>
    <cellStyle name="Migliaia 20 3 4 2 6" xfId="16195" xr:uid="{61DEAB6D-31CF-4336-A239-3B9D52751962}"/>
    <cellStyle name="Migliaia 20 3 4 2 7" xfId="8858" xr:uid="{AEC22804-151F-4396-A8F0-111B17B0E171}"/>
    <cellStyle name="Migliaia 20 3 4 3" xfId="6242" xr:uid="{E63B86CD-E5CA-43EB-8FB5-344E37318619}"/>
    <cellStyle name="Migliaia 20 3 4 3 2" xfId="35209" xr:uid="{92F1AACE-5712-4D4F-A42A-36E63FD9DD4C}"/>
    <cellStyle name="Migliaia 20 3 4 3 2 2" xfId="40369" xr:uid="{56DBF920-FEAF-4821-8E19-DB12EC1750FF}"/>
    <cellStyle name="Migliaia 20 3 4 3 2 3" xfId="45671" xr:uid="{166E0073-67B6-4E45-9BAD-6A09FD0317CF}"/>
    <cellStyle name="Migliaia 20 3 4 3 3" xfId="37718" xr:uid="{3AEBEC8C-376E-4FB4-A892-AF45B27AC5D1}"/>
    <cellStyle name="Migliaia 20 3 4 3 4" xfId="43020" xr:uid="{2CE7A09E-6172-403E-BDCE-24DD8C0C4EE0}"/>
    <cellStyle name="Migliaia 20 3 4 3 5" xfId="13683" xr:uid="{695BB32C-C6A7-410D-87B7-6662C32745E6}"/>
    <cellStyle name="Migliaia 20 3 4 4" xfId="20075" xr:uid="{0DEE9D9B-AA64-4486-A9B9-56B464CE099C}"/>
    <cellStyle name="Migliaia 20 3 4 4 2" xfId="38801" xr:uid="{490963D0-3955-4EBB-A67E-A1AC18516F4E}"/>
    <cellStyle name="Migliaia 20 3 4 4 3" xfId="44103" xr:uid="{FE4892AE-9AAB-4734-9630-5DE3D9FE7522}"/>
    <cellStyle name="Migliaia 20 3 4 4 4" xfId="33382" xr:uid="{DD4EEBFC-2228-4662-884C-9ACA57861E88}"/>
    <cellStyle name="Migliaia 20 3 4 5" xfId="36291" xr:uid="{A4CFB204-CA52-4B19-959E-37C0C7179EE4}"/>
    <cellStyle name="Migliaia 20 3 4 6" xfId="41452" xr:uid="{66A25FAD-156F-43AF-96F9-08F3A2AED1B1}"/>
    <cellStyle name="Migliaia 20 3 4 7" xfId="16194" xr:uid="{B056467A-E05E-47BD-9164-973B3CC88E13}"/>
    <cellStyle name="Migliaia 20 3 4 8" xfId="7668" xr:uid="{84B627EA-4F04-4943-848E-07B620DD8E27}"/>
    <cellStyle name="Migliaia 20 3 5" xfId="3305" xr:uid="{5A1F4818-424A-472C-BBF0-0C2DF6112EA4}"/>
    <cellStyle name="Migliaia 20 3 5 2" xfId="5031" xr:uid="{F2C81148-6863-410D-97FA-676C0B29DACB}"/>
    <cellStyle name="Migliaia 20 3 5 2 2" xfId="35210" xr:uid="{D2B24583-5599-4BF0-82F6-1323DCBC59B4}"/>
    <cellStyle name="Migliaia 20 3 5 2 2 2" xfId="40370" xr:uid="{983C6D1C-6892-4166-AE89-3BE59A68A45A}"/>
    <cellStyle name="Migliaia 20 3 5 2 2 3" xfId="45672" xr:uid="{3238683F-F38E-4B4A-8681-2C54F8EF763C}"/>
    <cellStyle name="Migliaia 20 3 5 2 3" xfId="37719" xr:uid="{FD2DCA4C-F908-4B27-8D4A-3DD90942703A}"/>
    <cellStyle name="Migliaia 20 3 5 2 4" xfId="43021" xr:uid="{3FA88A4F-27B7-4043-956C-D79C06C4BC06}"/>
    <cellStyle name="Migliaia 20 3 5 2 5" xfId="14217" xr:uid="{1F6B242F-D0AE-48FD-B8B1-3AF9D344DC73}"/>
    <cellStyle name="Migliaia 20 3 5 3" xfId="6243" xr:uid="{07C5F843-C900-4F07-A1FB-60B5A5FBDB15}"/>
    <cellStyle name="Migliaia 20 3 5 3 2" xfId="38802" xr:uid="{EF9951E2-B783-4598-A93A-C8E0AAAADEB5}"/>
    <cellStyle name="Migliaia 20 3 5 3 3" xfId="44104" xr:uid="{4B154156-53E8-41AB-B75C-50FDEF86FB6A}"/>
    <cellStyle name="Migliaia 20 3 5 3 4" xfId="33383" xr:uid="{48CC5265-E324-4F8D-A38D-E8980B648F19}"/>
    <cellStyle name="Migliaia 20 3 5 3 5" xfId="20077" xr:uid="{9E9BD431-FCF6-44BD-8477-0D5BCED5FC3C}"/>
    <cellStyle name="Migliaia 20 3 5 4" xfId="36292" xr:uid="{35AF5AD3-F090-497D-9230-1347684DCD81}"/>
    <cellStyle name="Migliaia 20 3 5 5" xfId="41453" xr:uid="{EAC45F60-0258-472C-B585-A85A534D031E}"/>
    <cellStyle name="Migliaia 20 3 5 6" xfId="16196" xr:uid="{CBAFFB81-6BD3-4C52-9296-8D83E23E111A}"/>
    <cellStyle name="Migliaia 20 3 5 7" xfId="8279" xr:uid="{1D1577AE-4F77-4F31-9BBD-6DE927211A0E}"/>
    <cellStyle name="Migliaia 20 3 6" xfId="5026" xr:uid="{82106CB1-518C-4F8C-8A1B-63A867B346BD}"/>
    <cellStyle name="Migliaia 20 3 6 2" xfId="13922" xr:uid="{D9A7239A-11BD-4AA8-A93B-876A5ECC28E3}"/>
    <cellStyle name="Migliaia 20 3 6 2 2" xfId="38803" xr:uid="{6BEF767A-5E24-4A90-BFB5-BA154C20D708}"/>
    <cellStyle name="Migliaia 20 3 6 2 3" xfId="44105" xr:uid="{8E868E35-562B-4145-9D4B-D273656D3E0B}"/>
    <cellStyle name="Migliaia 20 3 6 3" xfId="18718" xr:uid="{0174797A-0AEB-4E79-86BF-5E704437EBD2}"/>
    <cellStyle name="Migliaia 20 3 6 4" xfId="20078" xr:uid="{16DEDFFF-169D-478C-8B02-5E13A9C5F4FD}"/>
    <cellStyle name="Migliaia 20 3 6 4 2" xfId="41454" xr:uid="{3CBBAAC3-9E10-4E42-95AD-5C89A77987A0}"/>
    <cellStyle name="Migliaia 20 3 6 5" xfId="16197" xr:uid="{2235003E-A579-4614-B77B-45F1AA73248F}"/>
    <cellStyle name="Migliaia 20 3 6 6" xfId="7872" xr:uid="{30EF9DB3-2345-4A55-9959-D4C7787C4B27}"/>
    <cellStyle name="Migliaia 20 3 7" xfId="6238" xr:uid="{2B403D09-B6CD-418E-A250-A2EF9F538168}"/>
    <cellStyle name="Migliaia 20 3 7 2" xfId="33384" xr:uid="{86570340-1575-4F21-97D2-36B7F45458B1}"/>
    <cellStyle name="Migliaia 20 3 7 2 2" xfId="38804" xr:uid="{A9457E08-7C68-4F58-B49D-B74778451D9A}"/>
    <cellStyle name="Migliaia 20 3 7 2 3" xfId="44106" xr:uid="{3D34D163-9A84-4B2D-9B4B-BAE557B302C5}"/>
    <cellStyle name="Migliaia 20 3 7 3" xfId="36293" xr:uid="{67E40F71-52AD-43E8-89BA-B8237C55F234}"/>
    <cellStyle name="Migliaia 20 3 7 4" xfId="41455" xr:uid="{6B7FF468-076F-42F5-9F3B-B46D37048A32}"/>
    <cellStyle name="Migliaia 20 3 7 5" xfId="11519" xr:uid="{740375E0-5047-40AA-AE09-AE9F61604E07}"/>
    <cellStyle name="Migliaia 20 3 8" xfId="3300" xr:uid="{C9285DF3-A1A0-4BE7-A8CE-BD69AE65FECD}"/>
    <cellStyle name="Migliaia 20 3 8 2" xfId="33385" xr:uid="{367863E1-FB5C-4EC4-A185-B0CF573526B2}"/>
    <cellStyle name="Migliaia 20 3 8 2 2" xfId="38805" xr:uid="{993E1E83-CCE5-4581-B7A2-211C0DF3C856}"/>
    <cellStyle name="Migliaia 20 3 8 2 3" xfId="44107" xr:uid="{2BA5BE46-7C64-46EA-9B00-5DF34F7CA38D}"/>
    <cellStyle name="Migliaia 20 3 8 3" xfId="36294" xr:uid="{2712F54D-86B7-49F5-8C2B-0AFCD5F16BA3}"/>
    <cellStyle name="Migliaia 20 3 8 4" xfId="41456" xr:uid="{F7B6EA70-2BDD-4AF0-A580-9976FC82CE9A}"/>
    <cellStyle name="Migliaia 20 3 8 5" xfId="24468" xr:uid="{2B1D5394-8CE8-4467-8650-5274207EE8B7}"/>
    <cellStyle name="Migliaia 20 3 8 6" xfId="17391" xr:uid="{375343C9-9EB9-4BF3-B058-7B25B5408B25}"/>
    <cellStyle name="Migliaia 20 3 9" xfId="20069" xr:uid="{57D9BAAC-6A5B-49DC-962E-9E6310557B9C}"/>
    <cellStyle name="Migliaia 20 4" xfId="1718" xr:uid="{00000000-0005-0000-0000-000031030000}"/>
    <cellStyle name="Migliaia 20 4 2" xfId="1719" xr:uid="{00000000-0005-0000-0000-000032030000}"/>
    <cellStyle name="Migliaia 20 4 2 2" xfId="5033" xr:uid="{55B599D6-0F1A-47A0-B4C9-80786FA520F6}"/>
    <cellStyle name="Migliaia 20 4 2 2 2" xfId="33386" xr:uid="{2DBD3820-2CE5-4F7F-8181-9ADC41BCB3D0}"/>
    <cellStyle name="Migliaia 20 4 2 2 2 2" xfId="38806" xr:uid="{348E2E19-D1BC-4597-BDA9-182FCD6BFF80}"/>
    <cellStyle name="Migliaia 20 4 2 2 2 3" xfId="44108" xr:uid="{0F00F63C-CA14-4B56-BB32-FF497FACE7F5}"/>
    <cellStyle name="Migliaia 20 4 2 2 3" xfId="36295" xr:uid="{84CD1C53-A8F0-4461-A004-DE743E566703}"/>
    <cellStyle name="Migliaia 20 4 2 2 4" xfId="41457" xr:uid="{CE5B6616-BCEA-4807-95AE-FDE073DB957B}"/>
    <cellStyle name="Migliaia 20 4 2 2 5" xfId="9132" xr:uid="{CA246449-D33F-47ED-9001-496362F969F9}"/>
    <cellStyle name="Migliaia 20 4 2 3" xfId="3307" xr:uid="{6198E792-1BEF-4FC3-BDE0-BA62190CB66F}"/>
    <cellStyle name="Migliaia 20 4 2 3 2" xfId="33387" xr:uid="{2344B976-6A07-44C8-840E-BE78A7D3FF33}"/>
    <cellStyle name="Migliaia 20 4 2 3 2 2" xfId="38807" xr:uid="{FCD72A5A-7C10-4CC0-9689-661DE4879757}"/>
    <cellStyle name="Migliaia 20 4 2 3 2 3" xfId="44109" xr:uid="{3195810D-E6C7-4C88-A205-BF3674C7AD02}"/>
    <cellStyle name="Migliaia 20 4 2 3 3" xfId="36296" xr:uid="{4DBDE5D0-4465-472B-8F73-0190952B5EE0}"/>
    <cellStyle name="Migliaia 20 4 2 3 4" xfId="41458" xr:uid="{E77183AC-FBF7-4FD0-A3A9-7AF685246DAF}"/>
    <cellStyle name="Migliaia 20 4 2 3 5" xfId="11937" xr:uid="{60B6EAE8-A632-4C04-8FA8-4B225BF90A18}"/>
    <cellStyle name="Migliaia 20 4 2 4" xfId="11286" xr:uid="{E6CCE3C1-3E12-4FC1-B971-A51651BB8705}"/>
    <cellStyle name="Migliaia 20 4 2 5" xfId="10796" xr:uid="{7E144E6E-4A76-436E-B98E-271995D410CB}"/>
    <cellStyle name="Migliaia 20 4 2 5 2" xfId="21431" xr:uid="{A4F40495-26BE-41D7-AF58-80A441104C5D}"/>
    <cellStyle name="Migliaia 20 4 2 5 3" xfId="47597" xr:uid="{809345C9-1945-4AA0-8F07-B8F77FB722BC}"/>
    <cellStyle name="Migliaia 20 4 2 5 4" xfId="50446" xr:uid="{3652EEFE-25E3-4621-AD68-1F066BF91B32}"/>
    <cellStyle name="Migliaia 20 4 2 5 5" xfId="53462" xr:uid="{A80E0D08-10A8-428E-A95D-69F5389EC3C4}"/>
    <cellStyle name="Migliaia 20 4 2 6" xfId="20080" xr:uid="{6C7273F0-1AAF-4EE8-990D-9575C8785C7C}"/>
    <cellStyle name="Migliaia 20 4 2 7" xfId="24470" xr:uid="{73D4164A-17DB-41FA-9FE5-1AEE7C0C0F9C}"/>
    <cellStyle name="Migliaia 20 4 2 8" xfId="8556" xr:uid="{C27AB129-1A6F-498A-9B47-D590BF68BA61}"/>
    <cellStyle name="Migliaia 20 4 3" xfId="5032" xr:uid="{8E31D9DF-A807-4FC7-9B3E-D5749C7DDAB2}"/>
    <cellStyle name="Migliaia 20 4 3 2" xfId="18187" xr:uid="{08B187E4-AD24-4D32-A8E4-50FEAF9599F5}"/>
    <cellStyle name="Migliaia 20 4 3 2 2" xfId="38808" xr:uid="{95700F47-09A4-435A-8DAA-2503CB725F6C}"/>
    <cellStyle name="Migliaia 20 4 3 2 3" xfId="44110" xr:uid="{237C3B9C-CC19-4589-90C6-86CD6E6DF721}"/>
    <cellStyle name="Migliaia 20 4 3 3" xfId="36297" xr:uid="{461E3629-A884-4DBB-8B68-ADAF4A9EBFB1}"/>
    <cellStyle name="Migliaia 20 4 3 4" xfId="41459" xr:uid="{D8174299-8304-4228-93B7-D59BAAA830FB}"/>
    <cellStyle name="Migliaia 20 4 3 5" xfId="17389" xr:uid="{6848CBDF-6B26-49A2-923E-5CC1EC565863}"/>
    <cellStyle name="Migliaia 20 4 3 6" xfId="9133" xr:uid="{DB095A99-73D8-4869-800C-042B2F3FFAF1}"/>
    <cellStyle name="Migliaia 20 4 4" xfId="6244" xr:uid="{E62C35C4-36E2-42F4-AAFC-E3F161E8831D}"/>
    <cellStyle name="Migliaia 20 4 4 2" xfId="33388" xr:uid="{4E45E283-FCF2-45CD-BC1F-06FC83F719DF}"/>
    <cellStyle name="Migliaia 20 4 4 2 2" xfId="38809" xr:uid="{B8C2FDFC-E18B-4B39-ACB8-4C49ABEF3E71}"/>
    <cellStyle name="Migliaia 20 4 4 2 3" xfId="44111" xr:uid="{B910F16B-125E-466D-BC6E-55CE09CAD279}"/>
    <cellStyle name="Migliaia 20 4 4 3" xfId="36298" xr:uid="{D538A14D-38FE-4AF1-BA6C-B56EC835764A}"/>
    <cellStyle name="Migliaia 20 4 4 4" xfId="41460" xr:uid="{C7C2D3CC-29AD-44C8-B6B7-10588A66422B}"/>
    <cellStyle name="Migliaia 20 4 4 5" xfId="11938" xr:uid="{C94F591F-230F-42A2-A591-BFD98CF82A5A}"/>
    <cellStyle name="Migliaia 20 4 5" xfId="3306" xr:uid="{4FB76E85-52CF-42E2-91A0-1574BD4A21EA}"/>
    <cellStyle name="Migliaia 20 4 5 2" xfId="33389" xr:uid="{A6FA1CB4-6D3B-4536-B6DB-5AE95BD830F8}"/>
    <cellStyle name="Migliaia 20 4 5 2 2" xfId="38810" xr:uid="{85EDF34F-D4CD-470B-A1F0-DFB0A7BF1F69}"/>
    <cellStyle name="Migliaia 20 4 5 2 3" xfId="44112" xr:uid="{D75F5CD3-85B5-4FBD-BC7A-74FD16633764}"/>
    <cellStyle name="Migliaia 20 4 5 3" xfId="36299" xr:uid="{D8F6796C-5799-4D58-A930-BD4462DB90CE}"/>
    <cellStyle name="Migliaia 20 4 5 4" xfId="41461" xr:uid="{0421B033-85D8-4878-A2D4-68EA60C237B4}"/>
    <cellStyle name="Migliaia 20 4 5 5" xfId="11285" xr:uid="{EFEC93F0-D56A-4216-9547-CDC9029B82BC}"/>
    <cellStyle name="Migliaia 20 4 6" xfId="10795" xr:uid="{22C06E4F-D0C3-4131-92FC-A56746EFD9B2}"/>
    <cellStyle name="Migliaia 20 4 6 2" xfId="21430" xr:uid="{FAF70D45-00D1-4F94-B161-5F7F818E2BEC}"/>
    <cellStyle name="Migliaia 20 4 6 2 2" xfId="38811" xr:uid="{03EC2F8D-35EE-4C0F-9B30-6AE14AA41DD4}"/>
    <cellStyle name="Migliaia 20 4 6 2 3" xfId="44113" xr:uid="{8F142D2E-48E3-4E07-BCB3-17DBE58E87D5}"/>
    <cellStyle name="Migliaia 20 4 6 2 4" xfId="33390" xr:uid="{CBE19217-5732-4E24-A92B-7F23358E9BC4}"/>
    <cellStyle name="Migliaia 20 4 6 3" xfId="36300" xr:uid="{A5E53078-D4C4-4E42-95EE-91A3227CA073}"/>
    <cellStyle name="Migliaia 20 4 6 4" xfId="41462" xr:uid="{8F903584-A493-45F5-AD61-26DF3B6CF910}"/>
    <cellStyle name="Migliaia 20 4 6 5" xfId="24471" xr:uid="{E4A6FC9C-900F-4FFA-8C6B-6ED55C9B2D43}"/>
    <cellStyle name="Migliaia 20 4 6 6" xfId="23998" xr:uid="{425BF0D1-1743-410F-AB4D-15A08B0B06BE}"/>
    <cellStyle name="Migliaia 20 4 6 7" xfId="50445" xr:uid="{ACE72984-6098-42E8-9708-3A78DCD8B9E6}"/>
    <cellStyle name="Migliaia 20 4 6 8" xfId="53461" xr:uid="{8F48F2DA-55E5-4A62-BBA7-0FAB44EECD35}"/>
    <cellStyle name="Migliaia 20 4 7" xfId="20079" xr:uid="{2EB98910-4A28-4246-8473-493875E183A5}"/>
    <cellStyle name="Migliaia 20 4 7 2" xfId="33391" xr:uid="{7B2E2E11-3F02-41E2-8214-60315B9CEC1D}"/>
    <cellStyle name="Migliaia 20 4 7 2 2" xfId="38812" xr:uid="{AF1E1A0A-5EC8-4EEE-98F7-DC261562DC37}"/>
    <cellStyle name="Migliaia 20 4 7 2 3" xfId="44114" xr:uid="{EBD238B5-0AEB-4CB9-B74E-C0A86C1E1512}"/>
    <cellStyle name="Migliaia 20 4 7 3" xfId="36301" xr:uid="{AFF6C592-DD31-4135-83CF-60CE0AC39727}"/>
    <cellStyle name="Migliaia 20 4 7 4" xfId="41463" xr:uid="{BCD7742A-FF7E-425C-8843-E03F6F9A0FDE}"/>
    <cellStyle name="Migliaia 20 4 7 5" xfId="24472" xr:uid="{48C5FF43-0468-4949-B539-C7DFF7BFAA90}"/>
    <cellStyle name="Migliaia 20 4 8" xfId="24469" xr:uid="{BE4276C7-6D5A-42CD-926E-9F738232424A}"/>
    <cellStyle name="Migliaia 20 4 9" xfId="7366" xr:uid="{52626DEB-E889-4C04-8E36-FA8FA4069380}"/>
    <cellStyle name="Migliaia 20 5" xfId="1720" xr:uid="{00000000-0005-0000-0000-000033030000}"/>
    <cellStyle name="Migliaia 20 5 2" xfId="5034" xr:uid="{62DCAD72-A3E1-41D8-BFC0-DEDB4B6B5BFB}"/>
    <cellStyle name="Migliaia 20 5 2 2" xfId="18400" xr:uid="{7F91B91D-41E3-40B9-8CC0-67FE47883FF6}"/>
    <cellStyle name="Migliaia 20 5 2 2 2" xfId="38813" xr:uid="{8C14607A-9D15-4733-BD7D-B7301566E870}"/>
    <cellStyle name="Migliaia 20 5 2 2 3" xfId="44115" xr:uid="{4F984951-0E3D-42CC-A0B5-8365E1FE52B6}"/>
    <cellStyle name="Migliaia 20 5 2 3" xfId="20082" xr:uid="{68E3A6FE-D174-44C0-AC89-63DBDA4ACBB0}"/>
    <cellStyle name="Migliaia 20 5 2 3 2" xfId="36302" xr:uid="{0B6003E0-4E95-4274-86FD-AC8E20E18EAD}"/>
    <cellStyle name="Migliaia 20 5 2 4" xfId="41464" xr:uid="{729EC048-C6D0-47F1-923B-05C66397FAD0}"/>
    <cellStyle name="Migliaia 20 5 2 5" xfId="16198" xr:uid="{DE2DF801-1332-4592-B0C3-05AC485893A7}"/>
    <cellStyle name="Migliaia 20 5 2 6" xfId="8557" xr:uid="{0E5E7799-AD29-4420-936F-1ECA78196D64}"/>
    <cellStyle name="Migliaia 20 5 3" xfId="6245" xr:uid="{7A073B44-02F7-4CA3-867C-8E07F664BF8C}"/>
    <cellStyle name="Migliaia 20 5 3 2" xfId="33392" xr:uid="{A7A55122-3C2D-4C18-BD24-CE7E98B29FA7}"/>
    <cellStyle name="Migliaia 20 5 3 2 2" xfId="38814" xr:uid="{B4A48336-4700-4B02-AB63-C61722DCE77B}"/>
    <cellStyle name="Migliaia 20 5 3 2 3" xfId="44116" xr:uid="{2064FA2A-62CF-4EA9-A62A-C959F4399B8D}"/>
    <cellStyle name="Migliaia 20 5 3 3" xfId="36303" xr:uid="{55FB2C5F-887F-4DF6-BBA3-50308D525A61}"/>
    <cellStyle name="Migliaia 20 5 3 4" xfId="41465" xr:uid="{04B569C3-396B-421A-BE44-CF319C5BE521}"/>
    <cellStyle name="Migliaia 20 5 3 5" xfId="11287" xr:uid="{8CC2F80D-812D-4749-A2E5-F3CCEAE9E12E}"/>
    <cellStyle name="Migliaia 20 5 4" xfId="3308" xr:uid="{D269DE0E-1204-4BA1-9773-495E1939A0E6}"/>
    <cellStyle name="Migliaia 20 5 4 2" xfId="21432" xr:uid="{20485113-7C35-44DD-A681-293E1DE2FD85}"/>
    <cellStyle name="Migliaia 20 5 4 2 2" xfId="38815" xr:uid="{1B1595A1-934A-40EE-91CA-810828ACED6D}"/>
    <cellStyle name="Migliaia 20 5 4 2 3" xfId="44117" xr:uid="{DCAFA341-2D8E-44C2-9DAA-7A4F87A577AF}"/>
    <cellStyle name="Migliaia 20 5 4 2 4" xfId="33393" xr:uid="{C3F907CA-D951-4012-BBD4-5E75E9E1972A}"/>
    <cellStyle name="Migliaia 20 5 4 3" xfId="36304" xr:uid="{DFB26D98-C88B-4D64-AD16-1708E68F70F6}"/>
    <cellStyle name="Migliaia 20 5 4 4" xfId="41466" xr:uid="{71D26F7F-B56E-4D8D-A012-53D0E2DC5D1E}"/>
    <cellStyle name="Migliaia 20 5 4 5" xfId="24474" xr:uid="{3D5722A8-5C5E-4163-AAFA-7E5EAA0EA4AF}"/>
    <cellStyle name="Migliaia 20 5 4 6" xfId="46221" xr:uid="{294D649D-4CDC-4957-962D-F5F87BF14188}"/>
    <cellStyle name="Migliaia 20 5 4 7" xfId="50447" xr:uid="{05019B25-E7C7-4A6A-A5F3-C1270E96F857}"/>
    <cellStyle name="Migliaia 20 5 4 8" xfId="53463" xr:uid="{09F82BBE-2A07-434A-9617-F45E1D10E828}"/>
    <cellStyle name="Migliaia 20 5 4 9" xfId="10797" xr:uid="{C9AC7AA4-E09F-4C92-BE19-06CDDD3A4E4C}"/>
    <cellStyle name="Migliaia 20 5 5" xfId="20081" xr:uid="{ACF91A89-492E-4486-9360-40A591C25E4D}"/>
    <cellStyle name="Migliaia 20 5 5 2" xfId="33394" xr:uid="{3C430579-FD5F-47F3-9958-AC1FAEC9E8B0}"/>
    <cellStyle name="Migliaia 20 5 5 2 2" xfId="38816" xr:uid="{8E0FE531-4894-4458-9854-783E96606E51}"/>
    <cellStyle name="Migliaia 20 5 5 2 3" xfId="44118" xr:uid="{AC5AA3FA-E8D8-4E82-AF06-A2BA01C37D2C}"/>
    <cellStyle name="Migliaia 20 5 5 3" xfId="36305" xr:uid="{857ACCFF-DBA7-4853-928E-95C9C5911E0A}"/>
    <cellStyle name="Migliaia 20 5 5 4" xfId="41467" xr:uid="{58555082-1E32-40B0-9F08-9BAAA2AA5670}"/>
    <cellStyle name="Migliaia 20 5 5 5" xfId="24475" xr:uid="{2569E531-745A-4CFE-9ED0-1A2FCA76EA74}"/>
    <cellStyle name="Migliaia 20 5 6" xfId="24476" xr:uid="{A4F46834-6DCE-47F4-BFF2-BFF667357559}"/>
    <cellStyle name="Migliaia 20 5 6 2" xfId="33395" xr:uid="{01136076-DF55-4DD4-AEB3-D2223F3BD586}"/>
    <cellStyle name="Migliaia 20 5 6 2 2" xfId="38817" xr:uid="{5FA94E0F-3DB5-481C-AE35-83E121246E90}"/>
    <cellStyle name="Migliaia 20 5 6 2 3" xfId="44119" xr:uid="{91B0C37D-73BD-429E-A26E-E255AE01790F}"/>
    <cellStyle name="Migliaia 20 5 6 3" xfId="36306" xr:uid="{BE484817-280A-4E68-BA9B-6B5679CCF866}"/>
    <cellStyle name="Migliaia 20 5 6 4" xfId="41468" xr:uid="{28BF6858-D849-4FE7-9016-3064D1E0EB2C}"/>
    <cellStyle name="Migliaia 20 5 7" xfId="24473" xr:uid="{06E5FC23-CB2E-4152-A506-3A717C437A4B}"/>
    <cellStyle name="Migliaia 20 5 8" xfId="7367" xr:uid="{10C6F656-9563-497D-931E-5C64F2757F39}"/>
    <cellStyle name="Migliaia 20 6" xfId="3309" xr:uid="{296237C1-5732-4F74-B462-E3CB81252811}"/>
    <cellStyle name="Migliaia 20 6 2" xfId="5035" xr:uid="{4F82EDEE-56ED-4DE6-993E-81BF894A71EB}"/>
    <cellStyle name="Migliaia 20 6 2 2" xfId="9905" xr:uid="{A7358FE8-8062-41C3-A622-2F13FE9F500A}"/>
    <cellStyle name="Migliaia 20 6 2 3" xfId="18668" xr:uid="{4CABEB96-3804-4D99-BA1E-AB38CC7EC21E}"/>
    <cellStyle name="Migliaia 20 6 2 4" xfId="20084" xr:uid="{1C18D841-3D28-4327-BC04-211BAF42367C}"/>
    <cellStyle name="Migliaia 20 6 2 5" xfId="32332" xr:uid="{445F7882-A0F5-4B3D-8721-D685895643E8}"/>
    <cellStyle name="Migliaia 20 6 2 6" xfId="16200" xr:uid="{1736580D-FC0F-4857-B3EF-18572F929C70}"/>
    <cellStyle name="Migliaia 20 6 2 7" xfId="8552" xr:uid="{5D97FBF7-3915-45BB-B0C6-FE75CEC9149C}"/>
    <cellStyle name="Migliaia 20 6 3" xfId="6246" xr:uid="{A1D21CD8-AD83-4063-9F10-B884C5B34114}"/>
    <cellStyle name="Migliaia 20 6 3 2" xfId="35211" xr:uid="{9B05BDB0-583D-4F1F-A5A5-EA0CC171FD58}"/>
    <cellStyle name="Migliaia 20 6 3 2 2" xfId="40371" xr:uid="{0796B2BC-3819-41B1-BF32-38116254769E}"/>
    <cellStyle name="Migliaia 20 6 3 2 3" xfId="45673" xr:uid="{EF37FE9C-3EC5-4797-99AD-238270E1BAC2}"/>
    <cellStyle name="Migliaia 20 6 3 3" xfId="37720" xr:uid="{74083A16-3637-41B9-AAAE-6BDB0D85E0DC}"/>
    <cellStyle name="Migliaia 20 6 3 4" xfId="43022" xr:uid="{E87383CE-7DB7-427A-8CE5-EF4ED9066F14}"/>
    <cellStyle name="Migliaia 20 6 3 5" xfId="9668" xr:uid="{8EC3A63F-F755-4F84-A652-4F07EC54684E}"/>
    <cellStyle name="Migliaia 20 6 4" xfId="20083" xr:uid="{DAAE0188-65E4-452F-B50C-92FD3EA29778}"/>
    <cellStyle name="Migliaia 20 6 4 2" xfId="38818" xr:uid="{1DFD2B8D-3CC6-405B-9B8B-DC5AF4F20196}"/>
    <cellStyle name="Migliaia 20 6 4 3" xfId="44120" xr:uid="{DAF0F077-AE8F-4FA4-86F8-CB5D9217010D}"/>
    <cellStyle name="Migliaia 20 6 4 4" xfId="33396" xr:uid="{8E1E3B97-F630-42D5-8DAB-E4328FCF5913}"/>
    <cellStyle name="Migliaia 20 6 5" xfId="36307" xr:uid="{36512790-EF34-4815-81A7-46D28C73C66C}"/>
    <cellStyle name="Migliaia 20 6 6" xfId="41469" xr:uid="{F68090DB-88D5-44A9-8045-B4C0D1D9F8BD}"/>
    <cellStyle name="Migliaia 20 6 7" xfId="16199" xr:uid="{138E4DFE-E95B-4F6D-9F13-0595DBCF0671}"/>
    <cellStyle name="Migliaia 20 6 8" xfId="7362" xr:uid="{923AD168-15CE-47CF-A8D7-13062B3ED87E}"/>
    <cellStyle name="Migliaia 20 7" xfId="3310" xr:uid="{3CEEC087-4381-4CE3-812A-34883EFBB942}"/>
    <cellStyle name="Migliaia 20 7 2" xfId="5036" xr:uid="{954216DC-3C37-4552-B5BE-0F1106148363}"/>
    <cellStyle name="Migliaia 20 7 2 2" xfId="35212" xr:uid="{6A9AFA5B-0428-4EB5-B8F2-1EE6DA6D9E3B}"/>
    <cellStyle name="Migliaia 20 7 2 2 2" xfId="40372" xr:uid="{A4D9A003-2D2A-4CC4-B5F4-EF42BD677590}"/>
    <cellStyle name="Migliaia 20 7 2 2 3" xfId="45674" xr:uid="{E875F2AC-91C1-4364-ABB9-9B2FF3F3497B}"/>
    <cellStyle name="Migliaia 20 7 2 3" xfId="37721" xr:uid="{A07C798C-0FBE-49AF-A6A7-DECFEA19547E}"/>
    <cellStyle name="Migliaia 20 7 2 4" xfId="43023" xr:uid="{EADE4A53-ED63-41E7-8B5E-9311DFE6CE94}"/>
    <cellStyle name="Migliaia 20 7 2 5" xfId="14215" xr:uid="{FA9F3EB5-A386-4CB2-8622-99D53EC6B2BD}"/>
    <cellStyle name="Migliaia 20 7 3" xfId="6247" xr:uid="{1B32164D-5C4B-4935-83BD-2FB943213B5C}"/>
    <cellStyle name="Migliaia 20 7 3 2" xfId="38819" xr:uid="{4D9B48A6-B9D4-42D4-AECC-1D8BB309C769}"/>
    <cellStyle name="Migliaia 20 7 3 3" xfId="44121" xr:uid="{83188FE0-0C6E-4452-8B73-2A1C60FDE716}"/>
    <cellStyle name="Migliaia 20 7 3 4" xfId="33397" xr:uid="{B3F86D25-E504-40D5-9868-8863E72B5EF7}"/>
    <cellStyle name="Migliaia 20 7 3 5" xfId="20085" xr:uid="{FA5EAFC3-8679-4E5A-B05E-33399EAD69E8}"/>
    <cellStyle name="Migliaia 20 7 4" xfId="36308" xr:uid="{610AD601-CDB4-4EEC-B0C1-3D3A519257E8}"/>
    <cellStyle name="Migliaia 20 7 5" xfId="41470" xr:uid="{E6DA250E-F490-43AA-81E8-643D46D171DB}"/>
    <cellStyle name="Migliaia 20 7 6" xfId="16201" xr:uid="{E95E430D-B3B5-4FF1-92D9-C4E63ACB0E27}"/>
    <cellStyle name="Migliaia 20 7 7" xfId="8277" xr:uid="{AC6A60F5-935F-4672-AA9B-3DCFA062D6F4}"/>
    <cellStyle name="Migliaia 20 8" xfId="3311" xr:uid="{46DE2A6C-7107-487B-8C2B-1F3B39DEEEDC}"/>
    <cellStyle name="Migliaia 20 8 2" xfId="5037" xr:uid="{24F5D9C6-7EBB-42C4-8D25-26C19035FB39}"/>
    <cellStyle name="Migliaia 20 8 2 2" xfId="35213" xr:uid="{1C55A5BC-2A25-4AA7-97BE-F574FFF4ED01}"/>
    <cellStyle name="Migliaia 20 8 2 2 2" xfId="40373" xr:uid="{53BAE9BA-E8FE-48BC-A214-019CA91DB5E4}"/>
    <cellStyle name="Migliaia 20 8 2 2 3" xfId="45675" xr:uid="{5C6C22D6-4224-4570-8471-B5127B247858}"/>
    <cellStyle name="Migliaia 20 8 2 3" xfId="37722" xr:uid="{A9654578-DEDD-4535-BBB0-EDE671CD37AC}"/>
    <cellStyle name="Migliaia 20 8 2 4" xfId="43024" xr:uid="{52362CDA-75B1-4679-AF4E-10D08F692592}"/>
    <cellStyle name="Migliaia 20 8 2 5" xfId="13920" xr:uid="{0C3873DE-24B9-4660-AF02-BB0D7A7358A8}"/>
    <cellStyle name="Migliaia 20 8 3" xfId="6248" xr:uid="{77B3E8F7-493D-4B01-9C45-7309AF54A430}"/>
    <cellStyle name="Migliaia 20 8 3 2" xfId="38820" xr:uid="{52DBA2B1-B7BF-4B54-B2C5-8F96E348103E}"/>
    <cellStyle name="Migliaia 20 8 3 3" xfId="44122" xr:uid="{1E1EB5EA-25F5-48DA-AD7C-61C88131A4AC}"/>
    <cellStyle name="Migliaia 20 8 3 4" xfId="33398" xr:uid="{DA421708-31E3-4F82-B73B-13330E8CD70A}"/>
    <cellStyle name="Migliaia 20 8 3 5" xfId="20086" xr:uid="{D4993376-7E3F-4463-9BF3-B1CCA7055DB5}"/>
    <cellStyle name="Migliaia 20 8 4" xfId="36309" xr:uid="{C1D76805-13CE-4253-A4F2-D73D9AC66EA0}"/>
    <cellStyle name="Migliaia 20 8 5" xfId="41471" xr:uid="{87DF9B89-8F0C-4F71-ACC5-34A9DBF6454F}"/>
    <cellStyle name="Migliaia 20 8 6" xfId="16202" xr:uid="{ACB00563-22A0-420E-8FFC-ED3318695144}"/>
    <cellStyle name="Migliaia 20 8 7" xfId="7870" xr:uid="{DD0129C0-BD16-4364-8237-62CE8F9EDBA7}"/>
    <cellStyle name="Migliaia 20 9" xfId="5022" xr:uid="{349F239B-35CE-4E19-B6A6-8CDD139D0B48}"/>
    <cellStyle name="Migliaia 20 9 2" xfId="33399" xr:uid="{1EC1B860-A92A-4CAB-93DB-1266CD85A246}"/>
    <cellStyle name="Migliaia 20 9 2 2" xfId="38821" xr:uid="{A7CAF994-132F-457E-925D-FE99AD2232A4}"/>
    <cellStyle name="Migliaia 20 9 2 3" xfId="44123" xr:uid="{2E80D3A3-D211-4C99-B9B3-2CB62F2136EA}"/>
    <cellStyle name="Migliaia 20 9 3" xfId="36310" xr:uid="{B6DB3E30-7D61-493F-9645-3E9AFB7ED219}"/>
    <cellStyle name="Migliaia 20 9 4" xfId="41472" xr:uid="{94576BF3-3F3A-444B-81D3-2D66B3DCB7AF}"/>
    <cellStyle name="Migliaia 20 9 5" xfId="17159" xr:uid="{8E146335-06DA-46C8-83E9-607518BFA0C3}"/>
    <cellStyle name="Migliaia 21" xfId="353" xr:uid="{00000000-0005-0000-0000-000034030000}"/>
    <cellStyle name="Migliaia 21 10" xfId="6249" xr:uid="{0FB7782E-BEFA-4EEB-8806-3C83422CBF48}"/>
    <cellStyle name="Migliaia 21 10 2" xfId="38822" xr:uid="{03729584-FD9F-4541-915C-1A200232ABDA}"/>
    <cellStyle name="Migliaia 21 10 3" xfId="44124" xr:uid="{44E7D53E-7077-4136-84EF-82E05F06531E}"/>
    <cellStyle name="Migliaia 21 10 4" xfId="33400" xr:uid="{93F2A882-642A-479B-820B-D9CCC4AC2949}"/>
    <cellStyle name="Migliaia 21 10 5" xfId="20087" xr:uid="{2F9D50C8-575C-4B38-910D-1B8F4A32B2F4}"/>
    <cellStyle name="Migliaia 21 11" xfId="3312" xr:uid="{C9CF1305-8FC0-4A7E-BFBE-B3C41D4BE0AA}"/>
    <cellStyle name="Migliaia 21 11 2" xfId="36311" xr:uid="{E9B94A55-157B-4D10-BE27-16894AF7B434}"/>
    <cellStyle name="Migliaia 21 12" xfId="41473" xr:uid="{E240CBDC-DC2D-422E-AECD-577DC7F0C745}"/>
    <cellStyle name="Migliaia 21 13" xfId="7081" xr:uid="{57E94CED-529A-42C6-8B5E-B6D426ADC09B}"/>
    <cellStyle name="Migliaia 21 2" xfId="354" xr:uid="{00000000-0005-0000-0000-000035030000}"/>
    <cellStyle name="Migliaia 21 2 2" xfId="1721" xr:uid="{00000000-0005-0000-0000-000036030000}"/>
    <cellStyle name="Migliaia 21 2 2 2" xfId="5040" xr:uid="{52E24966-FF95-4AF5-9A7A-BC860DD6F00E}"/>
    <cellStyle name="Migliaia 21 2 2 2 2" xfId="14376" xr:uid="{0CDAEB7A-7DD8-43CC-AFB2-7F89539621F7}"/>
    <cellStyle name="Migliaia 21 2 2 2 2 2" xfId="38823" xr:uid="{48D74EF8-70CB-45E1-A501-7A4A67BC3E88}"/>
    <cellStyle name="Migliaia 21 2 2 2 2 3" xfId="44125" xr:uid="{05FC83B7-C170-48C2-B614-2AF0020F8926}"/>
    <cellStyle name="Migliaia 21 2 2 2 3" xfId="18401" xr:uid="{55466CAF-820C-404D-8821-53FCBE73BB41}"/>
    <cellStyle name="Migliaia 21 2 2 2 4" xfId="20090" xr:uid="{7C166B8C-41E4-4DF9-B8DD-B45915780016}"/>
    <cellStyle name="Migliaia 21 2 2 2 4 2" xfId="41474" xr:uid="{53CBEC1A-609A-436E-89E4-C277E41B04C6}"/>
    <cellStyle name="Migliaia 21 2 2 2 5" xfId="16203" xr:uid="{2897E3E1-F77A-400A-A001-FF923C84A061}"/>
    <cellStyle name="Migliaia 21 2 2 2 6" xfId="8559" xr:uid="{028B4E96-8151-43A7-BCCB-A5A096C19DEB}"/>
    <cellStyle name="Migliaia 21 2 2 3" xfId="6251" xr:uid="{537733BF-50BC-4CEE-93DA-238EBCC3A8D1}"/>
    <cellStyle name="Migliaia 21 2 2 3 2" xfId="35214" xr:uid="{279CFA5F-13A9-4AE7-97E1-3480BAA1B23E}"/>
    <cellStyle name="Migliaia 21 2 2 3 2 2" xfId="40374" xr:uid="{82FF20FA-16AA-424D-8B36-6AF4934072D0}"/>
    <cellStyle name="Migliaia 21 2 2 3 2 3" xfId="45676" xr:uid="{124DA464-E603-4FEE-88A2-F62A94AC8EB2}"/>
    <cellStyle name="Migliaia 21 2 2 3 3" xfId="37723" xr:uid="{53C8B06A-C0C6-4A7E-AA1C-D117C1DE9FF1}"/>
    <cellStyle name="Migliaia 21 2 2 3 4" xfId="43025" xr:uid="{4A027FE7-390B-4D25-8326-882ECE98B674}"/>
    <cellStyle name="Migliaia 21 2 2 3 5" xfId="11603" xr:uid="{61C91B6E-6663-4452-AA61-1E11E016020F}"/>
    <cellStyle name="Migliaia 21 2 2 4" xfId="3314" xr:uid="{3B645AC5-F6C8-49F6-A329-D7E7C3F4067B}"/>
    <cellStyle name="Migliaia 21 2 2 4 2" xfId="21433" xr:uid="{F7F182BC-A6E7-467D-A4FE-4FD7C7906D51}"/>
    <cellStyle name="Migliaia 21 2 2 4 3" xfId="46222" xr:uid="{6FC049D7-0980-4E23-B204-8B82822DCB66}"/>
    <cellStyle name="Migliaia 21 2 2 4 4" xfId="50448" xr:uid="{5616FB77-2D5F-4CC8-B131-59429942865E}"/>
    <cellStyle name="Migliaia 21 2 2 4 5" xfId="53464" xr:uid="{DD3E7CD3-ECC9-4899-AC94-D8B5C60F36DB}"/>
    <cellStyle name="Migliaia 21 2 2 4 6" xfId="10798" xr:uid="{3082B86B-C8C7-46D2-B017-C974A2B15F73}"/>
    <cellStyle name="Migliaia 21 2 2 5" xfId="20089" xr:uid="{5095EB6F-7873-4877-B426-CE22F310E6FD}"/>
    <cellStyle name="Migliaia 21 2 2 6" xfId="24482" xr:uid="{FCA5B8C5-1ADC-41B5-B38C-460B5A3E2E69}"/>
    <cellStyle name="Migliaia 21 2 2 7" xfId="7369" xr:uid="{BD16C7E2-ABEC-4D4F-AEDA-71324582D627}"/>
    <cellStyle name="Migliaia 21 2 3" xfId="3315" xr:uid="{EA46F009-DAE7-4EAC-82F2-7F3928F9EBB9}"/>
    <cellStyle name="Migliaia 21 2 3 2" xfId="5041" xr:uid="{EBCF2A52-58C7-4121-865F-F91BADF4AB34}"/>
    <cellStyle name="Migliaia 21 2 3 2 2" xfId="35215" xr:uid="{84CAB279-11A7-4AE7-83A0-9A9FB6681DCE}"/>
    <cellStyle name="Migliaia 21 2 3 2 2 2" xfId="40375" xr:uid="{9CEF1E25-FFAD-437C-A9ED-46DB0CC72B64}"/>
    <cellStyle name="Migliaia 21 2 3 2 2 3" xfId="45677" xr:uid="{91983DB7-460F-40D2-9147-D0B6FEF5DB88}"/>
    <cellStyle name="Migliaia 21 2 3 2 3" xfId="37724" xr:uid="{1D5E9EE3-A2D7-4BBA-A49E-0B211C2C3975}"/>
    <cellStyle name="Migliaia 21 2 3 2 4" xfId="43026" xr:uid="{13D7D934-151C-4DD0-8E57-C08C01278E74}"/>
    <cellStyle name="Migliaia 21 2 3 2 5" xfId="14219" xr:uid="{C04E9EB6-22CD-457E-964B-3A6C8F161393}"/>
    <cellStyle name="Migliaia 21 2 3 3" xfId="6252" xr:uid="{F6457064-DBC1-4AA8-9739-B748772F472D}"/>
    <cellStyle name="Migliaia 21 2 3 3 2" xfId="38824" xr:uid="{D7C4CB2D-2B1C-434B-AEAB-D814E6D4A7B6}"/>
    <cellStyle name="Migliaia 21 2 3 3 3" xfId="44126" xr:uid="{7C814B93-A665-48FE-8AD4-FC847B83D93D}"/>
    <cellStyle name="Migliaia 21 2 3 3 4" xfId="33402" xr:uid="{2831D57D-EED4-4435-BAAC-887E3A8A32A6}"/>
    <cellStyle name="Migliaia 21 2 3 3 5" xfId="20091" xr:uid="{E5491610-0E1A-471C-9EF9-CBAB0BAF210D}"/>
    <cellStyle name="Migliaia 21 2 3 4" xfId="36313" xr:uid="{B6814982-9C65-4C90-A7C1-30D7B1BB78FA}"/>
    <cellStyle name="Migliaia 21 2 3 5" xfId="41475" xr:uid="{0808E38B-DFD6-4EE1-8878-E00B11301A87}"/>
    <cellStyle name="Migliaia 21 2 3 6" xfId="16204" xr:uid="{C69C9B5B-7071-43B1-B8C4-E5C8661666F4}"/>
    <cellStyle name="Migliaia 21 2 3 7" xfId="8281" xr:uid="{B4F801D2-BFB8-4B8C-81F9-820FD2BED321}"/>
    <cellStyle name="Migliaia 21 2 4" xfId="5039" xr:uid="{5522608E-6653-45AF-AE79-3BC1EDDDF7A3}"/>
    <cellStyle name="Migliaia 21 2 4 2" xfId="13924" xr:uid="{2B6652DC-923A-412A-AFD1-66616B76F85D}"/>
    <cellStyle name="Migliaia 21 2 4 2 2" xfId="38825" xr:uid="{C7E57959-57FB-4609-960B-876CB16A0F68}"/>
    <cellStyle name="Migliaia 21 2 4 2 3" xfId="44127" xr:uid="{9DCB2226-A911-4DCF-9D83-8999EDE4687C}"/>
    <cellStyle name="Migliaia 21 2 4 3" xfId="18152" xr:uid="{0CE51A34-45BC-4759-AEC5-0F3D709773A8}"/>
    <cellStyle name="Migliaia 21 2 4 4" xfId="20092" xr:uid="{614D115A-BB66-46B5-9CAC-0D8FA4636A3F}"/>
    <cellStyle name="Migliaia 21 2 4 4 2" xfId="41476" xr:uid="{2E3BC82A-4939-4F3D-9DAB-1801E4A09AC6}"/>
    <cellStyle name="Migliaia 21 2 4 5" xfId="16205" xr:uid="{A0381871-D2F3-4720-8E19-75C22B4D1C20}"/>
    <cellStyle name="Migliaia 21 2 4 6" xfId="7875" xr:uid="{9BEBB932-F00A-4DC4-97A9-4C84DDF05F1C}"/>
    <cellStyle name="Migliaia 21 2 5" xfId="6250" xr:uid="{9EEFC486-20C1-48A4-957D-E417437B9293}"/>
    <cellStyle name="Migliaia 21 2 5 2" xfId="33403" xr:uid="{5F588A73-CBAC-443E-B056-F56DD8D54284}"/>
    <cellStyle name="Migliaia 21 2 5 2 2" xfId="38826" xr:uid="{2CA4E447-8477-4804-8DE6-1DB6C387FA65}"/>
    <cellStyle name="Migliaia 21 2 5 2 3" xfId="44128" xr:uid="{7C906517-CE4E-4B83-9A55-CFF657DBB8A0}"/>
    <cellStyle name="Migliaia 21 2 5 3" xfId="36314" xr:uid="{F7C27C51-AAD1-48CC-9440-1630A0799313}"/>
    <cellStyle name="Migliaia 21 2 5 4" xfId="41477" xr:uid="{44F8B014-FA6B-4B16-A024-FAE6F80085A2}"/>
    <cellStyle name="Migliaia 21 2 5 5" xfId="13116" xr:uid="{0C7ABF63-CE28-4295-855E-D2A3C66DAC0B}"/>
    <cellStyle name="Migliaia 21 2 6" xfId="3313" xr:uid="{F061E7E2-9A88-4D4F-86E4-DCD9CA9BE905}"/>
    <cellStyle name="Migliaia 21 2 6 2" xfId="33404" xr:uid="{4252C723-72BE-4BA5-9B53-9384E87800D6}"/>
    <cellStyle name="Migliaia 21 2 6 2 2" xfId="38827" xr:uid="{008C24D8-59AB-48B2-850C-9E91BFDC6B22}"/>
    <cellStyle name="Migliaia 21 2 6 2 3" xfId="44129" xr:uid="{128AF1A4-403C-495B-B1AF-0FE2A61ECC92}"/>
    <cellStyle name="Migliaia 21 2 6 3" xfId="36315" xr:uid="{608359B5-E712-498B-9EF8-2016FCA35BF4}"/>
    <cellStyle name="Migliaia 21 2 6 4" xfId="41478" xr:uid="{68362DBE-F172-4DBB-BEF0-CEEC435CD770}"/>
    <cellStyle name="Migliaia 21 2 6 5" xfId="24484" xr:uid="{22EB576C-A921-4FDD-91CD-818AFBF59C49}"/>
    <cellStyle name="Migliaia 21 2 6 6" xfId="20088" xr:uid="{F9DAE92D-DB39-4653-8A44-98E34737DF02}"/>
    <cellStyle name="Migliaia 21 2 7" xfId="24481" xr:uid="{867DC829-47BF-4667-A8D1-A553D62C4765}"/>
    <cellStyle name="Migliaia 21 2 8" xfId="7082" xr:uid="{62E330CC-12AA-4CDF-9A60-FBE74D06BE76}"/>
    <cellStyle name="Migliaia 21 3" xfId="355" xr:uid="{00000000-0005-0000-0000-000037030000}"/>
    <cellStyle name="Migliaia 21 3 10" xfId="24485" xr:uid="{B88D3D80-EC19-4BF9-8E04-EA91712D0FD1}"/>
    <cellStyle name="Migliaia 21 3 11" xfId="16206" xr:uid="{01AAC6A0-8056-4368-9668-9D424FB8665A}"/>
    <cellStyle name="Migliaia 21 3 12" xfId="7083" xr:uid="{19EB89E2-2940-4773-B6AA-E085EF13DB53}"/>
    <cellStyle name="Migliaia 21 3 2" xfId="356" xr:uid="{00000000-0005-0000-0000-000038030000}"/>
    <cellStyle name="Migliaia 21 3 2 2" xfId="1722" xr:uid="{00000000-0005-0000-0000-000039030000}"/>
    <cellStyle name="Migliaia 21 3 2 2 2" xfId="5044" xr:uid="{C7AE619D-EDF4-4A56-AB0D-6709B5B1EA21}"/>
    <cellStyle name="Migliaia 21 3 2 2 2 2" xfId="18402" xr:uid="{7DF6A245-1766-4C70-A52E-6905EEEDA761}"/>
    <cellStyle name="Migliaia 21 3 2 2 2 2 2" xfId="21854" xr:uid="{34CBF59A-DF75-4EE4-908E-00EC371D518D}"/>
    <cellStyle name="Migliaia 21 3 2 2 2 2 2 2" xfId="38828" xr:uid="{BAA0FA09-84DD-4504-96B8-943433E7117F}"/>
    <cellStyle name="Migliaia 21 3 2 2 2 2 3" xfId="44130" xr:uid="{82B9B805-5A6F-4CF1-8DFF-B23817EF4D95}"/>
    <cellStyle name="Migliaia 21 3 2 2 2 2 4" xfId="33405" xr:uid="{685062B9-8E32-4FA9-856E-CF7CED0CDD2B}"/>
    <cellStyle name="Migliaia 21 3 2 2 2 3" xfId="36316" xr:uid="{4A8EF1F1-5363-4024-8642-38F04D731D6E}"/>
    <cellStyle name="Migliaia 21 3 2 2 2 4" xfId="41479" xr:uid="{2A3037F1-7F24-4ADE-A8FC-F9FE957F239B}"/>
    <cellStyle name="Migliaia 21 3 2 2 2 5" xfId="46300" xr:uid="{A14B34F3-FB77-4BDA-977D-AC64BFB0DF6E}"/>
    <cellStyle name="Migliaia 21 3 2 2 2 6" xfId="50882" xr:uid="{DD07C4A8-AD24-4E1D-8281-F06CF32EC20A}"/>
    <cellStyle name="Migliaia 21 3 2 2 2 7" xfId="53898" xr:uid="{EA2A9B8C-ED9C-461B-9CE5-22FA67E23EEE}"/>
    <cellStyle name="Migliaia 21 3 2 2 2 8" xfId="17651" xr:uid="{D1FE466F-611A-4DB0-BEBB-D4CBC2FEAD04}"/>
    <cellStyle name="Migliaia 21 3 2 2 2 9" xfId="11939" xr:uid="{A3218C6C-AE44-4F48-922E-4C5A97D15BEB}"/>
    <cellStyle name="Migliaia 21 3 2 2 3" xfId="6255" xr:uid="{F6D77B14-A0CF-4FE1-95E0-D9682E68B853}"/>
    <cellStyle name="Migliaia 21 3 2 2 3 2" xfId="11136" xr:uid="{EBD2EA78-5B79-41D2-B1A2-6CDBFE20738B}"/>
    <cellStyle name="Migliaia 21 3 2 2 4" xfId="3318" xr:uid="{5E688E01-D45B-4FCE-AF8A-B8968DFEF586}"/>
    <cellStyle name="Migliaia 21 3 2 2 4 2" xfId="21434" xr:uid="{E447EC3B-F105-4EAC-A13B-9319CD10C23A}"/>
    <cellStyle name="Migliaia 21 3 2 2 4 3" xfId="46223" xr:uid="{91DC077A-40D5-4756-AC74-9BC72E42B37E}"/>
    <cellStyle name="Migliaia 21 3 2 2 4 4" xfId="50449" xr:uid="{0D80B489-E131-4D2F-9DF2-EFDBFF43AB19}"/>
    <cellStyle name="Migliaia 21 3 2 2 4 5" xfId="53465" xr:uid="{E4B8D477-E837-4DA3-8A1F-5B2C11FAC422}"/>
    <cellStyle name="Migliaia 21 3 2 2 4 6" xfId="10799" xr:uid="{00821078-9461-44E6-9E31-A3F8CAFD8DD3}"/>
    <cellStyle name="Migliaia 21 3 2 2 5" xfId="20095" xr:uid="{FAB86412-E3A6-4849-8D96-43D1559CC9AB}"/>
    <cellStyle name="Migliaia 21 3 2 2 6" xfId="24487" xr:uid="{80C9B030-587A-412D-9D28-2BD25464CC6F}"/>
    <cellStyle name="Migliaia 21 3 2 2 7" xfId="8561" xr:uid="{CC610509-FB5E-49FE-A259-50AD13676FFA}"/>
    <cellStyle name="Migliaia 21 3 2 3" xfId="5043" xr:uid="{28CAA0CE-F9FF-42F0-9F0A-EA165F8466DB}"/>
    <cellStyle name="Migliaia 21 3 2 3 2" xfId="12419" xr:uid="{1C4B723D-1DA5-4225-922D-23C05E29C26B}"/>
    <cellStyle name="Migliaia 21 3 2 3 2 2" xfId="38829" xr:uid="{2E4435EA-CB87-41F8-ACEE-7AC1E421E9F2}"/>
    <cellStyle name="Migliaia 21 3 2 3 2 3" xfId="44131" xr:uid="{07748584-140C-48C5-B10E-76268B25BADC}"/>
    <cellStyle name="Migliaia 21 3 2 3 2 4" xfId="33406" xr:uid="{1C92D3D1-6BAE-4FCC-B216-06292A811973}"/>
    <cellStyle name="Migliaia 21 3 2 3 3" xfId="11940" xr:uid="{BBD25828-3124-4B84-A0B7-85BF7EDFA64F}"/>
    <cellStyle name="Migliaia 21 3 2 3 4" xfId="20096" xr:uid="{C6924488-8E44-404A-8727-07CB4CD1AE66}"/>
    <cellStyle name="Migliaia 21 3 2 3 4 2" xfId="41480" xr:uid="{85B1D867-99B4-478E-998C-5F6D8082A31A}"/>
    <cellStyle name="Migliaia 21 3 2 3 5" xfId="16207" xr:uid="{FC4D7611-0102-4695-BDB4-53CB36C9F7AE}"/>
    <cellStyle name="Migliaia 21 3 2 3 6" xfId="7877" xr:uid="{9D58B7A8-31F8-4FF5-B06E-AB45D9B3EADC}"/>
    <cellStyle name="Migliaia 21 3 2 4" xfId="6254" xr:uid="{DFAE36FF-88BA-4D2F-87D0-97E1F851794C}"/>
    <cellStyle name="Migliaia 21 3 2 4 2" xfId="18070" xr:uid="{319D9EF1-5392-4FB0-A635-D7407384C210}"/>
    <cellStyle name="Migliaia 21 3 2 4 2 2" xfId="38830" xr:uid="{D8FCFCF8-6C2B-489C-BE30-5CE16231DCA3}"/>
    <cellStyle name="Migliaia 21 3 2 4 2 3" xfId="44132" xr:uid="{92433760-1D35-4DA6-AA0E-27907B5A608E}"/>
    <cellStyle name="Migliaia 21 3 2 4 3" xfId="36317" xr:uid="{D7FA78F5-6425-4840-A41D-EAE8BA764099}"/>
    <cellStyle name="Migliaia 21 3 2 4 4" xfId="41481" xr:uid="{5BF16C2A-594C-40F4-B491-89D23DA846D9}"/>
    <cellStyle name="Migliaia 21 3 2 4 5" xfId="17162" xr:uid="{DC2E193F-3200-4EA8-972B-E8C187069E65}"/>
    <cellStyle name="Migliaia 21 3 2 4 6" xfId="11288" xr:uid="{D54B1FC6-27FE-499D-81C7-D86818AAD136}"/>
    <cellStyle name="Migliaia 21 3 2 5" xfId="3317" xr:uid="{C0686725-049F-4CDD-A05D-496633EF123B}"/>
    <cellStyle name="Migliaia 21 3 2 5 2" xfId="33407" xr:uid="{44FF3760-3DAB-4C7E-9188-D36AC2D22502}"/>
    <cellStyle name="Migliaia 21 3 2 5 2 2" xfId="38831" xr:uid="{6C31BAE1-217E-4046-BC10-41B6B2571204}"/>
    <cellStyle name="Migliaia 21 3 2 5 2 3" xfId="44133" xr:uid="{0184050B-0773-46B3-940B-79B353703497}"/>
    <cellStyle name="Migliaia 21 3 2 5 3" xfId="36318" xr:uid="{FF8869A5-65D5-423E-809B-6FE91CA4124F}"/>
    <cellStyle name="Migliaia 21 3 2 5 4" xfId="41482" xr:uid="{0006E639-A4EB-4697-8C19-1F568D981473}"/>
    <cellStyle name="Migliaia 21 3 2 5 5" xfId="17387" xr:uid="{6769E13D-A8EA-4A68-8D3C-2BAB3CA761F1}"/>
    <cellStyle name="Migliaia 21 3 2 6" xfId="20094" xr:uid="{4160EA15-ABDE-420C-A3B4-EA93AE73F25F}"/>
    <cellStyle name="Migliaia 21 3 2 6 2" xfId="33408" xr:uid="{D48D61FB-7A92-4A5B-9454-8955D25B2491}"/>
    <cellStyle name="Migliaia 21 3 2 6 2 2" xfId="38832" xr:uid="{8E19EB4A-0BCF-4831-8ABA-D63457072141}"/>
    <cellStyle name="Migliaia 21 3 2 6 2 3" xfId="44134" xr:uid="{54772AB2-D858-44D4-875A-48D305D31320}"/>
    <cellStyle name="Migliaia 21 3 2 6 3" xfId="36319" xr:uid="{3C282E60-3818-4EDB-A3B3-0F82E342C114}"/>
    <cellStyle name="Migliaia 21 3 2 6 4" xfId="41483" xr:uid="{145741E6-448B-4488-85E8-A1C9065CA3CC}"/>
    <cellStyle name="Migliaia 21 3 2 6 5" xfId="24490" xr:uid="{7A414CE9-1FD3-4532-AAB9-EBC3B6250CB4}"/>
    <cellStyle name="Migliaia 21 3 2 7" xfId="24486" xr:uid="{D44283A5-11A0-4BB2-ADBE-D2F62E3D171A}"/>
    <cellStyle name="Migliaia 21 3 2 8" xfId="7371" xr:uid="{DCF6191A-D3C7-4738-A97E-3F9BF5680392}"/>
    <cellStyle name="Migliaia 21 3 3" xfId="3319" xr:uid="{540E0EA5-B5B1-4EA4-99B4-26289FBAEFAA}"/>
    <cellStyle name="Migliaia 21 3 3 10" xfId="7370" xr:uid="{F9860AE5-2D95-4FF3-A121-FDF25DDABBDC}"/>
    <cellStyle name="Migliaia 21 3 3 2" xfId="5045" xr:uid="{DA74A868-F718-496D-852A-6AFF7FC73CC6}"/>
    <cellStyle name="Migliaia 21 3 3 2 2" xfId="9908" xr:uid="{F2ADA903-A436-4C78-8594-F7ABF07334D4}"/>
    <cellStyle name="Migliaia 21 3 3 2 2 2" xfId="38834" xr:uid="{F07D8E5F-B85B-4D61-9783-28CACD68E39E}"/>
    <cellStyle name="Migliaia 21 3 3 2 2 3" xfId="44136" xr:uid="{EB7C7212-8BB8-4976-978B-EFED5330E664}"/>
    <cellStyle name="Migliaia 21 3 3 2 3" xfId="18188" xr:uid="{8C5DF503-63BD-491B-878A-F54408022D40}"/>
    <cellStyle name="Migliaia 21 3 3 2 4" xfId="20098" xr:uid="{F54C0471-E0A6-4D72-951D-FE0F417488F7}"/>
    <cellStyle name="Migliaia 21 3 3 2 4 2" xfId="41485" xr:uid="{A776FED5-32D0-4720-9380-48D9FBF01F3E}"/>
    <cellStyle name="Migliaia 21 3 3 2 5" xfId="16209" xr:uid="{05761D8F-B30E-4C28-9DD4-C5B2F2D1C486}"/>
    <cellStyle name="Migliaia 21 3 3 2 6" xfId="8560" xr:uid="{1D61CBF0-04B2-4B6D-BF1D-8D75866773AD}"/>
    <cellStyle name="Migliaia 21 3 3 3" xfId="6256" xr:uid="{44CB5395-55E4-4F46-A385-89AE86C4DDE9}"/>
    <cellStyle name="Migliaia 21 3 3 3 2" xfId="33411" xr:uid="{467A388D-A1B5-44AA-B701-6CB54C3F45AB}"/>
    <cellStyle name="Migliaia 21 3 3 3 2 2" xfId="38835" xr:uid="{FC134B53-483A-43DD-924B-433C52B4C05F}"/>
    <cellStyle name="Migliaia 21 3 3 3 2 3" xfId="44137" xr:uid="{C8357D9F-96C0-4066-8224-9EE01AD04E99}"/>
    <cellStyle name="Migliaia 21 3 3 3 3" xfId="36322" xr:uid="{35AA1A12-E7EF-4C66-AF57-3FCDFF02AD37}"/>
    <cellStyle name="Migliaia 21 3 3 3 4" xfId="41486" xr:uid="{ED168BB4-BC04-4CFE-BACA-813E11935162}"/>
    <cellStyle name="Migliaia 21 3 3 3 5" xfId="9671" xr:uid="{92295F55-4659-4A76-B334-C13D4615288E}"/>
    <cellStyle name="Migliaia 21 3 3 4" xfId="20097" xr:uid="{2BB3EF51-B458-4C03-900F-A1AFA0E7528E}"/>
    <cellStyle name="Migliaia 21 3 3 4 2" xfId="33412" xr:uid="{59B1B61C-CBD9-44B1-8261-6ED56A708521}"/>
    <cellStyle name="Migliaia 21 3 3 4 2 2" xfId="38836" xr:uid="{E9B0947C-0A25-445B-97D0-649B8B3A2456}"/>
    <cellStyle name="Migliaia 21 3 3 4 2 3" xfId="44138" xr:uid="{1ACBB861-F703-44FE-BB8D-8ADE10396FEE}"/>
    <cellStyle name="Migliaia 21 3 3 4 3" xfId="36323" xr:uid="{31366A24-3BAE-4E32-A3A3-9B8B0475D49D}"/>
    <cellStyle name="Migliaia 21 3 3 4 4" xfId="41487" xr:uid="{3532E4E7-C33E-461F-8628-33008F907F95}"/>
    <cellStyle name="Migliaia 21 3 3 4 5" xfId="24492" xr:uid="{2BFEEBEF-6435-4911-9484-A44207B45DE9}"/>
    <cellStyle name="Migliaia 21 3 3 5" xfId="24493" xr:uid="{03F009AA-59A3-4D5C-BE01-AE00E7BA42B3}"/>
    <cellStyle name="Migliaia 21 3 3 5 2" xfId="33413" xr:uid="{DDB55F9D-AE83-4409-B8EE-4A2BDAECAC07}"/>
    <cellStyle name="Migliaia 21 3 3 5 2 2" xfId="38837" xr:uid="{9DEE23A8-C2BD-4783-8668-DC9534B605A9}"/>
    <cellStyle name="Migliaia 21 3 3 5 2 3" xfId="44139" xr:uid="{0FE84D19-5BE4-42A4-B191-7B0E04741531}"/>
    <cellStyle name="Migliaia 21 3 3 5 3" xfId="36324" xr:uid="{C9BE2407-6676-4036-A81D-A41435A73573}"/>
    <cellStyle name="Migliaia 21 3 3 5 4" xfId="41488" xr:uid="{1FD7903D-E52C-4A97-8A3B-99F990D97B9C}"/>
    <cellStyle name="Migliaia 21 3 3 6" xfId="33409" xr:uid="{9E0D5A98-F811-453C-A93C-C198379A4AF8}"/>
    <cellStyle name="Migliaia 21 3 3 6 2" xfId="38833" xr:uid="{0D2D1F44-8DE9-4E79-953D-273F753D502C}"/>
    <cellStyle name="Migliaia 21 3 3 6 3" xfId="44135" xr:uid="{9CBA8A8A-1338-4AE9-8680-12D54BEE172B}"/>
    <cellStyle name="Migliaia 21 3 3 7" xfId="36320" xr:uid="{B8C957FE-8F62-44C6-922D-28E21A2FBE69}"/>
    <cellStyle name="Migliaia 21 3 3 8" xfId="41484" xr:uid="{158DDC90-E48B-407B-B3C3-7B4B92380D03}"/>
    <cellStyle name="Migliaia 21 3 3 9" xfId="16208" xr:uid="{97D8DF6E-6CB3-43B5-A013-C41EBC5E1BAA}"/>
    <cellStyle name="Migliaia 21 3 4" xfId="3320" xr:uid="{A53CB779-96D0-4D5D-8251-676464F4E035}"/>
    <cellStyle name="Migliaia 21 3 4 2" xfId="5046" xr:uid="{3A468C53-9E22-470E-AA29-98D6A863039D}"/>
    <cellStyle name="Migliaia 21 3 4 2 2" xfId="14436" xr:uid="{1805437C-6EBA-4791-A5A8-911E247752E7}"/>
    <cellStyle name="Migliaia 21 3 4 2 3" xfId="18040" xr:uid="{016869C5-F2A0-4223-B94D-52A29A97D6BF}"/>
    <cellStyle name="Migliaia 21 3 4 2 4" xfId="20100" xr:uid="{DE42A4E8-30F2-45A9-A5BC-716487C3C61E}"/>
    <cellStyle name="Migliaia 21 3 4 2 5" xfId="32337" xr:uid="{C49AE72C-0652-4261-ADD7-28CF8433BD9E}"/>
    <cellStyle name="Migliaia 21 3 4 2 6" xfId="16211" xr:uid="{21E4D23F-A496-4D42-9A6E-8EE3072561AE}"/>
    <cellStyle name="Migliaia 21 3 4 2 7" xfId="8859" xr:uid="{EEC2C314-9D32-4A44-B6A6-76511272C4C6}"/>
    <cellStyle name="Migliaia 21 3 4 3" xfId="6257" xr:uid="{5E1B00F5-73BA-4AEC-9CC8-91C5206DFCF3}"/>
    <cellStyle name="Migliaia 21 3 4 3 2" xfId="35216" xr:uid="{17408D08-A070-48A3-9807-72A41A94620C}"/>
    <cellStyle name="Migliaia 21 3 4 3 2 2" xfId="40376" xr:uid="{FBE20220-D78C-4BBD-A5DD-255E07E3FA82}"/>
    <cellStyle name="Migliaia 21 3 4 3 2 3" xfId="45678" xr:uid="{F29E4F50-6867-4F22-A213-BB6DEB351EF1}"/>
    <cellStyle name="Migliaia 21 3 4 3 3" xfId="37725" xr:uid="{9E1B2DDA-3EF4-4E01-9163-9D9B20DC70DA}"/>
    <cellStyle name="Migliaia 21 3 4 3 4" xfId="43027" xr:uid="{8E36A26B-B577-4893-8975-53AAF419C1C0}"/>
    <cellStyle name="Migliaia 21 3 4 3 5" xfId="13684" xr:uid="{036251C0-3CCC-427A-8F45-6DF1B0C665C3}"/>
    <cellStyle name="Migliaia 21 3 4 4" xfId="20099" xr:uid="{AD6666C8-088E-475C-ADBC-DC3AA0F4181F}"/>
    <cellStyle name="Migliaia 21 3 4 4 2" xfId="38838" xr:uid="{48A18B92-5E29-477A-8D88-4E87AAACBED3}"/>
    <cellStyle name="Migliaia 21 3 4 4 3" xfId="44140" xr:uid="{2C04439F-0FB4-4CD8-B1C0-187ABD50CA93}"/>
    <cellStyle name="Migliaia 21 3 4 4 4" xfId="33414" xr:uid="{BC3DD563-1F8E-4633-8E88-757F911C6146}"/>
    <cellStyle name="Migliaia 21 3 4 5" xfId="36325" xr:uid="{63E85AC1-D46E-4EC9-8BCD-D50E5FE6D37A}"/>
    <cellStyle name="Migliaia 21 3 4 6" xfId="41489" xr:uid="{9C7A4D75-5A1B-4496-AA73-117B799DF28B}"/>
    <cellStyle name="Migliaia 21 3 4 7" xfId="16210" xr:uid="{7377036C-024C-49AC-8234-015E160334A2}"/>
    <cellStyle name="Migliaia 21 3 4 8" xfId="7669" xr:uid="{16B967F6-B867-455E-90C2-6DC255A85B95}"/>
    <cellStyle name="Migliaia 21 3 5" xfId="3321" xr:uid="{69098685-12AE-4E29-819B-965AC767F5DB}"/>
    <cellStyle name="Migliaia 21 3 5 2" xfId="5047" xr:uid="{B6A682CA-D6CD-4DE9-AFDF-63733D5BC0F1}"/>
    <cellStyle name="Migliaia 21 3 5 2 2" xfId="35217" xr:uid="{4BDB1259-0887-4B53-A469-8A27037E0088}"/>
    <cellStyle name="Migliaia 21 3 5 2 2 2" xfId="40377" xr:uid="{41991C20-7EA7-412F-8A24-32A55CFC2FD9}"/>
    <cellStyle name="Migliaia 21 3 5 2 2 3" xfId="45679" xr:uid="{608241C3-EB9A-4854-8541-33BCDDD7ECD3}"/>
    <cellStyle name="Migliaia 21 3 5 2 3" xfId="37726" xr:uid="{C44FA92A-C62A-43CB-A2B1-BED590A62BC8}"/>
    <cellStyle name="Migliaia 21 3 5 2 4" xfId="43028" xr:uid="{A17E6681-1C7B-47EF-A436-6619C1030237}"/>
    <cellStyle name="Migliaia 21 3 5 2 5" xfId="14220" xr:uid="{D5B7AB7C-3D6C-48EC-8101-CFAC6BD17C41}"/>
    <cellStyle name="Migliaia 21 3 5 3" xfId="6258" xr:uid="{5DE37C34-A8EC-4495-B716-366B8DC387A6}"/>
    <cellStyle name="Migliaia 21 3 5 3 2" xfId="38839" xr:uid="{03CFD7FE-9DEC-411A-BAC5-6306169C9A36}"/>
    <cellStyle name="Migliaia 21 3 5 3 3" xfId="44141" xr:uid="{EB181652-B56B-455B-87F3-9762CF94EF67}"/>
    <cellStyle name="Migliaia 21 3 5 3 4" xfId="33415" xr:uid="{17D5F704-129C-4796-BF16-C8787546765E}"/>
    <cellStyle name="Migliaia 21 3 5 3 5" xfId="20101" xr:uid="{64E36036-7A20-472A-9BE9-578D95FF3A79}"/>
    <cellStyle name="Migliaia 21 3 5 4" xfId="36326" xr:uid="{1378025C-F3CB-46E1-99A7-55AF4F715607}"/>
    <cellStyle name="Migliaia 21 3 5 5" xfId="41490" xr:uid="{F1947456-4B06-4959-A9F1-2479249D5B32}"/>
    <cellStyle name="Migliaia 21 3 5 6" xfId="16212" xr:uid="{3D91B889-DAD8-471C-B01E-9BA3332D71E0}"/>
    <cellStyle name="Migliaia 21 3 5 7" xfId="8282" xr:uid="{353B0700-2AF3-4970-8DB8-FA0B9700FDFA}"/>
    <cellStyle name="Migliaia 21 3 6" xfId="5042" xr:uid="{F62EE68A-B2F6-41CC-A7B1-C465CB75ADCC}"/>
    <cellStyle name="Migliaia 21 3 6 2" xfId="13925" xr:uid="{8A52DE15-A614-47CC-BA30-B40315715308}"/>
    <cellStyle name="Migliaia 21 3 6 2 2" xfId="38840" xr:uid="{49A9FB59-3217-4FEC-BF6E-BC006A0AE93A}"/>
    <cellStyle name="Migliaia 21 3 6 2 3" xfId="44142" xr:uid="{1D6E76C7-CE6A-4E37-BDAD-5140DFBEAE2C}"/>
    <cellStyle name="Migliaia 21 3 6 3" xfId="18717" xr:uid="{9D7A3898-5D37-48B1-B2CE-D4C3ABC4460C}"/>
    <cellStyle name="Migliaia 21 3 6 4" xfId="20102" xr:uid="{6DF42C29-DC0D-4748-9663-5005DAF89DA2}"/>
    <cellStyle name="Migliaia 21 3 6 4 2" xfId="41491" xr:uid="{06994EFD-9B12-487D-87E8-BF5EE901BAAB}"/>
    <cellStyle name="Migliaia 21 3 6 5" xfId="16213" xr:uid="{97A5B8E9-D542-4FBC-A50F-EA797A0A0D82}"/>
    <cellStyle name="Migliaia 21 3 6 6" xfId="7876" xr:uid="{42587BF5-C75E-41BC-AB83-29E7C4FD434E}"/>
    <cellStyle name="Migliaia 21 3 7" xfId="6253" xr:uid="{DAA17F0C-5E87-4F63-87D0-313F214C6A1E}"/>
    <cellStyle name="Migliaia 21 3 7 2" xfId="33416" xr:uid="{30E5405E-8A0F-4B27-BA5E-D03816AE1963}"/>
    <cellStyle name="Migliaia 21 3 7 2 2" xfId="38841" xr:uid="{DDBE1406-31E6-4DE3-A5BD-30D519A78D67}"/>
    <cellStyle name="Migliaia 21 3 7 2 3" xfId="44143" xr:uid="{3FA9FDF1-2D23-4962-80D7-CE9E3D1684F0}"/>
    <cellStyle name="Migliaia 21 3 7 3" xfId="36327" xr:uid="{F70D4011-DC60-4936-9E28-1BDEECF21D2A}"/>
    <cellStyle name="Migliaia 21 3 7 4" xfId="41492" xr:uid="{B8BB01F9-F3B6-441A-A5DC-D566F3C27900}"/>
    <cellStyle name="Migliaia 21 3 7 5" xfId="11129" xr:uid="{567E5AD6-D6DC-4577-9C68-25CCAFCC12C3}"/>
    <cellStyle name="Migliaia 21 3 8" xfId="3316" xr:uid="{6BE365EF-29D9-4F54-8BAE-32AEE66A0629}"/>
    <cellStyle name="Migliaia 21 3 8 2" xfId="33417" xr:uid="{57E92BD9-BD69-445F-8EBF-2A2A954CC7E8}"/>
    <cellStyle name="Migliaia 21 3 8 2 2" xfId="38842" xr:uid="{51D98E83-BF85-45ED-9511-6752A69E4643}"/>
    <cellStyle name="Migliaia 21 3 8 2 3" xfId="44144" xr:uid="{2258A6DA-7EE1-4F54-8EC4-D5EF6E880C34}"/>
    <cellStyle name="Migliaia 21 3 8 3" xfId="36328" xr:uid="{B713FBDD-21C2-487A-B7DF-0E647788204E}"/>
    <cellStyle name="Migliaia 21 3 8 4" xfId="41493" xr:uid="{B820268D-736C-4533-9DC8-15852E08CA0F}"/>
    <cellStyle name="Migliaia 21 3 8 5" xfId="24495" xr:uid="{731758AF-DF85-459E-8ACD-6D89158160F9}"/>
    <cellStyle name="Migliaia 21 3 8 6" xfId="17388" xr:uid="{EBF7EDCE-E2E6-497A-A5AC-79BDDA9CFC86}"/>
    <cellStyle name="Migliaia 21 3 9" xfId="20093" xr:uid="{B50AF417-D0FF-4266-9718-1E619D12D468}"/>
    <cellStyle name="Migliaia 21 4" xfId="1723" xr:uid="{00000000-0005-0000-0000-00003A030000}"/>
    <cellStyle name="Migliaia 21 4 2" xfId="1724" xr:uid="{00000000-0005-0000-0000-00003B030000}"/>
    <cellStyle name="Migliaia 21 4 2 2" xfId="5049" xr:uid="{156C1FFD-48B6-4EE0-AE6D-86F0150C1256}"/>
    <cellStyle name="Migliaia 21 4 2 2 2" xfId="33418" xr:uid="{41FC44EF-DFA6-4B09-8C3C-1FAC46B45FEF}"/>
    <cellStyle name="Migliaia 21 4 2 2 2 2" xfId="38843" xr:uid="{E66FAA17-E0E1-4C7B-AB33-6BD94BE0B0AF}"/>
    <cellStyle name="Migliaia 21 4 2 2 2 3" xfId="44145" xr:uid="{B3DE8B8E-1CA5-4873-8168-140A9F99EAC8}"/>
    <cellStyle name="Migliaia 21 4 2 2 3" xfId="36329" xr:uid="{2C3F0D0B-0623-46CD-A983-31C3AC6D1827}"/>
    <cellStyle name="Migliaia 21 4 2 2 4" xfId="41494" xr:uid="{07BA937E-ED6E-4A7F-B6D0-0800193526CD}"/>
    <cellStyle name="Migliaia 21 4 2 2 5" xfId="9134" xr:uid="{A72D48E5-6B58-4844-A698-C457A2212B4F}"/>
    <cellStyle name="Migliaia 21 4 2 3" xfId="3323" xr:uid="{ED8E8514-5B17-4D9B-8C8C-0661865EFAF2}"/>
    <cellStyle name="Migliaia 21 4 2 3 2" xfId="33419" xr:uid="{C040354D-7D30-47B3-A80D-CA5181438BBC}"/>
    <cellStyle name="Migliaia 21 4 2 3 2 2" xfId="38844" xr:uid="{994652EC-59A1-4FF9-A367-0A90843ABA5C}"/>
    <cellStyle name="Migliaia 21 4 2 3 2 3" xfId="44146" xr:uid="{5228D0C5-8CA0-451D-8626-F01F56D5158C}"/>
    <cellStyle name="Migliaia 21 4 2 3 3" xfId="36330" xr:uid="{99D7FA59-462F-435A-9216-CA63206DD633}"/>
    <cellStyle name="Migliaia 21 4 2 3 4" xfId="41495" xr:uid="{403BD0E2-9215-44CC-B033-9F4B67FE4A44}"/>
    <cellStyle name="Migliaia 21 4 2 3 5" xfId="11941" xr:uid="{75A44A5C-D30C-4B76-A4C7-39C6329AAB63}"/>
    <cellStyle name="Migliaia 21 4 2 4" xfId="11290" xr:uid="{881D0B48-080C-4957-B3F9-BA9E2E6079A5}"/>
    <cellStyle name="Migliaia 21 4 2 5" xfId="10801" xr:uid="{8DEE4F0C-D4D2-430B-B4D7-538795454FCB}"/>
    <cellStyle name="Migliaia 21 4 2 5 2" xfId="21436" xr:uid="{626B366E-166E-416E-97B8-7CA4A3FDD593}"/>
    <cellStyle name="Migliaia 21 4 2 5 3" xfId="46224" xr:uid="{207596AC-9406-40F4-991F-874D49A51557}"/>
    <cellStyle name="Migliaia 21 4 2 5 4" xfId="50451" xr:uid="{55C5B2D8-49C4-4642-9CBA-8090D31959F8}"/>
    <cellStyle name="Migliaia 21 4 2 5 5" xfId="53467" xr:uid="{5FEAB276-3102-4D90-BA5A-5B9A1C87CAFD}"/>
    <cellStyle name="Migliaia 21 4 2 6" xfId="20104" xr:uid="{59CA6CCF-6796-4199-9B73-DD58A4D4CA47}"/>
    <cellStyle name="Migliaia 21 4 2 7" xfId="24497" xr:uid="{35379FFA-0EBC-42EE-BE78-0E0007270B8C}"/>
    <cellStyle name="Migliaia 21 4 2 8" xfId="8562" xr:uid="{6923BDF4-2998-4256-B106-EA3A71606163}"/>
    <cellStyle name="Migliaia 21 4 3" xfId="5048" xr:uid="{7FC48A8E-33A1-4064-896E-CEB51C3DD8A4}"/>
    <cellStyle name="Migliaia 21 4 3 2" xfId="18189" xr:uid="{88D43F65-9839-435B-96D0-69A52764AE22}"/>
    <cellStyle name="Migliaia 21 4 3 2 2" xfId="38845" xr:uid="{A5B85D80-60FE-4DB4-BED9-0960ADDDE9D7}"/>
    <cellStyle name="Migliaia 21 4 3 2 3" xfId="44147" xr:uid="{6CA145E0-7C10-4138-B88C-8D0DBC23F797}"/>
    <cellStyle name="Migliaia 21 4 3 3" xfId="36331" xr:uid="{2C73D9FD-AFAD-409C-A20E-8AEF17815AB1}"/>
    <cellStyle name="Migliaia 21 4 3 4" xfId="41496" xr:uid="{B454A31D-58EC-47BE-9371-B361947F6333}"/>
    <cellStyle name="Migliaia 21 4 3 5" xfId="17386" xr:uid="{2D4D6F70-F5DD-4443-9987-D8A69878DBC6}"/>
    <cellStyle name="Migliaia 21 4 3 6" xfId="9135" xr:uid="{0BF1DEFD-C1C0-429A-8E55-8BB2A9413C4D}"/>
    <cellStyle name="Migliaia 21 4 4" xfId="6259" xr:uid="{CDA02F9B-6EEC-41B8-B512-E73BEAC7FD63}"/>
    <cellStyle name="Migliaia 21 4 4 2" xfId="33420" xr:uid="{E14EE7EA-1018-4BA1-AAEE-986326C5B83B}"/>
    <cellStyle name="Migliaia 21 4 4 2 2" xfId="38846" xr:uid="{793F80CD-2D81-4237-A1AC-4F802714B8BC}"/>
    <cellStyle name="Migliaia 21 4 4 2 3" xfId="44148" xr:uid="{84EEF8C7-3692-4B4E-BF61-187D446044B6}"/>
    <cellStyle name="Migliaia 21 4 4 3" xfId="36332" xr:uid="{C049DAA7-328D-41D9-9348-9ED2B97C315C}"/>
    <cellStyle name="Migliaia 21 4 4 4" xfId="41497" xr:uid="{E2BD9C19-FDC3-4CE8-B2E7-EABDE6920F83}"/>
    <cellStyle name="Migliaia 21 4 4 5" xfId="11942" xr:uid="{56CAF995-C826-4CAA-8443-0FFB6619F71E}"/>
    <cellStyle name="Migliaia 21 4 5" xfId="3322" xr:uid="{C71FE6CC-60EC-4E18-9E5F-70BC5B3A7018}"/>
    <cellStyle name="Migliaia 21 4 5 2" xfId="33421" xr:uid="{1663C80E-8808-4EED-9351-C3F1B51048F8}"/>
    <cellStyle name="Migliaia 21 4 5 2 2" xfId="38847" xr:uid="{D861CD20-4CC2-49D4-B43A-D8E5A0661F1B}"/>
    <cellStyle name="Migliaia 21 4 5 2 3" xfId="44149" xr:uid="{506D0E7A-3A4C-403C-A8CB-FF57F059DFC6}"/>
    <cellStyle name="Migliaia 21 4 5 3" xfId="36333" xr:uid="{E74CF137-731E-4A00-A258-7DD57F9BA3A2}"/>
    <cellStyle name="Migliaia 21 4 5 4" xfId="41498" xr:uid="{1B6CAF3A-DB94-40DC-8870-CF24AE14579B}"/>
    <cellStyle name="Migliaia 21 4 5 5" xfId="11289" xr:uid="{1BC09DE9-E857-4F92-A646-5DB3F6B725FA}"/>
    <cellStyle name="Migliaia 21 4 6" xfId="10800" xr:uid="{C3364BAC-7BB5-4C59-B9C0-1BDE11DB5ADB}"/>
    <cellStyle name="Migliaia 21 4 6 2" xfId="21435" xr:uid="{D6920716-937C-4B47-A10C-76D07AAB328E}"/>
    <cellStyle name="Migliaia 21 4 6 2 2" xfId="38848" xr:uid="{51231424-4C9D-432D-AAC5-D536941595DF}"/>
    <cellStyle name="Migliaia 21 4 6 2 3" xfId="44150" xr:uid="{6BB4E530-57B4-4A35-BA17-6CDC693010D7}"/>
    <cellStyle name="Migliaia 21 4 6 2 4" xfId="33422" xr:uid="{4C262F55-0546-4482-8D78-F0727FD96BF0}"/>
    <cellStyle name="Migliaia 21 4 6 3" xfId="36334" xr:uid="{312C219F-AA17-40BB-9621-8249F06909CC}"/>
    <cellStyle name="Migliaia 21 4 6 4" xfId="41499" xr:uid="{8412AD67-5981-41FB-BFFC-AB685284366A}"/>
    <cellStyle name="Migliaia 21 4 6 5" xfId="24500" xr:uid="{750145DE-201E-4FBC-A4DF-F41069F79262}"/>
    <cellStyle name="Migliaia 21 4 6 6" xfId="47303" xr:uid="{9617500A-EDDC-471B-B3C1-9695CE663988}"/>
    <cellStyle name="Migliaia 21 4 6 7" xfId="50450" xr:uid="{5C6C7604-E1B8-4E55-B38C-2A641C7C88A8}"/>
    <cellStyle name="Migliaia 21 4 6 8" xfId="53466" xr:uid="{44C9843B-FDD8-45F1-9451-9E71B29006B7}"/>
    <cellStyle name="Migliaia 21 4 7" xfId="20103" xr:uid="{D8756ED3-6DDE-4425-BF70-807961BB3E9C}"/>
    <cellStyle name="Migliaia 21 4 7 2" xfId="33423" xr:uid="{A97AF22D-024C-48D7-BDA1-0C948CD6DA44}"/>
    <cellStyle name="Migliaia 21 4 7 2 2" xfId="38849" xr:uid="{965191C4-B267-4C17-A1B4-464900ED8F07}"/>
    <cellStyle name="Migliaia 21 4 7 2 3" xfId="44151" xr:uid="{D552A3C5-AFC2-4523-A084-53645951EF0E}"/>
    <cellStyle name="Migliaia 21 4 7 3" xfId="36335" xr:uid="{FFFA17DF-5CB7-497B-BB65-C520E82E8688}"/>
    <cellStyle name="Migliaia 21 4 7 4" xfId="41500" xr:uid="{1162E543-173F-47E1-9C57-AFB3A83CA458}"/>
    <cellStyle name="Migliaia 21 4 7 5" xfId="24501" xr:uid="{B40AFE3C-2559-4F31-B975-4826B3F38A38}"/>
    <cellStyle name="Migliaia 21 4 8" xfId="24496" xr:uid="{D75ABF5C-223B-4BA9-A2FE-40A6D8B0CD1F}"/>
    <cellStyle name="Migliaia 21 4 9" xfId="7372" xr:uid="{4C421B5D-BF20-46F2-A726-78D065C3F8B5}"/>
    <cellStyle name="Migliaia 21 5" xfId="1725" xr:uid="{00000000-0005-0000-0000-00003C030000}"/>
    <cellStyle name="Migliaia 21 5 2" xfId="5050" xr:uid="{472F496E-1632-4BC1-89AD-7FFEDA9F92E1}"/>
    <cellStyle name="Migliaia 21 5 2 2" xfId="18403" xr:uid="{646E33C4-0E70-4FC9-B17A-166CD50B50A7}"/>
    <cellStyle name="Migliaia 21 5 2 2 2" xfId="38850" xr:uid="{958803B2-D672-45F5-B79F-8BE6115A33F9}"/>
    <cellStyle name="Migliaia 21 5 2 2 3" xfId="44152" xr:uid="{4F2B17A2-556F-49B4-BED0-BFCCA655E83F}"/>
    <cellStyle name="Migliaia 21 5 2 3" xfId="20106" xr:uid="{DF7DF7B3-D586-4465-85DB-0B1968A85B7F}"/>
    <cellStyle name="Migliaia 21 5 2 3 2" xfId="36336" xr:uid="{87C2DA4A-B1C8-42A9-ACD7-E418B0C49C47}"/>
    <cellStyle name="Migliaia 21 5 2 4" xfId="41501" xr:uid="{FA7FD107-60D9-4602-95B9-2B8C6696F500}"/>
    <cellStyle name="Migliaia 21 5 2 5" xfId="16214" xr:uid="{B46C9479-AA75-4C0C-BE3C-E7E48974B97C}"/>
    <cellStyle name="Migliaia 21 5 2 6" xfId="8563" xr:uid="{5924AF7C-54F8-4301-9F45-D327569C6931}"/>
    <cellStyle name="Migliaia 21 5 3" xfId="6260" xr:uid="{960969E8-E141-4242-9662-558EF56CF93A}"/>
    <cellStyle name="Migliaia 21 5 3 2" xfId="33424" xr:uid="{60D1ACC5-5F1F-4E25-A029-1CF23B1A48E7}"/>
    <cellStyle name="Migliaia 21 5 3 2 2" xfId="38851" xr:uid="{C176CC85-4D70-42B8-9AE6-97E27A05265F}"/>
    <cellStyle name="Migliaia 21 5 3 2 3" xfId="44153" xr:uid="{4F94B08A-0BE1-4AA6-A6A1-DDBDFD19433F}"/>
    <cellStyle name="Migliaia 21 5 3 3" xfId="36337" xr:uid="{805BEC3E-5AA4-48CD-80DB-9804BC5EC430}"/>
    <cellStyle name="Migliaia 21 5 3 4" xfId="41502" xr:uid="{5C949840-A0E2-4518-9802-86FFF2E01512}"/>
    <cellStyle name="Migliaia 21 5 3 5" xfId="11291" xr:uid="{E46FF083-05DB-4E0E-9A0B-4E94769262CD}"/>
    <cellStyle name="Migliaia 21 5 4" xfId="3324" xr:uid="{5829B7B6-C347-4511-8281-A4D919BA7089}"/>
    <cellStyle name="Migliaia 21 5 4 2" xfId="21437" xr:uid="{D9C932E7-2835-4423-B936-A8DC0BFE42C9}"/>
    <cellStyle name="Migliaia 21 5 4 2 2" xfId="38852" xr:uid="{D7ADE83A-DACE-4554-90A2-10A4204E743A}"/>
    <cellStyle name="Migliaia 21 5 4 2 3" xfId="44154" xr:uid="{2F3030B7-1C77-48EB-AEAF-0D5792B36E61}"/>
    <cellStyle name="Migliaia 21 5 4 2 4" xfId="33425" xr:uid="{91150013-86D8-4A8F-97CF-6561034085F1}"/>
    <cellStyle name="Migliaia 21 5 4 3" xfId="36338" xr:uid="{4EBEF6AC-75AC-4557-A278-AD5E3CC07B99}"/>
    <cellStyle name="Migliaia 21 5 4 4" xfId="41503" xr:uid="{DDBD0B2D-2956-4CC2-B8D0-4735218E40DF}"/>
    <cellStyle name="Migliaia 21 5 4 5" xfId="24503" xr:uid="{77CC07A4-3168-42E3-AF45-294963878F9A}"/>
    <cellStyle name="Migliaia 21 5 4 6" xfId="47896" xr:uid="{E872AFAC-2FCD-4B5B-803A-7A5E5C2EE60B}"/>
    <cellStyle name="Migliaia 21 5 4 7" xfId="50452" xr:uid="{219F8D47-0F69-4033-8996-E32A6372D65B}"/>
    <cellStyle name="Migliaia 21 5 4 8" xfId="53468" xr:uid="{864516B3-C03B-48F4-8FEB-51339E2A5056}"/>
    <cellStyle name="Migliaia 21 5 4 9" xfId="10802" xr:uid="{FE21283A-66D3-4C1C-A641-6BC0FDC1F757}"/>
    <cellStyle name="Migliaia 21 5 5" xfId="20105" xr:uid="{A2126022-129D-46A0-A9D0-B2E8F3D0149C}"/>
    <cellStyle name="Migliaia 21 5 5 2" xfId="33426" xr:uid="{0237DB3C-EED4-4233-A4DE-970F5E747B6B}"/>
    <cellStyle name="Migliaia 21 5 5 2 2" xfId="38853" xr:uid="{7D2179E0-F934-449D-B369-BC08097F9520}"/>
    <cellStyle name="Migliaia 21 5 5 2 3" xfId="44155" xr:uid="{82CF2F97-915A-4342-B0A7-F3820BB78E4B}"/>
    <cellStyle name="Migliaia 21 5 5 3" xfId="36339" xr:uid="{18B4701B-2D2A-42E7-BBE9-CDD9D05484F7}"/>
    <cellStyle name="Migliaia 21 5 5 4" xfId="41504" xr:uid="{F5B6A4A0-8E39-49E2-82EB-599422F2C1A4}"/>
    <cellStyle name="Migliaia 21 5 5 5" xfId="24504" xr:uid="{4FEC3A43-E765-4361-BEC5-478D90E46244}"/>
    <cellStyle name="Migliaia 21 5 6" xfId="24505" xr:uid="{623CA48A-46BB-4318-8019-4A2474F38F21}"/>
    <cellStyle name="Migliaia 21 5 6 2" xfId="33427" xr:uid="{B425B007-D712-4DAE-A122-767B3625889D}"/>
    <cellStyle name="Migliaia 21 5 6 2 2" xfId="38854" xr:uid="{E074DEA9-1418-42C5-8209-E8E35534D044}"/>
    <cellStyle name="Migliaia 21 5 6 2 3" xfId="44156" xr:uid="{349B23EF-0976-4717-8F69-245F0EADBDB8}"/>
    <cellStyle name="Migliaia 21 5 6 3" xfId="36340" xr:uid="{E36CE19E-51D6-43D9-AC68-34B3F10D68D3}"/>
    <cellStyle name="Migliaia 21 5 6 4" xfId="41505" xr:uid="{28AD6B0B-477E-45C1-B9B1-94C920E97FB1}"/>
    <cellStyle name="Migliaia 21 5 7" xfId="24502" xr:uid="{D93558B5-3103-4F43-BB93-2F2BFF6242E5}"/>
    <cellStyle name="Migliaia 21 5 8" xfId="7373" xr:uid="{54F0A62D-5E4C-4326-9865-7183DDB54D34}"/>
    <cellStyle name="Migliaia 21 6" xfId="3325" xr:uid="{ECAF671F-B70A-43D0-AA99-3FDE8AD644DB}"/>
    <cellStyle name="Migliaia 21 6 2" xfId="5051" xr:uid="{352D5B97-72FC-4D45-BE96-C5523226265F}"/>
    <cellStyle name="Migliaia 21 6 2 2" xfId="9907" xr:uid="{A4DF607F-8885-4A10-8473-C6A12C81EFE6}"/>
    <cellStyle name="Migliaia 21 6 2 3" xfId="18667" xr:uid="{8DC1839E-761E-4BF0-BEEE-E09D54E6FB99}"/>
    <cellStyle name="Migliaia 21 6 2 4" xfId="20108" xr:uid="{DE1B47B2-A629-48F1-8971-F1CC282FF9CE}"/>
    <cellStyle name="Migliaia 21 6 2 5" xfId="32339" xr:uid="{988FD4BF-B3B4-4ACE-9D16-AC9DABCB81F9}"/>
    <cellStyle name="Migliaia 21 6 2 6" xfId="16216" xr:uid="{5261FD09-044C-4709-A542-15ED81100ADE}"/>
    <cellStyle name="Migliaia 21 6 2 7" xfId="8558" xr:uid="{43C0FCE9-4CB5-4ACE-9ABF-4EEF4181D078}"/>
    <cellStyle name="Migliaia 21 6 3" xfId="6261" xr:uid="{25A99DB3-ADAA-4A53-A0BD-063FA563032E}"/>
    <cellStyle name="Migliaia 21 6 3 2" xfId="35218" xr:uid="{B4726C31-B63F-48B8-BFA3-017794BCD347}"/>
    <cellStyle name="Migliaia 21 6 3 2 2" xfId="40378" xr:uid="{39B6FE10-47A2-4910-9966-A9CA5F622DA4}"/>
    <cellStyle name="Migliaia 21 6 3 2 3" xfId="45680" xr:uid="{359A2921-7AF0-4415-87EA-E0EEF9B10CEF}"/>
    <cellStyle name="Migliaia 21 6 3 3" xfId="37727" xr:uid="{8782121E-85E2-4358-8D3B-07232E4C3A16}"/>
    <cellStyle name="Migliaia 21 6 3 4" xfId="43029" xr:uid="{18C7E8A0-EFF7-4441-8D88-8B98F44EE68D}"/>
    <cellStyle name="Migliaia 21 6 3 5" xfId="9670" xr:uid="{18A70A2E-F064-4B83-9361-678818CFDA3B}"/>
    <cellStyle name="Migliaia 21 6 4" xfId="20107" xr:uid="{75F7D2EB-571F-4EF5-8777-D81A6A61F6C7}"/>
    <cellStyle name="Migliaia 21 6 4 2" xfId="38855" xr:uid="{EAA8ABF3-0AC4-4A8B-B150-02B4A5B3D358}"/>
    <cellStyle name="Migliaia 21 6 4 3" xfId="44157" xr:uid="{009BB201-1E90-48C5-8054-F838421A50DC}"/>
    <cellStyle name="Migliaia 21 6 4 4" xfId="33428" xr:uid="{4B64B9D1-645F-4ECC-9BEA-12A83230005A}"/>
    <cellStyle name="Migliaia 21 6 5" xfId="36341" xr:uid="{AD005266-7507-46CB-AF7C-A4268474AF65}"/>
    <cellStyle name="Migliaia 21 6 6" xfId="41506" xr:uid="{A2BAD3C5-9D02-4A00-91CE-B41CF5673517}"/>
    <cellStyle name="Migliaia 21 6 7" xfId="16215" xr:uid="{3D7E7559-9603-424D-B9E5-9AC20F9BE8DE}"/>
    <cellStyle name="Migliaia 21 6 8" xfId="7368" xr:uid="{CCF2DA76-E566-4E95-AF0A-4E3D271278D7}"/>
    <cellStyle name="Migliaia 21 7" xfId="3326" xr:uid="{6508234A-4998-4265-B2DB-EB1652F0212C}"/>
    <cellStyle name="Migliaia 21 7 2" xfId="5052" xr:uid="{B3887E29-9014-4C60-A0B4-BD5D8CC835ED}"/>
    <cellStyle name="Migliaia 21 7 2 2" xfId="35219" xr:uid="{99FFE49A-1621-44D9-8A6D-5C43FDB339F1}"/>
    <cellStyle name="Migliaia 21 7 2 2 2" xfId="40379" xr:uid="{A8E7BA47-6683-4A86-82EF-103757E27CB9}"/>
    <cellStyle name="Migliaia 21 7 2 2 3" xfId="45681" xr:uid="{B209013B-6403-4760-91FC-7E01B3ED01D0}"/>
    <cellStyle name="Migliaia 21 7 2 3" xfId="37728" xr:uid="{5D36A6D8-866E-4C8A-A2E7-2A8F6EA4BE61}"/>
    <cellStyle name="Migliaia 21 7 2 4" xfId="43030" xr:uid="{DEA5065C-5457-43E4-8E5B-ACF5D3393B13}"/>
    <cellStyle name="Migliaia 21 7 2 5" xfId="14218" xr:uid="{AF7B6379-4307-4734-B318-A172CDD7CECE}"/>
    <cellStyle name="Migliaia 21 7 3" xfId="6262" xr:uid="{05AE909A-FBFD-47FF-ADEA-A8DA081E25A1}"/>
    <cellStyle name="Migliaia 21 7 3 2" xfId="38856" xr:uid="{8760777D-29DD-4FCB-AD27-BB9692403C36}"/>
    <cellStyle name="Migliaia 21 7 3 3" xfId="44158" xr:uid="{2EB81A30-D25A-4ECC-82A3-A857B5369CAB}"/>
    <cellStyle name="Migliaia 21 7 3 4" xfId="33429" xr:uid="{410CE5E3-593A-4035-8D4C-12AC9E162A96}"/>
    <cellStyle name="Migliaia 21 7 3 5" xfId="20109" xr:uid="{4B05448C-3F70-4971-87E1-744445FF13E2}"/>
    <cellStyle name="Migliaia 21 7 4" xfId="36342" xr:uid="{5DC765B3-F4A6-4EC1-A397-718C5E41FFE6}"/>
    <cellStyle name="Migliaia 21 7 5" xfId="41507" xr:uid="{3360BA72-5F25-4B55-8833-7AB061A80589}"/>
    <cellStyle name="Migliaia 21 7 6" xfId="16217" xr:uid="{C048D265-F4F0-491B-8094-384BB4530FCF}"/>
    <cellStyle name="Migliaia 21 7 7" xfId="8280" xr:uid="{9616B8E8-8B13-4620-9C71-2DAE7D1600AB}"/>
    <cellStyle name="Migliaia 21 8" xfId="3327" xr:uid="{A482A192-6B8D-475D-BD86-35FDAADD76A8}"/>
    <cellStyle name="Migliaia 21 8 2" xfId="5053" xr:uid="{BA5F1B89-64B0-487E-B827-68507A7739BF}"/>
    <cellStyle name="Migliaia 21 8 2 2" xfId="35220" xr:uid="{95A20EF2-A4FF-47AC-9771-A20B7CD41F6D}"/>
    <cellStyle name="Migliaia 21 8 2 2 2" xfId="40380" xr:uid="{5659660A-B76C-4919-8436-B2FB6AA1C080}"/>
    <cellStyle name="Migliaia 21 8 2 2 3" xfId="45682" xr:uid="{5DCF0FE9-F171-4D86-86CF-D2B3DDF371BA}"/>
    <cellStyle name="Migliaia 21 8 2 3" xfId="37729" xr:uid="{06E9BBF5-9288-491E-8405-1C9E0E02AA00}"/>
    <cellStyle name="Migliaia 21 8 2 4" xfId="43031" xr:uid="{9AC04DC5-164F-4243-9EF1-D5994A3714D7}"/>
    <cellStyle name="Migliaia 21 8 2 5" xfId="13923" xr:uid="{A3B44CB2-47E7-441A-89FE-2FA741E254A7}"/>
    <cellStyle name="Migliaia 21 8 3" xfId="6263" xr:uid="{808F3C51-DDA0-46FA-9AE4-C4CA8124FA71}"/>
    <cellStyle name="Migliaia 21 8 3 2" xfId="38857" xr:uid="{1F738B59-485A-4F6D-B8EB-DC69C522FD7B}"/>
    <cellStyle name="Migliaia 21 8 3 3" xfId="44159" xr:uid="{F9BA02E1-870F-4A39-8638-1706EE1F54DF}"/>
    <cellStyle name="Migliaia 21 8 3 4" xfId="33430" xr:uid="{67D3E516-DB37-4A9A-8CEF-E208AC524CC4}"/>
    <cellStyle name="Migliaia 21 8 3 5" xfId="20110" xr:uid="{C5BDF980-B433-4261-90AD-3E4276AE96DD}"/>
    <cellStyle name="Migliaia 21 8 4" xfId="36343" xr:uid="{D7F290F9-11E2-42CE-8385-22934ADCA4DC}"/>
    <cellStyle name="Migliaia 21 8 5" xfId="41508" xr:uid="{74BE4920-A177-42C1-BE43-E76B8E773DF2}"/>
    <cellStyle name="Migliaia 21 8 6" xfId="16218" xr:uid="{3A17FBB0-D69A-4334-BF2A-5811E050FDC8}"/>
    <cellStyle name="Migliaia 21 8 7" xfId="7874" xr:uid="{18BECA86-6F87-4838-B678-6F9F06B117DC}"/>
    <cellStyle name="Migliaia 21 9" xfId="5038" xr:uid="{1B43D3F2-8DA0-4CC7-86D1-0003A2251DAA}"/>
    <cellStyle name="Migliaia 21 9 2" xfId="33431" xr:uid="{80D27CE6-8C91-40D4-857A-49CE062E8B62}"/>
    <cellStyle name="Migliaia 21 9 2 2" xfId="38858" xr:uid="{E2E01CEB-68EF-4728-91F3-ABCA310979C0}"/>
    <cellStyle name="Migliaia 21 9 2 3" xfId="44160" xr:uid="{4CDCEE66-76CA-44B8-ACA4-6FC10F8D1824}"/>
    <cellStyle name="Migliaia 21 9 3" xfId="36344" xr:uid="{DF4479BC-A863-4A41-8816-F361AD95FF28}"/>
    <cellStyle name="Migliaia 21 9 4" xfId="41509" xr:uid="{EF7058C2-10F4-40D3-B7BE-5F0B5799341E}"/>
    <cellStyle name="Migliaia 21 9 5" xfId="17161" xr:uid="{40345381-E90A-4727-84E4-0A473D92C104}"/>
    <cellStyle name="Migliaia 22" xfId="357" xr:uid="{00000000-0005-0000-0000-00003D030000}"/>
    <cellStyle name="Migliaia 22 10" xfId="6264" xr:uid="{7B8F8C49-B2A0-4D53-931C-CB3BDB9495A3}"/>
    <cellStyle name="Migliaia 22 10 2" xfId="38859" xr:uid="{1C09DC23-420F-4A90-8742-58092E91B462}"/>
    <cellStyle name="Migliaia 22 10 3" xfId="44161" xr:uid="{D607C849-BF07-4EEF-B524-6E6A3AD6F17A}"/>
    <cellStyle name="Migliaia 22 10 4" xfId="33432" xr:uid="{13619049-FC2E-47D2-BDDB-8CB0506A160B}"/>
    <cellStyle name="Migliaia 22 10 5" xfId="20111" xr:uid="{DE4AE0C1-2D2E-43C2-8F19-65450DB3927D}"/>
    <cellStyle name="Migliaia 22 11" xfId="3328" xr:uid="{C3F83E1B-58EC-4573-A3F2-0B289F37D2EF}"/>
    <cellStyle name="Migliaia 22 11 2" xfId="36345" xr:uid="{81001CA0-1BFC-4BF0-B590-C0892EDB528C}"/>
    <cellStyle name="Migliaia 22 12" xfId="41510" xr:uid="{C57928F5-2820-43DC-B9C1-5D4C5405678E}"/>
    <cellStyle name="Migliaia 22 13" xfId="7084" xr:uid="{9DE53D3E-3C67-4CEB-A5F5-8DFEA57DF84A}"/>
    <cellStyle name="Migliaia 22 2" xfId="358" xr:uid="{00000000-0005-0000-0000-00003E030000}"/>
    <cellStyle name="Migliaia 22 2 2" xfId="1726" xr:uid="{00000000-0005-0000-0000-00003F030000}"/>
    <cellStyle name="Migliaia 22 2 2 2" xfId="5056" xr:uid="{A5350673-A475-4179-A190-D7D6E9BA905B}"/>
    <cellStyle name="Migliaia 22 2 2 2 2" xfId="14377" xr:uid="{C7570FA3-19FF-4BD2-B5D8-9242A168A363}"/>
    <cellStyle name="Migliaia 22 2 2 2 2 2" xfId="38860" xr:uid="{4DC27DD3-D9B8-456C-900F-D9B7CE5E179E}"/>
    <cellStyle name="Migliaia 22 2 2 2 2 3" xfId="44162" xr:uid="{C2AE0844-1514-42EC-BE2F-94C68F170C06}"/>
    <cellStyle name="Migliaia 22 2 2 2 3" xfId="18404" xr:uid="{01C15A31-CDBF-4C4A-A2F6-5BCD8312165A}"/>
    <cellStyle name="Migliaia 22 2 2 2 4" xfId="20114" xr:uid="{93CF236C-262D-499B-ADE3-78D69DBDCAD5}"/>
    <cellStyle name="Migliaia 22 2 2 2 4 2" xfId="41511" xr:uid="{E6FFB71B-3353-4E5F-8BC6-4EAFC4DD3FCC}"/>
    <cellStyle name="Migliaia 22 2 2 2 5" xfId="16219" xr:uid="{060E16DA-0D7A-43E4-9426-7773D9A302AB}"/>
    <cellStyle name="Migliaia 22 2 2 2 6" xfId="8565" xr:uid="{9E512D6D-1967-4C2B-935E-B166D8D245A8}"/>
    <cellStyle name="Migliaia 22 2 2 3" xfId="6266" xr:uid="{0592CE43-4B5F-49E7-8E2D-4384228913BC}"/>
    <cellStyle name="Migliaia 22 2 2 3 2" xfId="35221" xr:uid="{3457653B-DF81-44E2-AFF9-948004D39450}"/>
    <cellStyle name="Migliaia 22 2 2 3 2 2" xfId="40381" xr:uid="{ABF9EE8A-90E4-4C78-9347-53C62714DBDB}"/>
    <cellStyle name="Migliaia 22 2 2 3 2 3" xfId="45683" xr:uid="{0D09CEC3-B347-436F-B0EE-BF3D9FF130F5}"/>
    <cellStyle name="Migliaia 22 2 2 3 3" xfId="37730" xr:uid="{7DAA3445-A282-4CF0-8FA9-69EE01E90244}"/>
    <cellStyle name="Migliaia 22 2 2 3 4" xfId="43032" xr:uid="{F1EA8FC4-C60D-44F5-AE3A-DA1E50A27CF8}"/>
    <cellStyle name="Migliaia 22 2 2 3 5" xfId="11604" xr:uid="{3B3FEF2A-B0BE-4E35-B753-9390BFB8C566}"/>
    <cellStyle name="Migliaia 22 2 2 4" xfId="3330" xr:uid="{9D92E237-8B22-4F84-ADF6-FFC9335626D7}"/>
    <cellStyle name="Migliaia 22 2 2 4 2" xfId="21438" xr:uid="{98645C90-4F84-4D69-B5BF-44CA559C93B7}"/>
    <cellStyle name="Migliaia 22 2 2 4 3" xfId="46225" xr:uid="{06533ED8-B601-4173-A287-ABCE851BA2CE}"/>
    <cellStyle name="Migliaia 22 2 2 4 4" xfId="50453" xr:uid="{5E83698B-189E-47F8-8AAF-72157906E57F}"/>
    <cellStyle name="Migliaia 22 2 2 4 5" xfId="53469" xr:uid="{48E77426-BB41-49AA-8C05-7C3DB3553891}"/>
    <cellStyle name="Migliaia 22 2 2 4 6" xfId="10803" xr:uid="{D24C1FF9-9FCF-4D2C-BC46-EA0F49F6DFF0}"/>
    <cellStyle name="Migliaia 22 2 2 5" xfId="20113" xr:uid="{93037B72-1D26-48F3-90EE-F97C50D5CF0A}"/>
    <cellStyle name="Migliaia 22 2 2 6" xfId="24510" xr:uid="{7EF0069D-4E5A-4D8A-B231-B9CDECAD2422}"/>
    <cellStyle name="Migliaia 22 2 2 7" xfId="7375" xr:uid="{23DCF0D1-13EE-4817-8DA1-19F96E746D4F}"/>
    <cellStyle name="Migliaia 22 2 3" xfId="3331" xr:uid="{7CBC0202-8B37-4AB4-950C-71DEADF0871E}"/>
    <cellStyle name="Migliaia 22 2 3 2" xfId="5057" xr:uid="{C72A19A1-FDB3-4903-9E8D-6F798694F380}"/>
    <cellStyle name="Migliaia 22 2 3 2 2" xfId="35222" xr:uid="{DCAF3680-B71C-4EBD-AD03-5E5B83F80536}"/>
    <cellStyle name="Migliaia 22 2 3 2 2 2" xfId="40382" xr:uid="{1D7D0226-6B5B-43F1-88FD-16C9A5D05D7C}"/>
    <cellStyle name="Migliaia 22 2 3 2 2 3" xfId="45684" xr:uid="{9E102FD9-8CF0-4B9E-AC2A-41552E52D33D}"/>
    <cellStyle name="Migliaia 22 2 3 2 3" xfId="37731" xr:uid="{992EB706-AAD9-4058-BECA-96583DF44C07}"/>
    <cellStyle name="Migliaia 22 2 3 2 4" xfId="43033" xr:uid="{816E57E5-E6F6-47FC-A598-1B46BC705551}"/>
    <cellStyle name="Migliaia 22 2 3 2 5" xfId="14222" xr:uid="{843BA993-87A3-4051-A7E0-CA40F0657B16}"/>
    <cellStyle name="Migliaia 22 2 3 3" xfId="6267" xr:uid="{04AD14A0-B348-45B9-B4F7-5857C09CFABB}"/>
    <cellStyle name="Migliaia 22 2 3 3 2" xfId="38861" xr:uid="{D9B8FCCF-6816-4886-8958-944D4517084A}"/>
    <cellStyle name="Migliaia 22 2 3 3 3" xfId="44163" xr:uid="{21D4EE3C-7C8E-42E4-8963-CB0FFF288BAB}"/>
    <cellStyle name="Migliaia 22 2 3 3 4" xfId="33433" xr:uid="{7BA15618-A162-4198-BCC8-71DC867E3248}"/>
    <cellStyle name="Migliaia 22 2 3 3 5" xfId="20115" xr:uid="{1D68C72A-DDEC-42F8-8106-B412902C1A5D}"/>
    <cellStyle name="Migliaia 22 2 3 4" xfId="36346" xr:uid="{E23BD688-9705-4837-B99B-558FEA906D05}"/>
    <cellStyle name="Migliaia 22 2 3 5" xfId="41512" xr:uid="{CD9E53FB-6DA0-4C45-BA5A-5FC566E8BAC6}"/>
    <cellStyle name="Migliaia 22 2 3 6" xfId="16220" xr:uid="{DC050AB5-3B61-486D-93B9-F66A3EF6CC76}"/>
    <cellStyle name="Migliaia 22 2 3 7" xfId="8284" xr:uid="{A9B5C4DE-627D-4049-A60D-8F9449C6E46F}"/>
    <cellStyle name="Migliaia 22 2 4" xfId="5055" xr:uid="{B05D9D27-E4DE-4CA8-AA30-DFBCF9EFCE37}"/>
    <cellStyle name="Migliaia 22 2 4 2" xfId="13927" xr:uid="{96752953-96B7-4A3C-A89F-B9D35717D99E}"/>
    <cellStyle name="Migliaia 22 2 4 2 2" xfId="38862" xr:uid="{B329BE6C-B08F-4892-A756-BF3CF37E07AF}"/>
    <cellStyle name="Migliaia 22 2 4 2 3" xfId="44164" xr:uid="{C980BB2F-DE77-4A21-BD35-58DB9EC34CDF}"/>
    <cellStyle name="Migliaia 22 2 4 3" xfId="18716" xr:uid="{D87EF7B4-81A4-4F0D-8081-4152270950A6}"/>
    <cellStyle name="Migliaia 22 2 4 4" xfId="20116" xr:uid="{AF8A39C1-96B9-4440-B5ED-B2353807058A}"/>
    <cellStyle name="Migliaia 22 2 4 4 2" xfId="41513" xr:uid="{71F044BF-4907-47E5-AA84-60CEE78A18AF}"/>
    <cellStyle name="Migliaia 22 2 4 5" xfId="16221" xr:uid="{1DB29326-A1C9-47C2-9937-B37797FF1398}"/>
    <cellStyle name="Migliaia 22 2 4 6" xfId="7879" xr:uid="{A04BF348-32CD-42AB-ABD8-40D82197FCC9}"/>
    <cellStyle name="Migliaia 22 2 5" xfId="6265" xr:uid="{BC6F054C-20BC-46B5-82C2-04F7A13BF32C}"/>
    <cellStyle name="Migliaia 22 2 5 2" xfId="33434" xr:uid="{A0648717-EF8B-4E07-9724-2CF6E2E7614D}"/>
    <cellStyle name="Migliaia 22 2 5 2 2" xfId="38863" xr:uid="{78EEC6CC-72A8-45F4-BDA1-C9B8A9BAF4EE}"/>
    <cellStyle name="Migliaia 22 2 5 2 3" xfId="44165" xr:uid="{866C5090-D7AD-4526-9DE6-36FAD5427640}"/>
    <cellStyle name="Migliaia 22 2 5 3" xfId="36347" xr:uid="{F0DE9380-A175-4C69-824F-C5D2D0FCCF24}"/>
    <cellStyle name="Migliaia 22 2 5 4" xfId="41514" xr:uid="{90DC709F-75F1-4BC2-AB58-B2F8F0ACB2EB}"/>
    <cellStyle name="Migliaia 22 2 5 5" xfId="13117" xr:uid="{F17BAE6B-9B83-4F0D-B4B3-62D7DB727122}"/>
    <cellStyle name="Migliaia 22 2 6" xfId="3329" xr:uid="{F583C249-00C9-42FC-99EE-7D69D4F1D2E9}"/>
    <cellStyle name="Migliaia 22 2 6 2" xfId="33435" xr:uid="{79D8C499-C285-4BBA-B92A-139F1683D096}"/>
    <cellStyle name="Migliaia 22 2 6 2 2" xfId="38864" xr:uid="{35CCD824-35C4-4556-8588-28853842297B}"/>
    <cellStyle name="Migliaia 22 2 6 2 3" xfId="44166" xr:uid="{7AAD3E47-5EBF-4B93-9241-CB5ACF325C9A}"/>
    <cellStyle name="Migliaia 22 2 6 3" xfId="36348" xr:uid="{448FDD81-E983-45CC-A01B-3CA20C6D8A92}"/>
    <cellStyle name="Migliaia 22 2 6 4" xfId="41515" xr:uid="{2903DA1E-E973-4022-9C56-1847F59CEFE7}"/>
    <cellStyle name="Migliaia 22 2 6 5" xfId="24511" xr:uid="{DB736570-0E16-4EEE-B605-4C742993C1DB}"/>
    <cellStyle name="Migliaia 22 2 6 6" xfId="20112" xr:uid="{13B5C7D2-E92D-4E1C-873A-56886605997B}"/>
    <cellStyle name="Migliaia 22 2 7" xfId="24509" xr:uid="{7B9A7A6E-1A77-4D68-9A73-66328C8CC17E}"/>
    <cellStyle name="Migliaia 22 2 8" xfId="7085" xr:uid="{DC0015A8-C09F-4397-80F9-69ABAB68D779}"/>
    <cellStyle name="Migliaia 22 3" xfId="359" xr:uid="{00000000-0005-0000-0000-000040030000}"/>
    <cellStyle name="Migliaia 22 3 10" xfId="24512" xr:uid="{0F2D30D8-ED30-4BAD-87F3-7739586E6950}"/>
    <cellStyle name="Migliaia 22 3 11" xfId="16222" xr:uid="{138EC9BF-853A-46BD-882B-1143709EF2A5}"/>
    <cellStyle name="Migliaia 22 3 12" xfId="7086" xr:uid="{3A627672-1D85-4696-8A22-886D6F53A617}"/>
    <cellStyle name="Migliaia 22 3 2" xfId="360" xr:uid="{00000000-0005-0000-0000-000041030000}"/>
    <cellStyle name="Migliaia 22 3 2 2" xfId="1727" xr:uid="{00000000-0005-0000-0000-000042030000}"/>
    <cellStyle name="Migliaia 22 3 2 2 2" xfId="5060" xr:uid="{3CDF23C8-745C-48B2-9C1D-A143CC09FF71}"/>
    <cellStyle name="Migliaia 22 3 2 2 2 2" xfId="18405" xr:uid="{CF6A3C66-85D8-4CFC-8EB6-E959D7F581E2}"/>
    <cellStyle name="Migliaia 22 3 2 2 2 2 2" xfId="21855" xr:uid="{11F86825-F83A-4682-A3E1-88A436C29668}"/>
    <cellStyle name="Migliaia 22 3 2 2 2 2 2 2" xfId="38865" xr:uid="{D54907F1-D3B8-45F6-911E-656F63A242F9}"/>
    <cellStyle name="Migliaia 22 3 2 2 2 2 3" xfId="44167" xr:uid="{E93C96F6-D6EB-4C43-BEB3-3891F61C9ACE}"/>
    <cellStyle name="Migliaia 22 3 2 2 2 2 4" xfId="33436" xr:uid="{C93DE0B3-4CD0-428E-8C1A-46FDAC3752A2}"/>
    <cellStyle name="Migliaia 22 3 2 2 2 3" xfId="36349" xr:uid="{A2F9E9BE-C4F2-4692-868C-BABB0784718F}"/>
    <cellStyle name="Migliaia 22 3 2 2 2 4" xfId="41516" xr:uid="{3B36ED33-A353-4FEF-8BD2-0FF43F9AC8E5}"/>
    <cellStyle name="Migliaia 22 3 2 2 2 5" xfId="47755" xr:uid="{5A9C807B-514D-4B22-9C16-C3E4FC471F4A}"/>
    <cellStyle name="Migliaia 22 3 2 2 2 6" xfId="50883" xr:uid="{1D3EAD9B-A4D4-43A3-B166-C0953156959F}"/>
    <cellStyle name="Migliaia 22 3 2 2 2 7" xfId="53899" xr:uid="{C965ABE3-97A9-4EB7-8F65-0D3E49EA02CE}"/>
    <cellStyle name="Migliaia 22 3 2 2 2 8" xfId="17652" xr:uid="{7A5B5DB4-8707-4657-9AEF-852D7A8F3AE1}"/>
    <cellStyle name="Migliaia 22 3 2 2 2 9" xfId="11943" xr:uid="{DA8CD76B-9660-4740-95A6-40F059D1B18E}"/>
    <cellStyle name="Migliaia 22 3 2 2 3" xfId="6270" xr:uid="{2B956C0A-961A-4B81-B265-3203E6E5AC1C}"/>
    <cellStyle name="Migliaia 22 3 2 2 3 2" xfId="11672" xr:uid="{C22BE33A-8ABF-4B8A-AB2A-6C91ADCC6229}"/>
    <cellStyle name="Migliaia 22 3 2 2 4" xfId="3334" xr:uid="{CAD69BC7-11C3-48A3-9240-BA0AC0CBCC46}"/>
    <cellStyle name="Migliaia 22 3 2 2 4 2" xfId="21439" xr:uid="{78234D5D-1620-40BB-BB61-9EAE1DA48A17}"/>
    <cellStyle name="Migliaia 22 3 2 2 4 3" xfId="48471" xr:uid="{084475FA-3CBB-4E18-AF97-82B6AA9302C6}"/>
    <cellStyle name="Migliaia 22 3 2 2 4 4" xfId="50454" xr:uid="{6780A236-FAD6-43AE-8C53-3128A2E4784A}"/>
    <cellStyle name="Migliaia 22 3 2 2 4 5" xfId="53470" xr:uid="{77B2C056-B955-4F13-9E7A-CF38A1BB5ABD}"/>
    <cellStyle name="Migliaia 22 3 2 2 4 6" xfId="10804" xr:uid="{71E532AD-2212-466B-9C21-873F7C197F67}"/>
    <cellStyle name="Migliaia 22 3 2 2 5" xfId="20119" xr:uid="{322DBD62-0E88-4C05-80CA-2FD1545CEB31}"/>
    <cellStyle name="Migliaia 22 3 2 2 6" xfId="24514" xr:uid="{BA0EEEC1-3BE9-4EA9-B653-D1AAA55C6F6A}"/>
    <cellStyle name="Migliaia 22 3 2 2 7" xfId="8567" xr:uid="{5A250004-9C9C-477F-B67C-0318098EE6D9}"/>
    <cellStyle name="Migliaia 22 3 2 3" xfId="5059" xr:uid="{2343FBCA-C814-4CC3-96D8-E98EF4DA87A2}"/>
    <cellStyle name="Migliaia 22 3 2 3 2" xfId="12418" xr:uid="{80AD4835-73CD-47DA-B591-844A6789A162}"/>
    <cellStyle name="Migliaia 22 3 2 3 2 2" xfId="38866" xr:uid="{8683EF51-0F6F-4A69-B4B4-6D34F62D9251}"/>
    <cellStyle name="Migliaia 22 3 2 3 2 3" xfId="44168" xr:uid="{8453E78E-17F3-4D76-8E85-4E0D6F22F3CD}"/>
    <cellStyle name="Migliaia 22 3 2 3 2 4" xfId="33437" xr:uid="{F3732350-3BD3-4EB9-8E95-24C9491BA7FA}"/>
    <cellStyle name="Migliaia 22 3 2 3 3" xfId="11944" xr:uid="{5EE880B6-94FE-4768-A63C-316468A6F63E}"/>
    <cellStyle name="Migliaia 22 3 2 3 4" xfId="20120" xr:uid="{584D4771-C0C0-410D-97E6-F12C0C012C94}"/>
    <cellStyle name="Migliaia 22 3 2 3 4 2" xfId="41517" xr:uid="{DD83A14D-5909-407A-BE20-B96B724D8D6B}"/>
    <cellStyle name="Migliaia 22 3 2 3 5" xfId="16223" xr:uid="{0A915689-CF1B-4915-A7D3-96C02A90DBC5}"/>
    <cellStyle name="Migliaia 22 3 2 3 6" xfId="7881" xr:uid="{41C991F0-BB23-4A88-8EAB-C0220B6ED06D}"/>
    <cellStyle name="Migliaia 22 3 2 4" xfId="6269" xr:uid="{B5DE0208-71FD-4431-A27C-88DEA0E145DD}"/>
    <cellStyle name="Migliaia 22 3 2 4 2" xfId="18071" xr:uid="{8018F8F4-DEEB-42A2-9857-610ACF6BC205}"/>
    <cellStyle name="Migliaia 22 3 2 4 2 2" xfId="38867" xr:uid="{8813C31A-DB6B-4E54-B942-C39AC0738486}"/>
    <cellStyle name="Migliaia 22 3 2 4 2 3" xfId="44169" xr:uid="{D7634EF6-ED6B-4C21-89F9-FE863E3F1166}"/>
    <cellStyle name="Migliaia 22 3 2 4 3" xfId="36350" xr:uid="{681AABA1-AEEE-46B8-9EB3-0CEBF6F9CC1D}"/>
    <cellStyle name="Migliaia 22 3 2 4 4" xfId="41518" xr:uid="{5A1C6464-797E-44B0-A385-08D36B9FB50E}"/>
    <cellStyle name="Migliaia 22 3 2 4 5" xfId="17164" xr:uid="{0D69B53A-B2FC-47B6-BC59-8FF8544AB383}"/>
    <cellStyle name="Migliaia 22 3 2 4 6" xfId="11292" xr:uid="{ECB5D7F8-EC44-4833-BA93-CF5FF470A2B3}"/>
    <cellStyle name="Migliaia 22 3 2 5" xfId="3333" xr:uid="{A40DC061-E273-43AC-B3D5-6392FECAD914}"/>
    <cellStyle name="Migliaia 22 3 2 5 2" xfId="33438" xr:uid="{ED96EF5E-233C-4BC7-963B-01AA4A718E55}"/>
    <cellStyle name="Migliaia 22 3 2 5 2 2" xfId="38868" xr:uid="{23374D13-52A8-4139-94CA-C91A608B6D2A}"/>
    <cellStyle name="Migliaia 22 3 2 5 2 3" xfId="44170" xr:uid="{42AABC75-0E62-4A6A-AD5D-2FA9878224D6}"/>
    <cellStyle name="Migliaia 22 3 2 5 3" xfId="36351" xr:uid="{3F460710-AE15-4E77-A674-9CC2B42F6013}"/>
    <cellStyle name="Migliaia 22 3 2 5 4" xfId="41519" xr:uid="{5C4AAF51-6678-41C6-9ADC-71072E4055B9}"/>
    <cellStyle name="Migliaia 22 3 2 5 5" xfId="17384" xr:uid="{958E6E3C-9AC4-49F2-BF0F-5A5BA5F66CA6}"/>
    <cellStyle name="Migliaia 22 3 2 6" xfId="20118" xr:uid="{3B7DBC3D-576E-4943-8813-3974DAD8E05E}"/>
    <cellStyle name="Migliaia 22 3 2 6 2" xfId="33439" xr:uid="{C3129B1F-AD61-402F-96CC-DC50AA98219F}"/>
    <cellStyle name="Migliaia 22 3 2 6 2 2" xfId="38869" xr:uid="{921F5823-6BB3-49AE-A8FC-6A6032ACAB2C}"/>
    <cellStyle name="Migliaia 22 3 2 6 2 3" xfId="44171" xr:uid="{0B64C2F8-62F6-438A-B538-EA4F2AF1715A}"/>
    <cellStyle name="Migliaia 22 3 2 6 3" xfId="36352" xr:uid="{5EA1C897-77F9-42FD-B8AF-91EED3B4FF2A}"/>
    <cellStyle name="Migliaia 22 3 2 6 4" xfId="41520" xr:uid="{9ACB41CD-73A8-44FC-A48B-59B76AB5B1B8}"/>
    <cellStyle name="Migliaia 22 3 2 6 5" xfId="24515" xr:uid="{80D3D2BF-CCEF-47F4-8BA0-A0BF05F0777C}"/>
    <cellStyle name="Migliaia 22 3 2 7" xfId="24513" xr:uid="{7A211DCC-9F12-4F9B-BB77-D3FA1D0F5516}"/>
    <cellStyle name="Migliaia 22 3 2 8" xfId="7377" xr:uid="{4092EA11-8EDD-46C9-8925-058C69554575}"/>
    <cellStyle name="Migliaia 22 3 3" xfId="3335" xr:uid="{A1E2654E-49DF-411A-BF75-223DF39C98AC}"/>
    <cellStyle name="Migliaia 22 3 3 10" xfId="7376" xr:uid="{8DC0C6A6-10DA-4EE5-8A78-54AB973AC034}"/>
    <cellStyle name="Migliaia 22 3 3 2" xfId="5061" xr:uid="{5BB3EB7E-9EC9-4538-B6ED-293563E9578E}"/>
    <cellStyle name="Migliaia 22 3 3 2 2" xfId="9910" xr:uid="{A60E4E05-7D45-4C76-B8EA-4E7460B20C33}"/>
    <cellStyle name="Migliaia 22 3 3 2 2 2" xfId="38871" xr:uid="{CE20F668-48B6-40EC-8747-1CDD0D87F491}"/>
    <cellStyle name="Migliaia 22 3 3 2 2 3" xfId="44173" xr:uid="{6DBAFCBD-ABA1-4DB2-82EF-27CECF6996FC}"/>
    <cellStyle name="Migliaia 22 3 3 2 3" xfId="18190" xr:uid="{980FB3EB-C3C8-426B-99B5-9B9D266DF963}"/>
    <cellStyle name="Migliaia 22 3 3 2 4" xfId="20122" xr:uid="{F569F5A4-24E4-4E08-9372-57C2401ACDAF}"/>
    <cellStyle name="Migliaia 22 3 3 2 4 2" xfId="41522" xr:uid="{1E6B7838-E26E-479C-AA81-F67FDABE6445}"/>
    <cellStyle name="Migliaia 22 3 3 2 5" xfId="16225" xr:uid="{74C9AA97-9724-48C7-A52B-8D7BD08A65A3}"/>
    <cellStyle name="Migliaia 22 3 3 2 6" xfId="8566" xr:uid="{8259A1B9-F353-4FAC-BA5E-FEAAA8EEB2BE}"/>
    <cellStyle name="Migliaia 22 3 3 3" xfId="6271" xr:uid="{B101B36E-7B3A-4B81-B7C0-96B4ACD910B2}"/>
    <cellStyle name="Migliaia 22 3 3 3 2" xfId="33441" xr:uid="{4CA01D0C-25D2-4F80-B4B7-7F01737C3829}"/>
    <cellStyle name="Migliaia 22 3 3 3 2 2" xfId="38872" xr:uid="{D05D3322-77DE-40F1-9AD7-1E809251E4B2}"/>
    <cellStyle name="Migliaia 22 3 3 3 2 3" xfId="44174" xr:uid="{E4765582-A18E-4932-B8B0-BC5AB82A8AC4}"/>
    <cellStyle name="Migliaia 22 3 3 3 3" xfId="36354" xr:uid="{2B01EC35-8BA0-48CB-83EC-19EA2C11E3B6}"/>
    <cellStyle name="Migliaia 22 3 3 3 4" xfId="41523" xr:uid="{1DBBC420-C02C-44E0-8407-62305EAA811E}"/>
    <cellStyle name="Migliaia 22 3 3 3 5" xfId="9673" xr:uid="{4A27565F-34C3-4EAD-9B30-181936F20B45}"/>
    <cellStyle name="Migliaia 22 3 3 4" xfId="20121" xr:uid="{E1A29C73-6EF4-4312-A99C-BEBE9B5105C6}"/>
    <cellStyle name="Migliaia 22 3 3 4 2" xfId="33442" xr:uid="{3E6DECC1-47EB-4DA6-8B17-6769FA665555}"/>
    <cellStyle name="Migliaia 22 3 3 4 2 2" xfId="38873" xr:uid="{4E4329B3-62EE-457E-A75E-47CB90B574A3}"/>
    <cellStyle name="Migliaia 22 3 3 4 2 3" xfId="44175" xr:uid="{83D48805-D8E1-4D62-9B70-2072101ABDA8}"/>
    <cellStyle name="Migliaia 22 3 3 4 3" xfId="36355" xr:uid="{3265FF17-2C79-4AC3-8C5B-E74FC4CCF340}"/>
    <cellStyle name="Migliaia 22 3 3 4 4" xfId="41524" xr:uid="{7B0110C3-D157-4EB9-B09B-989395AFAF04}"/>
    <cellStyle name="Migliaia 22 3 3 4 5" xfId="24516" xr:uid="{9317AA49-B2DF-445F-A275-60445CE00FB2}"/>
    <cellStyle name="Migliaia 22 3 3 5" xfId="24517" xr:uid="{40977049-0588-4C17-BC09-0581CA93D55B}"/>
    <cellStyle name="Migliaia 22 3 3 5 2" xfId="33443" xr:uid="{94B38179-964C-4A54-B10D-65C729C7B86C}"/>
    <cellStyle name="Migliaia 22 3 3 5 2 2" xfId="38874" xr:uid="{C284BCFC-EC86-4426-80D5-7851DD2000BE}"/>
    <cellStyle name="Migliaia 22 3 3 5 2 3" xfId="44176" xr:uid="{773A2522-DA3C-4B29-BA8E-50B780799D3E}"/>
    <cellStyle name="Migliaia 22 3 3 5 3" xfId="36356" xr:uid="{7771FBE3-2296-401B-9DEA-17D11A37C593}"/>
    <cellStyle name="Migliaia 22 3 3 5 4" xfId="41525" xr:uid="{2D112EF0-B885-4683-B9B0-6E533FB6686C}"/>
    <cellStyle name="Migliaia 22 3 3 6" xfId="33440" xr:uid="{91A6644F-DBD8-4827-A8F9-7688FFE472AF}"/>
    <cellStyle name="Migliaia 22 3 3 6 2" xfId="38870" xr:uid="{8C0AB618-FA58-4DC0-9301-BF5E9A463986}"/>
    <cellStyle name="Migliaia 22 3 3 6 3" xfId="44172" xr:uid="{4FBFC008-847E-4AD5-8B84-3D4E0D58EC68}"/>
    <cellStyle name="Migliaia 22 3 3 7" xfId="36353" xr:uid="{69E77FDF-74C6-4AF8-9784-C24FD8E707A4}"/>
    <cellStyle name="Migliaia 22 3 3 8" xfId="41521" xr:uid="{6A29C8C3-1C9A-4A84-A4AB-45FF0C5DB5F2}"/>
    <cellStyle name="Migliaia 22 3 3 9" xfId="16224" xr:uid="{A4D4E8DB-19B5-464F-B058-43174DDB525F}"/>
    <cellStyle name="Migliaia 22 3 4" xfId="3336" xr:uid="{8C00FB03-F44B-4EEB-A3F7-8CCAAF9730FD}"/>
    <cellStyle name="Migliaia 22 3 4 2" xfId="5062" xr:uid="{C1D654F7-427E-46B2-B606-2C4DBB8760A8}"/>
    <cellStyle name="Migliaia 22 3 4 2 2" xfId="14437" xr:uid="{49C792AF-C2B6-4305-A68B-8312E1D40FA9}"/>
    <cellStyle name="Migliaia 22 3 4 2 3" xfId="18126" xr:uid="{83F7DAEE-76AD-48DB-A0E2-43753618B3AB}"/>
    <cellStyle name="Migliaia 22 3 4 2 4" xfId="20124" xr:uid="{F1DB4556-9CE9-438A-BF3F-F5C5C1370507}"/>
    <cellStyle name="Migliaia 22 3 4 2 5" xfId="32342" xr:uid="{5C42DBE2-8680-4722-848D-541EF5CC1959}"/>
    <cellStyle name="Migliaia 22 3 4 2 6" xfId="16227" xr:uid="{6E62A2B7-F8D8-427C-8B56-99C9B70B1B65}"/>
    <cellStyle name="Migliaia 22 3 4 2 7" xfId="8860" xr:uid="{22422297-BAF8-4393-96AE-238190A15F2B}"/>
    <cellStyle name="Migliaia 22 3 4 3" xfId="6272" xr:uid="{E1D668FD-7F81-4078-A2EA-DDC811785E2D}"/>
    <cellStyle name="Migliaia 22 3 4 3 2" xfId="35223" xr:uid="{E174E7FB-4F22-4E81-9793-8F824ACA8142}"/>
    <cellStyle name="Migliaia 22 3 4 3 2 2" xfId="40383" xr:uid="{2CDD49D1-E82A-447A-BEC7-337DD58486E7}"/>
    <cellStyle name="Migliaia 22 3 4 3 2 3" xfId="45685" xr:uid="{A5679A01-AA2E-40DD-8AB1-6ED28ABDAF4F}"/>
    <cellStyle name="Migliaia 22 3 4 3 3" xfId="37732" xr:uid="{FF9C8F63-05FF-4EAE-9552-471363D02A79}"/>
    <cellStyle name="Migliaia 22 3 4 3 4" xfId="43034" xr:uid="{31C736EB-E70C-437C-8390-397C8ACAB06B}"/>
    <cellStyle name="Migliaia 22 3 4 3 5" xfId="13685" xr:uid="{13A2A528-FA27-46A0-8FAB-A7DD54C4CDE1}"/>
    <cellStyle name="Migliaia 22 3 4 4" xfId="20123" xr:uid="{8ADBBB5C-E21C-40F6-8779-A560635DE85F}"/>
    <cellStyle name="Migliaia 22 3 4 4 2" xfId="38875" xr:uid="{4CDE1323-3FF8-4797-AE69-6865C5BBFF2D}"/>
    <cellStyle name="Migliaia 22 3 4 4 3" xfId="44177" xr:uid="{8E8E4E1E-45CF-40EA-B94C-207A5F60AF63}"/>
    <cellStyle name="Migliaia 22 3 4 4 4" xfId="33444" xr:uid="{65C7ADE1-3945-4397-9D68-D5573879F966}"/>
    <cellStyle name="Migliaia 22 3 4 5" xfId="36357" xr:uid="{733EF417-ABB1-449F-BD82-E6C32F88F0D0}"/>
    <cellStyle name="Migliaia 22 3 4 6" xfId="41526" xr:uid="{72E3F1F6-23DD-4417-8D66-B5F4EC627BE4}"/>
    <cellStyle name="Migliaia 22 3 4 7" xfId="16226" xr:uid="{CAB91AB3-4C53-4045-9D39-0530ED0675BD}"/>
    <cellStyle name="Migliaia 22 3 4 8" xfId="7670" xr:uid="{E1AF7C6D-C9DB-4C70-A98D-5977BFDFE961}"/>
    <cellStyle name="Migliaia 22 3 5" xfId="3337" xr:uid="{06EC39BB-C8F0-40A3-8F4A-06366556E5BE}"/>
    <cellStyle name="Migliaia 22 3 5 2" xfId="5063" xr:uid="{B39B86A5-1E46-4C22-A9DE-BF217C31AE73}"/>
    <cellStyle name="Migliaia 22 3 5 2 2" xfId="35224" xr:uid="{548B9FC7-023A-4878-ADB0-84ED995E7E7A}"/>
    <cellStyle name="Migliaia 22 3 5 2 2 2" xfId="40384" xr:uid="{91F80915-A122-4B94-BF2F-04CD92988467}"/>
    <cellStyle name="Migliaia 22 3 5 2 2 3" xfId="45686" xr:uid="{1303821C-BE0D-4B10-B26B-7F57A15B17E4}"/>
    <cellStyle name="Migliaia 22 3 5 2 3" xfId="37733" xr:uid="{552F6BF5-4FD4-4751-95AE-5C2B228F5965}"/>
    <cellStyle name="Migliaia 22 3 5 2 4" xfId="43035" xr:uid="{F7EE72CA-A1AC-4051-9292-195D6050D2F8}"/>
    <cellStyle name="Migliaia 22 3 5 2 5" xfId="14223" xr:uid="{1AE4836F-4C92-41E5-9D20-E5605B2C59A0}"/>
    <cellStyle name="Migliaia 22 3 5 3" xfId="6273" xr:uid="{2C02C813-F0AF-4619-A258-1CACBCD3426B}"/>
    <cellStyle name="Migliaia 22 3 5 3 2" xfId="38876" xr:uid="{F79F5ACB-816F-4E4B-8FDA-A8C924B4489F}"/>
    <cellStyle name="Migliaia 22 3 5 3 3" xfId="44178" xr:uid="{9C870DCA-572B-4420-A9AB-018156CE1C51}"/>
    <cellStyle name="Migliaia 22 3 5 3 4" xfId="33445" xr:uid="{6CE57C9D-3A0C-4220-889C-E7299208F02D}"/>
    <cellStyle name="Migliaia 22 3 5 3 5" xfId="20125" xr:uid="{2283EA3B-13A8-48D7-A3FE-8B800D35660D}"/>
    <cellStyle name="Migliaia 22 3 5 4" xfId="36358" xr:uid="{212AD912-9638-458D-8495-4E31FAFF3D76}"/>
    <cellStyle name="Migliaia 22 3 5 5" xfId="41527" xr:uid="{DE5D3AD7-2E8E-44B1-8590-A627EB33996E}"/>
    <cellStyle name="Migliaia 22 3 5 6" xfId="16228" xr:uid="{EBE58F67-059B-453E-BB16-E506564ED778}"/>
    <cellStyle name="Migliaia 22 3 5 7" xfId="8285" xr:uid="{C19F6CCD-DDBD-4BD1-B641-DA9C9D509389}"/>
    <cellStyle name="Migliaia 22 3 6" xfId="5058" xr:uid="{4C6EBCF4-0E2F-4C06-B40C-9831EB5C602F}"/>
    <cellStyle name="Migliaia 22 3 6 2" xfId="13928" xr:uid="{3DD42705-B886-434F-B9CC-B39639D75350}"/>
    <cellStyle name="Migliaia 22 3 6 2 2" xfId="38877" xr:uid="{530E665F-90D0-403A-AA06-4E9BC5EB6C7C}"/>
    <cellStyle name="Migliaia 22 3 6 2 3" xfId="44179" xr:uid="{F47D084E-9CFB-465E-A7EC-E93DD1FF52C8}"/>
    <cellStyle name="Migliaia 22 3 6 3" xfId="18619" xr:uid="{F199E4E1-C2ED-4B9E-8E79-67CBC0C66918}"/>
    <cellStyle name="Migliaia 22 3 6 4" xfId="20126" xr:uid="{ECEC84E2-ED55-44BA-A2D9-D35390287A58}"/>
    <cellStyle name="Migliaia 22 3 6 4 2" xfId="41528" xr:uid="{EDDA11B7-302E-4A69-B4B5-49C0D0218A86}"/>
    <cellStyle name="Migliaia 22 3 6 5" xfId="16229" xr:uid="{41831A9A-4CE1-4AC0-A96C-C715C3B409C5}"/>
    <cellStyle name="Migliaia 22 3 6 6" xfId="7880" xr:uid="{99400DCF-22AB-4E1E-A710-5BC9A2C5E35D}"/>
    <cellStyle name="Migliaia 22 3 7" xfId="6268" xr:uid="{3FBC9893-F415-4083-9F56-74AC877B35FF}"/>
    <cellStyle name="Migliaia 22 3 7 2" xfId="33446" xr:uid="{2EEE142D-12E5-47F1-9C7B-52966AB545BD}"/>
    <cellStyle name="Migliaia 22 3 7 2 2" xfId="38878" xr:uid="{E0AC091A-D324-48CC-8B7D-6A0A39D2A4F0}"/>
    <cellStyle name="Migliaia 22 3 7 2 3" xfId="44180" xr:uid="{3CFB611A-39F2-49B7-B63F-F1C2DE574C34}"/>
    <cellStyle name="Migliaia 22 3 7 3" xfId="36359" xr:uid="{081DEC0A-5AC7-428A-B530-84602F882795}"/>
    <cellStyle name="Migliaia 22 3 7 4" xfId="41529" xr:uid="{7900DA73-CB51-4547-8480-1FC3CA9362DE}"/>
    <cellStyle name="Migliaia 22 3 7 5" xfId="11507" xr:uid="{A5CA1049-EF3E-4A9D-AF3A-EE83418A0461}"/>
    <cellStyle name="Migliaia 22 3 8" xfId="3332" xr:uid="{40091126-1D4E-4707-8200-8467A5223480}"/>
    <cellStyle name="Migliaia 22 3 8 2" xfId="33447" xr:uid="{48870746-7C2D-4B3A-9A0B-2297C7FB5F2B}"/>
    <cellStyle name="Migliaia 22 3 8 2 2" xfId="38879" xr:uid="{16916B0A-A135-4642-B6A0-EBD9E8E1BA7E}"/>
    <cellStyle name="Migliaia 22 3 8 2 3" xfId="44181" xr:uid="{8DC193B5-2DD8-484D-9429-2C4AC3E78F9B}"/>
    <cellStyle name="Migliaia 22 3 8 3" xfId="36360" xr:uid="{90C2D4AB-C8BA-460D-BF49-F952685E511B}"/>
    <cellStyle name="Migliaia 22 3 8 4" xfId="41530" xr:uid="{92910563-04AE-4070-898B-2E3B0C8F0FAD}"/>
    <cellStyle name="Migliaia 22 3 8 5" xfId="24518" xr:uid="{19723297-74D2-4746-987A-AB3C0268C129}"/>
    <cellStyle name="Migliaia 22 3 8 6" xfId="17385" xr:uid="{7A544F46-FB2C-47D3-9D90-7CFAB919F71A}"/>
    <cellStyle name="Migliaia 22 3 9" xfId="20117" xr:uid="{5221CDEC-761F-4F86-B54A-0A1CE1B68799}"/>
    <cellStyle name="Migliaia 22 4" xfId="1728" xr:uid="{00000000-0005-0000-0000-000043030000}"/>
    <cellStyle name="Migliaia 22 4 2" xfId="1729" xr:uid="{00000000-0005-0000-0000-000044030000}"/>
    <cellStyle name="Migliaia 22 4 2 2" xfId="5065" xr:uid="{724E4D2E-2A92-4729-AAF4-C54ADBE04CC2}"/>
    <cellStyle name="Migliaia 22 4 2 2 2" xfId="33448" xr:uid="{93886E63-DF57-40E6-AA01-14B2FE4FE259}"/>
    <cellStyle name="Migliaia 22 4 2 2 2 2" xfId="38880" xr:uid="{ED3AB8A6-E575-4ABA-BCCB-18E5D2723C28}"/>
    <cellStyle name="Migliaia 22 4 2 2 2 3" xfId="44182" xr:uid="{0A3F224C-704C-4D91-AC1C-68979A9BDA60}"/>
    <cellStyle name="Migliaia 22 4 2 2 3" xfId="36361" xr:uid="{D71F99ED-4810-4BFC-8AAC-49E611FC8E4B}"/>
    <cellStyle name="Migliaia 22 4 2 2 4" xfId="41531" xr:uid="{BF3B7C0C-491F-480A-8590-190C42D0FFE5}"/>
    <cellStyle name="Migliaia 22 4 2 2 5" xfId="9136" xr:uid="{C09302E4-7DF6-446A-A446-A517C1A7F86F}"/>
    <cellStyle name="Migliaia 22 4 2 3" xfId="3339" xr:uid="{7CB945AA-A52B-4728-89A8-9683D771AC64}"/>
    <cellStyle name="Migliaia 22 4 2 3 2" xfId="33449" xr:uid="{C39B2B36-2AD9-41EC-B51A-6B80F9294939}"/>
    <cellStyle name="Migliaia 22 4 2 3 2 2" xfId="38881" xr:uid="{41ECBD6B-E8B2-476D-82F6-C4957BD564C7}"/>
    <cellStyle name="Migliaia 22 4 2 3 2 3" xfId="44183" xr:uid="{81E4C84F-B51B-4358-94A7-91D647869528}"/>
    <cellStyle name="Migliaia 22 4 2 3 3" xfId="36362" xr:uid="{850EA073-5887-4591-97BB-9DB8D2BEA413}"/>
    <cellStyle name="Migliaia 22 4 2 3 4" xfId="41532" xr:uid="{C79D2E56-FF0C-4DB7-970C-B75C0060DEC9}"/>
    <cellStyle name="Migliaia 22 4 2 3 5" xfId="11945" xr:uid="{2A9ED632-BAC1-459E-B203-8129DEF7969B}"/>
    <cellStyle name="Migliaia 22 4 2 4" xfId="11294" xr:uid="{E981CCEA-20AF-42C6-A30B-6938B7A1103B}"/>
    <cellStyle name="Migliaia 22 4 2 5" xfId="10806" xr:uid="{C526781A-E7BE-40D5-9E63-CBA02BCC88F0}"/>
    <cellStyle name="Migliaia 22 4 2 5 2" xfId="21441" xr:uid="{97188C30-416B-4D20-BCE5-7DCD91D4C180}"/>
    <cellStyle name="Migliaia 22 4 2 5 3" xfId="36388" xr:uid="{0E566F47-F65B-47B5-9316-0495B981147E}"/>
    <cellStyle name="Migliaia 22 4 2 5 4" xfId="50456" xr:uid="{DE80C0C8-BD89-4644-A6E0-8D0C1C8E28B3}"/>
    <cellStyle name="Migliaia 22 4 2 5 5" xfId="53472" xr:uid="{25F92D9A-7264-40D6-9AC2-BFB905D22E1A}"/>
    <cellStyle name="Migliaia 22 4 2 6" xfId="20128" xr:uid="{EB8EA70D-56BD-40B2-86AC-F9C287F01BC4}"/>
    <cellStyle name="Migliaia 22 4 2 7" xfId="24520" xr:uid="{BA6B6BB1-D306-4A14-B37B-A8721BFCFDCC}"/>
    <cellStyle name="Migliaia 22 4 2 8" xfId="8568" xr:uid="{1CC407BC-EAF2-433A-BE92-C3C04EE9CED6}"/>
    <cellStyle name="Migliaia 22 4 3" xfId="5064" xr:uid="{2D3C9CD6-294F-4BD6-B461-843814F508C9}"/>
    <cellStyle name="Migliaia 22 4 3 2" xfId="18191" xr:uid="{AA4D1297-A40D-45D5-9E7D-B947EDB6B12D}"/>
    <cellStyle name="Migliaia 22 4 3 2 2" xfId="38882" xr:uid="{3B43313E-C7D9-4C87-A6E2-2B88E81B3626}"/>
    <cellStyle name="Migliaia 22 4 3 2 3" xfId="44184" xr:uid="{FEAAEF19-85C4-42EF-A2FA-C12FBDC0C40B}"/>
    <cellStyle name="Migliaia 22 4 3 3" xfId="36363" xr:uid="{D20B8A9E-4892-4383-AF42-6F39434866E6}"/>
    <cellStyle name="Migliaia 22 4 3 4" xfId="41533" xr:uid="{FC6F9B96-F900-4697-B31F-077F759C0A4D}"/>
    <cellStyle name="Migliaia 22 4 3 5" xfId="17383" xr:uid="{36312DEC-1F7D-4BA4-920F-1C87EA8A8D3F}"/>
    <cellStyle name="Migliaia 22 4 3 6" xfId="9137" xr:uid="{D1985DDD-3877-4245-B6DF-DA585C8BB5F4}"/>
    <cellStyle name="Migliaia 22 4 4" xfId="6274" xr:uid="{47F9FF08-FA1D-44A5-BACC-A4EAEF5B48CE}"/>
    <cellStyle name="Migliaia 22 4 4 2" xfId="33450" xr:uid="{319ADDC9-B0C3-4FA2-A89E-604E25DBC76C}"/>
    <cellStyle name="Migliaia 22 4 4 2 2" xfId="38883" xr:uid="{E97D1980-D310-4949-838E-D8222650E5A6}"/>
    <cellStyle name="Migliaia 22 4 4 2 3" xfId="44185" xr:uid="{023DE7EF-F2F6-4BBC-BB55-67AF8F3B1E74}"/>
    <cellStyle name="Migliaia 22 4 4 3" xfId="36364" xr:uid="{8EAB9E37-90C8-40E6-899C-881C6F4C0738}"/>
    <cellStyle name="Migliaia 22 4 4 4" xfId="41534" xr:uid="{7149EA2F-5370-485B-8E0B-FD146871EC06}"/>
    <cellStyle name="Migliaia 22 4 4 5" xfId="11946" xr:uid="{7D837BF6-7462-42FE-AA0E-3D3114DAB15D}"/>
    <cellStyle name="Migliaia 22 4 5" xfId="3338" xr:uid="{8B77EB63-3288-46C7-BEF2-5F1B15DA980A}"/>
    <cellStyle name="Migliaia 22 4 5 2" xfId="33451" xr:uid="{FCB1D6E7-9D11-4B7A-86DA-B52382BF877C}"/>
    <cellStyle name="Migliaia 22 4 5 2 2" xfId="38884" xr:uid="{4757A238-5CB6-43CF-A76B-45083C856911}"/>
    <cellStyle name="Migliaia 22 4 5 2 3" xfId="44186" xr:uid="{58B0B72B-3137-4BD1-B932-5604798A4A4D}"/>
    <cellStyle name="Migliaia 22 4 5 3" xfId="36365" xr:uid="{7DAB2387-95A2-4BBD-BB36-00048E40651C}"/>
    <cellStyle name="Migliaia 22 4 5 4" xfId="41535" xr:uid="{887E136B-562C-457B-93D7-6F76ADCF7A96}"/>
    <cellStyle name="Migliaia 22 4 5 5" xfId="11293" xr:uid="{3700DEBE-2CA7-4C92-BF74-D57E728A9FDC}"/>
    <cellStyle name="Migliaia 22 4 6" xfId="10805" xr:uid="{AAB454A6-6E73-4BDD-8168-8E99086CF846}"/>
    <cellStyle name="Migliaia 22 4 6 2" xfId="21440" xr:uid="{74D7F588-E31B-4E3D-A6DA-B9782CCEF13A}"/>
    <cellStyle name="Migliaia 22 4 6 2 2" xfId="38885" xr:uid="{1271C81F-9C66-49C2-A714-73B76DBA6858}"/>
    <cellStyle name="Migliaia 22 4 6 2 3" xfId="44187" xr:uid="{49AE1153-EF44-44EF-BE8A-55F622FE6914}"/>
    <cellStyle name="Migliaia 22 4 6 2 4" xfId="33452" xr:uid="{DCC9F154-1569-4906-8A7F-548077571D0A}"/>
    <cellStyle name="Migliaia 22 4 6 3" xfId="36366" xr:uid="{0B2FAA8A-D785-4C93-9E02-129F6A83D1EF}"/>
    <cellStyle name="Migliaia 22 4 6 4" xfId="41536" xr:uid="{CE57BC74-75E6-43DA-B38B-8F8424BB411B}"/>
    <cellStyle name="Migliaia 22 4 6 5" xfId="24521" xr:uid="{8881A4F9-BC68-4CE5-B3DE-DF96647BCA7E}"/>
    <cellStyle name="Migliaia 22 4 6 6" xfId="25352" xr:uid="{9C720066-D259-48CD-8D14-86CC2BD1CCA1}"/>
    <cellStyle name="Migliaia 22 4 6 7" xfId="50455" xr:uid="{3C016E9F-A540-4C62-97BF-E9B208D4C3F4}"/>
    <cellStyle name="Migliaia 22 4 6 8" xfId="53471" xr:uid="{C98761AF-29B7-48D2-8CAA-E262BDF753C2}"/>
    <cellStyle name="Migliaia 22 4 7" xfId="20127" xr:uid="{786ECA0D-1E56-4D6A-ABED-F5CB7665EB9E}"/>
    <cellStyle name="Migliaia 22 4 7 2" xfId="33453" xr:uid="{DBE12F9C-D5E2-47E0-B748-32DC8B389BEF}"/>
    <cellStyle name="Migliaia 22 4 7 2 2" xfId="38886" xr:uid="{3D0A08EF-51AA-436D-8B60-0543F149635C}"/>
    <cellStyle name="Migliaia 22 4 7 2 3" xfId="44188" xr:uid="{F394379F-0906-4D7E-AD35-5BD406F9D0F9}"/>
    <cellStyle name="Migliaia 22 4 7 3" xfId="36367" xr:uid="{4837199D-1B26-4E5E-B225-85993CD3E154}"/>
    <cellStyle name="Migliaia 22 4 7 4" xfId="41537" xr:uid="{0290F5C9-23EE-4089-9BE5-2054201F4AC0}"/>
    <cellStyle name="Migliaia 22 4 7 5" xfId="24522" xr:uid="{26ACB4E3-74A8-4E66-A473-FDC900E468B5}"/>
    <cellStyle name="Migliaia 22 4 8" xfId="24519" xr:uid="{19621A05-9327-49F4-9A04-CB0F9DD91D7F}"/>
    <cellStyle name="Migliaia 22 4 9" xfId="7378" xr:uid="{77B48FCF-6DC8-45A1-9B23-91F7DE0B11CD}"/>
    <cellStyle name="Migliaia 22 5" xfId="1730" xr:uid="{00000000-0005-0000-0000-000045030000}"/>
    <cellStyle name="Migliaia 22 5 2" xfId="5066" xr:uid="{36E440E5-3E1B-42CC-88E0-CDD0F1F9D73B}"/>
    <cellStyle name="Migliaia 22 5 2 2" xfId="18406" xr:uid="{DB741C70-4AC3-4C0F-BD5F-7392CD021AD8}"/>
    <cellStyle name="Migliaia 22 5 2 2 2" xfId="38887" xr:uid="{DFA0BE25-91DF-4042-A2D7-8A8C9DB58256}"/>
    <cellStyle name="Migliaia 22 5 2 2 3" xfId="44189" xr:uid="{300DE76B-5844-44A8-866C-64E8D6156B46}"/>
    <cellStyle name="Migliaia 22 5 2 3" xfId="20130" xr:uid="{A9C916E0-7791-4917-A844-ACC5ECFE6BBD}"/>
    <cellStyle name="Migliaia 22 5 2 3 2" xfId="36368" xr:uid="{C49A26B1-11D9-4B5D-AB62-3F1ECF85F260}"/>
    <cellStyle name="Migliaia 22 5 2 4" xfId="41538" xr:uid="{4BABF91E-3634-41AE-BE63-5631E5AA21C9}"/>
    <cellStyle name="Migliaia 22 5 2 5" xfId="16230" xr:uid="{C8CD340A-A379-42AE-B6A0-320ADA532BE9}"/>
    <cellStyle name="Migliaia 22 5 2 6" xfId="8569" xr:uid="{5206B4D9-2A25-45F4-9C83-67404C15F540}"/>
    <cellStyle name="Migliaia 22 5 3" xfId="6275" xr:uid="{C084079A-C597-4A0A-B8E7-4F3318863CD7}"/>
    <cellStyle name="Migliaia 22 5 3 2" xfId="33454" xr:uid="{B63DD59A-BA88-4EF7-BDCA-DB1CB5C1E9B9}"/>
    <cellStyle name="Migliaia 22 5 3 2 2" xfId="38888" xr:uid="{720A8297-A1EE-403F-B98F-91E525FAC0EF}"/>
    <cellStyle name="Migliaia 22 5 3 2 3" xfId="44190" xr:uid="{3778907B-4DD2-4AE6-8B6A-17E75AA370C1}"/>
    <cellStyle name="Migliaia 22 5 3 3" xfId="36369" xr:uid="{F33D7F45-7D8B-41B1-A865-EAB7B7904049}"/>
    <cellStyle name="Migliaia 22 5 3 4" xfId="41539" xr:uid="{F6F0774E-2670-4577-823E-2EC3F67C3A16}"/>
    <cellStyle name="Migliaia 22 5 3 5" xfId="11295" xr:uid="{72D93E77-82FB-4605-B59B-21F8D345331D}"/>
    <cellStyle name="Migliaia 22 5 4" xfId="3340" xr:uid="{84F467B0-780A-4649-8980-E1A6A4B33600}"/>
    <cellStyle name="Migliaia 22 5 4 2" xfId="21442" xr:uid="{4ECEB516-16A0-48C5-82C5-5D78906AAFA6}"/>
    <cellStyle name="Migliaia 22 5 4 2 2" xfId="38889" xr:uid="{8AC5508D-C214-4617-932E-7B9EF11B2FE5}"/>
    <cellStyle name="Migliaia 22 5 4 2 3" xfId="44191" xr:uid="{76AB80DC-7180-49E4-9C3C-0179CFFB18D2}"/>
    <cellStyle name="Migliaia 22 5 4 2 4" xfId="33455" xr:uid="{EB94A5B4-8AF0-430E-9C1B-B6E79F218CB9}"/>
    <cellStyle name="Migliaia 22 5 4 3" xfId="36370" xr:uid="{0390854C-E4FC-4D0B-A49E-3D26A4D3BC78}"/>
    <cellStyle name="Migliaia 22 5 4 4" xfId="41540" xr:uid="{4CA0E2B9-E6B2-455A-8DD6-EAF969DB1444}"/>
    <cellStyle name="Migliaia 22 5 4 5" xfId="24524" xr:uid="{D2295129-52C4-4338-85D7-104046C30898}"/>
    <cellStyle name="Migliaia 22 5 4 6" xfId="46643" xr:uid="{358FB16A-0ECF-4FAE-AFC3-291B67384DD8}"/>
    <cellStyle name="Migliaia 22 5 4 7" xfId="50457" xr:uid="{C3CD74DC-94A4-49E4-8C68-47073542FB77}"/>
    <cellStyle name="Migliaia 22 5 4 8" xfId="53473" xr:uid="{D852783C-1C6C-4D3A-85B6-1CE7091A395F}"/>
    <cellStyle name="Migliaia 22 5 4 9" xfId="10807" xr:uid="{3590AC93-6732-4593-A04F-F7614A7AF748}"/>
    <cellStyle name="Migliaia 22 5 5" xfId="20129" xr:uid="{94DB0E1F-F171-436D-9142-53EADFB67554}"/>
    <cellStyle name="Migliaia 22 5 5 2" xfId="33456" xr:uid="{D380A10C-CA60-41B1-9DD8-CC5C9FDBDCB5}"/>
    <cellStyle name="Migliaia 22 5 5 2 2" xfId="38890" xr:uid="{AEF5DDDF-84BB-4E25-B6FF-7168DFDE6EC6}"/>
    <cellStyle name="Migliaia 22 5 5 2 3" xfId="44192" xr:uid="{FAB69388-A9B7-4382-890D-817676F9275C}"/>
    <cellStyle name="Migliaia 22 5 5 3" xfId="36371" xr:uid="{9D5B19E8-C660-4E9F-8FD4-5C9D8F2F6F8C}"/>
    <cellStyle name="Migliaia 22 5 5 4" xfId="41541" xr:uid="{F25741FD-55CC-4539-93E0-6308F2E13B0D}"/>
    <cellStyle name="Migliaia 22 5 5 5" xfId="24525" xr:uid="{9B3419BC-235D-4D8C-BFEC-A7EF1809C72C}"/>
    <cellStyle name="Migliaia 22 5 6" xfId="24526" xr:uid="{E690318B-6F17-41EA-98E5-85C872F9125D}"/>
    <cellStyle name="Migliaia 22 5 6 2" xfId="33457" xr:uid="{66A2D68F-93D9-4C65-A57C-5A9A0DA890B7}"/>
    <cellStyle name="Migliaia 22 5 6 2 2" xfId="38891" xr:uid="{300A6F69-3167-4F5F-BB4E-F0DA2724E240}"/>
    <cellStyle name="Migliaia 22 5 6 2 3" xfId="44193" xr:uid="{FBDC7D54-71D7-4F7A-8F62-81E89E58044A}"/>
    <cellStyle name="Migliaia 22 5 6 3" xfId="36372" xr:uid="{B34ED716-AE6F-4D42-8D4C-562C97BF126D}"/>
    <cellStyle name="Migliaia 22 5 6 4" xfId="41542" xr:uid="{AA4DA30B-8209-4C13-A4DC-93D5E2FA8A8D}"/>
    <cellStyle name="Migliaia 22 5 7" xfId="24523" xr:uid="{20BBCAB8-A0BE-4493-B6B4-37F6C91E9CF3}"/>
    <cellStyle name="Migliaia 22 5 8" xfId="7379" xr:uid="{3E3497A4-B11D-438E-85F7-C8BB245263B8}"/>
    <cellStyle name="Migliaia 22 6" xfId="3341" xr:uid="{91A0C010-520E-4D84-A5AF-3DCDFAE8AC41}"/>
    <cellStyle name="Migliaia 22 6 2" xfId="5067" xr:uid="{1D065E4B-B94D-4C7A-8983-E2FCEECD527B}"/>
    <cellStyle name="Migliaia 22 6 2 2" xfId="9909" xr:uid="{DD5551DC-891B-4A1E-9C5F-98906F2957BA}"/>
    <cellStyle name="Migliaia 22 6 2 3" xfId="18666" xr:uid="{8F3CEDB1-C6AE-4C69-BEC1-6A30F96B3C8C}"/>
    <cellStyle name="Migliaia 22 6 2 4" xfId="20132" xr:uid="{14A348C2-D798-4038-BCA6-6B6C64722B4B}"/>
    <cellStyle name="Migliaia 22 6 2 5" xfId="32343" xr:uid="{6A7F6FDC-30F5-4863-B1AB-8A4463A243BF}"/>
    <cellStyle name="Migliaia 22 6 2 6" xfId="16232" xr:uid="{1693ADDA-B3B8-4AA2-A9B5-561EECA9A83D}"/>
    <cellStyle name="Migliaia 22 6 2 7" xfId="8564" xr:uid="{816025E1-A341-4F7C-A099-310FDAE5FF68}"/>
    <cellStyle name="Migliaia 22 6 3" xfId="6276" xr:uid="{C1758B73-E2CD-4062-A508-CE35916F50CF}"/>
    <cellStyle name="Migliaia 22 6 3 2" xfId="35225" xr:uid="{E639A2EA-FB3E-4C92-99F1-190F5844B43C}"/>
    <cellStyle name="Migliaia 22 6 3 2 2" xfId="40385" xr:uid="{316D4F2B-D2C2-4910-BB29-405021F9C6A3}"/>
    <cellStyle name="Migliaia 22 6 3 2 3" xfId="45687" xr:uid="{2502692A-7E8B-47D7-9F81-FC9F0709E3CA}"/>
    <cellStyle name="Migliaia 22 6 3 3" xfId="37734" xr:uid="{39D4A44D-931F-4DAD-8EEF-304DE91CAD52}"/>
    <cellStyle name="Migliaia 22 6 3 4" xfId="43036" xr:uid="{28023B60-9685-4DA7-9E7F-1590C9FD4535}"/>
    <cellStyle name="Migliaia 22 6 3 5" xfId="9672" xr:uid="{A100D153-9698-456B-A635-E15154739358}"/>
    <cellStyle name="Migliaia 22 6 4" xfId="20131" xr:uid="{0E2D0C9F-2906-4247-9E53-3E14F8E332B1}"/>
    <cellStyle name="Migliaia 22 6 4 2" xfId="38892" xr:uid="{EC138E83-11F2-4AD4-91AC-15A371BAAE0B}"/>
    <cellStyle name="Migliaia 22 6 4 3" xfId="44194" xr:uid="{49DF875F-8F08-4D6D-8732-863CFFBAB50C}"/>
    <cellStyle name="Migliaia 22 6 4 4" xfId="33458" xr:uid="{3A178F5B-D750-4729-B34F-52200424D71A}"/>
    <cellStyle name="Migliaia 22 6 5" xfId="36373" xr:uid="{6FAF89DF-A0F3-44A7-9BAB-B6D9FA97F8A0}"/>
    <cellStyle name="Migliaia 22 6 6" xfId="41543" xr:uid="{B39E0D2D-99A1-4596-8280-0E5BFF354E54}"/>
    <cellStyle name="Migliaia 22 6 7" xfId="16231" xr:uid="{F6A5D34B-E89A-4781-8686-4FD31737B8E6}"/>
    <cellStyle name="Migliaia 22 6 8" xfId="7374" xr:uid="{11035187-3D3A-4AD9-9B0F-AF720B034894}"/>
    <cellStyle name="Migliaia 22 7" xfId="3342" xr:uid="{2C30C323-2657-44DD-A4C3-38AF9C3F3DFA}"/>
    <cellStyle name="Migliaia 22 7 2" xfId="5068" xr:uid="{841389E4-48BE-406D-BAF0-91D7F513CA3D}"/>
    <cellStyle name="Migliaia 22 7 2 2" xfId="35226" xr:uid="{AE403DBF-32C3-4C33-93EC-DC9894764107}"/>
    <cellStyle name="Migliaia 22 7 2 2 2" xfId="40386" xr:uid="{F698E40B-3AD4-4773-8DB9-60E179BA36DE}"/>
    <cellStyle name="Migliaia 22 7 2 2 3" xfId="45688" xr:uid="{4542764F-B67E-414D-8D2E-1BAB95FDD873}"/>
    <cellStyle name="Migliaia 22 7 2 3" xfId="37735" xr:uid="{BD92ED35-B89C-4C78-95B3-3B3C80FE877D}"/>
    <cellStyle name="Migliaia 22 7 2 4" xfId="43037" xr:uid="{FA86010E-3394-48AB-9BD0-0D9AB386547F}"/>
    <cellStyle name="Migliaia 22 7 2 5" xfId="14221" xr:uid="{91C5DF92-06E0-47CD-956A-D0696F085EA3}"/>
    <cellStyle name="Migliaia 22 7 3" xfId="6277" xr:uid="{EB1DF051-CB3A-47F3-AAEE-4A5B1CE81A3B}"/>
    <cellStyle name="Migliaia 22 7 3 2" xfId="38893" xr:uid="{4BE363B2-E578-4FFC-9151-1C4263C6C473}"/>
    <cellStyle name="Migliaia 22 7 3 3" xfId="44195" xr:uid="{444E6AD8-D82B-42AB-BB38-C551D165464F}"/>
    <cellStyle name="Migliaia 22 7 3 4" xfId="33459" xr:uid="{F22A523F-601C-44E1-9BD4-59AF4E017994}"/>
    <cellStyle name="Migliaia 22 7 3 5" xfId="20133" xr:uid="{8D11A1D2-847E-4188-B212-DADC225F46A9}"/>
    <cellStyle name="Migliaia 22 7 4" xfId="36374" xr:uid="{0FE94E2B-27B0-4E33-9BCA-6E114E8AD7E9}"/>
    <cellStyle name="Migliaia 22 7 5" xfId="41544" xr:uid="{E5616E48-EA51-43E7-A5BC-24EFB8735B90}"/>
    <cellStyle name="Migliaia 22 7 6" xfId="16233" xr:uid="{D4AD568F-C51F-4EB9-8170-0843006C0EA4}"/>
    <cellStyle name="Migliaia 22 7 7" xfId="8283" xr:uid="{7D1AB9FD-5522-4B41-BC46-333DF940A1F9}"/>
    <cellStyle name="Migliaia 22 8" xfId="3343" xr:uid="{31520409-7D59-4108-B5BF-8C44E5F65887}"/>
    <cellStyle name="Migliaia 22 8 2" xfId="5069" xr:uid="{574A1607-C19D-4AB2-BE0D-7686258B5523}"/>
    <cellStyle name="Migliaia 22 8 2 2" xfId="35227" xr:uid="{DB11C3B3-EE37-45F1-989B-DEAC16A53F5C}"/>
    <cellStyle name="Migliaia 22 8 2 2 2" xfId="40387" xr:uid="{CE4C4299-3E17-465A-A276-9023B5A68158}"/>
    <cellStyle name="Migliaia 22 8 2 2 3" xfId="45689" xr:uid="{3B71CC08-7017-4611-BEB4-EC61B33B715D}"/>
    <cellStyle name="Migliaia 22 8 2 3" xfId="37736" xr:uid="{9F40857F-72A9-4CB8-A7EB-2235F8D59F2B}"/>
    <cellStyle name="Migliaia 22 8 2 4" xfId="43038" xr:uid="{75203089-43B6-407C-83A6-7DCE3767FEDC}"/>
    <cellStyle name="Migliaia 22 8 2 5" xfId="13926" xr:uid="{C0F378BA-845A-49A2-8FDA-24C01138F524}"/>
    <cellStyle name="Migliaia 22 8 3" xfId="6278" xr:uid="{A1700A42-F812-47AD-887C-5662246578E9}"/>
    <cellStyle name="Migliaia 22 8 3 2" xfId="38894" xr:uid="{8904F46E-93C0-42D3-B19F-6207928B43A4}"/>
    <cellStyle name="Migliaia 22 8 3 3" xfId="44196" xr:uid="{3D8008BF-5C60-4173-887D-3F203DF4FF18}"/>
    <cellStyle name="Migliaia 22 8 3 4" xfId="33460" xr:uid="{8A1E5C81-CDF3-463D-B15E-AF9460E82C8E}"/>
    <cellStyle name="Migliaia 22 8 3 5" xfId="20134" xr:uid="{C9B38DF6-DEFF-4703-9CC6-E123767F920C}"/>
    <cellStyle name="Migliaia 22 8 4" xfId="36375" xr:uid="{05568236-E346-4BF7-9D9C-D4292596C76A}"/>
    <cellStyle name="Migliaia 22 8 5" xfId="41545" xr:uid="{BB49B3CC-4FCF-4A4A-8314-58288C85E26E}"/>
    <cellStyle name="Migliaia 22 8 6" xfId="16234" xr:uid="{79DFEEFD-9C70-431B-B319-4D1D731F33D1}"/>
    <cellStyle name="Migliaia 22 8 7" xfId="7878" xr:uid="{D8A31864-DA8C-4C63-8B7C-C9EFDDE5F558}"/>
    <cellStyle name="Migliaia 22 9" xfId="5054" xr:uid="{68044B97-E450-4CC2-B538-EC4DF42B5C0A}"/>
    <cellStyle name="Migliaia 22 9 2" xfId="33461" xr:uid="{AC3E8D71-7EA6-445D-A76F-B1BD506671B7}"/>
    <cellStyle name="Migliaia 22 9 2 2" xfId="38895" xr:uid="{47B2A74E-61E0-4FAA-9AF7-8AC51EF5AEA1}"/>
    <cellStyle name="Migliaia 22 9 2 3" xfId="44197" xr:uid="{822DF026-F07C-4180-8C86-1AC0A4D48CFB}"/>
    <cellStyle name="Migliaia 22 9 3" xfId="36376" xr:uid="{56359045-0574-4104-91E7-A2DEC4B08DC5}"/>
    <cellStyle name="Migliaia 22 9 4" xfId="41546" xr:uid="{73A28618-AB4D-445F-86F6-44E71AB6DCE4}"/>
    <cellStyle name="Migliaia 22 9 5" xfId="17163" xr:uid="{18EFFFC2-332E-4787-B694-6A424822D4DC}"/>
    <cellStyle name="Migliaia 23" xfId="361" xr:uid="{00000000-0005-0000-0000-000046030000}"/>
    <cellStyle name="Migliaia 23 10" xfId="6279" xr:uid="{74AD1F8B-9AE5-420F-B737-B84FF838142C}"/>
    <cellStyle name="Migliaia 23 10 2" xfId="38896" xr:uid="{B96354D4-BBB6-48F2-A559-291BF5AA1678}"/>
    <cellStyle name="Migliaia 23 10 3" xfId="44198" xr:uid="{16F9C210-A15E-4032-B657-EC1336510898}"/>
    <cellStyle name="Migliaia 23 10 4" xfId="33462" xr:uid="{FBFE8DDD-4972-4B12-8131-24B9E9A96AB3}"/>
    <cellStyle name="Migliaia 23 10 5" xfId="20135" xr:uid="{DBE18D5C-310E-4ECE-A11A-D54B52E09C73}"/>
    <cellStyle name="Migliaia 23 11" xfId="3344" xr:uid="{8395800A-CAA4-4D67-9F53-6F2E880EFCE3}"/>
    <cellStyle name="Migliaia 23 11 2" xfId="36377" xr:uid="{2C359F89-89F6-4A4E-B14C-BB2E9C0936FA}"/>
    <cellStyle name="Migliaia 23 12" xfId="41547" xr:uid="{2E07641A-634D-4920-BA0C-D23C722BDA46}"/>
    <cellStyle name="Migliaia 23 13" xfId="7087" xr:uid="{6C942A74-DA8B-4BA6-BB59-D6587F7B2D8E}"/>
    <cellStyle name="Migliaia 23 2" xfId="362" xr:uid="{00000000-0005-0000-0000-000047030000}"/>
    <cellStyle name="Migliaia 23 2 2" xfId="1731" xr:uid="{00000000-0005-0000-0000-000048030000}"/>
    <cellStyle name="Migliaia 23 2 2 2" xfId="5072" xr:uid="{140672B1-8B70-45A1-A328-9AE47E3F1EBD}"/>
    <cellStyle name="Migliaia 23 2 2 2 2" xfId="14378" xr:uid="{E3DA639B-0F8F-406C-8359-E83339419BA9}"/>
    <cellStyle name="Migliaia 23 2 2 2 2 2" xfId="38897" xr:uid="{363AE95C-E04E-4351-A2A3-7CC1A010F9AA}"/>
    <cellStyle name="Migliaia 23 2 2 2 2 3" xfId="44199" xr:uid="{3690AE0B-1E48-444E-B25D-318796D5BF44}"/>
    <cellStyle name="Migliaia 23 2 2 2 3" xfId="18407" xr:uid="{ADB8C956-C31D-49E3-95E9-753AB1689241}"/>
    <cellStyle name="Migliaia 23 2 2 2 4" xfId="20138" xr:uid="{403E3E91-832D-4855-8952-819902D00B44}"/>
    <cellStyle name="Migliaia 23 2 2 2 4 2" xfId="41548" xr:uid="{B9AF788A-4F65-41B4-AB4C-05476E73CBB7}"/>
    <cellStyle name="Migliaia 23 2 2 2 5" xfId="16235" xr:uid="{4D322C45-C846-451D-8C3E-64A0064992EA}"/>
    <cellStyle name="Migliaia 23 2 2 2 6" xfId="8571" xr:uid="{638A2722-8FC9-4F5C-BE63-7553A03E6742}"/>
    <cellStyle name="Migliaia 23 2 2 3" xfId="6281" xr:uid="{66F6422B-0090-4D72-A1CC-1A103822939F}"/>
    <cellStyle name="Migliaia 23 2 2 3 2" xfId="35228" xr:uid="{D8A50027-769D-44BA-96DA-46D18391AC89}"/>
    <cellStyle name="Migliaia 23 2 2 3 2 2" xfId="40388" xr:uid="{D382F804-732B-40E8-8639-2B5BCC0448A8}"/>
    <cellStyle name="Migliaia 23 2 2 3 2 3" xfId="45690" xr:uid="{6A9454B4-B4B9-4CA9-B3E7-DC7D1D625693}"/>
    <cellStyle name="Migliaia 23 2 2 3 3" xfId="37737" xr:uid="{8179540C-AA57-4C95-B332-88B97B494D8B}"/>
    <cellStyle name="Migliaia 23 2 2 3 4" xfId="43039" xr:uid="{8445AD90-61C8-4F28-9ED0-39CDA9D85127}"/>
    <cellStyle name="Migliaia 23 2 2 3 5" xfId="11605" xr:uid="{E3553D5C-302B-48A2-BA83-230410807D79}"/>
    <cellStyle name="Migliaia 23 2 2 4" xfId="3346" xr:uid="{14E636B9-7E4D-48A5-BA77-254685C43443}"/>
    <cellStyle name="Migliaia 23 2 2 4 2" xfId="21443" xr:uid="{2D88168E-4D07-4055-A438-1F41A5E153A9}"/>
    <cellStyle name="Migliaia 23 2 2 4 3" xfId="47032" xr:uid="{6603A2BF-CF41-41B1-9174-3CB03FE4577D}"/>
    <cellStyle name="Migliaia 23 2 2 4 4" xfId="50458" xr:uid="{5E0B38DF-92D9-4C00-B0ED-48399CB3D67E}"/>
    <cellStyle name="Migliaia 23 2 2 4 5" xfId="53474" xr:uid="{474869C3-85F3-460B-909E-92442F46287A}"/>
    <cellStyle name="Migliaia 23 2 2 4 6" xfId="10808" xr:uid="{6FA9863F-65F9-4EF1-907C-0222AA9930A7}"/>
    <cellStyle name="Migliaia 23 2 2 5" xfId="20137" xr:uid="{24765071-607B-475A-96A0-745DB86DF4A7}"/>
    <cellStyle name="Migliaia 23 2 2 6" xfId="24530" xr:uid="{1F995F48-BE99-4CAA-81FC-B4FE299F443E}"/>
    <cellStyle name="Migliaia 23 2 2 7" xfId="7381" xr:uid="{C0D4633C-CD88-49AA-BA4B-35C4FDF1CEE3}"/>
    <cellStyle name="Migliaia 23 2 3" xfId="3347" xr:uid="{D019C600-8175-48BC-AA3F-2EFC42B43625}"/>
    <cellStyle name="Migliaia 23 2 3 2" xfId="5073" xr:uid="{71A45631-E4EF-4DE4-89F0-5746738C5082}"/>
    <cellStyle name="Migliaia 23 2 3 2 2" xfId="35229" xr:uid="{AE5F5445-230D-4B78-A597-3FAE8286B2B0}"/>
    <cellStyle name="Migliaia 23 2 3 2 2 2" xfId="40389" xr:uid="{62EAFF4E-A50A-4D63-9AB9-AED4497D6711}"/>
    <cellStyle name="Migliaia 23 2 3 2 2 3" xfId="45691" xr:uid="{3A2EC01B-30B0-4589-A4F8-917F86C65109}"/>
    <cellStyle name="Migliaia 23 2 3 2 3" xfId="37738" xr:uid="{DEEA6F77-7F67-4667-BEA9-4DAD4B2FA53D}"/>
    <cellStyle name="Migliaia 23 2 3 2 4" xfId="43040" xr:uid="{222510A4-6756-4D9E-9FAE-15EC2644A0CE}"/>
    <cellStyle name="Migliaia 23 2 3 2 5" xfId="14225" xr:uid="{9E3463E6-9641-45BB-872A-B4195CF3006A}"/>
    <cellStyle name="Migliaia 23 2 3 3" xfId="6282" xr:uid="{28B20B3B-2E7A-437B-A7C7-4E8EDE4FCC8A}"/>
    <cellStyle name="Migliaia 23 2 3 3 2" xfId="38898" xr:uid="{98DDBACC-5A44-49DF-860A-2E56D61FD68D}"/>
    <cellStyle name="Migliaia 23 2 3 3 3" xfId="44200" xr:uid="{9A7F0E27-98AF-4E5E-A975-04BB7CB83B7D}"/>
    <cellStyle name="Migliaia 23 2 3 3 4" xfId="33463" xr:uid="{0BF1A402-4194-468F-95F2-2EEE8915C805}"/>
    <cellStyle name="Migliaia 23 2 3 3 5" xfId="20139" xr:uid="{D1021190-6FB5-4887-B65D-F6EC8CD3597D}"/>
    <cellStyle name="Migliaia 23 2 3 4" xfId="36378" xr:uid="{D9E24BDE-BAF0-4570-9F5D-0652D85523C6}"/>
    <cellStyle name="Migliaia 23 2 3 5" xfId="41549" xr:uid="{2907E6EE-DAC5-46D9-84D8-E41660DD2044}"/>
    <cellStyle name="Migliaia 23 2 3 6" xfId="16236" xr:uid="{739358C1-6EE4-47EF-8F7B-C4A76A7D7961}"/>
    <cellStyle name="Migliaia 23 2 3 7" xfId="8287" xr:uid="{51A5B017-A37A-4285-81A2-C669C9B0190D}"/>
    <cellStyle name="Migliaia 23 2 4" xfId="5071" xr:uid="{637316DE-4845-4471-B463-CA2AA79D796E}"/>
    <cellStyle name="Migliaia 23 2 4 2" xfId="13930" xr:uid="{9C5849FE-4E55-465B-BB7C-14216D641F72}"/>
    <cellStyle name="Migliaia 23 2 4 2 2" xfId="38899" xr:uid="{3C88705C-AFAF-458A-92D5-B075EF3AC236}"/>
    <cellStyle name="Migliaia 23 2 4 2 3" xfId="44201" xr:uid="{09477B20-34EA-4E30-9F47-F9D7AC3B8375}"/>
    <cellStyle name="Migliaia 23 2 4 3" xfId="18016" xr:uid="{562261D3-B096-451D-8E33-FD5D8127E074}"/>
    <cellStyle name="Migliaia 23 2 4 4" xfId="20140" xr:uid="{97720E5B-F840-45C4-88F0-C6A0B9436327}"/>
    <cellStyle name="Migliaia 23 2 4 4 2" xfId="41550" xr:uid="{083ABBD9-6BF7-4A3E-86FB-A4C7027CA2B9}"/>
    <cellStyle name="Migliaia 23 2 4 5" xfId="16237" xr:uid="{74224204-0DCD-4034-AF86-9C751A55DBB9}"/>
    <cellStyle name="Migliaia 23 2 4 6" xfId="7883" xr:uid="{249655BA-A4A1-48E9-B16C-000285AE1A33}"/>
    <cellStyle name="Migliaia 23 2 5" xfId="6280" xr:uid="{861E1B12-B0E5-48FA-9ED9-161061B5D140}"/>
    <cellStyle name="Migliaia 23 2 5 2" xfId="33464" xr:uid="{394DBDC8-A2E9-4087-9297-D7164505FD84}"/>
    <cellStyle name="Migliaia 23 2 5 2 2" xfId="38900" xr:uid="{1FF7D6BE-0CB3-4F0A-9704-F9A3C711CECA}"/>
    <cellStyle name="Migliaia 23 2 5 2 3" xfId="44202" xr:uid="{B4E51B37-2606-4198-8393-AA96A355E600}"/>
    <cellStyle name="Migliaia 23 2 5 3" xfId="36380" xr:uid="{5626A190-E9B2-4093-ADB7-0968EA834E05}"/>
    <cellStyle name="Migliaia 23 2 5 4" xfId="41551" xr:uid="{0D191B08-DDC7-429C-BEAA-5B0A41E0FDD9}"/>
    <cellStyle name="Migliaia 23 2 5 5" xfId="13118" xr:uid="{9A64AE1A-74AC-4253-B9D3-72AB3787EFDC}"/>
    <cellStyle name="Migliaia 23 2 6" xfId="3345" xr:uid="{4E13C629-3A39-43B7-90A6-0C62E08C7C03}"/>
    <cellStyle name="Migliaia 23 2 6 2" xfId="33465" xr:uid="{7227D7C8-1978-4F48-BE95-CED18847FFED}"/>
    <cellStyle name="Migliaia 23 2 6 2 2" xfId="38901" xr:uid="{B9A22D47-DE3A-4FC9-96D1-DC171C710041}"/>
    <cellStyle name="Migliaia 23 2 6 2 3" xfId="44203" xr:uid="{0F498336-534D-4C92-AA0F-4A3C23EEA39A}"/>
    <cellStyle name="Migliaia 23 2 6 3" xfId="36381" xr:uid="{1BAE0690-76BF-4825-A8C3-352A6611DA73}"/>
    <cellStyle name="Migliaia 23 2 6 4" xfId="41552" xr:uid="{FCB52B48-2D5E-4596-B443-54335BF330E3}"/>
    <cellStyle name="Migliaia 23 2 6 5" xfId="24533" xr:uid="{A9F4603E-C9F1-49A4-A814-74B1D1ADE93B}"/>
    <cellStyle name="Migliaia 23 2 6 6" xfId="20136" xr:uid="{C787F21D-F2B8-4B80-A30F-B4C052E87E53}"/>
    <cellStyle name="Migliaia 23 2 7" xfId="24529" xr:uid="{351F6120-60F5-47DA-88B5-B923D2EA2E14}"/>
    <cellStyle name="Migliaia 23 2 8" xfId="7088" xr:uid="{7BD897AE-37F6-4CD1-A597-520E08FE6E48}"/>
    <cellStyle name="Migliaia 23 3" xfId="363" xr:uid="{00000000-0005-0000-0000-000049030000}"/>
    <cellStyle name="Migliaia 23 3 10" xfId="24534" xr:uid="{353F1259-BA1C-44B2-BD0D-9FC37981FA23}"/>
    <cellStyle name="Migliaia 23 3 11" xfId="16238" xr:uid="{9ABBB6DB-0B02-434D-B217-6740A52DB358}"/>
    <cellStyle name="Migliaia 23 3 12" xfId="7089" xr:uid="{98B68C64-4E2A-477B-837B-CC640C193DBE}"/>
    <cellStyle name="Migliaia 23 3 2" xfId="364" xr:uid="{00000000-0005-0000-0000-00004A030000}"/>
    <cellStyle name="Migliaia 23 3 2 2" xfId="1732" xr:uid="{00000000-0005-0000-0000-00004B030000}"/>
    <cellStyle name="Migliaia 23 3 2 2 2" xfId="5076" xr:uid="{BA084B25-51EC-4885-AB0B-019E2E4CEFB5}"/>
    <cellStyle name="Migliaia 23 3 2 2 2 2" xfId="18408" xr:uid="{6E48BC4C-A6F4-4397-AF7A-FCF0920F5E97}"/>
    <cellStyle name="Migliaia 23 3 2 2 2 2 2" xfId="21856" xr:uid="{F95CF0EF-D0F2-4153-894D-18C9DE328CAD}"/>
    <cellStyle name="Migliaia 23 3 2 2 2 2 2 2" xfId="38902" xr:uid="{BB94E0F2-00BA-4C16-8FCC-BD804B5E59FE}"/>
    <cellStyle name="Migliaia 23 3 2 2 2 2 3" xfId="44204" xr:uid="{03E0C8D0-3C40-4F5E-BFDA-96BF42D0A8CF}"/>
    <cellStyle name="Migliaia 23 3 2 2 2 2 4" xfId="33466" xr:uid="{21878DB8-0D65-48CD-AEF7-8C372E837683}"/>
    <cellStyle name="Migliaia 23 3 2 2 2 3" xfId="36382" xr:uid="{792CD56B-DDD0-426B-8D65-58208126C695}"/>
    <cellStyle name="Migliaia 23 3 2 2 2 4" xfId="41553" xr:uid="{6110767A-9D69-452D-B22C-CC5B961D8352}"/>
    <cellStyle name="Migliaia 23 3 2 2 2 5" xfId="47815" xr:uid="{F9D84151-FEAF-44D3-AA20-6B648377C693}"/>
    <cellStyle name="Migliaia 23 3 2 2 2 6" xfId="50884" xr:uid="{28769605-FFDD-42F0-BD40-5F7FFA9F967F}"/>
    <cellStyle name="Migliaia 23 3 2 2 2 7" xfId="53900" xr:uid="{1A40EC16-63E7-4298-A9A3-2220D01BF20D}"/>
    <cellStyle name="Migliaia 23 3 2 2 2 8" xfId="17653" xr:uid="{EA224084-770D-4EA2-90F9-90555D92ECB4}"/>
    <cellStyle name="Migliaia 23 3 2 2 2 9" xfId="11947" xr:uid="{AF092060-F860-4815-8329-A60B88DDF500}"/>
    <cellStyle name="Migliaia 23 3 2 2 3" xfId="6285" xr:uid="{39D1E4DD-EAEA-468A-959A-C71B912FBA67}"/>
    <cellStyle name="Migliaia 23 3 2 2 3 2" xfId="11137" xr:uid="{DC2075AC-2FC2-4C53-91EC-0918EEF7D9DE}"/>
    <cellStyle name="Migliaia 23 3 2 2 4" xfId="3350" xr:uid="{5DA15E8D-B939-403D-91B6-DB452A56D7F6}"/>
    <cellStyle name="Migliaia 23 3 2 2 4 2" xfId="21444" xr:uid="{D78A13F8-DC24-4035-9A54-59A4875BA38B}"/>
    <cellStyle name="Migliaia 23 3 2 2 4 3" xfId="47407" xr:uid="{3F5AEF21-BC61-4F7C-8A5B-DC06F3B7C247}"/>
    <cellStyle name="Migliaia 23 3 2 2 4 4" xfId="50459" xr:uid="{36921008-FEE2-400B-88E2-FF2ED7D85C20}"/>
    <cellStyle name="Migliaia 23 3 2 2 4 5" xfId="53475" xr:uid="{911E92FA-4982-4D77-A05D-C019CC883F41}"/>
    <cellStyle name="Migliaia 23 3 2 2 4 6" xfId="10809" xr:uid="{B9A377B8-6019-407A-BCA0-3814EF351992}"/>
    <cellStyle name="Migliaia 23 3 2 2 5" xfId="20143" xr:uid="{27B0ABB1-3144-4A0A-B040-8D87B84E65F8}"/>
    <cellStyle name="Migliaia 23 3 2 2 6" xfId="24536" xr:uid="{A18EA77A-6164-4E6A-820E-4E74AC56F759}"/>
    <cellStyle name="Migliaia 23 3 2 2 7" xfId="8573" xr:uid="{28A23733-2B8A-4D2B-BDB1-0768E1E8925C}"/>
    <cellStyle name="Migliaia 23 3 2 3" xfId="5075" xr:uid="{0C257D61-29E7-420D-94D6-2540219B3090}"/>
    <cellStyle name="Migliaia 23 3 2 3 2" xfId="12417" xr:uid="{4290F138-3EB2-417B-9854-495AFF892BB4}"/>
    <cellStyle name="Migliaia 23 3 2 3 2 2" xfId="38903" xr:uid="{E08F7E3A-776C-4AC8-AE0E-171B6665435B}"/>
    <cellStyle name="Migliaia 23 3 2 3 2 3" xfId="44205" xr:uid="{BB3E98D7-7F8F-4FE2-A401-278312E1D515}"/>
    <cellStyle name="Migliaia 23 3 2 3 2 4" xfId="33467" xr:uid="{65523C03-940B-4FCC-B8C2-EBB069912FBF}"/>
    <cellStyle name="Migliaia 23 3 2 3 3" xfId="11948" xr:uid="{6233FB40-8DC0-49F2-B31C-7B336FA77A4F}"/>
    <cellStyle name="Migliaia 23 3 2 3 4" xfId="20144" xr:uid="{9DD8E0ED-0497-4790-9E12-C1871A4EEC22}"/>
    <cellStyle name="Migliaia 23 3 2 3 4 2" xfId="41554" xr:uid="{47682248-AA7F-44AD-838D-77BD85DFCD17}"/>
    <cellStyle name="Migliaia 23 3 2 3 5" xfId="16239" xr:uid="{F5733F74-08CD-4B68-ADE1-B32BD4B7B9C4}"/>
    <cellStyle name="Migliaia 23 3 2 3 6" xfId="7885" xr:uid="{9B78FF29-D193-4FB6-8E4C-6AA1D3B897F3}"/>
    <cellStyle name="Migliaia 23 3 2 4" xfId="6284" xr:uid="{7F3BE6ED-4F6D-4FB9-9D01-188E6708AA8F}"/>
    <cellStyle name="Migliaia 23 3 2 4 2" xfId="18072" xr:uid="{FE93D435-08D8-42DA-A2FF-3EA43040E239}"/>
    <cellStyle name="Migliaia 23 3 2 4 2 2" xfId="38904" xr:uid="{2D2B16B3-E4B5-42B3-ABD8-100CE41EA0EF}"/>
    <cellStyle name="Migliaia 23 3 2 4 2 3" xfId="44206" xr:uid="{AC6E54A8-4693-4515-8FC5-838A63E623F8}"/>
    <cellStyle name="Migliaia 23 3 2 4 3" xfId="36384" xr:uid="{0AC57D98-8095-4EBB-84B2-02956239B4B5}"/>
    <cellStyle name="Migliaia 23 3 2 4 4" xfId="41555" xr:uid="{1A85B5A5-43FC-4B33-BC69-799C47224451}"/>
    <cellStyle name="Migliaia 23 3 2 4 5" xfId="17166" xr:uid="{137325D2-CB18-48C9-9A78-CDB84CC0DA5D}"/>
    <cellStyle name="Migliaia 23 3 2 4 6" xfId="11296" xr:uid="{6731B431-FA1A-4EF8-BD44-55B48C71876B}"/>
    <cellStyle name="Migliaia 23 3 2 5" xfId="3349" xr:uid="{4B87460B-46FB-4422-BC67-B5A570986A90}"/>
    <cellStyle name="Migliaia 23 3 2 5 2" xfId="33468" xr:uid="{817F1E1E-F846-4E2F-8266-10BA9A092928}"/>
    <cellStyle name="Migliaia 23 3 2 5 2 2" xfId="38905" xr:uid="{9568912B-B210-4581-9297-75589F5CE330}"/>
    <cellStyle name="Migliaia 23 3 2 5 2 3" xfId="44207" xr:uid="{18B765ED-94F2-4B41-9ADF-E113C4E07954}"/>
    <cellStyle name="Migliaia 23 3 2 5 3" xfId="36385" xr:uid="{8601D11F-BA9F-4B19-BFBA-BA35F61B9D5D}"/>
    <cellStyle name="Migliaia 23 3 2 5 4" xfId="41556" xr:uid="{3B0DD195-54B0-4526-B001-73C38F5272A7}"/>
    <cellStyle name="Migliaia 23 3 2 5 5" xfId="17381" xr:uid="{CCA0FBC3-A9FF-4382-BF09-5A0D2555C825}"/>
    <cellStyle name="Migliaia 23 3 2 6" xfId="20142" xr:uid="{17775373-5953-4B30-828C-A32FD072B04A}"/>
    <cellStyle name="Migliaia 23 3 2 6 2" xfId="33469" xr:uid="{E8D0C258-5CFB-48BE-B5C5-65A36806A837}"/>
    <cellStyle name="Migliaia 23 3 2 6 2 2" xfId="38906" xr:uid="{A42EB449-0FE5-4092-843E-6C90C69124B0}"/>
    <cellStyle name="Migliaia 23 3 2 6 2 3" xfId="44208" xr:uid="{67966FCC-09A7-44BC-8914-F28FA27A2C8F}"/>
    <cellStyle name="Migliaia 23 3 2 6 3" xfId="36386" xr:uid="{63FA442E-D998-4071-A3E4-897F91337CB5}"/>
    <cellStyle name="Migliaia 23 3 2 6 4" xfId="41557" xr:uid="{1924F74A-FECF-40C5-94D6-CA18CABAE92F}"/>
    <cellStyle name="Migliaia 23 3 2 6 5" xfId="24539" xr:uid="{E2096406-8379-4A3C-B050-9C5DDDD2CB7D}"/>
    <cellStyle name="Migliaia 23 3 2 7" xfId="24535" xr:uid="{E382E1F3-CCC9-4744-A09E-C677BB988870}"/>
    <cellStyle name="Migliaia 23 3 2 8" xfId="7383" xr:uid="{95A4D5C8-4E9F-4FB2-B93B-EEB5998FF21C}"/>
    <cellStyle name="Migliaia 23 3 3" xfId="3351" xr:uid="{F5CAA26E-513C-46AC-9506-32C3EDC4656F}"/>
    <cellStyle name="Migliaia 23 3 3 10" xfId="7382" xr:uid="{AFA01EF4-3F54-4A34-AD31-DB24CC24005F}"/>
    <cellStyle name="Migliaia 23 3 3 2" xfId="5077" xr:uid="{2FDBDC06-4C52-4D0C-A281-ECE47AABE79B}"/>
    <cellStyle name="Migliaia 23 3 3 2 2" xfId="9912" xr:uid="{3B48C6EF-35E5-45DE-8BCB-DD2B642353C1}"/>
    <cellStyle name="Migliaia 23 3 3 2 2 2" xfId="38908" xr:uid="{C9D29934-E67A-4D1F-A9BE-447A1404B7B3}"/>
    <cellStyle name="Migliaia 23 3 3 2 2 3" xfId="44210" xr:uid="{167774B3-FC60-471E-B735-209C29E88BE1}"/>
    <cellStyle name="Migliaia 23 3 3 2 3" xfId="18192" xr:uid="{96C50D04-509C-40F4-B848-DA524FB61898}"/>
    <cellStyle name="Migliaia 23 3 3 2 4" xfId="20146" xr:uid="{8E8231C9-ABAD-4110-ACCF-023426FD9FDB}"/>
    <cellStyle name="Migliaia 23 3 3 2 4 2" xfId="41559" xr:uid="{DE82CFDE-FCBA-4E07-8399-921EB7634AAF}"/>
    <cellStyle name="Migliaia 23 3 3 2 5" xfId="16241" xr:uid="{09D7A558-BF0F-481E-99AA-D2E728456F98}"/>
    <cellStyle name="Migliaia 23 3 3 2 6" xfId="8572" xr:uid="{D809A72A-759F-427C-8902-C7C39C60F995}"/>
    <cellStyle name="Migliaia 23 3 3 3" xfId="6286" xr:uid="{C0F1AC9C-9D7A-4B27-9440-3925D078DB94}"/>
    <cellStyle name="Migliaia 23 3 3 3 2" xfId="33472" xr:uid="{D950F18A-4622-4935-8A45-B2016531BC50}"/>
    <cellStyle name="Migliaia 23 3 3 3 2 2" xfId="38909" xr:uid="{93E27D2C-9372-4FB9-88C3-058EA34B78C9}"/>
    <cellStyle name="Migliaia 23 3 3 3 2 3" xfId="44211" xr:uid="{53AAAC5E-8C5A-4E44-9C0B-D074B6DDE000}"/>
    <cellStyle name="Migliaia 23 3 3 3 3" xfId="36389" xr:uid="{11026C33-7E9B-434C-A3B3-CEFB826A4D7F}"/>
    <cellStyle name="Migliaia 23 3 3 3 4" xfId="41560" xr:uid="{3F615DA7-D73E-4794-9A14-4230C4061ECF}"/>
    <cellStyle name="Migliaia 23 3 3 3 5" xfId="9675" xr:uid="{DE0C4128-8DAF-4DCC-9998-DD855E2F3249}"/>
    <cellStyle name="Migliaia 23 3 3 4" xfId="20145" xr:uid="{BDF4C30C-DFBA-497F-A66D-88AB4ED21531}"/>
    <cellStyle name="Migliaia 23 3 3 4 2" xfId="33473" xr:uid="{2C65D7BB-20FF-4279-AFCE-AC0DE6370E48}"/>
    <cellStyle name="Migliaia 23 3 3 4 2 2" xfId="38910" xr:uid="{AC270FA3-2233-4F8A-8AC9-5C1DCA0A72A8}"/>
    <cellStyle name="Migliaia 23 3 3 4 2 3" xfId="44212" xr:uid="{81335987-1862-4D02-B015-F969969B0A1D}"/>
    <cellStyle name="Migliaia 23 3 3 4 3" xfId="36390" xr:uid="{1799B195-93A5-4FBA-9D17-A312E0F4B233}"/>
    <cellStyle name="Migliaia 23 3 3 4 4" xfId="41561" xr:uid="{46928932-C483-4129-B943-E81AC75DF585}"/>
    <cellStyle name="Migliaia 23 3 3 4 5" xfId="24541" xr:uid="{7405B533-B2C8-4F75-9AF2-4BE435C9FC2F}"/>
    <cellStyle name="Migliaia 23 3 3 5" xfId="24542" xr:uid="{F5F5800E-F31C-4F7D-9F3E-6448A8693E5C}"/>
    <cellStyle name="Migliaia 23 3 3 5 2" xfId="33474" xr:uid="{0E4A1907-FA0D-4BCC-8753-4C9A06D3A5DB}"/>
    <cellStyle name="Migliaia 23 3 3 5 2 2" xfId="38911" xr:uid="{CB3E665E-3A98-476E-B575-6C13BEB8FF0C}"/>
    <cellStyle name="Migliaia 23 3 3 5 2 3" xfId="44213" xr:uid="{2CAC6CD3-AF6D-46BE-947C-41EE666089EC}"/>
    <cellStyle name="Migliaia 23 3 3 5 3" xfId="36391" xr:uid="{DBFBC08E-6099-4ABE-A6C9-6D9FF4DF8513}"/>
    <cellStyle name="Migliaia 23 3 3 5 4" xfId="41562" xr:uid="{E4B501D8-79E8-4367-B96C-CA6F848AA1F3}"/>
    <cellStyle name="Migliaia 23 3 3 6" xfId="33470" xr:uid="{B2A44ACC-06FE-4F5E-B770-1208DF055305}"/>
    <cellStyle name="Migliaia 23 3 3 6 2" xfId="38907" xr:uid="{33300161-E8A6-4CFF-B2A7-9AE2D447A17D}"/>
    <cellStyle name="Migliaia 23 3 3 6 3" xfId="44209" xr:uid="{13B79606-A4F5-4F70-8030-50671EE7E834}"/>
    <cellStyle name="Migliaia 23 3 3 7" xfId="36387" xr:uid="{A75CE6A1-AFA1-4E59-A1B5-72968315F850}"/>
    <cellStyle name="Migliaia 23 3 3 8" xfId="41558" xr:uid="{DCA0906B-3F9F-49AA-956D-079D62FFEAD3}"/>
    <cellStyle name="Migliaia 23 3 3 9" xfId="16240" xr:uid="{6B3DA995-DE38-4E4A-8861-8EEE169F13A4}"/>
    <cellStyle name="Migliaia 23 3 4" xfId="3352" xr:uid="{7EFE7FDE-044A-4497-81FE-7CE58FB92F83}"/>
    <cellStyle name="Migliaia 23 3 4 2" xfId="5078" xr:uid="{53183939-FEC7-4152-8ABA-B12E88B45479}"/>
    <cellStyle name="Migliaia 23 3 4 2 2" xfId="14438" xr:uid="{D327EB5B-F4B4-43A4-B6E7-E753AB19097C}"/>
    <cellStyle name="Migliaia 23 3 4 2 3" xfId="18587" xr:uid="{21B7B6FD-923A-49B4-B609-BC84745D8E3C}"/>
    <cellStyle name="Migliaia 23 3 4 2 4" xfId="20148" xr:uid="{2D5B9D6E-3FB2-4E6C-8FC9-7383B40C89F3}"/>
    <cellStyle name="Migliaia 23 3 4 2 5" xfId="32344" xr:uid="{59562E55-F225-44CF-B163-56790C9CBAF5}"/>
    <cellStyle name="Migliaia 23 3 4 2 6" xfId="16243" xr:uid="{B59B39E3-865B-42A8-85AC-14AE47FC556C}"/>
    <cellStyle name="Migliaia 23 3 4 2 7" xfId="8861" xr:uid="{B7B86898-3E53-4983-80A1-EF2BD6C34650}"/>
    <cellStyle name="Migliaia 23 3 4 3" xfId="6287" xr:uid="{6CC3ADB9-AFF7-44C4-AD64-5921593B8D27}"/>
    <cellStyle name="Migliaia 23 3 4 3 2" xfId="35230" xr:uid="{90C8A932-D018-41C1-9389-BE2BD5F8F1D6}"/>
    <cellStyle name="Migliaia 23 3 4 3 2 2" xfId="40390" xr:uid="{F410ED8E-950B-40B6-B901-50B6D6E53131}"/>
    <cellStyle name="Migliaia 23 3 4 3 2 3" xfId="45692" xr:uid="{2883DC40-5908-4E88-9502-0ACBEE918D47}"/>
    <cellStyle name="Migliaia 23 3 4 3 3" xfId="37739" xr:uid="{D3F4D6C7-8B5E-4071-A6B6-B8B56ABC50EE}"/>
    <cellStyle name="Migliaia 23 3 4 3 4" xfId="43041" xr:uid="{8B0B8B24-A66B-4E6D-8033-7925E38D04A1}"/>
    <cellStyle name="Migliaia 23 3 4 3 5" xfId="13686" xr:uid="{557EBDD2-AFCC-4E68-B892-BB7F30579A08}"/>
    <cellStyle name="Migliaia 23 3 4 4" xfId="20147" xr:uid="{0DFF6F87-9D10-4A34-B0D9-5DC4FBFD8063}"/>
    <cellStyle name="Migliaia 23 3 4 4 2" xfId="38912" xr:uid="{5CC688BC-5584-4560-83F8-9D5BAEAC8A65}"/>
    <cellStyle name="Migliaia 23 3 4 4 3" xfId="44214" xr:uid="{632EAA40-4E42-43AB-9586-212C55D73E59}"/>
    <cellStyle name="Migliaia 23 3 4 4 4" xfId="33475" xr:uid="{F74CC27D-11D5-42EB-93BB-67ED30339CD2}"/>
    <cellStyle name="Migliaia 23 3 4 5" xfId="36392" xr:uid="{CB296534-E1EB-44A3-BB99-9B69CC45C336}"/>
    <cellStyle name="Migliaia 23 3 4 6" xfId="41563" xr:uid="{A70D8182-0CF4-4191-BDC5-6549075729C9}"/>
    <cellStyle name="Migliaia 23 3 4 7" xfId="16242" xr:uid="{1ABC2C69-D576-43D7-8D32-E98A3E68739B}"/>
    <cellStyle name="Migliaia 23 3 4 8" xfId="7671" xr:uid="{42B63AB2-FB3F-40F3-AE44-5D1013CB7482}"/>
    <cellStyle name="Migliaia 23 3 5" xfId="3353" xr:uid="{A958D2A4-9B9E-48E3-9D2E-2CAF9C0A84B7}"/>
    <cellStyle name="Migliaia 23 3 5 2" xfId="5079" xr:uid="{0C149721-58FA-4169-9216-E3924EA86FC0}"/>
    <cellStyle name="Migliaia 23 3 5 2 2" xfId="35231" xr:uid="{CF02DE68-4C6E-4DE5-81CE-D63D7EC9C6B5}"/>
    <cellStyle name="Migliaia 23 3 5 2 2 2" xfId="40391" xr:uid="{5B12DED5-A04B-4373-937C-8B98ECBBBB66}"/>
    <cellStyle name="Migliaia 23 3 5 2 2 3" xfId="45693" xr:uid="{1125E7E9-B557-4D47-B3A1-A9844428A599}"/>
    <cellStyle name="Migliaia 23 3 5 2 3" xfId="37740" xr:uid="{EC3B22FE-092B-4E55-B2FA-C93F6ECCED33}"/>
    <cellStyle name="Migliaia 23 3 5 2 4" xfId="43042" xr:uid="{F5F2DD17-0399-4783-BFD4-9716514FCF5B}"/>
    <cellStyle name="Migliaia 23 3 5 2 5" xfId="14226" xr:uid="{2420A7D0-D287-4827-A033-6053AEC2C0FE}"/>
    <cellStyle name="Migliaia 23 3 5 3" xfId="6288" xr:uid="{4B79E509-419C-4EA7-BF9D-0B39B7822643}"/>
    <cellStyle name="Migliaia 23 3 5 3 2" xfId="38913" xr:uid="{DF173671-5A1A-4269-8140-96DB21408FF6}"/>
    <cellStyle name="Migliaia 23 3 5 3 3" xfId="44215" xr:uid="{AD8F5599-BD28-48FB-BCF9-91F94C7E4941}"/>
    <cellStyle name="Migliaia 23 3 5 3 4" xfId="33476" xr:uid="{76313403-7234-4800-9351-DBD000892ED8}"/>
    <cellStyle name="Migliaia 23 3 5 3 5" xfId="20149" xr:uid="{11377698-5C86-4D00-87A1-CB8B31A194DD}"/>
    <cellStyle name="Migliaia 23 3 5 4" xfId="36393" xr:uid="{2ACE2753-FAC0-4971-BF5F-9AF907C05179}"/>
    <cellStyle name="Migliaia 23 3 5 5" xfId="41564" xr:uid="{3A781636-510D-4A20-9C33-4F3D1C99D4A5}"/>
    <cellStyle name="Migliaia 23 3 5 6" xfId="16244" xr:uid="{7F97FC0E-33D4-4368-97C5-A33131463400}"/>
    <cellStyle name="Migliaia 23 3 5 7" xfId="8288" xr:uid="{28567E51-0A9A-4308-A482-353AD9351D11}"/>
    <cellStyle name="Migliaia 23 3 6" xfId="5074" xr:uid="{F057EA29-38A4-4EF1-B15E-64203704C2A3}"/>
    <cellStyle name="Migliaia 23 3 6 2" xfId="13931" xr:uid="{43F9A1E4-D28F-43B1-88FF-FE02BBBB44F2}"/>
    <cellStyle name="Migliaia 23 3 6 2 2" xfId="38914" xr:uid="{0A88D8AD-9F9C-456D-A291-0B3B11A75BD9}"/>
    <cellStyle name="Migliaia 23 3 6 2 3" xfId="44216" xr:uid="{01D11832-22A3-44F7-AC36-CB262E549E22}"/>
    <cellStyle name="Migliaia 23 3 6 3" xfId="18554" xr:uid="{7A3AF8B1-9D8D-40F8-86EE-818C359CCB82}"/>
    <cellStyle name="Migliaia 23 3 6 4" xfId="20150" xr:uid="{54F08AE7-85B8-424E-92DE-23AF6C3CEDAE}"/>
    <cellStyle name="Migliaia 23 3 6 4 2" xfId="41565" xr:uid="{F2324294-AAB2-49CD-AF8A-6FDF0E5CA511}"/>
    <cellStyle name="Migliaia 23 3 6 5" xfId="16245" xr:uid="{9114D398-67BF-4BD9-8D74-F2AB892EBAC7}"/>
    <cellStyle name="Migliaia 23 3 6 6" xfId="7884" xr:uid="{4C8249FF-3736-469F-A2AB-9F1083413ADD}"/>
    <cellStyle name="Migliaia 23 3 7" xfId="6283" xr:uid="{BA8DEE73-5745-4004-99FF-D64A6B96E56C}"/>
    <cellStyle name="Migliaia 23 3 7 2" xfId="33477" xr:uid="{F1329551-429F-44CF-BCA1-FF2E966D5E4C}"/>
    <cellStyle name="Migliaia 23 3 7 2 2" xfId="38915" xr:uid="{31E21344-940E-4EA9-8C1B-BA5EBBA1D6EB}"/>
    <cellStyle name="Migliaia 23 3 7 2 3" xfId="44217" xr:uid="{EA8688AD-9B1D-470B-8872-10089D1BDCD5}"/>
    <cellStyle name="Migliaia 23 3 7 3" xfId="36394" xr:uid="{0060E35A-5F1B-43EB-8312-AFC2C6D1B221}"/>
    <cellStyle name="Migliaia 23 3 7 4" xfId="41566" xr:uid="{90A30AD1-00F0-4E1D-824B-7C0AEF10FFDF}"/>
    <cellStyle name="Migliaia 23 3 7 5" xfId="12243" xr:uid="{0321D2D0-3EC5-400A-AEEC-73BE37C63478}"/>
    <cellStyle name="Migliaia 23 3 8" xfId="3348" xr:uid="{6FEDFFAB-E591-4B1F-8C25-64781607E26A}"/>
    <cellStyle name="Migliaia 23 3 8 2" xfId="33478" xr:uid="{64463837-E479-41DD-A22B-AB5E46844795}"/>
    <cellStyle name="Migliaia 23 3 8 2 2" xfId="38916" xr:uid="{AC9CE0B3-B55A-4935-8537-3CE78C484495}"/>
    <cellStyle name="Migliaia 23 3 8 2 3" xfId="44218" xr:uid="{5351411B-F547-46B2-9A1C-55AB0FA8A829}"/>
    <cellStyle name="Migliaia 23 3 8 3" xfId="36395" xr:uid="{9435CA4C-ADD6-4025-8912-1FFF4D00436E}"/>
    <cellStyle name="Migliaia 23 3 8 4" xfId="41567" xr:uid="{D6AC2AA1-72D6-482B-883A-905865D429D0}"/>
    <cellStyle name="Migliaia 23 3 8 5" xfId="24545" xr:uid="{0C6E7D36-C60A-4436-BFAA-C863FCFF86D6}"/>
    <cellStyle name="Migliaia 23 3 8 6" xfId="17382" xr:uid="{5DB6A586-21CF-4882-B3FB-D0AB3C8E886C}"/>
    <cellStyle name="Migliaia 23 3 9" xfId="20141" xr:uid="{0DA44B55-2BED-490B-B0F5-26CA9510E945}"/>
    <cellStyle name="Migliaia 23 4" xfId="1733" xr:uid="{00000000-0005-0000-0000-00004C030000}"/>
    <cellStyle name="Migliaia 23 4 2" xfId="1734" xr:uid="{00000000-0005-0000-0000-00004D030000}"/>
    <cellStyle name="Migliaia 23 4 2 2" xfId="5081" xr:uid="{8CB3B490-6F3B-4BF9-B628-644C1442076A}"/>
    <cellStyle name="Migliaia 23 4 2 2 2" xfId="33479" xr:uid="{7824A845-EA6C-433D-8464-E3A73B8E27B3}"/>
    <cellStyle name="Migliaia 23 4 2 2 2 2" xfId="38917" xr:uid="{FBCFD59A-CD32-43F2-9961-1071B1541240}"/>
    <cellStyle name="Migliaia 23 4 2 2 2 3" xfId="44219" xr:uid="{7E9AEC66-0AE1-40F8-A217-F529102C986C}"/>
    <cellStyle name="Migliaia 23 4 2 2 3" xfId="36396" xr:uid="{B49F898C-3F5B-42B2-804F-895EE9F9C5D7}"/>
    <cellStyle name="Migliaia 23 4 2 2 4" xfId="41568" xr:uid="{84C55E95-70B3-4620-A8D1-7AF4311D3CC4}"/>
    <cellStyle name="Migliaia 23 4 2 2 5" xfId="9138" xr:uid="{A08AB985-EC14-4636-BC61-74ABF6249060}"/>
    <cellStyle name="Migliaia 23 4 2 3" xfId="3355" xr:uid="{7547138C-DC09-46A4-8B79-D4DEA4501A5A}"/>
    <cellStyle name="Migliaia 23 4 2 3 2" xfId="33480" xr:uid="{9493CCB1-8905-4997-9C3F-0942DA1423C0}"/>
    <cellStyle name="Migliaia 23 4 2 3 2 2" xfId="38918" xr:uid="{E0E7B296-AF47-4FC2-8A4D-7318CAED5251}"/>
    <cellStyle name="Migliaia 23 4 2 3 2 3" xfId="44220" xr:uid="{4D77B252-391A-49ED-8187-9862AD2F365E}"/>
    <cellStyle name="Migliaia 23 4 2 3 3" xfId="36397" xr:uid="{DED3234E-5506-440F-A6AE-A9720C991F58}"/>
    <cellStyle name="Migliaia 23 4 2 3 4" xfId="41569" xr:uid="{0018CAB5-F390-422C-9AAD-AE0821F73B3D}"/>
    <cellStyle name="Migliaia 23 4 2 3 5" xfId="11949" xr:uid="{9A24062F-1156-420B-AD57-14EAAD1424F6}"/>
    <cellStyle name="Migliaia 23 4 2 4" xfId="11298" xr:uid="{8D526E2A-F7B5-4BA7-89DF-7C5772B71791}"/>
    <cellStyle name="Migliaia 23 4 2 5" xfId="10811" xr:uid="{71F5BB28-8A74-4ABA-A91D-650DC1F5596A}"/>
    <cellStyle name="Migliaia 23 4 2 5 2" xfId="21446" xr:uid="{10619E8C-CB0E-4A9E-BBF8-32C461CDEB95}"/>
    <cellStyle name="Migliaia 23 4 2 5 3" xfId="46226" xr:uid="{8BF45317-18E7-43D9-B309-D66456AB1F44}"/>
    <cellStyle name="Migliaia 23 4 2 5 4" xfId="50461" xr:uid="{27D0BB71-F592-4C47-A419-A3B8F1CB7886}"/>
    <cellStyle name="Migliaia 23 4 2 5 5" xfId="53477" xr:uid="{ED146245-65E7-48F9-B009-2A62FE90B1F2}"/>
    <cellStyle name="Migliaia 23 4 2 6" xfId="20152" xr:uid="{EFA65435-7D00-432D-BE94-8E7876EEF72D}"/>
    <cellStyle name="Migliaia 23 4 2 7" xfId="24547" xr:uid="{E46A6AD4-B670-4C94-9469-E8AC0EC209BC}"/>
    <cellStyle name="Migliaia 23 4 2 8" xfId="8574" xr:uid="{F1DB3DE5-9AB3-473A-BC79-67716A4C83C8}"/>
    <cellStyle name="Migliaia 23 4 3" xfId="5080" xr:uid="{5DEE2DB6-5EFB-4DEF-ACFC-C54AEB5F3DE0}"/>
    <cellStyle name="Migliaia 23 4 3 2" xfId="18193" xr:uid="{C2E7C96F-F708-4DED-A602-134F242D97BA}"/>
    <cellStyle name="Migliaia 23 4 3 2 2" xfId="38919" xr:uid="{9BFE94A9-8269-4B93-9743-A8FB007EDE52}"/>
    <cellStyle name="Migliaia 23 4 3 2 3" xfId="44221" xr:uid="{0ABED518-B978-41C7-9AB5-4C8FCD737D60}"/>
    <cellStyle name="Migliaia 23 4 3 3" xfId="36398" xr:uid="{370B8629-344C-46EE-A1CE-4E65759B1A80}"/>
    <cellStyle name="Migliaia 23 4 3 4" xfId="41570" xr:uid="{1F13C979-2137-4C35-BDCD-96E927166EA9}"/>
    <cellStyle name="Migliaia 23 4 3 5" xfId="17380" xr:uid="{E52EDAC9-4A79-4168-A5F0-CB599DE90170}"/>
    <cellStyle name="Migliaia 23 4 3 6" xfId="9139" xr:uid="{28B81953-C3EF-4A07-A2F0-325331B22279}"/>
    <cellStyle name="Migliaia 23 4 4" xfId="6289" xr:uid="{5B2ED913-0572-49C3-92C9-DDE9C0B9F517}"/>
    <cellStyle name="Migliaia 23 4 4 2" xfId="33481" xr:uid="{ED54AFC4-F836-4764-A6C8-1636FE2BE2A3}"/>
    <cellStyle name="Migliaia 23 4 4 2 2" xfId="38920" xr:uid="{F2F2158F-37CE-453D-9866-C44DDD90B143}"/>
    <cellStyle name="Migliaia 23 4 4 2 3" xfId="44222" xr:uid="{DA8A6419-EC51-4AF4-AFFD-84FD258DD396}"/>
    <cellStyle name="Migliaia 23 4 4 3" xfId="36399" xr:uid="{38916D04-656B-4433-B705-E310FD2B92AB}"/>
    <cellStyle name="Migliaia 23 4 4 4" xfId="41571" xr:uid="{B0E4DDD1-FABA-4A68-A99B-61B79C43DFF5}"/>
    <cellStyle name="Migliaia 23 4 4 5" xfId="11950" xr:uid="{B783C93C-D565-4618-8427-F5DFC723667B}"/>
    <cellStyle name="Migliaia 23 4 5" xfId="3354" xr:uid="{FBDE4AD2-8FB0-44FC-8C16-072BA24B6412}"/>
    <cellStyle name="Migliaia 23 4 5 2" xfId="33482" xr:uid="{02A40ADB-F865-4A8B-A9C2-9137384D2D55}"/>
    <cellStyle name="Migliaia 23 4 5 2 2" xfId="38921" xr:uid="{DBBD7018-574C-4437-8E87-ACD0A2272494}"/>
    <cellStyle name="Migliaia 23 4 5 2 3" xfId="44223" xr:uid="{0F71DF9C-8636-4357-ABA5-902392727A2A}"/>
    <cellStyle name="Migliaia 23 4 5 3" xfId="36400" xr:uid="{CBA00FC0-2A5C-4022-B697-52CBB7226FFD}"/>
    <cellStyle name="Migliaia 23 4 5 4" xfId="41572" xr:uid="{A30778DF-E1F2-4E57-B9E9-AD15CC2B07F8}"/>
    <cellStyle name="Migliaia 23 4 5 5" xfId="11297" xr:uid="{C36B1359-E846-4C7B-BCCE-F86336CD0AEB}"/>
    <cellStyle name="Migliaia 23 4 6" xfId="10810" xr:uid="{9999056D-F1B8-4691-9978-9EE0B2A24767}"/>
    <cellStyle name="Migliaia 23 4 6 2" xfId="21445" xr:uid="{B763B32F-48DF-4206-8AB6-300F1E52A610}"/>
    <cellStyle name="Migliaia 23 4 6 2 2" xfId="38922" xr:uid="{6C45B6BD-6C72-420E-AB0D-A874F02F60A3}"/>
    <cellStyle name="Migliaia 23 4 6 2 3" xfId="44224" xr:uid="{6A42E6CA-69A6-4CB8-9099-F53A9A8FB203}"/>
    <cellStyle name="Migliaia 23 4 6 2 4" xfId="33483" xr:uid="{EA116003-03B9-440C-A6BA-90F9CCD3A5AE}"/>
    <cellStyle name="Migliaia 23 4 6 3" xfId="36401" xr:uid="{AE3A670E-919B-4591-AA4A-3BE7D182EB50}"/>
    <cellStyle name="Migliaia 23 4 6 4" xfId="41573" xr:uid="{DE73BC2A-62FC-4252-BA4D-C138DFA2A581}"/>
    <cellStyle name="Migliaia 23 4 6 5" xfId="24548" xr:uid="{DD0F9614-122E-4EFA-87F8-95FAB5E4B6EE}"/>
    <cellStyle name="Migliaia 23 4 6 6" xfId="47363" xr:uid="{71A0DC92-6A80-4E00-8B38-819C07ADAE6E}"/>
    <cellStyle name="Migliaia 23 4 6 7" xfId="50460" xr:uid="{F3118A8C-87E0-4F80-9ABE-A941A3761FD8}"/>
    <cellStyle name="Migliaia 23 4 6 8" xfId="53476" xr:uid="{ED11C3C0-136D-4A45-9FD9-9C89DA6B2290}"/>
    <cellStyle name="Migliaia 23 4 7" xfId="20151" xr:uid="{A8D6F0E4-B8C3-4ECA-A79B-72F9FE7CE326}"/>
    <cellStyle name="Migliaia 23 4 7 2" xfId="33484" xr:uid="{2E9BDBE2-1A25-4E75-B843-BE14ECEF8E61}"/>
    <cellStyle name="Migliaia 23 4 7 2 2" xfId="38923" xr:uid="{381B6EC5-2D3E-4F3D-BCCB-D44AC132F86A}"/>
    <cellStyle name="Migliaia 23 4 7 2 3" xfId="44225" xr:uid="{6433F660-FFAC-43BD-9E66-96865EA3C29C}"/>
    <cellStyle name="Migliaia 23 4 7 3" xfId="36402" xr:uid="{74D1D671-891C-4B48-9AC2-F08DEC8D161C}"/>
    <cellStyle name="Migliaia 23 4 7 4" xfId="41574" xr:uid="{893C99C2-A639-461E-9C61-677679003CA3}"/>
    <cellStyle name="Migliaia 23 4 7 5" xfId="24549" xr:uid="{FAB2FD67-7718-4F7D-9362-256544F68029}"/>
    <cellStyle name="Migliaia 23 4 8" xfId="24546" xr:uid="{92E183F6-BF84-4E35-8C1F-B01536C48A05}"/>
    <cellStyle name="Migliaia 23 4 9" xfId="7384" xr:uid="{285A2D89-A5B1-4B05-858B-B19A209835AA}"/>
    <cellStyle name="Migliaia 23 5" xfId="1735" xr:uid="{00000000-0005-0000-0000-00004E030000}"/>
    <cellStyle name="Migliaia 23 5 2" xfId="5082" xr:uid="{0A3BB8AB-7325-4192-BCC5-AE1B23C55E6C}"/>
    <cellStyle name="Migliaia 23 5 2 2" xfId="18409" xr:uid="{4C9C2107-8E93-4FA6-9653-F81B9230DAB5}"/>
    <cellStyle name="Migliaia 23 5 2 2 2" xfId="38924" xr:uid="{62112776-66AC-45CD-B90D-7FD9561E09E8}"/>
    <cellStyle name="Migliaia 23 5 2 2 3" xfId="44226" xr:uid="{06CA36BC-91C8-4871-A429-379C8DAA749B}"/>
    <cellStyle name="Migliaia 23 5 2 3" xfId="20154" xr:uid="{7821DD73-95FB-40FA-B40A-7A9617C6D2A2}"/>
    <cellStyle name="Migliaia 23 5 2 3 2" xfId="36403" xr:uid="{CFC6C02F-6C5B-46EB-B459-6CC902B96E1F}"/>
    <cellStyle name="Migliaia 23 5 2 4" xfId="41575" xr:uid="{D8C678A1-296D-430A-9A15-FD570CB0103D}"/>
    <cellStyle name="Migliaia 23 5 2 5" xfId="16246" xr:uid="{5E483A37-B2C0-41C2-B50C-030B83AAA653}"/>
    <cellStyle name="Migliaia 23 5 2 6" xfId="8575" xr:uid="{77154DFE-0B11-4001-B29B-57681F0B6173}"/>
    <cellStyle name="Migliaia 23 5 3" xfId="6290" xr:uid="{705C4927-AD8B-40C9-8C77-74E8D865358A}"/>
    <cellStyle name="Migliaia 23 5 3 2" xfId="33485" xr:uid="{9D54D6E3-B374-4EC9-BD7A-13C3B81C7ABD}"/>
    <cellStyle name="Migliaia 23 5 3 2 2" xfId="38925" xr:uid="{0AF481F0-395E-4A20-BA79-D2D5E9B7BF54}"/>
    <cellStyle name="Migliaia 23 5 3 2 3" xfId="44227" xr:uid="{02038A62-A52C-4102-B411-D0B29A377782}"/>
    <cellStyle name="Migliaia 23 5 3 3" xfId="36404" xr:uid="{BD704F37-E1DC-411A-A458-DC75417A3291}"/>
    <cellStyle name="Migliaia 23 5 3 4" xfId="41576" xr:uid="{64A32B71-5305-4A98-BF2C-CA34FC5864A4}"/>
    <cellStyle name="Migliaia 23 5 3 5" xfId="11299" xr:uid="{36E47130-B30D-455A-A93C-4CDD120D54EA}"/>
    <cellStyle name="Migliaia 23 5 4" xfId="3356" xr:uid="{640102C3-14A9-4C81-98B9-B4D1FE681522}"/>
    <cellStyle name="Migliaia 23 5 4 2" xfId="21447" xr:uid="{A989C699-1A03-4B42-A3AA-63F472E93412}"/>
    <cellStyle name="Migliaia 23 5 4 2 2" xfId="38926" xr:uid="{10CCBD1F-E66D-4064-87D7-34FD4247400D}"/>
    <cellStyle name="Migliaia 23 5 4 2 3" xfId="44228" xr:uid="{6773B43B-5AB0-4AD7-BBED-B56BF8AA8ECC}"/>
    <cellStyle name="Migliaia 23 5 4 2 4" xfId="33486" xr:uid="{5F1ACAD6-BEE5-4B8D-88C3-B2B8820F6C4B}"/>
    <cellStyle name="Migliaia 23 5 4 3" xfId="36405" xr:uid="{DF9B74D6-E3C1-4249-85F5-34DB6DE3154F}"/>
    <cellStyle name="Migliaia 23 5 4 4" xfId="41577" xr:uid="{9FD7B838-1D84-4D38-89C2-61B904198D9E}"/>
    <cellStyle name="Migliaia 23 5 4 5" xfId="24551" xr:uid="{62A2FD4F-6764-4CE8-8381-40079B501D80}"/>
    <cellStyle name="Migliaia 23 5 4 6" xfId="47598" xr:uid="{1BFBBC09-5383-4D3E-B1BC-3118BB4AF65B}"/>
    <cellStyle name="Migliaia 23 5 4 7" xfId="50462" xr:uid="{36B6EFF0-5CA7-4887-804C-37A23A85A558}"/>
    <cellStyle name="Migliaia 23 5 4 8" xfId="53478" xr:uid="{55A82178-5DC2-4E73-9402-521FDE5AC409}"/>
    <cellStyle name="Migliaia 23 5 4 9" xfId="10812" xr:uid="{2B773A7A-5F68-4E76-A940-80EF1B9A7E4E}"/>
    <cellStyle name="Migliaia 23 5 5" xfId="20153" xr:uid="{85FC8BE2-0DC1-4C8B-9BD1-158CF3E99C79}"/>
    <cellStyle name="Migliaia 23 5 5 2" xfId="33487" xr:uid="{261A1BCA-DDFE-48C2-8F1D-E142098AB3DF}"/>
    <cellStyle name="Migliaia 23 5 5 2 2" xfId="38927" xr:uid="{0FA05289-C5C9-41C5-BD3A-31F001B068EE}"/>
    <cellStyle name="Migliaia 23 5 5 2 3" xfId="44229" xr:uid="{8B36F2A4-9812-47D5-AF4B-E716667359D6}"/>
    <cellStyle name="Migliaia 23 5 5 3" xfId="36406" xr:uid="{D92B1C7F-CD2F-465C-9D82-BA54DBFFFBB8}"/>
    <cellStyle name="Migliaia 23 5 5 4" xfId="41578" xr:uid="{05A0579C-8D16-4F9D-91EE-4F63423822C4}"/>
    <cellStyle name="Migliaia 23 5 5 5" xfId="24552" xr:uid="{64D65E0E-7355-4A14-8796-91D0FBCB148B}"/>
    <cellStyle name="Migliaia 23 5 6" xfId="24553" xr:uid="{D9206944-8EE7-49F3-AC29-16FD3043BDC2}"/>
    <cellStyle name="Migliaia 23 5 6 2" xfId="33488" xr:uid="{F80421CF-4DB4-49F9-A5BC-7B245604EA13}"/>
    <cellStyle name="Migliaia 23 5 6 2 2" xfId="38928" xr:uid="{B31E1958-4FAD-4F07-8EDF-CFA9CE92333C}"/>
    <cellStyle name="Migliaia 23 5 6 2 3" xfId="44230" xr:uid="{A79F8F63-0E66-4C1F-8259-456F0748CCD8}"/>
    <cellStyle name="Migliaia 23 5 6 3" xfId="36407" xr:uid="{514C3CA2-3C9B-41F6-B855-8CF49A52CB4B}"/>
    <cellStyle name="Migliaia 23 5 6 4" xfId="41579" xr:uid="{1EAB6AC3-90A2-4B05-B249-392D6D4A7CE1}"/>
    <cellStyle name="Migliaia 23 5 7" xfId="24550" xr:uid="{F22D669F-BF6F-40C9-A6DC-6E94E8A02DCF}"/>
    <cellStyle name="Migliaia 23 5 8" xfId="7385" xr:uid="{67042327-40EF-4B29-8DC6-59C015736B9A}"/>
    <cellStyle name="Migliaia 23 6" xfId="3357" xr:uid="{CAE7D4C2-8DA7-47F9-B246-E2CA468A6103}"/>
    <cellStyle name="Migliaia 23 6 2" xfId="5083" xr:uid="{70B0E786-CB26-4B50-BF70-7AEF933BFEA9}"/>
    <cellStyle name="Migliaia 23 6 2 2" xfId="9911" xr:uid="{6CC0F13B-CD53-40C0-8B9A-35E88D2C0600}"/>
    <cellStyle name="Migliaia 23 6 2 3" xfId="18665" xr:uid="{40027B05-EC3E-415A-9BA6-3CFE1501CEAD}"/>
    <cellStyle name="Migliaia 23 6 2 4" xfId="20156" xr:uid="{F5529511-2356-4C36-B37E-4F142A2BF840}"/>
    <cellStyle name="Migliaia 23 6 2 5" xfId="32346" xr:uid="{6ED1C7DF-D88A-42AE-8700-F5A2B24A69EF}"/>
    <cellStyle name="Migliaia 23 6 2 6" xfId="16248" xr:uid="{53A46E8B-CCE6-4C3E-AF83-FAD6BF116A22}"/>
    <cellStyle name="Migliaia 23 6 2 7" xfId="8570" xr:uid="{AC815414-1E6F-4BA4-9134-1593F7B6FD83}"/>
    <cellStyle name="Migliaia 23 6 3" xfId="6291" xr:uid="{B141A771-D338-4AEE-8707-E2B61D535572}"/>
    <cellStyle name="Migliaia 23 6 3 2" xfId="35232" xr:uid="{EBCBF037-BFC9-400C-94E1-25B6F789E20D}"/>
    <cellStyle name="Migliaia 23 6 3 2 2" xfId="40392" xr:uid="{C6DD8B42-A0EC-45F3-B7F7-0DBFCBD081F9}"/>
    <cellStyle name="Migliaia 23 6 3 2 3" xfId="45694" xr:uid="{AB6C8E4F-88C2-4EFB-BDED-096E637CF16F}"/>
    <cellStyle name="Migliaia 23 6 3 3" xfId="37741" xr:uid="{B3BC8C4C-89D7-4D1D-B969-BD4BCDCEAB61}"/>
    <cellStyle name="Migliaia 23 6 3 4" xfId="43043" xr:uid="{3B20445B-2B8B-49AC-AD8C-8F5C99F2C395}"/>
    <cellStyle name="Migliaia 23 6 3 5" xfId="9674" xr:uid="{62E95FEF-EFC2-45CB-BD92-06DA0DAB2AA8}"/>
    <cellStyle name="Migliaia 23 6 4" xfId="20155" xr:uid="{C41B4A6B-ADF3-4CED-BE59-E6F69E48D760}"/>
    <cellStyle name="Migliaia 23 6 4 2" xfId="38929" xr:uid="{B839E9F2-8C05-4F8F-9B01-0F038025CB75}"/>
    <cellStyle name="Migliaia 23 6 4 3" xfId="44231" xr:uid="{0953429D-23F2-435E-8E2E-B9605F2B2DAA}"/>
    <cellStyle name="Migliaia 23 6 4 4" xfId="33489" xr:uid="{F4A900F3-20FB-4ED6-8892-DF189C6052C8}"/>
    <cellStyle name="Migliaia 23 6 5" xfId="36408" xr:uid="{755FE988-B689-47E6-A70F-60A46ED76F79}"/>
    <cellStyle name="Migliaia 23 6 6" xfId="41580" xr:uid="{782E7A3D-668D-4430-8C0F-1B65C19DDFD8}"/>
    <cellStyle name="Migliaia 23 6 7" xfId="16247" xr:uid="{6CB350E5-26EF-4DDE-911A-5330F15CCD8C}"/>
    <cellStyle name="Migliaia 23 6 8" xfId="7380" xr:uid="{2708C824-DF99-4D22-A983-1A82DCE8C393}"/>
    <cellStyle name="Migliaia 23 7" xfId="3358" xr:uid="{F8C53622-E09F-4C33-A5EC-0BCC1861F78F}"/>
    <cellStyle name="Migliaia 23 7 2" xfId="5084" xr:uid="{0D08A2AB-E076-4937-8C4E-AB6A6BC7F666}"/>
    <cellStyle name="Migliaia 23 7 2 2" xfId="35233" xr:uid="{F73ACDBC-8427-475A-AD4E-985905ED2E08}"/>
    <cellStyle name="Migliaia 23 7 2 2 2" xfId="40393" xr:uid="{22A90F8E-0999-4225-9CB4-85BE417EA0FC}"/>
    <cellStyle name="Migliaia 23 7 2 2 3" xfId="45695" xr:uid="{F0E19E3A-1C6F-4A2C-94F5-BC36AD8B2982}"/>
    <cellStyle name="Migliaia 23 7 2 3" xfId="37742" xr:uid="{E2117C41-A3FC-4C6A-9044-C23555B12C15}"/>
    <cellStyle name="Migliaia 23 7 2 4" xfId="43044" xr:uid="{C6B17B93-0FC6-47A5-BEAB-9D43AB9BE719}"/>
    <cellStyle name="Migliaia 23 7 2 5" xfId="14224" xr:uid="{665961DB-9757-426B-A9A5-7334887BA250}"/>
    <cellStyle name="Migliaia 23 7 3" xfId="6292" xr:uid="{FA55DAB8-B3C4-430A-BA7D-85747A204216}"/>
    <cellStyle name="Migliaia 23 7 3 2" xfId="38930" xr:uid="{0153AD19-B29A-4050-AE40-898350C18F62}"/>
    <cellStyle name="Migliaia 23 7 3 3" xfId="44232" xr:uid="{225F4A90-0590-4AF3-B016-151F4AD57F88}"/>
    <cellStyle name="Migliaia 23 7 3 4" xfId="33490" xr:uid="{245CC0F4-953D-48D3-B174-F63E7EB1C00D}"/>
    <cellStyle name="Migliaia 23 7 3 5" xfId="20157" xr:uid="{D998BF1A-CDDB-4D0B-8EF3-4806D278CB95}"/>
    <cellStyle name="Migliaia 23 7 4" xfId="36409" xr:uid="{A8969DAC-0AC9-45F7-BF2C-3F02431A8EE4}"/>
    <cellStyle name="Migliaia 23 7 5" xfId="41581" xr:uid="{88D84FF6-0653-4AA9-897E-2F8A3E68C58F}"/>
    <cellStyle name="Migliaia 23 7 6" xfId="16249" xr:uid="{D396DECE-B03D-4FDF-A367-92AF29172BF3}"/>
    <cellStyle name="Migliaia 23 7 7" xfId="8286" xr:uid="{B77695A5-C96D-48D1-B594-D7F0D96C4241}"/>
    <cellStyle name="Migliaia 23 8" xfId="3359" xr:uid="{DE1DED74-167C-4376-AF42-E09C5DD16271}"/>
    <cellStyle name="Migliaia 23 8 2" xfId="5085" xr:uid="{A78563D9-45B1-4773-8F92-1C21CB322B20}"/>
    <cellStyle name="Migliaia 23 8 2 2" xfId="35234" xr:uid="{08D624A0-3437-4AD1-9E60-058252EC3D80}"/>
    <cellStyle name="Migliaia 23 8 2 2 2" xfId="40394" xr:uid="{F74364A9-E538-407C-908C-16759BDB4EFB}"/>
    <cellStyle name="Migliaia 23 8 2 2 3" xfId="45696" xr:uid="{15828F6C-E2B9-4A7D-8672-7A691E233D12}"/>
    <cellStyle name="Migliaia 23 8 2 3" xfId="37743" xr:uid="{7D150E8A-D59A-4946-A31E-317A96958866}"/>
    <cellStyle name="Migliaia 23 8 2 4" xfId="43045" xr:uid="{A1923263-329D-4342-9554-0BDD875615A9}"/>
    <cellStyle name="Migliaia 23 8 2 5" xfId="13929" xr:uid="{E2AB1D06-171D-423C-813D-0D697538E524}"/>
    <cellStyle name="Migliaia 23 8 3" xfId="6293" xr:uid="{8B487B41-6B61-4E93-9245-109C672348E3}"/>
    <cellStyle name="Migliaia 23 8 3 2" xfId="38931" xr:uid="{0B59FA1F-4B48-434B-8E64-26DD9137EE5A}"/>
    <cellStyle name="Migliaia 23 8 3 3" xfId="44233" xr:uid="{EBC21A7D-8306-4BEF-9DF6-69253A007F2F}"/>
    <cellStyle name="Migliaia 23 8 3 4" xfId="33491" xr:uid="{FECB6C98-E8E1-428D-A50A-D101F5B85890}"/>
    <cellStyle name="Migliaia 23 8 3 5" xfId="20158" xr:uid="{03C128AB-A2F6-4A25-B9B8-90A4F0DEC285}"/>
    <cellStyle name="Migliaia 23 8 4" xfId="36410" xr:uid="{2F2A2A7B-D821-410D-A306-33AFD99D5554}"/>
    <cellStyle name="Migliaia 23 8 5" xfId="41582" xr:uid="{3820949C-992F-4002-8C96-A1FF4D5C50E5}"/>
    <cellStyle name="Migliaia 23 8 6" xfId="16250" xr:uid="{E134AE8C-3CB3-43FD-9402-D3CA9EDC0D86}"/>
    <cellStyle name="Migliaia 23 8 7" xfId="7882" xr:uid="{D31ECE9B-5228-416A-B49F-AA15B3AFCCDE}"/>
    <cellStyle name="Migliaia 23 9" xfId="5070" xr:uid="{D83F71BE-7ED3-4194-AACA-6328BEEB6A9C}"/>
    <cellStyle name="Migliaia 23 9 2" xfId="33492" xr:uid="{31059A72-C6EC-4948-969E-6EC49AA9E83D}"/>
    <cellStyle name="Migliaia 23 9 2 2" xfId="38932" xr:uid="{71E51032-150B-4C32-B949-189DA2B0EB49}"/>
    <cellStyle name="Migliaia 23 9 2 3" xfId="44234" xr:uid="{89D3ED25-1D35-4C34-A58D-27101711F92B}"/>
    <cellStyle name="Migliaia 23 9 3" xfId="36411" xr:uid="{93686BE3-14FD-4A8B-9EE2-A1E8C89C800F}"/>
    <cellStyle name="Migliaia 23 9 4" xfId="41583" xr:uid="{35883EAD-B2DE-4E04-A68B-18C8E07B178F}"/>
    <cellStyle name="Migliaia 23 9 5" xfId="17165" xr:uid="{751092B1-4818-435C-B51D-2E5AD95CA486}"/>
    <cellStyle name="Migliaia 24" xfId="365" xr:uid="{00000000-0005-0000-0000-00004F030000}"/>
    <cellStyle name="Migliaia 24 10" xfId="6294" xr:uid="{804172B7-7DA0-4511-8B35-64DE385C4D32}"/>
    <cellStyle name="Migliaia 24 10 2" xfId="38933" xr:uid="{C07EBB81-439F-43F8-833C-33591591B42B}"/>
    <cellStyle name="Migliaia 24 10 3" xfId="44235" xr:uid="{1E1A1CBC-226E-407F-BE2C-41A244051598}"/>
    <cellStyle name="Migliaia 24 10 4" xfId="33493" xr:uid="{BAA50BB9-63E8-46E7-BC95-C2AA69ED9F7E}"/>
    <cellStyle name="Migliaia 24 10 5" xfId="20159" xr:uid="{C1C97AA9-CA0A-4548-8255-3E714DE23E44}"/>
    <cellStyle name="Migliaia 24 11" xfId="3360" xr:uid="{6300AF5C-E8B2-41E5-AE04-F58A29367E02}"/>
    <cellStyle name="Migliaia 24 11 2" xfId="36412" xr:uid="{132BEC8D-B454-4800-9AC8-102F0ECB6040}"/>
    <cellStyle name="Migliaia 24 12" xfId="41584" xr:uid="{0A921E70-F539-4F36-AD5E-9FB232266BB2}"/>
    <cellStyle name="Migliaia 24 13" xfId="7090" xr:uid="{48D3051A-B32E-4414-A54C-266046FEBD4A}"/>
    <cellStyle name="Migliaia 24 2" xfId="366" xr:uid="{00000000-0005-0000-0000-000050030000}"/>
    <cellStyle name="Migliaia 24 2 2" xfId="1736" xr:uid="{00000000-0005-0000-0000-000051030000}"/>
    <cellStyle name="Migliaia 24 2 2 2" xfId="5088" xr:uid="{8CA8A00D-DCD1-4392-BCF9-E999551FEA80}"/>
    <cellStyle name="Migliaia 24 2 2 2 2" xfId="14379" xr:uid="{89DC1057-5541-40AA-A35B-E893E68430C2}"/>
    <cellStyle name="Migliaia 24 2 2 2 2 2" xfId="38934" xr:uid="{62AF1562-5951-400B-B860-9E5631C91FFB}"/>
    <cellStyle name="Migliaia 24 2 2 2 2 3" xfId="44236" xr:uid="{13A54176-4FC1-4B33-AF0C-B7F1FBFA87BD}"/>
    <cellStyle name="Migliaia 24 2 2 2 3" xfId="18410" xr:uid="{591F406B-5B41-436B-AEC4-1DA18FB1CCDA}"/>
    <cellStyle name="Migliaia 24 2 2 2 4" xfId="20162" xr:uid="{AA21A63A-B7EA-4AAC-98A2-5D5494EC6969}"/>
    <cellStyle name="Migliaia 24 2 2 2 4 2" xfId="41585" xr:uid="{4687BF42-6BF3-4147-BCA9-B266E89D2885}"/>
    <cellStyle name="Migliaia 24 2 2 2 5" xfId="16251" xr:uid="{98489AA4-DB16-404F-88A6-90C5003E1A63}"/>
    <cellStyle name="Migliaia 24 2 2 2 6" xfId="8577" xr:uid="{BAA01424-45D8-4AEC-80D5-EBF004862034}"/>
    <cellStyle name="Migliaia 24 2 2 3" xfId="6296" xr:uid="{16D2A3D6-30A6-48E1-A62A-05166B03D3D5}"/>
    <cellStyle name="Migliaia 24 2 2 3 2" xfId="35235" xr:uid="{1B3383F1-478D-47F3-80FC-5534418C3A69}"/>
    <cellStyle name="Migliaia 24 2 2 3 2 2" xfId="40395" xr:uid="{BE245422-2393-4ED4-AF28-03D55060DA5C}"/>
    <cellStyle name="Migliaia 24 2 2 3 2 3" xfId="45697" xr:uid="{ADC584CE-62C6-45AD-8F2B-913709BD9484}"/>
    <cellStyle name="Migliaia 24 2 2 3 3" xfId="37744" xr:uid="{8A772720-35B4-4527-A611-B50BE5B41F87}"/>
    <cellStyle name="Migliaia 24 2 2 3 4" xfId="43046" xr:uid="{437266A1-0B92-47FE-8DDA-2A733D345AFB}"/>
    <cellStyle name="Migliaia 24 2 2 3 5" xfId="11606" xr:uid="{CB6BEC60-1A47-4400-93E6-C476CE26FDF6}"/>
    <cellStyle name="Migliaia 24 2 2 4" xfId="3362" xr:uid="{DA8B609C-D394-4CEC-A1A6-CA9EFD0E6BB4}"/>
    <cellStyle name="Migliaia 24 2 2 4 2" xfId="21448" xr:uid="{B613A379-A1F5-445B-90AB-2E8212E6B205}"/>
    <cellStyle name="Migliaia 24 2 2 4 3" xfId="37524" xr:uid="{DA816861-5B91-4856-97F6-70586D0326C7}"/>
    <cellStyle name="Migliaia 24 2 2 4 4" xfId="50463" xr:uid="{D7BBC778-985C-4EA5-A9BC-FEF7F0A7012B}"/>
    <cellStyle name="Migliaia 24 2 2 4 5" xfId="53479" xr:uid="{5B8AC1F4-272F-4BB6-8147-E46647DA63FF}"/>
    <cellStyle name="Migliaia 24 2 2 4 6" xfId="10813" xr:uid="{AEF29D5B-917E-4BEE-9AC1-157A077CC581}"/>
    <cellStyle name="Migliaia 24 2 2 5" xfId="20161" xr:uid="{786B930B-5F33-498A-B90A-24D8BC0581A4}"/>
    <cellStyle name="Migliaia 24 2 2 6" xfId="24555" xr:uid="{B77D0BC2-0594-4B8C-8BD9-B94E57DA985D}"/>
    <cellStyle name="Migliaia 24 2 2 7" xfId="7387" xr:uid="{653F9000-0486-483E-8558-5F29895B6C74}"/>
    <cellStyle name="Migliaia 24 2 3" xfId="3363" xr:uid="{00DDCB34-F2D0-4679-94BD-AD5A17FE11AB}"/>
    <cellStyle name="Migliaia 24 2 3 2" xfId="5089" xr:uid="{D7E05CD6-1A5E-4135-9BC3-F5D310774F39}"/>
    <cellStyle name="Migliaia 24 2 3 2 2" xfId="35236" xr:uid="{E8DDA9F0-E291-47C1-BBF9-AF8C471A138D}"/>
    <cellStyle name="Migliaia 24 2 3 2 2 2" xfId="40396" xr:uid="{878E958D-3D87-4723-8B26-55FC5D940B31}"/>
    <cellStyle name="Migliaia 24 2 3 2 2 3" xfId="45698" xr:uid="{D59CC6B1-F167-4DC6-8505-6AA0162BA2BB}"/>
    <cellStyle name="Migliaia 24 2 3 2 3" xfId="37745" xr:uid="{3DEBA8F8-8791-41BA-AFAA-F5C1D246BE9C}"/>
    <cellStyle name="Migliaia 24 2 3 2 4" xfId="43047" xr:uid="{34987C71-E7D7-44C6-A713-BB6E39D8B356}"/>
    <cellStyle name="Migliaia 24 2 3 2 5" xfId="14228" xr:uid="{4BB698CC-22AB-4384-B72A-C17E19611336}"/>
    <cellStyle name="Migliaia 24 2 3 3" xfId="6297" xr:uid="{BD56904A-EFA2-411B-B801-EA9B4310EC20}"/>
    <cellStyle name="Migliaia 24 2 3 3 2" xfId="38935" xr:uid="{959D3AE4-41A5-4DD4-BA56-3A31056B597F}"/>
    <cellStyle name="Migliaia 24 2 3 3 3" xfId="44237" xr:uid="{CC8BB397-D0DF-4A63-8E43-D83547E74EA3}"/>
    <cellStyle name="Migliaia 24 2 3 3 4" xfId="33494" xr:uid="{ABD43C33-8802-48E2-AD93-B5E627967180}"/>
    <cellStyle name="Migliaia 24 2 3 3 5" xfId="20163" xr:uid="{B417CA49-1E60-4B24-85A2-23BE2B1ED4C5}"/>
    <cellStyle name="Migliaia 24 2 3 4" xfId="36413" xr:uid="{4D013083-E12C-4851-A6B6-046D247DB698}"/>
    <cellStyle name="Migliaia 24 2 3 5" xfId="41586" xr:uid="{A488F537-3C7E-4CD7-B874-13E5A9136F81}"/>
    <cellStyle name="Migliaia 24 2 3 6" xfId="16252" xr:uid="{2D1C70FD-46B9-48AB-AB92-01E34FC4AA0A}"/>
    <cellStyle name="Migliaia 24 2 3 7" xfId="8290" xr:uid="{C47D5470-DD08-4398-A2AA-616FA6711BC3}"/>
    <cellStyle name="Migliaia 24 2 4" xfId="5087" xr:uid="{9E46BDC2-95E8-4E85-B623-F157160B3E50}"/>
    <cellStyle name="Migliaia 24 2 4 2" xfId="13933" xr:uid="{CE0C881B-6EBE-48D3-A85F-3FF0FA1817E3}"/>
    <cellStyle name="Migliaia 24 2 4 2 2" xfId="38936" xr:uid="{3593BE71-F381-4283-B43B-A0A700D28F82}"/>
    <cellStyle name="Migliaia 24 2 4 2 3" xfId="44238" xr:uid="{5913DEFE-FEB9-4AC3-A727-F983B9FB9FBA}"/>
    <cellStyle name="Migliaia 24 2 4 3" xfId="18618" xr:uid="{6BDAE04C-C3E3-4D23-9A7B-1E4255B0195D}"/>
    <cellStyle name="Migliaia 24 2 4 4" xfId="20164" xr:uid="{8F1D5F5E-5C06-4F10-9983-FEAAB445443D}"/>
    <cellStyle name="Migliaia 24 2 4 4 2" xfId="41587" xr:uid="{69828757-5910-4CD0-BB1B-83AB7482B38C}"/>
    <cellStyle name="Migliaia 24 2 4 5" xfId="16253" xr:uid="{7505667D-CFBF-45AC-8D39-758E77FD4545}"/>
    <cellStyle name="Migliaia 24 2 4 6" xfId="7887" xr:uid="{90437CF6-F9B5-4DC1-889B-9EE2E8F7175E}"/>
    <cellStyle name="Migliaia 24 2 5" xfId="6295" xr:uid="{5FEC5F60-CAF7-4022-AEC9-B1618A45CFFC}"/>
    <cellStyle name="Migliaia 24 2 5 2" xfId="33495" xr:uid="{2258244B-1298-4168-962F-6740DB4D4FA8}"/>
    <cellStyle name="Migliaia 24 2 5 2 2" xfId="38937" xr:uid="{E44BC480-A027-4BC4-B53D-B03D9EC3EC4A}"/>
    <cellStyle name="Migliaia 24 2 5 2 3" xfId="44239" xr:uid="{7FC051B1-971B-4DB2-8D2A-B94FD240041F}"/>
    <cellStyle name="Migliaia 24 2 5 3" xfId="36414" xr:uid="{C20EAAC3-A6CE-4F18-B599-21072C63D051}"/>
    <cellStyle name="Migliaia 24 2 5 4" xfId="41588" xr:uid="{62BBA7AE-A57F-4AF7-A2F9-7F218966D2C5}"/>
    <cellStyle name="Migliaia 24 2 5 5" xfId="13119" xr:uid="{C0857B33-3ED4-4DBB-8BE2-E3D6C268F462}"/>
    <cellStyle name="Migliaia 24 2 6" xfId="3361" xr:uid="{F813B574-F5C8-4103-9EF0-94D495765F4E}"/>
    <cellStyle name="Migliaia 24 2 6 2" xfId="33496" xr:uid="{C1F96C3B-C4D2-4119-8323-E10BB3D3F45C}"/>
    <cellStyle name="Migliaia 24 2 6 2 2" xfId="38938" xr:uid="{2D5104B6-A517-4CD0-A037-66939FE43E68}"/>
    <cellStyle name="Migliaia 24 2 6 2 3" xfId="44240" xr:uid="{F1ED8593-BBD9-433F-A262-B8C8152C9F7F}"/>
    <cellStyle name="Migliaia 24 2 6 3" xfId="36415" xr:uid="{571ADCFB-C11A-4C5F-8489-590FA6F3CDAE}"/>
    <cellStyle name="Migliaia 24 2 6 4" xfId="41589" xr:uid="{11C363F9-842B-4C46-8D95-C6CE495199FD}"/>
    <cellStyle name="Migliaia 24 2 6 5" xfId="24556" xr:uid="{E6C69DAB-4485-470E-87E0-68F16D9E222C}"/>
    <cellStyle name="Migliaia 24 2 6 6" xfId="20160" xr:uid="{D4720FF1-BD13-4ADD-BF6F-5F39256E2C07}"/>
    <cellStyle name="Migliaia 24 2 7" xfId="24554" xr:uid="{EF0958FE-E4F0-428C-90C0-2FBDEDAF0027}"/>
    <cellStyle name="Migliaia 24 2 8" xfId="7091" xr:uid="{E44B6167-F479-4832-B682-3C9541849F0B}"/>
    <cellStyle name="Migliaia 24 3" xfId="367" xr:uid="{00000000-0005-0000-0000-000052030000}"/>
    <cellStyle name="Migliaia 24 3 10" xfId="24557" xr:uid="{CA982F79-C575-4A13-94CC-7F526C149897}"/>
    <cellStyle name="Migliaia 24 3 11" xfId="16254" xr:uid="{9F67CA68-0AD7-4AF3-ABAE-62FCEC3C3664}"/>
    <cellStyle name="Migliaia 24 3 12" xfId="7092" xr:uid="{109E2E25-E6EF-4EFF-A4D3-D5728CD93592}"/>
    <cellStyle name="Migliaia 24 3 2" xfId="368" xr:uid="{00000000-0005-0000-0000-000053030000}"/>
    <cellStyle name="Migliaia 24 3 2 2" xfId="1737" xr:uid="{00000000-0005-0000-0000-000054030000}"/>
    <cellStyle name="Migliaia 24 3 2 2 2" xfId="5092" xr:uid="{5C547C73-7BAA-4DA2-A19E-A4C5582F48B2}"/>
    <cellStyle name="Migliaia 24 3 2 2 2 2" xfId="18411" xr:uid="{1543B144-DA31-4359-9132-4090FFDBA356}"/>
    <cellStyle name="Migliaia 24 3 2 2 2 2 2" xfId="21857" xr:uid="{61CDDB78-881F-4AE4-B75E-EEC260647FC5}"/>
    <cellStyle name="Migliaia 24 3 2 2 2 2 2 2" xfId="38939" xr:uid="{740553F8-E272-4884-B386-7C71C6798F78}"/>
    <cellStyle name="Migliaia 24 3 2 2 2 2 3" xfId="44241" xr:uid="{E080BAF5-9C30-4718-A5D6-98CDAE3BDF61}"/>
    <cellStyle name="Migliaia 24 3 2 2 2 2 4" xfId="33497" xr:uid="{E833FFCC-8CF7-47C2-9A25-216929BE862B}"/>
    <cellStyle name="Migliaia 24 3 2 2 2 3" xfId="36416" xr:uid="{ECD7AA6F-67D4-42E6-80A4-A95CC56E0A08}"/>
    <cellStyle name="Migliaia 24 3 2 2 2 4" xfId="41590" xr:uid="{29E94EE5-1F67-4FFB-9F4C-FC46B75EAB1E}"/>
    <cellStyle name="Migliaia 24 3 2 2 2 5" xfId="46301" xr:uid="{41DC48C5-9277-47D7-B109-54D26D623299}"/>
    <cellStyle name="Migliaia 24 3 2 2 2 6" xfId="50885" xr:uid="{DE7AB520-CD9C-4B07-98B5-502781E3DA08}"/>
    <cellStyle name="Migliaia 24 3 2 2 2 7" xfId="53901" xr:uid="{19FF5B37-B00D-4352-8EA2-E9DC5104CF1A}"/>
    <cellStyle name="Migliaia 24 3 2 2 2 8" xfId="17654" xr:uid="{584F528F-2E1F-40C0-9B95-DFE5E74550A4}"/>
    <cellStyle name="Migliaia 24 3 2 2 2 9" xfId="11951" xr:uid="{AC1849A7-3470-4EF0-990F-B7822B73D062}"/>
    <cellStyle name="Migliaia 24 3 2 2 3" xfId="6300" xr:uid="{39E957C0-725D-4A54-AB31-25C406BF948C}"/>
    <cellStyle name="Migliaia 24 3 2 2 3 2" xfId="11673" xr:uid="{2A3BEDDC-7A06-4EFB-9FE2-7B56FF62D362}"/>
    <cellStyle name="Migliaia 24 3 2 2 4" xfId="3366" xr:uid="{E1CB6B32-815A-43FE-8ED7-751AFC81F853}"/>
    <cellStyle name="Migliaia 24 3 2 2 4 2" xfId="21449" xr:uid="{1B90CC0D-34F0-4C0E-9192-5F13F02FD661}"/>
    <cellStyle name="Migliaia 24 3 2 2 4 3" xfId="47042" xr:uid="{E03AC752-5BB2-4898-98BF-3F12D513C98D}"/>
    <cellStyle name="Migliaia 24 3 2 2 4 4" xfId="50464" xr:uid="{E48B0457-90C2-45D5-9E30-37ED20812FBF}"/>
    <cellStyle name="Migliaia 24 3 2 2 4 5" xfId="53480" xr:uid="{0930FE1F-9C92-4964-AFEC-C68BC939777F}"/>
    <cellStyle name="Migliaia 24 3 2 2 4 6" xfId="10814" xr:uid="{1FA60B98-3C66-46C2-86F4-97EBFFDC5CBF}"/>
    <cellStyle name="Migliaia 24 3 2 2 5" xfId="20167" xr:uid="{18354F6C-B69A-4C47-A01E-2F7EB8EFF04B}"/>
    <cellStyle name="Migliaia 24 3 2 2 6" xfId="24559" xr:uid="{E6717D38-4BA5-49CE-88B6-A859247194B0}"/>
    <cellStyle name="Migliaia 24 3 2 2 7" xfId="8579" xr:uid="{34D7AAB7-55EE-4F6C-8230-21A484691895}"/>
    <cellStyle name="Migliaia 24 3 2 3" xfId="5091" xr:uid="{DC4CBF6D-6A15-4FA2-9061-022DC1269AFA}"/>
    <cellStyle name="Migliaia 24 3 2 3 2" xfId="12416" xr:uid="{2E49C118-F8F5-4F12-9C10-691C101A9AA0}"/>
    <cellStyle name="Migliaia 24 3 2 3 2 2" xfId="38940" xr:uid="{6B9942F7-65F9-4C62-B70A-9C087304A82B}"/>
    <cellStyle name="Migliaia 24 3 2 3 2 3" xfId="44242" xr:uid="{2EDFD88F-031D-4A16-9361-CDB34C9318C0}"/>
    <cellStyle name="Migliaia 24 3 2 3 2 4" xfId="33498" xr:uid="{D3DD24EE-AD70-4FB7-8D6C-45F78E8D57C0}"/>
    <cellStyle name="Migliaia 24 3 2 3 3" xfId="11952" xr:uid="{D638A02C-38E7-42E0-889F-FA613AE3A092}"/>
    <cellStyle name="Migliaia 24 3 2 3 4" xfId="20168" xr:uid="{2EF1AC21-0E67-4DC1-B62D-5A1EAFBA9E1B}"/>
    <cellStyle name="Migliaia 24 3 2 3 4 2" xfId="41591" xr:uid="{2F1FFA8D-26DB-4972-90F9-D92000A6DED8}"/>
    <cellStyle name="Migliaia 24 3 2 3 5" xfId="16255" xr:uid="{107C5E4F-4175-4AFA-9E56-93F906977FA5}"/>
    <cellStyle name="Migliaia 24 3 2 3 6" xfId="7889" xr:uid="{F901D794-2A44-4E1B-A092-A023C417E2E5}"/>
    <cellStyle name="Migliaia 24 3 2 4" xfId="6299" xr:uid="{91BF71F5-CBAF-432F-98C9-08118ABE273D}"/>
    <cellStyle name="Migliaia 24 3 2 4 2" xfId="18073" xr:uid="{70D56CA2-BDF4-488E-823E-09A19C002502}"/>
    <cellStyle name="Migliaia 24 3 2 4 2 2" xfId="38941" xr:uid="{1C7CBD9E-A775-488E-B602-8C879200B8A1}"/>
    <cellStyle name="Migliaia 24 3 2 4 2 3" xfId="44243" xr:uid="{FE55F5E2-27B4-4C86-B4C7-91BB3E73B67D}"/>
    <cellStyle name="Migliaia 24 3 2 4 3" xfId="36417" xr:uid="{964D1323-DBE5-43C2-B765-FBA4C8A71FFB}"/>
    <cellStyle name="Migliaia 24 3 2 4 4" xfId="41592" xr:uid="{7BE12F8D-CC87-47AE-9CF5-F37A0D3C5DD3}"/>
    <cellStyle name="Migliaia 24 3 2 4 5" xfId="17168" xr:uid="{DFEA36B4-09FA-4965-BE02-6564E11760CB}"/>
    <cellStyle name="Migliaia 24 3 2 4 6" xfId="11300" xr:uid="{A5DBC939-339D-4CE4-BA13-A2820C927918}"/>
    <cellStyle name="Migliaia 24 3 2 5" xfId="3365" xr:uid="{EB69BF82-0E63-44EA-9762-FE189CE16B02}"/>
    <cellStyle name="Migliaia 24 3 2 5 2" xfId="33499" xr:uid="{CCB168BF-A0F8-43D1-B5DD-A46CAD232E07}"/>
    <cellStyle name="Migliaia 24 3 2 5 2 2" xfId="38942" xr:uid="{4771A827-D886-4637-91A8-5691468B9BEC}"/>
    <cellStyle name="Migliaia 24 3 2 5 2 3" xfId="44244" xr:uid="{60FAF889-6E4D-47DB-B5DF-E787F20D92B0}"/>
    <cellStyle name="Migliaia 24 3 2 5 3" xfId="36418" xr:uid="{C8C86FAC-945A-4DFB-BFCE-E66300DFFEE7}"/>
    <cellStyle name="Migliaia 24 3 2 5 4" xfId="41593" xr:uid="{02A38238-803D-4DED-A580-D9CC0B33B8B5}"/>
    <cellStyle name="Migliaia 24 3 2 5 5" xfId="17378" xr:uid="{7FBF97E0-3D9C-4FE9-91B8-5E992A7CF5AA}"/>
    <cellStyle name="Migliaia 24 3 2 6" xfId="20166" xr:uid="{06FD4F81-5FA0-4347-A62D-4E4DCF56A6BD}"/>
    <cellStyle name="Migliaia 24 3 2 6 2" xfId="33500" xr:uid="{3809AD6C-8158-46CB-A3EE-B9A8499E55CE}"/>
    <cellStyle name="Migliaia 24 3 2 6 2 2" xfId="38943" xr:uid="{DE8E8CF6-4831-49BD-909E-519550ADF5F0}"/>
    <cellStyle name="Migliaia 24 3 2 6 2 3" xfId="44245" xr:uid="{CCAE0301-7417-41A1-AF67-8487C61E20F6}"/>
    <cellStyle name="Migliaia 24 3 2 6 3" xfId="36419" xr:uid="{8999FF5E-7224-4777-812C-B18987E6EEC1}"/>
    <cellStyle name="Migliaia 24 3 2 6 4" xfId="41594" xr:uid="{E62E0C56-E968-4C0F-8143-2B70B47A850E}"/>
    <cellStyle name="Migliaia 24 3 2 6 5" xfId="24560" xr:uid="{C69F17F4-DF0E-4949-8162-2E49E5C57A1C}"/>
    <cellStyle name="Migliaia 24 3 2 7" xfId="24558" xr:uid="{6578B36B-EA03-405E-A5F8-857ECC842E58}"/>
    <cellStyle name="Migliaia 24 3 2 8" xfId="7389" xr:uid="{7A919875-4DC7-464E-9683-57E18C522109}"/>
    <cellStyle name="Migliaia 24 3 3" xfId="3367" xr:uid="{5080D7CB-DC55-42CD-891C-084F41F6BAB7}"/>
    <cellStyle name="Migliaia 24 3 3 10" xfId="7388" xr:uid="{39FC4D7F-571A-4700-BC85-4D2266FAAFBD}"/>
    <cellStyle name="Migliaia 24 3 3 2" xfId="5093" xr:uid="{DBBDB7FF-D1EC-4EF9-A1A2-F754098ABDB3}"/>
    <cellStyle name="Migliaia 24 3 3 2 2" xfId="9914" xr:uid="{BF582176-05D3-4EE9-ACCB-D12978124382}"/>
    <cellStyle name="Migliaia 24 3 3 2 2 2" xfId="38945" xr:uid="{7485B303-3124-4E3F-930F-8D50D1ACB0D1}"/>
    <cellStyle name="Migliaia 24 3 3 2 2 3" xfId="44247" xr:uid="{C478E30B-6836-42C9-9854-2145C34DEA06}"/>
    <cellStyle name="Migliaia 24 3 3 2 3" xfId="18194" xr:uid="{3B70E422-CF9C-474F-838A-E96786189CDF}"/>
    <cellStyle name="Migliaia 24 3 3 2 4" xfId="20170" xr:uid="{5936ECF2-CFE4-4D40-A146-A6395DF8995D}"/>
    <cellStyle name="Migliaia 24 3 3 2 4 2" xfId="41596" xr:uid="{F7CD7989-7F73-4963-863D-4CB3757B1268}"/>
    <cellStyle name="Migliaia 24 3 3 2 5" xfId="16257" xr:uid="{D72181E3-23DC-460C-962C-2A4C5308816D}"/>
    <cellStyle name="Migliaia 24 3 3 2 6" xfId="8578" xr:uid="{8E8C4ADC-8076-4B9E-9957-1A9A1E957685}"/>
    <cellStyle name="Migliaia 24 3 3 3" xfId="6301" xr:uid="{00E34DDA-B235-4423-9A24-4649321A08B5}"/>
    <cellStyle name="Migliaia 24 3 3 3 2" xfId="33502" xr:uid="{53CE48B7-1F95-4006-9416-7C8C10785450}"/>
    <cellStyle name="Migliaia 24 3 3 3 2 2" xfId="38946" xr:uid="{F1797AC4-4706-4570-A449-0CED8488F1DE}"/>
    <cellStyle name="Migliaia 24 3 3 3 2 3" xfId="44248" xr:uid="{13DB31C7-EE6A-4A6C-9B3C-0D6ACDC3EDE1}"/>
    <cellStyle name="Migliaia 24 3 3 3 3" xfId="36421" xr:uid="{CF928FBE-132F-4822-AEC1-562AFCC6BD70}"/>
    <cellStyle name="Migliaia 24 3 3 3 4" xfId="41597" xr:uid="{5E2B2230-AB83-40B3-A9CC-E429BF2A98D4}"/>
    <cellStyle name="Migliaia 24 3 3 3 5" xfId="9677" xr:uid="{DF244F4A-EBC1-4BBA-A57E-F6AED0E5B997}"/>
    <cellStyle name="Migliaia 24 3 3 4" xfId="20169" xr:uid="{150FF41C-3908-4A5B-95A7-B92860FDBD0B}"/>
    <cellStyle name="Migliaia 24 3 3 4 2" xfId="33503" xr:uid="{42E0E349-B045-4998-87BB-BE61E88508CA}"/>
    <cellStyle name="Migliaia 24 3 3 4 2 2" xfId="38947" xr:uid="{D29104BB-4CA0-48FA-85E8-C523C4DB2E2A}"/>
    <cellStyle name="Migliaia 24 3 3 4 2 3" xfId="44249" xr:uid="{FDE12FF4-B2F4-44F6-BD96-07ECB1CB0C08}"/>
    <cellStyle name="Migliaia 24 3 3 4 3" xfId="36422" xr:uid="{831A5647-C72A-47F1-BE1E-3739E4C956A3}"/>
    <cellStyle name="Migliaia 24 3 3 4 4" xfId="41598" xr:uid="{EAADE0D6-AB62-46B2-A00F-9F59D0DABFA4}"/>
    <cellStyle name="Migliaia 24 3 3 4 5" xfId="24561" xr:uid="{B64D0C84-03F5-433B-9B3F-EA02088E3EEB}"/>
    <cellStyle name="Migliaia 24 3 3 5" xfId="24562" xr:uid="{6EF9A295-7976-470D-A754-005CAB44D023}"/>
    <cellStyle name="Migliaia 24 3 3 5 2" xfId="33504" xr:uid="{54F3E16B-0AEB-49E4-B091-9C09EDB3206F}"/>
    <cellStyle name="Migliaia 24 3 3 5 2 2" xfId="38948" xr:uid="{7C72640D-AB65-47E8-9EA8-BAAFEDE438BD}"/>
    <cellStyle name="Migliaia 24 3 3 5 2 3" xfId="44250" xr:uid="{9798D2B8-4B29-419A-BC57-BB4F1A4C928D}"/>
    <cellStyle name="Migliaia 24 3 3 5 3" xfId="36423" xr:uid="{DFE4C316-F58D-49E8-A6EE-96FA1E62006E}"/>
    <cellStyle name="Migliaia 24 3 3 5 4" xfId="41599" xr:uid="{AED7C61C-9801-45DB-8F2D-42CDBEB10120}"/>
    <cellStyle name="Migliaia 24 3 3 6" xfId="33501" xr:uid="{EC267B39-F1AB-4E86-8341-E187D8013908}"/>
    <cellStyle name="Migliaia 24 3 3 6 2" xfId="38944" xr:uid="{E771CB15-6EDB-4950-8F52-B64F6CA289C0}"/>
    <cellStyle name="Migliaia 24 3 3 6 3" xfId="44246" xr:uid="{6F0F5E30-AFB7-4F56-A608-EC7C56EFE0D2}"/>
    <cellStyle name="Migliaia 24 3 3 7" xfId="36420" xr:uid="{3FAF5335-0ED1-439F-832C-132DC19CD105}"/>
    <cellStyle name="Migliaia 24 3 3 8" xfId="41595" xr:uid="{60E16F33-8CC5-488D-B0EF-CAA1F6751438}"/>
    <cellStyle name="Migliaia 24 3 3 9" xfId="16256" xr:uid="{460B7D96-D34C-46A7-9442-1438E3B6F96C}"/>
    <cellStyle name="Migliaia 24 3 4" xfId="3368" xr:uid="{69FA4E9E-9F66-40BB-8029-2AD9978FA728}"/>
    <cellStyle name="Migliaia 24 3 4 2" xfId="5094" xr:uid="{CAFC1F73-75AF-43D3-9E2A-B9D87C9C499F}"/>
    <cellStyle name="Migliaia 24 3 4 2 2" xfId="14439" xr:uid="{19ADDE76-9141-4F5E-AA30-0541A7EF977F}"/>
    <cellStyle name="Migliaia 24 3 4 2 3" xfId="18588" xr:uid="{B3445049-3F1F-450B-A52F-C85D0EDC2F5D}"/>
    <cellStyle name="Migliaia 24 3 4 2 4" xfId="20172" xr:uid="{68368BEE-4A13-4F46-9584-4449115F099B}"/>
    <cellStyle name="Migliaia 24 3 4 2 5" xfId="32347" xr:uid="{21BA9152-1DAD-4D2B-9002-CB58A5F09AEE}"/>
    <cellStyle name="Migliaia 24 3 4 2 6" xfId="16259" xr:uid="{1C3C4FFF-0001-4DEA-96F9-31C0FF7D62ED}"/>
    <cellStyle name="Migliaia 24 3 4 2 7" xfId="8862" xr:uid="{FAAC6ABB-92D4-441D-8EF5-DC1C2AFF34DE}"/>
    <cellStyle name="Migliaia 24 3 4 3" xfId="6302" xr:uid="{E809EBA2-44D0-4602-8451-F732832BCCF7}"/>
    <cellStyle name="Migliaia 24 3 4 3 2" xfId="35237" xr:uid="{D9994005-BD5D-4B5D-98FB-89985C7C2801}"/>
    <cellStyle name="Migliaia 24 3 4 3 2 2" xfId="40397" xr:uid="{FB0162B9-2EF5-45AD-B9FE-EE94293067CF}"/>
    <cellStyle name="Migliaia 24 3 4 3 2 3" xfId="45699" xr:uid="{091D3CF0-7154-42ED-AD43-50212BEFF526}"/>
    <cellStyle name="Migliaia 24 3 4 3 3" xfId="37746" xr:uid="{7776A0F3-589C-4C8B-9F94-EFC1941640C3}"/>
    <cellStyle name="Migliaia 24 3 4 3 4" xfId="43048" xr:uid="{289257AC-9B29-4ED8-AB64-4FB6B350B7A9}"/>
    <cellStyle name="Migliaia 24 3 4 3 5" xfId="13687" xr:uid="{23FBE108-AE64-4892-85F1-6402E2562495}"/>
    <cellStyle name="Migliaia 24 3 4 4" xfId="20171" xr:uid="{F49952E5-8222-4E15-AD04-740AB50B9A97}"/>
    <cellStyle name="Migliaia 24 3 4 4 2" xfId="38949" xr:uid="{8A865408-A53A-4979-8432-ADEB018DC3A7}"/>
    <cellStyle name="Migliaia 24 3 4 4 3" xfId="44251" xr:uid="{2BB4A405-8A1B-4ECE-8ABE-37557280F0A7}"/>
    <cellStyle name="Migliaia 24 3 4 4 4" xfId="33505" xr:uid="{994E23A8-3127-4A35-899E-BC53312F0F6F}"/>
    <cellStyle name="Migliaia 24 3 4 5" xfId="36424" xr:uid="{FD0BC3FE-6FFA-400D-9321-CCFDC3AA3D9C}"/>
    <cellStyle name="Migliaia 24 3 4 6" xfId="41600" xr:uid="{B576F88C-F960-445C-B608-1F0BB9DF82B5}"/>
    <cellStyle name="Migliaia 24 3 4 7" xfId="16258" xr:uid="{D4D9F791-AC12-4116-BC7F-16641ECF8A78}"/>
    <cellStyle name="Migliaia 24 3 4 8" xfId="7672" xr:uid="{C1EB15C3-2806-45E8-AA2E-172186BF7D10}"/>
    <cellStyle name="Migliaia 24 3 5" xfId="3369" xr:uid="{F362443F-12C6-4175-BB5F-46439D7850E8}"/>
    <cellStyle name="Migliaia 24 3 5 2" xfId="5095" xr:uid="{02CE5BEC-58E4-4B6B-BD08-2DBB87C18838}"/>
    <cellStyle name="Migliaia 24 3 5 2 2" xfId="35238" xr:uid="{483C1295-FACE-44CE-A942-42DF4901C18B}"/>
    <cellStyle name="Migliaia 24 3 5 2 2 2" xfId="40398" xr:uid="{BF3C3723-2C29-4BD1-AB68-5FC697BD1D81}"/>
    <cellStyle name="Migliaia 24 3 5 2 2 3" xfId="45700" xr:uid="{14D70866-7A7C-4A18-8A64-720A8D6CD261}"/>
    <cellStyle name="Migliaia 24 3 5 2 3" xfId="37747" xr:uid="{6C4A28A8-F820-4FCE-A4D6-68FB6CD7916F}"/>
    <cellStyle name="Migliaia 24 3 5 2 4" xfId="43049" xr:uid="{E64C7CFB-F76F-4BEF-A917-FA71B9634AAC}"/>
    <cellStyle name="Migliaia 24 3 5 2 5" xfId="14229" xr:uid="{8D27ED0C-F8B7-4220-BD08-063837623240}"/>
    <cellStyle name="Migliaia 24 3 5 3" xfId="6303" xr:uid="{5397E758-4CEE-4BD1-95D4-A750A6A0BB99}"/>
    <cellStyle name="Migliaia 24 3 5 3 2" xfId="38950" xr:uid="{0DF4FCAE-469E-4BF8-B553-F8D1A94FB804}"/>
    <cellStyle name="Migliaia 24 3 5 3 3" xfId="44252" xr:uid="{2DDF9C8A-4AB9-4D76-8032-EE6768C18BFB}"/>
    <cellStyle name="Migliaia 24 3 5 3 4" xfId="33506" xr:uid="{3E052C36-3FDC-4090-8243-417299AF4B07}"/>
    <cellStyle name="Migliaia 24 3 5 3 5" xfId="20173" xr:uid="{52CFD061-502C-42F2-859C-563285CEDB54}"/>
    <cellStyle name="Migliaia 24 3 5 4" xfId="36425" xr:uid="{683144DA-9034-4D54-9FE7-0D029312531F}"/>
    <cellStyle name="Migliaia 24 3 5 5" xfId="41601" xr:uid="{0C6E5B66-6827-4C95-88F6-16E61F67C573}"/>
    <cellStyle name="Migliaia 24 3 5 6" xfId="16260" xr:uid="{5FDB352B-299E-4123-ABC4-FFB51EFFCB6E}"/>
    <cellStyle name="Migliaia 24 3 5 7" xfId="8291" xr:uid="{7E0739F3-651F-40A4-8B32-E161A85A96F9}"/>
    <cellStyle name="Migliaia 24 3 6" xfId="5090" xr:uid="{A45AD157-4B1F-469F-84CE-1FFF66ABE1DF}"/>
    <cellStyle name="Migliaia 24 3 6 2" xfId="13934" xr:uid="{E16FD8F7-CF47-412A-AA6F-0D81E51F87FD}"/>
    <cellStyle name="Migliaia 24 3 6 2 2" xfId="38951" xr:uid="{25761ECB-95B2-4FD2-B2AE-475CA7A41FE9}"/>
    <cellStyle name="Migliaia 24 3 6 2 3" xfId="44253" xr:uid="{281B7FCF-6FCE-4DED-BAA5-FBAE1273E642}"/>
    <cellStyle name="Migliaia 24 3 6 3" xfId="18017" xr:uid="{D694BF3C-5C75-4973-8629-D95777527E63}"/>
    <cellStyle name="Migliaia 24 3 6 4" xfId="20174" xr:uid="{5315E724-E4DD-4F09-89BB-CB9C5203FE68}"/>
    <cellStyle name="Migliaia 24 3 6 4 2" xfId="41602" xr:uid="{C493499A-8810-424C-85AB-615A7499D601}"/>
    <cellStyle name="Migliaia 24 3 6 5" xfId="16261" xr:uid="{61D98CB6-117A-42CE-BC19-40EAF80B00E4}"/>
    <cellStyle name="Migliaia 24 3 6 6" xfId="7888" xr:uid="{FF9C2630-1580-4A9B-A106-1F8CAF119E4D}"/>
    <cellStyle name="Migliaia 24 3 7" xfId="6298" xr:uid="{75187E9A-83D9-4BAD-A87F-87DA361FED76}"/>
    <cellStyle name="Migliaia 24 3 7 2" xfId="33507" xr:uid="{EA9BA37A-9980-49F7-A9BA-7DDE8C9A84F7}"/>
    <cellStyle name="Migliaia 24 3 7 2 2" xfId="38952" xr:uid="{AA9EBAE5-BFF7-4C41-B7FA-BDBF3F22B10D}"/>
    <cellStyle name="Migliaia 24 3 7 2 3" xfId="44254" xr:uid="{6FFA0E89-67A3-4189-8720-3F80B3050D3D}"/>
    <cellStyle name="Migliaia 24 3 7 3" xfId="36426" xr:uid="{B70A4FA2-BCC3-4B89-BCBA-843F24211A79}"/>
    <cellStyle name="Migliaia 24 3 7 4" xfId="41603" xr:uid="{82C6A6E9-1B0B-466E-92AC-810995C9317F}"/>
    <cellStyle name="Migliaia 24 3 7 5" xfId="12280" xr:uid="{291BF857-8E07-4ABA-9581-06E60ABD72C7}"/>
    <cellStyle name="Migliaia 24 3 8" xfId="3364" xr:uid="{32525DFB-9303-4830-839D-36B1027D9C80}"/>
    <cellStyle name="Migliaia 24 3 8 2" xfId="33508" xr:uid="{3D534D0C-3861-4FBD-8D87-CF11405EAABF}"/>
    <cellStyle name="Migliaia 24 3 8 2 2" xfId="38953" xr:uid="{BB59BEED-9FBB-4ECF-8AEC-0EBAA0439D88}"/>
    <cellStyle name="Migliaia 24 3 8 2 3" xfId="44255" xr:uid="{381281EA-05A1-49D3-A90F-712C4F10E8E4}"/>
    <cellStyle name="Migliaia 24 3 8 3" xfId="36427" xr:uid="{C59492A6-B59D-4269-97D8-EFE0D66BE668}"/>
    <cellStyle name="Migliaia 24 3 8 4" xfId="41604" xr:uid="{9D5620B2-E2BD-475E-AB3C-0AD228FF09C1}"/>
    <cellStyle name="Migliaia 24 3 8 5" xfId="24563" xr:uid="{5AFFFFCF-5095-49A3-871C-F658AD9871BD}"/>
    <cellStyle name="Migliaia 24 3 8 6" xfId="17379" xr:uid="{C3AA07BB-9C6D-47F7-AA25-B971CE847856}"/>
    <cellStyle name="Migliaia 24 3 9" xfId="20165" xr:uid="{59C4C65C-C58C-4610-98C5-47B27AB24FB2}"/>
    <cellStyle name="Migliaia 24 4" xfId="1738" xr:uid="{00000000-0005-0000-0000-000055030000}"/>
    <cellStyle name="Migliaia 24 4 2" xfId="1739" xr:uid="{00000000-0005-0000-0000-000056030000}"/>
    <cellStyle name="Migliaia 24 4 2 2" xfId="5097" xr:uid="{CFF64CEE-E5D3-459B-8783-CC5187D3EA82}"/>
    <cellStyle name="Migliaia 24 4 2 2 2" xfId="33509" xr:uid="{A54D9DE1-9435-42D0-9966-FF7C00179AF9}"/>
    <cellStyle name="Migliaia 24 4 2 2 2 2" xfId="38954" xr:uid="{B7BBC24A-DF3D-47F7-975D-D0E3F891A696}"/>
    <cellStyle name="Migliaia 24 4 2 2 2 3" xfId="44256" xr:uid="{FEEAD5E5-98FE-4BA6-B5AB-B888095CC72B}"/>
    <cellStyle name="Migliaia 24 4 2 2 3" xfId="36428" xr:uid="{E5AD0167-4106-4E1F-AC43-1F512C69B81D}"/>
    <cellStyle name="Migliaia 24 4 2 2 4" xfId="41605" xr:uid="{265A28C9-F3A6-4403-924B-4A72B4F67593}"/>
    <cellStyle name="Migliaia 24 4 2 2 5" xfId="9140" xr:uid="{703D285F-83A8-4F8E-AD6A-4B4381470508}"/>
    <cellStyle name="Migliaia 24 4 2 3" xfId="3371" xr:uid="{EDB00360-2F12-4585-AD67-48B5AC187662}"/>
    <cellStyle name="Migliaia 24 4 2 3 2" xfId="33510" xr:uid="{F557822C-D09D-40CD-8881-AA55CEE65FA0}"/>
    <cellStyle name="Migliaia 24 4 2 3 2 2" xfId="38955" xr:uid="{643CF57D-78F7-4205-BBF6-6364BDD126AD}"/>
    <cellStyle name="Migliaia 24 4 2 3 2 3" xfId="44257" xr:uid="{7DEF0F7B-BF48-4014-9F04-1EDB10B7310E}"/>
    <cellStyle name="Migliaia 24 4 2 3 3" xfId="36429" xr:uid="{C418DEB1-1A51-4344-8FEA-FDFD2353F23B}"/>
    <cellStyle name="Migliaia 24 4 2 3 4" xfId="41606" xr:uid="{C5F54FCD-8860-4248-AA78-17C9DE20B804}"/>
    <cellStyle name="Migliaia 24 4 2 3 5" xfId="11953" xr:uid="{DC613FBB-B95A-47F4-8070-F00D4819F472}"/>
    <cellStyle name="Migliaia 24 4 2 4" xfId="11302" xr:uid="{AA94757A-7CAC-4648-A797-9247123E6CA5}"/>
    <cellStyle name="Migliaia 24 4 2 5" xfId="10816" xr:uid="{FE13542D-D497-4D24-B5D5-D4609DB5ABE7}"/>
    <cellStyle name="Migliaia 24 4 2 5 2" xfId="21451" xr:uid="{7CEAA743-3BD2-4F08-93F4-593555186456}"/>
    <cellStyle name="Migliaia 24 4 2 5 3" xfId="47386" xr:uid="{EC6A30E0-14D7-4690-AA1D-2540AC98B585}"/>
    <cellStyle name="Migliaia 24 4 2 5 4" xfId="50466" xr:uid="{A06846AD-9489-4803-B672-366E90F07DF8}"/>
    <cellStyle name="Migliaia 24 4 2 5 5" xfId="53482" xr:uid="{AB0BD9FA-1DF5-4025-BB3F-FF0AEFAD07C3}"/>
    <cellStyle name="Migliaia 24 4 2 6" xfId="20176" xr:uid="{FCFF112A-AD90-49CB-B3B4-075971612FD3}"/>
    <cellStyle name="Migliaia 24 4 2 7" xfId="24565" xr:uid="{F0AA644F-8085-4806-8E3A-50F2B95A41EE}"/>
    <cellStyle name="Migliaia 24 4 2 8" xfId="8580" xr:uid="{B45105B3-0AA9-42C1-9C67-A7820903144D}"/>
    <cellStyle name="Migliaia 24 4 3" xfId="5096" xr:uid="{00DEA2FE-CC5F-42CD-849F-5D5A174EE1E6}"/>
    <cellStyle name="Migliaia 24 4 3 2" xfId="18195" xr:uid="{F0153962-E808-4643-B061-87CD8E8608A3}"/>
    <cellStyle name="Migliaia 24 4 3 2 2" xfId="38956" xr:uid="{0D37F394-ACA6-4D59-B796-6318D8C4ABD9}"/>
    <cellStyle name="Migliaia 24 4 3 2 3" xfId="44258" xr:uid="{F0CBF0FB-D6A9-485B-8D35-1CDDB9A5D126}"/>
    <cellStyle name="Migliaia 24 4 3 3" xfId="36430" xr:uid="{FA0A2E54-D1A2-4239-A897-969B7DA1D14B}"/>
    <cellStyle name="Migliaia 24 4 3 4" xfId="41607" xr:uid="{3BDBDF1B-5D79-45CE-9B4F-B4CEA1CECF62}"/>
    <cellStyle name="Migliaia 24 4 3 5" xfId="17377" xr:uid="{00425247-40D8-45BF-AAA6-8365814581B6}"/>
    <cellStyle name="Migliaia 24 4 3 6" xfId="9141" xr:uid="{E058D7D3-D8E0-4368-A3E7-AC37E978C24D}"/>
    <cellStyle name="Migliaia 24 4 4" xfId="6304" xr:uid="{94ED669E-EDE8-4613-806B-B8A4AFED2D1B}"/>
    <cellStyle name="Migliaia 24 4 4 2" xfId="33511" xr:uid="{365FFE34-53E6-4CF6-BED8-22419396CA2A}"/>
    <cellStyle name="Migliaia 24 4 4 2 2" xfId="38957" xr:uid="{68E796DD-7E75-45D9-BB09-B6FC04383294}"/>
    <cellStyle name="Migliaia 24 4 4 2 3" xfId="44259" xr:uid="{AC9C98B7-E8DB-4096-BFFA-82D92C07CECC}"/>
    <cellStyle name="Migliaia 24 4 4 3" xfId="36431" xr:uid="{7140E8C3-1C4E-4F5A-BDCF-9E1D88ED1B37}"/>
    <cellStyle name="Migliaia 24 4 4 4" xfId="41608" xr:uid="{F5B3D0A4-9F71-4DD4-94FD-1DCE15C49450}"/>
    <cellStyle name="Migliaia 24 4 4 5" xfId="11954" xr:uid="{3C4226D9-EACC-4BE8-BFD1-9C617120592A}"/>
    <cellStyle name="Migliaia 24 4 5" xfId="3370" xr:uid="{6019BAB4-8615-428F-864B-C5B30728FBE8}"/>
    <cellStyle name="Migliaia 24 4 5 2" xfId="33512" xr:uid="{F148E4DE-0BAC-48CD-8D8C-E9B797FFB845}"/>
    <cellStyle name="Migliaia 24 4 5 2 2" xfId="38958" xr:uid="{E157D036-40ED-4E6C-ACE3-6381434CA72C}"/>
    <cellStyle name="Migliaia 24 4 5 2 3" xfId="44260" xr:uid="{34B72D4B-7067-4F7F-A6C3-C5324D5296C9}"/>
    <cellStyle name="Migliaia 24 4 5 3" xfId="36432" xr:uid="{95F672BE-A916-4E2B-A3CE-EEDDB99DF276}"/>
    <cellStyle name="Migliaia 24 4 5 4" xfId="41609" xr:uid="{D3892DBC-29BB-4FDA-A1F6-BA8E98BC543C}"/>
    <cellStyle name="Migliaia 24 4 5 5" xfId="11301" xr:uid="{84D116CE-A851-4799-80A5-8ECE3C10C3E0}"/>
    <cellStyle name="Migliaia 24 4 6" xfId="10815" xr:uid="{CCDBED45-99A5-47A2-88E9-F7DB601B827A}"/>
    <cellStyle name="Migliaia 24 4 6 2" xfId="21450" xr:uid="{96115C3C-46B6-424E-A3C9-60C00A5244A7}"/>
    <cellStyle name="Migliaia 24 4 6 2 2" xfId="38959" xr:uid="{A3AF51F1-5537-4760-94F0-0FE0445CF6CB}"/>
    <cellStyle name="Migliaia 24 4 6 2 3" xfId="44261" xr:uid="{CD2CF63F-74D7-403A-AE89-C6D5E42DC72D}"/>
    <cellStyle name="Migliaia 24 4 6 2 4" xfId="33513" xr:uid="{C98FAA10-EC57-4219-BAC8-A6055E6862C1}"/>
    <cellStyle name="Migliaia 24 4 6 3" xfId="36433" xr:uid="{5E5A494E-D94C-4DCD-9604-C27B29CCCF71}"/>
    <cellStyle name="Migliaia 24 4 6 4" xfId="41610" xr:uid="{1E97300B-4DB7-4347-877D-44A4FE5E9498}"/>
    <cellStyle name="Migliaia 24 4 6 5" xfId="24566" xr:uid="{C958716E-9744-4CCF-B6ED-6EFE13388621}"/>
    <cellStyle name="Migliaia 24 4 6 6" xfId="46644" xr:uid="{F73DD1C7-9925-4C29-998B-780C12E19350}"/>
    <cellStyle name="Migliaia 24 4 6 7" xfId="50465" xr:uid="{8DACBA5C-E5A3-474A-B834-6540621D42F9}"/>
    <cellStyle name="Migliaia 24 4 6 8" xfId="53481" xr:uid="{86770EEE-D242-424F-BBB1-611B79512F50}"/>
    <cellStyle name="Migliaia 24 4 7" xfId="20175" xr:uid="{2A6AF626-A9D0-4B4E-AB33-B0741D910CB9}"/>
    <cellStyle name="Migliaia 24 4 7 2" xfId="33514" xr:uid="{42411B4D-87A8-4567-A290-046815FE4336}"/>
    <cellStyle name="Migliaia 24 4 7 2 2" xfId="38960" xr:uid="{97873933-1EF7-4800-826E-D5FB3C87DA36}"/>
    <cellStyle name="Migliaia 24 4 7 2 3" xfId="44262" xr:uid="{2769745D-A33E-4F43-A595-3CD9AA22CB25}"/>
    <cellStyle name="Migliaia 24 4 7 3" xfId="36434" xr:uid="{3411A9F8-2F40-4756-8BA7-F9ADE28B1444}"/>
    <cellStyle name="Migliaia 24 4 7 4" xfId="41611" xr:uid="{CCA916A9-1A1F-4FD7-A0AC-4A8A7A3B0B98}"/>
    <cellStyle name="Migliaia 24 4 7 5" xfId="24567" xr:uid="{7BBD0D46-9323-484F-80C0-556A5F67FC0A}"/>
    <cellStyle name="Migliaia 24 4 8" xfId="24564" xr:uid="{2403CDE5-52F2-4E72-A59A-E2FA20BCF92C}"/>
    <cellStyle name="Migliaia 24 4 9" xfId="7390" xr:uid="{C38DF961-2202-4301-A5FB-EB0F55618D0F}"/>
    <cellStyle name="Migliaia 24 5" xfId="1740" xr:uid="{00000000-0005-0000-0000-000057030000}"/>
    <cellStyle name="Migliaia 24 5 2" xfId="5098" xr:uid="{E6A8A29D-1CBD-4A83-AE16-C1A06670B2C6}"/>
    <cellStyle name="Migliaia 24 5 2 2" xfId="18412" xr:uid="{FE302BDA-A5E6-4EAC-AF2F-219685157812}"/>
    <cellStyle name="Migliaia 24 5 2 2 2" xfId="38961" xr:uid="{AB9DF0FC-FD5C-4300-A54C-AD1217D8D6CF}"/>
    <cellStyle name="Migliaia 24 5 2 2 3" xfId="44263" xr:uid="{152233A3-459E-48B9-B9D2-16AB2117CA2D}"/>
    <cellStyle name="Migliaia 24 5 2 3" xfId="20178" xr:uid="{35038B44-36F9-4AFE-B798-4331F5BF609C}"/>
    <cellStyle name="Migliaia 24 5 2 3 2" xfId="36435" xr:uid="{1CA7DFCB-B246-498B-A85A-EFBCDCA3ECC7}"/>
    <cellStyle name="Migliaia 24 5 2 4" xfId="41612" xr:uid="{FD9CEA0B-7B0D-4DEA-88AF-987558CA74E2}"/>
    <cellStyle name="Migliaia 24 5 2 5" xfId="16262" xr:uid="{2124EB96-A52E-4AAF-B407-7BFC45EBCBEC}"/>
    <cellStyle name="Migliaia 24 5 2 6" xfId="8581" xr:uid="{619A50F3-0C03-48AE-B1E6-4176A5150FBE}"/>
    <cellStyle name="Migliaia 24 5 3" xfId="6305" xr:uid="{7DAAB8D0-929C-4FDA-A040-4F48D540E717}"/>
    <cellStyle name="Migliaia 24 5 3 2" xfId="33515" xr:uid="{011239E5-A746-4618-958C-98CC18D891DC}"/>
    <cellStyle name="Migliaia 24 5 3 2 2" xfId="38962" xr:uid="{2CDF3884-2214-4450-8330-0901FB9BC3F9}"/>
    <cellStyle name="Migliaia 24 5 3 2 3" xfId="44264" xr:uid="{2E1EC8DF-77E8-460E-8783-C99107D4186B}"/>
    <cellStyle name="Migliaia 24 5 3 3" xfId="36436" xr:uid="{66DEDD6C-885E-4A03-B674-EE543CE7F149}"/>
    <cellStyle name="Migliaia 24 5 3 4" xfId="41613" xr:uid="{5D7CCCA8-3052-4C89-9BE2-DA0FD61564CE}"/>
    <cellStyle name="Migliaia 24 5 3 5" xfId="11303" xr:uid="{7F26D11D-534F-40B2-8DC9-57F46333C7EA}"/>
    <cellStyle name="Migliaia 24 5 4" xfId="3372" xr:uid="{37B651D2-DBB1-451D-AB77-7AFDC42D0DA6}"/>
    <cellStyle name="Migliaia 24 5 4 2" xfId="21452" xr:uid="{2F4125AB-15D0-4AEB-901C-8245A5AE0EF4}"/>
    <cellStyle name="Migliaia 24 5 4 2 2" xfId="38963" xr:uid="{6861C0FE-12BF-4BA0-A7D5-2658005D3A63}"/>
    <cellStyle name="Migliaia 24 5 4 2 3" xfId="44265" xr:uid="{8FB6C174-B1DF-4AA3-A33F-B0314DF414C4}"/>
    <cellStyle name="Migliaia 24 5 4 2 4" xfId="33516" xr:uid="{4BEB3EE5-4F9B-4678-838F-DD137C647E0B}"/>
    <cellStyle name="Migliaia 24 5 4 3" xfId="36437" xr:uid="{A42725E4-E07E-49D6-8CD7-AD434CF0E9B8}"/>
    <cellStyle name="Migliaia 24 5 4 4" xfId="41614" xr:uid="{DD521FC7-B020-4F99-8483-3071C6212AD9}"/>
    <cellStyle name="Migliaia 24 5 4 5" xfId="24569" xr:uid="{C936BF96-B450-42AC-8DF8-0783E044462B}"/>
    <cellStyle name="Migliaia 24 5 4 6" xfId="47998" xr:uid="{D76605F1-99F4-4F8E-9842-A8E56AA5075B}"/>
    <cellStyle name="Migliaia 24 5 4 7" xfId="50467" xr:uid="{0E68C300-9BC4-4156-8F69-B582B60C2EC9}"/>
    <cellStyle name="Migliaia 24 5 4 8" xfId="53483" xr:uid="{76F6C396-06E2-4D5F-80F6-8C29C27D37FA}"/>
    <cellStyle name="Migliaia 24 5 4 9" xfId="10817" xr:uid="{FE9917F8-C965-4074-B2C1-A6AC605919AD}"/>
    <cellStyle name="Migliaia 24 5 5" xfId="20177" xr:uid="{7407C888-B262-4B8A-ABD8-889785A2610B}"/>
    <cellStyle name="Migliaia 24 5 5 2" xfId="33517" xr:uid="{8A26DA96-018C-4B10-93D1-6C9F7D39DDB6}"/>
    <cellStyle name="Migliaia 24 5 5 2 2" xfId="38964" xr:uid="{381A3B03-A174-4DE0-B35E-FD726E8BC195}"/>
    <cellStyle name="Migliaia 24 5 5 2 3" xfId="44266" xr:uid="{A07A63FD-065C-44EC-8B2B-164200339750}"/>
    <cellStyle name="Migliaia 24 5 5 3" xfId="36438" xr:uid="{5CD4A038-CBF1-4549-9914-C5E4D1F06D03}"/>
    <cellStyle name="Migliaia 24 5 5 4" xfId="41615" xr:uid="{C0FBF3F0-E2A4-4C1D-AE3D-DD7CC57BE7A3}"/>
    <cellStyle name="Migliaia 24 5 5 5" xfId="24570" xr:uid="{02677B25-B5DE-4585-8050-87035A1B876D}"/>
    <cellStyle name="Migliaia 24 5 6" xfId="24571" xr:uid="{E7561426-9A28-4A53-A910-77458DE52E5B}"/>
    <cellStyle name="Migliaia 24 5 6 2" xfId="33518" xr:uid="{74663E8E-659D-4718-8838-A147799878FB}"/>
    <cellStyle name="Migliaia 24 5 6 2 2" xfId="38965" xr:uid="{FC3B431A-CAB9-4EBC-B7B2-369E91982551}"/>
    <cellStyle name="Migliaia 24 5 6 2 3" xfId="44267" xr:uid="{C3A1CA09-63C9-4426-B19C-4E779F6B7108}"/>
    <cellStyle name="Migliaia 24 5 6 3" xfId="36439" xr:uid="{6B4DAE19-B1F1-4AA6-A48C-35241044D8D5}"/>
    <cellStyle name="Migliaia 24 5 6 4" xfId="41616" xr:uid="{7BA7A6CC-FBBB-4EC8-9EB1-E0ACC1C2A56B}"/>
    <cellStyle name="Migliaia 24 5 7" xfId="24568" xr:uid="{DAC5B0B0-9108-4B80-82B9-D124C15F3EF4}"/>
    <cellStyle name="Migliaia 24 5 8" xfId="7391" xr:uid="{C1EA155D-62B5-48EB-A23B-79572632535F}"/>
    <cellStyle name="Migliaia 24 6" xfId="3373" xr:uid="{12987F15-688D-43E6-AC9B-83A17E1FEA94}"/>
    <cellStyle name="Migliaia 24 6 2" xfId="5099" xr:uid="{DAD51866-B3DD-457A-A332-4650219BABF0}"/>
    <cellStyle name="Migliaia 24 6 2 2" xfId="9913" xr:uid="{A63A30D9-DA79-46BD-8D4A-0FF187498EAD}"/>
    <cellStyle name="Migliaia 24 6 2 3" xfId="18664" xr:uid="{A79F986C-D408-4748-A81A-58AC00E61384}"/>
    <cellStyle name="Migliaia 24 6 2 4" xfId="20180" xr:uid="{C323BC30-7D71-4B7C-AC26-3D9569301921}"/>
    <cellStyle name="Migliaia 24 6 2 5" xfId="32348" xr:uid="{1FB863F4-F2CC-456A-896B-B15A6C7E1F87}"/>
    <cellStyle name="Migliaia 24 6 2 6" xfId="16264" xr:uid="{C860E5D7-ED8A-4114-AB43-D700C1C8FE2E}"/>
    <cellStyle name="Migliaia 24 6 2 7" xfId="8576" xr:uid="{7831EEF9-42DB-48E0-B52A-3E886F1100EE}"/>
    <cellStyle name="Migliaia 24 6 3" xfId="6306" xr:uid="{B4A6E9C9-2039-4CC7-A5B5-7B085A8FB3A2}"/>
    <cellStyle name="Migliaia 24 6 3 2" xfId="35239" xr:uid="{D6CB368D-EB83-45B2-931D-02C7786AF19A}"/>
    <cellStyle name="Migliaia 24 6 3 2 2" xfId="40399" xr:uid="{B215E2D8-544F-4505-92F3-97C69EB6F26E}"/>
    <cellStyle name="Migliaia 24 6 3 2 3" xfId="45701" xr:uid="{B2B47C0F-92C6-4B60-B3E0-FE1070313A39}"/>
    <cellStyle name="Migliaia 24 6 3 3" xfId="37748" xr:uid="{8B43CE4E-FC49-4E07-978D-8773DF3B1E9B}"/>
    <cellStyle name="Migliaia 24 6 3 4" xfId="43050" xr:uid="{E9FA4065-9394-4DE6-A200-0D1688E507E2}"/>
    <cellStyle name="Migliaia 24 6 3 5" xfId="9676" xr:uid="{EDA32886-4EC2-4317-9572-16AE2B72BABE}"/>
    <cellStyle name="Migliaia 24 6 4" xfId="20179" xr:uid="{BA3D323B-071F-437D-8A63-74A0647388E4}"/>
    <cellStyle name="Migliaia 24 6 4 2" xfId="38966" xr:uid="{1559A435-A033-4198-BCA5-6D236A1BC6E6}"/>
    <cellStyle name="Migliaia 24 6 4 3" xfId="44268" xr:uid="{ABA9895E-935C-4B11-A702-F102FCC64E44}"/>
    <cellStyle name="Migliaia 24 6 4 4" xfId="33519" xr:uid="{0404C90E-9EDC-4516-997C-A51ACF2A7046}"/>
    <cellStyle name="Migliaia 24 6 5" xfId="36440" xr:uid="{862FB6F7-43BF-47FE-A45D-AF5AE5F1CD31}"/>
    <cellStyle name="Migliaia 24 6 6" xfId="41617" xr:uid="{A0A7D0B7-0377-424F-858E-C293723F6B6D}"/>
    <cellStyle name="Migliaia 24 6 7" xfId="16263" xr:uid="{08E11B2E-E7AB-4AF6-B817-07328A137B8B}"/>
    <cellStyle name="Migliaia 24 6 8" xfId="7386" xr:uid="{4CE46EF6-7752-4781-AE3B-11556B98CFF6}"/>
    <cellStyle name="Migliaia 24 7" xfId="3374" xr:uid="{885BE739-6891-4E49-B26F-385C87E3C7C4}"/>
    <cellStyle name="Migliaia 24 7 2" xfId="5100" xr:uid="{8CEFDD5E-37EF-41DD-8199-D84B7861BA02}"/>
    <cellStyle name="Migliaia 24 7 2 2" xfId="35240" xr:uid="{D629048B-8A49-457E-9AEC-F968B6686356}"/>
    <cellStyle name="Migliaia 24 7 2 2 2" xfId="40400" xr:uid="{93B21BC8-36C4-4C62-8170-686F420A521A}"/>
    <cellStyle name="Migliaia 24 7 2 2 3" xfId="45702" xr:uid="{FB2D6D46-01B6-42F2-8ED0-32CB28D00B50}"/>
    <cellStyle name="Migliaia 24 7 2 3" xfId="37749" xr:uid="{9C90DD7E-C33E-46E9-81F1-C7185FF6BDD5}"/>
    <cellStyle name="Migliaia 24 7 2 4" xfId="43051" xr:uid="{A26E65E6-2270-455B-B1CC-B8A208747988}"/>
    <cellStyle name="Migliaia 24 7 2 5" xfId="14227" xr:uid="{85EE35BA-9348-40B3-965C-41CC66B1EF0D}"/>
    <cellStyle name="Migliaia 24 7 3" xfId="6307" xr:uid="{CA142AE6-96A8-4A9C-9D36-C5890FFE1947}"/>
    <cellStyle name="Migliaia 24 7 3 2" xfId="38967" xr:uid="{26A13EEA-5397-44D1-919A-84429413E482}"/>
    <cellStyle name="Migliaia 24 7 3 3" xfId="44269" xr:uid="{2421E7B7-875C-4DD1-B26B-CD56CDA8E0EB}"/>
    <cellStyle name="Migliaia 24 7 3 4" xfId="33520" xr:uid="{DE220643-21E3-415C-B787-55AE86603238}"/>
    <cellStyle name="Migliaia 24 7 3 5" xfId="20181" xr:uid="{71237E60-5E78-4B23-92C5-919EAAC63CD7}"/>
    <cellStyle name="Migliaia 24 7 4" xfId="36441" xr:uid="{41A0E665-5BCC-4FD9-8575-1BB2F760F82A}"/>
    <cellStyle name="Migliaia 24 7 5" xfId="41618" xr:uid="{68E2B2CE-F678-4458-8A32-79B4C4440791}"/>
    <cellStyle name="Migliaia 24 7 6" xfId="16265" xr:uid="{8F5878D4-D2DC-4375-9691-B11DBFA16AAC}"/>
    <cellStyle name="Migliaia 24 7 7" xfId="8289" xr:uid="{F64E9A75-B803-4CCB-BE72-93BB0EA771ED}"/>
    <cellStyle name="Migliaia 24 8" xfId="3375" xr:uid="{52BA4F70-4251-4BD1-80F0-89160808AA6B}"/>
    <cellStyle name="Migliaia 24 8 2" xfId="5101" xr:uid="{29A881C4-FF5C-4068-8658-967A32DFF1FC}"/>
    <cellStyle name="Migliaia 24 8 2 2" xfId="35241" xr:uid="{569528A5-2A0C-479A-BA0D-6D3EC9E56D6C}"/>
    <cellStyle name="Migliaia 24 8 2 2 2" xfId="40401" xr:uid="{91C03A51-4939-4227-980D-5509269DA626}"/>
    <cellStyle name="Migliaia 24 8 2 2 3" xfId="45703" xr:uid="{447B1516-F001-4832-9B23-6A319C717541}"/>
    <cellStyle name="Migliaia 24 8 2 3" xfId="37750" xr:uid="{47D3497C-6E84-437D-AC1A-B31EE0D134FB}"/>
    <cellStyle name="Migliaia 24 8 2 4" xfId="43052" xr:uid="{8755EA17-2DBA-4644-82BC-F1422B855850}"/>
    <cellStyle name="Migliaia 24 8 2 5" xfId="13932" xr:uid="{2FED6196-4041-4389-9214-63E9EF896FDC}"/>
    <cellStyle name="Migliaia 24 8 3" xfId="6308" xr:uid="{E3550C8D-2512-4DDC-B2C1-38FFA9010B43}"/>
    <cellStyle name="Migliaia 24 8 3 2" xfId="38968" xr:uid="{74EED139-49D7-4B88-86F4-2346C153840E}"/>
    <cellStyle name="Migliaia 24 8 3 3" xfId="44270" xr:uid="{617CD764-3504-4413-A393-AF1A07ED5D3A}"/>
    <cellStyle name="Migliaia 24 8 3 4" xfId="33521" xr:uid="{BC63B5C0-0F44-4A36-B42A-80298FF2DF81}"/>
    <cellStyle name="Migliaia 24 8 3 5" xfId="20182" xr:uid="{20AFADD6-734A-40AA-9926-FF3171C6C615}"/>
    <cellStyle name="Migliaia 24 8 4" xfId="36442" xr:uid="{FECD5A50-9372-487B-961C-71757BD12D15}"/>
    <cellStyle name="Migliaia 24 8 5" xfId="41619" xr:uid="{42BC7F34-3D03-4655-913C-BAEC93A3A126}"/>
    <cellStyle name="Migliaia 24 8 6" xfId="16266" xr:uid="{5F29A9D8-D5EE-482B-B244-BC2E6D71D3FD}"/>
    <cellStyle name="Migliaia 24 8 7" xfId="7886" xr:uid="{FFCE4EE9-FE79-400B-9DE0-BAE96738CA4D}"/>
    <cellStyle name="Migliaia 24 9" xfId="5086" xr:uid="{8FD6BE4B-B51C-4CE9-9FAE-9659FFEFE32E}"/>
    <cellStyle name="Migliaia 24 9 2" xfId="33522" xr:uid="{0DD57DD7-A3D6-4FE5-8828-6088E1C97D5D}"/>
    <cellStyle name="Migliaia 24 9 2 2" xfId="38969" xr:uid="{5B1AE4FE-2C4F-4561-88FA-BF7200328262}"/>
    <cellStyle name="Migliaia 24 9 2 3" xfId="44271" xr:uid="{B449294A-B515-4A04-9631-E634309AA9E2}"/>
    <cellStyle name="Migliaia 24 9 3" xfId="36443" xr:uid="{B18EEB02-1E4A-4F3E-BAA5-CF5C9860AF8E}"/>
    <cellStyle name="Migliaia 24 9 4" xfId="41620" xr:uid="{077878B0-3A05-4C77-944C-63846C97C91C}"/>
    <cellStyle name="Migliaia 24 9 5" xfId="17167" xr:uid="{2BE1D7F7-86B0-445C-81C8-4DBA3D70D330}"/>
    <cellStyle name="Migliaia 25" xfId="369" xr:uid="{00000000-0005-0000-0000-000058030000}"/>
    <cellStyle name="Migliaia 25 10" xfId="6309" xr:uid="{22C255AC-2DD4-4B62-BD8D-BC16A361F43C}"/>
    <cellStyle name="Migliaia 25 10 2" xfId="38970" xr:uid="{FB5B2AA4-87B7-41FE-B371-17350EACA779}"/>
    <cellStyle name="Migliaia 25 10 3" xfId="44272" xr:uid="{FBDCFA4E-FDA6-4534-9DD3-8619DB2A0F47}"/>
    <cellStyle name="Migliaia 25 10 4" xfId="33523" xr:uid="{7D67491F-E4CA-4FA5-9C7C-9CECD5B23989}"/>
    <cellStyle name="Migliaia 25 10 5" xfId="20183" xr:uid="{5FC65A6B-27D6-49DF-829E-44677B1B5181}"/>
    <cellStyle name="Migliaia 25 11" xfId="3376" xr:uid="{EB767F5E-B74B-4014-A570-4E58A81A5A5F}"/>
    <cellStyle name="Migliaia 25 11 2" xfId="36444" xr:uid="{E45D0E7F-1927-47B4-A8A5-707008B41B8C}"/>
    <cellStyle name="Migliaia 25 12" xfId="41621" xr:uid="{5473ED80-E22F-44F6-9376-8D09DD0C69E8}"/>
    <cellStyle name="Migliaia 25 13" xfId="7093" xr:uid="{7ED68612-D43E-4BFC-9E62-09D4CCF9ADB3}"/>
    <cellStyle name="Migliaia 25 2" xfId="370" xr:uid="{00000000-0005-0000-0000-000059030000}"/>
    <cellStyle name="Migliaia 25 2 2" xfId="1741" xr:uid="{00000000-0005-0000-0000-00005A030000}"/>
    <cellStyle name="Migliaia 25 2 2 2" xfId="5104" xr:uid="{EA6A8529-8704-4CE0-A6CE-EA273360199D}"/>
    <cellStyle name="Migliaia 25 2 2 2 2" xfId="14380" xr:uid="{CB88B3B3-51B6-42C4-B8D2-824ED3803DAE}"/>
    <cellStyle name="Migliaia 25 2 2 2 2 2" xfId="38971" xr:uid="{EF4B8C60-BF73-4DFD-885C-16EE184B6DF1}"/>
    <cellStyle name="Migliaia 25 2 2 2 2 3" xfId="44273" xr:uid="{0DCA1249-0D56-464D-B482-DFAF802F943A}"/>
    <cellStyle name="Migliaia 25 2 2 2 3" xfId="18413" xr:uid="{BBD65F43-8ECB-4B53-8371-DD7E10AA5A7E}"/>
    <cellStyle name="Migliaia 25 2 2 2 4" xfId="20186" xr:uid="{2E3F731C-17A3-4374-BD99-704A85DE2BC4}"/>
    <cellStyle name="Migliaia 25 2 2 2 4 2" xfId="41622" xr:uid="{9B9D5C53-E9BD-4971-83DC-B22941D49C20}"/>
    <cellStyle name="Migliaia 25 2 2 2 5" xfId="16267" xr:uid="{A9C4B761-FD68-471D-8072-70D3563406CF}"/>
    <cellStyle name="Migliaia 25 2 2 2 6" xfId="8583" xr:uid="{17131682-C8ED-404D-ACD7-7511C20DC3D1}"/>
    <cellStyle name="Migliaia 25 2 2 3" xfId="6311" xr:uid="{1916F5D5-38E4-4E7D-8BB1-B19AB9795ECD}"/>
    <cellStyle name="Migliaia 25 2 2 3 2" xfId="35242" xr:uid="{DA5C64BB-4DA5-44D5-836C-B5765D92EB5D}"/>
    <cellStyle name="Migliaia 25 2 2 3 2 2" xfId="40402" xr:uid="{CDA9742F-18AE-48F3-BC5E-113C4179CF74}"/>
    <cellStyle name="Migliaia 25 2 2 3 2 3" xfId="45704" xr:uid="{788BD8D2-A3AC-452F-9538-1AA6FD3BEE68}"/>
    <cellStyle name="Migliaia 25 2 2 3 3" xfId="37751" xr:uid="{D7531CAC-B5AB-459F-AF48-A7AF6A8E4E20}"/>
    <cellStyle name="Migliaia 25 2 2 3 4" xfId="43053" xr:uid="{D36FE684-F30B-4F93-8890-E6039B9DA24A}"/>
    <cellStyle name="Migliaia 25 2 2 3 5" xfId="11607" xr:uid="{DA378B2A-065A-40FE-B51B-464314B3D9E6}"/>
    <cellStyle name="Migliaia 25 2 2 4" xfId="3378" xr:uid="{189CD87C-0B8E-494B-8199-876878822E5E}"/>
    <cellStyle name="Migliaia 25 2 2 4 2" xfId="21453" xr:uid="{FF1ADAF8-68B2-4F61-8A66-776DD0B3D396}"/>
    <cellStyle name="Migliaia 25 2 2 4 3" xfId="47958" xr:uid="{3988A973-64D3-4CC6-8F1D-D12E5B09F1AD}"/>
    <cellStyle name="Migliaia 25 2 2 4 4" xfId="50468" xr:uid="{835A0D21-DD8F-4DB0-AE45-CFDC0EDA0DC8}"/>
    <cellStyle name="Migliaia 25 2 2 4 5" xfId="53484" xr:uid="{F3542E83-8543-4214-B8E9-C7025707FE10}"/>
    <cellStyle name="Migliaia 25 2 2 4 6" xfId="10818" xr:uid="{FBC57E46-EDF0-4646-B74B-150C760F6237}"/>
    <cellStyle name="Migliaia 25 2 2 5" xfId="20185" xr:uid="{F6F05EA2-E672-4E93-BC22-79D7806AC470}"/>
    <cellStyle name="Migliaia 25 2 2 6" xfId="24573" xr:uid="{4A5288D4-B05A-4C32-949E-25CFE4FFE7BA}"/>
    <cellStyle name="Migliaia 25 2 2 7" xfId="7393" xr:uid="{61E92F38-569D-4344-86B5-426A9B028FA3}"/>
    <cellStyle name="Migliaia 25 2 3" xfId="3379" xr:uid="{6E3C30E8-D2E4-46BB-96FE-B2F88DA9A688}"/>
    <cellStyle name="Migliaia 25 2 3 2" xfId="5105" xr:uid="{F20A949A-81AC-4F92-B20F-7A5EA04C9A46}"/>
    <cellStyle name="Migliaia 25 2 3 2 2" xfId="35243" xr:uid="{6A48FFAE-3550-4009-9B74-D7764E92E1D2}"/>
    <cellStyle name="Migliaia 25 2 3 2 2 2" xfId="40403" xr:uid="{DDDE3802-F255-45A7-A269-BFBFFBD93552}"/>
    <cellStyle name="Migliaia 25 2 3 2 2 3" xfId="45705" xr:uid="{C2EDC495-9EBF-4B29-86BE-B08813466958}"/>
    <cellStyle name="Migliaia 25 2 3 2 3" xfId="37752" xr:uid="{D92D9BCA-B082-4168-A24B-675B15FFF39E}"/>
    <cellStyle name="Migliaia 25 2 3 2 4" xfId="43054" xr:uid="{FA89ABE8-E967-487E-915E-87D41822A158}"/>
    <cellStyle name="Migliaia 25 2 3 2 5" xfId="14231" xr:uid="{4FEE99AD-9063-4523-8D94-C6BE9B9FA44A}"/>
    <cellStyle name="Migliaia 25 2 3 3" xfId="6312" xr:uid="{DEFA9595-71A9-414D-83D8-F336F24606A9}"/>
    <cellStyle name="Migliaia 25 2 3 3 2" xfId="38972" xr:uid="{3A282EAC-B800-4D10-8A18-C707169AE253}"/>
    <cellStyle name="Migliaia 25 2 3 3 3" xfId="44274" xr:uid="{85A176CF-75C0-45FF-935D-FE43CF8C5A5F}"/>
    <cellStyle name="Migliaia 25 2 3 3 4" xfId="33524" xr:uid="{769633C7-A273-4ACC-986B-D0A6E6AD96A3}"/>
    <cellStyle name="Migliaia 25 2 3 3 5" xfId="20187" xr:uid="{CB391F14-61A1-4514-ABB0-FFBFFC0C0B09}"/>
    <cellStyle name="Migliaia 25 2 3 4" xfId="36445" xr:uid="{0E282EDB-E515-4C32-B02C-3848533D4CF1}"/>
    <cellStyle name="Migliaia 25 2 3 5" xfId="41623" xr:uid="{E4B81DE6-CE26-4BA5-894C-0A594E4FA54F}"/>
    <cellStyle name="Migliaia 25 2 3 6" xfId="16268" xr:uid="{AD648B0C-C53A-4425-B98F-B8D25C514A2A}"/>
    <cellStyle name="Migliaia 25 2 3 7" xfId="8293" xr:uid="{20E5A16C-3943-448E-9CA9-A5624B6D64F9}"/>
    <cellStyle name="Migliaia 25 2 4" xfId="5103" xr:uid="{8CF5010A-1DA0-4FCE-B95E-7A3BFC6B2DF9}"/>
    <cellStyle name="Migliaia 25 2 4 2" xfId="13936" xr:uid="{D4091FAC-9477-4FB5-A098-365F4ACFF963}"/>
    <cellStyle name="Migliaia 25 2 4 2 2" xfId="38973" xr:uid="{661A8CFA-BC87-4314-BE61-D4DACED9AE0F}"/>
    <cellStyle name="Migliaia 25 2 4 2 3" xfId="44275" xr:uid="{E6B6E37E-2065-4B39-B28D-9BA9D75ED4CC}"/>
    <cellStyle name="Migliaia 25 2 4 3" xfId="18555" xr:uid="{5B744368-CD62-4CB0-94F9-8A722F9D77FF}"/>
    <cellStyle name="Migliaia 25 2 4 4" xfId="20188" xr:uid="{C8F7D2D9-4B69-4C35-855F-EC7EFF4C2627}"/>
    <cellStyle name="Migliaia 25 2 4 4 2" xfId="41624" xr:uid="{262C1D14-4758-43B6-9566-BB99FE14B212}"/>
    <cellStyle name="Migliaia 25 2 4 5" xfId="16269" xr:uid="{7F3EE544-E55F-4478-8F03-BD345CE07A93}"/>
    <cellStyle name="Migliaia 25 2 4 6" xfId="7891" xr:uid="{845E12C4-9605-400D-8F26-0F32E7C31F9C}"/>
    <cellStyle name="Migliaia 25 2 5" xfId="6310" xr:uid="{04D3C1C0-0322-4B12-8708-81A6855CEB3B}"/>
    <cellStyle name="Migliaia 25 2 5 2" xfId="33525" xr:uid="{044D3BB5-29A9-4BC0-B580-0EA43D03065F}"/>
    <cellStyle name="Migliaia 25 2 5 2 2" xfId="38974" xr:uid="{2FAF0D54-90F9-43D8-85FB-E71F71868800}"/>
    <cellStyle name="Migliaia 25 2 5 2 3" xfId="44276" xr:uid="{08A678ED-8C5E-4270-8DBC-239C9EE3E0A7}"/>
    <cellStyle name="Migliaia 25 2 5 3" xfId="36446" xr:uid="{A521E427-9095-417C-A28D-B582EAD83131}"/>
    <cellStyle name="Migliaia 25 2 5 4" xfId="41625" xr:uid="{20DCE9DE-A5DA-4E35-8314-59C604C03E5A}"/>
    <cellStyle name="Migliaia 25 2 5 5" xfId="13120" xr:uid="{F4C53D1A-2D93-445E-880A-0B5374D97F59}"/>
    <cellStyle name="Migliaia 25 2 6" xfId="3377" xr:uid="{CA8902D7-E55D-42D7-87BA-BCC8320D2F01}"/>
    <cellStyle name="Migliaia 25 2 6 2" xfId="33526" xr:uid="{61E68697-C3D3-4270-A52B-78CFDF0F1D0C}"/>
    <cellStyle name="Migliaia 25 2 6 2 2" xfId="38975" xr:uid="{42091769-3050-4019-AFE8-B6276DDCE191}"/>
    <cellStyle name="Migliaia 25 2 6 2 3" xfId="44277" xr:uid="{5DADA741-6661-4D30-BF7A-40A9087DB5B0}"/>
    <cellStyle name="Migliaia 25 2 6 3" xfId="36447" xr:uid="{404D1841-3390-4F49-8EB5-F57441632232}"/>
    <cellStyle name="Migliaia 25 2 6 4" xfId="41626" xr:uid="{170A0928-0E35-440F-AFB8-0D1B18E4D36E}"/>
    <cellStyle name="Migliaia 25 2 6 5" xfId="24574" xr:uid="{6F6B0CD6-B5ED-483D-9E47-8231F3D2A39C}"/>
    <cellStyle name="Migliaia 25 2 6 6" xfId="20184" xr:uid="{C75C4187-6320-4E98-A631-9073BC80A510}"/>
    <cellStyle name="Migliaia 25 2 7" xfId="24572" xr:uid="{264FF009-BF06-480A-B6BE-FDB2205567E6}"/>
    <cellStyle name="Migliaia 25 2 8" xfId="7094" xr:uid="{F20A4BD6-5B3C-4CFF-B969-4E94A9CA1EA6}"/>
    <cellStyle name="Migliaia 25 3" xfId="371" xr:uid="{00000000-0005-0000-0000-00005B030000}"/>
    <cellStyle name="Migliaia 25 3 10" xfId="24575" xr:uid="{1958B8EA-4F8E-4B0A-BC7D-82327F393BBE}"/>
    <cellStyle name="Migliaia 25 3 11" xfId="16270" xr:uid="{97C05413-1B01-4627-9897-CAE835172623}"/>
    <cellStyle name="Migliaia 25 3 12" xfId="7095" xr:uid="{8191C03F-64D0-427B-9D5A-A2637F713CA1}"/>
    <cellStyle name="Migliaia 25 3 2" xfId="372" xr:uid="{00000000-0005-0000-0000-00005C030000}"/>
    <cellStyle name="Migliaia 25 3 2 2" xfId="1742" xr:uid="{00000000-0005-0000-0000-00005D030000}"/>
    <cellStyle name="Migliaia 25 3 2 2 2" xfId="5108" xr:uid="{0B9F4DC5-B4FA-4A19-9C6D-EAD6C7A9416B}"/>
    <cellStyle name="Migliaia 25 3 2 2 2 2" xfId="18414" xr:uid="{22322E5F-1DE4-4867-BC08-DDBA24C41088}"/>
    <cellStyle name="Migliaia 25 3 2 2 2 2 2" xfId="21858" xr:uid="{7EE8E371-B726-44F9-8F6D-814C87E12E2B}"/>
    <cellStyle name="Migliaia 25 3 2 2 2 2 2 2" xfId="38976" xr:uid="{8F7827D0-DDFC-40E1-ADC9-833EC6928F5D}"/>
    <cellStyle name="Migliaia 25 3 2 2 2 2 3" xfId="44278" xr:uid="{75372C18-433D-43F5-BC65-26AB3B87CA7A}"/>
    <cellStyle name="Migliaia 25 3 2 2 2 2 4" xfId="33527" xr:uid="{8556D9CB-03A3-4B3B-9E3D-FB7C9628CA37}"/>
    <cellStyle name="Migliaia 25 3 2 2 2 3" xfId="36448" xr:uid="{EAB790A0-1753-426F-B09E-99ED51ED94CD}"/>
    <cellStyle name="Migliaia 25 3 2 2 2 4" xfId="41627" xr:uid="{9F9B1DEF-3942-4901-AAFC-85ECE91AC226}"/>
    <cellStyle name="Migliaia 25 3 2 2 2 5" xfId="47464" xr:uid="{5585904D-F357-438A-A7CD-0E7218CD9BFC}"/>
    <cellStyle name="Migliaia 25 3 2 2 2 6" xfId="50886" xr:uid="{8B312320-D4FF-4127-B451-E6843DF76BF1}"/>
    <cellStyle name="Migliaia 25 3 2 2 2 7" xfId="53902" xr:uid="{18891ABE-E761-49A5-881C-1C38DCD1927F}"/>
    <cellStyle name="Migliaia 25 3 2 2 2 8" xfId="17655" xr:uid="{3E1D8F26-64D2-45A5-AEFF-B8AF5A17FC0D}"/>
    <cellStyle name="Migliaia 25 3 2 2 2 9" xfId="11955" xr:uid="{1333D0BD-78DD-4CCE-AE86-F975672DC17A}"/>
    <cellStyle name="Migliaia 25 3 2 2 3" xfId="6315" xr:uid="{F706CE86-183F-454E-ACB4-858B22BC0D4E}"/>
    <cellStyle name="Migliaia 25 3 2 2 3 2" xfId="11138" xr:uid="{B91028D7-DF28-46E2-9F4A-BB9BDEF04874}"/>
    <cellStyle name="Migliaia 25 3 2 2 4" xfId="3382" xr:uid="{1255F521-267B-43AD-B345-CA567310A151}"/>
    <cellStyle name="Migliaia 25 3 2 2 4 2" xfId="21454" xr:uid="{CD46A682-E2FB-4B96-9B9C-3AB124D37E3F}"/>
    <cellStyle name="Migliaia 25 3 2 2 4 3" xfId="46227" xr:uid="{C1FD3CE6-5AFA-4497-9A54-C95A426016F9}"/>
    <cellStyle name="Migliaia 25 3 2 2 4 4" xfId="50469" xr:uid="{F2B3320C-1C65-451B-9C82-4CC3E2E9422C}"/>
    <cellStyle name="Migliaia 25 3 2 2 4 5" xfId="53485" xr:uid="{AD0F1777-F3A0-44B7-ADCC-061B2D8B609B}"/>
    <cellStyle name="Migliaia 25 3 2 2 4 6" xfId="10819" xr:uid="{496D1293-DDE8-46AB-8C8F-3351158872FB}"/>
    <cellStyle name="Migliaia 25 3 2 2 5" xfId="20191" xr:uid="{30EF536F-9A7E-43E3-8885-2EEF63876669}"/>
    <cellStyle name="Migliaia 25 3 2 2 6" xfId="24577" xr:uid="{DA71C6AD-875D-4E3B-AE6F-13390433994C}"/>
    <cellStyle name="Migliaia 25 3 2 2 7" xfId="8585" xr:uid="{720245D0-6C57-40C0-B213-A311A294B0B7}"/>
    <cellStyle name="Migliaia 25 3 2 3" xfId="5107" xr:uid="{1A3F6737-167F-44BB-B698-19D19C61D28F}"/>
    <cellStyle name="Migliaia 25 3 2 3 2" xfId="12415" xr:uid="{6F1F5AD4-43D3-4923-B2F4-494A2C8F27AB}"/>
    <cellStyle name="Migliaia 25 3 2 3 2 2" xfId="38977" xr:uid="{23573FAA-4C4F-4AA5-9547-2CEB20B60AA7}"/>
    <cellStyle name="Migliaia 25 3 2 3 2 3" xfId="44279" xr:uid="{A9350565-A85A-4BC7-9533-F154B226CBFC}"/>
    <cellStyle name="Migliaia 25 3 2 3 2 4" xfId="33528" xr:uid="{308445AE-4152-4EB0-83B5-9E34887007F2}"/>
    <cellStyle name="Migliaia 25 3 2 3 3" xfId="11956" xr:uid="{BB86A900-15D6-4C4A-9B16-DAB20463FB1D}"/>
    <cellStyle name="Migliaia 25 3 2 3 4" xfId="20192" xr:uid="{026E5067-CB84-424F-90F0-83BEAD30AB9F}"/>
    <cellStyle name="Migliaia 25 3 2 3 4 2" xfId="41628" xr:uid="{B0D0797D-9D3D-428F-B85A-842F09D262C8}"/>
    <cellStyle name="Migliaia 25 3 2 3 5" xfId="16271" xr:uid="{66F24794-E3F5-478F-B9CF-937E8A18C580}"/>
    <cellStyle name="Migliaia 25 3 2 3 6" xfId="7893" xr:uid="{7B0E0443-CC2D-40D5-8F66-5BD92F71FBE8}"/>
    <cellStyle name="Migliaia 25 3 2 4" xfId="6314" xr:uid="{02758C8E-6FC9-4B61-AEAD-C471808F4EC8}"/>
    <cellStyle name="Migliaia 25 3 2 4 2" xfId="18074" xr:uid="{7122BDC3-1712-4608-BB92-EF5D0BAABEE3}"/>
    <cellStyle name="Migliaia 25 3 2 4 2 2" xfId="38978" xr:uid="{F9074B60-490F-4BCB-8D35-783AB2FEA520}"/>
    <cellStyle name="Migliaia 25 3 2 4 2 3" xfId="44280" xr:uid="{A09E94D2-9292-41FB-9FA8-39C948A732F5}"/>
    <cellStyle name="Migliaia 25 3 2 4 3" xfId="36449" xr:uid="{C5E06762-A6EF-4CAF-8A57-5BD21213A8D6}"/>
    <cellStyle name="Migliaia 25 3 2 4 4" xfId="41629" xr:uid="{6FA16952-6A26-4C07-BCCE-11CCEDD54E84}"/>
    <cellStyle name="Migliaia 25 3 2 4 5" xfId="17170" xr:uid="{DEE72B2B-5E23-4DD3-8FC8-9ED417AB07F7}"/>
    <cellStyle name="Migliaia 25 3 2 4 6" xfId="11304" xr:uid="{FA6B5B9D-CAEA-4619-9077-2A27D4CA6F06}"/>
    <cellStyle name="Migliaia 25 3 2 5" xfId="3381" xr:uid="{5F114FBB-46BD-4027-82E5-6A54E65E39D2}"/>
    <cellStyle name="Migliaia 25 3 2 5 2" xfId="33529" xr:uid="{675EFABD-8CFA-4FE3-AF96-4831FE29F1DC}"/>
    <cellStyle name="Migliaia 25 3 2 5 2 2" xfId="38979" xr:uid="{07C179D8-EF69-44FD-8A24-AEC31AB95626}"/>
    <cellStyle name="Migliaia 25 3 2 5 2 3" xfId="44281" xr:uid="{646AB3B7-BFD5-4A01-BB5C-519D8E27563E}"/>
    <cellStyle name="Migliaia 25 3 2 5 3" xfId="36450" xr:uid="{F6B4FC78-691C-4270-B099-1B681718BF48}"/>
    <cellStyle name="Migliaia 25 3 2 5 4" xfId="41630" xr:uid="{C3937E07-8956-4D16-951A-98C5331A1BA6}"/>
    <cellStyle name="Migliaia 25 3 2 5 5" xfId="17375" xr:uid="{EE9D8EE1-4792-45EB-A4B8-431765D2B587}"/>
    <cellStyle name="Migliaia 25 3 2 6" xfId="20190" xr:uid="{43BE347C-112B-46AD-B258-39D65715B3B1}"/>
    <cellStyle name="Migliaia 25 3 2 6 2" xfId="33530" xr:uid="{A1739CB7-C089-4D75-903F-BB1CC11E6974}"/>
    <cellStyle name="Migliaia 25 3 2 6 2 2" xfId="38980" xr:uid="{48E39070-EF81-41EF-A2B7-70DBACAA2D51}"/>
    <cellStyle name="Migliaia 25 3 2 6 2 3" xfId="44282" xr:uid="{ACFB773C-6BD6-4B11-B59E-A55B8DA178B0}"/>
    <cellStyle name="Migliaia 25 3 2 6 3" xfId="36451" xr:uid="{A06D0CAE-8C57-48E6-959A-C68269CA34B6}"/>
    <cellStyle name="Migliaia 25 3 2 6 4" xfId="41631" xr:uid="{C8966ABF-C0B6-4A67-A69D-4FC70F109917}"/>
    <cellStyle name="Migliaia 25 3 2 6 5" xfId="24578" xr:uid="{44C30FA0-FEF9-49A2-B0A1-D585F15BC7C1}"/>
    <cellStyle name="Migliaia 25 3 2 7" xfId="24576" xr:uid="{9DE884BE-7D65-42ED-8C7F-E97B5880C5AD}"/>
    <cellStyle name="Migliaia 25 3 2 8" xfId="7395" xr:uid="{948DB874-8F17-45F3-BA88-2FD251CFCCB4}"/>
    <cellStyle name="Migliaia 25 3 3" xfId="3383" xr:uid="{38552830-0ABA-4C01-B0AE-AEDAF6AB1987}"/>
    <cellStyle name="Migliaia 25 3 3 10" xfId="7394" xr:uid="{7FAAEF1B-D2FD-4F07-8626-010A84180BF7}"/>
    <cellStyle name="Migliaia 25 3 3 2" xfId="5109" xr:uid="{17C64CC5-A00C-43A9-92A2-B93E092BA702}"/>
    <cellStyle name="Migliaia 25 3 3 2 2" xfId="9916" xr:uid="{13692FC3-9758-41A6-9985-26034049084F}"/>
    <cellStyle name="Migliaia 25 3 3 2 2 2" xfId="38982" xr:uid="{596672E8-B807-4E66-B276-3F4DF9BC7555}"/>
    <cellStyle name="Migliaia 25 3 3 2 2 3" xfId="44284" xr:uid="{7EEB248B-CCFB-4B4B-8233-AB02247A1C9F}"/>
    <cellStyle name="Migliaia 25 3 3 2 3" xfId="18196" xr:uid="{83259077-0C31-4593-B32B-22DA7105D2D8}"/>
    <cellStyle name="Migliaia 25 3 3 2 4" xfId="20194" xr:uid="{F7A62B9E-10C7-484E-907B-82918CDE52A2}"/>
    <cellStyle name="Migliaia 25 3 3 2 4 2" xfId="41633" xr:uid="{32D4DF4E-4C66-41CB-AF1C-9C7AFE1A2DF8}"/>
    <cellStyle name="Migliaia 25 3 3 2 5" xfId="16273" xr:uid="{C8432ADB-E76A-474F-9B8D-5CB24E9C9712}"/>
    <cellStyle name="Migliaia 25 3 3 2 6" xfId="8584" xr:uid="{08379136-9363-473D-B6B8-5244FDB30C0B}"/>
    <cellStyle name="Migliaia 25 3 3 3" xfId="6316" xr:uid="{08FDF3F1-8DD6-445B-B200-E0855638C818}"/>
    <cellStyle name="Migliaia 25 3 3 3 2" xfId="33532" xr:uid="{776454FE-22F8-40C7-85B1-EA40FE1567EF}"/>
    <cellStyle name="Migliaia 25 3 3 3 2 2" xfId="38983" xr:uid="{949AC8D5-5111-405E-B8FD-1C8462170C9C}"/>
    <cellStyle name="Migliaia 25 3 3 3 2 3" xfId="44285" xr:uid="{B3A99F0B-68DB-4143-91C5-A42A9E8EF139}"/>
    <cellStyle name="Migliaia 25 3 3 3 3" xfId="36453" xr:uid="{2B890F9F-C918-43C6-8C4E-BB5017BB16DB}"/>
    <cellStyle name="Migliaia 25 3 3 3 4" xfId="41634" xr:uid="{B5605D90-F9C4-4A69-AF25-5D7554B2480E}"/>
    <cellStyle name="Migliaia 25 3 3 3 5" xfId="9679" xr:uid="{6FCA0C8C-E3A8-4658-8CDC-4B314777E86C}"/>
    <cellStyle name="Migliaia 25 3 3 4" xfId="20193" xr:uid="{6C698ACC-A374-4B83-87F7-2EED11EBFA15}"/>
    <cellStyle name="Migliaia 25 3 3 4 2" xfId="33533" xr:uid="{014EAE77-386C-4801-8A3D-3E7FC73D6E2B}"/>
    <cellStyle name="Migliaia 25 3 3 4 2 2" xfId="38984" xr:uid="{2B53CD9E-5797-4D75-B290-7CC712CF0535}"/>
    <cellStyle name="Migliaia 25 3 3 4 2 3" xfId="44286" xr:uid="{DF70EFA8-6FE3-4482-9789-ABBEA2507049}"/>
    <cellStyle name="Migliaia 25 3 3 4 3" xfId="36454" xr:uid="{D6940269-F145-46CD-8813-58A256F23A73}"/>
    <cellStyle name="Migliaia 25 3 3 4 4" xfId="41635" xr:uid="{D7690F52-8021-4DB5-B9A1-014F7CA9E6EF}"/>
    <cellStyle name="Migliaia 25 3 3 4 5" xfId="24579" xr:uid="{4D7E8D7F-3037-4821-B1A1-97CC3C48D841}"/>
    <cellStyle name="Migliaia 25 3 3 5" xfId="24580" xr:uid="{5B9FB7BC-6C84-450E-BA9B-46923A783BBD}"/>
    <cellStyle name="Migliaia 25 3 3 5 2" xfId="33534" xr:uid="{FCAC9B53-B325-4DC5-98D9-2FE73B5055F8}"/>
    <cellStyle name="Migliaia 25 3 3 5 2 2" xfId="38985" xr:uid="{66218DF8-CC41-4C8D-AF56-15632891707A}"/>
    <cellStyle name="Migliaia 25 3 3 5 2 3" xfId="44287" xr:uid="{ADE58C7D-28B8-46B6-99D4-9CF0B1E5D793}"/>
    <cellStyle name="Migliaia 25 3 3 5 3" xfId="36455" xr:uid="{3A921EE0-C91F-4DE9-8BE0-FA88098DE738}"/>
    <cellStyle name="Migliaia 25 3 3 5 4" xfId="41636" xr:uid="{BB2E74E3-8D7D-427A-A66F-E42D7667E408}"/>
    <cellStyle name="Migliaia 25 3 3 6" xfId="33531" xr:uid="{1A49C565-3A87-40E9-8479-2334ABC37744}"/>
    <cellStyle name="Migliaia 25 3 3 6 2" xfId="38981" xr:uid="{DEF67D03-1072-45B6-82EE-159166C2F5E7}"/>
    <cellStyle name="Migliaia 25 3 3 6 3" xfId="44283" xr:uid="{DF9C67D2-BFDE-4F66-BD14-9228E95A853C}"/>
    <cellStyle name="Migliaia 25 3 3 7" xfId="36452" xr:uid="{E3087F98-2273-49A3-9777-D9CEB6AC3959}"/>
    <cellStyle name="Migliaia 25 3 3 8" xfId="41632" xr:uid="{4E4067CF-82E2-45DC-AC2A-064DCE2CF8A6}"/>
    <cellStyle name="Migliaia 25 3 3 9" xfId="16272" xr:uid="{C02E4602-CD57-4A46-AEF6-4A22560CD794}"/>
    <cellStyle name="Migliaia 25 3 4" xfId="3384" xr:uid="{2179D370-5BFC-4BEA-B418-9477C7656D49}"/>
    <cellStyle name="Migliaia 25 3 4 2" xfId="5110" xr:uid="{DA613D7C-E4DF-4DED-A2FB-D007332354FD}"/>
    <cellStyle name="Migliaia 25 3 4 2 2" xfId="14440" xr:uid="{9317B6B2-8D73-439E-A31F-23BF1F8E357B}"/>
    <cellStyle name="Migliaia 25 3 4 2 3" xfId="18558" xr:uid="{F3981253-5620-4BE4-9680-83F23668554C}"/>
    <cellStyle name="Migliaia 25 3 4 2 4" xfId="20196" xr:uid="{E26519A6-85DC-4A90-9518-4F5503627A19}"/>
    <cellStyle name="Migliaia 25 3 4 2 5" xfId="32349" xr:uid="{BA3A74B3-AA2A-4119-8E96-EBF30D205D58}"/>
    <cellStyle name="Migliaia 25 3 4 2 6" xfId="16275" xr:uid="{61589B27-136C-4BA3-957B-3CE6E982B920}"/>
    <cellStyle name="Migliaia 25 3 4 2 7" xfId="8863" xr:uid="{B829C178-CD57-4696-9A5E-8A1917EE0054}"/>
    <cellStyle name="Migliaia 25 3 4 3" xfId="6317" xr:uid="{CBDDF5FB-47F9-436C-B8DE-C8C4D08C48FF}"/>
    <cellStyle name="Migliaia 25 3 4 3 2" xfId="35244" xr:uid="{863389DE-2088-4934-9158-077F4FB3FE6C}"/>
    <cellStyle name="Migliaia 25 3 4 3 2 2" xfId="40404" xr:uid="{CED0775F-C7A3-4548-9288-FA1F8FA88690}"/>
    <cellStyle name="Migliaia 25 3 4 3 2 3" xfId="45706" xr:uid="{4E4FEBC5-E8C9-4389-9438-536E86185A99}"/>
    <cellStyle name="Migliaia 25 3 4 3 3" xfId="37753" xr:uid="{E910947D-B44F-45F8-BC28-6F14B9BBF901}"/>
    <cellStyle name="Migliaia 25 3 4 3 4" xfId="43055" xr:uid="{5FA97904-09D9-42BC-9BD3-3C13150314CC}"/>
    <cellStyle name="Migliaia 25 3 4 3 5" xfId="13688" xr:uid="{90F8A7CE-4A48-46EA-B677-4002B6103DC8}"/>
    <cellStyle name="Migliaia 25 3 4 4" xfId="20195" xr:uid="{C0779A43-9F1C-4EB5-BD5A-FFBC328C05AE}"/>
    <cellStyle name="Migliaia 25 3 4 4 2" xfId="38986" xr:uid="{62558E8D-56E1-4BEE-A994-574357AA5101}"/>
    <cellStyle name="Migliaia 25 3 4 4 3" xfId="44288" xr:uid="{CA9A9386-E16F-4F5C-AD36-B04C6FFC3EA6}"/>
    <cellStyle name="Migliaia 25 3 4 4 4" xfId="33535" xr:uid="{5CA22E74-CCF0-42A5-9B2B-47D7BC6D4BB3}"/>
    <cellStyle name="Migliaia 25 3 4 5" xfId="36456" xr:uid="{DCA7ACD7-15A3-4117-991B-AE9EBBFF579B}"/>
    <cellStyle name="Migliaia 25 3 4 6" xfId="41637" xr:uid="{2F55610D-7AF1-4073-9E33-0EF8C4BF1434}"/>
    <cellStyle name="Migliaia 25 3 4 7" xfId="16274" xr:uid="{8F774F52-B5F4-4F89-A530-92C6CE19C225}"/>
    <cellStyle name="Migliaia 25 3 4 8" xfId="7673" xr:uid="{F3ACBDD3-BE31-4CEF-BD87-B1F0136D9396}"/>
    <cellStyle name="Migliaia 25 3 5" xfId="3385" xr:uid="{56732586-3F6C-45FF-881A-D07ECFF4A7AC}"/>
    <cellStyle name="Migliaia 25 3 5 2" xfId="5111" xr:uid="{F29011E9-BE7C-4C98-871B-424FB8A534AA}"/>
    <cellStyle name="Migliaia 25 3 5 2 2" xfId="35245" xr:uid="{170BCCB6-EC89-45AA-8AFB-54DF0D946C3E}"/>
    <cellStyle name="Migliaia 25 3 5 2 2 2" xfId="40405" xr:uid="{6CF61764-54AB-4736-9CC8-5AF925567A99}"/>
    <cellStyle name="Migliaia 25 3 5 2 2 3" xfId="45707" xr:uid="{847AB4E5-50F2-4FDA-ADAD-CC9745338EE1}"/>
    <cellStyle name="Migliaia 25 3 5 2 3" xfId="37754" xr:uid="{0E809514-3DB4-4356-BFCF-A9D161971CB3}"/>
    <cellStyle name="Migliaia 25 3 5 2 4" xfId="43056" xr:uid="{C1ACED36-9DD1-4010-ABCE-55B83308AEA9}"/>
    <cellStyle name="Migliaia 25 3 5 2 5" xfId="14232" xr:uid="{513B836E-9EA3-4762-87D0-850B28F11DE5}"/>
    <cellStyle name="Migliaia 25 3 5 3" xfId="6318" xr:uid="{C15C2ECC-4E73-413F-A6EE-9C73B985135B}"/>
    <cellStyle name="Migliaia 25 3 5 3 2" xfId="38987" xr:uid="{7D4DD59E-3F2C-498B-AF0F-CBB2BF59CF41}"/>
    <cellStyle name="Migliaia 25 3 5 3 3" xfId="44289" xr:uid="{7DD09088-D59B-4547-9945-3C6A1D164207}"/>
    <cellStyle name="Migliaia 25 3 5 3 4" xfId="33536" xr:uid="{F4F99B6C-DFCA-480E-B92F-2E837330983D}"/>
    <cellStyle name="Migliaia 25 3 5 3 5" xfId="20197" xr:uid="{1AF6BA8C-B954-403B-B7D1-1D02F591A405}"/>
    <cellStyle name="Migliaia 25 3 5 4" xfId="36457" xr:uid="{50E07E36-BCDA-4390-B8B7-56F28317288A}"/>
    <cellStyle name="Migliaia 25 3 5 5" xfId="41638" xr:uid="{659215E0-461D-476D-A1BA-AB17B1509F9C}"/>
    <cellStyle name="Migliaia 25 3 5 6" xfId="16276" xr:uid="{A49904C6-E58F-4BD9-8827-4D553712F76D}"/>
    <cellStyle name="Migliaia 25 3 5 7" xfId="8294" xr:uid="{9CB00F2D-B7F0-4456-9727-D63E51B404F7}"/>
    <cellStyle name="Migliaia 25 3 6" xfId="5106" xr:uid="{0737920A-D815-4BA4-AB04-FA5FFCBCF28D}"/>
    <cellStyle name="Migliaia 25 3 6 2" xfId="13937" xr:uid="{1B5FCC12-4FDC-467F-A9C3-BFAC09CCF259}"/>
    <cellStyle name="Migliaia 25 3 6 2 2" xfId="38988" xr:uid="{5BFDBD6C-1DB5-45D8-8FC5-15FC6FBDFBC1}"/>
    <cellStyle name="Migliaia 25 3 6 2 3" xfId="44290" xr:uid="{CE0BC781-BEB6-4F60-A1AF-C0C2E21E0F30}"/>
    <cellStyle name="Migliaia 25 3 6 3" xfId="18018" xr:uid="{022D364C-ED4D-40B4-8475-0AD68642A723}"/>
    <cellStyle name="Migliaia 25 3 6 4" xfId="20198" xr:uid="{2810BB0D-4F9E-445C-A3DF-486C74339B98}"/>
    <cellStyle name="Migliaia 25 3 6 4 2" xfId="41639" xr:uid="{F8B64989-CE00-4E45-AFE0-449C038D7210}"/>
    <cellStyle name="Migliaia 25 3 6 5" xfId="16277" xr:uid="{F59F7098-432F-4B23-8D8C-CDEE99D26A63}"/>
    <cellStyle name="Migliaia 25 3 6 6" xfId="7892" xr:uid="{D818D623-0E97-4148-903A-A2039243C3E2}"/>
    <cellStyle name="Migliaia 25 3 7" xfId="6313" xr:uid="{DEA93F8C-33F5-46D7-9F4F-D4918F728C95}"/>
    <cellStyle name="Migliaia 25 3 7 2" xfId="33537" xr:uid="{DF61B5EC-1968-46A1-91DB-6902564BF46B}"/>
    <cellStyle name="Migliaia 25 3 7 2 2" xfId="38989" xr:uid="{59CDCEA2-69BE-482E-9972-CCE3B21E79C6}"/>
    <cellStyle name="Migliaia 25 3 7 2 3" xfId="44291" xr:uid="{B8A61CB8-9F65-400B-8CAB-B00771639B20}"/>
    <cellStyle name="Migliaia 25 3 7 3" xfId="36458" xr:uid="{85F64227-E586-4E5E-B4DB-E94371341F8A}"/>
    <cellStyle name="Migliaia 25 3 7 4" xfId="41640" xr:uid="{6D1D820D-6C3E-400D-BF11-F42777E4E9BB}"/>
    <cellStyle name="Migliaia 25 3 7 5" xfId="12241" xr:uid="{3FBC6C3C-3D56-45E8-BCE3-3082F40B0720}"/>
    <cellStyle name="Migliaia 25 3 8" xfId="3380" xr:uid="{EE025904-31A6-4BCF-B004-0B4D13483796}"/>
    <cellStyle name="Migliaia 25 3 8 2" xfId="33538" xr:uid="{5F194DCA-5854-4283-A668-321E11A36C16}"/>
    <cellStyle name="Migliaia 25 3 8 2 2" xfId="38990" xr:uid="{A45078E0-BEA9-452F-B5F2-A3647147128F}"/>
    <cellStyle name="Migliaia 25 3 8 2 3" xfId="44292" xr:uid="{9C663C70-693F-49F2-86A2-73DB1B1CEC68}"/>
    <cellStyle name="Migliaia 25 3 8 3" xfId="36459" xr:uid="{D9BA8D54-C414-4824-8EB3-DBE50D6F293C}"/>
    <cellStyle name="Migliaia 25 3 8 4" xfId="41641" xr:uid="{4EC67972-BFBA-4D1C-B947-7E0013BD97FD}"/>
    <cellStyle name="Migliaia 25 3 8 5" xfId="24581" xr:uid="{55153C4E-10DA-4515-BAF1-EF1C4CA9C853}"/>
    <cellStyle name="Migliaia 25 3 8 6" xfId="17376" xr:uid="{EAF9F3D0-2F24-41E7-8D00-12C7E08BD2E5}"/>
    <cellStyle name="Migliaia 25 3 9" xfId="20189" xr:uid="{25635347-9665-45C9-8526-D4ADF31FAF52}"/>
    <cellStyle name="Migliaia 25 4" xfId="1743" xr:uid="{00000000-0005-0000-0000-00005E030000}"/>
    <cellStyle name="Migliaia 25 4 2" xfId="1744" xr:uid="{00000000-0005-0000-0000-00005F030000}"/>
    <cellStyle name="Migliaia 25 4 2 2" xfId="5113" xr:uid="{C8967D44-7B2E-4623-ABD8-C349880A29F5}"/>
    <cellStyle name="Migliaia 25 4 2 2 2" xfId="33539" xr:uid="{0CF92DFA-5C67-4E75-91D5-881E46188836}"/>
    <cellStyle name="Migliaia 25 4 2 2 2 2" xfId="38991" xr:uid="{BCB84286-F34A-43DE-9FE8-4C0F14B633B7}"/>
    <cellStyle name="Migliaia 25 4 2 2 2 3" xfId="44293" xr:uid="{FA696F8A-6F83-4298-9B3E-097001931627}"/>
    <cellStyle name="Migliaia 25 4 2 2 3" xfId="36460" xr:uid="{E5B9C69F-08B1-4B3C-B420-6FFCE77FDE7E}"/>
    <cellStyle name="Migliaia 25 4 2 2 4" xfId="41642" xr:uid="{366D83B9-A424-488C-8F05-63DC12E0941A}"/>
    <cellStyle name="Migliaia 25 4 2 2 5" xfId="9142" xr:uid="{6475613E-2664-4833-885C-2722C63E2D59}"/>
    <cellStyle name="Migliaia 25 4 2 3" xfId="3387" xr:uid="{1F1B7C10-BC84-4C9F-A75B-4C275BD8590B}"/>
    <cellStyle name="Migliaia 25 4 2 3 2" xfId="33540" xr:uid="{2660F1F0-4C89-430A-8E28-DD5C34435F70}"/>
    <cellStyle name="Migliaia 25 4 2 3 2 2" xfId="38992" xr:uid="{D0432658-C2DF-4B21-B4A5-0AA4FDCD585C}"/>
    <cellStyle name="Migliaia 25 4 2 3 2 3" xfId="44294" xr:uid="{18FCFD82-1225-4AA8-9354-AFF37A479C2F}"/>
    <cellStyle name="Migliaia 25 4 2 3 3" xfId="36461" xr:uid="{D117CAEF-6443-4713-A0BE-533D066B7E83}"/>
    <cellStyle name="Migliaia 25 4 2 3 4" xfId="41643" xr:uid="{DE6D5F1C-2C30-4835-9FC2-917B9D747556}"/>
    <cellStyle name="Migliaia 25 4 2 3 5" xfId="11957" xr:uid="{5A8E75AE-E482-4D5A-BE1E-30242A0AB671}"/>
    <cellStyle name="Migliaia 25 4 2 4" xfId="11306" xr:uid="{5918C730-783C-4311-B39F-7E9ED0BE2134}"/>
    <cellStyle name="Migliaia 25 4 2 5" xfId="10821" xr:uid="{6C581FD9-F0FE-4928-9FC2-57CEC33F89EE}"/>
    <cellStyle name="Migliaia 25 4 2 5 2" xfId="21456" xr:uid="{C212BFB7-2156-4D05-8DC4-CF8EB31DC22D}"/>
    <cellStyle name="Migliaia 25 4 2 5 3" xfId="34548" xr:uid="{37B3290A-8169-46F2-8081-F24E63AE6372}"/>
    <cellStyle name="Migliaia 25 4 2 5 4" xfId="50471" xr:uid="{E7B9A1CD-AC52-4566-8799-9C152976B9DF}"/>
    <cellStyle name="Migliaia 25 4 2 5 5" xfId="53487" xr:uid="{B368DA8F-3B68-4DEB-8DBD-C3EB11B913BE}"/>
    <cellStyle name="Migliaia 25 4 2 6" xfId="20200" xr:uid="{1E0C19EB-1A0D-4FB8-80B6-4F30060ECA06}"/>
    <cellStyle name="Migliaia 25 4 2 7" xfId="24583" xr:uid="{6841F793-6488-42C7-8425-7844D5A7FEA0}"/>
    <cellStyle name="Migliaia 25 4 2 8" xfId="8586" xr:uid="{1E0E5CFA-1FC6-4CBF-8469-F1B3A51FB7B5}"/>
    <cellStyle name="Migliaia 25 4 3" xfId="5112" xr:uid="{2CB245E1-F9A9-423A-95EF-E30DB1830F0F}"/>
    <cellStyle name="Migliaia 25 4 3 2" xfId="18197" xr:uid="{2E7AC88F-AA29-4421-8A9D-A6CA6E36AF9C}"/>
    <cellStyle name="Migliaia 25 4 3 2 2" xfId="38993" xr:uid="{71057637-A039-4059-A2B7-0642578D82B9}"/>
    <cellStyle name="Migliaia 25 4 3 2 3" xfId="44295" xr:uid="{12C1F427-D6EB-43D2-AF26-D56303D1BC58}"/>
    <cellStyle name="Migliaia 25 4 3 3" xfId="36462" xr:uid="{FB37418D-69D5-4D06-97DF-95BD53720142}"/>
    <cellStyle name="Migliaia 25 4 3 4" xfId="41644" xr:uid="{D6675FC4-C27C-4746-A9AF-31E8A6EE6D2E}"/>
    <cellStyle name="Migliaia 25 4 3 5" xfId="17374" xr:uid="{82F2BCE4-377A-4302-BA4D-AFE92D5D903F}"/>
    <cellStyle name="Migliaia 25 4 3 6" xfId="9143" xr:uid="{E58EA838-4C5F-46C5-8E69-808816D673C4}"/>
    <cellStyle name="Migliaia 25 4 4" xfId="6319" xr:uid="{24F0AD00-8805-457E-B063-B61950A03C91}"/>
    <cellStyle name="Migliaia 25 4 4 2" xfId="33541" xr:uid="{1DABD470-D248-4305-B9C2-B1A856507B33}"/>
    <cellStyle name="Migliaia 25 4 4 2 2" xfId="38994" xr:uid="{66489B92-A5F1-4437-AC4F-87BD054FC702}"/>
    <cellStyle name="Migliaia 25 4 4 2 3" xfId="44296" xr:uid="{2F4CEDCC-D3C3-4326-96E1-645428F2E396}"/>
    <cellStyle name="Migliaia 25 4 4 3" xfId="36463" xr:uid="{987FF55E-9FEA-46DD-B898-45C278C51569}"/>
    <cellStyle name="Migliaia 25 4 4 4" xfId="41645" xr:uid="{DE5BC7F7-DF62-48D0-94D4-FED9174048C1}"/>
    <cellStyle name="Migliaia 25 4 4 5" xfId="11958" xr:uid="{F19801BE-9080-4841-A36A-D289531C82DE}"/>
    <cellStyle name="Migliaia 25 4 5" xfId="3386" xr:uid="{8BA3486A-48A8-46D1-96A8-844397F9B1EE}"/>
    <cellStyle name="Migliaia 25 4 5 2" xfId="33542" xr:uid="{86A91863-DFB2-4D83-9095-03302E2B0D48}"/>
    <cellStyle name="Migliaia 25 4 5 2 2" xfId="38995" xr:uid="{78CE95A8-4682-4034-868A-88B76B5F4C39}"/>
    <cellStyle name="Migliaia 25 4 5 2 3" xfId="44297" xr:uid="{07FA83FB-153B-43D3-A3FB-4B87C49D6851}"/>
    <cellStyle name="Migliaia 25 4 5 3" xfId="36464" xr:uid="{74401987-DFB4-427C-A131-99DE9A6846E7}"/>
    <cellStyle name="Migliaia 25 4 5 4" xfId="41646" xr:uid="{8D2E905F-16DC-40B0-8172-C2CF537B514F}"/>
    <cellStyle name="Migliaia 25 4 5 5" xfId="11305" xr:uid="{4A3A96DB-2CCF-47B5-B624-9ECBC1087CF5}"/>
    <cellStyle name="Migliaia 25 4 6" xfId="10820" xr:uid="{0A80270D-1507-4C5E-9338-D94556EC7437}"/>
    <cellStyle name="Migliaia 25 4 6 2" xfId="21455" xr:uid="{A3550E7E-A427-412F-AA92-43F4FD90EB0F}"/>
    <cellStyle name="Migliaia 25 4 6 2 2" xfId="38996" xr:uid="{D1A9DE57-F16F-4FB8-9C17-559D65407AFD}"/>
    <cellStyle name="Migliaia 25 4 6 2 3" xfId="44298" xr:uid="{5513DEC5-154B-476D-8741-157AE9E71DD6}"/>
    <cellStyle name="Migliaia 25 4 6 2 4" xfId="33543" xr:uid="{DA0118C5-99CE-4378-9A99-60CE0096EFB4}"/>
    <cellStyle name="Migliaia 25 4 6 3" xfId="36465" xr:uid="{37D986C5-210B-4D18-B7E0-84EE5609F89E}"/>
    <cellStyle name="Migliaia 25 4 6 4" xfId="41647" xr:uid="{C0A1DBED-9978-4DE3-9DDB-565745490A08}"/>
    <cellStyle name="Migliaia 25 4 6 5" xfId="24584" xr:uid="{B51E1AC2-8160-4C1D-B5C2-579D5EC66B0C}"/>
    <cellStyle name="Migliaia 25 4 6 6" xfId="48174" xr:uid="{E2B17CE3-7779-47BC-96D5-7664C4A73EEF}"/>
    <cellStyle name="Migliaia 25 4 6 7" xfId="50470" xr:uid="{9BA14BFC-162D-4447-A9B2-1D3E33909F1C}"/>
    <cellStyle name="Migliaia 25 4 6 8" xfId="53486" xr:uid="{A1745A46-1A03-427D-9939-29881EEB330F}"/>
    <cellStyle name="Migliaia 25 4 7" xfId="20199" xr:uid="{C01C3F6E-9539-4EA8-B6E1-56623DF59C93}"/>
    <cellStyle name="Migliaia 25 4 7 2" xfId="33544" xr:uid="{5639BB23-9572-4458-A09F-9C1EE5A8E2E2}"/>
    <cellStyle name="Migliaia 25 4 7 2 2" xfId="38997" xr:uid="{46634640-CE6F-4975-8CA0-839055AF88D5}"/>
    <cellStyle name="Migliaia 25 4 7 2 3" xfId="44299" xr:uid="{5B87A785-8B00-427D-8488-0C5088D24510}"/>
    <cellStyle name="Migliaia 25 4 7 3" xfId="36466" xr:uid="{2E1B044B-9A3E-451C-955D-964A2CDA7B58}"/>
    <cellStyle name="Migliaia 25 4 7 4" xfId="41648" xr:uid="{035ABFC4-7FC4-4E7E-9D22-5B4385491A07}"/>
    <cellStyle name="Migliaia 25 4 7 5" xfId="24585" xr:uid="{5C2D5C22-DA78-445D-8CCA-FC796BE03EAF}"/>
    <cellStyle name="Migliaia 25 4 8" xfId="24582" xr:uid="{11C783B7-DA96-462B-A154-FE73B5416021}"/>
    <cellStyle name="Migliaia 25 4 9" xfId="7396" xr:uid="{5202003E-A921-4750-BF9D-1CE263527F6F}"/>
    <cellStyle name="Migliaia 25 5" xfId="1745" xr:uid="{00000000-0005-0000-0000-000060030000}"/>
    <cellStyle name="Migliaia 25 5 2" xfId="5114" xr:uid="{4E44C6E5-28FB-4D83-AA61-F336D98F7E36}"/>
    <cellStyle name="Migliaia 25 5 2 2" xfId="18415" xr:uid="{5D753F52-62AC-403D-A86E-2D94BB163129}"/>
    <cellStyle name="Migliaia 25 5 2 2 2" xfId="38998" xr:uid="{29A360AA-6E01-42B3-B89A-957270D05E88}"/>
    <cellStyle name="Migliaia 25 5 2 2 3" xfId="44300" xr:uid="{CD8B2466-DA83-43B8-BF43-B66A31A05F26}"/>
    <cellStyle name="Migliaia 25 5 2 3" xfId="20202" xr:uid="{E0FEB416-3DA5-4D41-AD37-6FC1C502C9F8}"/>
    <cellStyle name="Migliaia 25 5 2 3 2" xfId="36467" xr:uid="{AC8EBFB9-D31B-439D-B7D9-C679513C0C87}"/>
    <cellStyle name="Migliaia 25 5 2 4" xfId="41649" xr:uid="{497E2D39-3E51-4118-B45F-376D620E24AA}"/>
    <cellStyle name="Migliaia 25 5 2 5" xfId="16278" xr:uid="{6D01FCA7-F84E-4370-A668-3EACF43AA1F4}"/>
    <cellStyle name="Migliaia 25 5 2 6" xfId="8587" xr:uid="{455105A0-7811-4EFC-99BE-6BFD90D9749D}"/>
    <cellStyle name="Migliaia 25 5 3" xfId="6320" xr:uid="{3A354204-69BF-44BA-8EF3-25AAB17A801D}"/>
    <cellStyle name="Migliaia 25 5 3 2" xfId="33545" xr:uid="{39AE7229-6732-4A84-9628-44C3B0463FD0}"/>
    <cellStyle name="Migliaia 25 5 3 2 2" xfId="38999" xr:uid="{083ECC18-F4D2-4363-BE15-4CF32CFDA670}"/>
    <cellStyle name="Migliaia 25 5 3 2 3" xfId="44301" xr:uid="{7224CC0A-19E2-4D14-9AF1-77D5A92C6D08}"/>
    <cellStyle name="Migliaia 25 5 3 3" xfId="36468" xr:uid="{3DCBCB34-217C-4F77-828F-4B9DE7BA88D3}"/>
    <cellStyle name="Migliaia 25 5 3 4" xfId="41650" xr:uid="{CF1FA9A1-4AFD-4D5A-B3C8-CCC26D4F88DC}"/>
    <cellStyle name="Migliaia 25 5 3 5" xfId="11307" xr:uid="{807A946A-A326-47F7-B081-A4841130708D}"/>
    <cellStyle name="Migliaia 25 5 4" xfId="3388" xr:uid="{3770EF6E-6EDC-498E-919D-F229028F4B42}"/>
    <cellStyle name="Migliaia 25 5 4 2" xfId="21457" xr:uid="{413F62C5-418D-43E5-8A7D-DA39EE4E18FC}"/>
    <cellStyle name="Migliaia 25 5 4 2 2" xfId="39000" xr:uid="{790AD67C-AB27-4AB0-BCA2-5F1739B07C7F}"/>
    <cellStyle name="Migliaia 25 5 4 2 3" xfId="44302" xr:uid="{1C2F9074-086D-433D-95C7-7DE6F8E586F7}"/>
    <cellStyle name="Migliaia 25 5 4 2 4" xfId="33546" xr:uid="{96679DAD-7052-47E6-B593-36BBD4E15AD6}"/>
    <cellStyle name="Migliaia 25 5 4 3" xfId="36469" xr:uid="{2B8627F5-A3F8-422C-A066-3F88B882D0A3}"/>
    <cellStyle name="Migliaia 25 5 4 4" xfId="41651" xr:uid="{CDF5D065-CD4B-4CD3-9501-F3EB9C48A2D6}"/>
    <cellStyle name="Migliaia 25 5 4 5" xfId="24587" xr:uid="{453318C6-2FDC-48AC-83C1-7C55784DBB9D}"/>
    <cellStyle name="Migliaia 25 5 4 6" xfId="47392" xr:uid="{75ADC991-5634-4B27-970B-4118AF28F17F}"/>
    <cellStyle name="Migliaia 25 5 4 7" xfId="50472" xr:uid="{07107387-150A-439F-A4D4-CA5ED4BC311D}"/>
    <cellStyle name="Migliaia 25 5 4 8" xfId="53488" xr:uid="{0F7FDF16-AE18-44A0-992C-958CF09CA4AB}"/>
    <cellStyle name="Migliaia 25 5 4 9" xfId="10822" xr:uid="{11A795A7-4D0E-42DE-9141-6CE95595FAFA}"/>
    <cellStyle name="Migliaia 25 5 5" xfId="20201" xr:uid="{110A2205-657E-46DF-847C-7EFF694FBAFA}"/>
    <cellStyle name="Migliaia 25 5 5 2" xfId="33547" xr:uid="{FD5E62AF-CF3D-4BA6-91F6-1479ECDFE0B4}"/>
    <cellStyle name="Migliaia 25 5 5 2 2" xfId="39001" xr:uid="{D53C0AD5-8AB6-405C-9848-CD9B3DCDC979}"/>
    <cellStyle name="Migliaia 25 5 5 2 3" xfId="44303" xr:uid="{A3F05B4B-0EB7-4003-BE00-11634AECB30D}"/>
    <cellStyle name="Migliaia 25 5 5 3" xfId="36470" xr:uid="{8B6334A5-7F34-4BC1-811F-549766F6A136}"/>
    <cellStyle name="Migliaia 25 5 5 4" xfId="41652" xr:uid="{58FD2286-6E43-4156-BFD3-1B0F4509F849}"/>
    <cellStyle name="Migliaia 25 5 5 5" xfId="24588" xr:uid="{E959279A-51F2-48F1-BDB6-8A53A00A2D94}"/>
    <cellStyle name="Migliaia 25 5 6" xfId="24589" xr:uid="{039CD4B4-A345-4855-AE37-088B04C649E4}"/>
    <cellStyle name="Migliaia 25 5 6 2" xfId="33548" xr:uid="{55B4AC7E-9314-4348-BB28-BB0BDA026DD7}"/>
    <cellStyle name="Migliaia 25 5 6 2 2" xfId="39002" xr:uid="{C0B0D485-1B1C-45F6-AED8-CC64BD9678D2}"/>
    <cellStyle name="Migliaia 25 5 6 2 3" xfId="44304" xr:uid="{E092FE4A-ACA1-4C77-9598-831F231DDE64}"/>
    <cellStyle name="Migliaia 25 5 6 3" xfId="36471" xr:uid="{7EA828E6-07DC-4170-962A-9D0DEE3A7C7B}"/>
    <cellStyle name="Migliaia 25 5 6 4" xfId="41653" xr:uid="{C5CB3531-8BF3-450E-A6F5-F753F76B23C5}"/>
    <cellStyle name="Migliaia 25 5 7" xfId="24586" xr:uid="{3B7D819A-D302-4FEE-A9ED-8E1D116F5B9D}"/>
    <cellStyle name="Migliaia 25 5 8" xfId="7397" xr:uid="{41A1C411-25A1-4914-9DF5-B4231EEB3855}"/>
    <cellStyle name="Migliaia 25 6" xfId="3389" xr:uid="{C9507F08-C135-425A-B205-EC89A86A952F}"/>
    <cellStyle name="Migliaia 25 6 2" xfId="5115" xr:uid="{E6018C63-CC0D-4948-A419-BA07D349F2E6}"/>
    <cellStyle name="Migliaia 25 6 2 2" xfId="9915" xr:uid="{EC25025B-E52C-4285-A095-C8A1408B2ACD}"/>
    <cellStyle name="Migliaia 25 6 2 3" xfId="18663" xr:uid="{7C4B2CB9-647C-4F15-B55B-E86C51E80245}"/>
    <cellStyle name="Migliaia 25 6 2 4" xfId="20204" xr:uid="{5014F6A8-F2A9-43F3-A568-484F9E352E3C}"/>
    <cellStyle name="Migliaia 25 6 2 5" xfId="32350" xr:uid="{4522732D-C25A-4014-830D-E2861C5761D2}"/>
    <cellStyle name="Migliaia 25 6 2 6" xfId="16280" xr:uid="{F62366EA-A57D-4D26-A4D6-018002A5E732}"/>
    <cellStyle name="Migliaia 25 6 2 7" xfId="8582" xr:uid="{38627AA2-DBB6-415A-AB27-1C16EF2EFF9D}"/>
    <cellStyle name="Migliaia 25 6 3" xfId="6321" xr:uid="{9212697E-7D73-454A-A6A0-E92A65E0A799}"/>
    <cellStyle name="Migliaia 25 6 3 2" xfId="35246" xr:uid="{B932E24C-B3AA-4D98-BEB7-0E68A5AC46FA}"/>
    <cellStyle name="Migliaia 25 6 3 2 2" xfId="40406" xr:uid="{E63511F7-61DE-45FC-9A0B-798F21F47593}"/>
    <cellStyle name="Migliaia 25 6 3 2 3" xfId="45708" xr:uid="{CF3D4A9A-68CB-4CF9-AC63-2B68D68F05C2}"/>
    <cellStyle name="Migliaia 25 6 3 3" xfId="37755" xr:uid="{7E863D65-A8B4-4128-8BEF-FD5012E530F4}"/>
    <cellStyle name="Migliaia 25 6 3 4" xfId="43057" xr:uid="{6C9202A1-9A88-478D-A929-425BAD2D4FF7}"/>
    <cellStyle name="Migliaia 25 6 3 5" xfId="9678" xr:uid="{22347767-0F46-4F4A-94E6-B5120DAC0891}"/>
    <cellStyle name="Migliaia 25 6 4" xfId="20203" xr:uid="{7E9F3AF9-0BCE-4E80-8C4B-3690F2EF866B}"/>
    <cellStyle name="Migliaia 25 6 4 2" xfId="39003" xr:uid="{2A5E3CF5-9A7B-4FD6-895F-985C4EFDBBC3}"/>
    <cellStyle name="Migliaia 25 6 4 3" xfId="44305" xr:uid="{9329BB3B-B17B-42B1-85E6-C33E0E3A61E2}"/>
    <cellStyle name="Migliaia 25 6 4 4" xfId="33549" xr:uid="{98409F07-DBE0-45B0-9338-C5EC2E03BD88}"/>
    <cellStyle name="Migliaia 25 6 5" xfId="36472" xr:uid="{310F4F5C-C542-4028-99FA-20EE9C431891}"/>
    <cellStyle name="Migliaia 25 6 6" xfId="41654" xr:uid="{361DE549-82F7-493B-B3A6-8F4D8C014529}"/>
    <cellStyle name="Migliaia 25 6 7" xfId="16279" xr:uid="{BE134A42-386D-4253-914A-F964611AD437}"/>
    <cellStyle name="Migliaia 25 6 8" xfId="7392" xr:uid="{66666B04-CA4C-434A-A4A8-A4D8E7F8D37D}"/>
    <cellStyle name="Migliaia 25 7" xfId="3390" xr:uid="{E738E352-FC1E-45E9-942A-19AF280442E0}"/>
    <cellStyle name="Migliaia 25 7 2" xfId="5116" xr:uid="{9A028157-BAC1-4BD2-8309-DBB5D48B9980}"/>
    <cellStyle name="Migliaia 25 7 2 2" xfId="35247" xr:uid="{7A55DE9C-A726-4206-9F5B-00E241701E44}"/>
    <cellStyle name="Migliaia 25 7 2 2 2" xfId="40407" xr:uid="{D1242F95-1C7B-49DA-BFBF-2AA965F99B6F}"/>
    <cellStyle name="Migliaia 25 7 2 2 3" xfId="45709" xr:uid="{5FE3BB9B-3028-473C-907A-8A00D9652571}"/>
    <cellStyle name="Migliaia 25 7 2 3" xfId="37756" xr:uid="{03541401-D935-452C-A263-02957A04C3B5}"/>
    <cellStyle name="Migliaia 25 7 2 4" xfId="43058" xr:uid="{84B2522C-E922-4F2E-9A06-F6D31CBFC6CB}"/>
    <cellStyle name="Migliaia 25 7 2 5" xfId="14230" xr:uid="{060FA4D6-3F49-48AE-8209-EA61540727D8}"/>
    <cellStyle name="Migliaia 25 7 3" xfId="6322" xr:uid="{C623761F-2348-4F35-A140-AC458B24566C}"/>
    <cellStyle name="Migliaia 25 7 3 2" xfId="39004" xr:uid="{724E762C-8F1A-4AA7-9927-40403A229777}"/>
    <cellStyle name="Migliaia 25 7 3 3" xfId="44306" xr:uid="{2A053F17-B2CF-41DD-8793-A19D5266A1DA}"/>
    <cellStyle name="Migliaia 25 7 3 4" xfId="33550" xr:uid="{E65B861D-6758-4FDE-A834-F04A2497BFD0}"/>
    <cellStyle name="Migliaia 25 7 3 5" xfId="20205" xr:uid="{06638A71-68DC-427C-9615-263E8C98683D}"/>
    <cellStyle name="Migliaia 25 7 4" xfId="36473" xr:uid="{5A537F1E-F007-41BA-BE58-A0C8E369D6A9}"/>
    <cellStyle name="Migliaia 25 7 5" xfId="41655" xr:uid="{A7F7E61A-5D33-4CDA-8176-532ED255F7B0}"/>
    <cellStyle name="Migliaia 25 7 6" xfId="16281" xr:uid="{06227772-651C-4966-AF44-93BF7F35C8E3}"/>
    <cellStyle name="Migliaia 25 7 7" xfId="8292" xr:uid="{0027C7F8-84A6-4921-884D-12FE9CE61241}"/>
    <cellStyle name="Migliaia 25 8" xfId="3391" xr:uid="{9F55D917-FEE2-4804-9B25-3877895AB57A}"/>
    <cellStyle name="Migliaia 25 8 2" xfId="5117" xr:uid="{70455402-5E33-47C6-80D0-6153538BAD5F}"/>
    <cellStyle name="Migliaia 25 8 2 2" xfId="35248" xr:uid="{1137C781-5C66-4B08-AA91-391250C3E4E8}"/>
    <cellStyle name="Migliaia 25 8 2 2 2" xfId="40408" xr:uid="{19493C3A-4FF7-44B7-9824-D8554A8D30F5}"/>
    <cellStyle name="Migliaia 25 8 2 2 3" xfId="45710" xr:uid="{00886C04-EE98-4E3C-8C91-000C82AB8293}"/>
    <cellStyle name="Migliaia 25 8 2 3" xfId="37757" xr:uid="{8CCA2C6D-FDE8-4C4B-9AEE-72CFB5B296D5}"/>
    <cellStyle name="Migliaia 25 8 2 4" xfId="43059" xr:uid="{D667350A-8AA0-4D1A-902D-31F280412930}"/>
    <cellStyle name="Migliaia 25 8 2 5" xfId="13935" xr:uid="{E181FA8C-CBA4-487E-9BD4-0AE61F327B21}"/>
    <cellStyle name="Migliaia 25 8 3" xfId="6323" xr:uid="{E8243C1C-E378-4576-AD2A-9B811D9B47EA}"/>
    <cellStyle name="Migliaia 25 8 3 2" xfId="39005" xr:uid="{31FADC71-D425-49F5-89E7-6CDAFABD4EF0}"/>
    <cellStyle name="Migliaia 25 8 3 3" xfId="44307" xr:uid="{6917C928-5B6D-4BBE-9026-44C435A25C31}"/>
    <cellStyle name="Migliaia 25 8 3 4" xfId="33551" xr:uid="{EF83DE95-A8B7-4662-BDAA-260B61893DD9}"/>
    <cellStyle name="Migliaia 25 8 3 5" xfId="20206" xr:uid="{7FF2A742-C67E-463E-8AFF-BDC4AAD20BEE}"/>
    <cellStyle name="Migliaia 25 8 4" xfId="36474" xr:uid="{D7ABD42D-1799-40AF-9DDC-108ABCB6F2B3}"/>
    <cellStyle name="Migliaia 25 8 5" xfId="41656" xr:uid="{A3A9A0AC-756E-4B8A-92D8-72D1621E6A96}"/>
    <cellStyle name="Migliaia 25 8 6" xfId="16282" xr:uid="{A1CCDDBD-7858-4FF8-8246-D7AB162A0B73}"/>
    <cellStyle name="Migliaia 25 8 7" xfId="7890" xr:uid="{A45E6F53-1297-4880-89B8-1530778EACB4}"/>
    <cellStyle name="Migliaia 25 9" xfId="5102" xr:uid="{6746DBF4-E6A0-4B39-8760-2202718C7857}"/>
    <cellStyle name="Migliaia 25 9 2" xfId="33552" xr:uid="{9249E368-13CA-4BC3-BDF5-03A1D1A61580}"/>
    <cellStyle name="Migliaia 25 9 2 2" xfId="39006" xr:uid="{B8E1CD10-AC83-439A-851D-C4D01F2C13CC}"/>
    <cellStyle name="Migliaia 25 9 2 3" xfId="44308" xr:uid="{10BF912C-2ABA-4761-948F-454B4B2999AE}"/>
    <cellStyle name="Migliaia 25 9 3" xfId="36475" xr:uid="{24BDC766-985B-4414-83F1-81D195460E58}"/>
    <cellStyle name="Migliaia 25 9 4" xfId="41657" xr:uid="{45BF5D6C-3175-4033-8435-C8AA3A59E40C}"/>
    <cellStyle name="Migliaia 25 9 5" xfId="17169" xr:uid="{782487CB-A1D4-44FD-B88D-B8FC3F98E308}"/>
    <cellStyle name="Migliaia 26" xfId="373" xr:uid="{00000000-0005-0000-0000-000061030000}"/>
    <cellStyle name="Migliaia 26 10" xfId="6324" xr:uid="{B94B6870-70A4-4A3F-8DB9-6021DDE7FCF8}"/>
    <cellStyle name="Migliaia 26 10 2" xfId="39007" xr:uid="{0366C846-430B-47F4-AD86-D311FAE7190F}"/>
    <cellStyle name="Migliaia 26 10 3" xfId="44309" xr:uid="{2AA19895-B25C-4F1C-A2A1-2AD7D157D62C}"/>
    <cellStyle name="Migliaia 26 10 4" xfId="33553" xr:uid="{F201DD83-1747-4AA3-B703-6F31DFAFAEC5}"/>
    <cellStyle name="Migliaia 26 10 5" xfId="20207" xr:uid="{84041A25-3585-43A1-8000-45CB97F79902}"/>
    <cellStyle name="Migliaia 26 11" xfId="3392" xr:uid="{1A543CDA-2819-4F71-A605-AA2F81D6459E}"/>
    <cellStyle name="Migliaia 26 11 2" xfId="36476" xr:uid="{949EE54A-B501-43B6-B47B-AE48AB6AF66E}"/>
    <cellStyle name="Migliaia 26 12" xfId="41658" xr:uid="{4A4734CD-6C8E-41AC-867B-F01C10DA3807}"/>
    <cellStyle name="Migliaia 26 13" xfId="7096" xr:uid="{D3F4CA99-358E-490D-A36F-16ABB45B1B60}"/>
    <cellStyle name="Migliaia 26 2" xfId="374" xr:uid="{00000000-0005-0000-0000-000062030000}"/>
    <cellStyle name="Migliaia 26 2 2" xfId="1746" xr:uid="{00000000-0005-0000-0000-000063030000}"/>
    <cellStyle name="Migliaia 26 2 2 2" xfId="5120" xr:uid="{F8C76102-37B0-4D25-82BC-769B73AFB431}"/>
    <cellStyle name="Migliaia 26 2 2 2 2" xfId="14381" xr:uid="{CCBDE1B2-61DD-4ACA-BF0A-D171622D1C30}"/>
    <cellStyle name="Migliaia 26 2 2 2 2 2" xfId="39008" xr:uid="{17791F86-08BD-4776-BAFC-71B1B873B056}"/>
    <cellStyle name="Migliaia 26 2 2 2 2 3" xfId="44310" xr:uid="{68DCC6DD-BAE9-4046-8CDB-2661BB39AAE5}"/>
    <cellStyle name="Migliaia 26 2 2 2 3" xfId="18416" xr:uid="{57F58F02-B82A-4693-857A-F5AF798949CF}"/>
    <cellStyle name="Migliaia 26 2 2 2 4" xfId="20210" xr:uid="{7432BD63-035D-49ED-8B68-552C51EFFDA3}"/>
    <cellStyle name="Migliaia 26 2 2 2 4 2" xfId="41659" xr:uid="{AC3DE28C-CE95-405F-8AB2-115B9874F0FD}"/>
    <cellStyle name="Migliaia 26 2 2 2 5" xfId="16283" xr:uid="{B115E67D-27BA-42C0-9429-F676F239B518}"/>
    <cellStyle name="Migliaia 26 2 2 2 6" xfId="8589" xr:uid="{A22A967F-BDA9-4A4F-8AEC-D19ED65C3816}"/>
    <cellStyle name="Migliaia 26 2 2 3" xfId="6326" xr:uid="{298F1D78-E86E-413A-868B-45CDF6DE2AE9}"/>
    <cellStyle name="Migliaia 26 2 2 3 2" xfId="35249" xr:uid="{EE458032-6C5A-4748-880B-59816A186A58}"/>
    <cellStyle name="Migliaia 26 2 2 3 2 2" xfId="40409" xr:uid="{ABA53483-DFB7-4F90-9926-43547A60ADD0}"/>
    <cellStyle name="Migliaia 26 2 2 3 2 3" xfId="45711" xr:uid="{83535EE8-B132-4223-ADCC-64BAA208C621}"/>
    <cellStyle name="Migliaia 26 2 2 3 3" xfId="37758" xr:uid="{A92B519B-3FF3-434F-B5C4-E18CA3DD3523}"/>
    <cellStyle name="Migliaia 26 2 2 3 4" xfId="43060" xr:uid="{046F8411-BAC7-400F-9340-14E69B6AE4B2}"/>
    <cellStyle name="Migliaia 26 2 2 3 5" xfId="11608" xr:uid="{B5E7ECDB-EA90-41A2-BF7B-67CF18554B4D}"/>
    <cellStyle name="Migliaia 26 2 2 4" xfId="3394" xr:uid="{6E4150BB-85AD-452C-9CFF-E4B795C6F274}"/>
    <cellStyle name="Migliaia 26 2 2 4 2" xfId="21458" xr:uid="{9F7F43B6-B9BF-4F49-92F8-B49835EA8A9F}"/>
    <cellStyle name="Migliaia 26 2 2 4 3" xfId="46645" xr:uid="{2808639D-9906-4C39-B29F-AF066C0539C4}"/>
    <cellStyle name="Migliaia 26 2 2 4 4" xfId="50473" xr:uid="{A2129885-6329-40CC-9679-7C4A0622ACEF}"/>
    <cellStyle name="Migliaia 26 2 2 4 5" xfId="53489" xr:uid="{773572A3-3423-4E5F-9728-49E0D11CBB38}"/>
    <cellStyle name="Migliaia 26 2 2 4 6" xfId="10823" xr:uid="{BA1DE0FE-56D5-4B91-A13C-D3209A565195}"/>
    <cellStyle name="Migliaia 26 2 2 5" xfId="20209" xr:uid="{AB3C6CBA-FB5F-4870-ACF4-D62646A1D740}"/>
    <cellStyle name="Migliaia 26 2 2 6" xfId="24591" xr:uid="{7508492D-A46A-4C96-94B6-658E62A15389}"/>
    <cellStyle name="Migliaia 26 2 2 7" xfId="7399" xr:uid="{BBF254D1-658F-47DE-BA74-4C6CAB40CB50}"/>
    <cellStyle name="Migliaia 26 2 3" xfId="3395" xr:uid="{9F2AD5E7-5438-4FFB-AF1E-A4022D4DF7C0}"/>
    <cellStyle name="Migliaia 26 2 3 2" xfId="5121" xr:uid="{131DAAF7-DB48-4837-AC0B-3F90500675A9}"/>
    <cellStyle name="Migliaia 26 2 3 2 2" xfId="35250" xr:uid="{72038FAB-5641-4D08-B6E7-B41D82F555BF}"/>
    <cellStyle name="Migliaia 26 2 3 2 2 2" xfId="40410" xr:uid="{56565779-007C-45CD-A571-F9B6027A4862}"/>
    <cellStyle name="Migliaia 26 2 3 2 2 3" xfId="45712" xr:uid="{86152C4B-40CA-4074-9FDA-518FBD8BAFE5}"/>
    <cellStyle name="Migliaia 26 2 3 2 3" xfId="37759" xr:uid="{E23D0C26-C80C-43B1-AF9B-4F1991A94913}"/>
    <cellStyle name="Migliaia 26 2 3 2 4" xfId="43061" xr:uid="{57BC4410-2229-44D0-9574-5070F1096CA3}"/>
    <cellStyle name="Migliaia 26 2 3 2 5" xfId="14234" xr:uid="{EC3D5A1C-4B18-46C4-B959-3BE57606209D}"/>
    <cellStyle name="Migliaia 26 2 3 3" xfId="6327" xr:uid="{05188EE4-B4B8-4ECD-8FF4-A58022CF9B43}"/>
    <cellStyle name="Migliaia 26 2 3 3 2" xfId="39009" xr:uid="{6B32F38A-D8DA-46BA-99EE-05ABE3FF398A}"/>
    <cellStyle name="Migliaia 26 2 3 3 3" xfId="44311" xr:uid="{3A8981B6-2198-4D72-85A9-42141269F7BE}"/>
    <cellStyle name="Migliaia 26 2 3 3 4" xfId="33554" xr:uid="{7993EB22-596D-4B5A-953E-EBD7318744B6}"/>
    <cellStyle name="Migliaia 26 2 3 3 5" xfId="20211" xr:uid="{D68D1E76-69B5-4C4F-9FC6-68566D03753C}"/>
    <cellStyle name="Migliaia 26 2 3 4" xfId="36477" xr:uid="{604B16BF-128B-496C-8242-E422EDCF0C41}"/>
    <cellStyle name="Migliaia 26 2 3 5" xfId="41660" xr:uid="{197BCF0B-78EA-4B40-8C5E-B4848FFF0B16}"/>
    <cellStyle name="Migliaia 26 2 3 6" xfId="16284" xr:uid="{50ECDEB4-8AF5-4756-BA40-46F7C01B23D4}"/>
    <cellStyle name="Migliaia 26 2 3 7" xfId="8296" xr:uid="{F1F55B6E-C519-498A-9072-B5BBF260500C}"/>
    <cellStyle name="Migliaia 26 2 4" xfId="5119" xr:uid="{3FAC7F25-4D3F-48EF-BF20-6BA93455327A}"/>
    <cellStyle name="Migliaia 26 2 4 2" xfId="13939" xr:uid="{2EA712E5-6815-43AC-9F10-4CF96DD736D4}"/>
    <cellStyle name="Migliaia 26 2 4 2 2" xfId="39010" xr:uid="{34DBBF92-3B16-4784-90F5-AD8ACB3A9AFF}"/>
    <cellStyle name="Migliaia 26 2 4 2 3" xfId="44312" xr:uid="{C08970A5-29E4-4540-8883-85573058F867}"/>
    <cellStyle name="Migliaia 26 2 4 3" xfId="18617" xr:uid="{725E8C49-1A38-4529-8524-16D115ACF7A3}"/>
    <cellStyle name="Migliaia 26 2 4 4" xfId="20212" xr:uid="{DEDB93E2-262A-4F0A-A816-83B1AD3F79B4}"/>
    <cellStyle name="Migliaia 26 2 4 4 2" xfId="41661" xr:uid="{8790C12D-B023-415A-960F-3D0D805C80E0}"/>
    <cellStyle name="Migliaia 26 2 4 5" xfId="16285" xr:uid="{B40A7243-C8A3-47CB-A86B-6FEE8256CD35}"/>
    <cellStyle name="Migliaia 26 2 4 6" xfId="7895" xr:uid="{CE4B2521-45B6-4924-8D1F-3CEB5C89BB96}"/>
    <cellStyle name="Migliaia 26 2 5" xfId="6325" xr:uid="{1B2EF1A3-B04B-490E-A0E7-CE02316CE44E}"/>
    <cellStyle name="Migliaia 26 2 5 2" xfId="33555" xr:uid="{52893B3A-8F81-45B8-AC63-9441ADE64E19}"/>
    <cellStyle name="Migliaia 26 2 5 2 2" xfId="39011" xr:uid="{B591EAD8-7F25-412A-B687-5742184B28A0}"/>
    <cellStyle name="Migliaia 26 2 5 2 3" xfId="44313" xr:uid="{C0E5380B-BD2D-48A2-864D-29E34FE30DBD}"/>
    <cellStyle name="Migliaia 26 2 5 3" xfId="36478" xr:uid="{E2976B4F-3718-4832-85A1-428FD9DA5CCF}"/>
    <cellStyle name="Migliaia 26 2 5 4" xfId="41662" xr:uid="{F380F003-B177-4952-BC8A-3E3837FAE9A6}"/>
    <cellStyle name="Migliaia 26 2 5 5" xfId="13121" xr:uid="{19E38FE0-04CB-4F5B-AD4F-808AC58F9EE8}"/>
    <cellStyle name="Migliaia 26 2 6" xfId="3393" xr:uid="{65EE3FA7-E8F5-496A-8B15-037EDC4BE0ED}"/>
    <cellStyle name="Migliaia 26 2 6 2" xfId="33556" xr:uid="{DC598FB8-1A0A-46BC-8A9B-C50B8BCF5563}"/>
    <cellStyle name="Migliaia 26 2 6 2 2" xfId="39012" xr:uid="{8465C8C8-B0F1-4976-A761-95B6C8371BD1}"/>
    <cellStyle name="Migliaia 26 2 6 2 3" xfId="44314" xr:uid="{50873B16-05AC-4D40-8E8D-F4855F62E82A}"/>
    <cellStyle name="Migliaia 26 2 6 3" xfId="36479" xr:uid="{40B7F29B-E712-45ED-B98D-0154F7419275}"/>
    <cellStyle name="Migliaia 26 2 6 4" xfId="41663" xr:uid="{D31802F4-782C-4D2B-ABA0-952D66A668AC}"/>
    <cellStyle name="Migliaia 26 2 6 5" xfId="24592" xr:uid="{D061613A-8045-46DA-ACBB-09FBE0409793}"/>
    <cellStyle name="Migliaia 26 2 6 6" xfId="20208" xr:uid="{C8CD0996-70E8-4BBE-A77C-26629AAF64C9}"/>
    <cellStyle name="Migliaia 26 2 7" xfId="24590" xr:uid="{3EB2B1E6-F9C9-4937-A043-F09B07667947}"/>
    <cellStyle name="Migliaia 26 2 8" xfId="7097" xr:uid="{105B3E9F-F0E4-48CE-9F5C-5B7B242FA5B0}"/>
    <cellStyle name="Migliaia 26 3" xfId="375" xr:uid="{00000000-0005-0000-0000-000064030000}"/>
    <cellStyle name="Migliaia 26 3 10" xfId="24593" xr:uid="{1C307975-52ED-4BAE-84C1-9FD500C73AB3}"/>
    <cellStyle name="Migliaia 26 3 11" xfId="16286" xr:uid="{4713613A-85C9-464C-A468-9F4257D55B89}"/>
    <cellStyle name="Migliaia 26 3 12" xfId="7098" xr:uid="{ABD72637-394E-4532-8DC2-1963A4B9DAE6}"/>
    <cellStyle name="Migliaia 26 3 2" xfId="376" xr:uid="{00000000-0005-0000-0000-000065030000}"/>
    <cellStyle name="Migliaia 26 3 2 2" xfId="1747" xr:uid="{00000000-0005-0000-0000-000066030000}"/>
    <cellStyle name="Migliaia 26 3 2 2 2" xfId="5124" xr:uid="{13D5046F-97AD-4F7F-8E98-8A3993A8AD5D}"/>
    <cellStyle name="Migliaia 26 3 2 2 2 2" xfId="18417" xr:uid="{87CECE39-5371-4368-BACA-3B7EE92456C4}"/>
    <cellStyle name="Migliaia 26 3 2 2 2 2 2" xfId="21859" xr:uid="{8BCECB1B-5189-4579-94C5-7052996360C7}"/>
    <cellStyle name="Migliaia 26 3 2 2 2 2 2 2" xfId="39013" xr:uid="{EC4B4FCF-E49F-4EC6-B1A6-2C40FC22FBC8}"/>
    <cellStyle name="Migliaia 26 3 2 2 2 2 3" xfId="44315" xr:uid="{269A8FCA-3A3C-4695-93AB-FF87DD815F61}"/>
    <cellStyle name="Migliaia 26 3 2 2 2 2 4" xfId="33557" xr:uid="{81109337-1AC0-408A-BB5F-686EAE05DFF0}"/>
    <cellStyle name="Migliaia 26 3 2 2 2 3" xfId="36480" xr:uid="{53811D36-67FE-47FC-A54B-165A5FBFC606}"/>
    <cellStyle name="Migliaia 26 3 2 2 2 4" xfId="41664" xr:uid="{C2EC65E1-2A0D-4268-B7CE-0A47145051A5}"/>
    <cellStyle name="Migliaia 26 3 2 2 2 5" xfId="25119" xr:uid="{0A292035-E77A-4E4D-8240-65BE22228330}"/>
    <cellStyle name="Migliaia 26 3 2 2 2 6" xfId="50887" xr:uid="{0CC076F9-247D-4D36-B8F8-C65DBD8321A3}"/>
    <cellStyle name="Migliaia 26 3 2 2 2 7" xfId="53903" xr:uid="{D467FACA-17B0-4C11-8949-4EFB63741C94}"/>
    <cellStyle name="Migliaia 26 3 2 2 2 8" xfId="17656" xr:uid="{B10CC46C-F469-42FD-AE4F-6630A78A6DE2}"/>
    <cellStyle name="Migliaia 26 3 2 2 2 9" xfId="11959" xr:uid="{CDFA6DB8-798F-4938-891B-C9942DB58CAB}"/>
    <cellStyle name="Migliaia 26 3 2 2 3" xfId="6330" xr:uid="{60740FC5-CEB2-4BA6-9132-0CEB3529A42B}"/>
    <cellStyle name="Migliaia 26 3 2 2 3 2" xfId="11175" xr:uid="{86D61F4B-2FA5-4B4D-90CE-4F1A2D00DC82}"/>
    <cellStyle name="Migliaia 26 3 2 2 4" xfId="3398" xr:uid="{7EA16805-BB76-463D-A8E2-F2720873D8E1}"/>
    <cellStyle name="Migliaia 26 3 2 2 4 2" xfId="21459" xr:uid="{0BA828D4-64FA-4AC6-8C3B-9068DB72D8FE}"/>
    <cellStyle name="Migliaia 26 3 2 2 4 3" xfId="47976" xr:uid="{F61A6BC4-7FD3-4090-BFC7-2FBA22B7ABA3}"/>
    <cellStyle name="Migliaia 26 3 2 2 4 4" xfId="50474" xr:uid="{8DCF0D97-AEF6-4F28-A97A-5302486A9D4C}"/>
    <cellStyle name="Migliaia 26 3 2 2 4 5" xfId="53490" xr:uid="{43C69B05-2CF5-4543-8C51-A0FB7031D61E}"/>
    <cellStyle name="Migliaia 26 3 2 2 4 6" xfId="10824" xr:uid="{AFD333E6-EA15-4559-ACDD-446E63F0298E}"/>
    <cellStyle name="Migliaia 26 3 2 2 5" xfId="20215" xr:uid="{69699D09-168A-41A9-8EFF-2F069777830A}"/>
    <cellStyle name="Migliaia 26 3 2 2 6" xfId="24595" xr:uid="{C2A323F1-A5B6-4435-A8E8-57E199D9BB1B}"/>
    <cellStyle name="Migliaia 26 3 2 2 7" xfId="8591" xr:uid="{A6AD66B8-D96D-48F1-B10D-DB3131106AF7}"/>
    <cellStyle name="Migliaia 26 3 2 3" xfId="5123" xr:uid="{F1769E0F-445F-4A13-B7D4-147C55D63F97}"/>
    <cellStyle name="Migliaia 26 3 2 3 2" xfId="11131" xr:uid="{0917947C-C2E2-40B9-A2C5-6322E93613E3}"/>
    <cellStyle name="Migliaia 26 3 2 3 2 2" xfId="39014" xr:uid="{8797AF50-BF95-46ED-9D48-B5D1F8C3F0F8}"/>
    <cellStyle name="Migliaia 26 3 2 3 2 3" xfId="44316" xr:uid="{F76C4E5B-0339-4821-9B89-A47A0B3B1585}"/>
    <cellStyle name="Migliaia 26 3 2 3 2 4" xfId="33558" xr:uid="{D86F403E-221D-432A-9AB3-326E0E9B2E9B}"/>
    <cellStyle name="Migliaia 26 3 2 3 3" xfId="11960" xr:uid="{93BE73E2-0DD2-4391-9BDC-A90BBEF0DEBF}"/>
    <cellStyle name="Migliaia 26 3 2 3 4" xfId="20216" xr:uid="{D4AAFD02-E9BD-4D2F-9D68-EA88F234C736}"/>
    <cellStyle name="Migliaia 26 3 2 3 4 2" xfId="41665" xr:uid="{1696217E-DA15-4F6A-9F23-EC03133F1B02}"/>
    <cellStyle name="Migliaia 26 3 2 3 5" xfId="16287" xr:uid="{DEF6CC64-25B4-4AFC-A506-2F681A82E4B2}"/>
    <cellStyle name="Migliaia 26 3 2 3 6" xfId="7897" xr:uid="{4DD30E65-4978-48AD-AE9A-F7942F37411C}"/>
    <cellStyle name="Migliaia 26 3 2 4" xfId="6329" xr:uid="{1F1016F6-E474-4E57-A44E-C7209879D40A}"/>
    <cellStyle name="Migliaia 26 3 2 4 2" xfId="18075" xr:uid="{9960182F-D0D7-467F-BDCC-44211352E83F}"/>
    <cellStyle name="Migliaia 26 3 2 4 2 2" xfId="39015" xr:uid="{F8AA0F1C-8D82-47A7-B571-909BE47B286D}"/>
    <cellStyle name="Migliaia 26 3 2 4 2 3" xfId="44317" xr:uid="{18EA2151-E9D7-4D2C-8075-58CD43960C3F}"/>
    <cellStyle name="Migliaia 26 3 2 4 3" xfId="36481" xr:uid="{1F7CC10B-C19C-4C96-B5DC-D0A137BF8639}"/>
    <cellStyle name="Migliaia 26 3 2 4 4" xfId="41666" xr:uid="{75DCEA66-D049-450D-867E-B72548B4016A}"/>
    <cellStyle name="Migliaia 26 3 2 4 5" xfId="17172" xr:uid="{BEF8359F-D1FD-49A7-81E1-C024DAE90BC8}"/>
    <cellStyle name="Migliaia 26 3 2 4 6" xfId="11308" xr:uid="{F5E78B2A-11CD-4216-94DD-B0E16E2AD48F}"/>
    <cellStyle name="Migliaia 26 3 2 5" xfId="3397" xr:uid="{6193CECE-3A32-4E8D-A08D-DC2FA2244673}"/>
    <cellStyle name="Migliaia 26 3 2 5 2" xfId="33559" xr:uid="{BEC7D9D4-1953-475E-B325-A649785F85E4}"/>
    <cellStyle name="Migliaia 26 3 2 5 2 2" xfId="39016" xr:uid="{ED195E23-DC98-4C22-AE6D-6CB3118B0759}"/>
    <cellStyle name="Migliaia 26 3 2 5 2 3" xfId="44318" xr:uid="{0078913D-4825-4F12-A3D4-F86F15C6130F}"/>
    <cellStyle name="Migliaia 26 3 2 5 3" xfId="36482" xr:uid="{77A7AC51-C2C9-4446-8431-1E1B899355F9}"/>
    <cellStyle name="Migliaia 26 3 2 5 4" xfId="41667" xr:uid="{4FC5CB6A-17A7-4304-A684-17921F430CBA}"/>
    <cellStyle name="Migliaia 26 3 2 5 5" xfId="17372" xr:uid="{FF8EB058-DF10-4F18-A273-53C85F7F13F4}"/>
    <cellStyle name="Migliaia 26 3 2 6" xfId="20214" xr:uid="{2B1E3CF2-BBA5-4679-9597-6472D3C11126}"/>
    <cellStyle name="Migliaia 26 3 2 6 2" xfId="33560" xr:uid="{05B1018A-6650-4D17-BEFD-99B1DFE10029}"/>
    <cellStyle name="Migliaia 26 3 2 6 2 2" xfId="39017" xr:uid="{BE9C9582-4552-4F25-B5A8-4C8231793040}"/>
    <cellStyle name="Migliaia 26 3 2 6 2 3" xfId="44319" xr:uid="{2EC6A0B9-034D-4EF8-9216-0966879F2A74}"/>
    <cellStyle name="Migliaia 26 3 2 6 3" xfId="36483" xr:uid="{CB1CF250-54DD-48E9-B782-556AA69946F5}"/>
    <cellStyle name="Migliaia 26 3 2 6 4" xfId="41668" xr:uid="{0F6F6A40-4484-49AC-8831-B729A758B084}"/>
    <cellStyle name="Migliaia 26 3 2 6 5" xfId="24596" xr:uid="{F4BB8368-1E8E-4727-A30E-B089D4920823}"/>
    <cellStyle name="Migliaia 26 3 2 7" xfId="24594" xr:uid="{DD477A72-17D1-4380-A546-1CE9E1F448C7}"/>
    <cellStyle name="Migliaia 26 3 2 8" xfId="7401" xr:uid="{1EF571EF-5495-4491-892F-555F13DF5C43}"/>
    <cellStyle name="Migliaia 26 3 3" xfId="3399" xr:uid="{1D3E647C-B707-462B-8BA3-2239165F296A}"/>
    <cellStyle name="Migliaia 26 3 3 10" xfId="7400" xr:uid="{7C507F64-EB26-4E8B-B8D0-1B6F5FFEF215}"/>
    <cellStyle name="Migliaia 26 3 3 2" xfId="5125" xr:uid="{39A47D12-3D8B-4010-B0C2-0064CB90CCB5}"/>
    <cellStyle name="Migliaia 26 3 3 2 2" xfId="9918" xr:uid="{A4BF08FC-B36F-4C56-863D-FB037A150F5F}"/>
    <cellStyle name="Migliaia 26 3 3 2 2 2" xfId="39019" xr:uid="{D38D94B1-5108-4873-B7F1-0F22656D7382}"/>
    <cellStyle name="Migliaia 26 3 3 2 2 3" xfId="44321" xr:uid="{16800C68-C6E1-4ED4-B190-9AFABF562394}"/>
    <cellStyle name="Migliaia 26 3 3 2 3" xfId="18198" xr:uid="{260AEE07-0CCC-43B2-A5F0-6606D77CDF7D}"/>
    <cellStyle name="Migliaia 26 3 3 2 4" xfId="20218" xr:uid="{0698C3FA-08E1-4BD6-85BA-BC68687AE8A9}"/>
    <cellStyle name="Migliaia 26 3 3 2 4 2" xfId="41670" xr:uid="{76152198-39BD-46EB-B5AA-427CD4343A6F}"/>
    <cellStyle name="Migliaia 26 3 3 2 5" xfId="16289" xr:uid="{3DFE5853-0C2A-4176-8ED4-060345897BC6}"/>
    <cellStyle name="Migliaia 26 3 3 2 6" xfId="8590" xr:uid="{87D6BEE8-B38A-4320-A440-BC2ED10EABE9}"/>
    <cellStyle name="Migliaia 26 3 3 3" xfId="6331" xr:uid="{5E699C2C-ACA4-4BEC-A146-3E1ED5585A5D}"/>
    <cellStyle name="Migliaia 26 3 3 3 2" xfId="33562" xr:uid="{F9EB3123-A8E0-4287-A692-E8262F71E413}"/>
    <cellStyle name="Migliaia 26 3 3 3 2 2" xfId="39020" xr:uid="{CA500E4C-34CA-4604-9158-87FA663DC804}"/>
    <cellStyle name="Migliaia 26 3 3 3 2 3" xfId="44322" xr:uid="{612CD4E5-6321-40A4-B8A8-A470628CFF53}"/>
    <cellStyle name="Migliaia 26 3 3 3 3" xfId="36485" xr:uid="{8E563894-3F9F-4A64-BF16-456473C91428}"/>
    <cellStyle name="Migliaia 26 3 3 3 4" xfId="41671" xr:uid="{01FE414F-B0D7-4005-9DF3-4461D34B0558}"/>
    <cellStyle name="Migliaia 26 3 3 3 5" xfId="9681" xr:uid="{5348CBFB-423E-4582-8C96-E8447601F4BB}"/>
    <cellStyle name="Migliaia 26 3 3 4" xfId="20217" xr:uid="{57ADA8F1-A3C6-44B8-BA75-B240C3293BAC}"/>
    <cellStyle name="Migliaia 26 3 3 4 2" xfId="33563" xr:uid="{664AB380-6003-400F-B320-40F670227D23}"/>
    <cellStyle name="Migliaia 26 3 3 4 2 2" xfId="39021" xr:uid="{5D0D4FCB-652C-43EF-A371-F78672C54EB6}"/>
    <cellStyle name="Migliaia 26 3 3 4 2 3" xfId="44323" xr:uid="{F1FD97AD-362D-496C-B55B-FB97AE6C9DBD}"/>
    <cellStyle name="Migliaia 26 3 3 4 3" xfId="36486" xr:uid="{54419821-82F8-4931-9088-690C6A696104}"/>
    <cellStyle name="Migliaia 26 3 3 4 4" xfId="41672" xr:uid="{4A4014D0-8291-44EE-8B92-0B0F267B850A}"/>
    <cellStyle name="Migliaia 26 3 3 4 5" xfId="24597" xr:uid="{CE69D2E9-48FF-49A9-A0FA-727BB5E1ECC9}"/>
    <cellStyle name="Migliaia 26 3 3 5" xfId="24598" xr:uid="{236C8601-F10C-4851-BAB3-0BFEE3538EA7}"/>
    <cellStyle name="Migliaia 26 3 3 5 2" xfId="33564" xr:uid="{81D7F8EE-D574-41C1-9780-C110A9376009}"/>
    <cellStyle name="Migliaia 26 3 3 5 2 2" xfId="39022" xr:uid="{A468119F-E320-4B1A-91F3-B3C57C587C44}"/>
    <cellStyle name="Migliaia 26 3 3 5 2 3" xfId="44324" xr:uid="{04EFCD2E-5941-457F-9A26-E82042D5020C}"/>
    <cellStyle name="Migliaia 26 3 3 5 3" xfId="36487" xr:uid="{8D6DCD4F-7706-45C1-93E3-A0CAAF36D137}"/>
    <cellStyle name="Migliaia 26 3 3 5 4" xfId="41673" xr:uid="{E79FFAC9-97F5-4FCF-BBB3-D0D805078507}"/>
    <cellStyle name="Migliaia 26 3 3 6" xfId="33561" xr:uid="{A4A00E12-727A-4660-B9F2-42A2F9152374}"/>
    <cellStyle name="Migliaia 26 3 3 6 2" xfId="39018" xr:uid="{05341B77-471B-4982-91F9-0DF649CEFDF6}"/>
    <cellStyle name="Migliaia 26 3 3 6 3" xfId="44320" xr:uid="{A5965B14-3437-4694-94F8-96EEE23FC12A}"/>
    <cellStyle name="Migliaia 26 3 3 7" xfId="36484" xr:uid="{DAC49628-F34B-4A5C-805F-1BA3AB8C21AD}"/>
    <cellStyle name="Migliaia 26 3 3 8" xfId="41669" xr:uid="{965478C6-41F2-49ED-BFFF-78730E7D9B60}"/>
    <cellStyle name="Migliaia 26 3 3 9" xfId="16288" xr:uid="{A038488B-72BC-4F0D-9945-BE5FE8AA08AB}"/>
    <cellStyle name="Migliaia 26 3 4" xfId="3400" xr:uid="{097BDC5C-8670-41C2-9D14-26EA3F9205D8}"/>
    <cellStyle name="Migliaia 26 3 4 2" xfId="5126" xr:uid="{B62A0A9D-1330-4386-9725-330D61A921A5}"/>
    <cellStyle name="Migliaia 26 3 4 2 2" xfId="14441" xr:uid="{05E2B0BB-D950-453F-84EE-B5DAE819F6C4}"/>
    <cellStyle name="Migliaia 26 3 4 2 3" xfId="18127" xr:uid="{55E08BF2-931A-41A5-B2A5-052E9078C4EF}"/>
    <cellStyle name="Migliaia 26 3 4 2 4" xfId="20220" xr:uid="{D4E99B99-9B14-4002-8C66-7BBCBCB9BE12}"/>
    <cellStyle name="Migliaia 26 3 4 2 5" xfId="32351" xr:uid="{8DA1B745-E0A6-49FD-9023-9FDAE39FF031}"/>
    <cellStyle name="Migliaia 26 3 4 2 6" xfId="16291" xr:uid="{F99852A4-C4E7-4D59-BA2E-ED199294DB22}"/>
    <cellStyle name="Migliaia 26 3 4 2 7" xfId="8864" xr:uid="{122BD43B-2259-4AEA-96F9-C11C75063ABB}"/>
    <cellStyle name="Migliaia 26 3 4 3" xfId="6332" xr:uid="{944F724A-60E2-4AEE-A3A6-283E8690E602}"/>
    <cellStyle name="Migliaia 26 3 4 3 2" xfId="35251" xr:uid="{9B95960E-167D-44CA-A975-72C60A1CF27D}"/>
    <cellStyle name="Migliaia 26 3 4 3 2 2" xfId="40411" xr:uid="{B2A9C7B1-C0DD-476D-B0BF-74C10D9444BB}"/>
    <cellStyle name="Migliaia 26 3 4 3 2 3" xfId="45713" xr:uid="{AA610D29-7123-44D1-8591-DC6545EDADD5}"/>
    <cellStyle name="Migliaia 26 3 4 3 3" xfId="37760" xr:uid="{85CEF502-6097-4B03-96C0-7E11D3227D9B}"/>
    <cellStyle name="Migliaia 26 3 4 3 4" xfId="43062" xr:uid="{6C345330-F192-48F9-BBD6-02BE9BF8D114}"/>
    <cellStyle name="Migliaia 26 3 4 3 5" xfId="13689" xr:uid="{D4DAB367-E420-495B-B682-1570DF75AFDE}"/>
    <cellStyle name="Migliaia 26 3 4 4" xfId="20219" xr:uid="{BBD2D392-0A76-4B31-B51C-79DBD1DBD315}"/>
    <cellStyle name="Migliaia 26 3 4 4 2" xfId="39023" xr:uid="{C174464F-0BC8-464C-BE3B-F0FC2224FE51}"/>
    <cellStyle name="Migliaia 26 3 4 4 3" xfId="44325" xr:uid="{E3951D61-562A-4D77-A189-995A4513DA7A}"/>
    <cellStyle name="Migliaia 26 3 4 4 4" xfId="33565" xr:uid="{64C6C51B-E5B9-46AD-B3DA-D3B3B1539C16}"/>
    <cellStyle name="Migliaia 26 3 4 5" xfId="36488" xr:uid="{1360D0E0-EEBF-4B91-A9CE-62D60A1A50D6}"/>
    <cellStyle name="Migliaia 26 3 4 6" xfId="41674" xr:uid="{A0086A1A-3636-4A95-91B0-779C83AC1BCD}"/>
    <cellStyle name="Migliaia 26 3 4 7" xfId="16290" xr:uid="{7A9307FB-122E-4D5B-A1F8-BF322AF54054}"/>
    <cellStyle name="Migliaia 26 3 4 8" xfId="7674" xr:uid="{2085E3FE-446E-41FD-8D65-E7337253DE7F}"/>
    <cellStyle name="Migliaia 26 3 5" xfId="3401" xr:uid="{FA409B07-883E-48A4-8E58-2BD3CA30C472}"/>
    <cellStyle name="Migliaia 26 3 5 2" xfId="5127" xr:uid="{79F0C381-7114-4E45-848F-ED8623C9FA9F}"/>
    <cellStyle name="Migliaia 26 3 5 2 2" xfId="35252" xr:uid="{63D9412A-D97C-46D1-9BAE-EF40A4DA8CA6}"/>
    <cellStyle name="Migliaia 26 3 5 2 2 2" xfId="40412" xr:uid="{A042B7F7-88F3-48E0-900C-C1BF9BDF54B9}"/>
    <cellStyle name="Migliaia 26 3 5 2 2 3" xfId="45714" xr:uid="{C19E7C58-B18B-46FA-8CE7-EE7749844E9F}"/>
    <cellStyle name="Migliaia 26 3 5 2 3" xfId="37761" xr:uid="{D9A5B6DC-9C3C-498C-B508-49DA538C6E4B}"/>
    <cellStyle name="Migliaia 26 3 5 2 4" xfId="43063" xr:uid="{04283FA3-EEC0-45C1-8399-DDF6206F35C3}"/>
    <cellStyle name="Migliaia 26 3 5 2 5" xfId="14235" xr:uid="{FCDBED06-B62D-40D9-B787-798D225FB142}"/>
    <cellStyle name="Migliaia 26 3 5 3" xfId="6333" xr:uid="{9987323D-A970-42F4-AF7E-710C58F7BAE9}"/>
    <cellStyle name="Migliaia 26 3 5 3 2" xfId="39024" xr:uid="{9E4E141F-6B1D-4F37-A3A7-71F4793F35A7}"/>
    <cellStyle name="Migliaia 26 3 5 3 3" xfId="44326" xr:uid="{9762E890-9430-475D-ADE0-9AB3B89DEA67}"/>
    <cellStyle name="Migliaia 26 3 5 3 4" xfId="33566" xr:uid="{AD302DD7-F2A2-4AB0-BA97-007FB1A7A592}"/>
    <cellStyle name="Migliaia 26 3 5 3 5" xfId="20221" xr:uid="{549BF139-AB79-495C-A5C2-4987D3B1962F}"/>
    <cellStyle name="Migliaia 26 3 5 4" xfId="36489" xr:uid="{B5693A79-E632-4584-B174-F268EBAD944B}"/>
    <cellStyle name="Migliaia 26 3 5 5" xfId="41675" xr:uid="{733BEA89-3A51-4CAC-A28F-67A22BB5807D}"/>
    <cellStyle name="Migliaia 26 3 5 6" xfId="16292" xr:uid="{E93265C8-306F-432A-80D5-4400F1993679}"/>
    <cellStyle name="Migliaia 26 3 5 7" xfId="8297" xr:uid="{BB6276D3-32B8-4997-92E5-F69EDCB07ED0}"/>
    <cellStyle name="Migliaia 26 3 6" xfId="5122" xr:uid="{1E677ED1-A687-47E2-868E-81AA5E92BAA5}"/>
    <cellStyle name="Migliaia 26 3 6 2" xfId="13940" xr:uid="{63367D30-92C6-46CF-B532-9599E73D2753}"/>
    <cellStyle name="Migliaia 26 3 6 2 2" xfId="39025" xr:uid="{2A940BB7-E765-41B3-8466-91DE96657118}"/>
    <cellStyle name="Migliaia 26 3 6 2 3" xfId="44327" xr:uid="{EA9B8B5D-975A-4A92-A659-3A6C06E322EB}"/>
    <cellStyle name="Migliaia 26 3 6 3" xfId="18142" xr:uid="{69142853-E176-4451-941F-63B96F51F1D2}"/>
    <cellStyle name="Migliaia 26 3 6 4" xfId="20222" xr:uid="{76E5BC3B-2606-433C-B90B-FA8CD466CC09}"/>
    <cellStyle name="Migliaia 26 3 6 4 2" xfId="41676" xr:uid="{A923B121-42EC-4CF5-A7E2-4F0FFAFE0646}"/>
    <cellStyle name="Migliaia 26 3 6 5" xfId="16293" xr:uid="{81C88E6A-2DF6-40BD-A995-030063922131}"/>
    <cellStyle name="Migliaia 26 3 6 6" xfId="7896" xr:uid="{F312CEC2-8041-4F1A-A7AD-BCC17723B59E}"/>
    <cellStyle name="Migliaia 26 3 7" xfId="6328" xr:uid="{7052F70A-E1A1-4DF5-A05C-8402E23F4C8E}"/>
    <cellStyle name="Migliaia 26 3 7 2" xfId="33567" xr:uid="{9700E867-B6F2-41E1-B5C0-D00CB460E8D2}"/>
    <cellStyle name="Migliaia 26 3 7 2 2" xfId="39026" xr:uid="{47BED1DA-D95F-49D6-9ABC-718E95BC122E}"/>
    <cellStyle name="Migliaia 26 3 7 2 3" xfId="44328" xr:uid="{379CC7DB-C626-40BC-8435-9A899817BBB9}"/>
    <cellStyle name="Migliaia 26 3 7 3" xfId="36490" xr:uid="{1CA9CD01-8632-4BC3-8799-B9BED7DA6C70}"/>
    <cellStyle name="Migliaia 26 3 7 4" xfId="41677" xr:uid="{27F0BDD4-5FFB-4C55-9550-DFE4BB117173}"/>
    <cellStyle name="Migliaia 26 3 7 5" xfId="11095" xr:uid="{18BAB77E-DFF3-4BB5-86DF-A4A2EACE0133}"/>
    <cellStyle name="Migliaia 26 3 8" xfId="3396" xr:uid="{4FA0C2E3-CCF9-4EAC-912E-3E24456DCDC1}"/>
    <cellStyle name="Migliaia 26 3 8 2" xfId="33568" xr:uid="{F81E81B5-5057-4A1A-AF11-7FC40E906286}"/>
    <cellStyle name="Migliaia 26 3 8 2 2" xfId="39027" xr:uid="{F279116B-9B29-4F14-953C-3FC3426921FE}"/>
    <cellStyle name="Migliaia 26 3 8 2 3" xfId="44329" xr:uid="{D5228EF3-807C-4521-9939-A2A4ACC170E8}"/>
    <cellStyle name="Migliaia 26 3 8 3" xfId="36491" xr:uid="{79C0CFA2-CA58-4E39-98BE-0829585DAEC0}"/>
    <cellStyle name="Migliaia 26 3 8 4" xfId="41678" xr:uid="{BFAF6855-A67C-41B0-8155-45169CBD9B6E}"/>
    <cellStyle name="Migliaia 26 3 8 5" xfId="24599" xr:uid="{A7B6EC79-5FFE-4BA8-996C-15A956157CE7}"/>
    <cellStyle name="Migliaia 26 3 8 6" xfId="17373" xr:uid="{97982996-CD86-4476-AD07-DC67D99E0501}"/>
    <cellStyle name="Migliaia 26 3 9" xfId="20213" xr:uid="{430362B4-EFF0-47FF-B97F-4FAB8F133A42}"/>
    <cellStyle name="Migliaia 26 4" xfId="1748" xr:uid="{00000000-0005-0000-0000-000067030000}"/>
    <cellStyle name="Migliaia 26 4 2" xfId="1749" xr:uid="{00000000-0005-0000-0000-000068030000}"/>
    <cellStyle name="Migliaia 26 4 2 2" xfId="5129" xr:uid="{598DDDE4-044A-4BF5-83F3-B30A48D5F307}"/>
    <cellStyle name="Migliaia 26 4 2 2 2" xfId="33569" xr:uid="{1B46F887-05A3-4A43-BE84-D8C85F98550C}"/>
    <cellStyle name="Migliaia 26 4 2 2 2 2" xfId="39028" xr:uid="{E66E4C0D-FB00-497A-A998-FC2CFA564C2D}"/>
    <cellStyle name="Migliaia 26 4 2 2 2 3" xfId="44330" xr:uid="{2D569025-BB27-48B3-8948-DDF1AB6C032C}"/>
    <cellStyle name="Migliaia 26 4 2 2 3" xfId="36492" xr:uid="{28746FC2-5D52-4A07-AA09-03EC37BD9D8F}"/>
    <cellStyle name="Migliaia 26 4 2 2 4" xfId="41679" xr:uid="{7CD0008D-C3A0-47E3-AF39-1C8BF7F9274B}"/>
    <cellStyle name="Migliaia 26 4 2 2 5" xfId="9144" xr:uid="{16BE6798-DD70-4D49-9314-6FE23E156AC0}"/>
    <cellStyle name="Migliaia 26 4 2 3" xfId="3403" xr:uid="{ADEA42E4-FBE3-491C-AF47-2EC817FD2ACD}"/>
    <cellStyle name="Migliaia 26 4 2 3 2" xfId="33570" xr:uid="{88AEE942-FDD2-4CC6-9D3F-81E566E7B968}"/>
    <cellStyle name="Migliaia 26 4 2 3 2 2" xfId="39029" xr:uid="{98898A95-52C1-4C39-8C12-30FE25647A39}"/>
    <cellStyle name="Migliaia 26 4 2 3 2 3" xfId="44331" xr:uid="{850094DD-DF19-404D-871C-F2B4279D3726}"/>
    <cellStyle name="Migliaia 26 4 2 3 3" xfId="36493" xr:uid="{7B8CDFFA-6FB3-4899-8E57-C5B6639EA3E9}"/>
    <cellStyle name="Migliaia 26 4 2 3 4" xfId="41680" xr:uid="{5523381C-C0C5-4E8D-96D0-EBFB8E3EF981}"/>
    <cellStyle name="Migliaia 26 4 2 3 5" xfId="11961" xr:uid="{6EF3C4A9-0B5F-46E8-B5A3-AAFDD7A133FE}"/>
    <cellStyle name="Migliaia 26 4 2 4" xfId="11310" xr:uid="{9F2A3030-7050-48A9-824E-1755E214B56E}"/>
    <cellStyle name="Migliaia 26 4 2 5" xfId="10826" xr:uid="{CD812AB1-C12C-4F8B-89EC-03E9DDB9DEC3}"/>
    <cellStyle name="Migliaia 26 4 2 5 2" xfId="21461" xr:uid="{95D2598D-12EB-4315-B07D-18275788FA07}"/>
    <cellStyle name="Migliaia 26 4 2 5 3" xfId="48529" xr:uid="{3FB6BAEF-1306-40E2-8543-1C696DFE7E79}"/>
    <cellStyle name="Migliaia 26 4 2 5 4" xfId="50476" xr:uid="{4AA49F0A-05FB-49FE-9CE7-E06DAC8CE388}"/>
    <cellStyle name="Migliaia 26 4 2 5 5" xfId="53492" xr:uid="{48F17E45-D387-4FED-A174-CB6C1DD1E2A3}"/>
    <cellStyle name="Migliaia 26 4 2 6" xfId="20224" xr:uid="{3F245521-34B1-4BF4-8F1B-3B6B76C94645}"/>
    <cellStyle name="Migliaia 26 4 2 7" xfId="24601" xr:uid="{3E795E1C-A063-4560-876D-7688F525F5F2}"/>
    <cellStyle name="Migliaia 26 4 2 8" xfId="8592" xr:uid="{9BF0DF7E-0EE7-4A5F-9198-8034B7370BAE}"/>
    <cellStyle name="Migliaia 26 4 3" xfId="5128" xr:uid="{025BA078-51E5-443C-8A96-3649F8F13B75}"/>
    <cellStyle name="Migliaia 26 4 3 2" xfId="18199" xr:uid="{62A99AC8-D04E-4E68-9D90-C97A94EC23D4}"/>
    <cellStyle name="Migliaia 26 4 3 2 2" xfId="39030" xr:uid="{F953A32F-AA5F-4888-8691-0626BDDDA3E1}"/>
    <cellStyle name="Migliaia 26 4 3 2 3" xfId="44332" xr:uid="{7F792844-555C-4AD7-9C3F-4EC77305F9E5}"/>
    <cellStyle name="Migliaia 26 4 3 3" xfId="36494" xr:uid="{7C5DFF14-EFF6-4228-8D08-4CA32543178A}"/>
    <cellStyle name="Migliaia 26 4 3 4" xfId="41681" xr:uid="{08927896-912D-4BBF-A2BC-351FA02DABC3}"/>
    <cellStyle name="Migliaia 26 4 3 5" xfId="17371" xr:uid="{B1097735-D52F-49EF-BD7A-2CC6C1DE9AA1}"/>
    <cellStyle name="Migliaia 26 4 3 6" xfId="9145" xr:uid="{918F36EC-6ABE-4858-85AD-8833053DDEF0}"/>
    <cellStyle name="Migliaia 26 4 4" xfId="6334" xr:uid="{B7C1425D-64E2-4C96-9FE9-B1781CD656D8}"/>
    <cellStyle name="Migliaia 26 4 4 2" xfId="33571" xr:uid="{9384F09E-B88D-4A11-BE4E-A958A9BFFD7A}"/>
    <cellStyle name="Migliaia 26 4 4 2 2" xfId="39031" xr:uid="{1BAB739A-C7F8-4649-93FC-94C9552276D0}"/>
    <cellStyle name="Migliaia 26 4 4 2 3" xfId="44333" xr:uid="{442B4A65-1C6A-4867-986A-E8F05B94679C}"/>
    <cellStyle name="Migliaia 26 4 4 3" xfId="36495" xr:uid="{DCEF2FD8-1717-4B94-A4C3-51A00748AC31}"/>
    <cellStyle name="Migliaia 26 4 4 4" xfId="41682" xr:uid="{CB7D007C-893A-481C-97BE-4CABADC560EA}"/>
    <cellStyle name="Migliaia 26 4 4 5" xfId="11962" xr:uid="{88A3391F-4681-4049-9405-D9AB00FC99CE}"/>
    <cellStyle name="Migliaia 26 4 5" xfId="3402" xr:uid="{D54454B4-790E-4457-8C7F-FAD8F4A65922}"/>
    <cellStyle name="Migliaia 26 4 5 2" xfId="33572" xr:uid="{1B6F3F31-E34C-4CFC-9CA5-E23F1A874ACA}"/>
    <cellStyle name="Migliaia 26 4 5 2 2" xfId="39032" xr:uid="{45B45D51-D6C8-49A4-B3F2-235F471A93D3}"/>
    <cellStyle name="Migliaia 26 4 5 2 3" xfId="44334" xr:uid="{58DC31BF-60C1-4007-B1C3-7CACC1B663CA}"/>
    <cellStyle name="Migliaia 26 4 5 3" xfId="36496" xr:uid="{75821C0C-14B7-41C0-AD25-79DD2513C250}"/>
    <cellStyle name="Migliaia 26 4 5 4" xfId="41683" xr:uid="{9F974168-9CE8-4EB5-A569-AAF37B1746AD}"/>
    <cellStyle name="Migliaia 26 4 5 5" xfId="11309" xr:uid="{8700EBD2-BB02-4138-ABB7-589811EFFF8A}"/>
    <cellStyle name="Migliaia 26 4 6" xfId="10825" xr:uid="{23779F1C-989F-4965-B2FC-B15E0D6A39A9}"/>
    <cellStyle name="Migliaia 26 4 6 2" xfId="21460" xr:uid="{DC0238DE-1AD1-4682-8D71-8F89422DFB7C}"/>
    <cellStyle name="Migliaia 26 4 6 2 2" xfId="39033" xr:uid="{554AE454-073F-4C4D-8A52-8535F8451B51}"/>
    <cellStyle name="Migliaia 26 4 6 2 3" xfId="44335" xr:uid="{A7E5955A-567C-4EE2-A060-7F8469E11DCF}"/>
    <cellStyle name="Migliaia 26 4 6 2 4" xfId="33573" xr:uid="{2B08B44E-F6B8-463E-9A21-290AF1FB827A}"/>
    <cellStyle name="Migliaia 26 4 6 3" xfId="36497" xr:uid="{6E8340B2-A6EB-4C9B-A1B2-B9139EFAE7DD}"/>
    <cellStyle name="Migliaia 26 4 6 4" xfId="41684" xr:uid="{69AF6970-604E-4BAA-B98E-90BE88A11B43}"/>
    <cellStyle name="Migliaia 26 4 6 5" xfId="24602" xr:uid="{B7E7333D-A5AD-47FC-9CD9-2365C3789FDC}"/>
    <cellStyle name="Migliaia 26 4 6 6" xfId="48569" xr:uid="{A9169CA6-D04C-4E60-9EE0-1B94B45D2351}"/>
    <cellStyle name="Migliaia 26 4 6 7" xfId="50475" xr:uid="{12FDC68C-9D0A-46B6-B45D-DDC564B4E3D3}"/>
    <cellStyle name="Migliaia 26 4 6 8" xfId="53491" xr:uid="{47E1068D-EBC4-47ED-A4C3-6ACA66C38A15}"/>
    <cellStyle name="Migliaia 26 4 7" xfId="20223" xr:uid="{E8800BFE-16E9-481E-A325-E38AD01F3D9C}"/>
    <cellStyle name="Migliaia 26 4 7 2" xfId="33574" xr:uid="{AAA62AD7-FDDB-4208-9005-B8E40D1801A2}"/>
    <cellStyle name="Migliaia 26 4 7 2 2" xfId="39034" xr:uid="{BBA8BEC8-8693-4276-A623-A63215D7B8C9}"/>
    <cellStyle name="Migliaia 26 4 7 2 3" xfId="44336" xr:uid="{E5B57CA5-3AC0-48B5-B2F3-381FE4B4D8EF}"/>
    <cellStyle name="Migliaia 26 4 7 3" xfId="36498" xr:uid="{9ABBF649-0D80-4ADA-AB88-B822269D391F}"/>
    <cellStyle name="Migliaia 26 4 7 4" xfId="41685" xr:uid="{E758DE22-5840-4FF6-A848-70D7A316688F}"/>
    <cellStyle name="Migliaia 26 4 7 5" xfId="24603" xr:uid="{E8617562-23D5-4383-99BA-20C6AA996BD7}"/>
    <cellStyle name="Migliaia 26 4 8" xfId="24600" xr:uid="{DFA3C458-5438-42A5-8098-6CA9E16BD032}"/>
    <cellStyle name="Migliaia 26 4 9" xfId="7402" xr:uid="{A4413210-06CE-4374-BA9F-68D69071DE5A}"/>
    <cellStyle name="Migliaia 26 5" xfId="1750" xr:uid="{00000000-0005-0000-0000-000069030000}"/>
    <cellStyle name="Migliaia 26 5 2" xfId="5130" xr:uid="{3C1C4CE0-D8C7-4F46-AF5C-191DB082DB7D}"/>
    <cellStyle name="Migliaia 26 5 2 2" xfId="18418" xr:uid="{A63AFF8D-4C84-4608-B55A-3B6757F5B9E8}"/>
    <cellStyle name="Migliaia 26 5 2 2 2" xfId="39035" xr:uid="{06C3B8DC-ED44-4236-B7C7-C8A1B84877E1}"/>
    <cellStyle name="Migliaia 26 5 2 2 3" xfId="44337" xr:uid="{D8FCC45E-C6CE-4A58-ABEB-5C210662A17E}"/>
    <cellStyle name="Migliaia 26 5 2 3" xfId="20226" xr:uid="{69685B01-27DE-4FB1-9DAE-476733244145}"/>
    <cellStyle name="Migliaia 26 5 2 3 2" xfId="36499" xr:uid="{6B6BA4F1-A57D-482E-8E8C-E8DC25CA9FF5}"/>
    <cellStyle name="Migliaia 26 5 2 4" xfId="41686" xr:uid="{ED5895B1-763A-4AD4-BC1D-D47E3B88EA79}"/>
    <cellStyle name="Migliaia 26 5 2 5" xfId="16294" xr:uid="{E21736D4-0177-4B42-B0AD-145F54996E92}"/>
    <cellStyle name="Migliaia 26 5 2 6" xfId="8593" xr:uid="{FE5C9721-2C1C-405B-94EB-215F69B4A48B}"/>
    <cellStyle name="Migliaia 26 5 3" xfId="6335" xr:uid="{033EB722-AC80-4B0C-9D85-AD411EF1CA43}"/>
    <cellStyle name="Migliaia 26 5 3 2" xfId="33575" xr:uid="{E05779AA-2DF3-40B2-88AA-C1A86F834613}"/>
    <cellStyle name="Migliaia 26 5 3 2 2" xfId="39036" xr:uid="{B535615E-8684-4D62-AE23-8FB4CB6CCCAD}"/>
    <cellStyle name="Migliaia 26 5 3 2 3" xfId="44338" xr:uid="{5FA2C01F-8918-4D3F-8FDA-27370980630D}"/>
    <cellStyle name="Migliaia 26 5 3 3" xfId="36500" xr:uid="{032174C2-F046-4DDC-B9BE-080FF6CC589D}"/>
    <cellStyle name="Migliaia 26 5 3 4" xfId="41687" xr:uid="{101D9905-8F6D-48C5-8137-AD53864C84F1}"/>
    <cellStyle name="Migliaia 26 5 3 5" xfId="11311" xr:uid="{7F7A7471-4045-4508-BC5F-2D724B02A9E8}"/>
    <cellStyle name="Migliaia 26 5 4" xfId="3404" xr:uid="{14D31804-79D0-46F0-87F8-259D244259A3}"/>
    <cellStyle name="Migliaia 26 5 4 2" xfId="21462" xr:uid="{284C1F53-4F4B-4B1A-AEFE-1393365D3D57}"/>
    <cellStyle name="Migliaia 26 5 4 2 2" xfId="39037" xr:uid="{61B7E84D-8193-4887-944A-FCC43EDFA274}"/>
    <cellStyle name="Migliaia 26 5 4 2 3" xfId="44339" xr:uid="{C6245F56-F71E-4BF5-A645-D4E4FF82D341}"/>
    <cellStyle name="Migliaia 26 5 4 2 4" xfId="33576" xr:uid="{EE8D1CC3-DB90-4F84-8E1C-538D40A6EBFB}"/>
    <cellStyle name="Migliaia 26 5 4 3" xfId="36501" xr:uid="{42A05D2F-1E11-4C40-ACDE-36845CCEDA4C}"/>
    <cellStyle name="Migliaia 26 5 4 4" xfId="41688" xr:uid="{F3BD2495-02D5-499B-981F-80B7889DA2BE}"/>
    <cellStyle name="Migliaia 26 5 4 5" xfId="24605" xr:uid="{33273BE0-1ABF-4271-BDEA-990790BD8DB8}"/>
    <cellStyle name="Migliaia 26 5 4 6" xfId="47658" xr:uid="{69B11EF3-92C8-44CB-9C46-201A3BA9E8C4}"/>
    <cellStyle name="Migliaia 26 5 4 7" xfId="50477" xr:uid="{7E51A753-5478-4767-BD19-4FDC5E5400E9}"/>
    <cellStyle name="Migliaia 26 5 4 8" xfId="53493" xr:uid="{CBE2B57F-B4DA-4383-923D-609CA943AFDF}"/>
    <cellStyle name="Migliaia 26 5 4 9" xfId="10827" xr:uid="{0C9154AD-2A08-429D-8E21-2282FE908BF6}"/>
    <cellStyle name="Migliaia 26 5 5" xfId="20225" xr:uid="{B29F8FF6-1DB5-4CE6-9629-7BCAB0471734}"/>
    <cellStyle name="Migliaia 26 5 5 2" xfId="33577" xr:uid="{D6112979-EDF4-4C6F-9F2C-3BBF93EB490A}"/>
    <cellStyle name="Migliaia 26 5 5 2 2" xfId="39038" xr:uid="{2CD9BD39-B4FD-42FD-96E2-8989D366CCD9}"/>
    <cellStyle name="Migliaia 26 5 5 2 3" xfId="44340" xr:uid="{21819CCF-227E-4897-808E-926293AA3BEF}"/>
    <cellStyle name="Migliaia 26 5 5 3" xfId="36502" xr:uid="{96E1BE5D-A80D-4967-BCDB-24DEC9387771}"/>
    <cellStyle name="Migliaia 26 5 5 4" xfId="41689" xr:uid="{B5DE8C12-5662-4BAA-A446-08A84C2108EA}"/>
    <cellStyle name="Migliaia 26 5 5 5" xfId="24606" xr:uid="{EAD9B678-0F16-4E3B-81C1-13F02AA2AE19}"/>
    <cellStyle name="Migliaia 26 5 6" xfId="24607" xr:uid="{6269E291-5528-413A-9828-C7FFB11E2899}"/>
    <cellStyle name="Migliaia 26 5 6 2" xfId="33578" xr:uid="{83CD2E81-31EF-419E-8E7C-78FD654F4187}"/>
    <cellStyle name="Migliaia 26 5 6 2 2" xfId="39039" xr:uid="{FE00CE6C-DEFE-4CB9-8790-442A1B9C52B3}"/>
    <cellStyle name="Migliaia 26 5 6 2 3" xfId="44341" xr:uid="{90A79BC5-3D74-4C4D-AFEE-975533464D50}"/>
    <cellStyle name="Migliaia 26 5 6 3" xfId="36503" xr:uid="{4DB06427-D7AC-4211-9E42-5E3DC37BCC44}"/>
    <cellStyle name="Migliaia 26 5 6 4" xfId="41690" xr:uid="{77E113C9-BA6C-4B30-871E-D1BD26E2FB1D}"/>
    <cellStyle name="Migliaia 26 5 7" xfId="24604" xr:uid="{CD41423A-CF7A-473F-AAE8-BCF50E65D63E}"/>
    <cellStyle name="Migliaia 26 5 8" xfId="7403" xr:uid="{13C864F1-1B0B-44C9-97A7-C0EF51E67091}"/>
    <cellStyle name="Migliaia 26 6" xfId="3405" xr:uid="{4C7EEB1F-CB47-4FE7-B3B1-646E4BBC959D}"/>
    <cellStyle name="Migliaia 26 6 2" xfId="5131" xr:uid="{5338679A-068F-41BD-990C-26F57B4187E0}"/>
    <cellStyle name="Migliaia 26 6 2 2" xfId="9917" xr:uid="{4BBDFB13-5CBE-4E37-B86A-61FBF93CB5E8}"/>
    <cellStyle name="Migliaia 26 6 2 3" xfId="18662" xr:uid="{42C4338B-4D4F-428C-B3B0-71D30C219BFF}"/>
    <cellStyle name="Migliaia 26 6 2 4" xfId="20228" xr:uid="{35FA57CE-2687-4953-8838-14BBADDE303A}"/>
    <cellStyle name="Migliaia 26 6 2 5" xfId="32352" xr:uid="{D7265019-F95C-456B-B71F-65FC92886500}"/>
    <cellStyle name="Migliaia 26 6 2 6" xfId="16296" xr:uid="{E598255B-83E7-4475-B1B7-AD9DD60E0148}"/>
    <cellStyle name="Migliaia 26 6 2 7" xfId="8588" xr:uid="{73A30DF4-343B-45F9-A257-FE17C71BF5E7}"/>
    <cellStyle name="Migliaia 26 6 3" xfId="6336" xr:uid="{4F77473C-FF93-4B30-820C-ED54DC02A4CD}"/>
    <cellStyle name="Migliaia 26 6 3 2" xfId="35253" xr:uid="{9F7DD868-90B6-46F0-9DA0-4A487238174D}"/>
    <cellStyle name="Migliaia 26 6 3 2 2" xfId="40413" xr:uid="{51F081FE-8903-4820-921B-009105C0DC5F}"/>
    <cellStyle name="Migliaia 26 6 3 2 3" xfId="45715" xr:uid="{229EFDFF-5F75-4E5B-B132-88F8FDD37367}"/>
    <cellStyle name="Migliaia 26 6 3 3" xfId="37762" xr:uid="{9C11434F-4B95-42B7-B3C3-A35F34271D55}"/>
    <cellStyle name="Migliaia 26 6 3 4" xfId="43064" xr:uid="{342A0E7B-7B95-441B-BB6B-35C72B892268}"/>
    <cellStyle name="Migliaia 26 6 3 5" xfId="9680" xr:uid="{45A8BCC5-DFD9-4FB5-BDCA-F10D7F9241E1}"/>
    <cellStyle name="Migliaia 26 6 4" xfId="20227" xr:uid="{350A4027-F738-4ADA-8A3F-6E2D4253E352}"/>
    <cellStyle name="Migliaia 26 6 4 2" xfId="39040" xr:uid="{13FF9DEC-4FE2-459C-8905-BB358835EA32}"/>
    <cellStyle name="Migliaia 26 6 4 3" xfId="44342" xr:uid="{F131005F-FE0C-4FDE-B8E4-A26C0E6D5195}"/>
    <cellStyle name="Migliaia 26 6 4 4" xfId="33579" xr:uid="{8EB39146-36BA-4F13-87A9-9F74FD1C731F}"/>
    <cellStyle name="Migliaia 26 6 5" xfId="36504" xr:uid="{6EB4254A-1577-4EA5-8075-6F15B7A50035}"/>
    <cellStyle name="Migliaia 26 6 6" xfId="41691" xr:uid="{2F1E2070-AAF5-45E8-8DB3-3510A9CBD486}"/>
    <cellStyle name="Migliaia 26 6 7" xfId="16295" xr:uid="{C3A94BE0-4D78-43BA-9F0B-D72892EA37C6}"/>
    <cellStyle name="Migliaia 26 6 8" xfId="7398" xr:uid="{14E51EF8-688C-46FA-A37B-E154B07393F1}"/>
    <cellStyle name="Migliaia 26 7" xfId="3406" xr:uid="{1F6A8F1A-8AFB-4D03-A034-8CA812EA5C6E}"/>
    <cellStyle name="Migliaia 26 7 2" xfId="5132" xr:uid="{3AA6850D-B99E-4AF7-BA50-539943D99A0A}"/>
    <cellStyle name="Migliaia 26 7 2 2" xfId="35254" xr:uid="{FE096D82-54E9-4F51-A9B8-319FB45EBF91}"/>
    <cellStyle name="Migliaia 26 7 2 2 2" xfId="40414" xr:uid="{E4F0EF09-2BA8-4396-858E-56E07DE24D5F}"/>
    <cellStyle name="Migliaia 26 7 2 2 3" xfId="45716" xr:uid="{A3AE19BE-DD1E-43BA-91E8-37A5D2688258}"/>
    <cellStyle name="Migliaia 26 7 2 3" xfId="37763" xr:uid="{4133A518-9975-430F-8E2F-DE92F043A796}"/>
    <cellStyle name="Migliaia 26 7 2 4" xfId="43065" xr:uid="{744D5D2E-1C0C-456E-BB3C-E5EF5050EF05}"/>
    <cellStyle name="Migliaia 26 7 2 5" xfId="14233" xr:uid="{1E9B0793-976B-49FE-BF9E-FE9801719230}"/>
    <cellStyle name="Migliaia 26 7 3" xfId="6337" xr:uid="{5DA01BA6-492C-41E2-ADE3-222D97F67715}"/>
    <cellStyle name="Migliaia 26 7 3 2" xfId="39041" xr:uid="{8B5580BB-53BA-4ABE-AD33-F35865331A74}"/>
    <cellStyle name="Migliaia 26 7 3 3" xfId="44343" xr:uid="{52C0D44F-15A4-4DC6-B115-3C8EA5A24147}"/>
    <cellStyle name="Migliaia 26 7 3 4" xfId="33580" xr:uid="{8B4BCD9D-4E46-4FFB-B82A-8554EF31F0E9}"/>
    <cellStyle name="Migliaia 26 7 3 5" xfId="20229" xr:uid="{D3877A08-172B-4C48-BF62-750B82E16032}"/>
    <cellStyle name="Migliaia 26 7 4" xfId="36505" xr:uid="{7003C3C1-E845-4EE2-ADC9-68A45A40D7CC}"/>
    <cellStyle name="Migliaia 26 7 5" xfId="41692" xr:uid="{217B37E5-B789-463A-8D6F-44056D506751}"/>
    <cellStyle name="Migliaia 26 7 6" xfId="16297" xr:uid="{D4A78560-BF69-451A-8843-2CB5AC607190}"/>
    <cellStyle name="Migliaia 26 7 7" xfId="8295" xr:uid="{02AF195F-534B-48C8-B342-42E119E7D84C}"/>
    <cellStyle name="Migliaia 26 8" xfId="3407" xr:uid="{12742659-F27D-4070-83D9-F488C30B1412}"/>
    <cellStyle name="Migliaia 26 8 2" xfId="5133" xr:uid="{B49D4B32-9A99-45FF-ADE4-96F5F4AFCCB5}"/>
    <cellStyle name="Migliaia 26 8 2 2" xfId="35255" xr:uid="{560465DE-B087-4FB8-9A3E-E69C35C2631F}"/>
    <cellStyle name="Migliaia 26 8 2 2 2" xfId="40415" xr:uid="{A0B9CD63-83C1-4C95-8BD7-5267441F2C58}"/>
    <cellStyle name="Migliaia 26 8 2 2 3" xfId="45717" xr:uid="{29B48758-DF6F-428B-9678-FA3143A518B2}"/>
    <cellStyle name="Migliaia 26 8 2 3" xfId="37764" xr:uid="{16B0F453-9CAF-4AA7-A0A2-69B7AC85A4F0}"/>
    <cellStyle name="Migliaia 26 8 2 4" xfId="43066" xr:uid="{E64E97D5-D441-4AEE-97C6-65AACC73AD65}"/>
    <cellStyle name="Migliaia 26 8 2 5" xfId="13938" xr:uid="{0ECDBB4D-5036-4E94-BC37-01D12597763E}"/>
    <cellStyle name="Migliaia 26 8 3" xfId="6338" xr:uid="{5A665E42-8C55-48E6-9164-1158730DEB30}"/>
    <cellStyle name="Migliaia 26 8 3 2" xfId="39042" xr:uid="{E8C63983-3C5B-4180-80C1-ADDB7E953824}"/>
    <cellStyle name="Migliaia 26 8 3 3" xfId="44344" xr:uid="{B9934A14-ECCC-428C-979F-8904BF3946DF}"/>
    <cellStyle name="Migliaia 26 8 3 4" xfId="33581" xr:uid="{8BD6F5B8-D841-47F1-B70E-E119C2B03476}"/>
    <cellStyle name="Migliaia 26 8 3 5" xfId="20230" xr:uid="{CDC10F74-B9CB-4FF1-9AFE-29F857EF7CF1}"/>
    <cellStyle name="Migliaia 26 8 4" xfId="36506" xr:uid="{4E4E94B5-B150-420A-A6F3-97D4F959D51E}"/>
    <cellStyle name="Migliaia 26 8 5" xfId="41693" xr:uid="{B26CC3B0-56D2-4408-B5C9-51CC4F2F6374}"/>
    <cellStyle name="Migliaia 26 8 6" xfId="16298" xr:uid="{BF46B164-0D18-41B9-BCF2-2879C614DF2B}"/>
    <cellStyle name="Migliaia 26 8 7" xfId="7894" xr:uid="{97E17FA6-5D80-4FFE-BEBF-45377EC2EE50}"/>
    <cellStyle name="Migliaia 26 9" xfId="5118" xr:uid="{13C50982-3A1D-4000-AEE7-6FC8EF50C7F2}"/>
    <cellStyle name="Migliaia 26 9 2" xfId="33582" xr:uid="{5F2047DD-96F9-4076-8152-1A901D21BB67}"/>
    <cellStyle name="Migliaia 26 9 2 2" xfId="39043" xr:uid="{58CF8108-151A-4172-9D65-3C65E1B0A34A}"/>
    <cellStyle name="Migliaia 26 9 2 3" xfId="44345" xr:uid="{AFFDB185-41CD-4DFB-B464-E8C052487C95}"/>
    <cellStyle name="Migliaia 26 9 3" xfId="36507" xr:uid="{9F2CDCD9-548E-4A4C-8644-D88953A5F00E}"/>
    <cellStyle name="Migliaia 26 9 4" xfId="41694" xr:uid="{3176EC7D-31CE-412A-9F45-52F4FA6CE651}"/>
    <cellStyle name="Migliaia 26 9 5" xfId="17171" xr:uid="{EB06ACD3-1174-428B-8559-84139E5CC2DD}"/>
    <cellStyle name="Migliaia 27" xfId="377" xr:uid="{00000000-0005-0000-0000-00006A030000}"/>
    <cellStyle name="Migliaia 27 10" xfId="6339" xr:uid="{0A0E45D2-F158-4916-86EE-45AC31BB7EAD}"/>
    <cellStyle name="Migliaia 27 10 2" xfId="39044" xr:uid="{6BDD170F-2926-4AA9-80A9-3776DD029BF7}"/>
    <cellStyle name="Migliaia 27 10 3" xfId="44346" xr:uid="{B45093B2-CFEE-4390-A511-FCF7A474299E}"/>
    <cellStyle name="Migliaia 27 10 4" xfId="33583" xr:uid="{EA5F1FE7-9CF8-4F82-AC11-0CE3714551F7}"/>
    <cellStyle name="Migliaia 27 10 5" xfId="20231" xr:uid="{9C432F57-999F-4DE5-A810-68E7BCDA2574}"/>
    <cellStyle name="Migliaia 27 11" xfId="3408" xr:uid="{A068FD15-F69F-4E83-8C89-DCFE7E9457AF}"/>
    <cellStyle name="Migliaia 27 11 2" xfId="36508" xr:uid="{BA4D7FCA-84F8-4921-91A9-F7B4FE609A71}"/>
    <cellStyle name="Migliaia 27 12" xfId="41695" xr:uid="{05CBEC0E-259A-424E-B1B6-3C596ACB136D}"/>
    <cellStyle name="Migliaia 27 13" xfId="7099" xr:uid="{63965040-70D7-4B07-A941-AE4DEC560675}"/>
    <cellStyle name="Migliaia 27 2" xfId="378" xr:uid="{00000000-0005-0000-0000-00006B030000}"/>
    <cellStyle name="Migliaia 27 2 2" xfId="1751" xr:uid="{00000000-0005-0000-0000-00006C030000}"/>
    <cellStyle name="Migliaia 27 2 2 2" xfId="5136" xr:uid="{3D65AC94-495C-46AE-BB06-196846A00589}"/>
    <cellStyle name="Migliaia 27 2 2 2 2" xfId="14382" xr:uid="{BFE898E4-E8E4-4312-B521-AD217FDDF118}"/>
    <cellStyle name="Migliaia 27 2 2 2 2 2" xfId="39045" xr:uid="{7BCCABA5-76C4-479F-8BC3-D02397ACA6D9}"/>
    <cellStyle name="Migliaia 27 2 2 2 2 3" xfId="44347" xr:uid="{85771D38-D47C-4950-98E7-5D2719A3D9BA}"/>
    <cellStyle name="Migliaia 27 2 2 2 3" xfId="18419" xr:uid="{53DBB1B1-8CEB-4DC7-822C-624B43AA55CC}"/>
    <cellStyle name="Migliaia 27 2 2 2 4" xfId="20234" xr:uid="{F260428A-78C1-4481-8B86-6026506CE56E}"/>
    <cellStyle name="Migliaia 27 2 2 2 4 2" xfId="41696" xr:uid="{E1F5BC69-A40F-4FB3-BEA1-C1A084DFE3FB}"/>
    <cellStyle name="Migliaia 27 2 2 2 5" xfId="16299" xr:uid="{2DCAA6A7-1A7D-41FC-8FA0-3E753D74610D}"/>
    <cellStyle name="Migliaia 27 2 2 2 6" xfId="8595" xr:uid="{1B37DFA7-4C8C-4C79-8098-79F9A526B2E2}"/>
    <cellStyle name="Migliaia 27 2 2 3" xfId="6341" xr:uid="{F2FA924F-8B5C-4D30-840F-8523A54367B1}"/>
    <cellStyle name="Migliaia 27 2 2 3 2" xfId="35256" xr:uid="{14B31CD8-A81D-4A47-A9AF-2C595D3A040A}"/>
    <cellStyle name="Migliaia 27 2 2 3 2 2" xfId="40416" xr:uid="{9C31F2A2-9069-4DC6-8E01-CB1677823073}"/>
    <cellStyle name="Migliaia 27 2 2 3 2 3" xfId="45718" xr:uid="{7899092F-C50F-4AC5-893A-2396B5896DEA}"/>
    <cellStyle name="Migliaia 27 2 2 3 3" xfId="37765" xr:uid="{EC5CC403-168E-45AD-98BD-4B0820E271CD}"/>
    <cellStyle name="Migliaia 27 2 2 3 4" xfId="43067" xr:uid="{76DFB680-C65D-4533-BD68-048C1AE1E83E}"/>
    <cellStyle name="Migliaia 27 2 2 3 5" xfId="11609" xr:uid="{3ADBDFC9-0950-4C8A-8D69-8F6D2D0485F3}"/>
    <cellStyle name="Migliaia 27 2 2 4" xfId="3410" xr:uid="{3826D6E5-E972-4D17-A1A3-0741D6764A0B}"/>
    <cellStyle name="Migliaia 27 2 2 4 2" xfId="21463" xr:uid="{032547DF-F7E1-4C1F-B49D-A0ED8F4B6114}"/>
    <cellStyle name="Migliaia 27 2 2 4 3" xfId="46228" xr:uid="{564C6A30-ED73-486C-9A7F-503C30C804D7}"/>
    <cellStyle name="Migliaia 27 2 2 4 4" xfId="50478" xr:uid="{BCCE3667-BB62-45B9-8217-8181DECD9BDF}"/>
    <cellStyle name="Migliaia 27 2 2 4 5" xfId="53494" xr:uid="{8ADCAA0C-9DBE-4187-8E2A-AB1E5FD898D4}"/>
    <cellStyle name="Migliaia 27 2 2 4 6" xfId="10828" xr:uid="{2367B3FF-22CA-44E9-B822-FCE9A273E4CF}"/>
    <cellStyle name="Migliaia 27 2 2 5" xfId="20233" xr:uid="{1746C07A-F148-4C0B-AB1F-EA162E59427B}"/>
    <cellStyle name="Migliaia 27 2 2 6" xfId="24609" xr:uid="{9836E544-466B-409A-A97D-8A5A7015AAD1}"/>
    <cellStyle name="Migliaia 27 2 2 7" xfId="7405" xr:uid="{B236EF1D-594F-41D6-B010-AF92380A3011}"/>
    <cellStyle name="Migliaia 27 2 3" xfId="3411" xr:uid="{ADE8947B-58AF-4E76-BECE-9591BAD07F6A}"/>
    <cellStyle name="Migliaia 27 2 3 2" xfId="5137" xr:uid="{C89AB78D-3BF0-43E1-9C05-3EE05BAC23D6}"/>
    <cellStyle name="Migliaia 27 2 3 2 2" xfId="35257" xr:uid="{F5A2E104-5347-4F97-B2C4-550B44C152EC}"/>
    <cellStyle name="Migliaia 27 2 3 2 2 2" xfId="40417" xr:uid="{D14192E6-2CFC-4AB4-B57F-B9974807A980}"/>
    <cellStyle name="Migliaia 27 2 3 2 2 3" xfId="45719" xr:uid="{5F0BDAE6-FFF8-4427-BDDE-0852A33713AB}"/>
    <cellStyle name="Migliaia 27 2 3 2 3" xfId="37766" xr:uid="{8F0C72C3-BA86-4892-B5A1-D7C5CF53FCC8}"/>
    <cellStyle name="Migliaia 27 2 3 2 4" xfId="43068" xr:uid="{A68549E4-D08C-4F96-87B3-F2038B630005}"/>
    <cellStyle name="Migliaia 27 2 3 2 5" xfId="14237" xr:uid="{1EABBEFA-1A4A-4C0F-91EC-6866B2329D99}"/>
    <cellStyle name="Migliaia 27 2 3 3" xfId="6342" xr:uid="{693EF05D-9F5D-4F73-B6E1-B9B640D8B2AB}"/>
    <cellStyle name="Migliaia 27 2 3 3 2" xfId="39046" xr:uid="{A40E042B-E451-4B63-A9CE-3B165F7146E6}"/>
    <cellStyle name="Migliaia 27 2 3 3 3" xfId="44348" xr:uid="{B9ABEC88-142A-4C47-B334-39CA1748D3F5}"/>
    <cellStyle name="Migliaia 27 2 3 3 4" xfId="33584" xr:uid="{BF96C758-081B-487A-9DBF-8C91DDE32D14}"/>
    <cellStyle name="Migliaia 27 2 3 3 5" xfId="20235" xr:uid="{DE3E57BB-7CA5-4E86-AB47-B0E6A1D7D6C5}"/>
    <cellStyle name="Migliaia 27 2 3 4" xfId="36509" xr:uid="{DD3730B5-DF05-4239-890D-D091CF2003D1}"/>
    <cellStyle name="Migliaia 27 2 3 5" xfId="41697" xr:uid="{978BC5A0-5C33-406C-80AA-BCA934B336A7}"/>
    <cellStyle name="Migliaia 27 2 3 6" xfId="16300" xr:uid="{EDAF0D42-A9EB-4E9B-8596-D1E1E81ACC3A}"/>
    <cellStyle name="Migliaia 27 2 3 7" xfId="8299" xr:uid="{61C2C0B3-FE47-44A3-9055-CDBCFCA9EFF6}"/>
    <cellStyle name="Migliaia 27 2 4" xfId="5135" xr:uid="{255BF61E-90C1-4B4C-9CBD-2142CFB77D71}"/>
    <cellStyle name="Migliaia 27 2 4 2" xfId="13942" xr:uid="{9D70C706-5062-4AC3-B8D6-535C4B1C602F}"/>
    <cellStyle name="Migliaia 27 2 4 2 2" xfId="39047" xr:uid="{016650EF-8130-426B-B97B-FA2995B6C87B}"/>
    <cellStyle name="Migliaia 27 2 4 2 3" xfId="44349" xr:uid="{AF0EFD31-0138-4772-BC48-2C106D33BA57}"/>
    <cellStyle name="Migliaia 27 2 4 3" xfId="18715" xr:uid="{E53088B8-4907-46D3-A364-7275B5F7A8DD}"/>
    <cellStyle name="Migliaia 27 2 4 4" xfId="20236" xr:uid="{75AA5FA7-6ADF-4B98-80D6-F8DC046BE08E}"/>
    <cellStyle name="Migliaia 27 2 4 4 2" xfId="41698" xr:uid="{3853924F-AD35-4AF2-9046-7F6B8C5E3E69}"/>
    <cellStyle name="Migliaia 27 2 4 5" xfId="16301" xr:uid="{2427C8AE-0147-4F81-9508-5C7FF1ED3048}"/>
    <cellStyle name="Migliaia 27 2 4 6" xfId="7899" xr:uid="{7426B5E1-8638-4B55-ACB7-E76F5E4FE43C}"/>
    <cellStyle name="Migliaia 27 2 5" xfId="6340" xr:uid="{47FAA327-DB2E-4A70-B8B3-B291AA4A039F}"/>
    <cellStyle name="Migliaia 27 2 5 2" xfId="33585" xr:uid="{4058EFC2-7B22-4F59-A803-0810B224A09D}"/>
    <cellStyle name="Migliaia 27 2 5 2 2" xfId="39048" xr:uid="{5E348F93-6072-4C0C-BA43-3CFC2299CCD1}"/>
    <cellStyle name="Migliaia 27 2 5 2 3" xfId="44350" xr:uid="{E993F300-44BF-48AC-97B9-9CA97299DB56}"/>
    <cellStyle name="Migliaia 27 2 5 3" xfId="36510" xr:uid="{48F3A00C-49FD-4EA2-8709-3053747A7CCF}"/>
    <cellStyle name="Migliaia 27 2 5 4" xfId="41699" xr:uid="{67AC3DCB-817E-42A7-BF86-8211BC94DA44}"/>
    <cellStyle name="Migliaia 27 2 5 5" xfId="13122" xr:uid="{19F0A667-F56C-410B-A68F-548B939B41F6}"/>
    <cellStyle name="Migliaia 27 2 6" xfId="3409" xr:uid="{86469C21-7872-4217-BEB1-7F40489E6D53}"/>
    <cellStyle name="Migliaia 27 2 6 2" xfId="33586" xr:uid="{9134CB24-4B0A-4A98-A2B5-79A490FF908C}"/>
    <cellStyle name="Migliaia 27 2 6 2 2" xfId="39049" xr:uid="{F7A424E4-8537-4CF7-9745-DED1394DD49C}"/>
    <cellStyle name="Migliaia 27 2 6 2 3" xfId="44351" xr:uid="{093DA97B-7154-4B5F-A258-6F84BA3258D5}"/>
    <cellStyle name="Migliaia 27 2 6 3" xfId="36511" xr:uid="{DE045FE7-1C06-4657-894C-C90F813FE1E0}"/>
    <cellStyle name="Migliaia 27 2 6 4" xfId="41700" xr:uid="{F294B290-8503-4EC6-821E-5A0D05B6647F}"/>
    <cellStyle name="Migliaia 27 2 6 5" xfId="24610" xr:uid="{9A96C6A3-725C-47A2-9F5F-35CECEB8632E}"/>
    <cellStyle name="Migliaia 27 2 6 6" xfId="20232" xr:uid="{642AE5FD-EFCF-4DFC-85EC-B19115B48F4E}"/>
    <cellStyle name="Migliaia 27 2 7" xfId="24608" xr:uid="{6BA654CF-187B-4A16-A0EB-881D4E552CEB}"/>
    <cellStyle name="Migliaia 27 2 8" xfId="7100" xr:uid="{F98F9CE2-46A2-45C2-99BC-51D951E80B73}"/>
    <cellStyle name="Migliaia 27 3" xfId="379" xr:uid="{00000000-0005-0000-0000-00006D030000}"/>
    <cellStyle name="Migliaia 27 3 10" xfId="24611" xr:uid="{218C614B-9156-4A18-B41D-573B80E0842A}"/>
    <cellStyle name="Migliaia 27 3 11" xfId="16302" xr:uid="{41BE323E-A5C2-4161-94A3-06961F948BD0}"/>
    <cellStyle name="Migliaia 27 3 12" xfId="7101" xr:uid="{7CE7C83B-27F5-49E4-B3E9-B8FDEE1188F1}"/>
    <cellStyle name="Migliaia 27 3 2" xfId="380" xr:uid="{00000000-0005-0000-0000-00006E030000}"/>
    <cellStyle name="Migliaia 27 3 2 2" xfId="1752" xr:uid="{00000000-0005-0000-0000-00006F030000}"/>
    <cellStyle name="Migliaia 27 3 2 2 2" xfId="5140" xr:uid="{FDAE2B9F-EE25-4F1F-AF34-E2AD7BC50489}"/>
    <cellStyle name="Migliaia 27 3 2 2 2 2" xfId="18420" xr:uid="{02E00B56-EB34-4A6F-BFC0-688D6ED48BB0}"/>
    <cellStyle name="Migliaia 27 3 2 2 2 2 2" xfId="21860" xr:uid="{937F8CB4-E30B-4042-9CE7-D1B85374ECFA}"/>
    <cellStyle name="Migliaia 27 3 2 2 2 2 2 2" xfId="39050" xr:uid="{679F8C46-C251-4816-88EF-7CF1C6CA877B}"/>
    <cellStyle name="Migliaia 27 3 2 2 2 2 3" xfId="44352" xr:uid="{D7118CC7-6646-4D87-B608-02B9530BF785}"/>
    <cellStyle name="Migliaia 27 3 2 2 2 2 4" xfId="33587" xr:uid="{EE66CC2E-3A2D-4426-974B-0B13E9247831}"/>
    <cellStyle name="Migliaia 27 3 2 2 2 3" xfId="36512" xr:uid="{AC6A5362-637D-4D60-BC4D-8221F7758307}"/>
    <cellStyle name="Migliaia 27 3 2 2 2 4" xfId="41701" xr:uid="{19BE596E-453C-49BF-95C9-9EF7B87A706F}"/>
    <cellStyle name="Migliaia 27 3 2 2 2 5" xfId="48577" xr:uid="{0A40D53D-3F8E-402E-9B56-E2F66A5214A0}"/>
    <cellStyle name="Migliaia 27 3 2 2 2 6" xfId="50888" xr:uid="{27E9FAB2-FA80-4A51-9BCA-F95E1048734C}"/>
    <cellStyle name="Migliaia 27 3 2 2 2 7" xfId="53904" xr:uid="{38188A26-8EEA-481C-ABCF-4143E2D12D72}"/>
    <cellStyle name="Migliaia 27 3 2 2 2 8" xfId="17657" xr:uid="{6BB21AA2-E3CE-4D5F-AEB5-493F8E7FF6B0}"/>
    <cellStyle name="Migliaia 27 3 2 2 2 9" xfId="11963" xr:uid="{C1153800-A5E4-4121-A832-0B6CED7DB630}"/>
    <cellStyle name="Migliaia 27 3 2 2 3" xfId="6345" xr:uid="{4EA37C60-08C6-460B-B2AE-10EC49EAC6F7}"/>
    <cellStyle name="Migliaia 27 3 2 2 3 2" xfId="11557" xr:uid="{74A06530-A298-44F8-B679-4A7B3F230FD5}"/>
    <cellStyle name="Migliaia 27 3 2 2 4" xfId="3414" xr:uid="{8D4B7C4F-61A1-449C-BCB9-2D15A9831157}"/>
    <cellStyle name="Migliaia 27 3 2 2 4 2" xfId="21464" xr:uid="{EFC5EE35-F910-4C53-939A-B12C818F05AC}"/>
    <cellStyle name="Migliaia 27 3 2 2 4 3" xfId="47897" xr:uid="{C02347A6-AA2C-4B5B-A4DF-855330EB03F8}"/>
    <cellStyle name="Migliaia 27 3 2 2 4 4" xfId="50479" xr:uid="{E791F044-9581-4A64-AF25-B433CD4F1E42}"/>
    <cellStyle name="Migliaia 27 3 2 2 4 5" xfId="53495" xr:uid="{2620FAB4-59F9-4F41-B105-D967EB070646}"/>
    <cellStyle name="Migliaia 27 3 2 2 4 6" xfId="10829" xr:uid="{A989A94E-3A16-4BEC-A5B1-01753798B8F8}"/>
    <cellStyle name="Migliaia 27 3 2 2 5" xfId="20239" xr:uid="{011A73FC-9145-4E13-981C-0262A9698197}"/>
    <cellStyle name="Migliaia 27 3 2 2 6" xfId="24613" xr:uid="{FEA72394-AA15-4B69-ACC3-FFD50A592B06}"/>
    <cellStyle name="Migliaia 27 3 2 2 7" xfId="8597" xr:uid="{4B8197A6-9DB7-48DD-9AC2-AA55B91E77E3}"/>
    <cellStyle name="Migliaia 27 3 2 3" xfId="5139" xr:uid="{3B7D100A-9531-468F-98E1-4334D5B012C5}"/>
    <cellStyle name="Migliaia 27 3 2 3 2" xfId="12414" xr:uid="{EF5E6B0D-7A41-4187-94A1-FD754E6B9FDE}"/>
    <cellStyle name="Migliaia 27 3 2 3 2 2" xfId="39051" xr:uid="{00EA8717-B191-4D50-997A-DCB3432032C1}"/>
    <cellStyle name="Migliaia 27 3 2 3 2 3" xfId="44353" xr:uid="{2ABA4CED-4AA8-45E9-89BB-262EAC4E3231}"/>
    <cellStyle name="Migliaia 27 3 2 3 2 4" xfId="33588" xr:uid="{CA3E8C17-D5C7-49F3-9732-4F9078AE6D4F}"/>
    <cellStyle name="Migliaia 27 3 2 3 3" xfId="11964" xr:uid="{D99114AE-F21B-4760-80E2-21E4F8D4DEBB}"/>
    <cellStyle name="Migliaia 27 3 2 3 4" xfId="20240" xr:uid="{9D7EF295-08E8-40C0-A6C0-7128F179102A}"/>
    <cellStyle name="Migliaia 27 3 2 3 4 2" xfId="41702" xr:uid="{CEAB627C-20EB-4446-BC0D-9A8DFFE8C20C}"/>
    <cellStyle name="Migliaia 27 3 2 3 5" xfId="16303" xr:uid="{A75A4D57-CD17-4559-A9B9-5EBC75085EEE}"/>
    <cellStyle name="Migliaia 27 3 2 3 6" xfId="7901" xr:uid="{E3C221EC-A6C3-48B7-91F8-D0E0EE55F316}"/>
    <cellStyle name="Migliaia 27 3 2 4" xfId="6344" xr:uid="{C3655A28-30FC-48FB-A689-3166F7CCDA75}"/>
    <cellStyle name="Migliaia 27 3 2 4 2" xfId="18076" xr:uid="{1141FBC4-F6E3-42D2-868B-B371887251C2}"/>
    <cellStyle name="Migliaia 27 3 2 4 2 2" xfId="39052" xr:uid="{6C464225-1932-4D4D-A2C5-24A309CA1169}"/>
    <cellStyle name="Migliaia 27 3 2 4 2 3" xfId="44354" xr:uid="{983BC1CB-D2AC-4692-9346-6FCD160A3E40}"/>
    <cellStyle name="Migliaia 27 3 2 4 3" xfId="36513" xr:uid="{A08AD588-55AE-48CB-8F5D-17A6B0D4BA06}"/>
    <cellStyle name="Migliaia 27 3 2 4 4" xfId="41703" xr:uid="{906AF9B6-E2EF-4D73-AE38-991245A1E2B8}"/>
    <cellStyle name="Migliaia 27 3 2 4 5" xfId="17174" xr:uid="{7E135853-9A12-4DF6-8176-47B39F485280}"/>
    <cellStyle name="Migliaia 27 3 2 4 6" xfId="11312" xr:uid="{B6C09D8B-1A86-4400-A516-0BBC7CB45205}"/>
    <cellStyle name="Migliaia 27 3 2 5" xfId="3413" xr:uid="{6DD2A695-63C3-46AE-A2E4-6894A88BE4B9}"/>
    <cellStyle name="Migliaia 27 3 2 5 2" xfId="33589" xr:uid="{FFF87450-3C59-4B67-9309-D7D7E60BCF40}"/>
    <cellStyle name="Migliaia 27 3 2 5 2 2" xfId="39053" xr:uid="{F5A46390-B736-45BC-A146-A6844A148033}"/>
    <cellStyle name="Migliaia 27 3 2 5 2 3" xfId="44355" xr:uid="{7D6FAAC4-6F02-4BC6-A383-C24CC4C447C8}"/>
    <cellStyle name="Migliaia 27 3 2 5 3" xfId="36514" xr:uid="{B5858545-A276-4C27-A7B9-16AA8395430E}"/>
    <cellStyle name="Migliaia 27 3 2 5 4" xfId="41704" xr:uid="{AF8219BA-06E1-44A8-A944-E5A1813FD543}"/>
    <cellStyle name="Migliaia 27 3 2 5 5" xfId="17369" xr:uid="{3B8D97BF-43A8-4303-9700-F06993386C37}"/>
    <cellStyle name="Migliaia 27 3 2 6" xfId="20238" xr:uid="{E002DE07-8B96-468F-A700-9DA007214477}"/>
    <cellStyle name="Migliaia 27 3 2 6 2" xfId="33590" xr:uid="{675E54DC-184B-4F5C-A5A6-214741AD8CD1}"/>
    <cellStyle name="Migliaia 27 3 2 6 2 2" xfId="39054" xr:uid="{36FB4667-CC51-47E2-9139-6123E205B53C}"/>
    <cellStyle name="Migliaia 27 3 2 6 2 3" xfId="44356" xr:uid="{7232FF74-59D7-4EE5-BDAF-0A870C0ED0AF}"/>
    <cellStyle name="Migliaia 27 3 2 6 3" xfId="36515" xr:uid="{E7A4F352-0824-494B-98EE-5DA4DCEE279A}"/>
    <cellStyle name="Migliaia 27 3 2 6 4" xfId="41705" xr:uid="{5730D78F-8A9D-4E28-8AF8-B9E2252C81E6}"/>
    <cellStyle name="Migliaia 27 3 2 6 5" xfId="24614" xr:uid="{37EC28B4-AD0B-4FBB-BB49-6F044EB8A68C}"/>
    <cellStyle name="Migliaia 27 3 2 7" xfId="24612" xr:uid="{94E9F180-E36F-4DBA-860C-B0CBEEF5DD94}"/>
    <cellStyle name="Migliaia 27 3 2 8" xfId="7407" xr:uid="{38A1079B-28BA-4224-82FA-DFD8E5714AA7}"/>
    <cellStyle name="Migliaia 27 3 3" xfId="3415" xr:uid="{9CEB31AB-FB68-4DD9-9EDF-AAFCDEF17384}"/>
    <cellStyle name="Migliaia 27 3 3 10" xfId="7406" xr:uid="{F681376D-7A76-4DEE-AE4C-4D76F471B1B2}"/>
    <cellStyle name="Migliaia 27 3 3 2" xfId="5141" xr:uid="{3B665994-7265-4413-8AF8-51F871EF02A9}"/>
    <cellStyle name="Migliaia 27 3 3 2 2" xfId="9920" xr:uid="{0DBCC9D9-85DD-4D66-ADC2-4766986F2668}"/>
    <cellStyle name="Migliaia 27 3 3 2 2 2" xfId="39056" xr:uid="{9E0F08E0-C305-43AA-97CB-D820E158609D}"/>
    <cellStyle name="Migliaia 27 3 3 2 2 3" xfId="44358" xr:uid="{02BB5717-8DCB-4F87-B563-495E9C7FFC9B}"/>
    <cellStyle name="Migliaia 27 3 3 2 3" xfId="18200" xr:uid="{F4244777-4EAE-456D-919D-4BCBE8144A78}"/>
    <cellStyle name="Migliaia 27 3 3 2 4" xfId="20242" xr:uid="{B9BA8E35-F56B-420F-8A86-C817017AD661}"/>
    <cellStyle name="Migliaia 27 3 3 2 4 2" xfId="41707" xr:uid="{4963507E-75B4-4B0F-9C50-F2586F63333E}"/>
    <cellStyle name="Migliaia 27 3 3 2 5" xfId="16305" xr:uid="{5EA62429-1D2E-435E-A30C-309DDF906D26}"/>
    <cellStyle name="Migliaia 27 3 3 2 6" xfId="8596" xr:uid="{824710B1-CE1A-452C-A2CE-EB378E99EF71}"/>
    <cellStyle name="Migliaia 27 3 3 3" xfId="6346" xr:uid="{78FF95FC-DA01-4A45-890A-CE04C55602C2}"/>
    <cellStyle name="Migliaia 27 3 3 3 2" xfId="33592" xr:uid="{68905C8F-DBA7-41A3-89E4-82303B97D104}"/>
    <cellStyle name="Migliaia 27 3 3 3 2 2" xfId="39057" xr:uid="{9CEC4B62-F72E-4CC9-8E96-D94AF74327BA}"/>
    <cellStyle name="Migliaia 27 3 3 3 2 3" xfId="44359" xr:uid="{AC3FD3BB-3C14-4CFD-BDC0-EF53630A77D2}"/>
    <cellStyle name="Migliaia 27 3 3 3 3" xfId="36517" xr:uid="{6803AA40-572E-4F93-B26F-7386FFCDBFAB}"/>
    <cellStyle name="Migliaia 27 3 3 3 4" xfId="41708" xr:uid="{20FA621D-BC0C-4234-9D35-15EFD3A2B460}"/>
    <cellStyle name="Migliaia 27 3 3 3 5" xfId="9683" xr:uid="{99A5ABE6-EF8D-4AC4-976E-4D19F925004A}"/>
    <cellStyle name="Migliaia 27 3 3 4" xfId="20241" xr:uid="{80B427AB-8A71-4B92-96DB-B7CBD1A87C22}"/>
    <cellStyle name="Migliaia 27 3 3 4 2" xfId="33593" xr:uid="{F9E0C14C-5A82-43F5-A514-70364F3CBA6B}"/>
    <cellStyle name="Migliaia 27 3 3 4 2 2" xfId="39058" xr:uid="{B3F6C0B4-4DE2-434B-B4FF-C5532220C23C}"/>
    <cellStyle name="Migliaia 27 3 3 4 2 3" xfId="44360" xr:uid="{18393EBC-E499-4FDE-A9C0-995CC26A73D5}"/>
    <cellStyle name="Migliaia 27 3 3 4 3" xfId="36518" xr:uid="{30EEE425-8848-47D8-B224-EA7F4A6A58DC}"/>
    <cellStyle name="Migliaia 27 3 3 4 4" xfId="41709" xr:uid="{5567E344-6E07-4DD2-BFF3-58860AC64B07}"/>
    <cellStyle name="Migliaia 27 3 3 4 5" xfId="24615" xr:uid="{6BB6FC31-8E0C-427D-AAD0-8D0F02012078}"/>
    <cellStyle name="Migliaia 27 3 3 5" xfId="24616" xr:uid="{11257BF0-2441-49ED-9474-87EF9E87C3EB}"/>
    <cellStyle name="Migliaia 27 3 3 5 2" xfId="33594" xr:uid="{AAB0149E-404B-498A-9875-C183AC4E22AC}"/>
    <cellStyle name="Migliaia 27 3 3 5 2 2" xfId="39059" xr:uid="{DB0A2B3C-EFAB-4EDB-A77E-8D9C6DD08E38}"/>
    <cellStyle name="Migliaia 27 3 3 5 2 3" xfId="44361" xr:uid="{0F09AFCC-F11B-4AB3-9EEE-93B637C350F3}"/>
    <cellStyle name="Migliaia 27 3 3 5 3" xfId="36519" xr:uid="{C9E12386-E4FD-4BAC-911F-61BB1418D43C}"/>
    <cellStyle name="Migliaia 27 3 3 5 4" xfId="41710" xr:uid="{2106F42A-631E-4DA5-948D-5A35B13550E4}"/>
    <cellStyle name="Migliaia 27 3 3 6" xfId="33591" xr:uid="{A4680E0F-42BA-4213-AFB4-98C879D47363}"/>
    <cellStyle name="Migliaia 27 3 3 6 2" xfId="39055" xr:uid="{FCA5F383-909E-4BC6-872D-55DA1B2CC460}"/>
    <cellStyle name="Migliaia 27 3 3 6 3" xfId="44357" xr:uid="{55BA582C-242C-4FB8-A010-4F1816C08A90}"/>
    <cellStyle name="Migliaia 27 3 3 7" xfId="36516" xr:uid="{CB72E448-7038-4E25-A4E5-CD1585B8A54E}"/>
    <cellStyle name="Migliaia 27 3 3 8" xfId="41706" xr:uid="{95D0DC78-9E55-4C62-9C3B-BA3CC1A1E490}"/>
    <cellStyle name="Migliaia 27 3 3 9" xfId="16304" xr:uid="{FCFBCDB5-9BB7-4CDD-A57A-7740F16B3F5B}"/>
    <cellStyle name="Migliaia 27 3 4" xfId="3416" xr:uid="{E3D50714-EDF7-4CF5-A692-BFE7B7F9991A}"/>
    <cellStyle name="Migliaia 27 3 4 2" xfId="5142" xr:uid="{86434094-111D-41CC-8738-B345A8986BB3}"/>
    <cellStyle name="Migliaia 27 3 4 2 2" xfId="14442" xr:uid="{7645F115-BBD6-4686-8E8E-AAEB0327550A}"/>
    <cellStyle name="Migliaia 27 3 4 2 3" xfId="18585" xr:uid="{2E040535-C05A-4000-B875-22D3AAA0BE60}"/>
    <cellStyle name="Migliaia 27 3 4 2 4" xfId="20244" xr:uid="{6E1E1B41-531D-4129-8557-FA63803BD614}"/>
    <cellStyle name="Migliaia 27 3 4 2 5" xfId="32353" xr:uid="{FD2D71DE-67EC-4AE3-95B5-D667FF52DE3D}"/>
    <cellStyle name="Migliaia 27 3 4 2 6" xfId="16307" xr:uid="{A4B84112-761E-4233-AED2-E99A82A77EFB}"/>
    <cellStyle name="Migliaia 27 3 4 2 7" xfId="8865" xr:uid="{E19E232C-CA6C-4819-908A-965D365D7E36}"/>
    <cellStyle name="Migliaia 27 3 4 3" xfId="6347" xr:uid="{DA514BA8-BEF2-4EC0-A12F-3BEECE4901B1}"/>
    <cellStyle name="Migliaia 27 3 4 3 2" xfId="35258" xr:uid="{CB055EBD-158A-4CB4-9B90-0804B498855D}"/>
    <cellStyle name="Migliaia 27 3 4 3 2 2" xfId="40418" xr:uid="{2D19B463-FE7D-4E70-8187-942E4F450CDC}"/>
    <cellStyle name="Migliaia 27 3 4 3 2 3" xfId="45720" xr:uid="{399F3877-1A2D-4A6D-BC68-E771A3AD1101}"/>
    <cellStyle name="Migliaia 27 3 4 3 3" xfId="37767" xr:uid="{5278FD29-159A-4505-9B40-E6184DCC2C1A}"/>
    <cellStyle name="Migliaia 27 3 4 3 4" xfId="43069" xr:uid="{849B0531-7897-4217-985D-131FB1DF5D28}"/>
    <cellStyle name="Migliaia 27 3 4 3 5" xfId="13690" xr:uid="{BDF695B4-F37F-4AD7-8B0F-F9648BB4FCB7}"/>
    <cellStyle name="Migliaia 27 3 4 4" xfId="20243" xr:uid="{D7535421-867B-4512-85D6-ABC48841AC82}"/>
    <cellStyle name="Migliaia 27 3 4 4 2" xfId="39060" xr:uid="{A8115249-B0E9-4551-9E90-D22FA41A7913}"/>
    <cellStyle name="Migliaia 27 3 4 4 3" xfId="44362" xr:uid="{70F35E35-2861-4B14-845F-1414B6F0B7D8}"/>
    <cellStyle name="Migliaia 27 3 4 4 4" xfId="33595" xr:uid="{538AF54C-1FAE-46FB-B318-7D9E3AEA382B}"/>
    <cellStyle name="Migliaia 27 3 4 5" xfId="36520" xr:uid="{9438A1B5-BD6F-41CC-9E66-A9C283A6217C}"/>
    <cellStyle name="Migliaia 27 3 4 6" xfId="41711" xr:uid="{8B1A7343-E860-4C76-B117-330930CB9955}"/>
    <cellStyle name="Migliaia 27 3 4 7" xfId="16306" xr:uid="{793CB736-C46E-4FB0-B993-5ECBDEDC45A8}"/>
    <cellStyle name="Migliaia 27 3 4 8" xfId="7675" xr:uid="{D9D271D5-8236-49CC-84B6-CBF172284A91}"/>
    <cellStyle name="Migliaia 27 3 5" xfId="3417" xr:uid="{D71B8A19-4683-4ACB-9D59-449C8F9C3CD9}"/>
    <cellStyle name="Migliaia 27 3 5 2" xfId="5143" xr:uid="{6F34845D-3979-4205-8995-7B075AA92D52}"/>
    <cellStyle name="Migliaia 27 3 5 2 2" xfId="35259" xr:uid="{CA323E4E-86DA-427C-8372-83962794CB21}"/>
    <cellStyle name="Migliaia 27 3 5 2 2 2" xfId="40419" xr:uid="{DF9A94FC-2D39-4407-A47A-E57CCC83730E}"/>
    <cellStyle name="Migliaia 27 3 5 2 2 3" xfId="45721" xr:uid="{26E28A7E-1EFD-4B7E-A720-055DF63BF0A7}"/>
    <cellStyle name="Migliaia 27 3 5 2 3" xfId="37768" xr:uid="{397C8932-B822-46FC-A040-AB83916B8657}"/>
    <cellStyle name="Migliaia 27 3 5 2 4" xfId="43070" xr:uid="{50C73C86-F50F-4265-A971-2DAEC2935C65}"/>
    <cellStyle name="Migliaia 27 3 5 2 5" xfId="14238" xr:uid="{3F394410-655C-4A93-8BC3-097426E2D322}"/>
    <cellStyle name="Migliaia 27 3 5 3" xfId="6348" xr:uid="{50FFCAB0-D276-49D0-A46E-286E1F1FC56B}"/>
    <cellStyle name="Migliaia 27 3 5 3 2" xfId="39061" xr:uid="{3B139E34-D9F3-4666-BEE7-F2E7B50F5C4E}"/>
    <cellStyle name="Migliaia 27 3 5 3 3" xfId="44363" xr:uid="{3D129A67-38E5-4ED4-961C-E189036E72B5}"/>
    <cellStyle name="Migliaia 27 3 5 3 4" xfId="33596" xr:uid="{FC54A566-EBD0-4091-8661-BB8F6B57B246}"/>
    <cellStyle name="Migliaia 27 3 5 3 5" xfId="20245" xr:uid="{D62119FD-2720-4F1C-A805-6FDB1046DD37}"/>
    <cellStyle name="Migliaia 27 3 5 4" xfId="36521" xr:uid="{7FD70C55-23AC-4064-B1D7-D3AE5AF55EFE}"/>
    <cellStyle name="Migliaia 27 3 5 5" xfId="41712" xr:uid="{E4465C2A-4AEE-444E-AC3C-A79403FDC7E2}"/>
    <cellStyle name="Migliaia 27 3 5 6" xfId="16308" xr:uid="{C35FF159-EF0D-413C-A9AB-312149CEEBC4}"/>
    <cellStyle name="Migliaia 27 3 5 7" xfId="8300" xr:uid="{D7D929E5-B5DC-4D5D-8F6B-A92C46777113}"/>
    <cellStyle name="Migliaia 27 3 6" xfId="5138" xr:uid="{89971A9F-7BEA-4078-B5D5-7B7805B25F2D}"/>
    <cellStyle name="Migliaia 27 3 6 2" xfId="13943" xr:uid="{0B000F1A-FAB1-4805-90A5-29087DE6419E}"/>
    <cellStyle name="Migliaia 27 3 6 2 2" xfId="39062" xr:uid="{4C177E8A-FC0E-48F6-81C0-4FCFBE42697F}"/>
    <cellStyle name="Migliaia 27 3 6 2 3" xfId="44364" xr:uid="{A2D14D11-5C03-40E5-A61A-A9191793FF23}"/>
    <cellStyle name="Migliaia 27 3 6 3" xfId="18019" xr:uid="{41E4E5C6-0DF5-4F85-9162-CE03812734FD}"/>
    <cellStyle name="Migliaia 27 3 6 4" xfId="20246" xr:uid="{07D307DB-75D3-44C6-A30F-D594E5B6FB3E}"/>
    <cellStyle name="Migliaia 27 3 6 4 2" xfId="41713" xr:uid="{AA5D018F-C3B2-4934-A827-1692C9370EC3}"/>
    <cellStyle name="Migliaia 27 3 6 5" xfId="16309" xr:uid="{4F322146-FCC0-4BAD-9D36-DE8B0637E7F5}"/>
    <cellStyle name="Migliaia 27 3 6 6" xfId="7900" xr:uid="{BEEAADE2-0347-413C-AB2A-626ED4671AE8}"/>
    <cellStyle name="Migliaia 27 3 7" xfId="6343" xr:uid="{A2D516C5-D0ED-4F35-B8FB-1EC211F3919F}"/>
    <cellStyle name="Migliaia 27 3 7 2" xfId="33597" xr:uid="{943F0051-9A18-4CAE-90B9-4A0D9596298E}"/>
    <cellStyle name="Migliaia 27 3 7 2 2" xfId="39063" xr:uid="{6D7BB701-D63D-4D8C-AA34-00639A281250}"/>
    <cellStyle name="Migliaia 27 3 7 2 3" xfId="44365" xr:uid="{8B79A84A-24B3-4815-A071-1005A060549F}"/>
    <cellStyle name="Migliaia 27 3 7 3" xfId="36522" xr:uid="{85A198BA-445C-4467-BFDA-F16BCC587A9C}"/>
    <cellStyle name="Migliaia 27 3 7 4" xfId="41714" xr:uid="{6D03AC97-2CAF-4AEC-8B9B-D95455623673}"/>
    <cellStyle name="Migliaia 27 3 7 5" xfId="11535" xr:uid="{CE4F6B4F-E369-4A37-AAF4-366839B8968E}"/>
    <cellStyle name="Migliaia 27 3 8" xfId="3412" xr:uid="{AEAFA1A5-EA1B-4C25-92C4-67BB228819E7}"/>
    <cellStyle name="Migliaia 27 3 8 2" xfId="33598" xr:uid="{9FD7F93E-9C9F-46FE-BDB9-CCBD0E181050}"/>
    <cellStyle name="Migliaia 27 3 8 2 2" xfId="39064" xr:uid="{991FF758-B1E6-461C-B4E5-3B3BE99DE11D}"/>
    <cellStyle name="Migliaia 27 3 8 2 3" xfId="44366" xr:uid="{0F1A2982-B7A8-4AFE-BA4F-0B6EDCC30EC9}"/>
    <cellStyle name="Migliaia 27 3 8 3" xfId="36523" xr:uid="{249C148F-5BEA-4A0F-A6C7-17EB9C05DD30}"/>
    <cellStyle name="Migliaia 27 3 8 4" xfId="41715" xr:uid="{4427BF14-EF18-445C-9C59-5EFF37532E1D}"/>
    <cellStyle name="Migliaia 27 3 8 5" xfId="24617" xr:uid="{D056FE80-615E-4E56-A27A-206090EFDFFD}"/>
    <cellStyle name="Migliaia 27 3 8 6" xfId="17370" xr:uid="{1D1C392C-EA09-4BBD-8D63-8BBF5AEA62D5}"/>
    <cellStyle name="Migliaia 27 3 9" xfId="20237" xr:uid="{A85F83A8-80A3-4526-8B70-D2BC81B6B9F0}"/>
    <cellStyle name="Migliaia 27 4" xfId="1753" xr:uid="{00000000-0005-0000-0000-000070030000}"/>
    <cellStyle name="Migliaia 27 4 2" xfId="1754" xr:uid="{00000000-0005-0000-0000-000071030000}"/>
    <cellStyle name="Migliaia 27 4 2 2" xfId="5145" xr:uid="{BD061AB2-F5F6-4C8D-A9E4-8CA52EEC92E8}"/>
    <cellStyle name="Migliaia 27 4 2 2 2" xfId="33599" xr:uid="{95CC8468-178D-4BB5-A8B4-1ACD04E6476A}"/>
    <cellStyle name="Migliaia 27 4 2 2 2 2" xfId="39065" xr:uid="{3492D520-D001-4F15-AB0D-1BDB49A9C3E7}"/>
    <cellStyle name="Migliaia 27 4 2 2 2 3" xfId="44367" xr:uid="{798AB1A8-9346-4F17-8AB7-59B2D894ADBD}"/>
    <cellStyle name="Migliaia 27 4 2 2 3" xfId="36524" xr:uid="{F60EBC5F-FC10-41F7-AA53-BBE13A48ECDF}"/>
    <cellStyle name="Migliaia 27 4 2 2 4" xfId="41716" xr:uid="{26BAFB05-367D-47CE-B710-CD524B776533}"/>
    <cellStyle name="Migliaia 27 4 2 2 5" xfId="9146" xr:uid="{10433FB3-FC9D-4A26-A48C-43A4A037C3C0}"/>
    <cellStyle name="Migliaia 27 4 2 3" xfId="3419" xr:uid="{805D2F6F-CB87-4BF2-87BF-A077091C42C9}"/>
    <cellStyle name="Migliaia 27 4 2 3 2" xfId="33600" xr:uid="{865103B0-3CB5-48CC-A9FC-CB59F14026C0}"/>
    <cellStyle name="Migliaia 27 4 2 3 2 2" xfId="39066" xr:uid="{CCD9126E-1AAF-4689-988A-68907E2BDDDC}"/>
    <cellStyle name="Migliaia 27 4 2 3 2 3" xfId="44368" xr:uid="{BDED02FA-1592-473C-A555-8D9230D508CC}"/>
    <cellStyle name="Migliaia 27 4 2 3 3" xfId="36525" xr:uid="{AA000BBA-8E9D-4147-91C1-726696655EF1}"/>
    <cellStyle name="Migliaia 27 4 2 3 4" xfId="41717" xr:uid="{407D0EEA-42DF-4324-B8E2-5683873CDFA5}"/>
    <cellStyle name="Migliaia 27 4 2 3 5" xfId="11965" xr:uid="{E70ACDC1-F416-4CEB-993A-6CFC5D9ADE10}"/>
    <cellStyle name="Migliaia 27 4 2 4" xfId="11314" xr:uid="{26DD6D9E-E1B5-4638-AC9E-3C2F969A5FE8}"/>
    <cellStyle name="Migliaia 27 4 2 5" xfId="10831" xr:uid="{8692C390-2F19-4378-922D-F2D3F903B293}"/>
    <cellStyle name="Migliaia 27 4 2 5 2" xfId="21466" xr:uid="{4366899E-4A84-4A50-8225-8EE4EC02B013}"/>
    <cellStyle name="Migliaia 27 4 2 5 3" xfId="46229" xr:uid="{12FD2F71-277E-4A6B-9246-B5B2DDEBBBB2}"/>
    <cellStyle name="Migliaia 27 4 2 5 4" xfId="50481" xr:uid="{9B894ED7-5369-458D-AB90-3CB4EBF74BAD}"/>
    <cellStyle name="Migliaia 27 4 2 5 5" xfId="53497" xr:uid="{7901C0A4-B5DA-42B9-B52D-A7D9DEFE8510}"/>
    <cellStyle name="Migliaia 27 4 2 6" xfId="20248" xr:uid="{7176126A-04CF-4382-B426-9DB77B7ACEDB}"/>
    <cellStyle name="Migliaia 27 4 2 7" xfId="24619" xr:uid="{81F74929-125C-4CF6-9BC2-D66B8DBC0F5C}"/>
    <cellStyle name="Migliaia 27 4 2 8" xfId="8598" xr:uid="{4341B06B-4EF5-4A95-BF20-28774229AE1C}"/>
    <cellStyle name="Migliaia 27 4 3" xfId="5144" xr:uid="{DBDF9334-F889-4BEB-AE70-65E72A58AA3C}"/>
    <cellStyle name="Migliaia 27 4 3 2" xfId="18201" xr:uid="{F01A4567-66DB-438F-A1DA-19009C6E4E4E}"/>
    <cellStyle name="Migliaia 27 4 3 2 2" xfId="39067" xr:uid="{C4E91AA5-D9EC-4C08-8481-3FB60636ACD6}"/>
    <cellStyle name="Migliaia 27 4 3 2 3" xfId="44369" xr:uid="{7827471F-E07A-4E4A-B1D8-D9161C921671}"/>
    <cellStyle name="Migliaia 27 4 3 3" xfId="36526" xr:uid="{35CFD2F3-E83C-45B5-9D3C-8375F9A5BD56}"/>
    <cellStyle name="Migliaia 27 4 3 4" xfId="41718" xr:uid="{34B94359-2331-4D04-9719-BB7BAA48C116}"/>
    <cellStyle name="Migliaia 27 4 3 5" xfId="17368" xr:uid="{50C2529F-952F-452F-82B6-7AB5636497F4}"/>
    <cellStyle name="Migliaia 27 4 3 6" xfId="9147" xr:uid="{ADA032E4-416C-450C-9A7B-F62AD3C22796}"/>
    <cellStyle name="Migliaia 27 4 4" xfId="6349" xr:uid="{6DF098AD-DF84-48A8-8B4C-86C9C86F70E4}"/>
    <cellStyle name="Migliaia 27 4 4 2" xfId="33601" xr:uid="{5A0228B7-E565-4028-AA99-58CD8239BD11}"/>
    <cellStyle name="Migliaia 27 4 4 2 2" xfId="39068" xr:uid="{96DFB165-6539-4E08-960E-67293C02D2BD}"/>
    <cellStyle name="Migliaia 27 4 4 2 3" xfId="44370" xr:uid="{695D62DC-C2DD-422D-B645-302F6502BE52}"/>
    <cellStyle name="Migliaia 27 4 4 3" xfId="36527" xr:uid="{833297E3-232B-4419-9AF0-EC668BDF7C45}"/>
    <cellStyle name="Migliaia 27 4 4 4" xfId="41719" xr:uid="{A652A0D9-5DE9-40ED-8F25-B42FFEA49A04}"/>
    <cellStyle name="Migliaia 27 4 4 5" xfId="11966" xr:uid="{85133FDB-0791-4551-A13D-9ABD7CB059E2}"/>
    <cellStyle name="Migliaia 27 4 5" xfId="3418" xr:uid="{FC40750E-9FC2-4563-8AC1-E8DA40B34247}"/>
    <cellStyle name="Migliaia 27 4 5 2" xfId="33602" xr:uid="{5261640E-1C2B-4366-9EC3-5111270FF166}"/>
    <cellStyle name="Migliaia 27 4 5 2 2" xfId="39069" xr:uid="{C4D674B0-4819-4CC6-A9A9-EF0A9CB2A913}"/>
    <cellStyle name="Migliaia 27 4 5 2 3" xfId="44371" xr:uid="{08D81E56-E14B-47B4-A44D-75D84FE253B3}"/>
    <cellStyle name="Migliaia 27 4 5 3" xfId="36528" xr:uid="{67E2EB22-EF1D-4D46-A4B1-644D5225AFB6}"/>
    <cellStyle name="Migliaia 27 4 5 4" xfId="41720" xr:uid="{9393D617-B962-47E1-88FE-7E617F4DC469}"/>
    <cellStyle name="Migliaia 27 4 5 5" xfId="11313" xr:uid="{9DBBDF3B-F3AF-4369-BD1A-8AD38902F0DA}"/>
    <cellStyle name="Migliaia 27 4 6" xfId="10830" xr:uid="{6F13A827-B377-42B2-9EDA-F2202BC46C17}"/>
    <cellStyle name="Migliaia 27 4 6 2" xfId="21465" xr:uid="{53371261-1F28-48A3-A786-06F615CABCE4}"/>
    <cellStyle name="Migliaia 27 4 6 2 2" xfId="39070" xr:uid="{8B5A33F3-CD07-45FB-B2E2-AAF5EF008918}"/>
    <cellStyle name="Migliaia 27 4 6 2 3" xfId="44372" xr:uid="{C3042201-8FB1-4664-B754-315CEE0AA109}"/>
    <cellStyle name="Migliaia 27 4 6 2 4" xfId="33603" xr:uid="{71ED1E17-3427-4B2A-9562-9A3DBBAF1494}"/>
    <cellStyle name="Migliaia 27 4 6 3" xfId="36529" xr:uid="{F6D8D224-353D-4A0B-89B4-0053E81C21A1}"/>
    <cellStyle name="Migliaia 27 4 6 4" xfId="41721" xr:uid="{A286CAB4-8960-40A6-A73B-A4F12255C2FD}"/>
    <cellStyle name="Migliaia 27 4 6 5" xfId="24620" xr:uid="{C3D179DD-0042-4E9B-8E54-200C2CAA8983}"/>
    <cellStyle name="Migliaia 27 4 6 6" xfId="24247" xr:uid="{3230242E-11FE-48D9-AE6D-6FBEF6D3EF45}"/>
    <cellStyle name="Migliaia 27 4 6 7" xfId="50480" xr:uid="{0AE378CF-50E6-410E-B7F9-866273355B91}"/>
    <cellStyle name="Migliaia 27 4 6 8" xfId="53496" xr:uid="{5BD31ACC-CD8B-4CA8-BD0D-15C5E04DAF4A}"/>
    <cellStyle name="Migliaia 27 4 7" xfId="20247" xr:uid="{0E1484FC-BDC0-4B5C-94F4-236C25DA9CE7}"/>
    <cellStyle name="Migliaia 27 4 7 2" xfId="33604" xr:uid="{E4F0BEA7-B9AF-40AB-ABC7-9D684AFDF052}"/>
    <cellStyle name="Migliaia 27 4 7 2 2" xfId="39071" xr:uid="{C3DD5C47-9BEB-4739-9D28-443C69EE4DD4}"/>
    <cellStyle name="Migliaia 27 4 7 2 3" xfId="44373" xr:uid="{F0165FF4-52F4-410F-820C-65EE97084AA0}"/>
    <cellStyle name="Migliaia 27 4 7 3" xfId="36530" xr:uid="{D8E0E970-7ABD-49D8-9C56-22600898BD03}"/>
    <cellStyle name="Migliaia 27 4 7 4" xfId="41722" xr:uid="{4ACDE05D-C1F2-4FA2-AD80-ACA1910900FF}"/>
    <cellStyle name="Migliaia 27 4 7 5" xfId="24621" xr:uid="{3AF5314A-1392-489A-A952-0AE7DA2B8DC3}"/>
    <cellStyle name="Migliaia 27 4 8" xfId="24618" xr:uid="{D2ED26F3-FDB0-4ECE-A7FD-054F2ECCB906}"/>
    <cellStyle name="Migliaia 27 4 9" xfId="7408" xr:uid="{59B50741-00E0-41F8-AB37-D2FDCF84F20A}"/>
    <cellStyle name="Migliaia 27 5" xfId="1755" xr:uid="{00000000-0005-0000-0000-000072030000}"/>
    <cellStyle name="Migliaia 27 5 2" xfId="5146" xr:uid="{6ED9AB7D-8894-44A7-8633-C7B088C429A5}"/>
    <cellStyle name="Migliaia 27 5 2 2" xfId="18421" xr:uid="{35B1A6A8-73C8-4FBE-81CD-72346F984C58}"/>
    <cellStyle name="Migliaia 27 5 2 2 2" xfId="39072" xr:uid="{56319397-8D5B-4FC9-9C00-C0C4B459C3C6}"/>
    <cellStyle name="Migliaia 27 5 2 2 3" xfId="44374" xr:uid="{C7625079-A69A-4125-ABE1-C70E1F7FFD2A}"/>
    <cellStyle name="Migliaia 27 5 2 3" xfId="20250" xr:uid="{5534EA73-D82A-4472-A414-EAF481FEC6E9}"/>
    <cellStyle name="Migliaia 27 5 2 3 2" xfId="36531" xr:uid="{91D08A5C-60EC-49C3-8C5C-C93BE7CF9FB5}"/>
    <cellStyle name="Migliaia 27 5 2 4" xfId="41723" xr:uid="{2B338290-4D7C-4C40-8724-D7C2B21145EA}"/>
    <cellStyle name="Migliaia 27 5 2 5" xfId="16310" xr:uid="{01A79A7C-8344-45D2-9090-583AD9EAEDEF}"/>
    <cellStyle name="Migliaia 27 5 2 6" xfId="8599" xr:uid="{A246255F-C511-4B2A-B348-9FF2591CB657}"/>
    <cellStyle name="Migliaia 27 5 3" xfId="6350" xr:uid="{67BC9DEE-5D87-487B-9AF3-34A35E38CF52}"/>
    <cellStyle name="Migliaia 27 5 3 2" xfId="33605" xr:uid="{7B7A6EE1-0452-43F7-904E-8C24EAC4A5BB}"/>
    <cellStyle name="Migliaia 27 5 3 2 2" xfId="39073" xr:uid="{FF777828-F0CF-47B3-A518-8B1FBB235BA6}"/>
    <cellStyle name="Migliaia 27 5 3 2 3" xfId="44375" xr:uid="{B30E5A49-D709-48D6-B967-5513617B54AC}"/>
    <cellStyle name="Migliaia 27 5 3 3" xfId="36532" xr:uid="{8B403872-8996-4A92-BB88-5DAB40B2AEF2}"/>
    <cellStyle name="Migliaia 27 5 3 4" xfId="41724" xr:uid="{04E82E4C-9940-4295-8893-2EE84F58E8EE}"/>
    <cellStyle name="Migliaia 27 5 3 5" xfId="11315" xr:uid="{84E8ED0D-E030-42F2-8BA3-6EC592AA1363}"/>
    <cellStyle name="Migliaia 27 5 4" xfId="3420" xr:uid="{AE1995DF-BDFD-4515-BF13-B9CAF347D7BA}"/>
    <cellStyle name="Migliaia 27 5 4 2" xfId="21467" xr:uid="{453C6629-B4BA-4775-9C30-C86D012800B5}"/>
    <cellStyle name="Migliaia 27 5 4 2 2" xfId="39074" xr:uid="{0C3E6954-434E-45AD-A84E-DEABC26E018F}"/>
    <cellStyle name="Migliaia 27 5 4 2 3" xfId="44376" xr:uid="{9BCA05DD-41A7-491D-A3B4-986FA4F20A02}"/>
    <cellStyle name="Migliaia 27 5 4 2 4" xfId="33606" xr:uid="{E298AA00-64F9-4B6A-97E3-1D5C4661B4E5}"/>
    <cellStyle name="Migliaia 27 5 4 3" xfId="36533" xr:uid="{417EA9CF-36E6-4889-B03E-AF1176E9DDBE}"/>
    <cellStyle name="Migliaia 27 5 4 4" xfId="41725" xr:uid="{6BBF5252-1F6D-42CF-8ED9-E0DF43A743E5}"/>
    <cellStyle name="Migliaia 27 5 4 5" xfId="24623" xr:uid="{4CAE27B5-1B85-4B53-B98D-891D3F671B5F}"/>
    <cellStyle name="Migliaia 27 5 4 6" xfId="32298" xr:uid="{E7F8B74B-4829-42FA-A16B-552DC6327775}"/>
    <cellStyle name="Migliaia 27 5 4 7" xfId="50482" xr:uid="{E0A1B902-C0C4-4E4A-9C17-995E0489EA49}"/>
    <cellStyle name="Migliaia 27 5 4 8" xfId="53498" xr:uid="{6C6F29D6-ECD2-4358-B94A-990101402FBD}"/>
    <cellStyle name="Migliaia 27 5 4 9" xfId="10832" xr:uid="{AE562E60-4174-4E0C-9F8E-CED43190F091}"/>
    <cellStyle name="Migliaia 27 5 5" xfId="20249" xr:uid="{2758E5AF-3B9A-46A6-BCDF-E3387AF7AA74}"/>
    <cellStyle name="Migliaia 27 5 5 2" xfId="33607" xr:uid="{704F7709-5D17-42D6-8F75-8896326BF18B}"/>
    <cellStyle name="Migliaia 27 5 5 2 2" xfId="39075" xr:uid="{ABB931EB-33EA-417B-A822-7CAFF35F93F7}"/>
    <cellStyle name="Migliaia 27 5 5 2 3" xfId="44377" xr:uid="{924231A3-AA8E-43A7-ABAC-8EC097CF60C0}"/>
    <cellStyle name="Migliaia 27 5 5 3" xfId="36534" xr:uid="{65C82743-DB07-420D-845E-0A49B9C21FD8}"/>
    <cellStyle name="Migliaia 27 5 5 4" xfId="41726" xr:uid="{E4DDD82B-958B-4AA5-89F1-DD5BA31834A6}"/>
    <cellStyle name="Migliaia 27 5 5 5" xfId="24624" xr:uid="{37818AA6-2130-4756-A834-84F9706C79D8}"/>
    <cellStyle name="Migliaia 27 5 6" xfId="24625" xr:uid="{588218C7-A644-4422-B5B0-52F0F9A1CE15}"/>
    <cellStyle name="Migliaia 27 5 6 2" xfId="33608" xr:uid="{FE1339F6-F1A6-45BE-9B1B-CFE534504A7C}"/>
    <cellStyle name="Migliaia 27 5 6 2 2" xfId="39076" xr:uid="{5BB088AB-7BF8-4744-89D3-04AE791775FF}"/>
    <cellStyle name="Migliaia 27 5 6 2 3" xfId="44378" xr:uid="{CA2C6234-D96E-444B-8DB2-EF215A73F318}"/>
    <cellStyle name="Migliaia 27 5 6 3" xfId="36535" xr:uid="{A885C366-649B-491A-BBC7-058A256E23EB}"/>
    <cellStyle name="Migliaia 27 5 6 4" xfId="41727" xr:uid="{90A846B7-6F8C-4BCA-A3B2-4BA007BF8E0C}"/>
    <cellStyle name="Migliaia 27 5 7" xfId="24622" xr:uid="{786579C4-CFF3-4AC6-B659-2937E65E5F4A}"/>
    <cellStyle name="Migliaia 27 5 8" xfId="7409" xr:uid="{E6DEA1F6-3BF3-4396-8647-698EB48498A1}"/>
    <cellStyle name="Migliaia 27 6" xfId="3421" xr:uid="{EFC38BE9-69C4-4B42-B644-7014BE2CAF29}"/>
    <cellStyle name="Migliaia 27 6 2" xfId="5147" xr:uid="{0AE2D40C-6975-40E2-9E1A-231AF4F5FC9E}"/>
    <cellStyle name="Migliaia 27 6 2 2" xfId="9919" xr:uid="{01AB1C05-2455-463E-9848-4C9277838A24}"/>
    <cellStyle name="Migliaia 27 6 2 3" xfId="18661" xr:uid="{01926A20-8A19-44DD-B7F0-3955D820F427}"/>
    <cellStyle name="Migliaia 27 6 2 4" xfId="20252" xr:uid="{30B5AD6A-373F-42F5-A6EF-CDDBDB1A30C3}"/>
    <cellStyle name="Migliaia 27 6 2 5" xfId="32354" xr:uid="{F8FB9C99-80F1-430B-A44A-292A6B99AF50}"/>
    <cellStyle name="Migliaia 27 6 2 6" xfId="16312" xr:uid="{0BBB711E-F074-4BDF-864A-05FB5CA21C97}"/>
    <cellStyle name="Migliaia 27 6 2 7" xfId="8594" xr:uid="{3920238E-F68C-4C5B-9B1C-7F05136AF7DB}"/>
    <cellStyle name="Migliaia 27 6 3" xfId="6351" xr:uid="{B628E134-3DBB-44C9-8081-B370F238F45A}"/>
    <cellStyle name="Migliaia 27 6 3 2" xfId="35260" xr:uid="{91C504A1-92B0-414F-9DB5-EBAD7B203122}"/>
    <cellStyle name="Migliaia 27 6 3 2 2" xfId="40420" xr:uid="{7E79FC4F-2E1B-43F8-91EC-19B5F9AD1233}"/>
    <cellStyle name="Migliaia 27 6 3 2 3" xfId="45722" xr:uid="{C302671E-3B95-4095-A6F8-0974F0C12899}"/>
    <cellStyle name="Migliaia 27 6 3 3" xfId="37769" xr:uid="{9BFDE518-4F37-4B19-A83B-570A5AE2E6C8}"/>
    <cellStyle name="Migliaia 27 6 3 4" xfId="43071" xr:uid="{F3BFB288-C20C-4F66-9654-2490F96CD5D3}"/>
    <cellStyle name="Migliaia 27 6 3 5" xfId="9682" xr:uid="{0BDC9239-E308-4B2D-B26D-6F91C7E5DB9E}"/>
    <cellStyle name="Migliaia 27 6 4" xfId="20251" xr:uid="{6FC914BF-7009-4247-9F92-E2D37DC775B2}"/>
    <cellStyle name="Migliaia 27 6 4 2" xfId="39077" xr:uid="{506538E1-E7AA-480D-9594-12388AD80D28}"/>
    <cellStyle name="Migliaia 27 6 4 3" xfId="44379" xr:uid="{DFB1BAF8-66E5-4112-8815-9503415B3D14}"/>
    <cellStyle name="Migliaia 27 6 4 4" xfId="33609" xr:uid="{767B536F-94A4-4FFC-9B09-80769FCCDE92}"/>
    <cellStyle name="Migliaia 27 6 5" xfId="36536" xr:uid="{7B11CC7B-AC39-4128-B3D5-BEF2011DA54E}"/>
    <cellStyle name="Migliaia 27 6 6" xfId="41728" xr:uid="{EC1037B3-C8B5-4876-8331-3760D158EAE4}"/>
    <cellStyle name="Migliaia 27 6 7" xfId="16311" xr:uid="{9148B4AD-35DD-4D0A-8381-29A1DFBFB6BD}"/>
    <cellStyle name="Migliaia 27 6 8" xfId="7404" xr:uid="{8A7B5FBE-AB86-445E-8C0A-C9ADF6528A79}"/>
    <cellStyle name="Migliaia 27 7" xfId="3422" xr:uid="{75E8333B-7CAC-42D2-8E72-91024C3FE86F}"/>
    <cellStyle name="Migliaia 27 7 2" xfId="5148" xr:uid="{D4384996-D5E2-4391-9903-0AA0235DD599}"/>
    <cellStyle name="Migliaia 27 7 2 2" xfId="35261" xr:uid="{6EF25950-6459-46E4-97B5-E05CFF86D357}"/>
    <cellStyle name="Migliaia 27 7 2 2 2" xfId="40421" xr:uid="{20453C2B-901C-4B7A-B760-B76302076A2E}"/>
    <cellStyle name="Migliaia 27 7 2 2 3" xfId="45723" xr:uid="{70C529D9-F6BC-49DC-8F44-04708997A586}"/>
    <cellStyle name="Migliaia 27 7 2 3" xfId="37770" xr:uid="{FA94D26A-0466-49A3-8C39-C2D02B23D6C7}"/>
    <cellStyle name="Migliaia 27 7 2 4" xfId="43072" xr:uid="{3717CD3B-0DE5-46C3-A398-D7D9F2DDF46B}"/>
    <cellStyle name="Migliaia 27 7 2 5" xfId="14236" xr:uid="{8325B0E1-F482-4B8A-9520-8F1A728C5BB7}"/>
    <cellStyle name="Migliaia 27 7 3" xfId="6352" xr:uid="{8058D7EC-C701-4920-8253-5C893D0C1478}"/>
    <cellStyle name="Migliaia 27 7 3 2" xfId="39078" xr:uid="{30CD84E2-A7AE-44B9-8CB0-BB1F0610C172}"/>
    <cellStyle name="Migliaia 27 7 3 3" xfId="44380" xr:uid="{4F25C9A1-BB76-40E1-98AA-3A1CFAB74276}"/>
    <cellStyle name="Migliaia 27 7 3 4" xfId="33610" xr:uid="{077F85E9-BC5C-4389-A6F5-94FD662C506F}"/>
    <cellStyle name="Migliaia 27 7 3 5" xfId="20253" xr:uid="{163C20ED-5765-49F0-921F-E4FE5BDBB996}"/>
    <cellStyle name="Migliaia 27 7 4" xfId="36537" xr:uid="{A3349646-4D9C-4DD7-919E-1C4D83C8896B}"/>
    <cellStyle name="Migliaia 27 7 5" xfId="41729" xr:uid="{C1AFECFB-A458-4D34-8212-0DA43F320F25}"/>
    <cellStyle name="Migliaia 27 7 6" xfId="16313" xr:uid="{8A050308-EFAD-4CF2-90E1-D803E1E57596}"/>
    <cellStyle name="Migliaia 27 7 7" xfId="8298" xr:uid="{BC7C5F5F-FF82-4250-B992-7D29CCBC2325}"/>
    <cellStyle name="Migliaia 27 8" xfId="3423" xr:uid="{1354F601-8D7F-42F0-8701-444C9F2FFEA7}"/>
    <cellStyle name="Migliaia 27 8 2" xfId="5149" xr:uid="{9A97F5A3-22C9-4D0E-A91B-67C333F2A147}"/>
    <cellStyle name="Migliaia 27 8 2 2" xfId="35262" xr:uid="{3E976AE2-98E7-4D3F-959F-69A12B5786C5}"/>
    <cellStyle name="Migliaia 27 8 2 2 2" xfId="40422" xr:uid="{486FEF59-B4AA-4CEA-9966-DE5F06E79614}"/>
    <cellStyle name="Migliaia 27 8 2 2 3" xfId="45724" xr:uid="{FCB18519-9601-4146-8A5D-47387813C7E5}"/>
    <cellStyle name="Migliaia 27 8 2 3" xfId="37771" xr:uid="{C64CC40C-C590-4B94-9FBB-6FD82EE44582}"/>
    <cellStyle name="Migliaia 27 8 2 4" xfId="43073" xr:uid="{D12E8C5D-9328-4DC2-A2F9-2512CC4CC715}"/>
    <cellStyle name="Migliaia 27 8 2 5" xfId="13941" xr:uid="{6B080A5F-E21C-421C-8927-0469E7570C60}"/>
    <cellStyle name="Migliaia 27 8 3" xfId="6353" xr:uid="{3FAC8792-24E8-46F3-B385-A9BCA6EF61DC}"/>
    <cellStyle name="Migliaia 27 8 3 2" xfId="39079" xr:uid="{3A519A78-1D77-4353-BB17-BCD016097B9F}"/>
    <cellStyle name="Migliaia 27 8 3 3" xfId="44381" xr:uid="{D6B371D3-9FBE-4396-BA8E-520D8C56DDA8}"/>
    <cellStyle name="Migliaia 27 8 3 4" xfId="33611" xr:uid="{FB73DFAA-DF00-4A27-A2F7-2F31833051FA}"/>
    <cellStyle name="Migliaia 27 8 3 5" xfId="20254" xr:uid="{9EAD9788-12CC-44B5-88A5-6DDEC994FE33}"/>
    <cellStyle name="Migliaia 27 8 4" xfId="36538" xr:uid="{8F02B48A-CDE3-451D-9C62-6BA8EE5529A0}"/>
    <cellStyle name="Migliaia 27 8 5" xfId="41730" xr:uid="{DFCA8FE7-8898-4B6E-B9C3-B44A734FBC5C}"/>
    <cellStyle name="Migliaia 27 8 6" xfId="16314" xr:uid="{FCC0C9CF-3C4A-41B2-953E-AB8DFB6B5D69}"/>
    <cellStyle name="Migliaia 27 8 7" xfId="7898" xr:uid="{C1FEAD44-E289-48AD-8247-F7696B1F481F}"/>
    <cellStyle name="Migliaia 27 9" xfId="5134" xr:uid="{F4FCD574-C203-48A1-B0C9-A41577CA0969}"/>
    <cellStyle name="Migliaia 27 9 2" xfId="33612" xr:uid="{F67460F7-FE22-4110-8C05-E743DD29639D}"/>
    <cellStyle name="Migliaia 27 9 2 2" xfId="39080" xr:uid="{E9224B1D-5F16-4BF4-B3FB-D32BB8A6800B}"/>
    <cellStyle name="Migliaia 27 9 2 3" xfId="44382" xr:uid="{02FEB11B-3CCC-43CE-9BC6-89860D36D3E1}"/>
    <cellStyle name="Migliaia 27 9 3" xfId="36539" xr:uid="{18EF4986-3BCB-439B-9D50-F3387B84139C}"/>
    <cellStyle name="Migliaia 27 9 4" xfId="41731" xr:uid="{06D27026-0BA3-4431-BDA9-B4097C94F652}"/>
    <cellStyle name="Migliaia 27 9 5" xfId="17173" xr:uid="{38DCA983-9087-4419-9ED6-DFC040240EE0}"/>
    <cellStyle name="Migliaia 28" xfId="381" xr:uid="{00000000-0005-0000-0000-000073030000}"/>
    <cellStyle name="Migliaia 28 10" xfId="6354" xr:uid="{30886A68-4748-40CB-AEA2-C856DB4A2F6D}"/>
    <cellStyle name="Migliaia 28 10 2" xfId="39081" xr:uid="{90F51060-54DD-4392-9443-FF9E0DDC9B95}"/>
    <cellStyle name="Migliaia 28 10 3" xfId="44383" xr:uid="{920CA748-CD56-4220-886E-9B349D9E442F}"/>
    <cellStyle name="Migliaia 28 10 4" xfId="33613" xr:uid="{4C04FE7E-91F3-4656-B4A6-FE11EE50736B}"/>
    <cellStyle name="Migliaia 28 10 5" xfId="20255" xr:uid="{7F07C06F-89FA-438D-A719-E06CBB720995}"/>
    <cellStyle name="Migliaia 28 11" xfId="3424" xr:uid="{FDA11666-7D1E-452C-A379-E581362BF549}"/>
    <cellStyle name="Migliaia 28 11 2" xfId="36540" xr:uid="{AB66358A-E1D8-49AA-9CE5-8ED1940D9E73}"/>
    <cellStyle name="Migliaia 28 12" xfId="41732" xr:uid="{9DC4F2BA-5D52-4408-A039-8E3901A479A8}"/>
    <cellStyle name="Migliaia 28 13" xfId="7102" xr:uid="{A6E595B4-36C4-4ED0-9DF7-B19F987763C0}"/>
    <cellStyle name="Migliaia 28 2" xfId="382" xr:uid="{00000000-0005-0000-0000-000074030000}"/>
    <cellStyle name="Migliaia 28 2 2" xfId="1756" xr:uid="{00000000-0005-0000-0000-000075030000}"/>
    <cellStyle name="Migliaia 28 2 2 2" xfId="5152" xr:uid="{B1E8BFEC-7C0C-41FD-A1E9-102A13D3B56A}"/>
    <cellStyle name="Migliaia 28 2 2 2 2" xfId="14383" xr:uid="{84BEB8AC-8F4D-4E0B-803C-81ED9DAC890C}"/>
    <cellStyle name="Migliaia 28 2 2 2 2 2" xfId="39082" xr:uid="{12151739-0A7E-43E7-BF35-200E75B1F75A}"/>
    <cellStyle name="Migliaia 28 2 2 2 2 3" xfId="44384" xr:uid="{370F1825-EB63-461F-95C9-7AA98796D7FE}"/>
    <cellStyle name="Migliaia 28 2 2 2 3" xfId="18422" xr:uid="{AABA5F98-6C2B-4602-A275-ADE50C38B39F}"/>
    <cellStyle name="Migliaia 28 2 2 2 4" xfId="20258" xr:uid="{F421F183-633D-4B04-903B-D5A3F764AB43}"/>
    <cellStyle name="Migliaia 28 2 2 2 4 2" xfId="41733" xr:uid="{753C4E7A-5D48-402F-AF3C-6FB5D0C8A6CB}"/>
    <cellStyle name="Migliaia 28 2 2 2 5" xfId="16315" xr:uid="{6666718A-202A-4C51-A5BE-65A379F948DA}"/>
    <cellStyle name="Migliaia 28 2 2 2 6" xfId="8601" xr:uid="{1F61475C-E97E-4D0E-959F-34DA2B1E7589}"/>
    <cellStyle name="Migliaia 28 2 2 3" xfId="6356" xr:uid="{C1C86756-EA82-4988-9150-69F7BB310927}"/>
    <cellStyle name="Migliaia 28 2 2 3 2" xfId="35263" xr:uid="{2CF63A80-0637-48FA-BBF7-0DE4C3B9913B}"/>
    <cellStyle name="Migliaia 28 2 2 3 2 2" xfId="40423" xr:uid="{F135F4D5-2541-4896-8703-3FF24DB57FAC}"/>
    <cellStyle name="Migliaia 28 2 2 3 2 3" xfId="45725" xr:uid="{7CE049AD-F69D-48C5-B79D-2E400B568D97}"/>
    <cellStyle name="Migliaia 28 2 2 3 3" xfId="37772" xr:uid="{D162F18E-FDA8-4441-A7D2-6B037FFC53E6}"/>
    <cellStyle name="Migliaia 28 2 2 3 4" xfId="43074" xr:uid="{9A5C3C69-706C-404E-974B-C8E59364F801}"/>
    <cellStyle name="Migliaia 28 2 2 3 5" xfId="11610" xr:uid="{91F79FA8-53D5-49B6-888A-2CBBA2831778}"/>
    <cellStyle name="Migliaia 28 2 2 4" xfId="3426" xr:uid="{8333C773-3D16-4898-8600-A145A217391F}"/>
    <cellStyle name="Migliaia 28 2 2 4 2" xfId="21468" xr:uid="{1D34C408-EAE7-4689-9158-A1101058A6F3}"/>
    <cellStyle name="Migliaia 28 2 2 4 3" xfId="46230" xr:uid="{B945CC0A-287B-4DC3-BAAE-116862BE2BF0}"/>
    <cellStyle name="Migliaia 28 2 2 4 4" xfId="50483" xr:uid="{4CC0E7CD-1544-4103-AAF5-907406ACE5EA}"/>
    <cellStyle name="Migliaia 28 2 2 4 5" xfId="53499" xr:uid="{3B6F234F-7325-48D3-90E3-719BA207712A}"/>
    <cellStyle name="Migliaia 28 2 2 4 6" xfId="10833" xr:uid="{5AD9E34C-E964-4B5D-BF17-B86DA36B92B6}"/>
    <cellStyle name="Migliaia 28 2 2 5" xfId="20257" xr:uid="{CB80C23F-72FE-4BDC-BBC0-A67A94A1A952}"/>
    <cellStyle name="Migliaia 28 2 2 6" xfId="24627" xr:uid="{B26C3F12-6A19-45B1-BACB-B9BE7CE75982}"/>
    <cellStyle name="Migliaia 28 2 2 7" xfId="7411" xr:uid="{953CC936-753A-425C-864A-B89CA272AE43}"/>
    <cellStyle name="Migliaia 28 2 3" xfId="3427" xr:uid="{5F065BD6-40F2-44DF-B0C0-D3D0BD404A53}"/>
    <cellStyle name="Migliaia 28 2 3 2" xfId="5153" xr:uid="{4D1D501C-820B-487F-808C-0A49376856B5}"/>
    <cellStyle name="Migliaia 28 2 3 2 2" xfId="35264" xr:uid="{E0E46C70-70DB-4375-94DE-B7C7AB6334C4}"/>
    <cellStyle name="Migliaia 28 2 3 2 2 2" xfId="40424" xr:uid="{F6205A98-CF3D-407E-AF5E-82B09D812F83}"/>
    <cellStyle name="Migliaia 28 2 3 2 2 3" xfId="45726" xr:uid="{9B50B4D3-FF52-4346-869C-ECEEE215CA59}"/>
    <cellStyle name="Migliaia 28 2 3 2 3" xfId="37773" xr:uid="{28FC12A1-8853-4F12-8C15-CB9A59309ACE}"/>
    <cellStyle name="Migliaia 28 2 3 2 4" xfId="43075" xr:uid="{A62D93CF-DEAA-46C3-A434-5EF012FB0C80}"/>
    <cellStyle name="Migliaia 28 2 3 2 5" xfId="14240" xr:uid="{418D7BE6-B1CF-4538-9D02-BA5D99AF7F3E}"/>
    <cellStyle name="Migliaia 28 2 3 3" xfId="6357" xr:uid="{01FB4C40-ADC0-4D41-95E3-679999F0437E}"/>
    <cellStyle name="Migliaia 28 2 3 3 2" xfId="39083" xr:uid="{E3FEEC1A-762C-40BD-AE5C-F9E9F5B1148D}"/>
    <cellStyle name="Migliaia 28 2 3 3 3" xfId="44385" xr:uid="{5647B339-01B9-45D0-B5D1-117DFC7886E4}"/>
    <cellStyle name="Migliaia 28 2 3 3 4" xfId="33614" xr:uid="{DA54AACF-78DD-41CC-B6AF-07B921F014A8}"/>
    <cellStyle name="Migliaia 28 2 3 3 5" xfId="20259" xr:uid="{6E8E86D2-F003-4854-B3FC-1E2BCEBFBB12}"/>
    <cellStyle name="Migliaia 28 2 3 4" xfId="36541" xr:uid="{B7256C51-E3EE-4BD8-A83F-F4B74A37FE3B}"/>
    <cellStyle name="Migliaia 28 2 3 5" xfId="41734" xr:uid="{261F5FD0-987F-4E27-8B80-6E9ED4648C79}"/>
    <cellStyle name="Migliaia 28 2 3 6" xfId="16316" xr:uid="{644DC281-D992-431F-B857-CFE41D3C2818}"/>
    <cellStyle name="Migliaia 28 2 3 7" xfId="8302" xr:uid="{6C3E1ECB-2312-4187-AE56-062D78A484CD}"/>
    <cellStyle name="Migliaia 28 2 4" xfId="5151" xr:uid="{00C59237-9CF2-4D37-A531-2294BED82808}"/>
    <cellStyle name="Migliaia 28 2 4 2" xfId="13945" xr:uid="{8EA4D35D-5D02-4720-939F-1F4B4E78FF98}"/>
    <cellStyle name="Migliaia 28 2 4 2 2" xfId="39084" xr:uid="{0AF99C08-F66E-44F3-B5C2-3918465FFA72}"/>
    <cellStyle name="Migliaia 28 2 4 2 3" xfId="44386" xr:uid="{A64DC09F-7EBB-4668-81D0-3B429EE2BC2C}"/>
    <cellStyle name="Migliaia 28 2 4 3" xfId="18714" xr:uid="{45B47D88-EAA9-4D38-B6D4-7E834B000EB2}"/>
    <cellStyle name="Migliaia 28 2 4 4" xfId="20260" xr:uid="{BEE12E05-EF71-4A5D-B3A9-F6D845E73C0F}"/>
    <cellStyle name="Migliaia 28 2 4 4 2" xfId="41735" xr:uid="{69BDBB3D-0713-42CC-8753-A91769C9CEF4}"/>
    <cellStyle name="Migliaia 28 2 4 5" xfId="16317" xr:uid="{E4589623-3259-4C20-9D03-47BCFEE92E86}"/>
    <cellStyle name="Migliaia 28 2 4 6" xfId="7903" xr:uid="{0586F086-EC10-4FBE-B41B-EE117D3CFF67}"/>
    <cellStyle name="Migliaia 28 2 5" xfId="6355" xr:uid="{2695FFAD-63C5-4AA3-8D7E-5B9BF81C5308}"/>
    <cellStyle name="Migliaia 28 2 5 2" xfId="33615" xr:uid="{308F1315-D65E-4478-BC66-DF59C508FE3F}"/>
    <cellStyle name="Migliaia 28 2 5 2 2" xfId="39085" xr:uid="{6E7B0640-B4ED-4493-9E52-1F711C5FE972}"/>
    <cellStyle name="Migliaia 28 2 5 2 3" xfId="44387" xr:uid="{695AE108-BFC1-4DBC-9642-0CAEAC901C83}"/>
    <cellStyle name="Migliaia 28 2 5 3" xfId="36542" xr:uid="{9BC52055-15EB-47E3-8B72-F0336847EC27}"/>
    <cellStyle name="Migliaia 28 2 5 4" xfId="41736" xr:uid="{AD2E6FA6-9E04-4527-BF8D-4A3F132F51E3}"/>
    <cellStyle name="Migliaia 28 2 5 5" xfId="13123" xr:uid="{7207E6F9-6952-4B23-A8D4-8E461A1F76A9}"/>
    <cellStyle name="Migliaia 28 2 6" xfId="3425" xr:uid="{9A9AEA3C-9F8C-4289-B567-A7DBEDB7A422}"/>
    <cellStyle name="Migliaia 28 2 6 2" xfId="33616" xr:uid="{7629B8CD-D3E9-49EE-B895-F091878D1920}"/>
    <cellStyle name="Migliaia 28 2 6 2 2" xfId="39086" xr:uid="{8D248A0B-5E43-4538-AF52-98AD9A7D74FD}"/>
    <cellStyle name="Migliaia 28 2 6 2 3" xfId="44388" xr:uid="{6B74D43B-82F5-4FDE-9795-BB77E02B7429}"/>
    <cellStyle name="Migliaia 28 2 6 3" xfId="36543" xr:uid="{13F50692-4FC3-4D47-BFB9-A9C99B7F0D7D}"/>
    <cellStyle name="Migliaia 28 2 6 4" xfId="41737" xr:uid="{4AA3C7EB-EA5D-4FC3-87A0-CC54D51F7517}"/>
    <cellStyle name="Migliaia 28 2 6 5" xfId="24628" xr:uid="{293D901C-55B0-486B-B44F-A79DDD38F80F}"/>
    <cellStyle name="Migliaia 28 2 6 6" xfId="20256" xr:uid="{A79FEC2C-42B0-4E0C-99F0-7B32198D0C05}"/>
    <cellStyle name="Migliaia 28 2 7" xfId="24626" xr:uid="{1463623F-ADC4-431B-ACB2-78FB32CF603F}"/>
    <cellStyle name="Migliaia 28 2 8" xfId="7103" xr:uid="{CB941D9D-7F4C-4CBF-9F71-10BDA0712B5B}"/>
    <cellStyle name="Migliaia 28 3" xfId="383" xr:uid="{00000000-0005-0000-0000-000076030000}"/>
    <cellStyle name="Migliaia 28 3 10" xfId="24629" xr:uid="{83F1A477-70F6-4372-8DC0-DC88FB5D83F8}"/>
    <cellStyle name="Migliaia 28 3 11" xfId="16318" xr:uid="{4CB0D9FF-798B-4BD6-BEFF-61DD597F0A0C}"/>
    <cellStyle name="Migliaia 28 3 12" xfId="7104" xr:uid="{09D79047-F5B7-4B10-A428-0CFBC6F11B80}"/>
    <cellStyle name="Migliaia 28 3 2" xfId="384" xr:uid="{00000000-0005-0000-0000-000077030000}"/>
    <cellStyle name="Migliaia 28 3 2 2" xfId="1757" xr:uid="{00000000-0005-0000-0000-000078030000}"/>
    <cellStyle name="Migliaia 28 3 2 2 2" xfId="5156" xr:uid="{BC11F700-ED3F-455B-B8D5-D82D0D054072}"/>
    <cellStyle name="Migliaia 28 3 2 2 2 2" xfId="18423" xr:uid="{BCCC0371-450F-43D2-9BBE-3C7D0704858E}"/>
    <cellStyle name="Migliaia 28 3 2 2 2 2 2" xfId="21861" xr:uid="{D8277337-5AAF-4E9B-9624-D3874C04EF8E}"/>
    <cellStyle name="Migliaia 28 3 2 2 2 2 2 2" xfId="39087" xr:uid="{D8940B87-33A9-4486-96BC-E9366C714551}"/>
    <cellStyle name="Migliaia 28 3 2 2 2 2 3" xfId="44389" xr:uid="{5C146A23-41D8-45D0-8095-502888F13726}"/>
    <cellStyle name="Migliaia 28 3 2 2 2 2 4" xfId="33617" xr:uid="{E03C0811-B157-49DC-BC9B-7A129E5ED7EE}"/>
    <cellStyle name="Migliaia 28 3 2 2 2 3" xfId="36544" xr:uid="{8E36217B-2FA8-4BD0-8E63-60B04A8283CA}"/>
    <cellStyle name="Migliaia 28 3 2 2 2 4" xfId="41738" xr:uid="{E2724BC5-8A09-4172-BEF3-91C0D4844DF9}"/>
    <cellStyle name="Migliaia 28 3 2 2 2 5" xfId="32642" xr:uid="{3B7E445D-29B2-4CD9-A4A6-A6BC00D81C5D}"/>
    <cellStyle name="Migliaia 28 3 2 2 2 6" xfId="50889" xr:uid="{91C20A24-E55C-4CBF-A017-5919F329183C}"/>
    <cellStyle name="Migliaia 28 3 2 2 2 7" xfId="53905" xr:uid="{FD2F606F-B4EF-479D-B54A-287D0C62D9CA}"/>
    <cellStyle name="Migliaia 28 3 2 2 2 8" xfId="17658" xr:uid="{B0E52E6E-CAA4-41F7-8395-0CDD5F95F460}"/>
    <cellStyle name="Migliaia 28 3 2 2 2 9" xfId="11967" xr:uid="{3797F9E9-115C-4931-B281-F297E0D015A6}"/>
    <cellStyle name="Migliaia 28 3 2 2 3" xfId="6360" xr:uid="{B3E8BEC6-8792-4DF0-92F6-FA94F555B046}"/>
    <cellStyle name="Migliaia 28 3 2 2 3 2" xfId="11558" xr:uid="{F4BC9908-EBFA-4023-B8A1-A1B005407CD2}"/>
    <cellStyle name="Migliaia 28 3 2 2 4" xfId="3430" xr:uid="{D6006F2E-ACAC-4244-B98D-659942AD7F3A}"/>
    <cellStyle name="Migliaia 28 3 2 2 4 2" xfId="21469" xr:uid="{E1291B46-1F78-4D0D-8B28-46A5C3E45AA4}"/>
    <cellStyle name="Migliaia 28 3 2 2 4 3" xfId="35976" xr:uid="{CE606953-2520-4512-B075-93D293523173}"/>
    <cellStyle name="Migliaia 28 3 2 2 4 4" xfId="50484" xr:uid="{462DBA97-B566-4309-AFB0-E38205EF4BA2}"/>
    <cellStyle name="Migliaia 28 3 2 2 4 5" xfId="53500" xr:uid="{E54551EB-E5B2-4A77-8A89-66E67879F30B}"/>
    <cellStyle name="Migliaia 28 3 2 2 4 6" xfId="10834" xr:uid="{4D011E74-0D86-445E-B0E8-B148B50C3253}"/>
    <cellStyle name="Migliaia 28 3 2 2 5" xfId="20263" xr:uid="{58654294-C6FA-4E2A-ADFD-C6155EC76E98}"/>
    <cellStyle name="Migliaia 28 3 2 2 6" xfId="24631" xr:uid="{1E536732-A3CF-4505-8BFE-B63489AFA5FD}"/>
    <cellStyle name="Migliaia 28 3 2 2 7" xfId="8603" xr:uid="{1ED6E742-AA52-46BC-9F9A-95F2ECB1F464}"/>
    <cellStyle name="Migliaia 28 3 2 3" xfId="5155" xr:uid="{D9E1A1C9-316A-417D-916A-3BD44AEE5B76}"/>
    <cellStyle name="Migliaia 28 3 2 3 2" xfId="11657" xr:uid="{96F01374-A1ED-47FC-BD68-C1225C357455}"/>
    <cellStyle name="Migliaia 28 3 2 3 2 2" xfId="39088" xr:uid="{C5C28F29-BB6A-4118-ACD1-B13FC6A0819A}"/>
    <cellStyle name="Migliaia 28 3 2 3 2 3" xfId="44390" xr:uid="{AF010CA6-323B-49B9-A172-A722F8434717}"/>
    <cellStyle name="Migliaia 28 3 2 3 2 4" xfId="33618" xr:uid="{BF1CC1F7-51D1-4F49-9D31-A066692ABBF4}"/>
    <cellStyle name="Migliaia 28 3 2 3 3" xfId="11968" xr:uid="{55746EA3-879F-4B65-8BAF-61527AC2F519}"/>
    <cellStyle name="Migliaia 28 3 2 3 4" xfId="20264" xr:uid="{FCC32910-F367-4B2A-B1FF-61566AF4F404}"/>
    <cellStyle name="Migliaia 28 3 2 3 4 2" xfId="41739" xr:uid="{8C92D8C6-FBB2-4925-9ECB-FC853A367C20}"/>
    <cellStyle name="Migliaia 28 3 2 3 5" xfId="16319" xr:uid="{F8CB5C52-C94B-49ED-9CBA-C1DA9D29BC9B}"/>
    <cellStyle name="Migliaia 28 3 2 3 6" xfId="7905" xr:uid="{5E80814C-49F4-4B44-8237-02DA3B0FADE1}"/>
    <cellStyle name="Migliaia 28 3 2 4" xfId="6359" xr:uid="{92E806E1-0D3A-444A-880E-F08ED0FAB2B2}"/>
    <cellStyle name="Migliaia 28 3 2 4 2" xfId="18077" xr:uid="{9F36F838-6D78-4DFC-899D-082215446F45}"/>
    <cellStyle name="Migliaia 28 3 2 4 2 2" xfId="39089" xr:uid="{493323EB-D285-4A2D-8FB2-BE0A0D84BE6B}"/>
    <cellStyle name="Migliaia 28 3 2 4 2 3" xfId="44391" xr:uid="{CFF5265D-F806-4FFB-9D16-74CD1DF11AAA}"/>
    <cellStyle name="Migliaia 28 3 2 4 3" xfId="36545" xr:uid="{14EFC3B0-E0CD-4115-967E-CF7C170A3FC4}"/>
    <cellStyle name="Migliaia 28 3 2 4 4" xfId="41740" xr:uid="{3E002FFE-4E06-4300-895C-FDE6CCDC439A}"/>
    <cellStyle name="Migliaia 28 3 2 4 5" xfId="17176" xr:uid="{514DB97B-7337-4B42-A08A-1A7448067060}"/>
    <cellStyle name="Migliaia 28 3 2 4 6" xfId="11316" xr:uid="{DD416B4A-F68E-4185-81B2-A7A25661B2DF}"/>
    <cellStyle name="Migliaia 28 3 2 5" xfId="3429" xr:uid="{32C24B3C-A8ED-40D1-B680-107C059A826F}"/>
    <cellStyle name="Migliaia 28 3 2 5 2" xfId="33619" xr:uid="{1ACE27BA-7C93-458E-A820-D3A772E3FEA1}"/>
    <cellStyle name="Migliaia 28 3 2 5 2 2" xfId="39090" xr:uid="{0152B672-34E2-48C2-AE88-6524979F089C}"/>
    <cellStyle name="Migliaia 28 3 2 5 2 3" xfId="44392" xr:uid="{5FB9BB6C-CC24-4B7D-85F3-83E6BCB008BF}"/>
    <cellStyle name="Migliaia 28 3 2 5 3" xfId="36546" xr:uid="{71DD4B9A-42C4-47DF-8498-A1641A965286}"/>
    <cellStyle name="Migliaia 28 3 2 5 4" xfId="41741" xr:uid="{50BA8797-364E-4DE2-A583-B289159CD6A9}"/>
    <cellStyle name="Migliaia 28 3 2 5 5" xfId="17366" xr:uid="{4039ADA9-C9EC-4656-8C68-A6F52763821E}"/>
    <cellStyle name="Migliaia 28 3 2 6" xfId="20262" xr:uid="{71CF2AE4-9384-4E6E-8A7C-6678D0797861}"/>
    <cellStyle name="Migliaia 28 3 2 6 2" xfId="33620" xr:uid="{D2F876A8-BAD9-4D25-B178-675D7E21547A}"/>
    <cellStyle name="Migliaia 28 3 2 6 2 2" xfId="39091" xr:uid="{CD6B1C48-AF19-490E-95E8-B6AA0602953D}"/>
    <cellStyle name="Migliaia 28 3 2 6 2 3" xfId="44393" xr:uid="{7315D3D0-547F-4FBA-9F48-6F8931DD4AD4}"/>
    <cellStyle name="Migliaia 28 3 2 6 3" xfId="36547" xr:uid="{D38146EA-4796-4EB5-8044-13A7C7628F46}"/>
    <cellStyle name="Migliaia 28 3 2 6 4" xfId="41742" xr:uid="{B9984778-9E53-4413-B56B-4C31A4986076}"/>
    <cellStyle name="Migliaia 28 3 2 6 5" xfId="24632" xr:uid="{B8F9E412-7C7E-4240-BAA1-52FA3072C9D6}"/>
    <cellStyle name="Migliaia 28 3 2 7" xfId="24630" xr:uid="{57DBD675-1976-4D38-80D5-75022E1DB245}"/>
    <cellStyle name="Migliaia 28 3 2 8" xfId="7413" xr:uid="{A71533F1-AB79-42F9-A5FA-7187752AF074}"/>
    <cellStyle name="Migliaia 28 3 3" xfId="3431" xr:uid="{96166F1A-7685-4164-95D1-0B39301237EA}"/>
    <cellStyle name="Migliaia 28 3 3 10" xfId="7412" xr:uid="{A1630235-5331-43D8-B9C1-6F47FF1A5DBE}"/>
    <cellStyle name="Migliaia 28 3 3 2" xfId="5157" xr:uid="{52565296-EDD6-4FAB-9B77-3388C58B70CB}"/>
    <cellStyle name="Migliaia 28 3 3 2 2" xfId="9922" xr:uid="{CAC77894-C530-4974-9BC0-4CABDFC2FF90}"/>
    <cellStyle name="Migliaia 28 3 3 2 2 2" xfId="39093" xr:uid="{ED04A39A-0288-4E01-B2ED-73125DFE006C}"/>
    <cellStyle name="Migliaia 28 3 3 2 2 3" xfId="44395" xr:uid="{E35C3FB0-3478-4A3F-89E8-6E6625DFD6E2}"/>
    <cellStyle name="Migliaia 28 3 3 2 3" xfId="18202" xr:uid="{74127B3B-93C5-4519-AFEF-6CD5E1885C27}"/>
    <cellStyle name="Migliaia 28 3 3 2 4" xfId="20266" xr:uid="{331A5421-82F8-4D2D-8013-C1047915397E}"/>
    <cellStyle name="Migliaia 28 3 3 2 4 2" xfId="41744" xr:uid="{197F5ED6-0BF9-43AD-9886-A76058A5F1C6}"/>
    <cellStyle name="Migliaia 28 3 3 2 5" xfId="16321" xr:uid="{435EBA5F-99F8-4BAE-A6AB-FE768FBD4709}"/>
    <cellStyle name="Migliaia 28 3 3 2 6" xfId="8602" xr:uid="{00CB5523-6057-42D3-9C77-634795B61682}"/>
    <cellStyle name="Migliaia 28 3 3 3" xfId="6361" xr:uid="{9C8AC06D-41C3-4161-9C98-0018A05CA8BB}"/>
    <cellStyle name="Migliaia 28 3 3 3 2" xfId="33622" xr:uid="{EED447A9-D082-4AF9-AC67-378E7D7BED94}"/>
    <cellStyle name="Migliaia 28 3 3 3 2 2" xfId="39094" xr:uid="{B5B82BC8-F646-4C02-B60F-72EB7BEAC15C}"/>
    <cellStyle name="Migliaia 28 3 3 3 2 3" xfId="44396" xr:uid="{BD8148BC-E2D0-46A0-81EB-08A47A5F74C1}"/>
    <cellStyle name="Migliaia 28 3 3 3 3" xfId="36549" xr:uid="{E35601C5-6D2C-4487-BA9E-C8DDC89EDE3D}"/>
    <cellStyle name="Migliaia 28 3 3 3 4" xfId="41745" xr:uid="{84A1E2E7-E84A-4DCD-9378-7E723B4ECE5B}"/>
    <cellStyle name="Migliaia 28 3 3 3 5" xfId="9685" xr:uid="{6B06A717-29E3-464C-904B-B746416753B2}"/>
    <cellStyle name="Migliaia 28 3 3 4" xfId="20265" xr:uid="{FD772A99-7509-4244-8B83-FA9C541B06CC}"/>
    <cellStyle name="Migliaia 28 3 3 4 2" xfId="33623" xr:uid="{D3EDE8BF-8ACA-4BE6-B51D-CF7E590B91E0}"/>
    <cellStyle name="Migliaia 28 3 3 4 2 2" xfId="39095" xr:uid="{C20ABE4A-767E-4182-B749-C116A431ECFB}"/>
    <cellStyle name="Migliaia 28 3 3 4 2 3" xfId="44397" xr:uid="{D79D99A2-285C-434D-8D03-B2AD36A627BD}"/>
    <cellStyle name="Migliaia 28 3 3 4 3" xfId="36550" xr:uid="{56DE4FB9-8AEE-4E16-B470-51C713211F9E}"/>
    <cellStyle name="Migliaia 28 3 3 4 4" xfId="41746" xr:uid="{36F4244D-3CD7-4C83-B333-CC18E5EF94D8}"/>
    <cellStyle name="Migliaia 28 3 3 4 5" xfId="24633" xr:uid="{28BBAB53-791A-40A4-8D83-EA3D0AA34F5A}"/>
    <cellStyle name="Migliaia 28 3 3 5" xfId="24634" xr:uid="{B6AFF956-058A-47C7-81DF-716EF7C441AC}"/>
    <cellStyle name="Migliaia 28 3 3 5 2" xfId="33624" xr:uid="{668B4F84-0120-4281-8050-A417E0E23E74}"/>
    <cellStyle name="Migliaia 28 3 3 5 2 2" xfId="39096" xr:uid="{ECF1B781-A2A9-4597-BD14-A088A8C254AC}"/>
    <cellStyle name="Migliaia 28 3 3 5 2 3" xfId="44398" xr:uid="{F36A0398-CEA6-4490-8AFD-4D7CD5634122}"/>
    <cellStyle name="Migliaia 28 3 3 5 3" xfId="36551" xr:uid="{661C784E-A7C9-42DF-81C3-22B364EE0493}"/>
    <cellStyle name="Migliaia 28 3 3 5 4" xfId="41747" xr:uid="{9C3BAB22-6171-44FB-8161-CC2D5C6AFD24}"/>
    <cellStyle name="Migliaia 28 3 3 6" xfId="33621" xr:uid="{811DF9B5-5EC9-4E7F-839B-DD419480A281}"/>
    <cellStyle name="Migliaia 28 3 3 6 2" xfId="39092" xr:uid="{1902A9AE-65A4-4210-B5DE-4627825F8FD2}"/>
    <cellStyle name="Migliaia 28 3 3 6 3" xfId="44394" xr:uid="{ADFBD8C4-8BEE-4544-A3A6-0431777160E0}"/>
    <cellStyle name="Migliaia 28 3 3 7" xfId="36548" xr:uid="{DAE8D82D-3359-4874-AA2C-BBB0FF56FFD8}"/>
    <cellStyle name="Migliaia 28 3 3 8" xfId="41743" xr:uid="{94250C6C-106A-4959-996E-DDCFFBDCADB0}"/>
    <cellStyle name="Migliaia 28 3 3 9" xfId="16320" xr:uid="{4C4437E4-4750-490E-9BA9-D75D8ECFF07E}"/>
    <cellStyle name="Migliaia 28 3 4" xfId="3432" xr:uid="{BD505E31-2C02-4BA8-89AF-3B679CD6B51F}"/>
    <cellStyle name="Migliaia 28 3 4 2" xfId="5158" xr:uid="{D2E4E562-6D16-4306-A645-3E7395A8F621}"/>
    <cellStyle name="Migliaia 28 3 4 2 2" xfId="14443" xr:uid="{226780A2-E122-4681-9480-D47E34616FAE}"/>
    <cellStyle name="Migliaia 28 3 4 2 3" xfId="18586" xr:uid="{E556D3BD-9363-46A9-B8C7-F0D7F529045C}"/>
    <cellStyle name="Migliaia 28 3 4 2 4" xfId="20268" xr:uid="{25037376-E4AD-43EF-8159-FCB6B18F3379}"/>
    <cellStyle name="Migliaia 28 3 4 2 5" xfId="32355" xr:uid="{123DDAB7-A709-4B75-AB7F-076FC6291D77}"/>
    <cellStyle name="Migliaia 28 3 4 2 6" xfId="16323" xr:uid="{77518F77-3BC4-4628-B40B-5E47F9F6E99C}"/>
    <cellStyle name="Migliaia 28 3 4 2 7" xfId="8866" xr:uid="{1F1EA8BF-E4BE-492D-B639-4FAC1233AD1B}"/>
    <cellStyle name="Migliaia 28 3 4 3" xfId="6362" xr:uid="{28822C15-C593-4201-A5C7-6AFF082DE043}"/>
    <cellStyle name="Migliaia 28 3 4 3 2" xfId="35265" xr:uid="{A8E9223E-8B46-4120-BAD9-93A0E45D035E}"/>
    <cellStyle name="Migliaia 28 3 4 3 2 2" xfId="40425" xr:uid="{F7FF8D31-127F-4D21-BD2E-156343373F3D}"/>
    <cellStyle name="Migliaia 28 3 4 3 2 3" xfId="45727" xr:uid="{4F79F7FA-EA4D-4D48-826E-E3E48A9F1BD9}"/>
    <cellStyle name="Migliaia 28 3 4 3 3" xfId="37774" xr:uid="{766B6B62-7151-4641-B369-7914AE8053DC}"/>
    <cellStyle name="Migliaia 28 3 4 3 4" xfId="43076" xr:uid="{A4F83941-6D6D-4B36-BCDD-F6A729F021E3}"/>
    <cellStyle name="Migliaia 28 3 4 3 5" xfId="13691" xr:uid="{177E13D0-A168-460D-B409-DC6C886DA5CB}"/>
    <cellStyle name="Migliaia 28 3 4 4" xfId="20267" xr:uid="{408147CF-E905-4D2B-8C2F-A439A1F9B357}"/>
    <cellStyle name="Migliaia 28 3 4 4 2" xfId="39097" xr:uid="{24507B34-162E-44CC-89EB-F188470BB85E}"/>
    <cellStyle name="Migliaia 28 3 4 4 3" xfId="44399" xr:uid="{DCBF997F-96C0-425E-8AF1-1FC5ECBF371F}"/>
    <cellStyle name="Migliaia 28 3 4 4 4" xfId="33625" xr:uid="{C59AB990-F752-4AA1-AE58-672ACFFC9505}"/>
    <cellStyle name="Migliaia 28 3 4 5" xfId="36552" xr:uid="{0A0A79C6-4551-4F4D-A5FF-DE1EB2737FD7}"/>
    <cellStyle name="Migliaia 28 3 4 6" xfId="41748" xr:uid="{431A0505-BEC7-4954-853E-006E9A7CDD76}"/>
    <cellStyle name="Migliaia 28 3 4 7" xfId="16322" xr:uid="{85CFD989-87C0-4BEA-B60E-596947E10336}"/>
    <cellStyle name="Migliaia 28 3 4 8" xfId="7676" xr:uid="{68E4BA91-AEF1-4149-94FB-C98D6EBE0CDA}"/>
    <cellStyle name="Migliaia 28 3 5" xfId="3433" xr:uid="{B90F7CD5-D4A7-4D18-920A-CF61C6D1F231}"/>
    <cellStyle name="Migliaia 28 3 5 2" xfId="5159" xr:uid="{F7AE05E4-181B-49AF-B7EB-0D3ADB753796}"/>
    <cellStyle name="Migliaia 28 3 5 2 2" xfId="35266" xr:uid="{AA022E3D-86A3-40D7-9774-68FDB9BA6F97}"/>
    <cellStyle name="Migliaia 28 3 5 2 2 2" xfId="40426" xr:uid="{5ECEEBA0-A307-4318-BD80-AF5C46416E2E}"/>
    <cellStyle name="Migliaia 28 3 5 2 2 3" xfId="45728" xr:uid="{10715DEE-375C-49B7-BF38-93CE2BEF795E}"/>
    <cellStyle name="Migliaia 28 3 5 2 3" xfId="37775" xr:uid="{BA8807F5-5DCA-4288-887F-299E4AEB4E81}"/>
    <cellStyle name="Migliaia 28 3 5 2 4" xfId="43077" xr:uid="{1CEC3472-0024-4EDD-9A22-DA15C4DEF3EB}"/>
    <cellStyle name="Migliaia 28 3 5 2 5" xfId="14241" xr:uid="{0ADF2CBA-BB93-4A1F-AA66-A03F36F62BD1}"/>
    <cellStyle name="Migliaia 28 3 5 3" xfId="6363" xr:uid="{22EF6CBC-BE52-4195-AF67-E91BEFBB9289}"/>
    <cellStyle name="Migliaia 28 3 5 3 2" xfId="39098" xr:uid="{900895EF-0670-4C33-877F-359CFB4F2ECE}"/>
    <cellStyle name="Migliaia 28 3 5 3 3" xfId="44400" xr:uid="{44D67BBB-0BD8-4CAF-BBAF-69C7CBE51944}"/>
    <cellStyle name="Migliaia 28 3 5 3 4" xfId="33626" xr:uid="{565E1EC2-9332-4D16-865C-A3000934E16D}"/>
    <cellStyle name="Migliaia 28 3 5 3 5" xfId="20269" xr:uid="{DB78DA90-51F9-4457-BD0D-4E1F67B98667}"/>
    <cellStyle name="Migliaia 28 3 5 4" xfId="36553" xr:uid="{148EC5F9-B917-4493-A8B8-B5851F2EC27D}"/>
    <cellStyle name="Migliaia 28 3 5 5" xfId="41749" xr:uid="{50F554D4-D53D-4F0C-BA52-0A0541DF461C}"/>
    <cellStyle name="Migliaia 28 3 5 6" xfId="16324" xr:uid="{536828DA-2F08-49CE-9883-B1BAA850CDF8}"/>
    <cellStyle name="Migliaia 28 3 5 7" xfId="8303" xr:uid="{928BD169-78C5-4616-A9F9-067FCCE1C28D}"/>
    <cellStyle name="Migliaia 28 3 6" xfId="5154" xr:uid="{DFA09408-C1F9-4BBF-8D71-3F899CEAA97A}"/>
    <cellStyle name="Migliaia 28 3 6 2" xfId="13946" xr:uid="{29A37834-84F8-4B30-A236-48365BB41C05}"/>
    <cellStyle name="Migliaia 28 3 6 2 2" xfId="39099" xr:uid="{0A207539-4F8E-4957-BF78-7BFC4EC0D1FA}"/>
    <cellStyle name="Migliaia 28 3 6 2 3" xfId="44401" xr:uid="{537E1B2F-7434-4252-B942-C80DBA2DA9B2}"/>
    <cellStyle name="Migliaia 28 3 6 3" xfId="18616" xr:uid="{F90F7915-3D7D-47C0-BA4F-A1F7EC99B421}"/>
    <cellStyle name="Migliaia 28 3 6 4" xfId="20270" xr:uid="{9A75854E-5A30-4E51-B7B8-4B176EF97B44}"/>
    <cellStyle name="Migliaia 28 3 6 4 2" xfId="41750" xr:uid="{60D04780-8FEC-48E1-8A6E-574617161D91}"/>
    <cellStyle name="Migliaia 28 3 6 5" xfId="16325" xr:uid="{2C7809AB-ECC6-4442-9C0F-C9B5C4141E32}"/>
    <cellStyle name="Migliaia 28 3 6 6" xfId="7904" xr:uid="{16C15E32-90EC-4F8A-B2A6-98110621ABCE}"/>
    <cellStyle name="Migliaia 28 3 7" xfId="6358" xr:uid="{BEBFC4C4-14FC-4C17-B221-E07098DEFB3C}"/>
    <cellStyle name="Migliaia 28 3 7 2" xfId="33627" xr:uid="{8E1A2DA2-CEBB-47B0-8C4D-685487B59BC2}"/>
    <cellStyle name="Migliaia 28 3 7 2 2" xfId="39100" xr:uid="{CBF19DDA-6FE9-4714-9AC3-AAAC6A4A799A}"/>
    <cellStyle name="Migliaia 28 3 7 2 3" xfId="44402" xr:uid="{219E282F-9563-4B0A-AE6D-36ACDD6F5B98}"/>
    <cellStyle name="Migliaia 28 3 7 3" xfId="36554" xr:uid="{8B1DAF3E-6AD5-4B8D-A882-0FD798EC8B4F}"/>
    <cellStyle name="Migliaia 28 3 7 4" xfId="41751" xr:uid="{1BA17689-C45F-446E-BC05-17FD6806EC9C}"/>
    <cellStyle name="Migliaia 28 3 7 5" xfId="11221" xr:uid="{4ED738A4-C8F8-4D3D-8528-57AB78280798}"/>
    <cellStyle name="Migliaia 28 3 8" xfId="3428" xr:uid="{F1D597EF-A26F-4B19-A46C-A36DD8AE1B05}"/>
    <cellStyle name="Migliaia 28 3 8 2" xfId="33628" xr:uid="{F428BB3C-5755-424C-8A18-35F4513387AF}"/>
    <cellStyle name="Migliaia 28 3 8 2 2" xfId="39101" xr:uid="{F65C246D-CA2F-4F15-8DC8-16D40230B64B}"/>
    <cellStyle name="Migliaia 28 3 8 2 3" xfId="44403" xr:uid="{4813771E-D246-4D81-BE0E-2801EB6E8CA2}"/>
    <cellStyle name="Migliaia 28 3 8 3" xfId="36555" xr:uid="{C588EB61-010A-45F0-89E0-1453C4A4AA69}"/>
    <cellStyle name="Migliaia 28 3 8 4" xfId="41752" xr:uid="{7D476B74-4B82-4349-9978-74A519CCF932}"/>
    <cellStyle name="Migliaia 28 3 8 5" xfId="24635" xr:uid="{98B55CB4-1ACC-413A-9423-88AB98F982A3}"/>
    <cellStyle name="Migliaia 28 3 8 6" xfId="17367" xr:uid="{945FD555-7356-47F4-A6C1-0B43FD4CFC94}"/>
    <cellStyle name="Migliaia 28 3 9" xfId="20261" xr:uid="{0BA77DF4-6DB4-4596-A839-B904617145C5}"/>
    <cellStyle name="Migliaia 28 4" xfId="1758" xr:uid="{00000000-0005-0000-0000-000079030000}"/>
    <cellStyle name="Migliaia 28 4 2" xfId="1759" xr:uid="{00000000-0005-0000-0000-00007A030000}"/>
    <cellStyle name="Migliaia 28 4 2 2" xfId="5161" xr:uid="{75417B20-6F45-4075-9306-3D3E0584AA3F}"/>
    <cellStyle name="Migliaia 28 4 2 2 2" xfId="33629" xr:uid="{215C63C4-FC99-4383-9A0A-08DFDB86C45F}"/>
    <cellStyle name="Migliaia 28 4 2 2 2 2" xfId="39102" xr:uid="{5482161C-A696-46BB-BA0D-02B9624B8FE8}"/>
    <cellStyle name="Migliaia 28 4 2 2 2 3" xfId="44404" xr:uid="{7DB64A98-BBBC-4016-805F-DE78094E7786}"/>
    <cellStyle name="Migliaia 28 4 2 2 3" xfId="36556" xr:uid="{B8AB32C7-0793-4A06-B5CE-9E88DC66BB96}"/>
    <cellStyle name="Migliaia 28 4 2 2 4" xfId="41753" xr:uid="{A9BA9206-701F-44FE-80BF-CF73375670D8}"/>
    <cellStyle name="Migliaia 28 4 2 2 5" xfId="9148" xr:uid="{3F3F12C7-F5C6-4F54-A9DD-48F47B3E4117}"/>
    <cellStyle name="Migliaia 28 4 2 3" xfId="3435" xr:uid="{7DE7C071-6025-452C-9004-6C62A5C8384B}"/>
    <cellStyle name="Migliaia 28 4 2 3 2" xfId="33630" xr:uid="{6CFCAB35-DFAB-4C1C-8764-4780647850A2}"/>
    <cellStyle name="Migliaia 28 4 2 3 2 2" xfId="39103" xr:uid="{AD5AC386-4B92-488D-A2FD-4DEB0C129243}"/>
    <cellStyle name="Migliaia 28 4 2 3 2 3" xfId="44405" xr:uid="{71ADD20A-7C23-4379-97C5-18D5B2A5E3F3}"/>
    <cellStyle name="Migliaia 28 4 2 3 3" xfId="36557" xr:uid="{B7126EC0-3770-4891-BA26-8B0480484255}"/>
    <cellStyle name="Migliaia 28 4 2 3 4" xfId="41754" xr:uid="{6B8DFA5B-9869-403E-A931-4A0ED4F37D28}"/>
    <cellStyle name="Migliaia 28 4 2 3 5" xfId="11969" xr:uid="{89AE449C-0534-4446-A0BC-60B6D4D6B2B4}"/>
    <cellStyle name="Migliaia 28 4 2 4" xfId="11318" xr:uid="{FADEACE1-BFC5-4237-88DC-A2DAC0AE2FC7}"/>
    <cellStyle name="Migliaia 28 4 2 5" xfId="10836" xr:uid="{3A554F3E-3E7F-45C2-958B-6BC897B9670A}"/>
    <cellStyle name="Migliaia 28 4 2 5 2" xfId="21471" xr:uid="{7C1310D5-E996-49DE-AE9D-7D82119F8381}"/>
    <cellStyle name="Migliaia 28 4 2 5 3" xfId="33087" xr:uid="{72DD4D0B-3AAC-48A0-A438-5B4B12EDDC1F}"/>
    <cellStyle name="Migliaia 28 4 2 5 4" xfId="50486" xr:uid="{5232EC8B-12C4-47B6-9411-050E38FD6F00}"/>
    <cellStyle name="Migliaia 28 4 2 5 5" xfId="53502" xr:uid="{ECEDEC06-616D-4957-A6B0-966568B07061}"/>
    <cellStyle name="Migliaia 28 4 2 6" xfId="20272" xr:uid="{6218ADA5-B3D4-4ACC-B447-94BE8908E5D9}"/>
    <cellStyle name="Migliaia 28 4 2 7" xfId="24637" xr:uid="{73F2023C-22B7-4ED9-A15C-6F45F9C1AC0C}"/>
    <cellStyle name="Migliaia 28 4 2 8" xfId="8604" xr:uid="{99F1C8C0-3EDA-43DD-9B80-8E2CE4A437DD}"/>
    <cellStyle name="Migliaia 28 4 3" xfId="5160" xr:uid="{E7DFEBAC-40D2-41FE-BF31-6119C4210EB4}"/>
    <cellStyle name="Migliaia 28 4 3 2" xfId="18203" xr:uid="{C74BD3E6-937D-4F7B-BF7F-A4DEBB57E0C9}"/>
    <cellStyle name="Migliaia 28 4 3 2 2" xfId="39104" xr:uid="{D4FB547A-776C-48E5-BC4B-4DA3D1B51145}"/>
    <cellStyle name="Migliaia 28 4 3 2 3" xfId="44406" xr:uid="{7B5747A5-34DB-456B-857C-46E548B143A4}"/>
    <cellStyle name="Migliaia 28 4 3 3" xfId="36558" xr:uid="{29CF446C-2AD8-4C0C-8B55-E3A00F81090F}"/>
    <cellStyle name="Migliaia 28 4 3 4" xfId="41755" xr:uid="{186F5C97-CC1B-4682-8F23-06968AB49C4A}"/>
    <cellStyle name="Migliaia 28 4 3 5" xfId="17365" xr:uid="{29DD17DE-1A99-4C04-955A-77798140D044}"/>
    <cellStyle name="Migliaia 28 4 3 6" xfId="9149" xr:uid="{6C0254E8-F416-4114-937A-AD62FEBF1A69}"/>
    <cellStyle name="Migliaia 28 4 4" xfId="6364" xr:uid="{471E6FA1-231E-4DF2-B4A6-44CCC9D652CB}"/>
    <cellStyle name="Migliaia 28 4 4 2" xfId="33631" xr:uid="{C8A52578-FF0E-439E-BADF-F4C75FBE609B}"/>
    <cellStyle name="Migliaia 28 4 4 2 2" xfId="39105" xr:uid="{39A82B29-865A-44C1-B258-5D73DF5D9D29}"/>
    <cellStyle name="Migliaia 28 4 4 2 3" xfId="44407" xr:uid="{7E97C8FF-2EE6-4AED-96C8-A5632BA41B81}"/>
    <cellStyle name="Migliaia 28 4 4 3" xfId="36559" xr:uid="{C8F04E0B-9FFC-4278-9B00-C7850694524E}"/>
    <cellStyle name="Migliaia 28 4 4 4" xfId="41756" xr:uid="{DA8358A7-1891-4AB9-8155-E29187FBFB65}"/>
    <cellStyle name="Migliaia 28 4 4 5" xfId="11970" xr:uid="{1B7CE700-E64E-46F4-8FDA-C8CC95C955A9}"/>
    <cellStyle name="Migliaia 28 4 5" xfId="3434" xr:uid="{E707790E-9AF9-49CD-9964-09B98DBF8619}"/>
    <cellStyle name="Migliaia 28 4 5 2" xfId="33632" xr:uid="{07FA137A-E272-4632-9BC5-40BFD649D092}"/>
    <cellStyle name="Migliaia 28 4 5 2 2" xfId="39106" xr:uid="{51931EE5-E397-4063-87D3-D08C75DAA7AA}"/>
    <cellStyle name="Migliaia 28 4 5 2 3" xfId="44408" xr:uid="{7385FBD8-4645-4DB5-8C44-23FC99EDAA8D}"/>
    <cellStyle name="Migliaia 28 4 5 3" xfId="36560" xr:uid="{370A7395-C2F5-4625-AE0F-1C558B5A1260}"/>
    <cellStyle name="Migliaia 28 4 5 4" xfId="41757" xr:uid="{CF7AB81D-FB60-4273-A908-EBD3FB547360}"/>
    <cellStyle name="Migliaia 28 4 5 5" xfId="11317" xr:uid="{CE36D9C2-F46B-4C32-8324-C3DFAEA62476}"/>
    <cellStyle name="Migliaia 28 4 6" xfId="10835" xr:uid="{CEBBC53D-C78A-47F6-829A-1DF80C8806A8}"/>
    <cellStyle name="Migliaia 28 4 6 2" xfId="21470" xr:uid="{F403EA29-EBBC-4CA3-A1B9-1601C46451A6}"/>
    <cellStyle name="Migliaia 28 4 6 2 2" xfId="39107" xr:uid="{E78E427C-56A3-4482-8265-BFF831C2964D}"/>
    <cellStyle name="Migliaia 28 4 6 2 3" xfId="44409" xr:uid="{4AE1FC0E-52B0-4D77-A89A-1890DDAE5112}"/>
    <cellStyle name="Migliaia 28 4 6 2 4" xfId="33633" xr:uid="{50770B51-E8FF-47AA-A8F8-5487C515E427}"/>
    <cellStyle name="Migliaia 28 4 6 3" xfId="36561" xr:uid="{C9DEFE79-32E4-4F54-B3B2-53FEE9875684}"/>
    <cellStyle name="Migliaia 28 4 6 4" xfId="41758" xr:uid="{3F40B2DD-9173-4330-A29C-381D7D021A24}"/>
    <cellStyle name="Migliaia 28 4 6 5" xfId="24638" xr:uid="{AC63F5EB-ED05-4FFD-A3C6-6974195413EF}"/>
    <cellStyle name="Migliaia 28 4 6 6" xfId="46231" xr:uid="{49F28E48-5AD8-4A40-AE8C-0E49A22BFE28}"/>
    <cellStyle name="Migliaia 28 4 6 7" xfId="50485" xr:uid="{43D3D063-B93C-4F01-BCCB-0DE176CB479E}"/>
    <cellStyle name="Migliaia 28 4 6 8" xfId="53501" xr:uid="{F57C987A-79C4-415D-97AE-C9D1404595E2}"/>
    <cellStyle name="Migliaia 28 4 7" xfId="20271" xr:uid="{8D110CE6-023C-4B41-87C2-A0A03347DF49}"/>
    <cellStyle name="Migliaia 28 4 7 2" xfId="33634" xr:uid="{1658B860-2090-4291-ABD5-70648ECBB0A4}"/>
    <cellStyle name="Migliaia 28 4 7 2 2" xfId="39108" xr:uid="{0701C5BA-0046-45D5-9CD4-ECD250744FC1}"/>
    <cellStyle name="Migliaia 28 4 7 2 3" xfId="44410" xr:uid="{ED88E67D-7FA2-427E-9019-F3D37139BB6A}"/>
    <cellStyle name="Migliaia 28 4 7 3" xfId="36562" xr:uid="{1CFCBB04-0023-4AB1-AEFA-647760B65717}"/>
    <cellStyle name="Migliaia 28 4 7 4" xfId="41759" xr:uid="{E6BC5733-CFEF-46B4-8588-AC7285D28E6B}"/>
    <cellStyle name="Migliaia 28 4 7 5" xfId="24639" xr:uid="{7957FBB3-4041-4AA8-A0E5-2C8C612E653F}"/>
    <cellStyle name="Migliaia 28 4 8" xfId="24636" xr:uid="{0F870787-FAEC-4481-919A-ABDDE458EB73}"/>
    <cellStyle name="Migliaia 28 4 9" xfId="7414" xr:uid="{4FCD7967-763B-4C79-BB9C-4AFB9B73E1FC}"/>
    <cellStyle name="Migliaia 28 5" xfId="1760" xr:uid="{00000000-0005-0000-0000-00007B030000}"/>
    <cellStyle name="Migliaia 28 5 2" xfId="5162" xr:uid="{159B6233-F3A4-4AC2-B2B9-82E43BC6EBD3}"/>
    <cellStyle name="Migliaia 28 5 2 2" xfId="18424" xr:uid="{6DD5C5EB-A752-412F-A738-B15C146FBAEA}"/>
    <cellStyle name="Migliaia 28 5 2 2 2" xfId="39109" xr:uid="{45270A57-6187-41AD-97D8-6AC3D15CF1A0}"/>
    <cellStyle name="Migliaia 28 5 2 2 3" xfId="44411" xr:uid="{F054DA8F-F611-430E-9FE2-E78D9D26239D}"/>
    <cellStyle name="Migliaia 28 5 2 3" xfId="20274" xr:uid="{46E4A2FA-3585-42FA-9BD0-349C34436273}"/>
    <cellStyle name="Migliaia 28 5 2 3 2" xfId="36563" xr:uid="{A7FC400F-6D84-4286-BB07-B4AAE49B82CE}"/>
    <cellStyle name="Migliaia 28 5 2 4" xfId="41760" xr:uid="{DD4E1B6E-79C0-4D97-A8F0-421CB30D3A9F}"/>
    <cellStyle name="Migliaia 28 5 2 5" xfId="16326" xr:uid="{44E9D5DE-5045-4CC0-98F9-18A1C43BEA3E}"/>
    <cellStyle name="Migliaia 28 5 2 6" xfId="8605" xr:uid="{63078F41-4E1A-4A70-8E76-A9A2EB6194E3}"/>
    <cellStyle name="Migliaia 28 5 3" xfId="6365" xr:uid="{66D2C73A-3598-4705-B011-2ECFB47ED849}"/>
    <cellStyle name="Migliaia 28 5 3 2" xfId="33635" xr:uid="{F59804CE-51EC-4BAB-AB74-EF775A417513}"/>
    <cellStyle name="Migliaia 28 5 3 2 2" xfId="39110" xr:uid="{33753813-AC27-418C-86C5-11FBB516AFDD}"/>
    <cellStyle name="Migliaia 28 5 3 2 3" xfId="44412" xr:uid="{59BF4D32-ED53-4B31-8BBE-6E28DE694DC5}"/>
    <cellStyle name="Migliaia 28 5 3 3" xfId="36564" xr:uid="{47674640-D27F-412B-A051-730392CBDE2F}"/>
    <cellStyle name="Migliaia 28 5 3 4" xfId="41761" xr:uid="{516DA9FB-9D22-44A0-92BE-6358096EB504}"/>
    <cellStyle name="Migliaia 28 5 3 5" xfId="11319" xr:uid="{FDDBFDA2-86BB-446C-B873-1A28194B5F1F}"/>
    <cellStyle name="Migliaia 28 5 4" xfId="3436" xr:uid="{9862C6D9-26FC-4A16-A5E1-9E9E771AA485}"/>
    <cellStyle name="Migliaia 28 5 4 2" xfId="21472" xr:uid="{3374E63D-EFC9-40AC-9D6D-80B89E89B102}"/>
    <cellStyle name="Migliaia 28 5 4 2 2" xfId="39111" xr:uid="{30E7845E-3A40-45AE-9350-D706E02CA0F0}"/>
    <cellStyle name="Migliaia 28 5 4 2 3" xfId="44413" xr:uid="{CF210591-F16F-4FE7-BAEF-D83EDCD93170}"/>
    <cellStyle name="Migliaia 28 5 4 2 4" xfId="33636" xr:uid="{047F3D71-A434-49C3-958F-F7ABD468065F}"/>
    <cellStyle name="Migliaia 28 5 4 3" xfId="36565" xr:uid="{73BC6137-68DB-417D-872C-ED9B72B4CAEB}"/>
    <cellStyle name="Migliaia 28 5 4 4" xfId="41762" xr:uid="{2A987050-1A0C-4D09-ABF7-3B5644C7C8CE}"/>
    <cellStyle name="Migliaia 28 5 4 5" xfId="24641" xr:uid="{9BEF5764-B049-4D15-9C2A-284D377A1A0C}"/>
    <cellStyle name="Migliaia 28 5 4 6" xfId="46232" xr:uid="{55EEF0BE-CF4D-4E05-8CFA-81198934FAC4}"/>
    <cellStyle name="Migliaia 28 5 4 7" xfId="50487" xr:uid="{AA9DC4A0-2078-4D8B-B01D-E95918CFFFA7}"/>
    <cellStyle name="Migliaia 28 5 4 8" xfId="53503" xr:uid="{F09BB8E4-6710-49BF-A3F8-F43F0CBAF0C5}"/>
    <cellStyle name="Migliaia 28 5 4 9" xfId="10837" xr:uid="{8492404C-2FDA-462F-A0E3-481FC1D50B89}"/>
    <cellStyle name="Migliaia 28 5 5" xfId="20273" xr:uid="{CB5EB40C-780F-4180-A933-C639A7C1203B}"/>
    <cellStyle name="Migliaia 28 5 5 2" xfId="33637" xr:uid="{2DC821C7-B9D3-4868-829A-F12B69A3E423}"/>
    <cellStyle name="Migliaia 28 5 5 2 2" xfId="39112" xr:uid="{D442CA0C-DFCF-4561-A786-31506FD27A51}"/>
    <cellStyle name="Migliaia 28 5 5 2 3" xfId="44414" xr:uid="{B3FB58ED-83D6-4FDF-99F5-78123880A6DA}"/>
    <cellStyle name="Migliaia 28 5 5 3" xfId="36566" xr:uid="{86818538-BDC9-45A7-842D-E5A17085D1BA}"/>
    <cellStyle name="Migliaia 28 5 5 4" xfId="41763" xr:uid="{0367692E-B459-4D1D-B0AF-94AB441C036A}"/>
    <cellStyle name="Migliaia 28 5 5 5" xfId="24642" xr:uid="{4D778640-BEFC-4E67-B16B-7809EA17A7DD}"/>
    <cellStyle name="Migliaia 28 5 6" xfId="24643" xr:uid="{3A374284-9FF1-4FE7-B83E-A65F667E28A9}"/>
    <cellStyle name="Migliaia 28 5 6 2" xfId="33638" xr:uid="{807EAAB8-4B6C-4795-888F-8E8A272EBCF0}"/>
    <cellStyle name="Migliaia 28 5 6 2 2" xfId="39113" xr:uid="{C0937BDA-1EE9-4BBD-8341-925CD38B7770}"/>
    <cellStyle name="Migliaia 28 5 6 2 3" xfId="44415" xr:uid="{A89F6FAF-547F-45FB-B2D6-8FD02D890E7A}"/>
    <cellStyle name="Migliaia 28 5 6 3" xfId="36567" xr:uid="{4EA6BA91-EABB-4F1F-AB04-6DBDC4407246}"/>
    <cellStyle name="Migliaia 28 5 6 4" xfId="41764" xr:uid="{42562AE3-F4E1-48D9-BC4B-1552B130A68C}"/>
    <cellStyle name="Migliaia 28 5 7" xfId="24640" xr:uid="{F3F0809B-A029-4CF4-BCFB-1D67A26B9E2D}"/>
    <cellStyle name="Migliaia 28 5 8" xfId="7415" xr:uid="{DC640159-CD2D-4A70-A81C-9BEF57F6D7AD}"/>
    <cellStyle name="Migliaia 28 6" xfId="3437" xr:uid="{0B252726-4FFE-4BD2-B9F7-C38FF6956C6F}"/>
    <cellStyle name="Migliaia 28 6 2" xfId="5163" xr:uid="{260DCE48-607C-4AF1-8AB2-31EC4F330DE3}"/>
    <cellStyle name="Migliaia 28 6 2 2" xfId="9921" xr:uid="{AF8308AC-4E11-4B6D-9F8D-F36B438D75DA}"/>
    <cellStyle name="Migliaia 28 6 2 3" xfId="18660" xr:uid="{4F0A6E55-18BC-401A-9857-B0F7564EF78C}"/>
    <cellStyle name="Migliaia 28 6 2 4" xfId="20276" xr:uid="{258E18EA-0CDD-4CC2-92E6-61910191E75D}"/>
    <cellStyle name="Migliaia 28 6 2 5" xfId="32356" xr:uid="{843A6899-52C5-4386-A405-229EB45C8C0F}"/>
    <cellStyle name="Migliaia 28 6 2 6" xfId="16328" xr:uid="{B27FEC98-14FD-4A29-BDF2-1BBF1DD4C2C3}"/>
    <cellStyle name="Migliaia 28 6 2 7" xfId="8600" xr:uid="{6EC84BAB-588F-4847-B7F2-ECCDF40D9483}"/>
    <cellStyle name="Migliaia 28 6 3" xfId="6366" xr:uid="{A7C5DBCA-945C-45B7-8C1C-30797BDA0B80}"/>
    <cellStyle name="Migliaia 28 6 3 2" xfId="35267" xr:uid="{AFB05CF2-F82D-4FDD-A648-9E645125D905}"/>
    <cellStyle name="Migliaia 28 6 3 2 2" xfId="40427" xr:uid="{21FD38D6-2C5F-46E2-B776-27501AEF4E50}"/>
    <cellStyle name="Migliaia 28 6 3 2 3" xfId="45729" xr:uid="{3C7452CD-319F-4E7C-812E-77F6D4B0B34C}"/>
    <cellStyle name="Migliaia 28 6 3 3" xfId="37776" xr:uid="{85C2DA3C-3F29-498B-B189-54CCB49EFB43}"/>
    <cellStyle name="Migliaia 28 6 3 4" xfId="43078" xr:uid="{97F88C23-8EBB-4DE1-9D37-D63AFB926C0A}"/>
    <cellStyle name="Migliaia 28 6 3 5" xfId="9684" xr:uid="{84ADE56D-E7E6-4478-B14E-D95AE69CBDD8}"/>
    <cellStyle name="Migliaia 28 6 4" xfId="20275" xr:uid="{6EE7A360-F5C8-40FE-90DA-1423447B2ED3}"/>
    <cellStyle name="Migliaia 28 6 4 2" xfId="39114" xr:uid="{8832A743-852A-4EB7-9D65-9405B9EF1715}"/>
    <cellStyle name="Migliaia 28 6 4 3" xfId="44416" xr:uid="{BEB3A18F-BA54-45E0-91B1-A448402CCA70}"/>
    <cellStyle name="Migliaia 28 6 4 4" xfId="33639" xr:uid="{F2C44561-C0F7-4684-AD3B-E3F27CFABC8D}"/>
    <cellStyle name="Migliaia 28 6 5" xfId="36568" xr:uid="{AAB77A4A-F964-4A1E-8293-ED9E81D51A21}"/>
    <cellStyle name="Migliaia 28 6 6" xfId="41765" xr:uid="{6B478CF6-8C0A-4572-A32B-07A42E36A880}"/>
    <cellStyle name="Migliaia 28 6 7" xfId="16327" xr:uid="{F8B6DF00-2FBE-4E2C-88C0-BE20E2FF4B1B}"/>
    <cellStyle name="Migliaia 28 6 8" xfId="7410" xr:uid="{913B1337-0E36-4C8F-8A9D-D56470F1A932}"/>
    <cellStyle name="Migliaia 28 7" xfId="3438" xr:uid="{E586C898-F704-4512-8ADF-2754E7957DCA}"/>
    <cellStyle name="Migliaia 28 7 2" xfId="5164" xr:uid="{F7BB5906-BE64-425B-B9A9-538DDF2A2CC4}"/>
    <cellStyle name="Migliaia 28 7 2 2" xfId="35268" xr:uid="{FC262777-9134-484E-B65E-61B908A4D522}"/>
    <cellStyle name="Migliaia 28 7 2 2 2" xfId="40428" xr:uid="{76206A6C-D848-4D6F-801B-A0C1C6F7C68B}"/>
    <cellStyle name="Migliaia 28 7 2 2 3" xfId="45730" xr:uid="{EA483AFB-F782-447D-A496-E0B3404289D4}"/>
    <cellStyle name="Migliaia 28 7 2 3" xfId="37777" xr:uid="{446C8916-86FF-4822-A344-84BBFBAC7CAE}"/>
    <cellStyle name="Migliaia 28 7 2 4" xfId="43079" xr:uid="{EFA56256-C65F-4DB8-AAEB-AE605D238EF5}"/>
    <cellStyle name="Migliaia 28 7 2 5" xfId="14239" xr:uid="{92D7CBFA-74D0-49D4-ABA0-CF41229210AC}"/>
    <cellStyle name="Migliaia 28 7 3" xfId="6367" xr:uid="{FC5658A9-E5FB-4C63-8E3B-81AA64AB1901}"/>
    <cellStyle name="Migliaia 28 7 3 2" xfId="39115" xr:uid="{AA8DBD82-9A12-465F-84A2-1BB54E207375}"/>
    <cellStyle name="Migliaia 28 7 3 3" xfId="44417" xr:uid="{F207C572-D239-46CA-AE51-E9460FFD551D}"/>
    <cellStyle name="Migliaia 28 7 3 4" xfId="33640" xr:uid="{4CA487D7-39BF-4084-AFDD-001967947AEB}"/>
    <cellStyle name="Migliaia 28 7 3 5" xfId="20277" xr:uid="{0CEF377F-B63C-4554-8033-595060C6E462}"/>
    <cellStyle name="Migliaia 28 7 4" xfId="36569" xr:uid="{75561376-AA6C-490F-8405-A18305A03A79}"/>
    <cellStyle name="Migliaia 28 7 5" xfId="41766" xr:uid="{A5D2CF0D-059D-45B4-B761-AC7898AB1E6F}"/>
    <cellStyle name="Migliaia 28 7 6" xfId="16329" xr:uid="{16948469-C8EF-497B-8801-E4370A8192D4}"/>
    <cellStyle name="Migliaia 28 7 7" xfId="8301" xr:uid="{071EF5A6-D5E1-40A8-85BF-DD22C52480E4}"/>
    <cellStyle name="Migliaia 28 8" xfId="3439" xr:uid="{EA94CA0F-F80D-4FE6-BA4C-5382D0870314}"/>
    <cellStyle name="Migliaia 28 8 2" xfId="5165" xr:uid="{18818B8F-AFCC-4B84-84D8-D636A8854EF6}"/>
    <cellStyle name="Migliaia 28 8 2 2" xfId="35269" xr:uid="{87EFF0FA-923F-4DA1-96FA-C9756F30DD61}"/>
    <cellStyle name="Migliaia 28 8 2 2 2" xfId="40429" xr:uid="{D4904BC6-FDBE-4828-882F-86531EC1F69A}"/>
    <cellStyle name="Migliaia 28 8 2 2 3" xfId="45731" xr:uid="{95E71241-4AD1-406E-BAB7-BD60BC0A8DE7}"/>
    <cellStyle name="Migliaia 28 8 2 3" xfId="37778" xr:uid="{63F9E1CC-688E-4CC6-B4D3-C360194EAFF4}"/>
    <cellStyle name="Migliaia 28 8 2 4" xfId="43080" xr:uid="{A8DDD76F-1170-49E0-AFB2-9ADF7C5F904C}"/>
    <cellStyle name="Migliaia 28 8 2 5" xfId="13944" xr:uid="{3A9706CB-6A99-41B8-A281-A3447769D4E1}"/>
    <cellStyle name="Migliaia 28 8 3" xfId="6368" xr:uid="{AC245DBD-9946-47A6-A9FC-E449DCBE4FA6}"/>
    <cellStyle name="Migliaia 28 8 3 2" xfId="39116" xr:uid="{C17C02EA-F3C6-4BE3-B1B9-500F8A48448A}"/>
    <cellStyle name="Migliaia 28 8 3 3" xfId="44418" xr:uid="{81714F90-6631-4CC0-8A9B-1D1576FA8379}"/>
    <cellStyle name="Migliaia 28 8 3 4" xfId="33641" xr:uid="{1E916B1F-A8F5-44CE-A2AD-2440CBCDEC35}"/>
    <cellStyle name="Migliaia 28 8 3 5" xfId="20278" xr:uid="{886A39BB-AAB8-44A0-9D54-28CA0A1F868E}"/>
    <cellStyle name="Migliaia 28 8 4" xfId="36570" xr:uid="{C3D845BD-BB9E-4EB1-969E-539AD1032B59}"/>
    <cellStyle name="Migliaia 28 8 5" xfId="41767" xr:uid="{227737E2-8735-479E-8B88-CA8A7AB639DB}"/>
    <cellStyle name="Migliaia 28 8 6" xfId="16330" xr:uid="{D8293199-1AB2-4E4E-982C-BF68A5DE37E1}"/>
    <cellStyle name="Migliaia 28 8 7" xfId="7902" xr:uid="{21F5C28E-E3E2-4752-AF51-BC3EF0BC2DF8}"/>
    <cellStyle name="Migliaia 28 9" xfId="5150" xr:uid="{60F55851-CEE8-4CEA-995B-9ED9E9D9DF37}"/>
    <cellStyle name="Migliaia 28 9 2" xfId="33642" xr:uid="{FF430C82-033A-4E58-A0E4-29988CB83564}"/>
    <cellStyle name="Migliaia 28 9 2 2" xfId="39117" xr:uid="{0DD07799-EDBE-44A2-B98F-71E34ACFD3AE}"/>
    <cellStyle name="Migliaia 28 9 2 3" xfId="44419" xr:uid="{55030E06-B36F-4841-984E-E89E5A36A2DA}"/>
    <cellStyle name="Migliaia 28 9 3" xfId="36571" xr:uid="{CB6D3669-0178-45DE-88EC-3CB6B47F13A2}"/>
    <cellStyle name="Migliaia 28 9 4" xfId="41768" xr:uid="{054BAE4F-2782-46F4-AF2A-5922F19FF93E}"/>
    <cellStyle name="Migliaia 28 9 5" xfId="17175" xr:uid="{45CE4B4F-70EE-40AF-8D29-60275A43590E}"/>
    <cellStyle name="Migliaia 29" xfId="385" xr:uid="{00000000-0005-0000-0000-00007C030000}"/>
    <cellStyle name="Migliaia 29 10" xfId="6369" xr:uid="{5DA572B4-37A2-419F-909A-9740D3FFDFF1}"/>
    <cellStyle name="Migliaia 29 10 2" xfId="39118" xr:uid="{ED1439F3-EF77-4BEF-BF82-7316E217B195}"/>
    <cellStyle name="Migliaia 29 10 3" xfId="44420" xr:uid="{6B82EFE2-36F5-4DC3-A463-DD94724A420C}"/>
    <cellStyle name="Migliaia 29 10 4" xfId="33643" xr:uid="{91399971-ACD9-483E-8F3A-31CB7D6467E5}"/>
    <cellStyle name="Migliaia 29 10 5" xfId="20279" xr:uid="{EF4FEC3E-3B34-4A46-BE2F-0D7EC83F3626}"/>
    <cellStyle name="Migliaia 29 11" xfId="3440" xr:uid="{2B5290CE-086D-48E5-96B3-E03E106FCE0F}"/>
    <cellStyle name="Migliaia 29 11 2" xfId="36572" xr:uid="{E7D83DC3-9B1E-4E46-A939-52D9EE91AE4F}"/>
    <cellStyle name="Migliaia 29 12" xfId="41769" xr:uid="{A36C63C0-CCB2-4017-8F5C-5142E17723C3}"/>
    <cellStyle name="Migliaia 29 13" xfId="7105" xr:uid="{48C0B92C-0D99-45BB-A67E-A94F4CE4C968}"/>
    <cellStyle name="Migliaia 29 2" xfId="386" xr:uid="{00000000-0005-0000-0000-00007D030000}"/>
    <cellStyle name="Migliaia 29 2 2" xfId="1761" xr:uid="{00000000-0005-0000-0000-00007E030000}"/>
    <cellStyle name="Migliaia 29 2 2 2" xfId="5168" xr:uid="{890A2F55-40A0-4084-84BC-AE815A7870AC}"/>
    <cellStyle name="Migliaia 29 2 2 2 2" xfId="14384" xr:uid="{A51D738D-ED44-4F2B-90BA-72CF5FA87C8A}"/>
    <cellStyle name="Migliaia 29 2 2 2 2 2" xfId="39119" xr:uid="{E8B10F79-06A7-4E34-9BF2-3151DE8279AC}"/>
    <cellStyle name="Migliaia 29 2 2 2 2 3" xfId="44421" xr:uid="{61688823-C05D-4AF4-A174-61236C38DE9F}"/>
    <cellStyle name="Migliaia 29 2 2 2 3" xfId="18425" xr:uid="{4744A27A-061A-4CBC-9E23-7C5D8532911D}"/>
    <cellStyle name="Migliaia 29 2 2 2 4" xfId="20282" xr:uid="{17CDBBD1-E441-41D1-B69D-397469D9CAED}"/>
    <cellStyle name="Migliaia 29 2 2 2 4 2" xfId="41770" xr:uid="{A014141C-0F02-456A-B47D-6ABF5C37CFD3}"/>
    <cellStyle name="Migliaia 29 2 2 2 5" xfId="16331" xr:uid="{3942A991-F20E-4AEE-8896-D8A7B1F2C7A7}"/>
    <cellStyle name="Migliaia 29 2 2 2 6" xfId="8607" xr:uid="{53AD4EB4-E2E0-4A4C-82BD-4CD02E347CD1}"/>
    <cellStyle name="Migliaia 29 2 2 3" xfId="6371" xr:uid="{61F5FD64-74DE-4232-9662-FD77E7687E51}"/>
    <cellStyle name="Migliaia 29 2 2 3 2" xfId="35270" xr:uid="{A090C052-F46E-4E30-8EDC-A479D59E1D1A}"/>
    <cellStyle name="Migliaia 29 2 2 3 2 2" xfId="40430" xr:uid="{F6549988-EE22-4FE0-9B9E-C3FB0BC4543B}"/>
    <cellStyle name="Migliaia 29 2 2 3 2 3" xfId="45732" xr:uid="{F05E7F43-4505-4413-8F4A-89A57AA6F472}"/>
    <cellStyle name="Migliaia 29 2 2 3 3" xfId="37779" xr:uid="{6DAD7FF1-588E-4BC8-80F0-D4F718B73B40}"/>
    <cellStyle name="Migliaia 29 2 2 3 4" xfId="43081" xr:uid="{D8A14051-D25B-41A3-87E6-4A2596AB9176}"/>
    <cellStyle name="Migliaia 29 2 2 3 5" xfId="11611" xr:uid="{1738730E-B0EF-4E91-A985-C5643E5ACA7F}"/>
    <cellStyle name="Migliaia 29 2 2 4" xfId="3442" xr:uid="{A06B0D5B-17B8-41D6-8EC2-31549F026093}"/>
    <cellStyle name="Migliaia 29 2 2 4 2" xfId="21473" xr:uid="{13C1C232-CD75-43B2-AA20-BB1A5CC1835A}"/>
    <cellStyle name="Migliaia 29 2 2 4 3" xfId="47304" xr:uid="{641CBABD-5986-4BA5-BD53-205776D85863}"/>
    <cellStyle name="Migliaia 29 2 2 4 4" xfId="50488" xr:uid="{AB04A36A-FF9A-44FE-AA30-5F7D35EA2199}"/>
    <cellStyle name="Migliaia 29 2 2 4 5" xfId="53504" xr:uid="{A2CCEF75-6BAA-4CFE-B501-38DBBAC0075E}"/>
    <cellStyle name="Migliaia 29 2 2 4 6" xfId="10838" xr:uid="{AACA91C2-80CA-4F14-BF82-AD7C8A87BBCD}"/>
    <cellStyle name="Migliaia 29 2 2 5" xfId="20281" xr:uid="{C5BAAE18-EA8F-410E-B4DC-F8CA2B10E768}"/>
    <cellStyle name="Migliaia 29 2 2 6" xfId="24649" xr:uid="{4F6EDFE2-7FC8-4FAB-8B37-3E56E9BA30A4}"/>
    <cellStyle name="Migliaia 29 2 2 7" xfId="7417" xr:uid="{61113212-4377-4F31-80C7-DBC15998D41F}"/>
    <cellStyle name="Migliaia 29 2 3" xfId="3443" xr:uid="{51EFBF20-25F8-4D37-B3EA-744C7A1EE731}"/>
    <cellStyle name="Migliaia 29 2 3 2" xfId="5169" xr:uid="{FE5826B0-34AB-4310-83CE-80A19397918C}"/>
    <cellStyle name="Migliaia 29 2 3 2 2" xfId="35271" xr:uid="{D70D9AE4-9357-46A5-A6C7-B12FD4B55CCB}"/>
    <cellStyle name="Migliaia 29 2 3 2 2 2" xfId="40431" xr:uid="{4C99124B-30DF-4115-B101-60C38816E41B}"/>
    <cellStyle name="Migliaia 29 2 3 2 2 3" xfId="45733" xr:uid="{1BEF036D-87F7-442A-8D8F-76C67EF1C27C}"/>
    <cellStyle name="Migliaia 29 2 3 2 3" xfId="37780" xr:uid="{4A6B50AD-3AB3-48BB-ADCE-10E3B8535786}"/>
    <cellStyle name="Migliaia 29 2 3 2 4" xfId="43082" xr:uid="{1D4FC9E2-ED67-49C4-8697-AA920E806765}"/>
    <cellStyle name="Migliaia 29 2 3 2 5" xfId="14243" xr:uid="{E4EB266F-6653-4E88-B4A7-CEF8CBC550DE}"/>
    <cellStyle name="Migliaia 29 2 3 3" xfId="6372" xr:uid="{2E3B0C0C-7F19-4A81-8B92-0A0B984FC20E}"/>
    <cellStyle name="Migliaia 29 2 3 3 2" xfId="39120" xr:uid="{76406725-38DE-4E2C-932C-BED88D4E0A48}"/>
    <cellStyle name="Migliaia 29 2 3 3 3" xfId="44422" xr:uid="{E96F551A-BEFA-4334-AF83-41329F079C68}"/>
    <cellStyle name="Migliaia 29 2 3 3 4" xfId="33645" xr:uid="{1959B196-2FBB-44EF-BC7D-B1A1A9B60346}"/>
    <cellStyle name="Migliaia 29 2 3 3 5" xfId="20283" xr:uid="{41F4AD3C-ECD3-4086-8BCE-F832D4AA4165}"/>
    <cellStyle name="Migliaia 29 2 3 4" xfId="36574" xr:uid="{A8702349-E472-42ED-BA88-0BA292CB9C73}"/>
    <cellStyle name="Migliaia 29 2 3 5" xfId="41771" xr:uid="{88CBB353-473F-4F43-B730-1D6FDC82B493}"/>
    <cellStyle name="Migliaia 29 2 3 6" xfId="16332" xr:uid="{008C6A8A-4626-479A-A8C2-B207FA2B0FB6}"/>
    <cellStyle name="Migliaia 29 2 3 7" xfId="8305" xr:uid="{AFECF113-315D-4C2C-8234-07F97807C76D}"/>
    <cellStyle name="Migliaia 29 2 4" xfId="5167" xr:uid="{734F62F9-20AA-47C7-ADD6-3768B2027D09}"/>
    <cellStyle name="Migliaia 29 2 4 2" xfId="13948" xr:uid="{88063174-73D9-45AD-877D-27B68A935E82}"/>
    <cellStyle name="Migliaia 29 2 4 2 2" xfId="39121" xr:uid="{F6923A83-7E6B-433F-8C95-758C93DEC335}"/>
    <cellStyle name="Migliaia 29 2 4 2 3" xfId="44423" xr:uid="{94902E1E-56DE-42BD-982F-E832A303A090}"/>
    <cellStyle name="Migliaia 29 2 4 3" xfId="18713" xr:uid="{FABD78FF-EB97-4106-BE70-E05669BF16AE}"/>
    <cellStyle name="Migliaia 29 2 4 4" xfId="20284" xr:uid="{3EC99A73-983E-4709-870A-F2DA6E8C769B}"/>
    <cellStyle name="Migliaia 29 2 4 4 2" xfId="41772" xr:uid="{FD0D5878-391D-46F6-8851-9E1187EBFBDF}"/>
    <cellStyle name="Migliaia 29 2 4 5" xfId="16333" xr:uid="{3921215E-7B62-4888-8023-509E345E0268}"/>
    <cellStyle name="Migliaia 29 2 4 6" xfId="7907" xr:uid="{7EA2DD91-5100-4BD2-8FFC-D767639E05F2}"/>
    <cellStyle name="Migliaia 29 2 5" xfId="6370" xr:uid="{D95A097B-4DF8-47E9-B31E-9E180421288F}"/>
    <cellStyle name="Migliaia 29 2 5 2" xfId="33647" xr:uid="{872A797D-2496-4F52-B7AF-11C37765AFB1}"/>
    <cellStyle name="Migliaia 29 2 5 2 2" xfId="39122" xr:uid="{18B8B0D4-A1BE-4AD0-8E0B-ACD904CC5C0F}"/>
    <cellStyle name="Migliaia 29 2 5 2 3" xfId="44424" xr:uid="{4B9E969B-D70F-4255-ADEB-E8788B97C1E6}"/>
    <cellStyle name="Migliaia 29 2 5 3" xfId="36576" xr:uid="{9898E74D-3CD6-428E-A890-7800E3CEDD16}"/>
    <cellStyle name="Migliaia 29 2 5 4" xfId="41773" xr:uid="{9768E69E-E436-4976-8126-D1934E57B02D}"/>
    <cellStyle name="Migliaia 29 2 5 5" xfId="13124" xr:uid="{09A4C1F6-07AF-43BF-A88F-8E73E28C0547}"/>
    <cellStyle name="Migliaia 29 2 6" xfId="3441" xr:uid="{DB0BAA3D-BF31-4143-8ED5-D9930494DAEC}"/>
    <cellStyle name="Migliaia 29 2 6 2" xfId="33648" xr:uid="{CC420300-E58B-4978-8DFA-AFC6EDCE8E2E}"/>
    <cellStyle name="Migliaia 29 2 6 2 2" xfId="39123" xr:uid="{4480853C-D4E9-4BC4-B8DE-078D0E221897}"/>
    <cellStyle name="Migliaia 29 2 6 2 3" xfId="44425" xr:uid="{3471F18F-AD41-4B04-BCDE-4A3D27D46E1C}"/>
    <cellStyle name="Migliaia 29 2 6 3" xfId="36577" xr:uid="{49A34BB4-CF7C-4536-821D-E212ED9EF3FA}"/>
    <cellStyle name="Migliaia 29 2 6 4" xfId="41774" xr:uid="{6A9A396F-4AE7-47F1-A8E5-175115EC9401}"/>
    <cellStyle name="Migliaia 29 2 6 5" xfId="24654" xr:uid="{8E1CDE09-A601-415A-8127-B621D493977E}"/>
    <cellStyle name="Migliaia 29 2 6 6" xfId="20280" xr:uid="{A840B898-F43B-4CDA-863D-74350FBD4F05}"/>
    <cellStyle name="Migliaia 29 2 7" xfId="24648" xr:uid="{6DD29526-4BF2-4D0D-85D3-DB1FC46DE762}"/>
    <cellStyle name="Migliaia 29 2 8" xfId="7106" xr:uid="{4FE5ADB3-14E5-4A23-956E-F07482A38076}"/>
    <cellStyle name="Migliaia 29 3" xfId="387" xr:uid="{00000000-0005-0000-0000-00007F030000}"/>
    <cellStyle name="Migliaia 29 3 10" xfId="24655" xr:uid="{42073B73-6203-4A1B-BEA9-70C21A1E756A}"/>
    <cellStyle name="Migliaia 29 3 11" xfId="16334" xr:uid="{1A0186E6-D2AD-4F05-9534-D004BBA68C5C}"/>
    <cellStyle name="Migliaia 29 3 12" xfId="7107" xr:uid="{C1D19B5C-7BAC-475D-A6D8-948CDC4AB809}"/>
    <cellStyle name="Migliaia 29 3 2" xfId="388" xr:uid="{00000000-0005-0000-0000-000080030000}"/>
    <cellStyle name="Migliaia 29 3 2 2" xfId="1762" xr:uid="{00000000-0005-0000-0000-000081030000}"/>
    <cellStyle name="Migliaia 29 3 2 2 2" xfId="5172" xr:uid="{260B070E-7B95-4358-894E-6A38E4D19B62}"/>
    <cellStyle name="Migliaia 29 3 2 2 2 2" xfId="18426" xr:uid="{49330F34-1957-419C-91FC-97535D613591}"/>
    <cellStyle name="Migliaia 29 3 2 2 2 2 2" xfId="21862" xr:uid="{5EFCDEDE-B610-4FD6-8305-9D45F383C3EA}"/>
    <cellStyle name="Migliaia 29 3 2 2 2 2 2 2" xfId="39124" xr:uid="{5185C7B1-BA38-47EA-82F6-FA869D9EB8CF}"/>
    <cellStyle name="Migliaia 29 3 2 2 2 2 3" xfId="44426" xr:uid="{CECFCDE3-2F65-4910-A20B-83A5682A8AF7}"/>
    <cellStyle name="Migliaia 29 3 2 2 2 2 4" xfId="33649" xr:uid="{722DED4B-067F-4B9B-B198-A9978794368F}"/>
    <cellStyle name="Migliaia 29 3 2 2 2 3" xfId="36578" xr:uid="{AE82A918-9888-4338-9CE3-7841BCD8E7CC}"/>
    <cellStyle name="Migliaia 29 3 2 2 2 4" xfId="41775" xr:uid="{3B0CBA89-5616-4644-856F-4AE9402E80D3}"/>
    <cellStyle name="Migliaia 29 3 2 2 2 5" xfId="37182" xr:uid="{51BAA089-0E46-4996-AF94-BB8E6A91EF6E}"/>
    <cellStyle name="Migliaia 29 3 2 2 2 6" xfId="50890" xr:uid="{FE1D3D66-6536-4BF4-8AC3-04C02F640E16}"/>
    <cellStyle name="Migliaia 29 3 2 2 2 7" xfId="53906" xr:uid="{C70433D1-85EC-4C86-91B9-F13B386DE9BD}"/>
    <cellStyle name="Migliaia 29 3 2 2 2 8" xfId="17659" xr:uid="{4FD350B7-80B2-4B69-A003-E4DEDFB7A05E}"/>
    <cellStyle name="Migliaia 29 3 2 2 2 9" xfId="11971" xr:uid="{2B335AB9-88B5-4531-8795-0CA1B6F855DC}"/>
    <cellStyle name="Migliaia 29 3 2 2 3" xfId="6375" xr:uid="{D6412154-2C0F-40E8-BA0B-8B8D919C433E}"/>
    <cellStyle name="Migliaia 29 3 2 2 3 2" xfId="12172" xr:uid="{314FCF80-2DCA-4258-A12B-1E2982CCC293}"/>
    <cellStyle name="Migliaia 29 3 2 2 4" xfId="3446" xr:uid="{46A5978C-EAEA-4962-9D81-60BBAE0EEF12}"/>
    <cellStyle name="Migliaia 29 3 2 2 4 2" xfId="21474" xr:uid="{CB5655B9-005C-45AE-BE08-50BFAF0F3FDE}"/>
    <cellStyle name="Migliaia 29 3 2 2 4 3" xfId="46233" xr:uid="{DFCC46BA-ECC1-45DA-9BE7-514FE00E8032}"/>
    <cellStyle name="Migliaia 29 3 2 2 4 4" xfId="50489" xr:uid="{8B7DD466-6E1D-46B9-BA9E-1A15E9C41B6C}"/>
    <cellStyle name="Migliaia 29 3 2 2 4 5" xfId="53505" xr:uid="{80043744-BF8B-41CB-81CC-95F6DC9796B6}"/>
    <cellStyle name="Migliaia 29 3 2 2 4 6" xfId="10839" xr:uid="{D7B72B15-9FD8-47B0-B283-FD5404C4A688}"/>
    <cellStyle name="Migliaia 29 3 2 2 5" xfId="20287" xr:uid="{26FB8279-FA09-4E90-8050-44A9515110BE}"/>
    <cellStyle name="Migliaia 29 3 2 2 6" xfId="24657" xr:uid="{10D33E84-757D-4E61-94DA-934719068726}"/>
    <cellStyle name="Migliaia 29 3 2 2 7" xfId="8609" xr:uid="{071A15EE-7BF7-4C70-88ED-2895E9326118}"/>
    <cellStyle name="Migliaia 29 3 2 3" xfId="5171" xr:uid="{83B9E806-760D-44E1-9BA8-653253EFE34D}"/>
    <cellStyle name="Migliaia 29 3 2 3 2" xfId="12226" xr:uid="{7656D13D-1E42-4C27-93D6-7DE2ADA29D0A}"/>
    <cellStyle name="Migliaia 29 3 2 3 2 2" xfId="39125" xr:uid="{439A6BB1-2B87-425E-ADAB-D0978A7A8BAB}"/>
    <cellStyle name="Migliaia 29 3 2 3 2 3" xfId="44427" xr:uid="{937699BA-DBF5-4A6A-8C5B-9049D7A20750}"/>
    <cellStyle name="Migliaia 29 3 2 3 2 4" xfId="33650" xr:uid="{A47092FD-7481-4758-B49F-2C13B4827EA8}"/>
    <cellStyle name="Migliaia 29 3 2 3 3" xfId="11972" xr:uid="{6C0ACBC1-398E-4816-BDFA-DB0D95B6F605}"/>
    <cellStyle name="Migliaia 29 3 2 3 4" xfId="20288" xr:uid="{95B10522-2493-49F7-B80D-18B548581728}"/>
    <cellStyle name="Migliaia 29 3 2 3 4 2" xfId="41776" xr:uid="{D23F8B73-F300-41CE-919C-C3E4EEE76A0A}"/>
    <cellStyle name="Migliaia 29 3 2 3 5" xfId="16335" xr:uid="{A32D9A30-2B0A-40C3-8C3A-51056397D4D3}"/>
    <cellStyle name="Migliaia 29 3 2 3 6" xfId="7909" xr:uid="{6D6FE1AE-0832-44CC-839D-27F341E1BD2E}"/>
    <cellStyle name="Migliaia 29 3 2 4" xfId="6374" xr:uid="{8ABFEA3E-AF18-401D-A675-30F35CED3387}"/>
    <cellStyle name="Migliaia 29 3 2 4 2" xfId="18078" xr:uid="{FE31D278-CBF8-48A4-B6DE-8388E132D32C}"/>
    <cellStyle name="Migliaia 29 3 2 4 2 2" xfId="39126" xr:uid="{C6372932-DAF1-4475-B09B-52024C717B99}"/>
    <cellStyle name="Migliaia 29 3 2 4 2 3" xfId="44428" xr:uid="{1B9E5006-299B-4474-AFDE-7FF16C332C97}"/>
    <cellStyle name="Migliaia 29 3 2 4 3" xfId="36580" xr:uid="{E3FE853C-4BD6-4A66-80CC-CF14014A9607}"/>
    <cellStyle name="Migliaia 29 3 2 4 4" xfId="41777" xr:uid="{CC9AEF32-66C7-452F-B2E9-A78E75A1494B}"/>
    <cellStyle name="Migliaia 29 3 2 4 5" xfId="17178" xr:uid="{268C14F5-DB51-4E3B-869B-F6FC7EAF364A}"/>
    <cellStyle name="Migliaia 29 3 2 4 6" xfId="11320" xr:uid="{CBD603D5-271C-4E22-9DF7-FC381E182248}"/>
    <cellStyle name="Migliaia 29 3 2 5" xfId="3445" xr:uid="{E2654E4C-0781-4B97-9ACE-B31392E0C1B7}"/>
    <cellStyle name="Migliaia 29 3 2 5 2" xfId="33652" xr:uid="{4A0187D3-8191-4FFE-95ED-A6C702286840}"/>
    <cellStyle name="Migliaia 29 3 2 5 2 2" xfId="39127" xr:uid="{0EAB0A68-78D2-44CA-BD06-BA8A5702BA26}"/>
    <cellStyle name="Migliaia 29 3 2 5 2 3" xfId="44429" xr:uid="{9AF9C024-2BD6-4A4B-BF57-69C113DE5411}"/>
    <cellStyle name="Migliaia 29 3 2 5 3" xfId="36581" xr:uid="{A43C867F-1663-4671-9F70-AC97A7F6D40D}"/>
    <cellStyle name="Migliaia 29 3 2 5 4" xfId="41778" xr:uid="{877B4D9D-256D-4206-BE68-2BE0FD17A9AF}"/>
    <cellStyle name="Migliaia 29 3 2 5 5" xfId="17363" xr:uid="{FE506EBC-6F3F-4EB6-A90D-460362B87A3C}"/>
    <cellStyle name="Migliaia 29 3 2 6" xfId="20286" xr:uid="{68375D5E-B985-48A3-AFC8-8694A6E6BAF2}"/>
    <cellStyle name="Migliaia 29 3 2 6 2" xfId="33653" xr:uid="{0D5D98E6-C5B4-4022-9BA7-BB25B4781D3B}"/>
    <cellStyle name="Migliaia 29 3 2 6 2 2" xfId="39128" xr:uid="{3287811B-1BEE-4CB0-80B8-71356036657D}"/>
    <cellStyle name="Migliaia 29 3 2 6 2 3" xfId="44430" xr:uid="{2C99A426-F474-464E-BE33-B93F98AA26B3}"/>
    <cellStyle name="Migliaia 29 3 2 6 3" xfId="36582" xr:uid="{40C8471A-2230-4E1C-A3A4-A4C79A67F281}"/>
    <cellStyle name="Migliaia 29 3 2 6 4" xfId="41779" xr:uid="{C77682C9-D3C4-41D0-A563-9385B74C1805}"/>
    <cellStyle name="Migliaia 29 3 2 6 5" xfId="24661" xr:uid="{C33E61CE-FFD4-4E95-BC67-0A0BEBB1BA0F}"/>
    <cellStyle name="Migliaia 29 3 2 7" xfId="24656" xr:uid="{3A42DE76-FA55-474B-9163-A890D8B5B9FA}"/>
    <cellStyle name="Migliaia 29 3 2 8" xfId="7419" xr:uid="{1CB38FDD-4804-4DFE-AEC8-8496CDC8BD09}"/>
    <cellStyle name="Migliaia 29 3 3" xfId="3447" xr:uid="{ABA789F2-60FC-4525-9CF5-6609113353A5}"/>
    <cellStyle name="Migliaia 29 3 3 10" xfId="7418" xr:uid="{0D46523B-9913-4C00-9B07-BBCE4DCBAF6C}"/>
    <cellStyle name="Migliaia 29 3 3 2" xfId="5173" xr:uid="{D432C9A2-49D3-4148-A97B-42531334A7A1}"/>
    <cellStyle name="Migliaia 29 3 3 2 2" xfId="9924" xr:uid="{F5DC9049-7F62-46D9-91A4-151B3A45C2DC}"/>
    <cellStyle name="Migliaia 29 3 3 2 2 2" xfId="39130" xr:uid="{42609D27-9BCB-4716-B402-430521C30CDB}"/>
    <cellStyle name="Migliaia 29 3 3 2 2 3" xfId="44432" xr:uid="{0AA06AA1-4309-42F2-BE3F-5B80D207E7C9}"/>
    <cellStyle name="Migliaia 29 3 3 2 3" xfId="18204" xr:uid="{DDDF8A43-501E-4FA2-BB25-F5354D55F458}"/>
    <cellStyle name="Migliaia 29 3 3 2 4" xfId="20290" xr:uid="{01DD19A4-7D66-4877-BD88-3C2638494EEC}"/>
    <cellStyle name="Migliaia 29 3 3 2 4 2" xfId="41781" xr:uid="{21B9027A-6C77-46E2-9DF3-AF0F5A51B958}"/>
    <cellStyle name="Migliaia 29 3 3 2 5" xfId="16337" xr:uid="{6D9479B4-3A8D-4E3B-88E2-0A7F854DC269}"/>
    <cellStyle name="Migliaia 29 3 3 2 6" xfId="8608" xr:uid="{8C186B9C-93DF-40EC-9E47-A937235D5D1C}"/>
    <cellStyle name="Migliaia 29 3 3 3" xfId="6376" xr:uid="{777A27CC-2127-4966-938D-A80A4DA87C9B}"/>
    <cellStyle name="Migliaia 29 3 3 3 2" xfId="33656" xr:uid="{257FD7CE-AD66-467A-8CAF-2420B71BA1B3}"/>
    <cellStyle name="Migliaia 29 3 3 3 2 2" xfId="39131" xr:uid="{963E6880-06ED-4012-A295-FC1C13E9C732}"/>
    <cellStyle name="Migliaia 29 3 3 3 2 3" xfId="44433" xr:uid="{BF63CD30-113F-4CE1-A3C5-B86E30E4B45E}"/>
    <cellStyle name="Migliaia 29 3 3 3 3" xfId="36585" xr:uid="{1697C82E-BB84-49A8-9ADE-A10D47F55D8E}"/>
    <cellStyle name="Migliaia 29 3 3 3 4" xfId="41782" xr:uid="{A334D6BB-51A5-4827-BD16-26CABCB90E78}"/>
    <cellStyle name="Migliaia 29 3 3 3 5" xfId="9687" xr:uid="{6154FB6F-FE22-4534-8C15-02E309AF153B}"/>
    <cellStyle name="Migliaia 29 3 3 4" xfId="20289" xr:uid="{A2A2BBF0-5C65-4093-A8FC-367A2B109E19}"/>
    <cellStyle name="Migliaia 29 3 3 4 2" xfId="33657" xr:uid="{6B07E2C5-1DAD-488E-BFA1-812847DCEC74}"/>
    <cellStyle name="Migliaia 29 3 3 4 2 2" xfId="39132" xr:uid="{AE3579C4-70CE-47FD-A1C0-DAA2F0F0D2FC}"/>
    <cellStyle name="Migliaia 29 3 3 4 2 3" xfId="44434" xr:uid="{33615C41-25BA-457D-A1C7-3E34695A3D35}"/>
    <cellStyle name="Migliaia 29 3 3 4 3" xfId="36586" xr:uid="{301D5FFF-0B81-4231-B0B1-6420247EED4E}"/>
    <cellStyle name="Migliaia 29 3 3 4 4" xfId="41783" xr:uid="{25AC8D33-9BA4-4605-9CEE-DB11EF5314DE}"/>
    <cellStyle name="Migliaia 29 3 3 4 5" xfId="24665" xr:uid="{01F8985E-0E2F-45EA-8CD5-8CAD7DA8853C}"/>
    <cellStyle name="Migliaia 29 3 3 5" xfId="24666" xr:uid="{A0D078F5-703A-46C0-AA54-8C29973405F8}"/>
    <cellStyle name="Migliaia 29 3 3 5 2" xfId="33658" xr:uid="{8CD406BC-2ABA-4E32-9BBB-F98682AFC3C7}"/>
    <cellStyle name="Migliaia 29 3 3 5 2 2" xfId="39133" xr:uid="{A0753C65-83C3-450D-BF50-3311FCFF641F}"/>
    <cellStyle name="Migliaia 29 3 3 5 2 3" xfId="44435" xr:uid="{94839D9F-1A7F-4F5C-A175-AC363B80C295}"/>
    <cellStyle name="Migliaia 29 3 3 5 3" xfId="36587" xr:uid="{E408B51B-6968-4676-A7E3-08FF9F5CB48A}"/>
    <cellStyle name="Migliaia 29 3 3 5 4" xfId="41784" xr:uid="{75F1DDB5-7BAD-440C-9C97-7364FCE18B38}"/>
    <cellStyle name="Migliaia 29 3 3 6" xfId="33654" xr:uid="{09A16B8D-B484-4615-B8FC-869D120257D4}"/>
    <cellStyle name="Migliaia 29 3 3 6 2" xfId="39129" xr:uid="{D5129C6C-294A-4E29-93AB-5DE8E65BD701}"/>
    <cellStyle name="Migliaia 29 3 3 6 3" xfId="44431" xr:uid="{AB2F358C-93B4-4DE3-8DD2-0EBA0C6B829A}"/>
    <cellStyle name="Migliaia 29 3 3 7" xfId="36583" xr:uid="{313A07C9-7D4A-4FC1-8558-201034E1CA47}"/>
    <cellStyle name="Migliaia 29 3 3 8" xfId="41780" xr:uid="{3E41E2CA-F683-4C2B-A156-5FB54C56D7DC}"/>
    <cellStyle name="Migliaia 29 3 3 9" xfId="16336" xr:uid="{5191F1D0-AC52-4103-8523-1BBE9A7898E2}"/>
    <cellStyle name="Migliaia 29 3 4" xfId="3448" xr:uid="{8162A16E-25B5-4DC2-AA5F-CA02DD6348D4}"/>
    <cellStyle name="Migliaia 29 3 4 2" xfId="5174" xr:uid="{6A98F8EE-2AF5-4809-8A0F-7BA345D3886C}"/>
    <cellStyle name="Migliaia 29 3 4 2 2" xfId="14444" xr:uid="{685F4061-9BF2-4B14-8076-7CED014090BB}"/>
    <cellStyle name="Migliaia 29 3 4 2 3" xfId="18128" xr:uid="{7BA07D46-66AA-4E32-957A-5E9F95C2CC2E}"/>
    <cellStyle name="Migliaia 29 3 4 2 4" xfId="20292" xr:uid="{7140C89E-A664-4992-9165-FEF253680E90}"/>
    <cellStyle name="Migliaia 29 3 4 2 5" xfId="32361" xr:uid="{8046D521-FFEE-4690-97BB-A1E647BDA337}"/>
    <cellStyle name="Migliaia 29 3 4 2 6" xfId="16339" xr:uid="{21A0E546-20DA-4EC0-A0D2-C62F92F8F528}"/>
    <cellStyle name="Migliaia 29 3 4 2 7" xfId="8867" xr:uid="{0A4BA835-7897-48F7-9281-510BEBC420E0}"/>
    <cellStyle name="Migliaia 29 3 4 3" xfId="6377" xr:uid="{93943A8C-46BE-4D71-B537-5B3EF2A4CA13}"/>
    <cellStyle name="Migliaia 29 3 4 3 2" xfId="35272" xr:uid="{8964D405-A68E-47B9-B2A3-649EB278871A}"/>
    <cellStyle name="Migliaia 29 3 4 3 2 2" xfId="40432" xr:uid="{0DE3DCB9-AA68-4C9C-8EA1-54BA4C7762A6}"/>
    <cellStyle name="Migliaia 29 3 4 3 2 3" xfId="45734" xr:uid="{293A2586-CF33-4AC8-A1BD-9BDD2270B5C9}"/>
    <cellStyle name="Migliaia 29 3 4 3 3" xfId="37781" xr:uid="{B846B3F9-4276-4968-8146-2F6792639F07}"/>
    <cellStyle name="Migliaia 29 3 4 3 4" xfId="43083" xr:uid="{B8C18B62-6458-431E-B010-31DADDA4218B}"/>
    <cellStyle name="Migliaia 29 3 4 3 5" xfId="13692" xr:uid="{1A197C7C-7553-40AD-BA72-FE5E26289C19}"/>
    <cellStyle name="Migliaia 29 3 4 4" xfId="20291" xr:uid="{32E8616A-6A81-425C-BB56-35B65B38EAD3}"/>
    <cellStyle name="Migliaia 29 3 4 4 2" xfId="39134" xr:uid="{1333D8B4-3A99-48E6-A085-75632F84EE1D}"/>
    <cellStyle name="Migliaia 29 3 4 4 3" xfId="44436" xr:uid="{69DBD17F-0695-4297-ABB6-E3FC2F3A9C20}"/>
    <cellStyle name="Migliaia 29 3 4 4 4" xfId="33659" xr:uid="{31C77C86-DF26-49B5-B5A9-57E4BF7E1C3A}"/>
    <cellStyle name="Migliaia 29 3 4 5" xfId="36588" xr:uid="{D5DE1ED8-0F48-4779-A11D-77DC7161CA16}"/>
    <cellStyle name="Migliaia 29 3 4 6" xfId="41785" xr:uid="{C1779736-3E57-449E-8520-B448F37A6DC4}"/>
    <cellStyle name="Migliaia 29 3 4 7" xfId="16338" xr:uid="{E92D3A95-7637-4F38-9310-C5434161D5A4}"/>
    <cellStyle name="Migliaia 29 3 4 8" xfId="7677" xr:uid="{4C4EC414-6BA1-48B2-BD4E-81E1569F8032}"/>
    <cellStyle name="Migliaia 29 3 5" xfId="3449" xr:uid="{219E1B18-81FD-4F1E-B52F-65779816BAD5}"/>
    <cellStyle name="Migliaia 29 3 5 2" xfId="5175" xr:uid="{2765D042-7764-4CB6-B18B-76A338DC9BB4}"/>
    <cellStyle name="Migliaia 29 3 5 2 2" xfId="35273" xr:uid="{83C979E1-0157-4F66-A401-3BA35D20B828}"/>
    <cellStyle name="Migliaia 29 3 5 2 2 2" xfId="40433" xr:uid="{1709C51B-8CF7-4E7C-BE9B-E9BF18F56009}"/>
    <cellStyle name="Migliaia 29 3 5 2 2 3" xfId="45735" xr:uid="{7552D444-7292-49F6-8591-50E79B9A291F}"/>
    <cellStyle name="Migliaia 29 3 5 2 3" xfId="37782" xr:uid="{348ED54C-A194-4188-8938-99B16119C085}"/>
    <cellStyle name="Migliaia 29 3 5 2 4" xfId="43084" xr:uid="{8266A16A-B465-4F15-B162-19928C333297}"/>
    <cellStyle name="Migliaia 29 3 5 2 5" xfId="14244" xr:uid="{B4A8FDCF-A130-4321-A6DE-45EF3E9FD12A}"/>
    <cellStyle name="Migliaia 29 3 5 3" xfId="6378" xr:uid="{796CDDB2-2A41-4AE0-B571-B5E8B2C64FC7}"/>
    <cellStyle name="Migliaia 29 3 5 3 2" xfId="39135" xr:uid="{7DA36C51-68EF-4878-B74F-DBA8E1CD9166}"/>
    <cellStyle name="Migliaia 29 3 5 3 3" xfId="44437" xr:uid="{8CE4DAF2-9F3D-4768-8EA0-6D5F17F1A97E}"/>
    <cellStyle name="Migliaia 29 3 5 3 4" xfId="33660" xr:uid="{ACEF66A2-F9FD-46D3-87A8-69F556796169}"/>
    <cellStyle name="Migliaia 29 3 5 3 5" xfId="20293" xr:uid="{2D90E764-1585-4874-A12A-55D55F9F9883}"/>
    <cellStyle name="Migliaia 29 3 5 4" xfId="36589" xr:uid="{B37C0E76-B15B-4A60-BC64-0BD18E916F8D}"/>
    <cellStyle name="Migliaia 29 3 5 5" xfId="41786" xr:uid="{F00A2F87-3982-4ACA-93BC-392AAE841DEE}"/>
    <cellStyle name="Migliaia 29 3 5 6" xfId="16340" xr:uid="{9681FB92-6980-433B-9C78-6B1753F5B662}"/>
    <cellStyle name="Migliaia 29 3 5 7" xfId="8306" xr:uid="{791720D3-07B2-42CB-B9B3-AEF8F29E04F2}"/>
    <cellStyle name="Migliaia 29 3 6" xfId="5170" xr:uid="{B8E04CA0-997B-4107-AE14-FDC4F7A1AA99}"/>
    <cellStyle name="Migliaia 29 3 6 2" xfId="13949" xr:uid="{4706C9DB-ECE2-4487-9EC0-24C4D0D931B6}"/>
    <cellStyle name="Migliaia 29 3 6 2 2" xfId="39136" xr:uid="{27F2474A-E354-4355-BA26-6B67BF2DF92A}"/>
    <cellStyle name="Migliaia 29 3 6 2 3" xfId="44438" xr:uid="{8FFAE310-47CA-4613-B4BB-AA421966ACF3}"/>
    <cellStyle name="Migliaia 29 3 6 3" xfId="18615" xr:uid="{A7C3FCB3-FC80-4CC3-BEE2-4BDB1BAA027F}"/>
    <cellStyle name="Migliaia 29 3 6 4" xfId="20294" xr:uid="{5B676BE1-9B3D-457D-8291-F8E8C974DDB0}"/>
    <cellStyle name="Migliaia 29 3 6 4 2" xfId="41787" xr:uid="{92189192-E4F6-411A-8BA1-772D3C12E15C}"/>
    <cellStyle name="Migliaia 29 3 6 5" xfId="16341" xr:uid="{224B2E6C-ED16-4A3A-A57B-02CB5B0CF27C}"/>
    <cellStyle name="Migliaia 29 3 6 6" xfId="7908" xr:uid="{94C8E2C8-1AD2-40A0-A541-F1D73E5330D0}"/>
    <cellStyle name="Migliaia 29 3 7" xfId="6373" xr:uid="{24910854-5CD3-44ED-BD5D-894D3E9AB8EC}"/>
    <cellStyle name="Migliaia 29 3 7 2" xfId="33662" xr:uid="{EDED50B2-63F9-405E-A388-D86832A952F3}"/>
    <cellStyle name="Migliaia 29 3 7 2 2" xfId="39137" xr:uid="{DE5AAE5E-5D71-4862-AEEC-598028716F0F}"/>
    <cellStyle name="Migliaia 29 3 7 2 3" xfId="44439" xr:uid="{06106029-5D8B-41A9-889B-BB9DC832D5A9}"/>
    <cellStyle name="Migliaia 29 3 7 3" xfId="36591" xr:uid="{A5661C2E-818E-4BC0-B9CA-AAB97044B42F}"/>
    <cellStyle name="Migliaia 29 3 7 4" xfId="41788" xr:uid="{20D39BA0-6A4C-4CF0-B656-7EFBC8528556}"/>
    <cellStyle name="Migliaia 29 3 7 5" xfId="12439" xr:uid="{AB1983F1-CA95-45FE-85BB-F245B57F0A7C}"/>
    <cellStyle name="Migliaia 29 3 8" xfId="3444" xr:uid="{84E432AE-61F4-4D84-B055-B96A2E694DE8}"/>
    <cellStyle name="Migliaia 29 3 8 2" xfId="33663" xr:uid="{65110D03-6ACA-4A50-B5B2-7F6DF4B2F858}"/>
    <cellStyle name="Migliaia 29 3 8 2 2" xfId="39138" xr:uid="{A409336E-8E4E-4804-92AF-1A2E5D63E327}"/>
    <cellStyle name="Migliaia 29 3 8 2 3" xfId="44440" xr:uid="{8F13A761-9E23-4EAA-8E8C-620525F24E98}"/>
    <cellStyle name="Migliaia 29 3 8 3" xfId="36592" xr:uid="{A3116037-CC4B-4C3A-BAB8-8CB6A6F2574D}"/>
    <cellStyle name="Migliaia 29 3 8 4" xfId="41789" xr:uid="{F7F56DC1-2273-4466-B47F-15226CB61A1E}"/>
    <cellStyle name="Migliaia 29 3 8 5" xfId="24671" xr:uid="{91A161C9-A92D-435C-ADBA-732506648BFE}"/>
    <cellStyle name="Migliaia 29 3 8 6" xfId="17364" xr:uid="{BA601865-D7AA-4B58-895C-7F733E3D1BE0}"/>
    <cellStyle name="Migliaia 29 3 9" xfId="20285" xr:uid="{15976879-E0D6-4059-857A-D054A892AAB8}"/>
    <cellStyle name="Migliaia 29 4" xfId="1763" xr:uid="{00000000-0005-0000-0000-000082030000}"/>
    <cellStyle name="Migliaia 29 4 2" xfId="1764" xr:uid="{00000000-0005-0000-0000-000083030000}"/>
    <cellStyle name="Migliaia 29 4 2 2" xfId="5177" xr:uid="{489AB39B-575C-465D-BE99-673C520DAB0A}"/>
    <cellStyle name="Migliaia 29 4 2 2 2" xfId="33664" xr:uid="{B7199E80-A572-4A9D-9085-E500D52D6C6E}"/>
    <cellStyle name="Migliaia 29 4 2 2 2 2" xfId="39139" xr:uid="{403C258F-DA0E-4829-96D6-0A4D99941ADE}"/>
    <cellStyle name="Migliaia 29 4 2 2 2 3" xfId="44441" xr:uid="{59F30819-7C26-401F-96A0-FDEAE2F29DE4}"/>
    <cellStyle name="Migliaia 29 4 2 2 3" xfId="36593" xr:uid="{D1C85ADC-7818-4CB0-A2A1-B5F21B68B0EA}"/>
    <cellStyle name="Migliaia 29 4 2 2 4" xfId="41790" xr:uid="{EDD8E457-1227-4ED4-9C92-3580CF03C2D1}"/>
    <cellStyle name="Migliaia 29 4 2 2 5" xfId="9150" xr:uid="{B29D1F06-674D-4883-8071-1F0278FEBF41}"/>
    <cellStyle name="Migliaia 29 4 2 3" xfId="3451" xr:uid="{90B720E3-36E3-42DA-90A1-5A77EE020990}"/>
    <cellStyle name="Migliaia 29 4 2 3 2" xfId="33665" xr:uid="{EBCEB99D-B440-4215-98B8-0CED9DB6F088}"/>
    <cellStyle name="Migliaia 29 4 2 3 2 2" xfId="39140" xr:uid="{B81E6F8A-925E-4A18-894B-A6931C0C88A9}"/>
    <cellStyle name="Migliaia 29 4 2 3 2 3" xfId="44442" xr:uid="{1493983B-9C99-4DF2-903B-5B3A4A8B1A11}"/>
    <cellStyle name="Migliaia 29 4 2 3 3" xfId="36594" xr:uid="{A3CF3847-D3CC-4F18-AA6B-0D3131D5A794}"/>
    <cellStyle name="Migliaia 29 4 2 3 4" xfId="41791" xr:uid="{5E4CC0CC-D81C-42A7-9B44-1B32651A7221}"/>
    <cellStyle name="Migliaia 29 4 2 3 5" xfId="11973" xr:uid="{37812942-B9DC-4F6E-8FB6-16CB0CA7B995}"/>
    <cellStyle name="Migliaia 29 4 2 4" xfId="11322" xr:uid="{037F01A7-B65F-4C8D-8511-A9478F41FB2E}"/>
    <cellStyle name="Migliaia 29 4 2 5" xfId="10841" xr:uid="{915543E0-EF17-405F-99C4-C92463DDE023}"/>
    <cellStyle name="Migliaia 29 4 2 5 2" xfId="21476" xr:uid="{B0CF6DFF-B07C-4B8B-A077-47D6C6DF8657}"/>
    <cellStyle name="Migliaia 29 4 2 5 3" xfId="48176" xr:uid="{F1325C76-4AA7-4141-91CD-A822A56F22AB}"/>
    <cellStyle name="Migliaia 29 4 2 5 4" xfId="50491" xr:uid="{89F1F8AF-9EE7-4807-A26F-D65235D98032}"/>
    <cellStyle name="Migliaia 29 4 2 5 5" xfId="53507" xr:uid="{1747EA3A-A444-4A0B-90E7-D2876525DE66}"/>
    <cellStyle name="Migliaia 29 4 2 6" xfId="20296" xr:uid="{B3D39034-2E0C-4129-B1B7-EDE919948C42}"/>
    <cellStyle name="Migliaia 29 4 2 7" xfId="24673" xr:uid="{777939FA-D8C5-4DDE-8745-8CF2840B8E1D}"/>
    <cellStyle name="Migliaia 29 4 2 8" xfId="8610" xr:uid="{76FB8C16-CFA4-4662-AD3C-C5FB2B3FC5AD}"/>
    <cellStyle name="Migliaia 29 4 3" xfId="5176" xr:uid="{33B1B44F-86EF-4F15-A667-5914CADC13C2}"/>
    <cellStyle name="Migliaia 29 4 3 2" xfId="18205" xr:uid="{8FBC36EE-CAC2-4371-AC4A-8613EF3EC278}"/>
    <cellStyle name="Migliaia 29 4 3 2 2" xfId="39141" xr:uid="{75298055-F6FE-4750-9A3F-C985D882E0AF}"/>
    <cellStyle name="Migliaia 29 4 3 2 3" xfId="44443" xr:uid="{0B52080D-5F52-4F78-88A4-00468373BCDF}"/>
    <cellStyle name="Migliaia 29 4 3 3" xfId="36595" xr:uid="{49B92880-84DE-4C66-AA5C-309A04010F65}"/>
    <cellStyle name="Migliaia 29 4 3 4" xfId="41792" xr:uid="{3DB93DD4-437B-4F4F-B494-600BEB0008BA}"/>
    <cellStyle name="Migliaia 29 4 3 5" xfId="17362" xr:uid="{704576A9-51BC-4894-8DE0-86B61872F5CD}"/>
    <cellStyle name="Migliaia 29 4 3 6" xfId="9151" xr:uid="{09750FA8-8D7E-42A8-85F7-9C718E2B0EBB}"/>
    <cellStyle name="Migliaia 29 4 4" xfId="6379" xr:uid="{148B2728-95A8-4D91-963C-371F14AF3B40}"/>
    <cellStyle name="Migliaia 29 4 4 2" xfId="33666" xr:uid="{5A6A65C0-7D0B-4C63-8002-90F6097CFD01}"/>
    <cellStyle name="Migliaia 29 4 4 2 2" xfId="39142" xr:uid="{DAA0AA16-0021-45F8-9A99-408B73117646}"/>
    <cellStyle name="Migliaia 29 4 4 2 3" xfId="44444" xr:uid="{2E0D6259-0114-4A9C-875C-09C804781467}"/>
    <cellStyle name="Migliaia 29 4 4 3" xfId="36596" xr:uid="{8A833D0D-3349-4E59-ABBC-BF6A4CA481A5}"/>
    <cellStyle name="Migliaia 29 4 4 4" xfId="41793" xr:uid="{826C4106-2A3C-4BEB-8188-C43A42F95A45}"/>
    <cellStyle name="Migliaia 29 4 4 5" xfId="11974" xr:uid="{B87522AA-0F30-4FC8-93D5-935407C79000}"/>
    <cellStyle name="Migliaia 29 4 5" xfId="3450" xr:uid="{11C77F87-365D-4F8D-A5CE-F6CBB9AA50CE}"/>
    <cellStyle name="Migliaia 29 4 5 2" xfId="33667" xr:uid="{9541CE79-D2F9-4A38-9194-D91D20BCD718}"/>
    <cellStyle name="Migliaia 29 4 5 2 2" xfId="39143" xr:uid="{10BA2601-ED5B-46C9-AEEB-96C2B7312762}"/>
    <cellStyle name="Migliaia 29 4 5 2 3" xfId="44445" xr:uid="{9F2CF4B6-A1EB-4DDA-982D-1E727282820B}"/>
    <cellStyle name="Migliaia 29 4 5 3" xfId="36597" xr:uid="{2558F2FC-3B7E-4239-BD1E-FE044F818345}"/>
    <cellStyle name="Migliaia 29 4 5 4" xfId="41794" xr:uid="{FC3F7E41-8D7B-4BDB-94A0-52647FDEAD95}"/>
    <cellStyle name="Migliaia 29 4 5 5" xfId="11321" xr:uid="{D60D67EB-2971-4103-87C1-C60725D3B9DE}"/>
    <cellStyle name="Migliaia 29 4 6" xfId="10840" xr:uid="{3F55463A-0359-4DC3-B3C6-913322CFCFF9}"/>
    <cellStyle name="Migliaia 29 4 6 2" xfId="21475" xr:uid="{4825A04E-A2C2-4055-9972-E5EACC326EE7}"/>
    <cellStyle name="Migliaia 29 4 6 2 2" xfId="39144" xr:uid="{287A637B-6929-4478-803C-2C42F3E07ED4}"/>
    <cellStyle name="Migliaia 29 4 6 2 3" xfId="44446" xr:uid="{80F3F584-5969-465C-9F1A-CE637C4B77A2}"/>
    <cellStyle name="Migliaia 29 4 6 2 4" xfId="33668" xr:uid="{C42362FD-D828-4276-9A46-7AC5D1C65692}"/>
    <cellStyle name="Migliaia 29 4 6 3" xfId="36598" xr:uid="{09B3482A-17E0-4E1E-8BE6-C983857CA50F}"/>
    <cellStyle name="Migliaia 29 4 6 4" xfId="41795" xr:uid="{6503639E-0123-447A-BD6B-5532DEDF38CA}"/>
    <cellStyle name="Migliaia 29 4 6 5" xfId="24675" xr:uid="{6B9638D3-2197-4B3C-8D3A-28221C3C7DD5}"/>
    <cellStyle name="Migliaia 29 4 6 6" xfId="46234" xr:uid="{BD795293-4261-407F-A9DE-3E6630A68593}"/>
    <cellStyle name="Migliaia 29 4 6 7" xfId="50490" xr:uid="{142CA20E-3D35-4BAB-AD8F-F7570B0F8B6E}"/>
    <cellStyle name="Migliaia 29 4 6 8" xfId="53506" xr:uid="{6FE5626B-0357-4318-B67F-8E78CD2690E2}"/>
    <cellStyle name="Migliaia 29 4 7" xfId="20295" xr:uid="{EDCD21C8-BC5A-41B2-84C5-A8F91346A64F}"/>
    <cellStyle name="Migliaia 29 4 7 2" xfId="33669" xr:uid="{9926E038-F4BC-4BCF-B37E-4960F46548F5}"/>
    <cellStyle name="Migliaia 29 4 7 2 2" xfId="39145" xr:uid="{B5C7B8B8-C793-4ABE-A7CF-4A5DF2E89285}"/>
    <cellStyle name="Migliaia 29 4 7 2 3" xfId="44447" xr:uid="{72E39CFB-A430-4A2F-841E-9740159E6BE5}"/>
    <cellStyle name="Migliaia 29 4 7 3" xfId="36599" xr:uid="{E53A8E49-FFA3-48AF-9AE1-D3330D7A258C}"/>
    <cellStyle name="Migliaia 29 4 7 4" xfId="41796" xr:uid="{E9C0280F-697B-411A-89E0-252E0731A78C}"/>
    <cellStyle name="Migliaia 29 4 7 5" xfId="24676" xr:uid="{75FFDDD9-C558-4B9B-8AC9-94398B78AD7D}"/>
    <cellStyle name="Migliaia 29 4 8" xfId="24672" xr:uid="{6C2638DD-E2CE-4AE5-AEC0-92A4C73B96C6}"/>
    <cellStyle name="Migliaia 29 4 9" xfId="7420" xr:uid="{0923C317-3829-4F4A-8E28-FA8863C6B731}"/>
    <cellStyle name="Migliaia 29 5" xfId="1765" xr:uid="{00000000-0005-0000-0000-000084030000}"/>
    <cellStyle name="Migliaia 29 5 2" xfId="5178" xr:uid="{D07D7AAB-0A7A-4093-9E1B-382EF3C3F5ED}"/>
    <cellStyle name="Migliaia 29 5 2 2" xfId="18427" xr:uid="{4098AAC9-9DF0-4347-A8E1-A17FFDA97375}"/>
    <cellStyle name="Migliaia 29 5 2 2 2" xfId="39146" xr:uid="{67F96401-4C24-4A47-B7BF-911B27577412}"/>
    <cellStyle name="Migliaia 29 5 2 2 3" xfId="44448" xr:uid="{79628122-1A1B-4638-A812-F190D3E98545}"/>
    <cellStyle name="Migliaia 29 5 2 3" xfId="20298" xr:uid="{06CF43DF-9613-4171-9B1E-78E60C7ECABA}"/>
    <cellStyle name="Migliaia 29 5 2 3 2" xfId="36600" xr:uid="{D4FA2693-6A54-4CB9-8F82-416AD9F7DB89}"/>
    <cellStyle name="Migliaia 29 5 2 4" xfId="41797" xr:uid="{42AE6E2F-8504-40A1-B4CE-809F9C50A9E3}"/>
    <cellStyle name="Migliaia 29 5 2 5" xfId="16342" xr:uid="{90047B98-EED1-4750-B26B-EEF9C1B5A2FF}"/>
    <cellStyle name="Migliaia 29 5 2 6" xfId="8611" xr:uid="{37860D81-29D0-4D93-97D3-1C2547B7E909}"/>
    <cellStyle name="Migliaia 29 5 3" xfId="6380" xr:uid="{FAD1B0D8-3578-418D-AD9F-6F214FA5BBD2}"/>
    <cellStyle name="Migliaia 29 5 3 2" xfId="33670" xr:uid="{72583E71-7A67-4998-BA70-F4C6C48844B4}"/>
    <cellStyle name="Migliaia 29 5 3 2 2" xfId="39147" xr:uid="{D171BE9A-A373-4C66-A917-7EACCD33CB94}"/>
    <cellStyle name="Migliaia 29 5 3 2 3" xfId="44449" xr:uid="{E8B638F6-FCB0-427B-809A-7182EC8B5002}"/>
    <cellStyle name="Migliaia 29 5 3 3" xfId="36601" xr:uid="{A7378991-31D0-4CD1-9B13-E2DB630C7A01}"/>
    <cellStyle name="Migliaia 29 5 3 4" xfId="41798" xr:uid="{2F7F50C0-5058-4D17-9EBE-7331484BF894}"/>
    <cellStyle name="Migliaia 29 5 3 5" xfId="11323" xr:uid="{19071276-9F42-41A6-8534-2A844E8F2BA3}"/>
    <cellStyle name="Migliaia 29 5 4" xfId="3452" xr:uid="{994890B5-71A9-45FF-B2FE-4B89929905D3}"/>
    <cellStyle name="Migliaia 29 5 4 2" xfId="21477" xr:uid="{C543CCA4-254F-46CC-8568-02CA91EA03F3}"/>
    <cellStyle name="Migliaia 29 5 4 2 2" xfId="39148" xr:uid="{6A6BAAF6-95B9-4570-9966-4E45EB6D27CD}"/>
    <cellStyle name="Migliaia 29 5 4 2 3" xfId="44450" xr:uid="{C7284892-1182-49C6-83FE-E2B30997407D}"/>
    <cellStyle name="Migliaia 29 5 4 2 4" xfId="33671" xr:uid="{99B76904-23AB-49F5-AFCC-B7984832F04B}"/>
    <cellStyle name="Migliaia 29 5 4 3" xfId="36602" xr:uid="{888C4B73-EB77-4E49-B2A9-95DE0050369B}"/>
    <cellStyle name="Migliaia 29 5 4 4" xfId="41799" xr:uid="{AD9AA23E-6567-47A7-B7EC-E148802F5168}"/>
    <cellStyle name="Migliaia 29 5 4 5" xfId="24678" xr:uid="{72ADE0C0-2AB5-4A74-93B0-F51AABDA5681}"/>
    <cellStyle name="Migliaia 29 5 4 6" xfId="48472" xr:uid="{5A71595E-9E62-47CB-9BE2-BA0613505591}"/>
    <cellStyle name="Migliaia 29 5 4 7" xfId="50492" xr:uid="{DF145F7D-821C-4304-9B49-1C2DDD34DCF1}"/>
    <cellStyle name="Migliaia 29 5 4 8" xfId="53508" xr:uid="{65B0DF59-5C40-45E6-BC74-D5C071BCAB40}"/>
    <cellStyle name="Migliaia 29 5 4 9" xfId="10842" xr:uid="{3163544B-A0CF-4222-8C03-70DE86357D8F}"/>
    <cellStyle name="Migliaia 29 5 5" xfId="20297" xr:uid="{579096DC-5A00-4A0F-A8F4-D02F577BF3D4}"/>
    <cellStyle name="Migliaia 29 5 5 2" xfId="33672" xr:uid="{46C1B75D-082D-4DF3-8FF4-9EC07D604A16}"/>
    <cellStyle name="Migliaia 29 5 5 2 2" xfId="39149" xr:uid="{BBA24701-23B6-4FB5-8B2A-739062AB1107}"/>
    <cellStyle name="Migliaia 29 5 5 2 3" xfId="44451" xr:uid="{DAB1DF31-269F-4219-88B2-9397C7033188}"/>
    <cellStyle name="Migliaia 29 5 5 3" xfId="36603" xr:uid="{AD02F36D-ED8A-4A1E-838E-C17F5018CCC9}"/>
    <cellStyle name="Migliaia 29 5 5 4" xfId="41800" xr:uid="{C3CB7424-23BB-4831-BC4D-CE86FA4AA7F9}"/>
    <cellStyle name="Migliaia 29 5 5 5" xfId="24679" xr:uid="{72BC0242-D5FD-499B-8988-636A3B8539B4}"/>
    <cellStyle name="Migliaia 29 5 6" xfId="24680" xr:uid="{160816D1-8F27-4C25-9E8B-F5B0B7183C7A}"/>
    <cellStyle name="Migliaia 29 5 6 2" xfId="33673" xr:uid="{7E4DF78E-7FD9-4ECD-8438-BD0A86DB064F}"/>
    <cellStyle name="Migliaia 29 5 6 2 2" xfId="39150" xr:uid="{240E325F-9E86-488A-952F-BDB218F52111}"/>
    <cellStyle name="Migliaia 29 5 6 2 3" xfId="44452" xr:uid="{ACAC6B6E-E7A6-4242-9B20-EA0607CF0350}"/>
    <cellStyle name="Migliaia 29 5 6 3" xfId="36604" xr:uid="{2AE20A6E-DA99-4754-8931-DD485DA55E8F}"/>
    <cellStyle name="Migliaia 29 5 6 4" xfId="41801" xr:uid="{5C0E28C0-30C5-4E1F-B96A-F4691825643B}"/>
    <cellStyle name="Migliaia 29 5 7" xfId="24677" xr:uid="{98491B99-B8B3-4AB1-8384-40887B76BFB2}"/>
    <cellStyle name="Migliaia 29 5 8" xfId="7421" xr:uid="{4A975BB3-E9E2-4553-8843-9B41EDF1834B}"/>
    <cellStyle name="Migliaia 29 6" xfId="3453" xr:uid="{42E2504B-779B-4617-85B4-282925262739}"/>
    <cellStyle name="Migliaia 29 6 2" xfId="5179" xr:uid="{33E586B7-CBA1-4E46-A4A2-159CEB82E88B}"/>
    <cellStyle name="Migliaia 29 6 2 2" xfId="9923" xr:uid="{6C52C279-56B4-4133-81DE-09C018A5AAC5}"/>
    <cellStyle name="Migliaia 29 6 2 3" xfId="18659" xr:uid="{BE877BDE-731D-4DB6-A50E-4876A5C150E4}"/>
    <cellStyle name="Migliaia 29 6 2 4" xfId="20300" xr:uid="{BB9949C9-267D-43F8-8032-C34028016B52}"/>
    <cellStyle name="Migliaia 29 6 2 5" xfId="32364" xr:uid="{7D0ACEA9-344B-44C0-BDAF-65323DA1909C}"/>
    <cellStyle name="Migliaia 29 6 2 6" xfId="16344" xr:uid="{41BA8D72-0017-4BD3-BFC1-A0C9D2D2D0C3}"/>
    <cellStyle name="Migliaia 29 6 2 7" xfId="8606" xr:uid="{5A9ACBFB-BA6D-403C-AB72-D3F2BCEF6379}"/>
    <cellStyle name="Migliaia 29 6 3" xfId="6381" xr:uid="{E61381CA-E10D-4A9C-BB99-12C328F39E18}"/>
    <cellStyle name="Migliaia 29 6 3 2" xfId="35274" xr:uid="{E11F2515-3D61-4392-9A0A-79C6667E095E}"/>
    <cellStyle name="Migliaia 29 6 3 2 2" xfId="40434" xr:uid="{B8E4A909-5F4B-4620-B86A-24CC52CBC9EB}"/>
    <cellStyle name="Migliaia 29 6 3 2 3" xfId="45736" xr:uid="{2732C5DF-EC2A-4822-BDF6-AC848B1FCDF3}"/>
    <cellStyle name="Migliaia 29 6 3 3" xfId="37783" xr:uid="{3E583034-A9D3-4B83-A5FB-15FA5C24F29F}"/>
    <cellStyle name="Migliaia 29 6 3 4" xfId="43085" xr:uid="{0B08499A-35C3-433D-B1C4-FBC3E7C85996}"/>
    <cellStyle name="Migliaia 29 6 3 5" xfId="9686" xr:uid="{385322EC-FEEE-4068-A24F-89234561774B}"/>
    <cellStyle name="Migliaia 29 6 4" xfId="20299" xr:uid="{8A3D44E2-518A-4D8D-AEB8-1DEA4A9990C3}"/>
    <cellStyle name="Migliaia 29 6 4 2" xfId="39151" xr:uid="{96E63835-8EE7-4A61-A92C-066329A5ECDC}"/>
    <cellStyle name="Migliaia 29 6 4 3" xfId="44453" xr:uid="{C6186D51-B5E9-4AED-8B86-9AA66192046F}"/>
    <cellStyle name="Migliaia 29 6 4 4" xfId="33674" xr:uid="{D6FE80CA-3FEB-4694-8B18-AD2BD6F86C0F}"/>
    <cellStyle name="Migliaia 29 6 5" xfId="36605" xr:uid="{2BAE10C3-DC79-49A9-9C7B-87FC714FC57E}"/>
    <cellStyle name="Migliaia 29 6 6" xfId="41802" xr:uid="{CCF8826D-C686-44D0-B230-587D620C8CF0}"/>
    <cellStyle name="Migliaia 29 6 7" xfId="16343" xr:uid="{35F273A1-076E-4234-9AE4-6EF271E0EB5E}"/>
    <cellStyle name="Migliaia 29 6 8" xfId="7416" xr:uid="{4145016F-0C0F-449E-9D6C-3973F5F27F51}"/>
    <cellStyle name="Migliaia 29 7" xfId="3454" xr:uid="{DFAC4F73-3D12-40DF-88A3-714ECFB2BEAE}"/>
    <cellStyle name="Migliaia 29 7 2" xfId="5180" xr:uid="{B6A56B2C-EFD1-45E4-ACB8-5F9EE987A60A}"/>
    <cellStyle name="Migliaia 29 7 2 2" xfId="35275" xr:uid="{8CC75454-51CE-4CB7-AEE7-DBAF2866CA18}"/>
    <cellStyle name="Migliaia 29 7 2 2 2" xfId="40435" xr:uid="{C85611D8-2255-4132-BF17-E5A0362083A5}"/>
    <cellStyle name="Migliaia 29 7 2 2 3" xfId="45737" xr:uid="{8E468975-ECC3-4B8B-AC88-832C5D585369}"/>
    <cellStyle name="Migliaia 29 7 2 3" xfId="37784" xr:uid="{D840EC3B-8153-4307-8FF0-5EEEE5C7A08F}"/>
    <cellStyle name="Migliaia 29 7 2 4" xfId="43086" xr:uid="{0E9D6D08-F949-4390-97F5-C265F34E8102}"/>
    <cellStyle name="Migliaia 29 7 2 5" xfId="14242" xr:uid="{BDA20B87-0027-424E-A435-31842275FEEF}"/>
    <cellStyle name="Migliaia 29 7 3" xfId="6382" xr:uid="{15C29B07-B919-46E9-90FE-412E981884FA}"/>
    <cellStyle name="Migliaia 29 7 3 2" xfId="39152" xr:uid="{B2944A00-C4CC-44AD-AAA9-D90868135E0B}"/>
    <cellStyle name="Migliaia 29 7 3 3" xfId="44454" xr:uid="{7F1622D9-A97F-4772-B2B0-DD0DE5BB4683}"/>
    <cellStyle name="Migliaia 29 7 3 4" xfId="33675" xr:uid="{C6B83406-395A-4F6C-9FF7-D8557B1C20E9}"/>
    <cellStyle name="Migliaia 29 7 3 5" xfId="20301" xr:uid="{01E212CF-5D8D-471E-B70A-18887AF5AE37}"/>
    <cellStyle name="Migliaia 29 7 4" xfId="36606" xr:uid="{A90B1102-83EE-4780-9C81-4D581FA319E9}"/>
    <cellStyle name="Migliaia 29 7 5" xfId="41803" xr:uid="{200149B7-69BA-4A35-82E9-7002F011D336}"/>
    <cellStyle name="Migliaia 29 7 6" xfId="16345" xr:uid="{A754B70E-3366-491A-BC19-E7DF5FB34D0F}"/>
    <cellStyle name="Migliaia 29 7 7" xfId="8304" xr:uid="{0D6E2347-396C-4243-A95E-171E6D65CBF7}"/>
    <cellStyle name="Migliaia 29 8" xfId="3455" xr:uid="{4B7EBD5E-50E8-44EA-B936-C50D1BA09A4C}"/>
    <cellStyle name="Migliaia 29 8 2" xfId="5181" xr:uid="{60B5E92A-A574-40C2-8DE9-C8BC77A3069E}"/>
    <cellStyle name="Migliaia 29 8 2 2" xfId="35276" xr:uid="{2647F6E9-E665-4BCE-870B-BFB3A053818E}"/>
    <cellStyle name="Migliaia 29 8 2 2 2" xfId="40436" xr:uid="{A838046E-CA93-4342-9D9B-DBD23B79D5E0}"/>
    <cellStyle name="Migliaia 29 8 2 2 3" xfId="45738" xr:uid="{7576940C-A3A0-4DB3-A72A-F618CA67648A}"/>
    <cellStyle name="Migliaia 29 8 2 3" xfId="37785" xr:uid="{C015E131-B8D1-4992-9C2F-F0DBAAEFB43D}"/>
    <cellStyle name="Migliaia 29 8 2 4" xfId="43087" xr:uid="{C33B09BF-02EA-47CD-843E-D3BC23BA308E}"/>
    <cellStyle name="Migliaia 29 8 2 5" xfId="13947" xr:uid="{92C83B38-A7F9-4AB4-90A4-1583A59B3F60}"/>
    <cellStyle name="Migliaia 29 8 3" xfId="6383" xr:uid="{332C0D1D-DBAA-4DB4-9232-A247E3379BA0}"/>
    <cellStyle name="Migliaia 29 8 3 2" xfId="39153" xr:uid="{A9962331-DDE9-415B-954A-45DB1D147376}"/>
    <cellStyle name="Migliaia 29 8 3 3" xfId="44455" xr:uid="{F7E8510D-AF41-4371-A62C-3B0C372BBA5F}"/>
    <cellStyle name="Migliaia 29 8 3 4" xfId="33676" xr:uid="{CB45F5C1-59C0-47AE-BD92-CC2F3B149B9D}"/>
    <cellStyle name="Migliaia 29 8 3 5" xfId="20302" xr:uid="{0CFCA7C9-899A-471C-8050-D91BE214C1A1}"/>
    <cellStyle name="Migliaia 29 8 4" xfId="36607" xr:uid="{ABD78003-1C77-4EEB-AD13-EEE42659CE81}"/>
    <cellStyle name="Migliaia 29 8 5" xfId="41804" xr:uid="{34D5741D-C602-4754-8DB4-281FE10816E3}"/>
    <cellStyle name="Migliaia 29 8 6" xfId="16346" xr:uid="{37A7F142-76CB-42B0-8CA0-9BD11C3E8A74}"/>
    <cellStyle name="Migliaia 29 8 7" xfId="7906" xr:uid="{896F1D96-23F7-42E5-AD36-F0EDA219CAA5}"/>
    <cellStyle name="Migliaia 29 9" xfId="5166" xr:uid="{2AD20CC2-BAB7-41AC-B216-0FCAE84A6DB2}"/>
    <cellStyle name="Migliaia 29 9 2" xfId="33677" xr:uid="{E4C8A288-483E-4C04-B073-B76C45F24C0F}"/>
    <cellStyle name="Migliaia 29 9 2 2" xfId="39154" xr:uid="{464A0635-1B75-467E-826A-6FADE8809FCE}"/>
    <cellStyle name="Migliaia 29 9 2 3" xfId="44456" xr:uid="{774A87B9-DC44-42AC-A89C-45B25DCF7CB9}"/>
    <cellStyle name="Migliaia 29 9 3" xfId="36608" xr:uid="{5BD9C547-A554-483D-A03B-C9A3418E8DFD}"/>
    <cellStyle name="Migliaia 29 9 4" xfId="41805" xr:uid="{8AB5B30D-EDF2-415A-9027-52D4023ACEC7}"/>
    <cellStyle name="Migliaia 29 9 5" xfId="17177" xr:uid="{35525B64-7EEE-4634-A658-F578B694832A}"/>
    <cellStyle name="Migliaia 3" xfId="389" xr:uid="{00000000-0005-0000-0000-000085030000}"/>
    <cellStyle name="Migliaia 3 10" xfId="6384" xr:uid="{89D327F7-1919-40C0-A3FC-7F5E0EB42EB8}"/>
    <cellStyle name="Migliaia 3 10 2" xfId="39155" xr:uid="{05F6AEB6-9371-4E79-9497-01599ABD3DD4}"/>
    <cellStyle name="Migliaia 3 10 3" xfId="44457" xr:uid="{A35AA9C8-CFFD-4867-9717-1F31F206DDE5}"/>
    <cellStyle name="Migliaia 3 10 4" xfId="33678" xr:uid="{F9ED7013-B33F-4B8B-9F0D-4337875EFB82}"/>
    <cellStyle name="Migliaia 3 10 5" xfId="20303" xr:uid="{CB8C19D7-F102-429C-BD92-606D43455603}"/>
    <cellStyle name="Migliaia 3 11" xfId="3456" xr:uid="{EB4D786F-9DC0-4EB6-A15C-01229EC6CE4F}"/>
    <cellStyle name="Migliaia 3 11 2" xfId="36609" xr:uid="{66F78828-0DAE-4F34-997A-4088A42B1232}"/>
    <cellStyle name="Migliaia 3 12" xfId="41806" xr:uid="{D49883B4-07BD-4A48-B87D-EF9D5C0534F0}"/>
    <cellStyle name="Migliaia 3 13" xfId="7108" xr:uid="{01BC0E5B-3A66-4187-9C69-09E27E564494}"/>
    <cellStyle name="Migliaia 3 2" xfId="390" xr:uid="{00000000-0005-0000-0000-000086030000}"/>
    <cellStyle name="Migliaia 3 2 2" xfId="1766" xr:uid="{00000000-0005-0000-0000-000087030000}"/>
    <cellStyle name="Migliaia 3 2 2 2" xfId="5184" xr:uid="{BFA3D63D-F95E-4145-9846-168AEEEC4EE1}"/>
    <cellStyle name="Migliaia 3 2 2 2 2" xfId="14385" xr:uid="{5A65A8BC-AF1E-4384-B59B-EC67D52F41A8}"/>
    <cellStyle name="Migliaia 3 2 2 2 2 2" xfId="39156" xr:uid="{8CB55B04-885A-4173-9631-D9E73D853B4E}"/>
    <cellStyle name="Migliaia 3 2 2 2 2 3" xfId="44458" xr:uid="{7DB00298-FC6E-488B-8733-2AC3A042DFA4}"/>
    <cellStyle name="Migliaia 3 2 2 2 3" xfId="18428" xr:uid="{26EAE462-9D50-4B93-8DF2-5D87EC2C8FF4}"/>
    <cellStyle name="Migliaia 3 2 2 2 4" xfId="20306" xr:uid="{616A80F0-2F5B-4662-B7BA-7C2D9C00BF2A}"/>
    <cellStyle name="Migliaia 3 2 2 2 4 2" xfId="41807" xr:uid="{5BC32C10-21FD-4913-9FB0-1B0D37F2AD2F}"/>
    <cellStyle name="Migliaia 3 2 2 2 5" xfId="16347" xr:uid="{58610F90-08EF-488F-AA8C-405E410EE1D4}"/>
    <cellStyle name="Migliaia 3 2 2 2 6" xfId="8613" xr:uid="{B8FD9565-8170-4C56-AA1F-FA50465EA40B}"/>
    <cellStyle name="Migliaia 3 2 2 3" xfId="6386" xr:uid="{FD48A861-3C73-4BD1-B6BC-B0949954D8A3}"/>
    <cellStyle name="Migliaia 3 2 2 3 2" xfId="35277" xr:uid="{125F9630-71C6-4B52-9775-C686FFD3D4D0}"/>
    <cellStyle name="Migliaia 3 2 2 3 2 2" xfId="40437" xr:uid="{440B3D86-0285-4FF5-A3A0-4D724CFE8302}"/>
    <cellStyle name="Migliaia 3 2 2 3 2 3" xfId="45739" xr:uid="{22559036-7B9C-457D-BDD0-7006F8BCBD48}"/>
    <cellStyle name="Migliaia 3 2 2 3 3" xfId="37786" xr:uid="{112A5CCD-2DEF-4AAB-A477-F81A520F52A6}"/>
    <cellStyle name="Migliaia 3 2 2 3 4" xfId="43088" xr:uid="{8E07877E-82A2-40C0-8911-2209A3745ADB}"/>
    <cellStyle name="Migliaia 3 2 2 3 5" xfId="11612" xr:uid="{6327546E-EB8D-4E22-890B-0AB22B113733}"/>
    <cellStyle name="Migliaia 3 2 2 4" xfId="3458" xr:uid="{F84E3CFF-90A9-4D61-AC68-639795242F09}"/>
    <cellStyle name="Migliaia 3 2 2 4 2" xfId="21478" xr:uid="{B25EEADA-6928-4727-85E3-0BC9DEDEABF1}"/>
    <cellStyle name="Migliaia 3 2 2 4 3" xfId="46235" xr:uid="{6CC15139-21D8-4E4E-B9BB-916FB9BC8B94}"/>
    <cellStyle name="Migliaia 3 2 2 4 4" xfId="50493" xr:uid="{81F5D36F-2543-4B79-AC66-98BA23D81491}"/>
    <cellStyle name="Migliaia 3 2 2 4 5" xfId="53509" xr:uid="{D87E2C92-D300-4E13-BD08-B493877ED5A2}"/>
    <cellStyle name="Migliaia 3 2 2 4 6" xfId="10843" xr:uid="{60721535-3258-4438-A031-60CE9A59274D}"/>
    <cellStyle name="Migliaia 3 2 2 5" xfId="20305" xr:uid="{FF264CD1-8F5C-4AC7-9178-08A34853D58B}"/>
    <cellStyle name="Migliaia 3 2 2 6" xfId="24682" xr:uid="{0B2BDD24-4D1D-46C0-983D-668C2432BD1B}"/>
    <cellStyle name="Migliaia 3 2 2 7" xfId="7423" xr:uid="{7243A5C4-C354-478E-92C5-7E506856DA26}"/>
    <cellStyle name="Migliaia 3 2 3" xfId="3459" xr:uid="{C018A69F-792A-4B8E-A299-7EC22F7A05D7}"/>
    <cellStyle name="Migliaia 3 2 3 2" xfId="5185" xr:uid="{F3AA9AA9-2D80-42B2-919D-4D272D7A446F}"/>
    <cellStyle name="Migliaia 3 2 3 2 2" xfId="35278" xr:uid="{30FB4765-965A-4768-B2A6-D081CF39C9E5}"/>
    <cellStyle name="Migliaia 3 2 3 2 2 2" xfId="40438" xr:uid="{5E19DC20-C427-44A8-AA91-9F37AC7338C9}"/>
    <cellStyle name="Migliaia 3 2 3 2 2 3" xfId="45740" xr:uid="{81A23D87-735C-4715-AFF5-2827AACD0405}"/>
    <cellStyle name="Migliaia 3 2 3 2 3" xfId="37787" xr:uid="{B07C85C9-DD34-433C-B8B8-8D272326D9BC}"/>
    <cellStyle name="Migliaia 3 2 3 2 4" xfId="43089" xr:uid="{DE3B8DE6-823D-4011-9CE5-668D4B9C94E5}"/>
    <cellStyle name="Migliaia 3 2 3 2 5" xfId="14246" xr:uid="{190134A6-7725-41C3-99C2-A437EEDCC1EE}"/>
    <cellStyle name="Migliaia 3 2 3 3" xfId="6387" xr:uid="{00529DA1-290B-4663-AF9D-7417CEF123FD}"/>
    <cellStyle name="Migliaia 3 2 3 3 2" xfId="39157" xr:uid="{21BD32F5-E94D-4D2F-A352-7E21A7ED5DFA}"/>
    <cellStyle name="Migliaia 3 2 3 3 3" xfId="44459" xr:uid="{36B64DEC-9F29-41E5-8AC6-E6E86ECAAE7F}"/>
    <cellStyle name="Migliaia 3 2 3 3 4" xfId="33679" xr:uid="{20796009-0EE2-42A3-8E41-22C474BA487F}"/>
    <cellStyle name="Migliaia 3 2 3 3 5" xfId="20307" xr:uid="{8D6B101A-DF9E-43C8-8B9C-9D66CEEF6BBF}"/>
    <cellStyle name="Migliaia 3 2 3 4" xfId="36610" xr:uid="{9518D8ED-C118-49FF-9B7E-396904F3071E}"/>
    <cellStyle name="Migliaia 3 2 3 5" xfId="41808" xr:uid="{7BC2AF0E-9AEB-49AD-A9FA-6B8097B5C798}"/>
    <cellStyle name="Migliaia 3 2 3 6" xfId="16348" xr:uid="{A4F83731-5EE3-471D-9D07-A68E284B8E00}"/>
    <cellStyle name="Migliaia 3 2 3 7" xfId="8308" xr:uid="{6206261D-9DB0-4C99-A0CC-0873946962C7}"/>
    <cellStyle name="Migliaia 3 2 4" xfId="5183" xr:uid="{289C8CA9-CFBF-414F-A152-D120106C220F}"/>
    <cellStyle name="Migliaia 3 2 4 2" xfId="13951" xr:uid="{44E79A26-0E11-4DA9-B029-B359BF3A1FEC}"/>
    <cellStyle name="Migliaia 3 2 4 2 2" xfId="39158" xr:uid="{23BCE401-9F82-4ACF-9682-2A3E2B2C9D54}"/>
    <cellStyle name="Migliaia 3 2 4 2 3" xfId="44460" xr:uid="{9C4E9C83-3CCF-4D03-A6EB-EA24C6D1F535}"/>
    <cellStyle name="Migliaia 3 2 4 3" xfId="18712" xr:uid="{D18AE73B-5D2C-4A4E-BAD7-F1EC329F582F}"/>
    <cellStyle name="Migliaia 3 2 4 4" xfId="20308" xr:uid="{ED794639-2AF2-4072-95D8-7B5DDCED73FA}"/>
    <cellStyle name="Migliaia 3 2 4 4 2" xfId="41809" xr:uid="{9CA931D5-76EE-498F-982D-B4E85DD59910}"/>
    <cellStyle name="Migliaia 3 2 4 5" xfId="16349" xr:uid="{86E27AAC-9ADA-4788-934A-644E87983651}"/>
    <cellStyle name="Migliaia 3 2 4 6" xfId="7911" xr:uid="{49C4810A-3C23-4CB1-A6DF-AF5B867903EC}"/>
    <cellStyle name="Migliaia 3 2 5" xfId="6385" xr:uid="{A1FAF10F-DB6D-4C05-8FBB-3CBDDA121C9D}"/>
    <cellStyle name="Migliaia 3 2 5 2" xfId="33680" xr:uid="{EAFCF3E6-A3A0-4A26-A5E7-02CCF2E73ADC}"/>
    <cellStyle name="Migliaia 3 2 5 2 2" xfId="39159" xr:uid="{5FD84750-43AE-4A4C-8C6D-665ABE56EBA4}"/>
    <cellStyle name="Migliaia 3 2 5 2 3" xfId="44461" xr:uid="{502BC87A-AA3E-4CD0-93F8-C5D9F0CF59C0}"/>
    <cellStyle name="Migliaia 3 2 5 3" xfId="36611" xr:uid="{D6487B84-86F9-4D1A-BC63-BF5F900CCB25}"/>
    <cellStyle name="Migliaia 3 2 5 4" xfId="41810" xr:uid="{F2C6C36D-6BE3-4950-9AD7-A8C8AE1A715F}"/>
    <cellStyle name="Migliaia 3 2 5 5" xfId="13125" xr:uid="{136C6B9F-0BEC-47BC-B80A-E34D1C05985F}"/>
    <cellStyle name="Migliaia 3 2 6" xfId="3457" xr:uid="{C85AB1F1-3130-45D7-BBD7-77EF0074563F}"/>
    <cellStyle name="Migliaia 3 2 6 2" xfId="33681" xr:uid="{A16BE93B-8ABE-48F2-80E1-A900F7B55F92}"/>
    <cellStyle name="Migliaia 3 2 6 2 2" xfId="39160" xr:uid="{168DFC8F-D1BD-4BB3-965E-81924005AE3D}"/>
    <cellStyle name="Migliaia 3 2 6 2 3" xfId="44462" xr:uid="{33D401A1-6ED2-4830-9EBA-C478B2AA1D67}"/>
    <cellStyle name="Migliaia 3 2 6 3" xfId="36612" xr:uid="{9502A73D-801B-4F0A-BFED-E0E3BCC8C654}"/>
    <cellStyle name="Migliaia 3 2 6 4" xfId="41811" xr:uid="{3D63D47D-FF67-4156-89E7-9B9B55B84BB1}"/>
    <cellStyle name="Migliaia 3 2 6 5" xfId="24683" xr:uid="{F0789EA6-AA96-4DF5-8D98-46D604D4A658}"/>
    <cellStyle name="Migliaia 3 2 6 6" xfId="20304" xr:uid="{C751AD7F-BE9A-486C-AB8E-1139C54F699A}"/>
    <cellStyle name="Migliaia 3 2 7" xfId="24681" xr:uid="{56D3BFB9-6F01-4768-85C8-94095F6F4F2F}"/>
    <cellStyle name="Migliaia 3 2 8" xfId="7109" xr:uid="{F4690A68-980E-4847-A20C-C6E730375C70}"/>
    <cellStyle name="Migliaia 3 3" xfId="391" xr:uid="{00000000-0005-0000-0000-000088030000}"/>
    <cellStyle name="Migliaia 3 3 10" xfId="24684" xr:uid="{ABC3A077-7226-406A-BAD9-FDE602743EB2}"/>
    <cellStyle name="Migliaia 3 3 11" xfId="16350" xr:uid="{4D47ABD4-01DA-4CBD-BC31-9D3E5AD7C3FD}"/>
    <cellStyle name="Migliaia 3 3 12" xfId="7110" xr:uid="{919DFD90-5723-4947-B187-538976BB265C}"/>
    <cellStyle name="Migliaia 3 3 2" xfId="392" xr:uid="{00000000-0005-0000-0000-000089030000}"/>
    <cellStyle name="Migliaia 3 3 2 2" xfId="1767" xr:uid="{00000000-0005-0000-0000-00008A030000}"/>
    <cellStyle name="Migliaia 3 3 2 2 2" xfId="5188" xr:uid="{07A7F9AC-4BCA-412B-9B32-E1675E088257}"/>
    <cellStyle name="Migliaia 3 3 2 2 2 2" xfId="18429" xr:uid="{EE521890-174D-4D57-96E9-8E2C3B8A43FC}"/>
    <cellStyle name="Migliaia 3 3 2 2 2 2 2" xfId="21863" xr:uid="{C2A7CEEB-9E15-4D4F-B35F-576609C306DB}"/>
    <cellStyle name="Migliaia 3 3 2 2 2 2 2 2" xfId="39161" xr:uid="{E2F53290-2613-470C-B148-F5D23FF3E2D2}"/>
    <cellStyle name="Migliaia 3 3 2 2 2 2 3" xfId="44463" xr:uid="{4678EC40-2804-4F43-8DF7-35A533F6A229}"/>
    <cellStyle name="Migliaia 3 3 2 2 2 2 4" xfId="33682" xr:uid="{C247460C-EC1A-42F4-9862-EF1949EC11F4}"/>
    <cellStyle name="Migliaia 3 3 2 2 2 3" xfId="36613" xr:uid="{4A3BA5B2-016D-440C-AB4C-EE1B45C4247C}"/>
    <cellStyle name="Migliaia 3 3 2 2 2 4" xfId="41812" xr:uid="{AA241895-A6CC-4727-BE2E-DFC740318A8A}"/>
    <cellStyle name="Migliaia 3 3 2 2 2 5" xfId="48290" xr:uid="{7610EBAC-B2CB-4A95-BB51-CC106ED4FBB1}"/>
    <cellStyle name="Migliaia 3 3 2 2 2 6" xfId="50891" xr:uid="{25457187-7D57-4A29-8DB7-91677C660E7A}"/>
    <cellStyle name="Migliaia 3 3 2 2 2 7" xfId="53907" xr:uid="{B94E8688-B304-4D93-9C4A-454C6AC4C465}"/>
    <cellStyle name="Migliaia 3 3 2 2 2 8" xfId="17660" xr:uid="{2C4F1A50-9B8B-4DDC-9A9F-40AB9E85E1E9}"/>
    <cellStyle name="Migliaia 3 3 2 2 2 9" xfId="11975" xr:uid="{841603C4-B761-43CF-93AD-3995DF2319D5}"/>
    <cellStyle name="Migliaia 3 3 2 2 3" xfId="6390" xr:uid="{541EAB05-DAA6-4589-AD8F-477F4C71DBE3}"/>
    <cellStyle name="Migliaia 3 3 2 2 3 2" xfId="11559" xr:uid="{F9D6E6CC-C430-4D3E-BAE7-2EF45DDECF17}"/>
    <cellStyle name="Migliaia 3 3 2 2 4" xfId="3462" xr:uid="{ECC9D54C-9823-4F40-B3EC-E9D39E46E89A}"/>
    <cellStyle name="Migliaia 3 3 2 2 4 2" xfId="21479" xr:uid="{CCAC06F4-0478-4B02-9D11-67017EAA414A}"/>
    <cellStyle name="Migliaia 3 3 2 2 4 3" xfId="47599" xr:uid="{54B39B13-0BB7-41D7-81E7-B626A686AC3F}"/>
    <cellStyle name="Migliaia 3 3 2 2 4 4" xfId="50494" xr:uid="{237F05D4-C74B-4926-B5EB-566B7438CA5D}"/>
    <cellStyle name="Migliaia 3 3 2 2 4 5" xfId="53510" xr:uid="{8EED9AB4-2BD3-4FFD-B980-C6624EED9073}"/>
    <cellStyle name="Migliaia 3 3 2 2 4 6" xfId="10844" xr:uid="{6BAE51B3-B431-4AEF-9BCC-C84B41EADE72}"/>
    <cellStyle name="Migliaia 3 3 2 2 5" xfId="20311" xr:uid="{7BD4EFFC-0D52-460B-B89B-B122FCB51CE4}"/>
    <cellStyle name="Migliaia 3 3 2 2 6" xfId="24686" xr:uid="{5299645E-2BB2-41CF-9FA7-34F0833A7DF3}"/>
    <cellStyle name="Migliaia 3 3 2 2 7" xfId="8615" xr:uid="{FD87D6F6-25E8-4667-B7CA-63708247A5AF}"/>
    <cellStyle name="Migliaia 3 3 2 3" xfId="5187" xr:uid="{4CFF9EEB-BA8A-4FBA-B250-B91B786D4EA6}"/>
    <cellStyle name="Migliaia 3 3 2 3 2" xfId="11105" xr:uid="{B9B0202E-BC59-4569-88E7-6F85D0C53204}"/>
    <cellStyle name="Migliaia 3 3 2 3 2 2" xfId="39162" xr:uid="{F10BAF7F-FEEE-40CF-ACA2-1131B04076DB}"/>
    <cellStyle name="Migliaia 3 3 2 3 2 3" xfId="44464" xr:uid="{4352AC12-CE12-4D29-831C-956A5D8C7892}"/>
    <cellStyle name="Migliaia 3 3 2 3 2 4" xfId="33683" xr:uid="{89BCD172-8755-4AAA-9D59-CF6D09ECB3DB}"/>
    <cellStyle name="Migliaia 3 3 2 3 3" xfId="11976" xr:uid="{36E61EE0-0C78-47A7-9188-656C7BF925BA}"/>
    <cellStyle name="Migliaia 3 3 2 3 4" xfId="20312" xr:uid="{B714ED71-4402-45A2-A7A7-2CBC878067ED}"/>
    <cellStyle name="Migliaia 3 3 2 3 4 2" xfId="41813" xr:uid="{18D2F5EA-2D33-4326-BAF0-8190798589D2}"/>
    <cellStyle name="Migliaia 3 3 2 3 5" xfId="16351" xr:uid="{E67C7ADD-6F5B-49C5-BB5A-8E360458E0BE}"/>
    <cellStyle name="Migliaia 3 3 2 3 6" xfId="7913" xr:uid="{19620A8C-D363-4258-AE9D-92724E1DF806}"/>
    <cellStyle name="Migliaia 3 3 2 4" xfId="6389" xr:uid="{8AB80A8D-C51D-4BAF-AEB6-A65026DE06C3}"/>
    <cellStyle name="Migliaia 3 3 2 4 2" xfId="18079" xr:uid="{FA5512D6-90D2-456B-A606-EE3EEAAF6626}"/>
    <cellStyle name="Migliaia 3 3 2 4 2 2" xfId="39163" xr:uid="{792656C3-5D8C-4902-8AE7-8EBA48A0FD3C}"/>
    <cellStyle name="Migliaia 3 3 2 4 2 3" xfId="44465" xr:uid="{91CDC9B8-44F9-413E-BB04-DC3E74282C23}"/>
    <cellStyle name="Migliaia 3 3 2 4 3" xfId="36614" xr:uid="{6D6CEA91-6450-49C1-8AAC-60CA2D6709CF}"/>
    <cellStyle name="Migliaia 3 3 2 4 4" xfId="41814" xr:uid="{F8239DFC-B5FF-4549-AE4E-A728A856E68D}"/>
    <cellStyle name="Migliaia 3 3 2 4 5" xfId="17180" xr:uid="{BCF0133A-743A-475B-98AE-8D5C6CA436FA}"/>
    <cellStyle name="Migliaia 3 3 2 4 6" xfId="11324" xr:uid="{4798ACCB-D1F7-4296-B114-E1536D9ECFD3}"/>
    <cellStyle name="Migliaia 3 3 2 5" xfId="3461" xr:uid="{CE3C1F3F-4FEB-4923-800B-439DEEE7542D}"/>
    <cellStyle name="Migliaia 3 3 2 5 2" xfId="33685" xr:uid="{5D962021-AAA4-41C0-A42D-974377762201}"/>
    <cellStyle name="Migliaia 3 3 2 5 2 2" xfId="39164" xr:uid="{6B666F63-7F31-4122-A2A9-D43E59892AAC}"/>
    <cellStyle name="Migliaia 3 3 2 5 2 3" xfId="44466" xr:uid="{E4E3BF1C-8EFC-4602-9341-29A3B8C0C913}"/>
    <cellStyle name="Migliaia 3 3 2 5 3" xfId="36615" xr:uid="{C52BB82E-CBD8-4FCF-8E46-709FF2419207}"/>
    <cellStyle name="Migliaia 3 3 2 5 4" xfId="41815" xr:uid="{977CD729-3DE3-4F23-90E2-FC32D45997BC}"/>
    <cellStyle name="Migliaia 3 3 2 5 5" xfId="17360" xr:uid="{DE513EEF-A08C-4260-AB76-E20AD411F092}"/>
    <cellStyle name="Migliaia 3 3 2 6" xfId="20310" xr:uid="{6FD39534-BCB7-48F5-BF95-AF1DDD6DF7C8}"/>
    <cellStyle name="Migliaia 3 3 2 6 2" xfId="33686" xr:uid="{C2B36A19-8E84-4BD2-9D1D-AFADE17C258E}"/>
    <cellStyle name="Migliaia 3 3 2 6 2 2" xfId="39165" xr:uid="{47099141-86D3-4488-A06A-DC9DB0CD7640}"/>
    <cellStyle name="Migliaia 3 3 2 6 2 3" xfId="44467" xr:uid="{59A02565-1FE5-4E1F-9394-81AD75D34929}"/>
    <cellStyle name="Migliaia 3 3 2 6 3" xfId="36616" xr:uid="{7CC17B55-BD0C-4F1A-A154-6DC489DA7EB6}"/>
    <cellStyle name="Migliaia 3 3 2 6 4" xfId="41816" xr:uid="{23737623-2FE3-4461-B232-299E99DF9EAC}"/>
    <cellStyle name="Migliaia 3 3 2 6 5" xfId="24689" xr:uid="{88668529-4F45-45E8-974C-720012244E8D}"/>
    <cellStyle name="Migliaia 3 3 2 7" xfId="24685" xr:uid="{D03A4640-7F99-4C5C-878E-A7DBD55AD123}"/>
    <cellStyle name="Migliaia 3 3 2 8" xfId="7425" xr:uid="{75792CD0-F49A-4935-B9CA-CEE3E657FBB6}"/>
    <cellStyle name="Migliaia 3 3 3" xfId="3463" xr:uid="{6AC7BC88-B6F7-4B11-830A-7F284CE01184}"/>
    <cellStyle name="Migliaia 3 3 3 10" xfId="7424" xr:uid="{82F313F1-3522-46DA-96E6-E46F29C3DA7E}"/>
    <cellStyle name="Migliaia 3 3 3 2" xfId="5189" xr:uid="{7C0467B1-7467-4E6A-9DD0-E2A778FEDA19}"/>
    <cellStyle name="Migliaia 3 3 3 2 2" xfId="9926" xr:uid="{9DA81D57-F623-4053-AD1F-EBFDF1C2E3BF}"/>
    <cellStyle name="Migliaia 3 3 3 2 2 2" xfId="39167" xr:uid="{32AF37DF-5E26-4E3E-940E-3B2343478090}"/>
    <cellStyle name="Migliaia 3 3 3 2 2 3" xfId="44469" xr:uid="{103B7BDB-6C55-4599-918F-35AF42DCF0D3}"/>
    <cellStyle name="Migliaia 3 3 3 2 3" xfId="18206" xr:uid="{A5E23355-1638-4267-8B4A-65DCC1914666}"/>
    <cellStyle name="Migliaia 3 3 3 2 4" xfId="20314" xr:uid="{B621551F-9FEB-4FDC-80DB-4FFD31B581A9}"/>
    <cellStyle name="Migliaia 3 3 3 2 4 2" xfId="41818" xr:uid="{6F0A6D97-BEDA-4BFE-ABC1-B723315EDC23}"/>
    <cellStyle name="Migliaia 3 3 3 2 5" xfId="16353" xr:uid="{F907DA20-4662-4774-B442-1C3B8E6F15A0}"/>
    <cellStyle name="Migliaia 3 3 3 2 6" xfId="8614" xr:uid="{9CB92A60-C3B1-4B45-8EF8-52A4AC9F677D}"/>
    <cellStyle name="Migliaia 3 3 3 3" xfId="6391" xr:uid="{9DB06772-762B-4D7C-BFAB-755BF5E8C3FD}"/>
    <cellStyle name="Migliaia 3 3 3 3 2" xfId="33689" xr:uid="{B80C515A-EFD1-4BC9-A0F1-3CAB12FE0FE0}"/>
    <cellStyle name="Migliaia 3 3 3 3 2 2" xfId="39168" xr:uid="{E4808792-9614-497C-AD3A-9B3B973F7ADD}"/>
    <cellStyle name="Migliaia 3 3 3 3 2 3" xfId="44470" xr:uid="{A0A836F0-892C-4928-9621-D68B4D611F0B}"/>
    <cellStyle name="Migliaia 3 3 3 3 3" xfId="36618" xr:uid="{8F674533-9AE3-4EBC-95D4-AEDDB588BD73}"/>
    <cellStyle name="Migliaia 3 3 3 3 4" xfId="41819" xr:uid="{1854D77D-15DA-43B2-A2F1-317B3815C48D}"/>
    <cellStyle name="Migliaia 3 3 3 3 5" xfId="9689" xr:uid="{4A750913-23D4-46DE-ACFD-78ED23B49B62}"/>
    <cellStyle name="Migliaia 3 3 3 4" xfId="20313" xr:uid="{DA9B1A86-F23F-41F5-A5B3-78A25089832A}"/>
    <cellStyle name="Migliaia 3 3 3 4 2" xfId="33690" xr:uid="{97B5E9B7-C34F-4A84-A218-79AB895F1624}"/>
    <cellStyle name="Migliaia 3 3 3 4 2 2" xfId="39169" xr:uid="{4CEDE86C-1A02-4FD7-8A75-175150873114}"/>
    <cellStyle name="Migliaia 3 3 3 4 2 3" xfId="44471" xr:uid="{29A88513-0FA0-43E4-BFFA-EBB8EA68E437}"/>
    <cellStyle name="Migliaia 3 3 3 4 3" xfId="36619" xr:uid="{EB6FBF8A-67F7-4FFD-A2E1-164C0D554A80}"/>
    <cellStyle name="Migliaia 3 3 3 4 4" xfId="41820" xr:uid="{CE1ABE24-9FF9-4E6E-B269-E2F9B99249E9}"/>
    <cellStyle name="Migliaia 3 3 3 4 5" xfId="24693" xr:uid="{E10EBA54-A6C9-42B6-8BE9-18C8CD1904F5}"/>
    <cellStyle name="Migliaia 3 3 3 5" xfId="24694" xr:uid="{2F38823D-EC59-4709-8236-1D61AB74006A}"/>
    <cellStyle name="Migliaia 3 3 3 5 2" xfId="33691" xr:uid="{1B2F5A7D-6BEB-4D81-A90D-F9D50ED8626A}"/>
    <cellStyle name="Migliaia 3 3 3 5 2 2" xfId="39170" xr:uid="{90404E96-A3F1-4A4A-B76C-37AE0E80BDB8}"/>
    <cellStyle name="Migliaia 3 3 3 5 2 3" xfId="44472" xr:uid="{E2BCC2E0-D09C-43A5-BCDA-A45BB733C645}"/>
    <cellStyle name="Migliaia 3 3 3 5 3" xfId="36620" xr:uid="{5D5A61E7-857E-4D07-9EA2-7600FB185F7B}"/>
    <cellStyle name="Migliaia 3 3 3 5 4" xfId="41821" xr:uid="{0767C00B-C372-41E8-AFD7-1A075413F364}"/>
    <cellStyle name="Migliaia 3 3 3 6" xfId="33687" xr:uid="{D935B067-835B-4B02-9508-182444BEB9CC}"/>
    <cellStyle name="Migliaia 3 3 3 6 2" xfId="39166" xr:uid="{EDD0AF12-81A8-47E1-800C-980D05B4861D}"/>
    <cellStyle name="Migliaia 3 3 3 6 3" xfId="44468" xr:uid="{9EE1C662-A755-452C-8E8C-2EB7366D014B}"/>
    <cellStyle name="Migliaia 3 3 3 7" xfId="36617" xr:uid="{6B003B78-840E-4B83-9B8F-1D3E353A3EF2}"/>
    <cellStyle name="Migliaia 3 3 3 8" xfId="41817" xr:uid="{99CE0D42-D29B-4134-9DD6-313E35EE2D63}"/>
    <cellStyle name="Migliaia 3 3 3 9" xfId="16352" xr:uid="{81E3DC39-C40D-4DFD-A76A-07B61E578627}"/>
    <cellStyle name="Migliaia 3 3 4" xfId="3464" xr:uid="{BAA301AE-E3CA-4AFD-A0EF-3D676E66D36A}"/>
    <cellStyle name="Migliaia 3 3 4 2" xfId="5190" xr:uid="{069B1F6C-6CB9-43AA-9A36-EBEED952C0FD}"/>
    <cellStyle name="Migliaia 3 3 4 2 2" xfId="14445" xr:uid="{F1AAC87B-9643-448F-A2C1-B6C4715836F9}"/>
    <cellStyle name="Migliaia 3 3 4 2 3" xfId="18629" xr:uid="{E5B25BB5-4EB8-4E8E-8F68-0D62E36781F6}"/>
    <cellStyle name="Migliaia 3 3 4 2 4" xfId="20316" xr:uid="{CB8B0FE5-64F4-42CD-8633-611289D250BB}"/>
    <cellStyle name="Migliaia 3 3 4 2 5" xfId="32365" xr:uid="{3E73F2CE-68DA-45B2-AEDD-EAD508B577FB}"/>
    <cellStyle name="Migliaia 3 3 4 2 6" xfId="16355" xr:uid="{C221C57F-8ED0-4FDD-B29B-40EDEE2536B5}"/>
    <cellStyle name="Migliaia 3 3 4 2 7" xfId="8868" xr:uid="{E80D8704-2E9E-49BB-989B-340E4CC6A685}"/>
    <cellStyle name="Migliaia 3 3 4 3" xfId="6392" xr:uid="{8DA30CE9-87B0-4E1C-AC32-2131246D7D4B}"/>
    <cellStyle name="Migliaia 3 3 4 3 2" xfId="35279" xr:uid="{992C9B7B-EC64-40B6-BBF2-8A92086E5896}"/>
    <cellStyle name="Migliaia 3 3 4 3 2 2" xfId="40439" xr:uid="{F48EF38B-37AA-4B73-B4FC-7EE1FBE77799}"/>
    <cellStyle name="Migliaia 3 3 4 3 2 3" xfId="45741" xr:uid="{10DE1362-4A19-403C-859F-83026122EE12}"/>
    <cellStyle name="Migliaia 3 3 4 3 3" xfId="37788" xr:uid="{E24BEB68-6D6E-4D9C-B1BB-69111C304977}"/>
    <cellStyle name="Migliaia 3 3 4 3 4" xfId="43090" xr:uid="{81627C49-E0FF-4D48-9D56-855841A749E2}"/>
    <cellStyle name="Migliaia 3 3 4 3 5" xfId="13693" xr:uid="{7370B8C6-EC38-4FA9-AEEA-12C80CD34105}"/>
    <cellStyle name="Migliaia 3 3 4 4" xfId="20315" xr:uid="{68677376-CA3D-45EB-AAD3-D14B46309A55}"/>
    <cellStyle name="Migliaia 3 3 4 4 2" xfId="39171" xr:uid="{63858BDD-64E1-4C83-B466-D1AF4ADF35C4}"/>
    <cellStyle name="Migliaia 3 3 4 4 3" xfId="44473" xr:uid="{9D95A827-A764-4A99-9897-36C89BFE5099}"/>
    <cellStyle name="Migliaia 3 3 4 4 4" xfId="33692" xr:uid="{2F8C457B-637E-4A5A-A51D-EF63AEF00BAE}"/>
    <cellStyle name="Migliaia 3 3 4 5" xfId="36621" xr:uid="{17D546FC-00AD-46E0-9C2B-35C19AEEDB18}"/>
    <cellStyle name="Migliaia 3 3 4 6" xfId="41822" xr:uid="{0291337B-D1E1-49E5-BA29-DCC4C8BC6D04}"/>
    <cellStyle name="Migliaia 3 3 4 7" xfId="16354" xr:uid="{FA6D766F-29A5-4678-8138-BBD3C49D1A60}"/>
    <cellStyle name="Migliaia 3 3 4 8" xfId="7678" xr:uid="{7ABEC152-F533-4A76-983B-9AB127BB5DC9}"/>
    <cellStyle name="Migliaia 3 3 5" xfId="3465" xr:uid="{019CD801-8798-4873-A440-DC02A2139D32}"/>
    <cellStyle name="Migliaia 3 3 5 2" xfId="5191" xr:uid="{4F37E8FC-0B0B-4259-AF50-5936F8910B42}"/>
    <cellStyle name="Migliaia 3 3 5 2 2" xfId="35280" xr:uid="{7A390054-80E3-454D-B5B2-833DBA00DC8B}"/>
    <cellStyle name="Migliaia 3 3 5 2 2 2" xfId="40440" xr:uid="{32D6AB56-76AA-432D-BDC6-BE84DA1365C2}"/>
    <cellStyle name="Migliaia 3 3 5 2 2 3" xfId="45742" xr:uid="{DF3588F8-24B5-417B-AF27-FD43945600C3}"/>
    <cellStyle name="Migliaia 3 3 5 2 3" xfId="37789" xr:uid="{65CC9088-1AC2-4AB2-B356-9A4155BE310C}"/>
    <cellStyle name="Migliaia 3 3 5 2 4" xfId="43091" xr:uid="{A301C6AF-2F65-4C4F-B883-B329B6E4899D}"/>
    <cellStyle name="Migliaia 3 3 5 2 5" xfId="14247" xr:uid="{23D8990C-BA96-4058-9E66-70A1BCA92D51}"/>
    <cellStyle name="Migliaia 3 3 5 3" xfId="6393" xr:uid="{9DCC49B3-FF78-4749-8E6A-E9096820A8EF}"/>
    <cellStyle name="Migliaia 3 3 5 3 2" xfId="39172" xr:uid="{D3FC221E-804E-4544-8868-AA5D0B52A434}"/>
    <cellStyle name="Migliaia 3 3 5 3 3" xfId="44474" xr:uid="{4FD9E524-E45C-41DC-B225-5E4BE9096E07}"/>
    <cellStyle name="Migliaia 3 3 5 3 4" xfId="33693" xr:uid="{E2E7533B-B5D1-481D-A0C3-4E77E4374792}"/>
    <cellStyle name="Migliaia 3 3 5 3 5" xfId="20317" xr:uid="{D4FF9AB3-596B-4E96-8A7A-A47E37C522DE}"/>
    <cellStyle name="Migliaia 3 3 5 4" xfId="36622" xr:uid="{13FFFC86-FF1B-4DDD-8BEE-3FE706A18B02}"/>
    <cellStyle name="Migliaia 3 3 5 5" xfId="41823" xr:uid="{9C33ACDD-DC83-460F-A7C7-00C4F1FA5A29}"/>
    <cellStyle name="Migliaia 3 3 5 6" xfId="16356" xr:uid="{81EFC9E0-421F-4BF2-8A2C-0E963759CC76}"/>
    <cellStyle name="Migliaia 3 3 5 7" xfId="8309" xr:uid="{5EBA2F4A-8A9A-4F44-B54C-624476435349}"/>
    <cellStyle name="Migliaia 3 3 6" xfId="5186" xr:uid="{1F9378BD-F0CE-4AFE-981F-85303D4B1B12}"/>
    <cellStyle name="Migliaia 3 3 6 2" xfId="13952" xr:uid="{A11DABE8-EF14-4552-BC8D-4B49962CDC5E}"/>
    <cellStyle name="Migliaia 3 3 6 2 2" xfId="39173" xr:uid="{C3D42771-7B10-482B-A5DA-DBE032CF7954}"/>
    <cellStyle name="Migliaia 3 3 6 2 3" xfId="44475" xr:uid="{31084D39-5FEA-4686-BD77-EE33F9C73381}"/>
    <cellStyle name="Migliaia 3 3 6 3" xfId="18711" xr:uid="{38F29D08-6777-46A1-A3C8-E229AF67FBF6}"/>
    <cellStyle name="Migliaia 3 3 6 4" xfId="20318" xr:uid="{6CB77CEE-9A0A-450A-8E04-EA60D8BE1065}"/>
    <cellStyle name="Migliaia 3 3 6 4 2" xfId="41824" xr:uid="{8A3B452F-E045-4047-98CE-E07BC171EA51}"/>
    <cellStyle name="Migliaia 3 3 6 5" xfId="16357" xr:uid="{EDD67C8F-3E1F-4F73-B3F6-13FF470A9B5E}"/>
    <cellStyle name="Migliaia 3 3 6 6" xfId="7912" xr:uid="{39D90862-22C6-41B0-A347-09C63FF12D41}"/>
    <cellStyle name="Migliaia 3 3 7" xfId="6388" xr:uid="{0A8CB196-FFAE-4AF3-B7A6-6846AA5783DE}"/>
    <cellStyle name="Migliaia 3 3 7 2" xfId="33695" xr:uid="{F678B701-DBF3-44BF-87B8-5A27A1D01E75}"/>
    <cellStyle name="Migliaia 3 3 7 2 2" xfId="39174" xr:uid="{6DD6CA7B-F1D9-436E-BFFD-AE543355F7CD}"/>
    <cellStyle name="Migliaia 3 3 7 2 3" xfId="44476" xr:uid="{886187D9-52D8-4430-85BB-07D10A04A309}"/>
    <cellStyle name="Migliaia 3 3 7 3" xfId="36624" xr:uid="{B3414B74-338D-42A6-A42F-D592777D4A3C}"/>
    <cellStyle name="Migliaia 3 3 7 4" xfId="41825" xr:uid="{9F19B4FF-BF4C-4181-9FC4-8DB919B4074D}"/>
    <cellStyle name="Migliaia 3 3 7 5" xfId="11533" xr:uid="{6C22B07D-3178-4E73-A18C-20F3CEDAE337}"/>
    <cellStyle name="Migliaia 3 3 8" xfId="3460" xr:uid="{C67196E2-779F-4FB2-8A30-62728AB3F337}"/>
    <cellStyle name="Migliaia 3 3 8 2" xfId="33696" xr:uid="{0E5C9AC2-4E09-466D-9B31-0E8388105D72}"/>
    <cellStyle name="Migliaia 3 3 8 2 2" xfId="39175" xr:uid="{750EDEEB-A444-4F47-AB9F-68D47076593F}"/>
    <cellStyle name="Migliaia 3 3 8 2 3" xfId="44477" xr:uid="{40BBE034-935F-429E-938F-26E3DEA06BFD}"/>
    <cellStyle name="Migliaia 3 3 8 3" xfId="36625" xr:uid="{363267C5-1ECB-47FD-ABB4-B3F42CDC63B2}"/>
    <cellStyle name="Migliaia 3 3 8 4" xfId="41826" xr:uid="{53DDDFF2-07BE-4F5A-880C-772F3937B667}"/>
    <cellStyle name="Migliaia 3 3 8 5" xfId="24699" xr:uid="{086ECB13-FE67-40B5-A902-17DA66794A40}"/>
    <cellStyle name="Migliaia 3 3 8 6" xfId="17361" xr:uid="{B2DC390D-8AAA-4AC7-90CC-76D5D6552E6C}"/>
    <cellStyle name="Migliaia 3 3 9" xfId="20309" xr:uid="{6359BB81-A13F-4429-8218-373E30F13594}"/>
    <cellStyle name="Migliaia 3 4" xfId="1768" xr:uid="{00000000-0005-0000-0000-00008B030000}"/>
    <cellStyle name="Migliaia 3 4 2" xfId="1769" xr:uid="{00000000-0005-0000-0000-00008C030000}"/>
    <cellStyle name="Migliaia 3 4 2 2" xfId="5193" xr:uid="{A564E769-FD81-45C0-BEBB-17C7E2C1D8C2}"/>
    <cellStyle name="Migliaia 3 4 2 2 2" xfId="33697" xr:uid="{FD962DAF-DE5D-4038-8B3C-557DE38BB2D0}"/>
    <cellStyle name="Migliaia 3 4 2 2 2 2" xfId="39176" xr:uid="{A628B557-010E-4C97-B854-DB5E7B70F3A8}"/>
    <cellStyle name="Migliaia 3 4 2 2 2 3" xfId="44478" xr:uid="{99A60E4A-6FA3-44CF-9013-AB96A7547F48}"/>
    <cellStyle name="Migliaia 3 4 2 2 3" xfId="36626" xr:uid="{3335F2FE-1F9C-4CEE-8BE2-8D702BBDCB0F}"/>
    <cellStyle name="Migliaia 3 4 2 2 4" xfId="41827" xr:uid="{B6F93E0F-B64E-48CA-9FEF-08CAFF3EDF21}"/>
    <cellStyle name="Migliaia 3 4 2 2 5" xfId="9152" xr:uid="{9368C483-28FF-4BC4-99B0-5057210789C3}"/>
    <cellStyle name="Migliaia 3 4 2 3" xfId="3467" xr:uid="{36AF4895-E38A-4A0B-A123-7AE1C8AEB9A0}"/>
    <cellStyle name="Migliaia 3 4 2 3 2" xfId="33698" xr:uid="{429B6CA6-D007-4C3E-BBB4-A24FAB52CC83}"/>
    <cellStyle name="Migliaia 3 4 2 3 2 2" xfId="39177" xr:uid="{3F25E891-9F50-4912-926A-E8E8DA74C194}"/>
    <cellStyle name="Migliaia 3 4 2 3 2 3" xfId="44479" xr:uid="{1797CDD7-B282-40E9-BDA4-E60163AAB287}"/>
    <cellStyle name="Migliaia 3 4 2 3 3" xfId="36627" xr:uid="{B5B3974A-7538-42ED-AE51-A35FAD364844}"/>
    <cellStyle name="Migliaia 3 4 2 3 4" xfId="41828" xr:uid="{5C40F312-8B59-4272-88D1-400582DE589F}"/>
    <cellStyle name="Migliaia 3 4 2 3 5" xfId="11977" xr:uid="{DD7D929F-FA7F-42AA-8FF6-71E88D725FF1}"/>
    <cellStyle name="Migliaia 3 4 2 4" xfId="11326" xr:uid="{C640A895-2CBB-4F5E-958E-77302F129920}"/>
    <cellStyle name="Migliaia 3 4 2 5" xfId="10846" xr:uid="{396D8BB3-DA56-42D3-A4EC-B5C02F5D7803}"/>
    <cellStyle name="Migliaia 3 4 2 5 2" xfId="21481" xr:uid="{3F83ED35-FD7B-45FA-9ECA-616851921836}"/>
    <cellStyle name="Migliaia 3 4 2 5 3" xfId="48175" xr:uid="{6D334D53-F800-4A59-8A73-29D976FF0697}"/>
    <cellStyle name="Migliaia 3 4 2 5 4" xfId="50496" xr:uid="{77CE1EAE-D84B-47D3-B363-80034987BF34}"/>
    <cellStyle name="Migliaia 3 4 2 5 5" xfId="53512" xr:uid="{F9EE0991-7E45-4FC8-843B-E335DE83293D}"/>
    <cellStyle name="Migliaia 3 4 2 6" xfId="20320" xr:uid="{F6405070-5490-4899-93F0-83D48614CF4D}"/>
    <cellStyle name="Migliaia 3 4 2 7" xfId="24701" xr:uid="{19668173-D101-4609-9DF9-B336AED9BB08}"/>
    <cellStyle name="Migliaia 3 4 2 8" xfId="8616" xr:uid="{2E867466-53AE-4632-B220-03DC7BBD460C}"/>
    <cellStyle name="Migliaia 3 4 3" xfId="5192" xr:uid="{30D7D6A2-970B-4653-B28C-35B032A06BF2}"/>
    <cellStyle name="Migliaia 3 4 3 2" xfId="18207" xr:uid="{90E318B1-B302-4372-864C-F892B14975BF}"/>
    <cellStyle name="Migliaia 3 4 3 2 2" xfId="39178" xr:uid="{7C4CFFC1-0CF0-49CF-A843-FE8DF11E8768}"/>
    <cellStyle name="Migliaia 3 4 3 2 3" xfId="44480" xr:uid="{E248DD50-C038-41F2-8AA2-114378BD86F1}"/>
    <cellStyle name="Migliaia 3 4 3 3" xfId="36628" xr:uid="{164A3B73-02A6-4DAF-85B0-9A0E374CBD64}"/>
    <cellStyle name="Migliaia 3 4 3 4" xfId="41829" xr:uid="{99F8A7EC-B325-4BF7-909E-C5D67AF66117}"/>
    <cellStyle name="Migliaia 3 4 3 5" xfId="17359" xr:uid="{51FAC5A7-3DB7-4559-A578-E2273591CB5D}"/>
    <cellStyle name="Migliaia 3 4 3 6" xfId="9153" xr:uid="{C4DB589D-BE25-45C4-B790-DBE0BC2C769C}"/>
    <cellStyle name="Migliaia 3 4 4" xfId="6394" xr:uid="{2EBE0C0D-9838-400B-8F84-C8BB1DA31543}"/>
    <cellStyle name="Migliaia 3 4 4 2" xfId="33699" xr:uid="{938F3AE5-51D7-4B89-AFF3-AF79CB714313}"/>
    <cellStyle name="Migliaia 3 4 4 2 2" xfId="39179" xr:uid="{91727B8A-160D-4CEF-A5B2-AE63D37A14A9}"/>
    <cellStyle name="Migliaia 3 4 4 2 3" xfId="44481" xr:uid="{328556B1-F689-48EA-B718-0A06F73C37F2}"/>
    <cellStyle name="Migliaia 3 4 4 3" xfId="36629" xr:uid="{CB31F075-64CC-4799-BE7D-C08F1972013E}"/>
    <cellStyle name="Migliaia 3 4 4 4" xfId="41830" xr:uid="{A48C804E-D2EC-4D69-A779-044D6533C19E}"/>
    <cellStyle name="Migliaia 3 4 4 5" xfId="11978" xr:uid="{6E9E02F0-4093-4071-B333-4B9445ED63F5}"/>
    <cellStyle name="Migliaia 3 4 5" xfId="3466" xr:uid="{680B88CC-4A18-45B7-AA01-8DAA1C18E905}"/>
    <cellStyle name="Migliaia 3 4 5 2" xfId="33700" xr:uid="{35CFF1C1-A380-4BD6-B6DC-CA0A1F0CBBDC}"/>
    <cellStyle name="Migliaia 3 4 5 2 2" xfId="39180" xr:uid="{44A79C15-BD5B-4092-9C4C-9ACC7A1008F0}"/>
    <cellStyle name="Migliaia 3 4 5 2 3" xfId="44482" xr:uid="{C6878E35-AB63-47E8-83CF-49679A15562E}"/>
    <cellStyle name="Migliaia 3 4 5 3" xfId="36630" xr:uid="{FCABF2F0-E3C3-412B-AF1C-997ABD41CA60}"/>
    <cellStyle name="Migliaia 3 4 5 4" xfId="41831" xr:uid="{83F71F4A-6626-478B-9734-87E55D1EDF40}"/>
    <cellStyle name="Migliaia 3 4 5 5" xfId="11325" xr:uid="{4BA10DB9-6B61-45BF-B2F3-B33E69884ED1}"/>
    <cellStyle name="Migliaia 3 4 6" xfId="10845" xr:uid="{EBC0200F-930A-4120-ABAC-C79F97EFC918}"/>
    <cellStyle name="Migliaia 3 4 6 2" xfId="21480" xr:uid="{67377AA1-A8EE-4EAE-8B6A-00BF11FC759F}"/>
    <cellStyle name="Migliaia 3 4 6 2 2" xfId="39181" xr:uid="{789BEA12-02CD-4D5D-A90B-391FA831AB4D}"/>
    <cellStyle name="Migliaia 3 4 6 2 3" xfId="44483" xr:uid="{2AC460B3-F6E7-49DF-B380-AEB763C364D7}"/>
    <cellStyle name="Migliaia 3 4 6 2 4" xfId="33701" xr:uid="{970D1DDA-9238-45E0-8518-16290D789953}"/>
    <cellStyle name="Migliaia 3 4 6 3" xfId="36631" xr:uid="{512A4744-55B6-4304-982A-1002FCA3E9A2}"/>
    <cellStyle name="Migliaia 3 4 6 4" xfId="41832" xr:uid="{7F3E4E87-B72A-4B4C-AE7B-FA5DF4D5973A}"/>
    <cellStyle name="Migliaia 3 4 6 5" xfId="24703" xr:uid="{BD184D32-722A-4B27-BEFB-449EEC0E26F8}"/>
    <cellStyle name="Migliaia 3 4 6 6" xfId="46236" xr:uid="{CEB4A5E5-9C95-4F4E-8471-3D92F0A5431F}"/>
    <cellStyle name="Migliaia 3 4 6 7" xfId="50495" xr:uid="{F0249087-0F0E-4AFB-8B88-D316867D6BC1}"/>
    <cellStyle name="Migliaia 3 4 6 8" xfId="53511" xr:uid="{6245667E-F4DC-469B-B048-C2EBFC3FFCBA}"/>
    <cellStyle name="Migliaia 3 4 7" xfId="20319" xr:uid="{D3C24A24-E720-4E2B-BA7F-215797B1E793}"/>
    <cellStyle name="Migliaia 3 4 7 2" xfId="33702" xr:uid="{441940E3-5C75-4024-918E-A41BB7E2950A}"/>
    <cellStyle name="Migliaia 3 4 7 2 2" xfId="39182" xr:uid="{3419C61B-E4A2-4303-B3F7-44058A0F3713}"/>
    <cellStyle name="Migliaia 3 4 7 2 3" xfId="44484" xr:uid="{1ECCD9E3-081B-463C-BA5A-C90349E128EF}"/>
    <cellStyle name="Migliaia 3 4 7 3" xfId="36632" xr:uid="{3E0060F0-868A-4A56-9A0F-2D174CE8D05C}"/>
    <cellStyle name="Migliaia 3 4 7 4" xfId="41833" xr:uid="{923303D7-91C6-4AFB-92C6-827F8E86A111}"/>
    <cellStyle name="Migliaia 3 4 7 5" xfId="24704" xr:uid="{560377CB-379D-47FD-B246-A7E9A91474CF}"/>
    <cellStyle name="Migliaia 3 4 8" xfId="24700" xr:uid="{38759BD4-B122-4C14-A520-511CE6FD73E8}"/>
    <cellStyle name="Migliaia 3 4 9" xfId="7426" xr:uid="{58A9AB9C-72C0-4B6F-A760-A67F8A73A8C1}"/>
    <cellStyle name="Migliaia 3 5" xfId="1770" xr:uid="{00000000-0005-0000-0000-00008D030000}"/>
    <cellStyle name="Migliaia 3 5 2" xfId="5194" xr:uid="{361FAFC9-C77C-4E34-AFEB-AC924678CAEC}"/>
    <cellStyle name="Migliaia 3 5 2 2" xfId="18430" xr:uid="{A4B92E2A-F1BC-4C8C-BF18-DF20650D6378}"/>
    <cellStyle name="Migliaia 3 5 2 2 2" xfId="39183" xr:uid="{67F91702-4D85-403C-B5EC-1AEC898E2F96}"/>
    <cellStyle name="Migliaia 3 5 2 2 3" xfId="44485" xr:uid="{E34A25D9-8C48-419D-A485-BDA720D49F6B}"/>
    <cellStyle name="Migliaia 3 5 2 3" xfId="20322" xr:uid="{C0BD6DA7-57F0-4ED3-B6C5-F3C02BEF5A48}"/>
    <cellStyle name="Migliaia 3 5 2 3 2" xfId="36633" xr:uid="{9E1D9A7A-30A0-4F23-8F0A-E8BCFDBD53D4}"/>
    <cellStyle name="Migliaia 3 5 2 4" xfId="41834" xr:uid="{F7BACEA2-38AB-45D4-AE67-FEDF3BB9F627}"/>
    <cellStyle name="Migliaia 3 5 2 5" xfId="16358" xr:uid="{24E6615C-96E5-4DBB-9721-B6A15B28EC84}"/>
    <cellStyle name="Migliaia 3 5 2 6" xfId="8617" xr:uid="{DEE80F0E-A2FA-4EE5-B760-930FA4081756}"/>
    <cellStyle name="Migliaia 3 5 3" xfId="6395" xr:uid="{6E907510-C89F-4C2B-90F2-964E57875C83}"/>
    <cellStyle name="Migliaia 3 5 3 2" xfId="33703" xr:uid="{7A612C04-CCAA-4D82-82D3-A1131C92CA1F}"/>
    <cellStyle name="Migliaia 3 5 3 2 2" xfId="39184" xr:uid="{34916EBE-8EA4-4F80-8388-04F500306E12}"/>
    <cellStyle name="Migliaia 3 5 3 2 3" xfId="44486" xr:uid="{BC2AB61D-D0EA-4882-AC4C-55DB00091259}"/>
    <cellStyle name="Migliaia 3 5 3 3" xfId="36634" xr:uid="{A625CD62-0657-4E99-AE10-0558F5494690}"/>
    <cellStyle name="Migliaia 3 5 3 4" xfId="41835" xr:uid="{65C114FD-2C34-43E6-B1C5-BCEA87D6D96A}"/>
    <cellStyle name="Migliaia 3 5 3 5" xfId="11327" xr:uid="{EC9F47D1-3E58-4DA7-8BF0-694080739E71}"/>
    <cellStyle name="Migliaia 3 5 4" xfId="3468" xr:uid="{A2117492-3F90-45F0-9A32-748A119FF68F}"/>
    <cellStyle name="Migliaia 3 5 4 2" xfId="21482" xr:uid="{DD9885F8-04D2-4D66-848E-8EEE03BFD8B3}"/>
    <cellStyle name="Migliaia 3 5 4 2 2" xfId="39185" xr:uid="{A0889CC1-BC3F-434E-9C44-B2249AFD1807}"/>
    <cellStyle name="Migliaia 3 5 4 2 3" xfId="44487" xr:uid="{3A0C6509-43AD-4DA2-9B47-86DBD146A303}"/>
    <cellStyle name="Migliaia 3 5 4 2 4" xfId="33704" xr:uid="{EA1A558C-B1AC-4942-B5E7-B4A3A1A5B740}"/>
    <cellStyle name="Migliaia 3 5 4 3" xfId="36635" xr:uid="{EBFA679A-F91C-4528-B2AE-AAB3ABB5BB59}"/>
    <cellStyle name="Migliaia 3 5 4 4" xfId="41836" xr:uid="{E26AC524-5278-44A2-B177-0C4B4F786E9E}"/>
    <cellStyle name="Migliaia 3 5 4 5" xfId="24706" xr:uid="{FD29EF66-3822-4F18-8E58-6C000D6E0B17}"/>
    <cellStyle name="Migliaia 3 5 4 6" xfId="46237" xr:uid="{95109588-4A4A-439A-BDCC-B47FF242A3A4}"/>
    <cellStyle name="Migliaia 3 5 4 7" xfId="50497" xr:uid="{0AC77D88-1A54-49DE-84D1-16636192EB17}"/>
    <cellStyle name="Migliaia 3 5 4 8" xfId="53513" xr:uid="{BCBBF797-79C9-421B-A2DE-9EC53AC34DB3}"/>
    <cellStyle name="Migliaia 3 5 4 9" xfId="10847" xr:uid="{11653E26-91E2-4A34-AB1B-1659474BDC3B}"/>
    <cellStyle name="Migliaia 3 5 5" xfId="20321" xr:uid="{F2A8A26E-9798-43DC-94B2-4F49335E31F8}"/>
    <cellStyle name="Migliaia 3 5 5 2" xfId="33705" xr:uid="{01AF6384-4DFF-4AD1-9453-8FCA8470C685}"/>
    <cellStyle name="Migliaia 3 5 5 2 2" xfId="39186" xr:uid="{556C78ED-F934-4460-AB45-8BEAB8F12434}"/>
    <cellStyle name="Migliaia 3 5 5 2 3" xfId="44488" xr:uid="{CC589C5F-B4E0-4EC5-87E2-32F608238DFB}"/>
    <cellStyle name="Migliaia 3 5 5 3" xfId="36636" xr:uid="{77AD42D2-9972-4E65-8379-DB3955F94728}"/>
    <cellStyle name="Migliaia 3 5 5 4" xfId="41837" xr:uid="{C4498518-8557-4462-85A2-67930BB9CC91}"/>
    <cellStyle name="Migliaia 3 5 5 5" xfId="24707" xr:uid="{A7C7BF41-05CC-4761-83DE-6DE6DAC93222}"/>
    <cellStyle name="Migliaia 3 5 6" xfId="24708" xr:uid="{992F9363-4145-4FEC-A9C0-50FEDF1B7EEE}"/>
    <cellStyle name="Migliaia 3 5 6 2" xfId="33706" xr:uid="{B19CD3ED-DA68-4DB8-853E-54E4EBF77859}"/>
    <cellStyle name="Migliaia 3 5 6 2 2" xfId="39187" xr:uid="{8E1B46AF-608B-456C-B2F8-B97CE522CD68}"/>
    <cellStyle name="Migliaia 3 5 6 2 3" xfId="44489" xr:uid="{AE23BB23-04F1-4880-A116-78E084AD7DA0}"/>
    <cellStyle name="Migliaia 3 5 6 3" xfId="36637" xr:uid="{D2B796EE-AF4E-4228-82A3-FADF0DEF4281}"/>
    <cellStyle name="Migliaia 3 5 6 4" xfId="41838" xr:uid="{2A408C04-28C7-4172-B251-74866372C83A}"/>
    <cellStyle name="Migliaia 3 5 7" xfId="24705" xr:uid="{74C0FB94-9A81-430A-9DAB-0E0AB49B40E1}"/>
    <cellStyle name="Migliaia 3 5 8" xfId="7427" xr:uid="{B8EC1D70-0D80-4F30-B13B-D59EF2653609}"/>
    <cellStyle name="Migliaia 3 6" xfId="3469" xr:uid="{D33CD68D-7738-49E8-A484-1006AD8197D5}"/>
    <cellStyle name="Migliaia 3 6 2" xfId="5195" xr:uid="{CBCF6116-F22E-427B-96B1-C1DA7F5AFE6C}"/>
    <cellStyle name="Migliaia 3 6 2 2" xfId="9925" xr:uid="{C6424E07-FEF5-484B-AE65-5E18AB76B502}"/>
    <cellStyle name="Migliaia 3 6 2 3" xfId="18658" xr:uid="{88228A82-24AD-411A-90D0-CF7A3933A02A}"/>
    <cellStyle name="Migliaia 3 6 2 4" xfId="20324" xr:uid="{EEE0E6C4-784E-4D29-A706-34A986DBAA97}"/>
    <cellStyle name="Migliaia 3 6 2 5" xfId="32368" xr:uid="{B3B59532-3210-4695-85B1-1AA01BC5F9B0}"/>
    <cellStyle name="Migliaia 3 6 2 6" xfId="16360" xr:uid="{309B1872-C1AF-48A0-BA93-4912BDA190D1}"/>
    <cellStyle name="Migliaia 3 6 2 7" xfId="8612" xr:uid="{9E7E9B14-A5C3-4495-9F82-D5AC5A9710C0}"/>
    <cellStyle name="Migliaia 3 6 3" xfId="6396" xr:uid="{369E27C9-A187-4C28-BC0C-D1D12E1E5BBD}"/>
    <cellStyle name="Migliaia 3 6 3 2" xfId="35281" xr:uid="{CD2B49EC-5778-4BA8-8BCD-AD62C9F1DE09}"/>
    <cellStyle name="Migliaia 3 6 3 2 2" xfId="40441" xr:uid="{4AEC29A7-FF7B-4880-AD1B-B3DB26B182D5}"/>
    <cellStyle name="Migliaia 3 6 3 2 3" xfId="45743" xr:uid="{6368EBD1-9229-4DFF-8FCD-15EDF40C472F}"/>
    <cellStyle name="Migliaia 3 6 3 3" xfId="37790" xr:uid="{71E26BEF-0626-4F17-9CE7-8D62E32EC048}"/>
    <cellStyle name="Migliaia 3 6 3 4" xfId="43092" xr:uid="{81F120F6-CD39-4376-A26B-C0A42778C4FB}"/>
    <cellStyle name="Migliaia 3 6 3 5" xfId="9688" xr:uid="{69A87F3A-4DAF-4D72-A6BD-4CCF1C096298}"/>
    <cellStyle name="Migliaia 3 6 4" xfId="20323" xr:uid="{3279C1AE-4954-4B0E-9271-4BB156D5B695}"/>
    <cellStyle name="Migliaia 3 6 4 2" xfId="39188" xr:uid="{3E10176E-7EBE-4291-8A36-F3DC9A5B2823}"/>
    <cellStyle name="Migliaia 3 6 4 3" xfId="44490" xr:uid="{42E4F3BE-A6F2-450E-AD61-014B91635077}"/>
    <cellStyle name="Migliaia 3 6 4 4" xfId="33707" xr:uid="{330C66FD-6300-4D45-93AD-79C09A11F946}"/>
    <cellStyle name="Migliaia 3 6 5" xfId="36638" xr:uid="{2C9D3A2F-9290-47E0-A24D-AD9B03BC7269}"/>
    <cellStyle name="Migliaia 3 6 6" xfId="41839" xr:uid="{68B23F4E-0ACC-4C9A-A26F-F048BC0FB8AE}"/>
    <cellStyle name="Migliaia 3 6 7" xfId="16359" xr:uid="{1428987C-C8FE-4FAA-95EC-D38D4991BB86}"/>
    <cellStyle name="Migliaia 3 6 8" xfId="7422" xr:uid="{8D1632F9-027F-4FA4-BB6E-199597B2DB53}"/>
    <cellStyle name="Migliaia 3 7" xfId="3470" xr:uid="{48053378-162A-4E35-9A47-223903F93243}"/>
    <cellStyle name="Migliaia 3 7 2" xfId="5196" xr:uid="{6FF6ADF3-AF9F-4E09-8283-13A4239A16D0}"/>
    <cellStyle name="Migliaia 3 7 2 2" xfId="35282" xr:uid="{EA2DF3DC-A2C7-45D1-A659-2944F01D0FB1}"/>
    <cellStyle name="Migliaia 3 7 2 2 2" xfId="40442" xr:uid="{8290CF28-4E48-47C2-8323-6B73274BD2F6}"/>
    <cellStyle name="Migliaia 3 7 2 2 3" xfId="45744" xr:uid="{E65E8F78-8A6E-4139-95B3-7FC3E11B3FCE}"/>
    <cellStyle name="Migliaia 3 7 2 3" xfId="37791" xr:uid="{2289BDF4-D6AA-4103-94BB-CF1FADD16662}"/>
    <cellStyle name="Migliaia 3 7 2 4" xfId="43093" xr:uid="{5293B9CA-6CCA-4623-90D1-8730270D4735}"/>
    <cellStyle name="Migliaia 3 7 2 5" xfId="14245" xr:uid="{9C07392D-1B76-459D-9516-32C46B14119E}"/>
    <cellStyle name="Migliaia 3 7 3" xfId="6397" xr:uid="{D907F8DC-D21C-4096-A03A-A32A0225056A}"/>
    <cellStyle name="Migliaia 3 7 3 2" xfId="39189" xr:uid="{A0AE4DCB-2AFB-4E98-9B95-527CEF7EAE40}"/>
    <cellStyle name="Migliaia 3 7 3 3" xfId="44491" xr:uid="{F0D3C82D-0FD2-47CA-9A83-FA4B1C201557}"/>
    <cellStyle name="Migliaia 3 7 3 4" xfId="33708" xr:uid="{8DB5A8E2-5FC7-4D45-85F7-149E408AD9BD}"/>
    <cellStyle name="Migliaia 3 7 3 5" xfId="20325" xr:uid="{8AE1EC84-757B-40A7-8680-E0C11EA8AAAB}"/>
    <cellStyle name="Migliaia 3 7 4" xfId="36639" xr:uid="{C453F510-4732-4309-AFE7-4F6BEFCA9260}"/>
    <cellStyle name="Migliaia 3 7 5" xfId="41840" xr:uid="{D55DD9DC-28BE-4D82-ABA9-775EDF57BF44}"/>
    <cellStyle name="Migliaia 3 7 6" xfId="16361" xr:uid="{5FC293CF-1E58-4110-A4AC-8B8BCC52D2B1}"/>
    <cellStyle name="Migliaia 3 7 7" xfId="8307" xr:uid="{E3B612E2-CA31-49BE-9229-FA85BEDAD998}"/>
    <cellStyle name="Migliaia 3 8" xfId="3471" xr:uid="{15D42DEB-56E7-4F21-9728-7E47F2EC2760}"/>
    <cellStyle name="Migliaia 3 8 2" xfId="5197" xr:uid="{88BDFB1F-65C7-473E-9041-2777851976FE}"/>
    <cellStyle name="Migliaia 3 8 2 2" xfId="35283" xr:uid="{BE584D30-E2B0-4B15-89C7-0D2FFBF4E45D}"/>
    <cellStyle name="Migliaia 3 8 2 2 2" xfId="40443" xr:uid="{7B174B7F-EF09-4316-9E09-8DD81ED36751}"/>
    <cellStyle name="Migliaia 3 8 2 2 3" xfId="45745" xr:uid="{0677EA17-3BA2-495F-B89C-6F34273D7BE2}"/>
    <cellStyle name="Migliaia 3 8 2 3" xfId="37792" xr:uid="{911DD4B3-197A-4786-A1F4-425FACB37860}"/>
    <cellStyle name="Migliaia 3 8 2 4" xfId="43094" xr:uid="{316E220E-9FD8-4F7E-8178-52E6C999A421}"/>
    <cellStyle name="Migliaia 3 8 2 5" xfId="13950" xr:uid="{A95846F9-4D5F-453C-8A3D-6057822A3A3D}"/>
    <cellStyle name="Migliaia 3 8 3" xfId="6398" xr:uid="{919FBE93-8F43-42BB-AAB5-F9238F8D905E}"/>
    <cellStyle name="Migliaia 3 8 3 2" xfId="39190" xr:uid="{9201E0D4-0EDB-4AF3-ADA9-B90C3EE038BB}"/>
    <cellStyle name="Migliaia 3 8 3 3" xfId="44492" xr:uid="{AC8A3201-2140-4342-8C6D-4AFDB0FCA236}"/>
    <cellStyle name="Migliaia 3 8 3 4" xfId="33709" xr:uid="{450AE51E-456C-4027-9BEE-60C6B9E1B4CE}"/>
    <cellStyle name="Migliaia 3 8 3 5" xfId="20326" xr:uid="{7152285D-9CB8-4309-921A-56412A2F7619}"/>
    <cellStyle name="Migliaia 3 8 4" xfId="36640" xr:uid="{5D50F8D5-1EBB-4A37-9487-F8647716D360}"/>
    <cellStyle name="Migliaia 3 8 5" xfId="41841" xr:uid="{6F40C837-231E-4827-BCE2-A78833D19D7A}"/>
    <cellStyle name="Migliaia 3 8 6" xfId="16362" xr:uid="{8DAF0B35-08BE-4EF2-B9BD-CBF24819474F}"/>
    <cellStyle name="Migliaia 3 8 7" xfId="7910" xr:uid="{883CB913-6C16-4D0D-8E53-814B405DAC83}"/>
    <cellStyle name="Migliaia 3 9" xfId="5182" xr:uid="{85D40718-79DB-400A-8FC9-21A832BE5A0B}"/>
    <cellStyle name="Migliaia 3 9 2" xfId="33710" xr:uid="{3F62DB1D-C0BB-45A2-AC29-06596BD52680}"/>
    <cellStyle name="Migliaia 3 9 2 2" xfId="39191" xr:uid="{DDD02A27-A743-4278-AFD6-84248B6950ED}"/>
    <cellStyle name="Migliaia 3 9 2 3" xfId="44493" xr:uid="{7B8A0BA7-FBCF-4884-974F-00BBFA451C9B}"/>
    <cellStyle name="Migliaia 3 9 3" xfId="36641" xr:uid="{0C8FB881-5AC3-41CE-BC51-AF575E548189}"/>
    <cellStyle name="Migliaia 3 9 4" xfId="41842" xr:uid="{F99F05D8-F102-4A72-AB50-67A7FCE5BCA0}"/>
    <cellStyle name="Migliaia 3 9 5" xfId="17179" xr:uid="{4E479DE3-D616-4774-8907-5D8DEE44EBEF}"/>
    <cellStyle name="Migliaia 30" xfId="393" xr:uid="{00000000-0005-0000-0000-00008E030000}"/>
    <cellStyle name="Migliaia 30 10" xfId="6399" xr:uid="{A5648ECD-860E-4122-89C8-325B7500BDC5}"/>
    <cellStyle name="Migliaia 30 10 2" xfId="39192" xr:uid="{8F747DBB-0A0C-4696-B389-205DAED82328}"/>
    <cellStyle name="Migliaia 30 10 3" xfId="44494" xr:uid="{004D6E4E-0655-45CC-BDB3-3B9B33D6E3ED}"/>
    <cellStyle name="Migliaia 30 10 4" xfId="33711" xr:uid="{E80FB02C-7AD8-47A4-8F7F-7DC34ACF5C81}"/>
    <cellStyle name="Migliaia 30 10 5" xfId="20327" xr:uid="{4955DF4F-532D-42F7-8A7F-BDDF9F187F81}"/>
    <cellStyle name="Migliaia 30 11" xfId="3472" xr:uid="{454AC107-67C6-4B2C-A5EC-54855A0A005D}"/>
    <cellStyle name="Migliaia 30 11 2" xfId="36642" xr:uid="{BA014391-494C-4949-83B4-D6ACC2F5D65C}"/>
    <cellStyle name="Migliaia 30 12" xfId="41843" xr:uid="{9C9333D2-2823-4ED8-AC20-2AD61AA0D111}"/>
    <cellStyle name="Migliaia 30 13" xfId="7111" xr:uid="{B23ACD30-AFE8-4E0D-9B2A-9DB508A89F80}"/>
    <cellStyle name="Migliaia 30 2" xfId="394" xr:uid="{00000000-0005-0000-0000-00008F030000}"/>
    <cellStyle name="Migliaia 30 2 2" xfId="1771" xr:uid="{00000000-0005-0000-0000-000090030000}"/>
    <cellStyle name="Migliaia 30 2 2 2" xfId="5200" xr:uid="{E0AEA813-7543-48B8-8626-F0535C00C9C9}"/>
    <cellStyle name="Migliaia 30 2 2 2 2" xfId="14386" xr:uid="{7249433E-82D8-4D38-8C41-70A352DC80BD}"/>
    <cellStyle name="Migliaia 30 2 2 2 2 2" xfId="39193" xr:uid="{73526497-DE94-4878-BBD8-2D42DED5496B}"/>
    <cellStyle name="Migliaia 30 2 2 2 2 3" xfId="44495" xr:uid="{FC3B37DE-DB26-45E2-8BD0-A42CC9971059}"/>
    <cellStyle name="Migliaia 30 2 2 2 3" xfId="18431" xr:uid="{F6CCEFF3-A21D-4792-B85F-E405C3559808}"/>
    <cellStyle name="Migliaia 30 2 2 2 4" xfId="20330" xr:uid="{100E6205-9FEC-4D90-8C39-013A4579F07C}"/>
    <cellStyle name="Migliaia 30 2 2 2 4 2" xfId="41844" xr:uid="{C75FEED6-16E1-46CB-AE45-0823AB745D46}"/>
    <cellStyle name="Migliaia 30 2 2 2 5" xfId="16363" xr:uid="{B1A1B54C-6D5C-4B1A-BC66-7C73AB9B8B5B}"/>
    <cellStyle name="Migliaia 30 2 2 2 6" xfId="8619" xr:uid="{D5A6E31F-55F1-429C-A88A-6AB06513A248}"/>
    <cellStyle name="Migliaia 30 2 2 3" xfId="6401" xr:uid="{DA046622-A29E-4DCB-98C4-2FD211D71D1E}"/>
    <cellStyle name="Migliaia 30 2 2 3 2" xfId="35284" xr:uid="{056DA51B-5EBC-4120-8B42-46CEB025AD8B}"/>
    <cellStyle name="Migliaia 30 2 2 3 2 2" xfId="40444" xr:uid="{2F3241A8-52C2-4578-838F-B0875A221A19}"/>
    <cellStyle name="Migliaia 30 2 2 3 2 3" xfId="45746" xr:uid="{ABA0D763-ED03-4864-ABDC-2ACE46165357}"/>
    <cellStyle name="Migliaia 30 2 2 3 3" xfId="37793" xr:uid="{55EFB5E8-5427-4F97-BECE-3DA4185E15D7}"/>
    <cellStyle name="Migliaia 30 2 2 3 4" xfId="43095" xr:uid="{16EB5A2A-3BD2-4B29-83A4-B7122E7EF775}"/>
    <cellStyle name="Migliaia 30 2 2 3 5" xfId="11613" xr:uid="{BEE57005-A71A-4B9F-A41D-B603D40BB359}"/>
    <cellStyle name="Migliaia 30 2 2 4" xfId="3474" xr:uid="{26F018B4-1908-45AB-A65D-CBC9DA6608C9}"/>
    <cellStyle name="Migliaia 30 2 2 4 2" xfId="21483" xr:uid="{D0BBDD07-95BC-4ADE-AA1A-E7A25BB1EB69}"/>
    <cellStyle name="Migliaia 30 2 2 4 3" xfId="24246" xr:uid="{F4A75CCA-AB0E-4852-8A40-A12357B3BA3B}"/>
    <cellStyle name="Migliaia 30 2 2 4 4" xfId="50498" xr:uid="{9FF04DF8-6082-4AE2-874D-63F52098B88B}"/>
    <cellStyle name="Migliaia 30 2 2 4 5" xfId="53514" xr:uid="{554BC12F-1F89-4441-A91F-0222F294B431}"/>
    <cellStyle name="Migliaia 30 2 2 4 6" xfId="10848" xr:uid="{7BA23690-754E-4A64-9B46-82FA47E3F3F4}"/>
    <cellStyle name="Migliaia 30 2 2 5" xfId="20329" xr:uid="{F11EF128-A71E-441A-9A9C-7941B3AD0406}"/>
    <cellStyle name="Migliaia 30 2 2 6" xfId="24711" xr:uid="{E18B8AF1-2C40-4A48-BA54-8975BB5B49EE}"/>
    <cellStyle name="Migliaia 30 2 2 7" xfId="7429" xr:uid="{2A17F788-7F56-4EA0-A58B-EE39E495ED7A}"/>
    <cellStyle name="Migliaia 30 2 3" xfId="3475" xr:uid="{23DEB432-F546-4226-9A47-015B79582893}"/>
    <cellStyle name="Migliaia 30 2 3 2" xfId="5201" xr:uid="{8CF7DF5B-1D03-43BC-AE4F-AF0DFCDED04E}"/>
    <cellStyle name="Migliaia 30 2 3 2 2" xfId="35285" xr:uid="{76C74D0E-831C-4BFB-8FA0-E31006D98853}"/>
    <cellStyle name="Migliaia 30 2 3 2 2 2" xfId="40445" xr:uid="{2AFECBCC-03B2-4843-85F6-97964A87D6F6}"/>
    <cellStyle name="Migliaia 30 2 3 2 2 3" xfId="45747" xr:uid="{1975CD0B-8ECD-4221-8E0C-19F4B5E56A59}"/>
    <cellStyle name="Migliaia 30 2 3 2 3" xfId="37794" xr:uid="{78380FB5-1825-45DA-847A-D8596711A21D}"/>
    <cellStyle name="Migliaia 30 2 3 2 4" xfId="43096" xr:uid="{46C7669F-38CA-4363-AE62-B03E8D4765BD}"/>
    <cellStyle name="Migliaia 30 2 3 2 5" xfId="14249" xr:uid="{9E6E39FB-6A25-40EA-9A15-0AAA53128DE4}"/>
    <cellStyle name="Migliaia 30 2 3 3" xfId="6402" xr:uid="{B5027A94-0D22-4EDF-8B39-D76E154F08CE}"/>
    <cellStyle name="Migliaia 30 2 3 3 2" xfId="39194" xr:uid="{D260EDEC-B10B-4CBC-94F3-17B6C317B9B5}"/>
    <cellStyle name="Migliaia 30 2 3 3 3" xfId="44496" xr:uid="{A4E8B028-4772-472A-9752-833CD68BBD89}"/>
    <cellStyle name="Migliaia 30 2 3 3 4" xfId="33712" xr:uid="{66CAC975-7322-435D-A820-2AE591A83BC9}"/>
    <cellStyle name="Migliaia 30 2 3 3 5" xfId="20331" xr:uid="{ADFA2F69-A015-4D65-8834-D5374C2E5E51}"/>
    <cellStyle name="Migliaia 30 2 3 4" xfId="36643" xr:uid="{39247A37-4CBD-4DD3-BEE8-3CF5C1A043D5}"/>
    <cellStyle name="Migliaia 30 2 3 5" xfId="41845" xr:uid="{7B419655-0CCC-489C-BB3E-C039652ED4DF}"/>
    <cellStyle name="Migliaia 30 2 3 6" xfId="16364" xr:uid="{63924203-70D8-4FA8-8414-81A7FA341005}"/>
    <cellStyle name="Migliaia 30 2 3 7" xfId="8311" xr:uid="{F3EEE0F3-6604-4294-B92F-477E330CABCA}"/>
    <cellStyle name="Migliaia 30 2 4" xfId="5199" xr:uid="{150FD2A8-D660-4FF1-89AE-7C59A8427C69}"/>
    <cellStyle name="Migliaia 30 2 4 2" xfId="13954" xr:uid="{C6C8BF2F-B00A-4A7B-B813-628A66B7CCD7}"/>
    <cellStyle name="Migliaia 30 2 4 2 2" xfId="39195" xr:uid="{3ACDDEE5-7B12-4C9F-9218-888066CD1F5D}"/>
    <cellStyle name="Migliaia 30 2 4 2 3" xfId="44497" xr:uid="{C42F20D0-851C-43C1-A1B0-9DF082BCC607}"/>
    <cellStyle name="Migliaia 30 2 4 3" xfId="18710" xr:uid="{485A5D4B-CB74-4BAB-9101-179D2D1D3F3E}"/>
    <cellStyle name="Migliaia 30 2 4 4" xfId="20332" xr:uid="{82E14BE6-683F-4840-808C-D37FED1AA136}"/>
    <cellStyle name="Migliaia 30 2 4 4 2" xfId="41846" xr:uid="{25EAEAE7-F8E0-40AE-AC69-4710B0FB1620}"/>
    <cellStyle name="Migliaia 30 2 4 5" xfId="16365" xr:uid="{53F87EDF-8A43-438B-98C7-B24AEF5447D1}"/>
    <cellStyle name="Migliaia 30 2 4 6" xfId="7915" xr:uid="{83743459-BC46-477C-BB85-634A32D8D44E}"/>
    <cellStyle name="Migliaia 30 2 5" xfId="6400" xr:uid="{D5660956-E602-4205-87D5-0C3D81427E79}"/>
    <cellStyle name="Migliaia 30 2 5 2" xfId="33713" xr:uid="{5C5E4AC4-E4FE-499F-87E9-D7911141773E}"/>
    <cellStyle name="Migliaia 30 2 5 2 2" xfId="39196" xr:uid="{9AF3A426-0344-4277-80F2-4F2CF9D7D646}"/>
    <cellStyle name="Migliaia 30 2 5 2 3" xfId="44498" xr:uid="{BAB41C4C-E4C9-48B2-9A13-A77A9568A823}"/>
    <cellStyle name="Migliaia 30 2 5 3" xfId="36644" xr:uid="{4FD60243-636F-4674-8C38-77F30ACE5708}"/>
    <cellStyle name="Migliaia 30 2 5 4" xfId="41847" xr:uid="{E2BCEBD6-9375-4AD2-B52A-617E6D5B600D}"/>
    <cellStyle name="Migliaia 30 2 5 5" xfId="13126" xr:uid="{477E10E1-523A-465D-A5F9-8AA817B024A5}"/>
    <cellStyle name="Migliaia 30 2 6" xfId="3473" xr:uid="{82706221-2683-4664-96EA-B4FB27BBB7E2}"/>
    <cellStyle name="Migliaia 30 2 6 2" xfId="33714" xr:uid="{2DF0CE6E-4D9B-45B8-B423-B6F398EC934C}"/>
    <cellStyle name="Migliaia 30 2 6 2 2" xfId="39197" xr:uid="{57B718D8-1186-4C06-AA82-0A636250EC1D}"/>
    <cellStyle name="Migliaia 30 2 6 2 3" xfId="44499" xr:uid="{AB704346-B3BF-42D7-AF25-7D2C84C922CD}"/>
    <cellStyle name="Migliaia 30 2 6 3" xfId="36645" xr:uid="{FBDA71A9-F22F-4523-90C4-255FF58AFECF}"/>
    <cellStyle name="Migliaia 30 2 6 4" xfId="41848" xr:uid="{317AFB63-6FF1-4752-8CB7-7CA6F44D24B4}"/>
    <cellStyle name="Migliaia 30 2 6 5" xfId="24712" xr:uid="{6AE27751-4701-4CD6-B331-9987EE62D99A}"/>
    <cellStyle name="Migliaia 30 2 6 6" xfId="20328" xr:uid="{21408A80-4A40-4D25-BDE4-18707469DCFA}"/>
    <cellStyle name="Migliaia 30 2 7" xfId="24710" xr:uid="{551E7B3B-65A7-4DCF-A2B7-4B0F802D7629}"/>
    <cellStyle name="Migliaia 30 2 8" xfId="7112" xr:uid="{42A92627-6D26-4ECD-9891-CA69BC72EB51}"/>
    <cellStyle name="Migliaia 30 3" xfId="395" xr:uid="{00000000-0005-0000-0000-000091030000}"/>
    <cellStyle name="Migliaia 30 3 10" xfId="24713" xr:uid="{FED73AAC-B04C-42F1-ADF5-0EB5B4EBDB3B}"/>
    <cellStyle name="Migliaia 30 3 11" xfId="16366" xr:uid="{59B4B393-DF20-49A2-AE60-C21532A3C109}"/>
    <cellStyle name="Migliaia 30 3 12" xfId="7113" xr:uid="{5FD84C13-E3DA-496D-85AE-CB880367A4A1}"/>
    <cellStyle name="Migliaia 30 3 2" xfId="396" xr:uid="{00000000-0005-0000-0000-000092030000}"/>
    <cellStyle name="Migliaia 30 3 2 2" xfId="1772" xr:uid="{00000000-0005-0000-0000-000093030000}"/>
    <cellStyle name="Migliaia 30 3 2 2 2" xfId="5204" xr:uid="{7D6B1815-EA21-468F-B290-F2087F9DCDCA}"/>
    <cellStyle name="Migliaia 30 3 2 2 2 2" xfId="18432" xr:uid="{A5E2DA12-22EE-4E57-B535-8A51D84C6C8E}"/>
    <cellStyle name="Migliaia 30 3 2 2 2 2 2" xfId="21864" xr:uid="{1B7B7826-7CAE-48B8-8262-99D41D49B05D}"/>
    <cellStyle name="Migliaia 30 3 2 2 2 2 2 2" xfId="39198" xr:uid="{E130DDB2-E654-445F-B791-4338E06607EE}"/>
    <cellStyle name="Migliaia 30 3 2 2 2 2 3" xfId="44500" xr:uid="{7519C82E-7635-4C16-953E-B9C47C7722A5}"/>
    <cellStyle name="Migliaia 30 3 2 2 2 2 4" xfId="33715" xr:uid="{C472D08C-D465-45F3-82F3-51C543F4FC15}"/>
    <cellStyle name="Migliaia 30 3 2 2 2 3" xfId="36646" xr:uid="{3FDE9353-96B3-41E2-ABA8-9923AB02D8E1}"/>
    <cellStyle name="Migliaia 30 3 2 2 2 4" xfId="41849" xr:uid="{16E2314A-4CC4-40F1-B0D5-D8DDD9C9C0EA}"/>
    <cellStyle name="Migliaia 30 3 2 2 2 5" xfId="46746" xr:uid="{446E29C4-50F2-49E2-9483-A8BFE3849F76}"/>
    <cellStyle name="Migliaia 30 3 2 2 2 6" xfId="50892" xr:uid="{D0F9E053-73C8-4D25-8122-0B9DF721FF40}"/>
    <cellStyle name="Migliaia 30 3 2 2 2 7" xfId="53908" xr:uid="{50198887-2141-481A-9664-B11C6367F73E}"/>
    <cellStyle name="Migliaia 30 3 2 2 2 8" xfId="17661" xr:uid="{D98E0DAF-BA31-4D9E-838E-6C2A1C85CFDF}"/>
    <cellStyle name="Migliaia 30 3 2 2 2 9" xfId="11979" xr:uid="{87F1F3E8-D03B-4C5A-95EF-6C9F6BEF7067}"/>
    <cellStyle name="Migliaia 30 3 2 2 3" xfId="6405" xr:uid="{BD21E60F-67DE-4E42-9B82-27723192E713}"/>
    <cellStyle name="Migliaia 30 3 2 2 3 2" xfId="11560" xr:uid="{D7BFF263-50ED-48AC-942F-ADAE8A4E0C8B}"/>
    <cellStyle name="Migliaia 30 3 2 2 4" xfId="3478" xr:uid="{B9AE7AE0-3EE4-4628-B7A0-53212959F676}"/>
    <cellStyle name="Migliaia 30 3 2 2 4 2" xfId="21484" xr:uid="{FC5A4806-0DD4-4CC9-9FDA-82D59F5C8131}"/>
    <cellStyle name="Migliaia 30 3 2 2 4 3" xfId="46238" xr:uid="{1A9939A2-55B1-49B1-BC46-39941D6CDDBD}"/>
    <cellStyle name="Migliaia 30 3 2 2 4 4" xfId="50499" xr:uid="{A41A48FC-FB80-4B2D-9F78-A57B29D18497}"/>
    <cellStyle name="Migliaia 30 3 2 2 4 5" xfId="53515" xr:uid="{5A7BE3AC-3C56-4CD4-B948-631F180ECFB0}"/>
    <cellStyle name="Migliaia 30 3 2 2 4 6" xfId="10849" xr:uid="{841AE8E6-929D-483E-8420-A377FC2AEBBE}"/>
    <cellStyle name="Migliaia 30 3 2 2 5" xfId="20335" xr:uid="{E9CFA853-ECE0-46FB-B8E9-DA63EE433DAF}"/>
    <cellStyle name="Migliaia 30 3 2 2 6" xfId="24715" xr:uid="{EDC6098E-79CD-4EC6-8158-C1FA91F80704}"/>
    <cellStyle name="Migliaia 30 3 2 2 7" xfId="8621" xr:uid="{45C1A354-4317-4FDB-9FC8-9A6C9EF6A0D7}"/>
    <cellStyle name="Migliaia 30 3 2 3" xfId="5203" xr:uid="{B2AC3962-A88D-4736-8A1C-2D4E19B6A51A}"/>
    <cellStyle name="Migliaia 30 3 2 3 2" xfId="12225" xr:uid="{5788B2E8-3602-418D-88AA-9E3B8214F6BA}"/>
    <cellStyle name="Migliaia 30 3 2 3 2 2" xfId="39199" xr:uid="{5E5C738A-7234-45B9-955E-D30F8BDA98BB}"/>
    <cellStyle name="Migliaia 30 3 2 3 2 3" xfId="44501" xr:uid="{0F47F385-D462-45B6-9471-33DF6928FB01}"/>
    <cellStyle name="Migliaia 30 3 2 3 2 4" xfId="33716" xr:uid="{A72C8A04-86B5-4A50-9D2C-B82A142292EA}"/>
    <cellStyle name="Migliaia 30 3 2 3 3" xfId="11980" xr:uid="{F8C67FD5-BFEF-4189-98EF-8245B134EEA0}"/>
    <cellStyle name="Migliaia 30 3 2 3 4" xfId="20336" xr:uid="{506EBAED-4E09-4B32-97B6-33C6CDFC5148}"/>
    <cellStyle name="Migliaia 30 3 2 3 4 2" xfId="41850" xr:uid="{2B971D80-4D63-4143-8F4F-CEE3B0BF7E10}"/>
    <cellStyle name="Migliaia 30 3 2 3 5" xfId="16367" xr:uid="{AC68D614-D796-4159-A447-D89987B45C57}"/>
    <cellStyle name="Migliaia 30 3 2 3 6" xfId="7917" xr:uid="{E587FD83-5F80-4B5B-B28B-D988A341FFEC}"/>
    <cellStyle name="Migliaia 30 3 2 4" xfId="6404" xr:uid="{CC683E42-6C44-4900-BB4A-D126D13071EC}"/>
    <cellStyle name="Migliaia 30 3 2 4 2" xfId="18080" xr:uid="{095B8162-C274-4B36-91B1-ED2AFB1D0A43}"/>
    <cellStyle name="Migliaia 30 3 2 4 2 2" xfId="39200" xr:uid="{E0ECF26D-7A87-4735-8185-07505555996C}"/>
    <cellStyle name="Migliaia 30 3 2 4 2 3" xfId="44502" xr:uid="{A064EC62-7D19-47D1-B3FD-1E966CCFA139}"/>
    <cellStyle name="Migliaia 30 3 2 4 3" xfId="36647" xr:uid="{5EB02D38-D055-4C93-B3D8-61B1659890B6}"/>
    <cellStyle name="Migliaia 30 3 2 4 4" xfId="41851" xr:uid="{D6FA08C3-16A7-4775-BA63-7D7A565C83E1}"/>
    <cellStyle name="Migliaia 30 3 2 4 5" xfId="17182" xr:uid="{87C2D892-C48D-4E79-92BE-D7734568EC30}"/>
    <cellStyle name="Migliaia 30 3 2 4 6" xfId="11328" xr:uid="{79E7287A-8CFC-4110-A472-750AA7BFE01A}"/>
    <cellStyle name="Migliaia 30 3 2 5" xfId="3477" xr:uid="{83184CD9-49A3-40AB-9EDC-A6F0BB731B7A}"/>
    <cellStyle name="Migliaia 30 3 2 5 2" xfId="33717" xr:uid="{37BB4AB5-7F18-4DCC-84E6-AD80D913A990}"/>
    <cellStyle name="Migliaia 30 3 2 5 2 2" xfId="39201" xr:uid="{27E4BF51-E007-4347-9B14-AE5BC6709DC5}"/>
    <cellStyle name="Migliaia 30 3 2 5 2 3" xfId="44503" xr:uid="{D460EC77-3EC5-41C5-A40D-1E5BDF688A80}"/>
    <cellStyle name="Migliaia 30 3 2 5 3" xfId="36648" xr:uid="{D7908918-2099-4AC3-ADCE-500CBFF08F16}"/>
    <cellStyle name="Migliaia 30 3 2 5 4" xfId="41852" xr:uid="{D0576A3D-8ECF-491C-B854-EFD84FB42D18}"/>
    <cellStyle name="Migliaia 30 3 2 5 5" xfId="17357" xr:uid="{B9CA2D42-E724-41FC-8AC6-55F471923E45}"/>
    <cellStyle name="Migliaia 30 3 2 6" xfId="20334" xr:uid="{BABE5A99-4C84-4ED2-8A55-F249BF219D1B}"/>
    <cellStyle name="Migliaia 30 3 2 6 2" xfId="33718" xr:uid="{962E4A8A-472F-4819-8529-C2A1D0F130C8}"/>
    <cellStyle name="Migliaia 30 3 2 6 2 2" xfId="39202" xr:uid="{B1F8E219-EA77-48C9-AEB2-B431EF6A5D67}"/>
    <cellStyle name="Migliaia 30 3 2 6 2 3" xfId="44504" xr:uid="{F34FD711-0784-4773-85F9-8107DB9556EF}"/>
    <cellStyle name="Migliaia 30 3 2 6 3" xfId="36649" xr:uid="{416B5542-9E82-410F-B1D2-BA4135C445C4}"/>
    <cellStyle name="Migliaia 30 3 2 6 4" xfId="41853" xr:uid="{18BD2CE7-6369-43BF-AB95-4218A082F54A}"/>
    <cellStyle name="Migliaia 30 3 2 6 5" xfId="24716" xr:uid="{6CE64E50-19B3-4497-AFEF-233441D53AF1}"/>
    <cellStyle name="Migliaia 30 3 2 7" xfId="24714" xr:uid="{5F44299B-89A6-4344-89AD-DC7DF2F8C548}"/>
    <cellStyle name="Migliaia 30 3 2 8" xfId="7431" xr:uid="{F09E7E4E-EE0A-4555-BFC4-D73CA9974BFF}"/>
    <cellStyle name="Migliaia 30 3 3" xfId="3479" xr:uid="{BCEC0B74-6A62-4048-8905-84CB0B285D7F}"/>
    <cellStyle name="Migliaia 30 3 3 10" xfId="7430" xr:uid="{0B9C5F61-E1B9-492E-AE28-AFD0CC037AE4}"/>
    <cellStyle name="Migliaia 30 3 3 2" xfId="5205" xr:uid="{23E53A7D-D34B-4CC9-92BC-BA560E98EA7D}"/>
    <cellStyle name="Migliaia 30 3 3 2 2" xfId="9928" xr:uid="{9936BBD0-6677-47A1-A5D9-A5A0C3FD59EB}"/>
    <cellStyle name="Migliaia 30 3 3 2 2 2" xfId="39204" xr:uid="{3794DDE3-ACF2-4E05-B984-377A4E79E685}"/>
    <cellStyle name="Migliaia 30 3 3 2 2 3" xfId="44506" xr:uid="{5872A4D7-764D-4272-8CE9-77EE32BE05BB}"/>
    <cellStyle name="Migliaia 30 3 3 2 3" xfId="18208" xr:uid="{767D271F-C678-49E6-891D-45AF99D934DE}"/>
    <cellStyle name="Migliaia 30 3 3 2 4" xfId="20338" xr:uid="{1B98DF35-94D8-48CA-9926-F827106704A6}"/>
    <cellStyle name="Migliaia 30 3 3 2 4 2" xfId="41855" xr:uid="{4F864097-3547-45DF-BBC6-5512A96C2C51}"/>
    <cellStyle name="Migliaia 30 3 3 2 5" xfId="16369" xr:uid="{08D02F96-2374-4201-925C-560709BACC4D}"/>
    <cellStyle name="Migliaia 30 3 3 2 6" xfId="8620" xr:uid="{0AF293D7-4895-4DB9-B86B-A985B0C40959}"/>
    <cellStyle name="Migliaia 30 3 3 3" xfId="6406" xr:uid="{B9E33C39-A9FD-4A66-B62A-275DAC177203}"/>
    <cellStyle name="Migliaia 30 3 3 3 2" xfId="33721" xr:uid="{F8CEFF93-2A97-48D2-9D5B-A70DB544F695}"/>
    <cellStyle name="Migliaia 30 3 3 3 2 2" xfId="39205" xr:uid="{5A8F374C-71F7-4869-A913-0B0002061B87}"/>
    <cellStyle name="Migliaia 30 3 3 3 2 3" xfId="44507" xr:uid="{2F9851BB-238C-4EE3-85B2-0ECED38F5CFB}"/>
    <cellStyle name="Migliaia 30 3 3 3 3" xfId="36651" xr:uid="{F521A79B-171D-4244-825F-6F5D8A4A3B41}"/>
    <cellStyle name="Migliaia 30 3 3 3 4" xfId="41856" xr:uid="{056CF958-C60D-4CB1-B54D-2A8E435BDE29}"/>
    <cellStyle name="Migliaia 30 3 3 3 5" xfId="9691" xr:uid="{9B613017-EC2D-47A1-A33B-EB22DB579D96}"/>
    <cellStyle name="Migliaia 30 3 3 4" xfId="20337" xr:uid="{B708D6E9-3454-43CB-861E-24E879379742}"/>
    <cellStyle name="Migliaia 30 3 3 4 2" xfId="33722" xr:uid="{13E335BA-F315-4A07-B722-815EBEDE3AAC}"/>
    <cellStyle name="Migliaia 30 3 3 4 2 2" xfId="39206" xr:uid="{D01EE959-8441-426D-8DC1-925BA3175A1C}"/>
    <cellStyle name="Migliaia 30 3 3 4 2 3" xfId="44508" xr:uid="{A213CBFD-D102-481D-8108-225551557CDF}"/>
    <cellStyle name="Migliaia 30 3 3 4 3" xfId="36652" xr:uid="{BD3B4AD5-B743-4C5F-8C24-EB6C06B6B628}"/>
    <cellStyle name="Migliaia 30 3 3 4 4" xfId="41857" xr:uid="{C470CF9D-B650-41E7-B38E-25DC3964C035}"/>
    <cellStyle name="Migliaia 30 3 3 4 5" xfId="24718" xr:uid="{6018FACA-64AF-470C-9C50-68A87A144FAE}"/>
    <cellStyle name="Migliaia 30 3 3 5" xfId="24719" xr:uid="{1D583DC6-8024-48C9-BDCC-85190C37E051}"/>
    <cellStyle name="Migliaia 30 3 3 5 2" xfId="33723" xr:uid="{5463703D-5BC6-483D-B320-58091FA45217}"/>
    <cellStyle name="Migliaia 30 3 3 5 2 2" xfId="39207" xr:uid="{E3F4D737-1B47-441A-BF81-F351EDB01926}"/>
    <cellStyle name="Migliaia 30 3 3 5 2 3" xfId="44509" xr:uid="{034CADF0-0E3E-408D-B50E-910553E30CBC}"/>
    <cellStyle name="Migliaia 30 3 3 5 3" xfId="36653" xr:uid="{07351CE9-258A-4D38-8DBC-76CF38C29450}"/>
    <cellStyle name="Migliaia 30 3 3 5 4" xfId="41858" xr:uid="{F2020D1F-E89B-456A-A0BE-F517CE27829D}"/>
    <cellStyle name="Migliaia 30 3 3 6" xfId="33719" xr:uid="{39F0A87A-0DDB-4A9B-98FD-A32AFA962D6C}"/>
    <cellStyle name="Migliaia 30 3 3 6 2" xfId="39203" xr:uid="{3072954F-4D20-4894-B870-F0B9B92676E5}"/>
    <cellStyle name="Migliaia 30 3 3 6 3" xfId="44505" xr:uid="{F9778812-1954-41BF-B326-7F67AB1A4B4D}"/>
    <cellStyle name="Migliaia 30 3 3 7" xfId="36650" xr:uid="{C3182692-0BB4-47D2-8B98-DE57D3770521}"/>
    <cellStyle name="Migliaia 30 3 3 8" xfId="41854" xr:uid="{19814CCA-2A0F-4E01-B286-5995BDF23474}"/>
    <cellStyle name="Migliaia 30 3 3 9" xfId="16368" xr:uid="{5327539B-C7C6-4B26-8DC0-14AD8FB0AADD}"/>
    <cellStyle name="Migliaia 30 3 4" xfId="3480" xr:uid="{3E766005-9029-4CD6-B4D3-718E1FCB0B33}"/>
    <cellStyle name="Migliaia 30 3 4 2" xfId="5206" xr:uid="{EA0AF834-7804-46D7-A624-3679C5F4BAEC}"/>
    <cellStyle name="Migliaia 30 3 4 2 2" xfId="14446" xr:uid="{99ACBA5C-7269-4708-A22F-5F33FA28D96B}"/>
    <cellStyle name="Migliaia 30 3 4 2 3" xfId="18129" xr:uid="{FAFBD324-0591-40EB-BEBA-4B78EA75FCB2}"/>
    <cellStyle name="Migliaia 30 3 4 2 4" xfId="20340" xr:uid="{00F684EA-3FBE-4055-BD28-49ED9E6003E3}"/>
    <cellStyle name="Migliaia 30 3 4 2 5" xfId="32371" xr:uid="{AA0778FF-54DE-4814-81C4-92F32A6B9B9A}"/>
    <cellStyle name="Migliaia 30 3 4 2 6" xfId="16371" xr:uid="{0C8805EE-0E68-4327-A457-692DAED903FA}"/>
    <cellStyle name="Migliaia 30 3 4 2 7" xfId="8869" xr:uid="{DCC5BC8C-A066-4DBA-83FA-768F01A4DB9A}"/>
    <cellStyle name="Migliaia 30 3 4 3" xfId="6407" xr:uid="{E78013D5-4B1F-479E-B94B-DFF72D47D5A7}"/>
    <cellStyle name="Migliaia 30 3 4 3 2" xfId="35286" xr:uid="{829EFB9E-53B2-4296-AE6C-177E07FAB93A}"/>
    <cellStyle name="Migliaia 30 3 4 3 2 2" xfId="40446" xr:uid="{F0096736-126A-4C1E-8C77-BC0B804D4062}"/>
    <cellStyle name="Migliaia 30 3 4 3 2 3" xfId="45748" xr:uid="{E640C6D2-E18A-4633-B674-553CE0C9C73F}"/>
    <cellStyle name="Migliaia 30 3 4 3 3" xfId="37795" xr:uid="{CB1FC906-08AF-494E-B62E-51E4F11D4553}"/>
    <cellStyle name="Migliaia 30 3 4 3 4" xfId="43097" xr:uid="{0CFD4D96-9787-43EF-8803-BA2E38852D4E}"/>
    <cellStyle name="Migliaia 30 3 4 3 5" xfId="13694" xr:uid="{6568524B-6E96-4882-871D-D0C6AF1BC60C}"/>
    <cellStyle name="Migliaia 30 3 4 4" xfId="20339" xr:uid="{BA59736B-E073-4B97-8E5B-1853244F2A76}"/>
    <cellStyle name="Migliaia 30 3 4 4 2" xfId="39208" xr:uid="{C354E4BE-CEFC-4214-84E9-7094B0B691C7}"/>
    <cellStyle name="Migliaia 30 3 4 4 3" xfId="44510" xr:uid="{BC2127DA-4653-45CA-8F7A-0E06645505ED}"/>
    <cellStyle name="Migliaia 30 3 4 4 4" xfId="33724" xr:uid="{F89E95A4-553E-4883-8A68-848446B003DF}"/>
    <cellStyle name="Migliaia 30 3 4 5" xfId="36654" xr:uid="{79164FB8-3E19-4157-9417-EE4885BDFAB3}"/>
    <cellStyle name="Migliaia 30 3 4 6" xfId="41859" xr:uid="{97CC6DB2-6F24-463C-AE92-D086BC931B3F}"/>
    <cellStyle name="Migliaia 30 3 4 7" xfId="16370" xr:uid="{682D526D-B1D6-4A19-94FE-CDA7D1CD441B}"/>
    <cellStyle name="Migliaia 30 3 4 8" xfId="7679" xr:uid="{DED5059F-8FD7-4EE2-A132-D0D01108902A}"/>
    <cellStyle name="Migliaia 30 3 5" xfId="3481" xr:uid="{F628CF4A-8F2B-4E3E-ADE0-A5649EBBDA4A}"/>
    <cellStyle name="Migliaia 30 3 5 2" xfId="5207" xr:uid="{0E3D462A-AA33-4210-A2D0-FCAF1C77C04E}"/>
    <cellStyle name="Migliaia 30 3 5 2 2" xfId="35287" xr:uid="{EE528E7E-C091-4B56-BD35-E0FD20BED966}"/>
    <cellStyle name="Migliaia 30 3 5 2 2 2" xfId="40447" xr:uid="{747E29A1-0655-4B7E-AA7E-03C1677FE314}"/>
    <cellStyle name="Migliaia 30 3 5 2 2 3" xfId="45749" xr:uid="{BBAC4123-08E0-4A3C-ABB1-0A9EE39E691E}"/>
    <cellStyle name="Migliaia 30 3 5 2 3" xfId="37796" xr:uid="{8929FF6A-0E0F-4E78-9878-163FF0F5B022}"/>
    <cellStyle name="Migliaia 30 3 5 2 4" xfId="43098" xr:uid="{90A6AAC6-921E-41EB-9E18-FC07DDCE9BE5}"/>
    <cellStyle name="Migliaia 30 3 5 2 5" xfId="14250" xr:uid="{26B20B6C-850F-4731-8938-C8817CC8984A}"/>
    <cellStyle name="Migliaia 30 3 5 3" xfId="6408" xr:uid="{FEDE7A83-9A50-421D-A541-687FD89DF7E9}"/>
    <cellStyle name="Migliaia 30 3 5 3 2" xfId="39209" xr:uid="{EA744897-6432-46E3-A39D-159D655B69B2}"/>
    <cellStyle name="Migliaia 30 3 5 3 3" xfId="44511" xr:uid="{946A54CC-AE69-4453-BFEB-C35B8B5CB72E}"/>
    <cellStyle name="Migliaia 30 3 5 3 4" xfId="33725" xr:uid="{B145559E-A3FB-4301-B4A6-6A980E4651E9}"/>
    <cellStyle name="Migliaia 30 3 5 3 5" xfId="20341" xr:uid="{12CC33F4-DA52-4D26-ADC4-B874265330A7}"/>
    <cellStyle name="Migliaia 30 3 5 4" xfId="36655" xr:uid="{86D6A25F-8A26-4042-9FB7-1CC11EB3F3ED}"/>
    <cellStyle name="Migliaia 30 3 5 5" xfId="41860" xr:uid="{10928502-AF56-4C90-ADC6-B681015E48FF}"/>
    <cellStyle name="Migliaia 30 3 5 6" xfId="16372" xr:uid="{33C213A3-3F7B-4594-8008-32207257D527}"/>
    <cellStyle name="Migliaia 30 3 5 7" xfId="8312" xr:uid="{75A2A6EF-C678-4227-94C0-807DD32A37C9}"/>
    <cellStyle name="Migliaia 30 3 6" xfId="5202" xr:uid="{675D2E84-37F4-4173-97A0-3CFCE7D8B7A4}"/>
    <cellStyle name="Migliaia 30 3 6 2" xfId="13955" xr:uid="{6BA9A912-866E-4520-B5A8-E0EED40A1B6D}"/>
    <cellStyle name="Migliaia 30 3 6 2 2" xfId="39210" xr:uid="{D01B6576-1633-4F79-BA08-04D60943B3A3}"/>
    <cellStyle name="Migliaia 30 3 6 2 3" xfId="44512" xr:uid="{F5B9E89D-9270-4632-85CE-C7B47A410083}"/>
    <cellStyle name="Migliaia 30 3 6 3" xfId="18709" xr:uid="{09F27509-98B5-4BB6-B040-DB47B5E043D1}"/>
    <cellStyle name="Migliaia 30 3 6 4" xfId="20342" xr:uid="{EE21246B-3E5C-4D67-9F40-9EB05AE8A241}"/>
    <cellStyle name="Migliaia 30 3 6 4 2" xfId="41861" xr:uid="{2B153656-1737-4233-89B9-4AA60E1ABDE3}"/>
    <cellStyle name="Migliaia 30 3 6 5" xfId="16373" xr:uid="{BFA68F79-504F-4393-8AC2-B00C754A29C9}"/>
    <cellStyle name="Migliaia 30 3 6 6" xfId="7916" xr:uid="{3E33CA05-D8E4-490E-BC0D-3AE42E89BAA5}"/>
    <cellStyle name="Migliaia 30 3 7" xfId="6403" xr:uid="{3FE46D04-ED5C-4F0C-B98E-4DA394CA946F}"/>
    <cellStyle name="Migliaia 30 3 7 2" xfId="33726" xr:uid="{7C9BAE3B-B3B3-4873-A983-F8AF12F0D032}"/>
    <cellStyle name="Migliaia 30 3 7 2 2" xfId="39211" xr:uid="{CBC70E0A-7152-4001-9CB0-04DEDD575C56}"/>
    <cellStyle name="Migliaia 30 3 7 2 3" xfId="44513" xr:uid="{58E00C9E-D977-4310-BCE9-C1AF2346977C}"/>
    <cellStyle name="Migliaia 30 3 7 3" xfId="36656" xr:uid="{8258BAFD-1A67-49D2-B6A0-99A3F820C077}"/>
    <cellStyle name="Migliaia 30 3 7 4" xfId="41862" xr:uid="{2EA7BF84-01B0-4228-BE13-2E1C77AAFCDE}"/>
    <cellStyle name="Migliaia 30 3 7 5" xfId="11534" xr:uid="{15F6BA07-5633-4DB7-A604-927742C5B832}"/>
    <cellStyle name="Migliaia 30 3 8" xfId="3476" xr:uid="{5D31595A-A5CE-42D3-9CCA-19BBF18F5B24}"/>
    <cellStyle name="Migliaia 30 3 8 2" xfId="33727" xr:uid="{45D1701E-026C-4369-87C7-61B8D171C988}"/>
    <cellStyle name="Migliaia 30 3 8 2 2" xfId="39212" xr:uid="{C454EB8D-EEFD-461D-8758-337F646C024F}"/>
    <cellStyle name="Migliaia 30 3 8 2 3" xfId="44514" xr:uid="{C355B583-86C5-4CAE-8753-7028D86B3B3F}"/>
    <cellStyle name="Migliaia 30 3 8 3" xfId="36657" xr:uid="{868E49BA-72FE-4B51-BF91-1C3AFACF48DE}"/>
    <cellStyle name="Migliaia 30 3 8 4" xfId="41863" xr:uid="{D3CF6072-F5FB-45AE-8062-455D88574CEC}"/>
    <cellStyle name="Migliaia 30 3 8 5" xfId="24721" xr:uid="{73F5B3C9-F6CE-4D83-82BD-106D6FC97CB5}"/>
    <cellStyle name="Migliaia 30 3 8 6" xfId="17358" xr:uid="{CB98ED42-08F5-4655-B757-EA5FD3D8842E}"/>
    <cellStyle name="Migliaia 30 3 9" xfId="20333" xr:uid="{982DCCCA-6A0D-4E00-85CE-38B8D795DC70}"/>
    <cellStyle name="Migliaia 30 4" xfId="1773" xr:uid="{00000000-0005-0000-0000-000094030000}"/>
    <cellStyle name="Migliaia 30 4 2" xfId="1774" xr:uid="{00000000-0005-0000-0000-000095030000}"/>
    <cellStyle name="Migliaia 30 4 2 2" xfId="5209" xr:uid="{56E206C2-4597-42B2-8E8F-A347869D41BE}"/>
    <cellStyle name="Migliaia 30 4 2 2 2" xfId="33728" xr:uid="{3798D770-46C2-4E35-A5C6-F603CC9F7F2F}"/>
    <cellStyle name="Migliaia 30 4 2 2 2 2" xfId="39213" xr:uid="{1EB05D8E-0718-4611-83C1-A7E8379CA929}"/>
    <cellStyle name="Migliaia 30 4 2 2 2 3" xfId="44515" xr:uid="{49DF7062-238D-42EF-8EF1-EB8E7B8561C3}"/>
    <cellStyle name="Migliaia 30 4 2 2 3" xfId="36658" xr:uid="{19D4385E-BF02-48DE-A752-0D141EAC0ED3}"/>
    <cellStyle name="Migliaia 30 4 2 2 4" xfId="41864" xr:uid="{B0B6FE5F-A544-4095-97B2-5C702D3F8282}"/>
    <cellStyle name="Migliaia 30 4 2 2 5" xfId="9154" xr:uid="{491F0491-4CF0-47F3-9FFF-9AB7F36A631A}"/>
    <cellStyle name="Migliaia 30 4 2 3" xfId="3483" xr:uid="{9B9BBE27-1524-4F5A-BDAC-DAAD20337001}"/>
    <cellStyle name="Migliaia 30 4 2 3 2" xfId="33729" xr:uid="{9C892FAD-14D6-4B85-81E4-27679007AB0A}"/>
    <cellStyle name="Migliaia 30 4 2 3 2 2" xfId="39214" xr:uid="{70C42035-B171-4CEC-B7D0-3DC8F79EFA3F}"/>
    <cellStyle name="Migliaia 30 4 2 3 2 3" xfId="44516" xr:uid="{5C4A5F40-6A47-490F-B1A2-9CCCEE9983B1}"/>
    <cellStyle name="Migliaia 30 4 2 3 3" xfId="36659" xr:uid="{2D4DBCEE-05A5-4129-B63C-67869E88DB56}"/>
    <cellStyle name="Migliaia 30 4 2 3 4" xfId="41865" xr:uid="{624DDCA2-EE8E-4333-80F0-82F9A32DA215}"/>
    <cellStyle name="Migliaia 30 4 2 3 5" xfId="11981" xr:uid="{4F6CAD31-75ED-4EA4-A1F8-4116015C070E}"/>
    <cellStyle name="Migliaia 30 4 2 4" xfId="11330" xr:uid="{09F9EEC7-3009-4129-8D6E-D01DECD54FAD}"/>
    <cellStyle name="Migliaia 30 4 2 5" xfId="10851" xr:uid="{49FE2D0E-DD72-4872-8993-8CAC9C9D0E0F}"/>
    <cellStyle name="Migliaia 30 4 2 5 2" xfId="21486" xr:uid="{A77E5DC1-7FE1-4EA3-A1CC-CA7E5E0BDEAB}"/>
    <cellStyle name="Migliaia 30 4 2 5 3" xfId="46239" xr:uid="{57B40958-6FE5-4EAA-84A7-0E439D5FCE36}"/>
    <cellStyle name="Migliaia 30 4 2 5 4" xfId="50501" xr:uid="{4EC104F4-62F9-4210-89EC-CC2AF5FE8F96}"/>
    <cellStyle name="Migliaia 30 4 2 5 5" xfId="53517" xr:uid="{7B9CEBB0-344D-459F-B715-0CDAF83EA07A}"/>
    <cellStyle name="Migliaia 30 4 2 6" xfId="20344" xr:uid="{A45DAD50-1134-411E-8DD9-F9190A4651F9}"/>
    <cellStyle name="Migliaia 30 4 2 7" xfId="24723" xr:uid="{3D3403CF-A27E-4C6A-ABB4-CA9246C26D81}"/>
    <cellStyle name="Migliaia 30 4 2 8" xfId="8622" xr:uid="{9B9750C3-9905-4A60-9683-67A8980383A3}"/>
    <cellStyle name="Migliaia 30 4 3" xfId="5208" xr:uid="{FF260D4B-B5CD-49FA-80A2-89582506AB6B}"/>
    <cellStyle name="Migliaia 30 4 3 2" xfId="18209" xr:uid="{940D59C9-0718-4D75-A902-12D0AD6BE144}"/>
    <cellStyle name="Migliaia 30 4 3 2 2" xfId="39215" xr:uid="{15CAA479-ADEB-4186-919B-690C688F194E}"/>
    <cellStyle name="Migliaia 30 4 3 2 3" xfId="44517" xr:uid="{A66E3564-3A47-4551-8C05-BBC79DB1CB49}"/>
    <cellStyle name="Migliaia 30 4 3 3" xfId="36660" xr:uid="{886E546F-15A5-497D-9C7F-7A9EA048BA96}"/>
    <cellStyle name="Migliaia 30 4 3 4" xfId="41866" xr:uid="{E71E53AB-A84A-479F-9857-FBC2D8712277}"/>
    <cellStyle name="Migliaia 30 4 3 5" xfId="17356" xr:uid="{202CAA79-7231-4B0E-B68E-8B894D9EC638}"/>
    <cellStyle name="Migliaia 30 4 3 6" xfId="9155" xr:uid="{3881BCB5-44F9-4F25-9B11-C64964B1A25C}"/>
    <cellStyle name="Migliaia 30 4 4" xfId="6409" xr:uid="{B3CF7C90-5951-4675-BEB6-458A1E74A8D5}"/>
    <cellStyle name="Migliaia 30 4 4 2" xfId="33730" xr:uid="{4E3CEF7D-2E1F-45B4-BD4E-7071B499649C}"/>
    <cellStyle name="Migliaia 30 4 4 2 2" xfId="39216" xr:uid="{9A11F958-3A33-4E71-B081-CC407879F13E}"/>
    <cellStyle name="Migliaia 30 4 4 2 3" xfId="44518" xr:uid="{DACCB2B9-3361-4AE5-A429-639A43716959}"/>
    <cellStyle name="Migliaia 30 4 4 3" xfId="36661" xr:uid="{7DE67D05-0827-49E4-BADC-122DB202C426}"/>
    <cellStyle name="Migliaia 30 4 4 4" xfId="41867" xr:uid="{E2BCD92D-B462-4B9F-9C26-44D9702849BD}"/>
    <cellStyle name="Migliaia 30 4 4 5" xfId="11982" xr:uid="{A30AF958-C102-4EAB-B712-F75692327328}"/>
    <cellStyle name="Migliaia 30 4 5" xfId="3482" xr:uid="{77864A2F-A339-4DE0-9F14-5F9BB469DEF1}"/>
    <cellStyle name="Migliaia 30 4 5 2" xfId="33731" xr:uid="{1B539876-3623-4A42-8C65-7AAAFB02FBC7}"/>
    <cellStyle name="Migliaia 30 4 5 2 2" xfId="39217" xr:uid="{0B381F9F-21B1-49C6-9AB9-1C50B3A5B82C}"/>
    <cellStyle name="Migliaia 30 4 5 2 3" xfId="44519" xr:uid="{4E2844FB-EA26-4DBE-B79B-C1FE3C078688}"/>
    <cellStyle name="Migliaia 30 4 5 3" xfId="36662" xr:uid="{2820F29C-FBC0-420B-A072-858B5BB650C0}"/>
    <cellStyle name="Migliaia 30 4 5 4" xfId="41868" xr:uid="{1DE2F049-D0EB-4F25-A7C5-F2A964CC9507}"/>
    <cellStyle name="Migliaia 30 4 5 5" xfId="11329" xr:uid="{C65DE90C-00E6-46D2-8D67-D37281A87791}"/>
    <cellStyle name="Migliaia 30 4 6" xfId="10850" xr:uid="{1E792508-E7B3-414F-974B-CA22010F8822}"/>
    <cellStyle name="Migliaia 30 4 6 2" xfId="21485" xr:uid="{0B8AF2BE-A5C4-4868-96FD-58BE3E53DDB5}"/>
    <cellStyle name="Migliaia 30 4 6 2 2" xfId="39218" xr:uid="{C196BA1F-4A51-4BA6-A7E0-17DE08C16179}"/>
    <cellStyle name="Migliaia 30 4 6 2 3" xfId="44520" xr:uid="{B9609996-418C-49C0-8BE6-A3F7E4C8582D}"/>
    <cellStyle name="Migliaia 30 4 6 2 4" xfId="33732" xr:uid="{757147AE-62FC-4548-90B7-E1395742F49A}"/>
    <cellStyle name="Migliaia 30 4 6 3" xfId="36663" xr:uid="{0122BDB2-86CC-4299-B855-1D2D81A93F35}"/>
    <cellStyle name="Migliaia 30 4 6 4" xfId="41869" xr:uid="{59540AA9-DCDC-4385-9874-D1DAF2DD0AA1}"/>
    <cellStyle name="Migliaia 30 4 6 5" xfId="24724" xr:uid="{10081E2C-BAAC-485D-A364-40A64B0685E8}"/>
    <cellStyle name="Migliaia 30 4 6 6" xfId="47305" xr:uid="{803301A7-8C00-40ED-B6E6-7FCE8F85F4F1}"/>
    <cellStyle name="Migliaia 30 4 6 7" xfId="50500" xr:uid="{C2F6F30D-DBD0-4E1A-90E4-0F000D4832C4}"/>
    <cellStyle name="Migliaia 30 4 6 8" xfId="53516" xr:uid="{C44547B7-2C4E-42F8-86B8-CC9EA0E5D6D6}"/>
    <cellStyle name="Migliaia 30 4 7" xfId="20343" xr:uid="{CB5B2D98-0037-40C9-BAE9-74B72CA50A4B}"/>
    <cellStyle name="Migliaia 30 4 7 2" xfId="33733" xr:uid="{DEC9E1D5-3E0A-4DF6-BEE4-C8F01D2BF3E9}"/>
    <cellStyle name="Migliaia 30 4 7 2 2" xfId="39219" xr:uid="{D34FBFC4-52DC-45EA-9EB0-BCDF8DC785EC}"/>
    <cellStyle name="Migliaia 30 4 7 2 3" xfId="44521" xr:uid="{6C1F7FA2-2CB3-4F7F-8C76-CA0D2103A108}"/>
    <cellStyle name="Migliaia 30 4 7 3" xfId="36664" xr:uid="{90A8818A-647A-4C0F-B645-C8B8423189F9}"/>
    <cellStyle name="Migliaia 30 4 7 4" xfId="41870" xr:uid="{BE3DC2D8-0543-44CE-BFAB-B96B5C0DE86A}"/>
    <cellStyle name="Migliaia 30 4 7 5" xfId="24725" xr:uid="{A2FBF7DB-D6CD-4D1C-ACCB-321D2D6FA5B8}"/>
    <cellStyle name="Migliaia 30 4 8" xfId="24722" xr:uid="{ADA9AB4A-E520-4793-8384-F4FB2B6606C5}"/>
    <cellStyle name="Migliaia 30 4 9" xfId="7432" xr:uid="{57161DDF-97AE-4147-AE1F-11121CA61C5A}"/>
    <cellStyle name="Migliaia 30 5" xfId="1775" xr:uid="{00000000-0005-0000-0000-000096030000}"/>
    <cellStyle name="Migliaia 30 5 2" xfId="5210" xr:uid="{5DD7545F-9245-496D-AD1A-F821581FA0F3}"/>
    <cellStyle name="Migliaia 30 5 2 2" xfId="18433" xr:uid="{A59F11BF-1237-4E5B-B8ED-05AAB77535A3}"/>
    <cellStyle name="Migliaia 30 5 2 2 2" xfId="39220" xr:uid="{0D7196B7-B067-4B1F-A58A-9CCBEAAE4155}"/>
    <cellStyle name="Migliaia 30 5 2 2 3" xfId="44522" xr:uid="{EF726E92-6D80-4354-82F5-D143C813CA53}"/>
    <cellStyle name="Migliaia 30 5 2 3" xfId="20346" xr:uid="{835AED53-69C0-440C-9765-486BCDF1E45E}"/>
    <cellStyle name="Migliaia 30 5 2 3 2" xfId="36665" xr:uid="{AF4853BD-8349-4C17-B51E-82A0603DF217}"/>
    <cellStyle name="Migliaia 30 5 2 4" xfId="41871" xr:uid="{4739B976-D9CB-4829-A2ED-36D3E6770DD3}"/>
    <cellStyle name="Migliaia 30 5 2 5" xfId="16374" xr:uid="{61F8F214-5F95-4289-A15E-AF454D67C772}"/>
    <cellStyle name="Migliaia 30 5 2 6" xfId="8623" xr:uid="{714A35C9-8B47-4C2B-A373-D3F7226FB4CB}"/>
    <cellStyle name="Migliaia 30 5 3" xfId="6410" xr:uid="{60FEBD71-A04F-4D75-B4F7-0974A31FE6F8}"/>
    <cellStyle name="Migliaia 30 5 3 2" xfId="33734" xr:uid="{035A8D5E-72E4-4944-BE19-4EE60BF06942}"/>
    <cellStyle name="Migliaia 30 5 3 2 2" xfId="39221" xr:uid="{09BCA070-2170-4E26-92F7-E6891A1EAC6E}"/>
    <cellStyle name="Migliaia 30 5 3 2 3" xfId="44523" xr:uid="{2F159F04-1444-431A-8268-35B7D8F97A2A}"/>
    <cellStyle name="Migliaia 30 5 3 3" xfId="36666" xr:uid="{73270342-1C83-40B6-81B3-BA4B435D6DEC}"/>
    <cellStyle name="Migliaia 30 5 3 4" xfId="41872" xr:uid="{36FCCA10-9B64-42D3-8FF7-6DDFEF90ED7C}"/>
    <cellStyle name="Migliaia 30 5 3 5" xfId="11331" xr:uid="{083DAB9F-DD85-4E89-A701-786C9D6D3E47}"/>
    <cellStyle name="Migliaia 30 5 4" xfId="3484" xr:uid="{C390490C-3D70-440F-9E0C-8D2DC65BCD30}"/>
    <cellStyle name="Migliaia 30 5 4 2" xfId="21487" xr:uid="{D24F0FEC-B192-4C4B-9D0E-7CCCAA667B7B}"/>
    <cellStyle name="Migliaia 30 5 4 2 2" xfId="39222" xr:uid="{94FE74E1-8609-4E1B-88B4-C48782E3DFDB}"/>
    <cellStyle name="Migliaia 30 5 4 2 3" xfId="44524" xr:uid="{CD00BF20-6C57-456A-93DF-D8D4F4C59E35}"/>
    <cellStyle name="Migliaia 30 5 4 2 4" xfId="33735" xr:uid="{FFC2A701-64EE-4BC5-8D62-7E5AE914E958}"/>
    <cellStyle name="Migliaia 30 5 4 3" xfId="36667" xr:uid="{3A9C7B14-DF9C-423D-B177-7440FC54230C}"/>
    <cellStyle name="Migliaia 30 5 4 4" xfId="41873" xr:uid="{57BA9F80-49C8-4FEA-BAA7-AE99524EA582}"/>
    <cellStyle name="Migliaia 30 5 4 5" xfId="24727" xr:uid="{B5BD27A3-9F65-47D4-9890-9D9692F9E64E}"/>
    <cellStyle name="Migliaia 30 5 4 6" xfId="47600" xr:uid="{134DB47D-DB8B-4952-82AB-9B9BA695F426}"/>
    <cellStyle name="Migliaia 30 5 4 7" xfId="50502" xr:uid="{A0EED69E-3223-4412-816E-9A2A48710C01}"/>
    <cellStyle name="Migliaia 30 5 4 8" xfId="53518" xr:uid="{9DC2E029-2C53-4B3E-B642-792834D9019A}"/>
    <cellStyle name="Migliaia 30 5 4 9" xfId="10852" xr:uid="{97767F36-73DE-478E-BB9E-004FE2A87E33}"/>
    <cellStyle name="Migliaia 30 5 5" xfId="20345" xr:uid="{2D965CE5-4C00-4F90-9AF9-A0A89B9612F1}"/>
    <cellStyle name="Migliaia 30 5 5 2" xfId="33736" xr:uid="{44F656DE-3502-4265-B494-B3192F5D4D49}"/>
    <cellStyle name="Migliaia 30 5 5 2 2" xfId="39223" xr:uid="{E00557C0-0353-4E49-9336-D95186126121}"/>
    <cellStyle name="Migliaia 30 5 5 2 3" xfId="44525" xr:uid="{AEC86D1F-5C03-4192-B612-057F591B1672}"/>
    <cellStyle name="Migliaia 30 5 5 3" xfId="36668" xr:uid="{A8525AF3-57BF-4D69-BF56-D4E7EC51AA87}"/>
    <cellStyle name="Migliaia 30 5 5 4" xfId="41874" xr:uid="{5D838DC3-68F6-4024-9EFA-48C98C4FC3C6}"/>
    <cellStyle name="Migliaia 30 5 5 5" xfId="24728" xr:uid="{84746FB4-E122-4B08-B382-9F685DAAABA4}"/>
    <cellStyle name="Migliaia 30 5 6" xfId="24729" xr:uid="{2CCEDCC3-7764-4E97-BC90-99BC50B7D634}"/>
    <cellStyle name="Migliaia 30 5 6 2" xfId="33737" xr:uid="{3DFB76C1-C2A5-4599-AD4A-8B1A693E3AD1}"/>
    <cellStyle name="Migliaia 30 5 6 2 2" xfId="39224" xr:uid="{3679D158-102D-47A5-B364-CC49D3187D12}"/>
    <cellStyle name="Migliaia 30 5 6 2 3" xfId="44526" xr:uid="{4A2CB18E-4B25-4663-8690-8DD0190228F3}"/>
    <cellStyle name="Migliaia 30 5 6 3" xfId="36669" xr:uid="{F3CD9F84-3A07-4672-B6FE-E5915EC3EBFF}"/>
    <cellStyle name="Migliaia 30 5 6 4" xfId="41875" xr:uid="{15120291-F7BA-44AA-AD6A-C68CBF722A51}"/>
    <cellStyle name="Migliaia 30 5 7" xfId="24726" xr:uid="{3EC2C529-3E0A-4C18-AB30-E1CF60C635CA}"/>
    <cellStyle name="Migliaia 30 5 8" xfId="7433" xr:uid="{0BEFD50A-81A2-44BC-B86E-D698391E303A}"/>
    <cellStyle name="Migliaia 30 6" xfId="3485" xr:uid="{04A6B56F-385F-4053-8775-8211FE6B0826}"/>
    <cellStyle name="Migliaia 30 6 2" xfId="5211" xr:uid="{539A43FE-6D62-4D21-9E42-C9814BA40831}"/>
    <cellStyle name="Migliaia 30 6 2 2" xfId="9927" xr:uid="{4D0619DF-BD0C-4768-8D7A-755BDBB7330B}"/>
    <cellStyle name="Migliaia 30 6 2 3" xfId="18657" xr:uid="{B06C7F67-B3F7-4817-9012-CC2A57472832}"/>
    <cellStyle name="Migliaia 30 6 2 4" xfId="20348" xr:uid="{9BA2D1D0-BA3F-4F1A-909C-E93A9A18311E}"/>
    <cellStyle name="Migliaia 30 6 2 5" xfId="32373" xr:uid="{F6786DBA-66BE-4427-AD8A-F0B2DCA11A41}"/>
    <cellStyle name="Migliaia 30 6 2 6" xfId="16376" xr:uid="{CB436440-A2BC-4987-B801-382E8BE367F9}"/>
    <cellStyle name="Migliaia 30 6 2 7" xfId="8618" xr:uid="{ED904C45-A71E-4569-930C-AA9612CD271E}"/>
    <cellStyle name="Migliaia 30 6 3" xfId="6411" xr:uid="{9BE7E05B-2DC8-4CF4-B95B-74110A737C03}"/>
    <cellStyle name="Migliaia 30 6 3 2" xfId="35288" xr:uid="{5768439F-E4E7-4024-AFE0-857E14577AF8}"/>
    <cellStyle name="Migliaia 30 6 3 2 2" xfId="40448" xr:uid="{FE9A050A-0A74-46DA-82FA-C7A84D3D98BB}"/>
    <cellStyle name="Migliaia 30 6 3 2 3" xfId="45750" xr:uid="{4E79F2B8-E31C-49F6-AD0C-839672A7EE04}"/>
    <cellStyle name="Migliaia 30 6 3 3" xfId="37797" xr:uid="{472BCB87-4857-4562-99E2-736D48AB5196}"/>
    <cellStyle name="Migliaia 30 6 3 4" xfId="43099" xr:uid="{33AE56B2-8E0E-4F0B-9DF1-448CDD9151D9}"/>
    <cellStyle name="Migliaia 30 6 3 5" xfId="9690" xr:uid="{0F74BA15-A336-483A-B172-F04BF6652713}"/>
    <cellStyle name="Migliaia 30 6 4" xfId="20347" xr:uid="{AFD3F839-CA42-4774-8D3C-057D9D0ABBE1}"/>
    <cellStyle name="Migliaia 30 6 4 2" xfId="39225" xr:uid="{EB523764-DFF8-4960-B1F4-E571D0EF6736}"/>
    <cellStyle name="Migliaia 30 6 4 3" xfId="44527" xr:uid="{482139D3-FE88-4BCB-A600-5010B170F312}"/>
    <cellStyle name="Migliaia 30 6 4 4" xfId="33738" xr:uid="{55ED4F8C-BAE7-4C00-98D5-CDACF480AEF9}"/>
    <cellStyle name="Migliaia 30 6 5" xfId="36670" xr:uid="{663766F9-7484-4C0F-84E0-E821F5E060D8}"/>
    <cellStyle name="Migliaia 30 6 6" xfId="41876" xr:uid="{48E69C19-8E7C-481D-A189-A62D139D3431}"/>
    <cellStyle name="Migliaia 30 6 7" xfId="16375" xr:uid="{48FA5DC5-FCB0-413A-AF4A-6AFCE2DE095B}"/>
    <cellStyle name="Migliaia 30 6 8" xfId="7428" xr:uid="{F8FFD903-6862-477D-BF09-49F681F806AC}"/>
    <cellStyle name="Migliaia 30 7" xfId="3486" xr:uid="{B7AB22EB-0CC3-4C71-B7DD-E5091E042FB4}"/>
    <cellStyle name="Migliaia 30 7 2" xfId="5212" xr:uid="{13E8B76F-32EA-42C4-9234-104D3FE5914E}"/>
    <cellStyle name="Migliaia 30 7 2 2" xfId="35289" xr:uid="{D2768F9F-7B16-476A-BD59-15680DFB3655}"/>
    <cellStyle name="Migliaia 30 7 2 2 2" xfId="40449" xr:uid="{7DD517F7-B467-4D0D-893F-291D683639D4}"/>
    <cellStyle name="Migliaia 30 7 2 2 3" xfId="45751" xr:uid="{5BE7563B-F8D0-4842-90F0-C4F680950675}"/>
    <cellStyle name="Migliaia 30 7 2 3" xfId="37798" xr:uid="{211E2AC8-D1C4-4A17-91D5-47E9C9791D59}"/>
    <cellStyle name="Migliaia 30 7 2 4" xfId="43100" xr:uid="{8B87B94D-95D5-44A3-9A34-0D0C227943C8}"/>
    <cellStyle name="Migliaia 30 7 2 5" xfId="14248" xr:uid="{69F69036-C527-4459-9157-33A95C068489}"/>
    <cellStyle name="Migliaia 30 7 3" xfId="6412" xr:uid="{3B8814EB-AC9E-425B-B123-C491F468FABA}"/>
    <cellStyle name="Migliaia 30 7 3 2" xfId="39226" xr:uid="{4409BD60-64CC-430E-B1C7-1638D5442804}"/>
    <cellStyle name="Migliaia 30 7 3 3" xfId="44528" xr:uid="{4F43EEEA-217A-48D3-8CE9-1BE959066456}"/>
    <cellStyle name="Migliaia 30 7 3 4" xfId="33739" xr:uid="{86C10C7A-66CF-4D2E-86E8-C5A74DC959D9}"/>
    <cellStyle name="Migliaia 30 7 3 5" xfId="20349" xr:uid="{C993B998-43E7-4FD5-9215-D709411078ED}"/>
    <cellStyle name="Migliaia 30 7 4" xfId="36671" xr:uid="{3EF684F2-C4D6-4F59-AFA4-0B3EEE24EB88}"/>
    <cellStyle name="Migliaia 30 7 5" xfId="41877" xr:uid="{7D8A47A0-78DA-4C58-8EF7-95A5A06AD153}"/>
    <cellStyle name="Migliaia 30 7 6" xfId="16377" xr:uid="{9A52623B-3DA1-479C-AAED-D60F3A5C4145}"/>
    <cellStyle name="Migliaia 30 7 7" xfId="8310" xr:uid="{1424AA44-B51C-45A4-8E5A-BCC2E6C47E2D}"/>
    <cellStyle name="Migliaia 30 8" xfId="3487" xr:uid="{68A5C82E-A2C6-482B-90B7-B8BF552AF108}"/>
    <cellStyle name="Migliaia 30 8 2" xfId="5213" xr:uid="{0F735C06-1672-40CF-BBA7-3FA38DF98E2E}"/>
    <cellStyle name="Migliaia 30 8 2 2" xfId="35290" xr:uid="{5EEBBEC6-F334-49B3-BAE2-19D9A4D2CA2F}"/>
    <cellStyle name="Migliaia 30 8 2 2 2" xfId="40450" xr:uid="{9B57D220-158C-4F08-9853-85E438E0673E}"/>
    <cellStyle name="Migliaia 30 8 2 2 3" xfId="45752" xr:uid="{416DF28D-CD70-48AE-B4F9-331B4231A72B}"/>
    <cellStyle name="Migliaia 30 8 2 3" xfId="37799" xr:uid="{CFF9994F-E040-4C5C-8F58-CC5B781B61F9}"/>
    <cellStyle name="Migliaia 30 8 2 4" xfId="43101" xr:uid="{76ED9E2F-7088-4775-8A98-658810E94E01}"/>
    <cellStyle name="Migliaia 30 8 2 5" xfId="13953" xr:uid="{900DFF0D-18A0-4BAB-9770-BC76545742BC}"/>
    <cellStyle name="Migliaia 30 8 3" xfId="6413" xr:uid="{9AD7F6A9-B684-434F-B343-9F1B4C6A9677}"/>
    <cellStyle name="Migliaia 30 8 3 2" xfId="39227" xr:uid="{74A7AB43-F6F7-4CA4-82F6-DD28143C8594}"/>
    <cellStyle name="Migliaia 30 8 3 3" xfId="44529" xr:uid="{0D21D3F5-D6D6-4AB1-B812-361D177FEE6E}"/>
    <cellStyle name="Migliaia 30 8 3 4" xfId="33740" xr:uid="{9662D04C-D5E8-411F-B361-216CAC53BF3F}"/>
    <cellStyle name="Migliaia 30 8 3 5" xfId="20350" xr:uid="{AEB7E21D-0E60-480A-8A55-2C4E0E30273E}"/>
    <cellStyle name="Migliaia 30 8 4" xfId="36672" xr:uid="{54FE888D-8D88-41E4-BE65-DEC208107118}"/>
    <cellStyle name="Migliaia 30 8 5" xfId="41878" xr:uid="{9B27372F-79E1-4318-9E2A-5C60217A8802}"/>
    <cellStyle name="Migliaia 30 8 6" xfId="16378" xr:uid="{9E4E273E-A8E5-4826-ADFE-466CD22CB447}"/>
    <cellStyle name="Migliaia 30 8 7" xfId="7914" xr:uid="{9ACBDEB0-40DE-41FD-9D65-8AC211450CE5}"/>
    <cellStyle name="Migliaia 30 9" xfId="5198" xr:uid="{5B8C657A-0E79-4B4F-8A93-7B984551F806}"/>
    <cellStyle name="Migliaia 30 9 2" xfId="33741" xr:uid="{BB94C76B-F937-42B9-8B22-F9996F693667}"/>
    <cellStyle name="Migliaia 30 9 2 2" xfId="39228" xr:uid="{BAC8D157-9C39-49F3-ADCD-BD70B3566379}"/>
    <cellStyle name="Migliaia 30 9 2 3" xfId="44530" xr:uid="{5E101982-0795-4EA5-859B-3A23858AD94F}"/>
    <cellStyle name="Migliaia 30 9 3" xfId="36673" xr:uid="{FB42C99F-D682-4BD3-84AD-96CAAA7207E6}"/>
    <cellStyle name="Migliaia 30 9 4" xfId="41879" xr:uid="{05DFC7DB-1600-4DCA-A555-25CD0316C17F}"/>
    <cellStyle name="Migliaia 30 9 5" xfId="17181" xr:uid="{7AC10A9B-ED72-48DC-A71E-A71819A233F6}"/>
    <cellStyle name="Migliaia 31" xfId="397" xr:uid="{00000000-0005-0000-0000-000097030000}"/>
    <cellStyle name="Migliaia 31 10" xfId="6414" xr:uid="{4201DA1F-C22F-4559-A7EC-5EB649D09421}"/>
    <cellStyle name="Migliaia 31 10 2" xfId="39229" xr:uid="{F7DCFF54-877A-465E-9847-5E73871A316B}"/>
    <cellStyle name="Migliaia 31 10 3" xfId="44531" xr:uid="{BAEA21FD-A439-4847-8645-720910AFBC2F}"/>
    <cellStyle name="Migliaia 31 10 4" xfId="33742" xr:uid="{A20EEBFA-6F88-480A-92D8-890A05192B3C}"/>
    <cellStyle name="Migliaia 31 10 5" xfId="20351" xr:uid="{ECC9EC6E-2DA9-4CA1-AEE5-A2415A9723D2}"/>
    <cellStyle name="Migliaia 31 11" xfId="3488" xr:uid="{98F5A35A-B1AA-4086-A4DC-2A3A154DF5A0}"/>
    <cellStyle name="Migliaia 31 11 2" xfId="36674" xr:uid="{A790EEB1-0F20-42DB-AD2B-1085DA5B88E8}"/>
    <cellStyle name="Migliaia 31 12" xfId="41880" xr:uid="{EC1EC125-BBCB-43E0-8B36-6FDDAD3A23D5}"/>
    <cellStyle name="Migliaia 31 13" xfId="7114" xr:uid="{6D3AF153-AC37-4322-9349-559458CA0B65}"/>
    <cellStyle name="Migliaia 31 2" xfId="398" xr:uid="{00000000-0005-0000-0000-000098030000}"/>
    <cellStyle name="Migliaia 31 2 2" xfId="1776" xr:uid="{00000000-0005-0000-0000-000099030000}"/>
    <cellStyle name="Migliaia 31 2 2 2" xfId="5216" xr:uid="{D4C8525C-5AC9-45E7-B611-3ECFE076F722}"/>
    <cellStyle name="Migliaia 31 2 2 2 2" xfId="14387" xr:uid="{1811335D-CEBE-4A8F-830E-B20C0236361D}"/>
    <cellStyle name="Migliaia 31 2 2 2 2 2" xfId="39230" xr:uid="{3EB6EBF3-04B9-4027-B59E-90FEDE849991}"/>
    <cellStyle name="Migliaia 31 2 2 2 2 3" xfId="44532" xr:uid="{8031BAE3-8A6A-46FF-9785-C91AF9102AD9}"/>
    <cellStyle name="Migliaia 31 2 2 2 3" xfId="18434" xr:uid="{65DC6CB4-7F4D-4E23-A813-855ABD3E6EB7}"/>
    <cellStyle name="Migliaia 31 2 2 2 4" xfId="20354" xr:uid="{F44A3523-7E2F-4F05-9928-9846EFD97F1E}"/>
    <cellStyle name="Migliaia 31 2 2 2 4 2" xfId="41881" xr:uid="{638D8CE7-4201-4A42-861C-A9DCD9C37AC9}"/>
    <cellStyle name="Migliaia 31 2 2 2 5" xfId="16379" xr:uid="{CA70EB2B-497F-4764-83F5-D4D72DEF5887}"/>
    <cellStyle name="Migliaia 31 2 2 2 6" xfId="8625" xr:uid="{1F4F5C33-7198-4C0D-80E6-EE879EB73F3D}"/>
    <cellStyle name="Migliaia 31 2 2 3" xfId="6416" xr:uid="{5B9AB063-49DD-47AC-815D-896102B318FF}"/>
    <cellStyle name="Migliaia 31 2 2 3 2" xfId="35291" xr:uid="{8E473046-A599-45E8-AAF0-8D06E1718CC6}"/>
    <cellStyle name="Migliaia 31 2 2 3 2 2" xfId="40451" xr:uid="{58638110-0960-4AB5-993B-D5DBCCFE8958}"/>
    <cellStyle name="Migliaia 31 2 2 3 2 3" xfId="45753" xr:uid="{819E95F7-749F-47C0-AA98-C38423E85D92}"/>
    <cellStyle name="Migliaia 31 2 2 3 3" xfId="37800" xr:uid="{B7953672-EBC0-446A-B2C2-DFDD0883510E}"/>
    <cellStyle name="Migliaia 31 2 2 3 4" xfId="43102" xr:uid="{B9935F55-88E2-496C-A292-65CF49A0736C}"/>
    <cellStyle name="Migliaia 31 2 2 3 5" xfId="11614" xr:uid="{2256E601-698E-487E-BF83-2EB03A66FD6F}"/>
    <cellStyle name="Migliaia 31 2 2 4" xfId="3490" xr:uid="{47369C82-A708-4A32-B3AF-F25E16759785}"/>
    <cellStyle name="Migliaia 31 2 2 4 2" xfId="21488" xr:uid="{148D4EB4-7180-49A3-AE2C-D2078BC97A01}"/>
    <cellStyle name="Migliaia 31 2 2 4 3" xfId="47898" xr:uid="{1A956806-2124-42BA-92AA-1C7E5779F5A7}"/>
    <cellStyle name="Migliaia 31 2 2 4 4" xfId="50503" xr:uid="{7E37D2CB-DAC0-47E8-8A7F-112058047E57}"/>
    <cellStyle name="Migliaia 31 2 2 4 5" xfId="53519" xr:uid="{29BDEB80-296E-444A-970A-201771B68E43}"/>
    <cellStyle name="Migliaia 31 2 2 4 6" xfId="10853" xr:uid="{E06435B3-F922-40B4-9053-BE40928DBD1D}"/>
    <cellStyle name="Migliaia 31 2 2 5" xfId="20353" xr:uid="{E9D41C6E-C536-4F6A-AA46-53709F97F599}"/>
    <cellStyle name="Migliaia 31 2 2 6" xfId="24731" xr:uid="{FD0AC249-99BD-4D0B-BFAF-FA6D4619FCD6}"/>
    <cellStyle name="Migliaia 31 2 2 7" xfId="7435" xr:uid="{D4492925-C907-4976-8E68-1F22295CC182}"/>
    <cellStyle name="Migliaia 31 2 3" xfId="3491" xr:uid="{30762D4D-8378-4AC8-AC4E-6097F410DDE2}"/>
    <cellStyle name="Migliaia 31 2 3 2" xfId="5217" xr:uid="{E0159559-0C30-4058-B130-10BFA4CBC2DA}"/>
    <cellStyle name="Migliaia 31 2 3 2 2" xfId="35292" xr:uid="{CFBBFA89-7672-430A-8CFC-16BEAA23820B}"/>
    <cellStyle name="Migliaia 31 2 3 2 2 2" xfId="40452" xr:uid="{397DDC9F-8654-4AD0-A607-6367E37BD157}"/>
    <cellStyle name="Migliaia 31 2 3 2 2 3" xfId="45754" xr:uid="{FA7AE08A-FFA8-4686-BF95-BB6C2D11892E}"/>
    <cellStyle name="Migliaia 31 2 3 2 3" xfId="37801" xr:uid="{DAD6D61D-CE0D-4492-88B5-B04490865C7D}"/>
    <cellStyle name="Migliaia 31 2 3 2 4" xfId="43103" xr:uid="{DED4F2DB-AF9A-4AC7-9B01-79204052EBB2}"/>
    <cellStyle name="Migliaia 31 2 3 2 5" xfId="14252" xr:uid="{7C801C64-F82A-4768-B365-7EFD497A401C}"/>
    <cellStyle name="Migliaia 31 2 3 3" xfId="6417" xr:uid="{7D9254F1-66E6-4EA3-8964-B672336AA2CA}"/>
    <cellStyle name="Migliaia 31 2 3 3 2" xfId="39231" xr:uid="{3462B760-C7BC-4BB9-924F-396E1CA0EE4F}"/>
    <cellStyle name="Migliaia 31 2 3 3 3" xfId="44533" xr:uid="{A8C696C3-F064-4AF3-9912-0E3CA55DF0BA}"/>
    <cellStyle name="Migliaia 31 2 3 3 4" xfId="33743" xr:uid="{7CF4095D-C6EC-4178-ADC2-931811545405}"/>
    <cellStyle name="Migliaia 31 2 3 3 5" xfId="20355" xr:uid="{1B8921D7-3EC7-4D16-A3D6-A10D2B188A9E}"/>
    <cellStyle name="Migliaia 31 2 3 4" xfId="36675" xr:uid="{CA489EC8-1908-46FF-A431-F01E575B04C2}"/>
    <cellStyle name="Migliaia 31 2 3 5" xfId="41882" xr:uid="{8D373055-761E-4A8C-AC6C-7DE5BC708B26}"/>
    <cellStyle name="Migliaia 31 2 3 6" xfId="16380" xr:uid="{D395A64A-6220-4602-84F0-0DA473146DF2}"/>
    <cellStyle name="Migliaia 31 2 3 7" xfId="8314" xr:uid="{653596A6-B145-411B-87B4-2828930EB571}"/>
    <cellStyle name="Migliaia 31 2 4" xfId="5215" xr:uid="{1D1A6913-A23C-4F81-AB98-A42438FA8BD9}"/>
    <cellStyle name="Migliaia 31 2 4 2" xfId="13957" xr:uid="{2DA9365E-FD83-40AF-8631-BAEF7573303E}"/>
    <cellStyle name="Migliaia 31 2 4 2 2" xfId="39232" xr:uid="{603B3ADB-6E77-4955-B690-43AC95624CFC}"/>
    <cellStyle name="Migliaia 31 2 4 2 3" xfId="44534" xr:uid="{3EBC6D45-8BD5-43B3-80C8-40D1290951B7}"/>
    <cellStyle name="Migliaia 31 2 4 3" xfId="18048" xr:uid="{C2407FBC-EFFE-4D44-9D23-57D5F9B36E25}"/>
    <cellStyle name="Migliaia 31 2 4 4" xfId="20356" xr:uid="{E284B8C0-030E-435D-8B55-1F499CFBD7EF}"/>
    <cellStyle name="Migliaia 31 2 4 4 2" xfId="41883" xr:uid="{664DC3B9-473D-4EC3-B1E8-890AF1105C20}"/>
    <cellStyle name="Migliaia 31 2 4 5" xfId="16381" xr:uid="{B3056830-0BC2-424F-9C80-E81617C72A49}"/>
    <cellStyle name="Migliaia 31 2 4 6" xfId="7919" xr:uid="{E9EA08F9-A9FC-40AE-921F-1C686979B409}"/>
    <cellStyle name="Migliaia 31 2 5" xfId="6415" xr:uid="{7F28D860-C435-42DD-9574-83D99CF78566}"/>
    <cellStyle name="Migliaia 31 2 5 2" xfId="33744" xr:uid="{B5115CA7-41C3-43BA-BC83-9D7BCCA7F80F}"/>
    <cellStyle name="Migliaia 31 2 5 2 2" xfId="39233" xr:uid="{D284C7D8-54AF-4234-B980-38B94DA479C5}"/>
    <cellStyle name="Migliaia 31 2 5 2 3" xfId="44535" xr:uid="{F10E9DC8-9965-49C0-AC9A-4FF5CDCACC46}"/>
    <cellStyle name="Migliaia 31 2 5 3" xfId="36676" xr:uid="{9BB3B77E-5C01-4087-BED5-CF51263A5495}"/>
    <cellStyle name="Migliaia 31 2 5 4" xfId="41884" xr:uid="{4ED46D05-C153-441B-8AAF-D72321A8B442}"/>
    <cellStyle name="Migliaia 31 2 5 5" xfId="13127" xr:uid="{EFA2A021-3431-4BFA-A7F7-063205D1A715}"/>
    <cellStyle name="Migliaia 31 2 6" xfId="3489" xr:uid="{04C8A515-55ED-4DD1-A7DC-149F66F6F98B}"/>
    <cellStyle name="Migliaia 31 2 6 2" xfId="33745" xr:uid="{0F338E47-5809-4F1D-A03D-197690138987}"/>
    <cellStyle name="Migliaia 31 2 6 2 2" xfId="39234" xr:uid="{84E09B6B-BCE3-4908-9D77-5DA0147AAC7E}"/>
    <cellStyle name="Migliaia 31 2 6 2 3" xfId="44536" xr:uid="{5B18C787-2989-478F-93FC-4CA2E9603CD8}"/>
    <cellStyle name="Migliaia 31 2 6 3" xfId="36677" xr:uid="{D4BD1EA9-9D10-4AE7-82B7-1150C7E600B3}"/>
    <cellStyle name="Migliaia 31 2 6 4" xfId="41885" xr:uid="{2DE41D8C-6009-413D-AA66-39B4FD61D710}"/>
    <cellStyle name="Migliaia 31 2 6 5" xfId="24732" xr:uid="{7F2EF045-4F21-4BCE-80B9-00002A917CEA}"/>
    <cellStyle name="Migliaia 31 2 6 6" xfId="20352" xr:uid="{50FAD4B5-9726-4DF3-A264-1F84CA96A2EF}"/>
    <cellStyle name="Migliaia 31 2 7" xfId="24730" xr:uid="{4AE82017-836C-4C0C-8E63-2D08A260AE71}"/>
    <cellStyle name="Migliaia 31 2 8" xfId="7115" xr:uid="{CFAA4451-FE3F-4941-97E7-553EB9E7016E}"/>
    <cellStyle name="Migliaia 31 3" xfId="399" xr:uid="{00000000-0005-0000-0000-00009A030000}"/>
    <cellStyle name="Migliaia 31 3 10" xfId="24733" xr:uid="{F59303C0-4FA2-4C1C-9CDE-3A07121CF459}"/>
    <cellStyle name="Migliaia 31 3 11" xfId="16382" xr:uid="{02F9824C-06F5-42B9-A471-8DE1AC3CDC7E}"/>
    <cellStyle name="Migliaia 31 3 12" xfId="7116" xr:uid="{50621E49-C3D8-4BA1-8BD5-60C3FCEC4CD4}"/>
    <cellStyle name="Migliaia 31 3 2" xfId="400" xr:uid="{00000000-0005-0000-0000-00009B030000}"/>
    <cellStyle name="Migliaia 31 3 2 2" xfId="1777" xr:uid="{00000000-0005-0000-0000-00009C030000}"/>
    <cellStyle name="Migliaia 31 3 2 2 2" xfId="5220" xr:uid="{DF71539A-74F4-437F-8BD1-A4521F5A17BD}"/>
    <cellStyle name="Migliaia 31 3 2 2 2 2" xfId="18435" xr:uid="{C1E541C8-B31C-48B6-A2C4-EDD6A1133138}"/>
    <cellStyle name="Migliaia 31 3 2 2 2 2 2" xfId="21865" xr:uid="{44AB6FA0-46EC-4DB0-BDFB-890AE820B5E9}"/>
    <cellStyle name="Migliaia 31 3 2 2 2 2 2 2" xfId="39235" xr:uid="{4ABA8E73-D015-479A-9694-5B6ABA323054}"/>
    <cellStyle name="Migliaia 31 3 2 2 2 2 3" xfId="44537" xr:uid="{C2452BE2-5D60-4ABC-B4F2-CB9BF91AF338}"/>
    <cellStyle name="Migliaia 31 3 2 2 2 2 4" xfId="33746" xr:uid="{F64EA6CE-5177-410C-8ED5-C3C6E660214D}"/>
    <cellStyle name="Migliaia 31 3 2 2 2 3" xfId="36678" xr:uid="{20094BCF-1F0C-4D33-AF72-63074F4EAB4E}"/>
    <cellStyle name="Migliaia 31 3 2 2 2 4" xfId="41886" xr:uid="{A0EB0186-E91F-4C42-B9F9-E5C33212EE75}"/>
    <cellStyle name="Migliaia 31 3 2 2 2 5" xfId="25118" xr:uid="{D1313508-170E-4426-A0B1-379C666512DD}"/>
    <cellStyle name="Migliaia 31 3 2 2 2 6" xfId="50893" xr:uid="{EE095993-DC90-4266-A438-3CD28ACE6050}"/>
    <cellStyle name="Migliaia 31 3 2 2 2 7" xfId="53909" xr:uid="{AE00583B-F2AC-4FF4-A77C-F1B1EF1214C5}"/>
    <cellStyle name="Migliaia 31 3 2 2 2 8" xfId="17662" xr:uid="{05C555D6-6C05-4618-9B49-834B9DB1C25E}"/>
    <cellStyle name="Migliaia 31 3 2 2 2 9" xfId="11983" xr:uid="{A59EA2FF-D2EC-43F1-A33D-642895083741}"/>
    <cellStyle name="Migliaia 31 3 2 2 3" xfId="6420" xr:uid="{77D51350-50C7-490F-B3DF-F5AA14B70FE5}"/>
    <cellStyle name="Migliaia 31 3 2 2 3 2" xfId="11561" xr:uid="{12F9AE96-0549-4F52-B3A8-5CBC988EFDDE}"/>
    <cellStyle name="Migliaia 31 3 2 2 4" xfId="3494" xr:uid="{6902512F-08C6-4B01-87E8-60DCE8CD288D}"/>
    <cellStyle name="Migliaia 31 3 2 2 4 2" xfId="21489" xr:uid="{00954306-E73A-4734-9261-B5574B1CAA22}"/>
    <cellStyle name="Migliaia 31 3 2 2 4 3" xfId="46240" xr:uid="{EC673F0E-9BC4-42F4-8FC4-BE3143506309}"/>
    <cellStyle name="Migliaia 31 3 2 2 4 4" xfId="50504" xr:uid="{147B01FC-9C43-496F-B036-02606133F1D8}"/>
    <cellStyle name="Migliaia 31 3 2 2 4 5" xfId="53520" xr:uid="{1BE276C7-34D6-4A86-85E0-19D5FE5D5527}"/>
    <cellStyle name="Migliaia 31 3 2 2 4 6" xfId="10854" xr:uid="{7453F83B-8D35-4815-8ABC-602A6A4637BE}"/>
    <cellStyle name="Migliaia 31 3 2 2 5" xfId="20359" xr:uid="{71FCA41B-102B-4FA9-A9AA-AA386FF397F6}"/>
    <cellStyle name="Migliaia 31 3 2 2 6" xfId="24735" xr:uid="{4B4116FF-4F54-4B9C-BE5C-0649BC71212C}"/>
    <cellStyle name="Migliaia 31 3 2 2 7" xfId="8627" xr:uid="{3520C8AF-E5E0-41B9-A1A3-494A941594E2}"/>
    <cellStyle name="Migliaia 31 3 2 3" xfId="5219" xr:uid="{09E0C114-33C2-468D-A27D-C25888CD82A8}"/>
    <cellStyle name="Migliaia 31 3 2 3 2" xfId="12413" xr:uid="{01ED5FFD-18F6-4745-A98B-5F517F4AA934}"/>
    <cellStyle name="Migliaia 31 3 2 3 2 2" xfId="39236" xr:uid="{10E6201F-476E-417C-8FD2-7FF636BC5DE6}"/>
    <cellStyle name="Migliaia 31 3 2 3 2 3" xfId="44538" xr:uid="{552DBB11-592B-4CF5-9701-CDE654D213D0}"/>
    <cellStyle name="Migliaia 31 3 2 3 2 4" xfId="33747" xr:uid="{E4FDB6FD-2C13-404B-B045-E9B43CF2A038}"/>
    <cellStyle name="Migliaia 31 3 2 3 3" xfId="11984" xr:uid="{E3687BA6-4C73-4A14-9A62-491A9AE9C346}"/>
    <cellStyle name="Migliaia 31 3 2 3 4" xfId="20360" xr:uid="{17781622-987D-4371-BF10-048CE0120C8E}"/>
    <cellStyle name="Migliaia 31 3 2 3 4 2" xfId="41887" xr:uid="{A80E8E6C-2A11-4DE2-A7E2-08C28907912D}"/>
    <cellStyle name="Migliaia 31 3 2 3 5" xfId="16383" xr:uid="{009B6D10-593B-4DCB-9961-8582EED0E21B}"/>
    <cellStyle name="Migliaia 31 3 2 3 6" xfId="7921" xr:uid="{3CA03E4F-6045-4724-9EF1-598AE04BEEDA}"/>
    <cellStyle name="Migliaia 31 3 2 4" xfId="6419" xr:uid="{76050A85-0A90-46F9-9A30-42A5C0029655}"/>
    <cellStyle name="Migliaia 31 3 2 4 2" xfId="18081" xr:uid="{3134B4E1-959B-4DA0-9F14-724409D74994}"/>
    <cellStyle name="Migliaia 31 3 2 4 2 2" xfId="39237" xr:uid="{929829D3-C26C-4469-8C37-7D7F9D9B2296}"/>
    <cellStyle name="Migliaia 31 3 2 4 2 3" xfId="44539" xr:uid="{278DD10D-20B8-4557-A95A-00540678D18F}"/>
    <cellStyle name="Migliaia 31 3 2 4 3" xfId="36679" xr:uid="{BA36D7A5-4740-4F91-A91B-DDE860E7D16E}"/>
    <cellStyle name="Migliaia 31 3 2 4 4" xfId="41888" xr:uid="{624CDC04-6E80-427B-9AD5-EB478B60CE93}"/>
    <cellStyle name="Migliaia 31 3 2 4 5" xfId="17184" xr:uid="{2155263D-F15D-46E9-A6A3-D75C6994E7FC}"/>
    <cellStyle name="Migliaia 31 3 2 4 6" xfId="11332" xr:uid="{6DA2C26A-E05E-4FB2-BABC-4BDE8D6FDCCA}"/>
    <cellStyle name="Migliaia 31 3 2 5" xfId="3493" xr:uid="{BAC76DF3-711D-43D4-B822-D8482F1BF89D}"/>
    <cellStyle name="Migliaia 31 3 2 5 2" xfId="33748" xr:uid="{0CBAE39A-50FE-4D93-A8AE-5FC4FB5A6810}"/>
    <cellStyle name="Migliaia 31 3 2 5 2 2" xfId="39238" xr:uid="{7376D6EA-78D3-4304-981C-59748BB962C4}"/>
    <cellStyle name="Migliaia 31 3 2 5 2 3" xfId="44540" xr:uid="{83FDD109-56E6-4738-A01B-1DD3CFDCCD60}"/>
    <cellStyle name="Migliaia 31 3 2 5 3" xfId="36680" xr:uid="{567248DA-BF5C-469D-A22A-68CCB49E7276}"/>
    <cellStyle name="Migliaia 31 3 2 5 4" xfId="41889" xr:uid="{CF8C6806-DB78-4249-A29D-7E203047F26E}"/>
    <cellStyle name="Migliaia 31 3 2 5 5" xfId="17354" xr:uid="{1FB87460-B61C-4125-AF75-D8648A7670FE}"/>
    <cellStyle name="Migliaia 31 3 2 6" xfId="20358" xr:uid="{D44E5098-0D57-458B-840D-D21E2F1B288C}"/>
    <cellStyle name="Migliaia 31 3 2 6 2" xfId="33749" xr:uid="{345592E1-829B-4A3B-87D3-B37ABCD3F9E6}"/>
    <cellStyle name="Migliaia 31 3 2 6 2 2" xfId="39239" xr:uid="{4FB4B4DE-FD88-470C-925E-2F1413ECEA18}"/>
    <cellStyle name="Migliaia 31 3 2 6 2 3" xfId="44541" xr:uid="{429EA2BD-E70A-4657-9B31-A389FAB74B50}"/>
    <cellStyle name="Migliaia 31 3 2 6 3" xfId="36681" xr:uid="{7B016810-30A8-4752-B429-3B9C1B7D33CF}"/>
    <cellStyle name="Migliaia 31 3 2 6 4" xfId="41890" xr:uid="{6B71A572-D1C8-4F21-8B53-0FD41B772525}"/>
    <cellStyle name="Migliaia 31 3 2 6 5" xfId="24736" xr:uid="{F452539B-7AFD-47E3-8314-5B07506E9D31}"/>
    <cellStyle name="Migliaia 31 3 2 7" xfId="24734" xr:uid="{8501F202-9CCF-427D-BB78-F984A99C5927}"/>
    <cellStyle name="Migliaia 31 3 2 8" xfId="7437" xr:uid="{225C635F-FCA7-49A9-8644-00125B5CF8D9}"/>
    <cellStyle name="Migliaia 31 3 3" xfId="3495" xr:uid="{D3BDCB50-6E7F-4B9A-9244-6B124F81DFF6}"/>
    <cellStyle name="Migliaia 31 3 3 10" xfId="7436" xr:uid="{6E3CEDD8-0CDD-48CF-9773-60A12BA33C81}"/>
    <cellStyle name="Migliaia 31 3 3 2" xfId="5221" xr:uid="{8E78C43B-41FB-4D0F-9CDC-5EA3F67D585D}"/>
    <cellStyle name="Migliaia 31 3 3 2 2" xfId="9930" xr:uid="{5CCF491B-9096-4803-90B8-54438CAE1BD4}"/>
    <cellStyle name="Migliaia 31 3 3 2 2 2" xfId="39241" xr:uid="{B2CFE6A5-1816-4B2F-8EA3-E5D15F28C890}"/>
    <cellStyle name="Migliaia 31 3 3 2 2 3" xfId="44543" xr:uid="{70436AE1-B6D7-4DEE-9932-1F59318DBA58}"/>
    <cellStyle name="Migliaia 31 3 3 2 3" xfId="18210" xr:uid="{CDE44738-839B-4BE5-8313-768A79E75B98}"/>
    <cellStyle name="Migliaia 31 3 3 2 4" xfId="20362" xr:uid="{55BEF220-47A5-4AA4-9726-E5DC65B9BD76}"/>
    <cellStyle name="Migliaia 31 3 3 2 4 2" xfId="41892" xr:uid="{767ED706-A510-41BE-8A8B-5E6520107E3B}"/>
    <cellStyle name="Migliaia 31 3 3 2 5" xfId="16385" xr:uid="{D5FCE0DD-2E81-43DD-971E-D925EAB62FEE}"/>
    <cellStyle name="Migliaia 31 3 3 2 6" xfId="8626" xr:uid="{6A53DAE4-8F85-41C0-A6F5-0E4F84881DD8}"/>
    <cellStyle name="Migliaia 31 3 3 3" xfId="6421" xr:uid="{893AD938-730D-4D6C-B254-03A4384AE400}"/>
    <cellStyle name="Migliaia 31 3 3 3 2" xfId="33751" xr:uid="{1C54D824-83F3-4E69-BEF4-633B46B63CEF}"/>
    <cellStyle name="Migliaia 31 3 3 3 2 2" xfId="39242" xr:uid="{7D06A263-F990-4F84-8BD1-4696B8D3753B}"/>
    <cellStyle name="Migliaia 31 3 3 3 2 3" xfId="44544" xr:uid="{D5760284-31A8-4FFC-A47B-10044966A57B}"/>
    <cellStyle name="Migliaia 31 3 3 3 3" xfId="36683" xr:uid="{2CDB14AB-76E3-4B76-94AE-C2F4874506E5}"/>
    <cellStyle name="Migliaia 31 3 3 3 4" xfId="41893" xr:uid="{EA997AAA-8A0E-4292-84BA-D77DDCE22775}"/>
    <cellStyle name="Migliaia 31 3 3 3 5" xfId="9693" xr:uid="{6BE3AC87-8E19-4BA1-88C2-70F7B19177A5}"/>
    <cellStyle name="Migliaia 31 3 3 4" xfId="20361" xr:uid="{98A408FE-4BA2-4D2E-854D-3AFCABE0B243}"/>
    <cellStyle name="Migliaia 31 3 3 4 2" xfId="33752" xr:uid="{CD0E34D2-5643-4341-929B-973FB6961A90}"/>
    <cellStyle name="Migliaia 31 3 3 4 2 2" xfId="39243" xr:uid="{3AFE4A14-A951-4496-8ABE-EE50663B6CA9}"/>
    <cellStyle name="Migliaia 31 3 3 4 2 3" xfId="44545" xr:uid="{3278A17B-5B74-4EED-A1BC-62029A4CE1F2}"/>
    <cellStyle name="Migliaia 31 3 3 4 3" xfId="36684" xr:uid="{37B59550-3385-4C28-9F9E-9E923C899562}"/>
    <cellStyle name="Migliaia 31 3 3 4 4" xfId="41894" xr:uid="{77AEB111-3235-4C30-B1B1-0D4BEE299962}"/>
    <cellStyle name="Migliaia 31 3 3 4 5" xfId="24737" xr:uid="{83018D26-81F7-4361-A81E-3C7E3B888BDF}"/>
    <cellStyle name="Migliaia 31 3 3 5" xfId="24738" xr:uid="{888CA912-9604-4F4B-BB52-3CCC8A8932B2}"/>
    <cellStyle name="Migliaia 31 3 3 5 2" xfId="33753" xr:uid="{872B2D3A-8B11-47E5-9E81-5527D113661B}"/>
    <cellStyle name="Migliaia 31 3 3 5 2 2" xfId="39244" xr:uid="{70C812EE-1115-49E1-A0F5-5034FAD9AA72}"/>
    <cellStyle name="Migliaia 31 3 3 5 2 3" xfId="44546" xr:uid="{9211998D-058A-49E0-ADB5-EC2E49BD1C79}"/>
    <cellStyle name="Migliaia 31 3 3 5 3" xfId="36685" xr:uid="{45469E5F-8F22-446C-9F76-B62A82F6296A}"/>
    <cellStyle name="Migliaia 31 3 3 5 4" xfId="41895" xr:uid="{AFAF7C5F-1487-49C0-B2E8-B3A5CEFD372F}"/>
    <cellStyle name="Migliaia 31 3 3 6" xfId="33750" xr:uid="{8E584D8E-8F07-4173-A3CA-4BC9DA490C87}"/>
    <cellStyle name="Migliaia 31 3 3 6 2" xfId="39240" xr:uid="{43DC9B23-C0DE-41C4-AFB9-A23E6EC72358}"/>
    <cellStyle name="Migliaia 31 3 3 6 3" xfId="44542" xr:uid="{5C1758B2-105D-4255-94BE-3C1FE06125FB}"/>
    <cellStyle name="Migliaia 31 3 3 7" xfId="36682" xr:uid="{408FE824-73A4-4A11-9F04-1A83B2AF9527}"/>
    <cellStyle name="Migliaia 31 3 3 8" xfId="41891" xr:uid="{C184D14B-0973-486B-8685-B66B27983E4A}"/>
    <cellStyle name="Migliaia 31 3 3 9" xfId="16384" xr:uid="{D84A0F76-3442-4547-829B-3543C6532142}"/>
    <cellStyle name="Migliaia 31 3 4" xfId="3496" xr:uid="{84CA125A-BA26-45F8-9DED-C565E220C5BF}"/>
    <cellStyle name="Migliaia 31 3 4 2" xfId="5222" xr:uid="{8EB56F92-E8F9-4EDE-B599-227C0043B235}"/>
    <cellStyle name="Migliaia 31 3 4 2 2" xfId="14447" xr:uid="{7E3CF24B-DE85-49E6-83EC-5F0D7CFA8C24}"/>
    <cellStyle name="Migliaia 31 3 4 2 3" xfId="18034" xr:uid="{BF75D73D-82D3-49D8-BC00-86844C760CF4}"/>
    <cellStyle name="Migliaia 31 3 4 2 4" xfId="20364" xr:uid="{D5FCC455-8237-48A2-AFA5-EC54B81CC8CF}"/>
    <cellStyle name="Migliaia 31 3 4 2 5" xfId="32374" xr:uid="{4FE5EC5F-B3D4-4F94-8909-FA689EF34586}"/>
    <cellStyle name="Migliaia 31 3 4 2 6" xfId="16387" xr:uid="{E4C28CF8-29E6-4789-B00C-151763120197}"/>
    <cellStyle name="Migliaia 31 3 4 2 7" xfId="8870" xr:uid="{85BF0225-73FE-4986-8C2C-42379B1547BF}"/>
    <cellStyle name="Migliaia 31 3 4 3" xfId="6422" xr:uid="{99B068B8-AF70-4599-8CA0-675CDFB635B4}"/>
    <cellStyle name="Migliaia 31 3 4 3 2" xfId="35293" xr:uid="{0BEF78AB-BB09-4115-8028-84C170A3E13D}"/>
    <cellStyle name="Migliaia 31 3 4 3 2 2" xfId="40453" xr:uid="{244E9E6D-844E-40C6-B37E-D242106E3CA3}"/>
    <cellStyle name="Migliaia 31 3 4 3 2 3" xfId="45755" xr:uid="{C26B83F7-AB34-4EDC-A606-43CB6A0A9BCB}"/>
    <cellStyle name="Migliaia 31 3 4 3 3" xfId="37802" xr:uid="{8EA34DE4-CE68-44D9-922D-BF23ED718AB5}"/>
    <cellStyle name="Migliaia 31 3 4 3 4" xfId="43104" xr:uid="{6EBD7D4D-BBA2-4F72-AABC-13BC0EEBA33A}"/>
    <cellStyle name="Migliaia 31 3 4 3 5" xfId="13695" xr:uid="{BAD54529-2722-44CF-A8FA-BA2EFDB82E72}"/>
    <cellStyle name="Migliaia 31 3 4 4" xfId="20363" xr:uid="{60F186BD-E3A3-43AA-904A-450253B57011}"/>
    <cellStyle name="Migliaia 31 3 4 4 2" xfId="39245" xr:uid="{7635EE65-8FD7-461F-9686-CCC43E227B07}"/>
    <cellStyle name="Migliaia 31 3 4 4 3" xfId="44547" xr:uid="{0EDC2BB7-E8FC-437F-AA61-2CF7911B6625}"/>
    <cellStyle name="Migliaia 31 3 4 4 4" xfId="33754" xr:uid="{EC2B8E66-B4B7-4AF2-8DC8-6BC6BFD44D14}"/>
    <cellStyle name="Migliaia 31 3 4 5" xfId="36686" xr:uid="{CC81F35A-7EFE-4AF2-94C3-12945AB77E4E}"/>
    <cellStyle name="Migliaia 31 3 4 6" xfId="41896" xr:uid="{351F6534-0C29-443E-8243-8CAD05E0B406}"/>
    <cellStyle name="Migliaia 31 3 4 7" xfId="16386" xr:uid="{6BF02431-61D9-414D-A385-DDE49801E331}"/>
    <cellStyle name="Migliaia 31 3 4 8" xfId="7680" xr:uid="{E786EFA2-CE60-41C7-B15F-A9AE249C201B}"/>
    <cellStyle name="Migliaia 31 3 5" xfId="3497" xr:uid="{A5992FC6-E45C-4A62-B8DA-AC62F6AB789B}"/>
    <cellStyle name="Migliaia 31 3 5 2" xfId="5223" xr:uid="{20A7DA60-DD5A-4F80-9DAB-3DED3D0D1967}"/>
    <cellStyle name="Migliaia 31 3 5 2 2" xfId="35294" xr:uid="{80FF3102-1F31-460C-98C0-B10934085A70}"/>
    <cellStyle name="Migliaia 31 3 5 2 2 2" xfId="40454" xr:uid="{F2BE22FE-EC91-4C4C-95A7-ABC8A883291F}"/>
    <cellStyle name="Migliaia 31 3 5 2 2 3" xfId="45756" xr:uid="{AE4982EE-CA72-48FA-B9C8-6089871636CD}"/>
    <cellStyle name="Migliaia 31 3 5 2 3" xfId="37803" xr:uid="{73D4CF58-BEEF-472B-8B5B-621971897E17}"/>
    <cellStyle name="Migliaia 31 3 5 2 4" xfId="43105" xr:uid="{80ED1C44-4491-4C9B-8385-89D92D26C62A}"/>
    <cellStyle name="Migliaia 31 3 5 2 5" xfId="14253" xr:uid="{162D3F3F-31FB-46E8-AD2F-5378BFE4E2F6}"/>
    <cellStyle name="Migliaia 31 3 5 3" xfId="6423" xr:uid="{AC44422E-D10F-4E3C-978F-FD439BC657AA}"/>
    <cellStyle name="Migliaia 31 3 5 3 2" xfId="39246" xr:uid="{17B7D9E2-94F5-4A65-8F33-745387BEDF1F}"/>
    <cellStyle name="Migliaia 31 3 5 3 3" xfId="44548" xr:uid="{F1F1ADA4-B232-4716-A145-271B25411983}"/>
    <cellStyle name="Migliaia 31 3 5 3 4" xfId="33755" xr:uid="{E7F1E160-274F-45F5-A97E-E0F61D77CCF3}"/>
    <cellStyle name="Migliaia 31 3 5 3 5" xfId="20365" xr:uid="{8BB0AD91-8A89-4126-A3C8-2D3896E04A2B}"/>
    <cellStyle name="Migliaia 31 3 5 4" xfId="36687" xr:uid="{7CEFC9AC-822A-44F9-AA95-B2874991F155}"/>
    <cellStyle name="Migliaia 31 3 5 5" xfId="41897" xr:uid="{C516737F-47A7-4710-88FB-0D1C8461D72D}"/>
    <cellStyle name="Migliaia 31 3 5 6" xfId="16388" xr:uid="{C0A97C5F-C0B2-4E9E-B27A-CE768F71335F}"/>
    <cellStyle name="Migliaia 31 3 5 7" xfId="8315" xr:uid="{0B2C801B-4B33-4910-A5AD-850345E18E03}"/>
    <cellStyle name="Migliaia 31 3 6" xfId="5218" xr:uid="{A30F4ECE-8C48-420B-A18D-44568CEBDAA0}"/>
    <cellStyle name="Migliaia 31 3 6 2" xfId="13958" xr:uid="{5A3DCAC6-1471-4556-B581-99B7A3409C03}"/>
    <cellStyle name="Migliaia 31 3 6 2 2" xfId="39247" xr:uid="{2132871D-8A55-4416-96FC-970CC191FF14}"/>
    <cellStyle name="Migliaia 31 3 6 2 3" xfId="44549" xr:uid="{A27AA4A1-23CA-4DB3-990A-FFA106342A54}"/>
    <cellStyle name="Migliaia 31 3 6 3" xfId="18708" xr:uid="{8BDE2256-F2E4-4F32-B473-4BBD1C2A3BDD}"/>
    <cellStyle name="Migliaia 31 3 6 4" xfId="20366" xr:uid="{639D641F-5571-48FF-988F-73F6F3986988}"/>
    <cellStyle name="Migliaia 31 3 6 4 2" xfId="41898" xr:uid="{C06F6988-C52B-4FAF-ADB5-3644775C660A}"/>
    <cellStyle name="Migliaia 31 3 6 5" xfId="16389" xr:uid="{5E7713F9-9D2D-41D0-ABF0-74118D955B53}"/>
    <cellStyle name="Migliaia 31 3 6 6" xfId="7920" xr:uid="{B72738CD-F0A7-4ADA-92DE-53E5C17EB695}"/>
    <cellStyle name="Migliaia 31 3 7" xfId="6418" xr:uid="{6C5F6CFF-311E-4E3C-ABAA-C50FA2B916B8}"/>
    <cellStyle name="Migliaia 31 3 7 2" xfId="33756" xr:uid="{CBBCF93E-E0D3-4622-B74C-D3CF9FDD0016}"/>
    <cellStyle name="Migliaia 31 3 7 2 2" xfId="39248" xr:uid="{767C0218-E9EF-4485-8533-D857E5B3A40F}"/>
    <cellStyle name="Migliaia 31 3 7 2 3" xfId="44550" xr:uid="{E96D34D1-3CC0-48CF-9C2F-CA43B4EBE590}"/>
    <cellStyle name="Migliaia 31 3 7 3" xfId="36688" xr:uid="{DAEEC8FD-96C5-4D75-A03E-AE1AB7379715}"/>
    <cellStyle name="Migliaia 31 3 7 4" xfId="41899" xr:uid="{0C639276-A3F3-4322-A68B-34973F8B43CF}"/>
    <cellStyle name="Migliaia 31 3 7 5" xfId="11220" xr:uid="{68758E9F-B9E6-446B-B787-B52419319955}"/>
    <cellStyle name="Migliaia 31 3 8" xfId="3492" xr:uid="{FCD0D78F-85CE-4180-B381-020C64E93EEF}"/>
    <cellStyle name="Migliaia 31 3 8 2" xfId="33757" xr:uid="{5215B0FC-133A-4B17-AE67-1F31060D136E}"/>
    <cellStyle name="Migliaia 31 3 8 2 2" xfId="39249" xr:uid="{59D4A502-DC6F-4EBC-8AFF-4EE32D161D26}"/>
    <cellStyle name="Migliaia 31 3 8 2 3" xfId="44551" xr:uid="{90930F00-3097-4636-9BB1-5171E0FB885B}"/>
    <cellStyle name="Migliaia 31 3 8 3" xfId="36689" xr:uid="{AB8E8FF9-E1A3-41BF-AA3F-0C3845A50445}"/>
    <cellStyle name="Migliaia 31 3 8 4" xfId="41900" xr:uid="{48A01FF2-C657-4247-BA67-85EE00DFE49C}"/>
    <cellStyle name="Migliaia 31 3 8 5" xfId="24739" xr:uid="{F55EB6E7-F0BD-4D1D-8522-39F9A347D946}"/>
    <cellStyle name="Migliaia 31 3 8 6" xfId="17355" xr:uid="{5119D3EE-F81F-4181-AFB3-FB9676250445}"/>
    <cellStyle name="Migliaia 31 3 9" xfId="20357" xr:uid="{15B94DB4-C0B6-4240-B8B3-A0F390C53C2B}"/>
    <cellStyle name="Migliaia 31 4" xfId="1778" xr:uid="{00000000-0005-0000-0000-00009D030000}"/>
    <cellStyle name="Migliaia 31 4 2" xfId="1779" xr:uid="{00000000-0005-0000-0000-00009E030000}"/>
    <cellStyle name="Migliaia 31 4 2 2" xfId="5225" xr:uid="{D43F4634-FB95-4689-A780-2270C5BE933E}"/>
    <cellStyle name="Migliaia 31 4 2 2 2" xfId="33758" xr:uid="{6F2560E5-584D-40FB-8142-3B2F1D540F2F}"/>
    <cellStyle name="Migliaia 31 4 2 2 2 2" xfId="39250" xr:uid="{E9E10B04-4153-421C-8DBD-E5E7A3CCB0F9}"/>
    <cellStyle name="Migliaia 31 4 2 2 2 3" xfId="44552" xr:uid="{3322DF91-65C3-44D5-B734-6CBBAC45D1D9}"/>
    <cellStyle name="Migliaia 31 4 2 2 3" xfId="36690" xr:uid="{A19A509D-9747-4ACC-9F81-105FC970FA13}"/>
    <cellStyle name="Migliaia 31 4 2 2 4" xfId="41901" xr:uid="{89AB7A47-2F42-43AD-9658-A36B03E406B0}"/>
    <cellStyle name="Migliaia 31 4 2 2 5" xfId="9156" xr:uid="{9DCCAEA6-72D2-4B2D-93A2-BF0573DA379B}"/>
    <cellStyle name="Migliaia 31 4 2 3" xfId="3499" xr:uid="{AAA9DC24-50C3-4EEF-81C6-FCD01AF396BE}"/>
    <cellStyle name="Migliaia 31 4 2 3 2" xfId="33759" xr:uid="{1BAD5C2B-5F7B-46C6-BC1A-02C99458B626}"/>
    <cellStyle name="Migliaia 31 4 2 3 2 2" xfId="39251" xr:uid="{89D41ED9-24AE-46B6-9829-47A3A778D7D1}"/>
    <cellStyle name="Migliaia 31 4 2 3 2 3" xfId="44553" xr:uid="{E77A00ED-42ED-475C-BEA6-FD0355A51063}"/>
    <cellStyle name="Migliaia 31 4 2 3 3" xfId="36691" xr:uid="{820D6BA1-6AE3-4041-A252-8A6F00FC3ADA}"/>
    <cellStyle name="Migliaia 31 4 2 3 4" xfId="41902" xr:uid="{3A25C276-020C-400E-8EEC-CD5AAD770AC5}"/>
    <cellStyle name="Migliaia 31 4 2 3 5" xfId="11985" xr:uid="{77552B9A-129F-4B7F-9BB0-933D20A18DF5}"/>
    <cellStyle name="Migliaia 31 4 2 4" xfId="11334" xr:uid="{24B96DAF-FE52-476B-A930-6E97DE76A628}"/>
    <cellStyle name="Migliaia 31 4 2 5" xfId="10856" xr:uid="{B57C215D-D881-4271-B2FC-B496854E71D8}"/>
    <cellStyle name="Migliaia 31 4 2 5 2" xfId="21491" xr:uid="{788EFE8B-08EC-4F74-9A87-F47B785C09EE}"/>
    <cellStyle name="Migliaia 31 4 2 5 3" xfId="46241" xr:uid="{46015C3C-486C-4CD1-965D-E02CA687CF84}"/>
    <cellStyle name="Migliaia 31 4 2 5 4" xfId="50506" xr:uid="{1E0D0EAF-CEBE-41DC-89A6-3F28510175CA}"/>
    <cellStyle name="Migliaia 31 4 2 5 5" xfId="53522" xr:uid="{7ED737E3-0D78-42CB-8F0B-9840DBA8B42C}"/>
    <cellStyle name="Migliaia 31 4 2 6" xfId="20368" xr:uid="{C899CE39-B051-4155-92D4-8C0B0DF18934}"/>
    <cellStyle name="Migliaia 31 4 2 7" xfId="24741" xr:uid="{DA88BB79-85CF-4CFC-AB04-C47C97F80F66}"/>
    <cellStyle name="Migliaia 31 4 2 8" xfId="8628" xr:uid="{932C9A7D-5B10-4C34-A2B4-88A56263D9C2}"/>
    <cellStyle name="Migliaia 31 4 3" xfId="5224" xr:uid="{1E6CD08F-671B-4EC0-A586-CC9B184FDB9F}"/>
    <cellStyle name="Migliaia 31 4 3 2" xfId="18211" xr:uid="{184187FF-02A4-45E1-9356-39BC058CBB4D}"/>
    <cellStyle name="Migliaia 31 4 3 2 2" xfId="39252" xr:uid="{EAD53DB3-FAAC-4ACD-B972-F0B9CCB163DE}"/>
    <cellStyle name="Migliaia 31 4 3 2 3" xfId="44554" xr:uid="{C1D3C2FD-6342-4C15-B408-6152DBF6D1FF}"/>
    <cellStyle name="Migliaia 31 4 3 3" xfId="36692" xr:uid="{CD20F1BA-3AFF-4902-9171-B40207514B38}"/>
    <cellStyle name="Migliaia 31 4 3 4" xfId="41903" xr:uid="{36F817CB-3A4E-427F-8FFB-BAB16EDDBED7}"/>
    <cellStyle name="Migliaia 31 4 3 5" xfId="17353" xr:uid="{2335DA2F-79A4-4396-B73A-6FC380645011}"/>
    <cellStyle name="Migliaia 31 4 3 6" xfId="9157" xr:uid="{5F4E82F0-AFD9-4314-A602-CE778DE781EC}"/>
    <cellStyle name="Migliaia 31 4 4" xfId="6424" xr:uid="{2727B6A3-96D1-4581-90D4-2CD63EDDE7D5}"/>
    <cellStyle name="Migliaia 31 4 4 2" xfId="33760" xr:uid="{9D29BAD4-6F5D-4300-BAE1-F59363167739}"/>
    <cellStyle name="Migliaia 31 4 4 2 2" xfId="39253" xr:uid="{AB1BCB52-438D-4BAF-801D-38113EF50D5F}"/>
    <cellStyle name="Migliaia 31 4 4 2 3" xfId="44555" xr:uid="{D9A35B94-35CD-4000-A296-A9FE1583044D}"/>
    <cellStyle name="Migliaia 31 4 4 3" xfId="36693" xr:uid="{C92B0A3D-1A5D-4535-852D-E5FBE4539C94}"/>
    <cellStyle name="Migliaia 31 4 4 4" xfId="41904" xr:uid="{BE4504FD-A8E9-4445-BC05-25FCAEEB489E}"/>
    <cellStyle name="Migliaia 31 4 4 5" xfId="11986" xr:uid="{00B4D750-EC94-4B3C-9EC6-59CAA39CABAB}"/>
    <cellStyle name="Migliaia 31 4 5" xfId="3498" xr:uid="{13C882A0-88F5-486D-A75F-FB66E96D1846}"/>
    <cellStyle name="Migliaia 31 4 5 2" xfId="33761" xr:uid="{85242245-B857-4C16-9FB6-5A280B950613}"/>
    <cellStyle name="Migliaia 31 4 5 2 2" xfId="39254" xr:uid="{7C0103FB-4869-4E01-A319-F652015300F0}"/>
    <cellStyle name="Migliaia 31 4 5 2 3" xfId="44556" xr:uid="{F3D94A43-85B7-4C62-B6E0-337D6019DD0A}"/>
    <cellStyle name="Migliaia 31 4 5 3" xfId="36694" xr:uid="{F6439B10-8B12-4BBB-BFE9-D4DE764ACF72}"/>
    <cellStyle name="Migliaia 31 4 5 4" xfId="41905" xr:uid="{FFB5F57E-BABD-438D-BC68-96AB07F26840}"/>
    <cellStyle name="Migliaia 31 4 5 5" xfId="11333" xr:uid="{0CEDF928-09AA-4934-BAFB-B96FF7FEE5DB}"/>
    <cellStyle name="Migliaia 31 4 6" xfId="10855" xr:uid="{CA6AC927-734E-4907-AECE-41B39FDBFBAE}"/>
    <cellStyle name="Migliaia 31 4 6 2" xfId="21490" xr:uid="{34E5D40F-E4E6-4FF4-BCFC-C6B24E789E23}"/>
    <cellStyle name="Migliaia 31 4 6 2 2" xfId="39255" xr:uid="{2F2F619A-619F-4EA4-A544-6EB13BC1AD14}"/>
    <cellStyle name="Migliaia 31 4 6 2 3" xfId="44557" xr:uid="{59963D00-0FEA-461F-94DD-C1D4AD3FC62C}"/>
    <cellStyle name="Migliaia 31 4 6 2 4" xfId="33762" xr:uid="{AB932A5F-084F-4582-8CE6-F8C416EAAA81}"/>
    <cellStyle name="Migliaia 31 4 6 3" xfId="36695" xr:uid="{866E5C4E-621B-4B30-9B98-C36F500B4527}"/>
    <cellStyle name="Migliaia 31 4 6 4" xfId="41906" xr:uid="{C54344DE-6776-41F7-8992-545182D9FCFD}"/>
    <cellStyle name="Migliaia 31 4 6 5" xfId="24742" xr:uid="{C4AF5960-CB14-4F46-9FA0-8B368CEF9D14}"/>
    <cellStyle name="Migliaia 31 4 6 6" xfId="48473" xr:uid="{AAC1E15D-D2BB-4270-A09E-209D288A4A93}"/>
    <cellStyle name="Migliaia 31 4 6 7" xfId="50505" xr:uid="{6393171C-B3B7-4A8E-9AFB-2CB3658A264A}"/>
    <cellStyle name="Migliaia 31 4 6 8" xfId="53521" xr:uid="{AA8A4D72-590D-41DC-BC85-418B08D6ABF9}"/>
    <cellStyle name="Migliaia 31 4 7" xfId="20367" xr:uid="{D79FC15D-F081-4838-A39C-EE9FA6118D4A}"/>
    <cellStyle name="Migliaia 31 4 7 2" xfId="33763" xr:uid="{1EE34EDE-A9A7-4B9E-9316-CE4B8D501812}"/>
    <cellStyle name="Migliaia 31 4 7 2 2" xfId="39256" xr:uid="{68D6714C-014D-4F7E-B395-058317D09F88}"/>
    <cellStyle name="Migliaia 31 4 7 2 3" xfId="44558" xr:uid="{B5B90963-E1F9-48A3-9178-0EA606813C11}"/>
    <cellStyle name="Migliaia 31 4 7 3" xfId="36696" xr:uid="{1F90C79E-AA54-4081-8F03-603E27AE28F5}"/>
    <cellStyle name="Migliaia 31 4 7 4" xfId="41907" xr:uid="{1451556D-09F8-4846-A4D2-E792051F8950}"/>
    <cellStyle name="Migliaia 31 4 7 5" xfId="24743" xr:uid="{343F827F-9571-4952-BEB6-E3689B21AF75}"/>
    <cellStyle name="Migliaia 31 4 8" xfId="24740" xr:uid="{FF9C6693-AFA3-459F-B240-F0AC88C9EF76}"/>
    <cellStyle name="Migliaia 31 4 9" xfId="7438" xr:uid="{F446D293-25E9-4B54-A573-EA00A7DB2987}"/>
    <cellStyle name="Migliaia 31 5" xfId="1780" xr:uid="{00000000-0005-0000-0000-00009F030000}"/>
    <cellStyle name="Migliaia 31 5 2" xfId="5226" xr:uid="{3CE5B503-A0CD-4E25-8CDF-059FAEEEC940}"/>
    <cellStyle name="Migliaia 31 5 2 2" xfId="18436" xr:uid="{AA964181-3FD1-4618-977B-906D776F1DA8}"/>
    <cellStyle name="Migliaia 31 5 2 2 2" xfId="39257" xr:uid="{0F45EE16-C75F-4A9D-A30D-CFEB98468081}"/>
    <cellStyle name="Migliaia 31 5 2 2 3" xfId="44559" xr:uid="{99DD4F21-1CF9-4F0F-873B-EB2CCA5D9A7E}"/>
    <cellStyle name="Migliaia 31 5 2 3" xfId="20370" xr:uid="{6C04DB5D-1AC9-4087-8993-39295AC0EF69}"/>
    <cellStyle name="Migliaia 31 5 2 3 2" xfId="36697" xr:uid="{C0F27120-A004-454D-9311-727BD2BC4D1E}"/>
    <cellStyle name="Migliaia 31 5 2 4" xfId="41908" xr:uid="{D7639BBC-F62B-47D7-AECC-8C54776D69C1}"/>
    <cellStyle name="Migliaia 31 5 2 5" xfId="16390" xr:uid="{56ECB500-3906-427E-AD21-6297FA3966C1}"/>
    <cellStyle name="Migliaia 31 5 2 6" xfId="8629" xr:uid="{E1EF79D3-2F8D-42D1-A150-58E9F5C2F32F}"/>
    <cellStyle name="Migliaia 31 5 3" xfId="6425" xr:uid="{CD37CAD2-10CB-4C78-AFB1-C80FC84BFF7B}"/>
    <cellStyle name="Migliaia 31 5 3 2" xfId="33764" xr:uid="{DA992CBE-82EC-4EE4-874E-756AA5134183}"/>
    <cellStyle name="Migliaia 31 5 3 2 2" xfId="39258" xr:uid="{88461F62-2045-496D-AAF4-11AC34A8B2EB}"/>
    <cellStyle name="Migliaia 31 5 3 2 3" xfId="44560" xr:uid="{FAE01F02-0407-4367-87AF-DAC3788ABDF9}"/>
    <cellStyle name="Migliaia 31 5 3 3" xfId="36698" xr:uid="{6D07CCAA-30C2-42FB-AEEB-F45718BE6F5F}"/>
    <cellStyle name="Migliaia 31 5 3 4" xfId="41909" xr:uid="{0AE22065-DD78-4217-8C33-F38A87F7E688}"/>
    <cellStyle name="Migliaia 31 5 3 5" xfId="11335" xr:uid="{8B140A00-B9E2-4F2C-937C-D04FA6E8EA0F}"/>
    <cellStyle name="Migliaia 31 5 4" xfId="3500" xr:uid="{CDAEF0DA-7B45-4FE4-9C08-9FA0920CDFB4}"/>
    <cellStyle name="Migliaia 31 5 4 2" xfId="21492" xr:uid="{EE1FBAE6-A566-409A-8D65-3A58A09AA786}"/>
    <cellStyle name="Migliaia 31 5 4 2 2" xfId="39259" xr:uid="{5ED3A58E-DF11-4192-8041-1CBC828722F7}"/>
    <cellStyle name="Migliaia 31 5 4 2 3" xfId="44561" xr:uid="{5F6B2894-39B7-43E0-81B3-A9B23B60670D}"/>
    <cellStyle name="Migliaia 31 5 4 2 4" xfId="33765" xr:uid="{48CD053D-022E-44AC-8EED-79C81C0F286F}"/>
    <cellStyle name="Migliaia 31 5 4 3" xfId="36699" xr:uid="{7D4FFF9C-46E4-4CDE-968B-1E5B08FD556F}"/>
    <cellStyle name="Migliaia 31 5 4 4" xfId="41910" xr:uid="{51C29EF0-E79D-446A-BD72-2CFEC9CE4493}"/>
    <cellStyle name="Migliaia 31 5 4 5" xfId="24745" xr:uid="{80F849DC-B132-4D2F-8A4D-9D616110A234}"/>
    <cellStyle name="Migliaia 31 5 4 6" xfId="46242" xr:uid="{FDD95A82-C122-4EF3-8A86-BEED1775FD35}"/>
    <cellStyle name="Migliaia 31 5 4 7" xfId="50507" xr:uid="{4F48134D-E2A5-48CF-A2A7-B8DC6CE9F769}"/>
    <cellStyle name="Migliaia 31 5 4 8" xfId="53523" xr:uid="{2E53992D-C00A-4C64-83C5-B0BE791FAC2A}"/>
    <cellStyle name="Migliaia 31 5 4 9" xfId="10857" xr:uid="{2EB1789E-3EE8-43DD-882E-5DAC05D64F10}"/>
    <cellStyle name="Migliaia 31 5 5" xfId="20369" xr:uid="{880C3794-EFBB-416F-871D-759D19498049}"/>
    <cellStyle name="Migliaia 31 5 5 2" xfId="33766" xr:uid="{AF0CB25A-2FA2-4B29-97E7-BD008FFC0B66}"/>
    <cellStyle name="Migliaia 31 5 5 2 2" xfId="39260" xr:uid="{A201BD54-95D2-4808-B2A5-6759D3C9DDFB}"/>
    <cellStyle name="Migliaia 31 5 5 2 3" xfId="44562" xr:uid="{D76795C7-51ED-4D18-94AB-3EFEA5D55445}"/>
    <cellStyle name="Migliaia 31 5 5 3" xfId="36700" xr:uid="{FC3FF63F-1CB1-4498-AB03-D10227CE5880}"/>
    <cellStyle name="Migliaia 31 5 5 4" xfId="41911" xr:uid="{2F385B90-2BCA-4AE9-BF7D-6B784D399F4D}"/>
    <cellStyle name="Migliaia 31 5 5 5" xfId="24746" xr:uid="{5362B85E-D3D1-4052-B8EF-E418A24594E5}"/>
    <cellStyle name="Migliaia 31 5 6" xfId="24747" xr:uid="{3B5E4C31-A49A-4553-AA8F-E2BF237B3B0D}"/>
    <cellStyle name="Migliaia 31 5 6 2" xfId="33767" xr:uid="{1A6D2A43-442F-4F4E-8503-7EA51EA93DED}"/>
    <cellStyle name="Migliaia 31 5 6 2 2" xfId="39261" xr:uid="{F4222720-B6FA-42DD-8BF4-06534181E25B}"/>
    <cellStyle name="Migliaia 31 5 6 2 3" xfId="44563" xr:uid="{AB458F8A-DBF6-4D8F-B265-7CD19015BCD0}"/>
    <cellStyle name="Migliaia 31 5 6 3" xfId="36701" xr:uid="{8DF811B9-C473-4140-A434-9506B48B74F1}"/>
    <cellStyle name="Migliaia 31 5 6 4" xfId="41912" xr:uid="{82F784A1-2DD3-4534-BA73-11FB674E0D84}"/>
    <cellStyle name="Migliaia 31 5 7" xfId="24744" xr:uid="{9BB7C04A-E959-4171-B253-EBC74B1C823A}"/>
    <cellStyle name="Migliaia 31 5 8" xfId="7439" xr:uid="{24F5B32E-3BDE-4208-9A6E-111D2B5F14E6}"/>
    <cellStyle name="Migliaia 31 6" xfId="3501" xr:uid="{EE388D5A-97E3-48CE-80E0-7A8B7841F1B8}"/>
    <cellStyle name="Migliaia 31 6 2" xfId="5227" xr:uid="{AA010957-93BF-4EDE-8B28-2CA09EFD2ABB}"/>
    <cellStyle name="Migliaia 31 6 2 2" xfId="9929" xr:uid="{534286AE-D5AB-49C0-9D17-C7D20B1DE929}"/>
    <cellStyle name="Migliaia 31 6 2 3" xfId="18656" xr:uid="{9385D957-0749-43EE-832B-0346CD69B1E5}"/>
    <cellStyle name="Migliaia 31 6 2 4" xfId="20372" xr:uid="{40E8441C-5E03-47D5-912D-0B7A52D8710F}"/>
    <cellStyle name="Migliaia 31 6 2 5" xfId="32375" xr:uid="{EDB6B5A5-1B1C-4C04-A42D-9BC2CFBC3E9D}"/>
    <cellStyle name="Migliaia 31 6 2 6" xfId="16392" xr:uid="{15F9EFAD-5F37-474C-90F0-53E12A78BE70}"/>
    <cellStyle name="Migliaia 31 6 2 7" xfId="8624" xr:uid="{EA0C38EA-43EA-4F70-854D-620A5B1E1538}"/>
    <cellStyle name="Migliaia 31 6 3" xfId="6426" xr:uid="{E5EDE3E5-1F62-48EC-A246-3887CB994625}"/>
    <cellStyle name="Migliaia 31 6 3 2" xfId="35295" xr:uid="{5B9A359F-0E35-49D9-BC5A-271949EC4E11}"/>
    <cellStyle name="Migliaia 31 6 3 2 2" xfId="40455" xr:uid="{BA898E74-76AB-4639-8809-A8A67AB89958}"/>
    <cellStyle name="Migliaia 31 6 3 2 3" xfId="45757" xr:uid="{2746074D-DC78-4959-80D9-F43433C2595A}"/>
    <cellStyle name="Migliaia 31 6 3 3" xfId="37804" xr:uid="{F78131E9-2918-47A5-8B55-0D4F1BF39856}"/>
    <cellStyle name="Migliaia 31 6 3 4" xfId="43106" xr:uid="{F2D3885C-A8C6-4C5B-AFD5-A8C08496A262}"/>
    <cellStyle name="Migliaia 31 6 3 5" xfId="9692" xr:uid="{8C6FEE26-8F68-40BA-885D-07BA8CC2FBCD}"/>
    <cellStyle name="Migliaia 31 6 4" xfId="20371" xr:uid="{9683A57A-C0E5-453E-AA41-E5B6A42AF27C}"/>
    <cellStyle name="Migliaia 31 6 4 2" xfId="39262" xr:uid="{E9B39CE4-42F3-4075-9747-073FA7B694B7}"/>
    <cellStyle name="Migliaia 31 6 4 3" xfId="44564" xr:uid="{33BCBBC4-0AD4-4531-8FD1-8E1AC4175A4E}"/>
    <cellStyle name="Migliaia 31 6 4 4" xfId="33768" xr:uid="{AF8B39CA-DB39-4A30-B6E6-75359E2FD9AD}"/>
    <cellStyle name="Migliaia 31 6 5" xfId="36702" xr:uid="{8DD1E5BB-7F33-4141-87BA-2ABF93CB9E21}"/>
    <cellStyle name="Migliaia 31 6 6" xfId="41913" xr:uid="{2CCB2508-48E4-4824-A6C3-3DF568CCAFF7}"/>
    <cellStyle name="Migliaia 31 6 7" xfId="16391" xr:uid="{D2FDB237-51B5-4EEF-A786-F01D7025101D}"/>
    <cellStyle name="Migliaia 31 6 8" xfId="7434" xr:uid="{A0274453-3227-4AAF-8648-EAFC2E61538F}"/>
    <cellStyle name="Migliaia 31 7" xfId="3502" xr:uid="{38BE7AB6-2030-4AFE-B49C-891348CB4762}"/>
    <cellStyle name="Migliaia 31 7 2" xfId="5228" xr:uid="{F2033C9F-0D1D-469D-ADAD-2085C567DC2E}"/>
    <cellStyle name="Migliaia 31 7 2 2" xfId="35296" xr:uid="{55A92C54-24EE-4B7E-8E57-F5E66E9DE08B}"/>
    <cellStyle name="Migliaia 31 7 2 2 2" xfId="40456" xr:uid="{FEDA9F32-4A12-4723-AB71-17E15D3B38B8}"/>
    <cellStyle name="Migliaia 31 7 2 2 3" xfId="45758" xr:uid="{B03A5482-B329-4AC8-9220-A022310BF0C5}"/>
    <cellStyle name="Migliaia 31 7 2 3" xfId="37805" xr:uid="{D6DB4413-C324-4557-8DA0-BCC48899A0A8}"/>
    <cellStyle name="Migliaia 31 7 2 4" xfId="43107" xr:uid="{C1F56C4E-653E-4922-81F0-C15BCBBBE1AB}"/>
    <cellStyle name="Migliaia 31 7 2 5" xfId="14251" xr:uid="{80F93919-BFE0-4FF8-BAAB-B454A95E1954}"/>
    <cellStyle name="Migliaia 31 7 3" xfId="6427" xr:uid="{BFF9F7C7-3FEE-4DBB-B62B-40BC6EF868E3}"/>
    <cellStyle name="Migliaia 31 7 3 2" xfId="39263" xr:uid="{EF972691-1468-4648-916E-5D0DF4846902}"/>
    <cellStyle name="Migliaia 31 7 3 3" xfId="44565" xr:uid="{CA351A6D-3C3D-4092-9F14-B20D4EDA86CE}"/>
    <cellStyle name="Migliaia 31 7 3 4" xfId="33769" xr:uid="{CDE886BE-8CF1-4D56-B320-0675C121E532}"/>
    <cellStyle name="Migliaia 31 7 3 5" xfId="20373" xr:uid="{71528409-BF61-4768-B6F6-53B3FFCE1695}"/>
    <cellStyle name="Migliaia 31 7 4" xfId="36703" xr:uid="{D69A3801-307F-40E4-8D68-E6A371125FE8}"/>
    <cellStyle name="Migliaia 31 7 5" xfId="41914" xr:uid="{0461189B-63ED-49EB-9D6F-A280418F5B1A}"/>
    <cellStyle name="Migliaia 31 7 6" xfId="16393" xr:uid="{C2767E41-9D39-461F-B3D2-273661D19CCF}"/>
    <cellStyle name="Migliaia 31 7 7" xfId="8313" xr:uid="{FEA41269-9C19-4599-B7EC-EEB71287C143}"/>
    <cellStyle name="Migliaia 31 8" xfId="3503" xr:uid="{6B6207E0-B01D-44B5-8343-6BB30870DB82}"/>
    <cellStyle name="Migliaia 31 8 2" xfId="5229" xr:uid="{A986B480-44F8-4916-AA98-EF109571D939}"/>
    <cellStyle name="Migliaia 31 8 2 2" xfId="35297" xr:uid="{D04B9250-7DF3-4B7A-9401-7A3E0BAE330E}"/>
    <cellStyle name="Migliaia 31 8 2 2 2" xfId="40457" xr:uid="{798DE6C7-3A60-4927-BA09-0C1C1C766561}"/>
    <cellStyle name="Migliaia 31 8 2 2 3" xfId="45759" xr:uid="{ED53BDE0-BE79-4DF9-9910-56F1D9903B16}"/>
    <cellStyle name="Migliaia 31 8 2 3" xfId="37806" xr:uid="{312D0422-885C-40F4-9B59-78876753DCE6}"/>
    <cellStyle name="Migliaia 31 8 2 4" xfId="43108" xr:uid="{FF8CB8B1-1D1A-478E-AD63-0163F102D5F3}"/>
    <cellStyle name="Migliaia 31 8 2 5" xfId="13956" xr:uid="{930E44A2-C0FE-4B15-82B9-0DB1FE7A2109}"/>
    <cellStyle name="Migliaia 31 8 3" xfId="6428" xr:uid="{3A1C1AD4-C32A-4085-83A2-D9D70A1A9FF3}"/>
    <cellStyle name="Migliaia 31 8 3 2" xfId="39264" xr:uid="{92F5DB2E-678F-4D2C-BA02-82D0C9DAA7B1}"/>
    <cellStyle name="Migliaia 31 8 3 3" xfId="44566" xr:uid="{560ADDF3-B081-4FA6-8B5C-525356E54E0A}"/>
    <cellStyle name="Migliaia 31 8 3 4" xfId="33770" xr:uid="{E3FFCA48-CE98-40D0-8B83-26614163D411}"/>
    <cellStyle name="Migliaia 31 8 3 5" xfId="20374" xr:uid="{11EF0AC6-2FB7-4F15-90FB-81EDDE7CBC65}"/>
    <cellStyle name="Migliaia 31 8 4" xfId="36704" xr:uid="{0078A6E4-38A8-4549-9480-03CAEB973DB5}"/>
    <cellStyle name="Migliaia 31 8 5" xfId="41915" xr:uid="{B122949E-3A53-4DCA-A3FD-5A219C26ACB3}"/>
    <cellStyle name="Migliaia 31 8 6" xfId="16394" xr:uid="{E4A16A4B-4A9A-4B61-A4B3-5F3115945140}"/>
    <cellStyle name="Migliaia 31 8 7" xfId="7918" xr:uid="{D3D6E4CD-EC67-42F1-A0FC-B334E544231D}"/>
    <cellStyle name="Migliaia 31 9" xfId="5214" xr:uid="{BA9ED042-F19A-4BCE-B4BA-E3FD4223562D}"/>
    <cellStyle name="Migliaia 31 9 2" xfId="33771" xr:uid="{E657F8E9-8443-4B2D-8E75-613A2C05EDFE}"/>
    <cellStyle name="Migliaia 31 9 2 2" xfId="39265" xr:uid="{0D0B50AE-4DB9-41C9-89C2-11DA99315CC3}"/>
    <cellStyle name="Migliaia 31 9 2 3" xfId="44567" xr:uid="{00A41070-943A-418C-9256-AB8BDB6FCBCB}"/>
    <cellStyle name="Migliaia 31 9 3" xfId="36705" xr:uid="{F1E82BA3-BBE8-4D4B-BD64-46F8E68A6E44}"/>
    <cellStyle name="Migliaia 31 9 4" xfId="41916" xr:uid="{1C53F8DC-AF11-4271-8053-533A674AB600}"/>
    <cellStyle name="Migliaia 31 9 5" xfId="17183" xr:uid="{59B2C0E5-B519-4BF0-A687-52629F6EE074}"/>
    <cellStyle name="Migliaia 32" xfId="401" xr:uid="{00000000-0005-0000-0000-0000A0030000}"/>
    <cellStyle name="Migliaia 32 10" xfId="6429" xr:uid="{9ED7B565-ECB8-41A7-9A8F-B29219AC8240}"/>
    <cellStyle name="Migliaia 32 10 2" xfId="39266" xr:uid="{638C477F-C2D5-4FBF-BA65-A4BC8D50E4BE}"/>
    <cellStyle name="Migliaia 32 10 3" xfId="44568" xr:uid="{04FE9BC5-D912-4C81-8D72-0E498D11223C}"/>
    <cellStyle name="Migliaia 32 10 4" xfId="33772" xr:uid="{C2C5E5D7-6D93-46EF-B1C9-630C6C62A511}"/>
    <cellStyle name="Migliaia 32 10 5" xfId="20375" xr:uid="{186EDA19-4A0E-4019-B668-CD30B7B292FB}"/>
    <cellStyle name="Migliaia 32 11" xfId="3504" xr:uid="{9C72130C-517D-4189-AF9B-72E602B40970}"/>
    <cellStyle name="Migliaia 32 11 2" xfId="36706" xr:uid="{6A2BA59E-4FE6-4C49-9DA9-7751186FD3AF}"/>
    <cellStyle name="Migliaia 32 12" xfId="41917" xr:uid="{0C3A8BDA-C66C-4EA1-B663-36A5A171D247}"/>
    <cellStyle name="Migliaia 32 13" xfId="7117" xr:uid="{F55C083A-84FB-445E-9F1B-D93B9D090E2A}"/>
    <cellStyle name="Migliaia 32 2" xfId="402" xr:uid="{00000000-0005-0000-0000-0000A1030000}"/>
    <cellStyle name="Migliaia 32 2 2" xfId="1781" xr:uid="{00000000-0005-0000-0000-0000A2030000}"/>
    <cellStyle name="Migliaia 32 2 2 2" xfId="5232" xr:uid="{1E4633C3-093F-4567-B9D6-6886485EC7C2}"/>
    <cellStyle name="Migliaia 32 2 2 2 2" xfId="14388" xr:uid="{CC88F677-5101-4BB6-8349-9C80F8094337}"/>
    <cellStyle name="Migliaia 32 2 2 2 2 2" xfId="39267" xr:uid="{7941CDDC-00A4-46A3-B22F-FF46AC2DC5D8}"/>
    <cellStyle name="Migliaia 32 2 2 2 2 3" xfId="44569" xr:uid="{9F2B9289-D97A-47A7-B514-E7242733549F}"/>
    <cellStyle name="Migliaia 32 2 2 2 3" xfId="18437" xr:uid="{4526A382-F03E-4A76-83DB-52C3604A814D}"/>
    <cellStyle name="Migliaia 32 2 2 2 4" xfId="20378" xr:uid="{F19C53F2-CEF7-4418-8D28-71B735F1F184}"/>
    <cellStyle name="Migliaia 32 2 2 2 4 2" xfId="41918" xr:uid="{8E914ACF-5F6F-43B1-AE84-20DE28FA4D3E}"/>
    <cellStyle name="Migliaia 32 2 2 2 5" xfId="16395" xr:uid="{735507E6-A15A-4119-8C44-85215217D026}"/>
    <cellStyle name="Migliaia 32 2 2 2 6" xfId="8631" xr:uid="{F27AB2BC-7C4E-48B8-B98B-74631D7765C6}"/>
    <cellStyle name="Migliaia 32 2 2 3" xfId="6431" xr:uid="{2B89C303-7FF5-440F-BA0A-3980F4BB300E}"/>
    <cellStyle name="Migliaia 32 2 2 3 2" xfId="35298" xr:uid="{E5864D45-A55F-449F-BDD2-C7981ADD6417}"/>
    <cellStyle name="Migliaia 32 2 2 3 2 2" xfId="40458" xr:uid="{08EA1BBB-561A-4E42-A420-B3224710D36A}"/>
    <cellStyle name="Migliaia 32 2 2 3 2 3" xfId="45760" xr:uid="{BCB80B29-F8BE-42E6-B939-229D06BCCE3E}"/>
    <cellStyle name="Migliaia 32 2 2 3 3" xfId="37807" xr:uid="{2AD33031-C229-4CC6-89E7-D6445514BF98}"/>
    <cellStyle name="Migliaia 32 2 2 3 4" xfId="43109" xr:uid="{E469CC4D-5EE6-47DE-B11B-5693F4E1CB73}"/>
    <cellStyle name="Migliaia 32 2 2 3 5" xfId="11615" xr:uid="{ADDCFA8C-01F1-410A-B538-0EC4D3564FF5}"/>
    <cellStyle name="Migliaia 32 2 2 4" xfId="3506" xr:uid="{A87317A6-BB04-4C86-BD61-74C10C8FA4A8}"/>
    <cellStyle name="Migliaia 32 2 2 4 2" xfId="21493" xr:uid="{E92D301D-206F-48F8-9DB4-C73A7ABB0CD2}"/>
    <cellStyle name="Migliaia 32 2 2 4 3" xfId="46243" xr:uid="{74682351-F5D4-4FC8-84CF-511C8AFA4907}"/>
    <cellStyle name="Migliaia 32 2 2 4 4" xfId="50508" xr:uid="{996C033B-F8F8-4E9C-8C8D-D7FD615C948B}"/>
    <cellStyle name="Migliaia 32 2 2 4 5" xfId="53524" xr:uid="{F99CED52-31BD-4C9F-86AD-EC2527434F2D}"/>
    <cellStyle name="Migliaia 32 2 2 4 6" xfId="10858" xr:uid="{7FE21A61-62E7-4441-90C4-7F7843E9F777}"/>
    <cellStyle name="Migliaia 32 2 2 5" xfId="20377" xr:uid="{3662039C-51FD-4F5A-B506-F9D3A96E6368}"/>
    <cellStyle name="Migliaia 32 2 2 6" xfId="24753" xr:uid="{036B0CAC-E866-4A64-AF23-2FBF6EFDCD55}"/>
    <cellStyle name="Migliaia 32 2 2 7" xfId="7441" xr:uid="{3CB18AF0-5693-471C-A585-ED4FF0BB59F2}"/>
    <cellStyle name="Migliaia 32 2 3" xfId="3507" xr:uid="{A5C4E8EF-369A-4380-A506-0CA45EBB990E}"/>
    <cellStyle name="Migliaia 32 2 3 2" xfId="5233" xr:uid="{9CDF39E0-AD53-4F92-9023-91439D937486}"/>
    <cellStyle name="Migliaia 32 2 3 2 2" xfId="35299" xr:uid="{F1C5A029-CE8D-4FFF-B1A2-AA75A58AD729}"/>
    <cellStyle name="Migliaia 32 2 3 2 2 2" xfId="40459" xr:uid="{0DD57006-922C-46BF-9D79-C1F60D59F139}"/>
    <cellStyle name="Migliaia 32 2 3 2 2 3" xfId="45761" xr:uid="{006C8582-9C5F-4C2B-A725-35A587612E3D}"/>
    <cellStyle name="Migliaia 32 2 3 2 3" xfId="37808" xr:uid="{C72E3590-9F26-448F-95E8-E1A7AED61C2D}"/>
    <cellStyle name="Migliaia 32 2 3 2 4" xfId="43110" xr:uid="{230CF92E-06C8-42C4-BCF5-86C31A6F552C}"/>
    <cellStyle name="Migliaia 32 2 3 2 5" xfId="14255" xr:uid="{F60526F0-C64C-4383-9C2C-03B7942AE51A}"/>
    <cellStyle name="Migliaia 32 2 3 3" xfId="6432" xr:uid="{9B02D7C7-1E0A-4DA2-9126-71CF125B541D}"/>
    <cellStyle name="Migliaia 32 2 3 3 2" xfId="39268" xr:uid="{9D3ECFB8-6C77-483E-89D2-DECEECBDE7CB}"/>
    <cellStyle name="Migliaia 32 2 3 3 3" xfId="44570" xr:uid="{E86B7738-FBE8-44BE-B6B3-C269C12B3189}"/>
    <cellStyle name="Migliaia 32 2 3 3 4" xfId="33773" xr:uid="{040198DC-1BC3-4E35-9A49-C0B3E726F483}"/>
    <cellStyle name="Migliaia 32 2 3 3 5" xfId="20379" xr:uid="{815B87A2-48D3-415B-A180-EAFC188F7008}"/>
    <cellStyle name="Migliaia 32 2 3 4" xfId="36707" xr:uid="{5468B23A-D131-4FB0-B255-B8E4084BC6BF}"/>
    <cellStyle name="Migliaia 32 2 3 5" xfId="41919" xr:uid="{A2297F06-EB8D-4809-94BA-3E9B8402A323}"/>
    <cellStyle name="Migliaia 32 2 3 6" xfId="16396" xr:uid="{39A3F061-241D-40FC-B6F3-5453C296FB11}"/>
    <cellStyle name="Migliaia 32 2 3 7" xfId="8317" xr:uid="{7B94CB93-FF86-49C5-A9D4-07B3CB73D559}"/>
    <cellStyle name="Migliaia 32 2 4" xfId="5231" xr:uid="{BB7B1551-B626-4DAD-9399-358B008DA417}"/>
    <cellStyle name="Migliaia 32 2 4 2" xfId="13960" xr:uid="{2B0878DB-EAED-445C-A90E-AD2EC6F310DD}"/>
    <cellStyle name="Migliaia 32 2 4 2 2" xfId="39269" xr:uid="{FD188D43-A894-4E8E-8B2A-AB6FD32CA621}"/>
    <cellStyle name="Migliaia 32 2 4 2 3" xfId="44571" xr:uid="{932C802C-6092-48E8-8242-ECDEBDF5177B}"/>
    <cellStyle name="Migliaia 32 2 4 3" xfId="18707" xr:uid="{BD797927-0516-4674-BB75-85FF019127D6}"/>
    <cellStyle name="Migliaia 32 2 4 4" xfId="20380" xr:uid="{6B1E6035-0855-473D-A083-39BC3EB86964}"/>
    <cellStyle name="Migliaia 32 2 4 4 2" xfId="41920" xr:uid="{1BF572D4-80CA-4B2A-9186-DE7EF2115CBF}"/>
    <cellStyle name="Migliaia 32 2 4 5" xfId="16397" xr:uid="{B499160B-E11E-429E-B7FD-5E0B4F98AB66}"/>
    <cellStyle name="Migliaia 32 2 4 6" xfId="7923" xr:uid="{B7F5D42D-2643-47B2-BC88-A1936CF25599}"/>
    <cellStyle name="Migliaia 32 2 5" xfId="6430" xr:uid="{B5375F68-9824-4BFA-A160-00A8EACC8CB7}"/>
    <cellStyle name="Migliaia 32 2 5 2" xfId="33775" xr:uid="{CE53E77C-360F-44F0-B67C-6AAFDF291144}"/>
    <cellStyle name="Migliaia 32 2 5 2 2" xfId="39270" xr:uid="{E481FC4F-CEC7-4668-BE0F-48BB3F2445A6}"/>
    <cellStyle name="Migliaia 32 2 5 2 3" xfId="44572" xr:uid="{E72C7536-D4E5-428F-B0E9-1DDA00517C31}"/>
    <cellStyle name="Migliaia 32 2 5 3" xfId="36709" xr:uid="{A72264D1-2125-41DE-AEB0-2D39945D4BAA}"/>
    <cellStyle name="Migliaia 32 2 5 4" xfId="41921" xr:uid="{4FF0E2A1-CA32-4A21-A979-2104890718B1}"/>
    <cellStyle name="Migliaia 32 2 5 5" xfId="13128" xr:uid="{0E37F001-DB38-41C3-9C82-4E4EAC436F47}"/>
    <cellStyle name="Migliaia 32 2 6" xfId="3505" xr:uid="{B04E58CB-EADC-46C2-915B-BB530977C3EE}"/>
    <cellStyle name="Migliaia 32 2 6 2" xfId="33776" xr:uid="{4771CB95-D7DA-4A32-84B8-8238DD201BAB}"/>
    <cellStyle name="Migliaia 32 2 6 2 2" xfId="39271" xr:uid="{32A95436-CF8E-4A75-A26E-CBDFEED6F447}"/>
    <cellStyle name="Migliaia 32 2 6 2 3" xfId="44573" xr:uid="{5746B520-0278-4F55-97F9-E13AF98CAA2A}"/>
    <cellStyle name="Migliaia 32 2 6 3" xfId="36710" xr:uid="{5E2672F8-8EEE-48DA-A460-82E38341D768}"/>
    <cellStyle name="Migliaia 32 2 6 4" xfId="41922" xr:uid="{E896ABDD-29E0-4685-A4B7-3C87FE83D158}"/>
    <cellStyle name="Migliaia 32 2 6 5" xfId="24755" xr:uid="{DA643292-FF71-470D-B2E7-2D20CE3E8237}"/>
    <cellStyle name="Migliaia 32 2 6 6" xfId="20376" xr:uid="{7C384D25-E85D-4C96-AB3B-8CF84631222C}"/>
    <cellStyle name="Migliaia 32 2 7" xfId="24752" xr:uid="{21999DC5-2946-480F-BBDB-968CD247EA17}"/>
    <cellStyle name="Migliaia 32 2 8" xfId="7118" xr:uid="{087D05EF-22FD-4B2D-A83C-3F04864B1741}"/>
    <cellStyle name="Migliaia 32 3" xfId="403" xr:uid="{00000000-0005-0000-0000-0000A3030000}"/>
    <cellStyle name="Migliaia 32 3 10" xfId="24756" xr:uid="{11527457-8EA4-42D9-A1E8-E18469AEE46C}"/>
    <cellStyle name="Migliaia 32 3 11" xfId="16398" xr:uid="{6319A420-42EC-4ED9-BD97-3C89F79EAC0E}"/>
    <cellStyle name="Migliaia 32 3 12" xfId="7119" xr:uid="{8CC6DF7B-556A-4705-97CE-4AE828C5FFFF}"/>
    <cellStyle name="Migliaia 32 3 2" xfId="404" xr:uid="{00000000-0005-0000-0000-0000A4030000}"/>
    <cellStyle name="Migliaia 32 3 2 2" xfId="1782" xr:uid="{00000000-0005-0000-0000-0000A5030000}"/>
    <cellStyle name="Migliaia 32 3 2 2 2" xfId="5236" xr:uid="{19BB44E1-58F7-4BD5-849E-4C1C91D62D25}"/>
    <cellStyle name="Migliaia 32 3 2 2 2 2" xfId="18438" xr:uid="{5A413887-516E-49E4-A44A-EA51F80731E6}"/>
    <cellStyle name="Migliaia 32 3 2 2 2 2 2" xfId="21866" xr:uid="{C6EEB3B7-4571-46A5-8DB3-A50F85D43D58}"/>
    <cellStyle name="Migliaia 32 3 2 2 2 2 2 2" xfId="39272" xr:uid="{1C5529D8-6A76-43BB-ACBE-045B8D28D17E}"/>
    <cellStyle name="Migliaia 32 3 2 2 2 2 3" xfId="44574" xr:uid="{8A9C724F-6EF5-45BF-B0C9-FE216C00956C}"/>
    <cellStyle name="Migliaia 32 3 2 2 2 2 4" xfId="33777" xr:uid="{C07FCF98-7AA0-43D9-9D5D-C0CFB1547463}"/>
    <cellStyle name="Migliaia 32 3 2 2 2 3" xfId="36711" xr:uid="{47EE7715-7995-4B5D-84C5-5900A1B0BC16}"/>
    <cellStyle name="Migliaia 32 3 2 2 2 4" xfId="41923" xr:uid="{28325EA2-13AD-4897-963D-D6A02A5D39CA}"/>
    <cellStyle name="Migliaia 32 3 2 2 2 5" xfId="47912" xr:uid="{E73AC132-9136-4FB2-ADF6-246A57E56F61}"/>
    <cellStyle name="Migliaia 32 3 2 2 2 6" xfId="50894" xr:uid="{F3D537BB-9206-4842-87DC-463D4E7662C4}"/>
    <cellStyle name="Migliaia 32 3 2 2 2 7" xfId="53910" xr:uid="{944175EE-3856-4C49-A66D-EE5342380A10}"/>
    <cellStyle name="Migliaia 32 3 2 2 2 8" xfId="17663" xr:uid="{73D39FC0-4623-4D8B-A341-12E221DF5BCD}"/>
    <cellStyle name="Migliaia 32 3 2 2 2 9" xfId="11987" xr:uid="{95EF7553-CAAB-4C06-96B8-47614BE3215E}"/>
    <cellStyle name="Migliaia 32 3 2 2 3" xfId="6435" xr:uid="{C82D1CF1-FCB1-4844-82BC-41E98B0E9CA3}"/>
    <cellStyle name="Migliaia 32 3 2 2 3 2" xfId="11139" xr:uid="{517F29B5-02BF-47EE-AC3F-4D35BBBD4C26}"/>
    <cellStyle name="Migliaia 32 3 2 2 4" xfId="3510" xr:uid="{797E19F7-D10D-456A-880C-AFE323A1B66E}"/>
    <cellStyle name="Migliaia 32 3 2 2 4 2" xfId="21494" xr:uid="{2BC6AE54-DB6E-4C43-B3A6-A8E3413D2ED5}"/>
    <cellStyle name="Migliaia 32 3 2 2 4 3" xfId="48179" xr:uid="{5FB222AD-CCA4-4A78-8243-3D6A6F984B7E}"/>
    <cellStyle name="Migliaia 32 3 2 2 4 4" xfId="50509" xr:uid="{944C7748-B5AE-4CE2-955C-18B5FCC8EE59}"/>
    <cellStyle name="Migliaia 32 3 2 2 4 5" xfId="53525" xr:uid="{BE3101C4-7624-46AA-B5BE-522A769667D0}"/>
    <cellStyle name="Migliaia 32 3 2 2 4 6" xfId="10859" xr:uid="{CE21FCC5-FBA8-4CD4-B2ED-A27B401CFD36}"/>
    <cellStyle name="Migliaia 32 3 2 2 5" xfId="20383" xr:uid="{23337B00-8FAE-4126-9BD4-22DFC746CD54}"/>
    <cellStyle name="Migliaia 32 3 2 2 6" xfId="24758" xr:uid="{C29033BF-3055-4DF9-A2B1-A0A4BFA9BAA6}"/>
    <cellStyle name="Migliaia 32 3 2 2 7" xfId="8633" xr:uid="{A9FA4980-759C-4CF4-ACE2-6FACF4B1D2CE}"/>
    <cellStyle name="Migliaia 32 3 2 3" xfId="5235" xr:uid="{73CD4E40-958A-4C35-AFB7-FC2BA117901E}"/>
    <cellStyle name="Migliaia 32 3 2 3 2" xfId="12412" xr:uid="{9C0824EB-815F-49D3-BC67-CE892F5D4DAB}"/>
    <cellStyle name="Migliaia 32 3 2 3 2 2" xfId="39273" xr:uid="{4E4571DE-872F-452C-9AF0-7D9BC51FE9FC}"/>
    <cellStyle name="Migliaia 32 3 2 3 2 3" xfId="44575" xr:uid="{D75613BB-1087-44AC-8FD6-6F9FCA8F85E7}"/>
    <cellStyle name="Migliaia 32 3 2 3 2 4" xfId="33778" xr:uid="{3212A96D-77FD-4DFD-BC17-4497D36F5FA9}"/>
    <cellStyle name="Migliaia 32 3 2 3 3" xfId="11988" xr:uid="{8A893CB8-1A66-49E4-87AC-81EFF126FCF2}"/>
    <cellStyle name="Migliaia 32 3 2 3 4" xfId="20384" xr:uid="{C47863CF-6A6D-4C69-A693-F6FC7126DA7A}"/>
    <cellStyle name="Migliaia 32 3 2 3 4 2" xfId="41924" xr:uid="{E64D4C30-FA60-4BAB-9CA1-07B0BEBA928E}"/>
    <cellStyle name="Migliaia 32 3 2 3 5" xfId="16399" xr:uid="{4CA81026-EA8F-4ED2-94A6-E74297E082C8}"/>
    <cellStyle name="Migliaia 32 3 2 3 6" xfId="7925" xr:uid="{2732888A-BBE0-4560-BDDB-20B9E8202B26}"/>
    <cellStyle name="Migliaia 32 3 2 4" xfId="6434" xr:uid="{10C6C0C9-7B49-4C56-B6C6-0919D60A39D3}"/>
    <cellStyle name="Migliaia 32 3 2 4 2" xfId="18082" xr:uid="{28B1D63C-59DB-4DF8-8396-9A07D31E99B0}"/>
    <cellStyle name="Migliaia 32 3 2 4 2 2" xfId="39274" xr:uid="{091B53F9-4B67-4088-897A-ED8CCD3CA98F}"/>
    <cellStyle name="Migliaia 32 3 2 4 2 3" xfId="44576" xr:uid="{EFA1337A-561C-4C76-8639-094AC878DDAF}"/>
    <cellStyle name="Migliaia 32 3 2 4 3" xfId="36713" xr:uid="{CD627BEC-4E08-4FFA-9BAD-0B1D215F338A}"/>
    <cellStyle name="Migliaia 32 3 2 4 4" xfId="41925" xr:uid="{2D4A2F92-A2AE-482B-BB1B-4173D4F05A23}"/>
    <cellStyle name="Migliaia 32 3 2 4 5" xfId="17186" xr:uid="{C8464A29-7FE5-48CF-9503-4B7A1FFB0DA7}"/>
    <cellStyle name="Migliaia 32 3 2 4 6" xfId="11336" xr:uid="{5ED1C892-98DD-47D8-9754-0087669CBA42}"/>
    <cellStyle name="Migliaia 32 3 2 5" xfId="3509" xr:uid="{41BCB18A-50B0-4217-AA2A-D96D500BB30B}"/>
    <cellStyle name="Migliaia 32 3 2 5 2" xfId="33779" xr:uid="{2D3D9B55-0F4F-42DA-B8A8-8D893E19BF88}"/>
    <cellStyle name="Migliaia 32 3 2 5 2 2" xfId="39275" xr:uid="{E1157660-936E-4165-BCA2-41C2FC44130C}"/>
    <cellStyle name="Migliaia 32 3 2 5 2 3" xfId="44577" xr:uid="{60CA7028-A7B6-4E77-9D37-12F36FA0AB6D}"/>
    <cellStyle name="Migliaia 32 3 2 5 3" xfId="36714" xr:uid="{E5A0B2B8-7400-4CE2-9C21-1924C89F4405}"/>
    <cellStyle name="Migliaia 32 3 2 5 4" xfId="41926" xr:uid="{CC8F7F42-4C80-458C-A958-20EF2794ADB9}"/>
    <cellStyle name="Migliaia 32 3 2 5 5" xfId="17351" xr:uid="{6E285BDC-229F-42F8-BD7F-53E46CBA0E53}"/>
    <cellStyle name="Migliaia 32 3 2 6" xfId="20382" xr:uid="{26466020-BE42-49EA-8F8D-CBEDAB0A0F30}"/>
    <cellStyle name="Migliaia 32 3 2 6 2" xfId="33780" xr:uid="{8B2E0AB5-DB63-48DB-8C5A-EFB4FAF817C9}"/>
    <cellStyle name="Migliaia 32 3 2 6 2 2" xfId="39276" xr:uid="{57A9DC0C-33AF-4293-A9EA-DA85A1E1B4B2}"/>
    <cellStyle name="Migliaia 32 3 2 6 2 3" xfId="44578" xr:uid="{00EB88B3-6FE8-4BBF-A35E-8A17F3E586BC}"/>
    <cellStyle name="Migliaia 32 3 2 6 3" xfId="36715" xr:uid="{F96B51C2-6B52-4104-9411-27D380B1CB70}"/>
    <cellStyle name="Migliaia 32 3 2 6 4" xfId="41927" xr:uid="{FCE18F40-AA0E-4C6B-BA91-2335ADA84617}"/>
    <cellStyle name="Migliaia 32 3 2 6 5" xfId="24761" xr:uid="{E96B1D0C-4D11-49CC-ACB8-531F85450ECC}"/>
    <cellStyle name="Migliaia 32 3 2 7" xfId="24757" xr:uid="{F53D8B33-244E-4AAF-AE00-3255AE99E80E}"/>
    <cellStyle name="Migliaia 32 3 2 8" xfId="7443" xr:uid="{3D27C3F4-5606-42F5-BB5B-025BD59239E7}"/>
    <cellStyle name="Migliaia 32 3 3" xfId="3511" xr:uid="{762B7129-7A57-43B2-9DA6-7496D75889FD}"/>
    <cellStyle name="Migliaia 32 3 3 10" xfId="7442" xr:uid="{583007EE-AD60-4B4B-A782-1FF1523E2B91}"/>
    <cellStyle name="Migliaia 32 3 3 2" xfId="5237" xr:uid="{DFA00A8A-B81E-463A-A568-632A0F0DF353}"/>
    <cellStyle name="Migliaia 32 3 3 2 2" xfId="9932" xr:uid="{75B862FE-3533-4860-891B-3862A4FD8A8F}"/>
    <cellStyle name="Migliaia 32 3 3 2 2 2" xfId="39278" xr:uid="{68C0B9C0-7135-4D04-BC2D-917AC1F12AC4}"/>
    <cellStyle name="Migliaia 32 3 3 2 2 3" xfId="44580" xr:uid="{E58B2862-EEE7-4C1D-8D9C-6850E4AD5A0A}"/>
    <cellStyle name="Migliaia 32 3 3 2 3" xfId="18212" xr:uid="{82604254-CDB6-45AB-BC17-DEDE8513F72A}"/>
    <cellStyle name="Migliaia 32 3 3 2 4" xfId="20386" xr:uid="{D4B159DD-20D0-43DD-8FB0-A7EA5BC650DB}"/>
    <cellStyle name="Migliaia 32 3 3 2 4 2" xfId="41929" xr:uid="{EBA3A189-84B0-4653-9991-82F41A7B9E21}"/>
    <cellStyle name="Migliaia 32 3 3 2 5" xfId="16401" xr:uid="{3969CFAC-0784-4464-B2E1-45600027D6E1}"/>
    <cellStyle name="Migliaia 32 3 3 2 6" xfId="8632" xr:uid="{7A133912-DC8F-4503-907D-0841A0A2D37F}"/>
    <cellStyle name="Migliaia 32 3 3 3" xfId="6436" xr:uid="{A03A6FE5-883D-41C2-BC24-9CDD98AD747C}"/>
    <cellStyle name="Migliaia 32 3 3 3 2" xfId="33783" xr:uid="{71601750-CB18-4879-AEB4-1195C5A3C4B8}"/>
    <cellStyle name="Migliaia 32 3 3 3 2 2" xfId="39279" xr:uid="{F87086C7-F9FE-44B2-8E35-93FD0FCE23C5}"/>
    <cellStyle name="Migliaia 32 3 3 3 2 3" xfId="44581" xr:uid="{219AA0CD-7EBC-49F4-BE14-E508853848CC}"/>
    <cellStyle name="Migliaia 32 3 3 3 3" xfId="36718" xr:uid="{495BF574-4A80-43E2-A03C-62BE2891BD87}"/>
    <cellStyle name="Migliaia 32 3 3 3 4" xfId="41930" xr:uid="{57DAB578-503F-41D9-B15E-3F262D835D58}"/>
    <cellStyle name="Migliaia 32 3 3 3 5" xfId="9695" xr:uid="{8DDE3DA0-E2C3-480F-BB60-3FCF3C35AB68}"/>
    <cellStyle name="Migliaia 32 3 3 4" xfId="20385" xr:uid="{F717BDF5-FEF5-49CE-A2D1-43DD705AAE8A}"/>
    <cellStyle name="Migliaia 32 3 3 4 2" xfId="33784" xr:uid="{E3FEA08A-D0F9-4FCF-B5CA-07FCC8C05FBE}"/>
    <cellStyle name="Migliaia 32 3 3 4 2 2" xfId="39280" xr:uid="{5FD6AEBA-07D4-47D5-A7BC-A034D64C52A3}"/>
    <cellStyle name="Migliaia 32 3 3 4 2 3" xfId="44582" xr:uid="{FD098CFA-A44A-4D2E-8B78-545A56747EE1}"/>
    <cellStyle name="Migliaia 32 3 3 4 3" xfId="36719" xr:uid="{73F7732B-B937-4EF5-8654-B50AB5A3395B}"/>
    <cellStyle name="Migliaia 32 3 3 4 4" xfId="41931" xr:uid="{6EEBE579-4DA6-478F-941D-01E368D34E1C}"/>
    <cellStyle name="Migliaia 32 3 3 4 5" xfId="24763" xr:uid="{F77406F7-608C-4C8B-AF8D-B7AD54C53108}"/>
    <cellStyle name="Migliaia 32 3 3 5" xfId="24764" xr:uid="{91B97FF7-A3F1-4499-9340-6D9BE53F2126}"/>
    <cellStyle name="Migliaia 32 3 3 5 2" xfId="33785" xr:uid="{ECC35531-F118-4B71-93E1-CF9A2328B9EC}"/>
    <cellStyle name="Migliaia 32 3 3 5 2 2" xfId="39281" xr:uid="{12E21F0C-BBEB-468E-9B58-6A72F16F20FD}"/>
    <cellStyle name="Migliaia 32 3 3 5 2 3" xfId="44583" xr:uid="{72B8DABB-A83A-42F7-A5B2-83C97A65F970}"/>
    <cellStyle name="Migliaia 32 3 3 5 3" xfId="36720" xr:uid="{D5210168-752B-4304-BCEE-1379A19C5FD9}"/>
    <cellStyle name="Migliaia 32 3 3 5 4" xfId="41932" xr:uid="{A771AE4D-84FE-4369-98A1-B14466DB68A1}"/>
    <cellStyle name="Migliaia 32 3 3 6" xfId="33781" xr:uid="{7059C4CD-D9BC-4DB5-8C2F-41EB9C131108}"/>
    <cellStyle name="Migliaia 32 3 3 6 2" xfId="39277" xr:uid="{EB1D63A7-27FC-4F44-A5C2-190BCFF74BD1}"/>
    <cellStyle name="Migliaia 32 3 3 6 3" xfId="44579" xr:uid="{37421332-ACFD-4DF2-AC51-D41969B4DB82}"/>
    <cellStyle name="Migliaia 32 3 3 7" xfId="36716" xr:uid="{ED7C46EB-FEA5-48FC-9D53-632497F3A410}"/>
    <cellStyle name="Migliaia 32 3 3 8" xfId="41928" xr:uid="{37AB18EE-2C70-4242-9525-D7A0F803AC5F}"/>
    <cellStyle name="Migliaia 32 3 3 9" xfId="16400" xr:uid="{AE7640D7-2530-4CA8-B595-B36D9FC88B8C}"/>
    <cellStyle name="Migliaia 32 3 4" xfId="3512" xr:uid="{62304707-5987-4782-98DE-4DA0F6D655B2}"/>
    <cellStyle name="Migliaia 32 3 4 2" xfId="5238" xr:uid="{32C99067-454D-4962-9210-A644E7861CC2}"/>
    <cellStyle name="Migliaia 32 3 4 2 2" xfId="14448" xr:uid="{A6D684DB-F6DE-4DD5-90B4-792278959FBC}"/>
    <cellStyle name="Migliaia 32 3 4 2 3" xfId="18584" xr:uid="{2EFD642E-A13D-49EF-BCEB-A36066884EB0}"/>
    <cellStyle name="Migliaia 32 3 4 2 4" xfId="20388" xr:uid="{A6ACF4E3-FB98-4F77-8049-F2B0AB15BBE2}"/>
    <cellStyle name="Migliaia 32 3 4 2 5" xfId="32380" xr:uid="{CAF02877-2AC3-4687-A88A-4454475AB170}"/>
    <cellStyle name="Migliaia 32 3 4 2 6" xfId="16403" xr:uid="{6A83FBA9-93E3-4E3C-86AB-D3F851B264F1}"/>
    <cellStyle name="Migliaia 32 3 4 2 7" xfId="8871" xr:uid="{2932B087-2D39-438B-9268-D24824DAC030}"/>
    <cellStyle name="Migliaia 32 3 4 3" xfId="6437" xr:uid="{C1B46896-D5AF-408A-8D97-A8746572D3E7}"/>
    <cellStyle name="Migliaia 32 3 4 3 2" xfId="35300" xr:uid="{D1FE0037-7C10-4A7D-B547-43D92FC7A46C}"/>
    <cellStyle name="Migliaia 32 3 4 3 2 2" xfId="40460" xr:uid="{575C98B0-89E8-49A1-AB7A-E76C3BEF45E1}"/>
    <cellStyle name="Migliaia 32 3 4 3 2 3" xfId="45762" xr:uid="{73622E6C-FCF2-413A-A240-78234E3D8048}"/>
    <cellStyle name="Migliaia 32 3 4 3 3" xfId="37809" xr:uid="{2F7870D7-152D-4F7E-BD71-90103DF3096A}"/>
    <cellStyle name="Migliaia 32 3 4 3 4" xfId="43111" xr:uid="{26AEC8EA-5965-49F2-A3DC-85C93554E083}"/>
    <cellStyle name="Migliaia 32 3 4 3 5" xfId="13696" xr:uid="{715D1556-6C38-42F7-B0FE-7E33FAAEB4FC}"/>
    <cellStyle name="Migliaia 32 3 4 4" xfId="20387" xr:uid="{DA7853A7-2C42-4F9F-98D0-0476E18974D0}"/>
    <cellStyle name="Migliaia 32 3 4 4 2" xfId="39282" xr:uid="{858AAFF4-2F74-4DE1-B3ED-AD661202AC57}"/>
    <cellStyle name="Migliaia 32 3 4 4 3" xfId="44584" xr:uid="{947AF9CD-D447-4A3F-89E9-17B463248EFC}"/>
    <cellStyle name="Migliaia 32 3 4 4 4" xfId="33786" xr:uid="{FB5E23B1-84EA-40A4-91B8-7741FD1FCBAF}"/>
    <cellStyle name="Migliaia 32 3 4 5" xfId="36721" xr:uid="{AEEC3B71-3C0C-4B4D-8DB7-B1E6214AC34C}"/>
    <cellStyle name="Migliaia 32 3 4 6" xfId="41933" xr:uid="{E5E419AD-7321-4C4E-9379-CD410FEDB093}"/>
    <cellStyle name="Migliaia 32 3 4 7" xfId="16402" xr:uid="{991C84B8-317E-40BA-B778-AF6F5B077395}"/>
    <cellStyle name="Migliaia 32 3 4 8" xfId="7681" xr:uid="{4904E841-3A41-4C94-9F8C-4BDC9A5880B4}"/>
    <cellStyle name="Migliaia 32 3 5" xfId="3513" xr:uid="{CB096336-041D-4556-A1DF-54B489F00F47}"/>
    <cellStyle name="Migliaia 32 3 5 2" xfId="5239" xr:uid="{F97C6EFB-56E4-48FA-B693-6194ADB4FC42}"/>
    <cellStyle name="Migliaia 32 3 5 2 2" xfId="35301" xr:uid="{5D43112C-3683-4AEC-934A-EEFC99F21177}"/>
    <cellStyle name="Migliaia 32 3 5 2 2 2" xfId="40461" xr:uid="{CAB13AB9-2489-47E5-AB5C-54287E7405CB}"/>
    <cellStyle name="Migliaia 32 3 5 2 2 3" xfId="45763" xr:uid="{966A87FE-80BD-4372-9462-7F2C22810DA0}"/>
    <cellStyle name="Migliaia 32 3 5 2 3" xfId="37810" xr:uid="{02F864EC-4AE7-4E1B-A272-CA9069263FC4}"/>
    <cellStyle name="Migliaia 32 3 5 2 4" xfId="43112" xr:uid="{25FE6546-4842-41B8-B8FE-87D42CE3637D}"/>
    <cellStyle name="Migliaia 32 3 5 2 5" xfId="14256" xr:uid="{9EFDD41E-884D-4C42-B494-D7B57B5EF3AE}"/>
    <cellStyle name="Migliaia 32 3 5 3" xfId="6438" xr:uid="{6CFB68BC-DA43-467F-A744-173D2D54F3E6}"/>
    <cellStyle name="Migliaia 32 3 5 3 2" xfId="39283" xr:uid="{B68415A5-71FE-4525-82C0-77EAAFBE7677}"/>
    <cellStyle name="Migliaia 32 3 5 3 3" xfId="44585" xr:uid="{E53B86B9-D965-4B7E-AA1F-9A630FD34D34}"/>
    <cellStyle name="Migliaia 32 3 5 3 4" xfId="33787" xr:uid="{CB9EDD51-4466-44C7-9896-7E4F2F1D1740}"/>
    <cellStyle name="Migliaia 32 3 5 3 5" xfId="20389" xr:uid="{93879FC9-723B-4EBF-A986-97723E768634}"/>
    <cellStyle name="Migliaia 32 3 5 4" xfId="36722" xr:uid="{DB983AFD-B66F-435B-906E-7E6A425B4977}"/>
    <cellStyle name="Migliaia 32 3 5 5" xfId="41934" xr:uid="{869BD425-4992-4C56-A7DF-11C256F31684}"/>
    <cellStyle name="Migliaia 32 3 5 6" xfId="16404" xr:uid="{BE5A0BC8-CD76-44B2-AE9B-7EFA3930C0F5}"/>
    <cellStyle name="Migliaia 32 3 5 7" xfId="8318" xr:uid="{11032C66-E4EE-424C-89E6-73B922A716A7}"/>
    <cellStyle name="Migliaia 32 3 6" xfId="5234" xr:uid="{1B527711-DAE8-4B2E-AF9D-3134DEDDB473}"/>
    <cellStyle name="Migliaia 32 3 6 2" xfId="13961" xr:uid="{CFB8235F-7D0C-47AF-9E12-2DCF338CD98A}"/>
    <cellStyle name="Migliaia 32 3 6 2 2" xfId="39284" xr:uid="{7CFB0A0F-8BDB-49DC-9486-5DE4C0226C9F}"/>
    <cellStyle name="Migliaia 32 3 6 2 3" xfId="44586" xr:uid="{DCD3F086-C49E-4D8B-93B5-6E0C9B9DFF4B}"/>
    <cellStyle name="Migliaia 32 3 6 3" xfId="18614" xr:uid="{08AD073A-7E95-4620-A75F-5D382FC7CD40}"/>
    <cellStyle name="Migliaia 32 3 6 4" xfId="20390" xr:uid="{FAFC3692-CB6A-43F5-8EC7-E398D4D59808}"/>
    <cellStyle name="Migliaia 32 3 6 4 2" xfId="41935" xr:uid="{310514F5-BF61-4756-A0BE-84B660792A88}"/>
    <cellStyle name="Migliaia 32 3 6 5" xfId="16405" xr:uid="{B0BBA026-4FD4-4887-A31B-E27E99D5D8A5}"/>
    <cellStyle name="Migliaia 32 3 6 6" xfId="7924" xr:uid="{92DA15A0-C93C-4A92-A33C-6B471BF960F9}"/>
    <cellStyle name="Migliaia 32 3 7" xfId="6433" xr:uid="{5823BAAF-61D2-4281-AB44-67BFE3822AEA}"/>
    <cellStyle name="Migliaia 32 3 7 2" xfId="33788" xr:uid="{1049A9A8-6DE6-46EE-9C3F-1F6C0525CD14}"/>
    <cellStyle name="Migliaia 32 3 7 2 2" xfId="39285" xr:uid="{A6E4031C-8B38-422C-957B-F45672C254FD}"/>
    <cellStyle name="Migliaia 32 3 7 2 3" xfId="44587" xr:uid="{9F33CC95-96CD-45FE-AAB7-E1F978E53B77}"/>
    <cellStyle name="Migliaia 32 3 7 3" xfId="36723" xr:uid="{CF575470-D392-4F9E-B60F-DA6C734E64E3}"/>
    <cellStyle name="Migliaia 32 3 7 4" xfId="41936" xr:uid="{AC981413-F277-4B3A-90D5-D87BC21EFE1E}"/>
    <cellStyle name="Migliaia 32 3 7 5" xfId="12244" xr:uid="{1E0201AD-82C9-44F6-950E-9247E53C4E79}"/>
    <cellStyle name="Migliaia 32 3 8" xfId="3508" xr:uid="{2085F6A7-0789-469A-B969-4BE64300FCAA}"/>
    <cellStyle name="Migliaia 32 3 8 2" xfId="33789" xr:uid="{5873EF68-98CE-4B51-92C7-3941CA2063FC}"/>
    <cellStyle name="Migliaia 32 3 8 2 2" xfId="39286" xr:uid="{A12DE1F5-6CCD-4764-A0DA-F94F5B25517A}"/>
    <cellStyle name="Migliaia 32 3 8 2 3" xfId="44588" xr:uid="{C5395F6A-5745-493D-8024-BFEA84408C06}"/>
    <cellStyle name="Migliaia 32 3 8 3" xfId="36724" xr:uid="{B093328A-DCF6-4219-8FC5-9DFD8F1E0BEF}"/>
    <cellStyle name="Migliaia 32 3 8 4" xfId="41937" xr:uid="{E7DB0335-3539-4A6B-8F34-AC9F3AE3356C}"/>
    <cellStyle name="Migliaia 32 3 8 5" xfId="24768" xr:uid="{F787DF8E-D06C-43DE-B276-2871F7E2EECB}"/>
    <cellStyle name="Migliaia 32 3 8 6" xfId="17352" xr:uid="{0B459E9E-8DF0-4100-BEF4-D58957885B44}"/>
    <cellStyle name="Migliaia 32 3 9" xfId="20381" xr:uid="{922E9900-501C-48DE-9B92-ACC91E42B687}"/>
    <cellStyle name="Migliaia 32 4" xfId="1783" xr:uid="{00000000-0005-0000-0000-0000A6030000}"/>
    <cellStyle name="Migliaia 32 4 2" xfId="1784" xr:uid="{00000000-0005-0000-0000-0000A7030000}"/>
    <cellStyle name="Migliaia 32 4 2 2" xfId="5241" xr:uid="{924DAC67-60AF-40AE-B9D4-B129F12D1A13}"/>
    <cellStyle name="Migliaia 32 4 2 2 2" xfId="33790" xr:uid="{3FAC5EEB-5E85-4ECE-B352-3E9751C90200}"/>
    <cellStyle name="Migliaia 32 4 2 2 2 2" xfId="39287" xr:uid="{EDB0A399-5FAE-4184-A4F9-46B883C15158}"/>
    <cellStyle name="Migliaia 32 4 2 2 2 3" xfId="44589" xr:uid="{A6B3C9F2-874F-4187-8C2B-9B937552F310}"/>
    <cellStyle name="Migliaia 32 4 2 2 3" xfId="36725" xr:uid="{572AC398-E290-4494-A356-61DF2C07BA07}"/>
    <cellStyle name="Migliaia 32 4 2 2 4" xfId="41938" xr:uid="{1007A034-C2C2-4E78-BFA1-1AABEC48AF43}"/>
    <cellStyle name="Migliaia 32 4 2 2 5" xfId="9158" xr:uid="{B1ACF012-D0F6-4D95-8033-A474D5A9AAC7}"/>
    <cellStyle name="Migliaia 32 4 2 3" xfId="3515" xr:uid="{F21A02D4-91F8-4775-8141-127D42F27451}"/>
    <cellStyle name="Migliaia 32 4 2 3 2" xfId="33791" xr:uid="{21884536-2C59-46B7-9579-D65C499E8612}"/>
    <cellStyle name="Migliaia 32 4 2 3 2 2" xfId="39288" xr:uid="{D0EB52A3-B6A8-41D5-8E39-4433D6A08D7A}"/>
    <cellStyle name="Migliaia 32 4 2 3 2 3" xfId="44590" xr:uid="{17D6F292-154E-4EEE-B38F-B1A332468B68}"/>
    <cellStyle name="Migliaia 32 4 2 3 3" xfId="36726" xr:uid="{9946F70D-BD46-4549-8D60-BE4B329D5F88}"/>
    <cellStyle name="Migliaia 32 4 2 3 4" xfId="41939" xr:uid="{2E5A9AD1-8CF1-4D2A-AEDF-114166A294E5}"/>
    <cellStyle name="Migliaia 32 4 2 3 5" xfId="11989" xr:uid="{ABCE21FD-DA7D-4B8C-AB80-946859AAE871}"/>
    <cellStyle name="Migliaia 32 4 2 4" xfId="11338" xr:uid="{44C5CD34-B7F0-4662-B07D-4D7CE088E886}"/>
    <cellStyle name="Migliaia 32 4 2 5" xfId="10861" xr:uid="{6CBA1785-DB5B-4DDB-A0CF-CDA013F77C9E}"/>
    <cellStyle name="Migliaia 32 4 2 5 2" xfId="21496" xr:uid="{C2484BC5-1E38-4885-9E04-0C7B2C51EBE1}"/>
    <cellStyle name="Migliaia 32 4 2 5 3" xfId="46244" xr:uid="{3339D4FA-7017-4755-84BF-A32FA0DB570B}"/>
    <cellStyle name="Migliaia 32 4 2 5 4" xfId="50511" xr:uid="{96DF5D9F-FB42-40B5-892D-C6C2209C7953}"/>
    <cellStyle name="Migliaia 32 4 2 5 5" xfId="53527" xr:uid="{766258EF-78DC-4D85-96CE-F234E592B18F}"/>
    <cellStyle name="Migliaia 32 4 2 6" xfId="20392" xr:uid="{CBD00B81-B4F9-4F8A-822D-9CB9F3512A8F}"/>
    <cellStyle name="Migliaia 32 4 2 7" xfId="24770" xr:uid="{E6DDB186-680D-4247-9011-B4C7292F78ED}"/>
    <cellStyle name="Migliaia 32 4 2 8" xfId="8634" xr:uid="{9B66DD61-8FCA-4F2E-B31F-6E061D9674B8}"/>
    <cellStyle name="Migliaia 32 4 3" xfId="5240" xr:uid="{FDFE663D-554D-4F35-A2F4-EADA5482FA20}"/>
    <cellStyle name="Migliaia 32 4 3 2" xfId="18213" xr:uid="{BD51959E-25ED-4466-B2B3-038252FE0ED7}"/>
    <cellStyle name="Migliaia 32 4 3 2 2" xfId="39289" xr:uid="{4A1DB9AC-6FB9-438C-AF16-6F734CF4CB60}"/>
    <cellStyle name="Migliaia 32 4 3 2 3" xfId="44591" xr:uid="{22E7F6B9-500B-48F7-842C-A19EBCDA0DA0}"/>
    <cellStyle name="Migliaia 32 4 3 3" xfId="36727" xr:uid="{FDC93AEB-2A5A-4E7F-BD96-703BDDE6A9E3}"/>
    <cellStyle name="Migliaia 32 4 3 4" xfId="41940" xr:uid="{8670B5D4-9840-4056-BCA4-0DE3110292CB}"/>
    <cellStyle name="Migliaia 32 4 3 5" xfId="17350" xr:uid="{C30D82F8-94C5-46EE-A19E-1FF4B0AA191C}"/>
    <cellStyle name="Migliaia 32 4 3 6" xfId="9159" xr:uid="{AFF05CCE-34D5-469E-9109-6D44C06A02CD}"/>
    <cellStyle name="Migliaia 32 4 4" xfId="6439" xr:uid="{C9F7EC3B-CCDC-4457-A54B-384E689E7FA7}"/>
    <cellStyle name="Migliaia 32 4 4 2" xfId="33792" xr:uid="{4ADB547B-ADF1-4478-8F07-DC62D2C64AE6}"/>
    <cellStyle name="Migliaia 32 4 4 2 2" xfId="39290" xr:uid="{E2186575-DF30-4743-8601-91E1FCBC3172}"/>
    <cellStyle name="Migliaia 32 4 4 2 3" xfId="44592" xr:uid="{F7BC44FD-795B-4057-AEBD-43324A28F406}"/>
    <cellStyle name="Migliaia 32 4 4 3" xfId="36728" xr:uid="{69648B24-6867-452B-9A96-5EC60812BC4F}"/>
    <cellStyle name="Migliaia 32 4 4 4" xfId="41941" xr:uid="{7291B272-D440-4363-B454-348F601D7EE4}"/>
    <cellStyle name="Migliaia 32 4 4 5" xfId="11990" xr:uid="{1A63802B-4003-446A-8716-154B3BABC81E}"/>
    <cellStyle name="Migliaia 32 4 5" xfId="3514" xr:uid="{C4A06186-7525-4C11-9D18-72573FE871B0}"/>
    <cellStyle name="Migliaia 32 4 5 2" xfId="33793" xr:uid="{DD3625C4-642D-4AD1-BCCC-272B6D988311}"/>
    <cellStyle name="Migliaia 32 4 5 2 2" xfId="39291" xr:uid="{CB1868E0-DC8E-4D10-9E82-03E478000A06}"/>
    <cellStyle name="Migliaia 32 4 5 2 3" xfId="44593" xr:uid="{27ECC89F-FB30-412F-AF86-F649797910F0}"/>
    <cellStyle name="Migliaia 32 4 5 3" xfId="36729" xr:uid="{DA1094CC-C57C-44EF-96EA-A9D5C91C05A8}"/>
    <cellStyle name="Migliaia 32 4 5 4" xfId="41942" xr:uid="{697F5EA4-FBE2-4FDE-B9EE-287FAFADF421}"/>
    <cellStyle name="Migliaia 32 4 5 5" xfId="11337" xr:uid="{76B47DAD-CB40-43A2-AFBE-B9850F9062F8}"/>
    <cellStyle name="Migliaia 32 4 6" xfId="10860" xr:uid="{86E7D125-28A7-44C9-8CEA-0AA5D4C65876}"/>
    <cellStyle name="Migliaia 32 4 6 2" xfId="21495" xr:uid="{4F58E123-AE8A-48F5-BE64-51107DE2481A}"/>
    <cellStyle name="Migliaia 32 4 6 2 2" xfId="39292" xr:uid="{7234CDB0-2C06-4C64-B04D-1F3CF2E18706}"/>
    <cellStyle name="Migliaia 32 4 6 2 3" xfId="44594" xr:uid="{8180B857-93C8-45A4-B990-C9A97CA936BA}"/>
    <cellStyle name="Migliaia 32 4 6 2 4" xfId="33794" xr:uid="{54F74F49-2264-438D-BE84-AA676CD84D51}"/>
    <cellStyle name="Migliaia 32 4 6 3" xfId="36730" xr:uid="{B6FAE01B-EB7D-4FED-9B91-3F0DB74D6964}"/>
    <cellStyle name="Migliaia 32 4 6 4" xfId="41943" xr:uid="{CA8B2CEA-F0B3-4465-9B78-F1A16EA0CB08}"/>
    <cellStyle name="Migliaia 32 4 6 5" xfId="24771" xr:uid="{EC66C4E6-031B-4E07-84BC-9319F5ECC2D6}"/>
    <cellStyle name="Migliaia 32 4 6 6" xfId="24243" xr:uid="{17EA41F2-A498-4187-B713-17FA40E5EDDE}"/>
    <cellStyle name="Migliaia 32 4 6 7" xfId="50510" xr:uid="{CFE27C3D-89AB-488D-97A9-29DE6D2C578F}"/>
    <cellStyle name="Migliaia 32 4 6 8" xfId="53526" xr:uid="{B349D4BF-7AB2-4A9C-AE26-209C3A45C6B2}"/>
    <cellStyle name="Migliaia 32 4 7" xfId="20391" xr:uid="{BDB98528-0EB8-46D0-BF46-01EB44B24D01}"/>
    <cellStyle name="Migliaia 32 4 7 2" xfId="33795" xr:uid="{AAB9691C-1710-434F-BF12-A7873C43DCEA}"/>
    <cellStyle name="Migliaia 32 4 7 2 2" xfId="39293" xr:uid="{436D2E82-A8B5-48A9-9646-19E2B23A708C}"/>
    <cellStyle name="Migliaia 32 4 7 2 3" xfId="44595" xr:uid="{C30BF921-6E09-4A43-84A7-4D71EC7617C2}"/>
    <cellStyle name="Migliaia 32 4 7 3" xfId="36731" xr:uid="{9BC2C607-9D6C-4D12-AC08-4CD9DC53B10B}"/>
    <cellStyle name="Migliaia 32 4 7 4" xfId="41944" xr:uid="{3979ABEA-680B-4A9E-8DD2-A9BE7FD3813D}"/>
    <cellStyle name="Migliaia 32 4 7 5" xfId="24772" xr:uid="{95F42D76-BC33-481D-9047-B5AD3FA85D1A}"/>
    <cellStyle name="Migliaia 32 4 8" xfId="24769" xr:uid="{4070D83A-8BC8-42D6-A0C4-50DD0B80B3A3}"/>
    <cellStyle name="Migliaia 32 4 9" xfId="7444" xr:uid="{92B8D8B8-7FFA-452E-91CA-E1A3FF57332F}"/>
    <cellStyle name="Migliaia 32 5" xfId="1785" xr:uid="{00000000-0005-0000-0000-0000A8030000}"/>
    <cellStyle name="Migliaia 32 5 2" xfId="5242" xr:uid="{DFD51720-D573-4248-9FD6-E0340BCBADFE}"/>
    <cellStyle name="Migliaia 32 5 2 2" xfId="18439" xr:uid="{E787C402-ADD9-4D1B-8D98-A3D31E5130D3}"/>
    <cellStyle name="Migliaia 32 5 2 2 2" xfId="39294" xr:uid="{53D34412-1FFD-441E-93FB-B6F5C8A663E9}"/>
    <cellStyle name="Migliaia 32 5 2 2 3" xfId="44596" xr:uid="{7C6B6FBB-F91C-4B5D-8854-081B85836742}"/>
    <cellStyle name="Migliaia 32 5 2 3" xfId="20394" xr:uid="{B866360A-F00F-42F6-AC1C-1105CD6914DB}"/>
    <cellStyle name="Migliaia 32 5 2 3 2" xfId="36732" xr:uid="{01EE5ED1-53A7-401C-9416-5C8EA1A4C6C5}"/>
    <cellStyle name="Migliaia 32 5 2 4" xfId="41945" xr:uid="{FCAEF8E4-0630-4DF5-913B-7105966A62C6}"/>
    <cellStyle name="Migliaia 32 5 2 5" xfId="16406" xr:uid="{D7A45B08-41D4-4E11-BAD3-D2D46E9E8C1B}"/>
    <cellStyle name="Migliaia 32 5 2 6" xfId="8635" xr:uid="{14D81420-63B9-4E0C-928C-8649754A550B}"/>
    <cellStyle name="Migliaia 32 5 3" xfId="6440" xr:uid="{CAD3D39B-47AB-4F3C-88FA-2CD1B94FDB68}"/>
    <cellStyle name="Migliaia 32 5 3 2" xfId="33796" xr:uid="{1F1FB193-7297-496B-B639-2E461523328C}"/>
    <cellStyle name="Migliaia 32 5 3 2 2" xfId="39295" xr:uid="{812BD8A9-139F-43E8-9E3E-12048C1F79E2}"/>
    <cellStyle name="Migliaia 32 5 3 2 3" xfId="44597" xr:uid="{CDB768D4-4D74-4B72-AFD3-9F09DABB71AC}"/>
    <cellStyle name="Migliaia 32 5 3 3" xfId="36733" xr:uid="{3B9BAC82-F426-468D-AC20-59FDD339B112}"/>
    <cellStyle name="Migliaia 32 5 3 4" xfId="41946" xr:uid="{610AD3B2-51D2-4D32-9426-185469778E02}"/>
    <cellStyle name="Migliaia 32 5 3 5" xfId="11339" xr:uid="{F43C9747-882F-46D5-BAF8-F670DA22B48A}"/>
    <cellStyle name="Migliaia 32 5 4" xfId="3516" xr:uid="{5E249684-B9FD-44B1-99AC-1284190174C1}"/>
    <cellStyle name="Migliaia 32 5 4 2" xfId="21497" xr:uid="{84176843-19EE-43E0-B08A-D7BA818F07D2}"/>
    <cellStyle name="Migliaia 32 5 4 2 2" xfId="39296" xr:uid="{809BA1E5-2818-4DF6-8D84-000F5D4BBB95}"/>
    <cellStyle name="Migliaia 32 5 4 2 3" xfId="44598" xr:uid="{18821E93-B639-4EE1-A6ED-8B8A606EE23C}"/>
    <cellStyle name="Migliaia 32 5 4 2 4" xfId="33797" xr:uid="{65000424-83D0-4C19-8F00-C0B3882CE870}"/>
    <cellStyle name="Migliaia 32 5 4 3" xfId="36734" xr:uid="{E4DC2789-CF98-45C8-B071-2347EAADF4CA}"/>
    <cellStyle name="Migliaia 32 5 4 4" xfId="41947" xr:uid="{47A419E2-051B-4DFE-B8B7-FCC3184ED07F}"/>
    <cellStyle name="Migliaia 32 5 4 5" xfId="24774" xr:uid="{84068E10-D3A6-4D72-958E-FA1C57EC6BC7}"/>
    <cellStyle name="Migliaia 32 5 4 6" xfId="47306" xr:uid="{5100DF7D-F22A-48DF-855C-6376179C5418}"/>
    <cellStyle name="Migliaia 32 5 4 7" xfId="50512" xr:uid="{F940D57E-04E3-44E6-9845-D551D039A069}"/>
    <cellStyle name="Migliaia 32 5 4 8" xfId="53528" xr:uid="{DFF0CF6E-9A19-4236-B6EE-F7FDFF83CB7A}"/>
    <cellStyle name="Migliaia 32 5 4 9" xfId="10862" xr:uid="{5B5B63B0-96A0-45AA-8B79-869C6D76D2EF}"/>
    <cellStyle name="Migliaia 32 5 5" xfId="20393" xr:uid="{59BBCF21-E767-42AC-ABC0-5BA787321D01}"/>
    <cellStyle name="Migliaia 32 5 5 2" xfId="33798" xr:uid="{CC6853EC-5A49-44FC-BFD9-11E264672A1C}"/>
    <cellStyle name="Migliaia 32 5 5 2 2" xfId="39297" xr:uid="{C68E3372-536A-4C60-A956-E7D3010F6F18}"/>
    <cellStyle name="Migliaia 32 5 5 2 3" xfId="44599" xr:uid="{86EAF8D8-FA2E-4E98-8289-EF3A63688D21}"/>
    <cellStyle name="Migliaia 32 5 5 3" xfId="36735" xr:uid="{0109922E-4AE5-4FEA-AE60-573D4E65F377}"/>
    <cellStyle name="Migliaia 32 5 5 4" xfId="41948" xr:uid="{E3EB6C57-BF7C-45F0-9088-EA6118B92574}"/>
    <cellStyle name="Migliaia 32 5 5 5" xfId="24775" xr:uid="{07F851CF-5D5F-4ECD-86C7-CB60E62406F3}"/>
    <cellStyle name="Migliaia 32 5 6" xfId="24776" xr:uid="{0015F774-9541-458C-939A-85CB36AEFD34}"/>
    <cellStyle name="Migliaia 32 5 6 2" xfId="33799" xr:uid="{BF371DCC-A84B-479F-9130-F39BB7BA1752}"/>
    <cellStyle name="Migliaia 32 5 6 2 2" xfId="39298" xr:uid="{C30D5739-928E-4E2D-9F09-419AF2158E22}"/>
    <cellStyle name="Migliaia 32 5 6 2 3" xfId="44600" xr:uid="{19D77D7A-8229-415B-BBEB-EB79F1545040}"/>
    <cellStyle name="Migliaia 32 5 6 3" xfId="36736" xr:uid="{12D23CEB-7644-4CF4-98BD-E053653CFC8A}"/>
    <cellStyle name="Migliaia 32 5 6 4" xfId="41949" xr:uid="{EAF36789-C379-4D71-84F0-26CB2E640509}"/>
    <cellStyle name="Migliaia 32 5 7" xfId="24773" xr:uid="{29F69353-7277-479D-99E4-3AA83FC0C92C}"/>
    <cellStyle name="Migliaia 32 5 8" xfId="7445" xr:uid="{44EDAF0E-1D6F-45CD-8DA8-F091833803B7}"/>
    <cellStyle name="Migliaia 32 6" xfId="3517" xr:uid="{19207D03-52D6-4671-94F4-D680956CE76F}"/>
    <cellStyle name="Migliaia 32 6 2" xfId="5243" xr:uid="{D7F948F9-1A70-4C14-941D-F81B76E185B6}"/>
    <cellStyle name="Migliaia 32 6 2 2" xfId="9931" xr:uid="{81D02C72-CD29-4E49-A5FA-81AFAB6E537F}"/>
    <cellStyle name="Migliaia 32 6 2 3" xfId="18655" xr:uid="{BFEF1A2C-BF6B-4036-8DD0-474F29CB9E73}"/>
    <cellStyle name="Migliaia 32 6 2 4" xfId="20396" xr:uid="{59C7A844-E4AE-475B-A741-D64D05EB8B8F}"/>
    <cellStyle name="Migliaia 32 6 2 5" xfId="32382" xr:uid="{92BD9752-B62A-452F-BAE0-C3BBC8340C76}"/>
    <cellStyle name="Migliaia 32 6 2 6" xfId="16408" xr:uid="{ED3CA512-51CE-49A8-AA1E-41447FAF9C50}"/>
    <cellStyle name="Migliaia 32 6 2 7" xfId="8630" xr:uid="{5BA5CE85-E674-4A2A-8ED7-29E308DC8C49}"/>
    <cellStyle name="Migliaia 32 6 3" xfId="6441" xr:uid="{06C6FBF0-0D43-460C-8399-97043C1CDA88}"/>
    <cellStyle name="Migliaia 32 6 3 2" xfId="35302" xr:uid="{F4A8CEC6-2D02-4B31-815D-E244B07CD39D}"/>
    <cellStyle name="Migliaia 32 6 3 2 2" xfId="40462" xr:uid="{4A6EE47D-EB5A-49BF-B945-079EB3FD3AF5}"/>
    <cellStyle name="Migliaia 32 6 3 2 3" xfId="45764" xr:uid="{6EFC5354-D326-4D65-8BE6-CA0C12FEB163}"/>
    <cellStyle name="Migliaia 32 6 3 3" xfId="37811" xr:uid="{CE8CA2AA-8C04-4404-8F48-43713BFEE708}"/>
    <cellStyle name="Migliaia 32 6 3 4" xfId="43113" xr:uid="{92DDA6D4-C6D6-48F7-A87C-2460F1FF095F}"/>
    <cellStyle name="Migliaia 32 6 3 5" xfId="9694" xr:uid="{A9B0ED13-71AB-467E-9E50-C90FD9BB53CA}"/>
    <cellStyle name="Migliaia 32 6 4" xfId="20395" xr:uid="{215E81BB-54E9-46BD-94DD-12692F849B57}"/>
    <cellStyle name="Migliaia 32 6 4 2" xfId="39299" xr:uid="{FF31A5FB-511B-4E20-804A-29692AA5502E}"/>
    <cellStyle name="Migliaia 32 6 4 3" xfId="44601" xr:uid="{1BC3D7D3-2F08-4401-83A5-20FB1A7309ED}"/>
    <cellStyle name="Migliaia 32 6 4 4" xfId="33800" xr:uid="{60884C01-C644-4D9E-9345-A12E09FCE80C}"/>
    <cellStyle name="Migliaia 32 6 5" xfId="36737" xr:uid="{553B29DA-4F5B-48EF-A240-F66880674DF5}"/>
    <cellStyle name="Migliaia 32 6 6" xfId="41950" xr:uid="{0479E5E0-6865-4A4D-9500-80006C8A8BC8}"/>
    <cellStyle name="Migliaia 32 6 7" xfId="16407" xr:uid="{D655DC29-53D5-4D09-9547-E03CE47B2224}"/>
    <cellStyle name="Migliaia 32 6 8" xfId="7440" xr:uid="{FE384F66-A2A8-413E-A4EC-EFC77835A4F7}"/>
    <cellStyle name="Migliaia 32 7" xfId="3518" xr:uid="{282D0C42-E8B2-448B-A2FB-154D2F922972}"/>
    <cellStyle name="Migliaia 32 7 2" xfId="5244" xr:uid="{BAF67321-032F-4E11-ABD8-45759C9E2BA9}"/>
    <cellStyle name="Migliaia 32 7 2 2" xfId="35303" xr:uid="{21D8232A-8ED6-42BC-BA87-687ACD240824}"/>
    <cellStyle name="Migliaia 32 7 2 2 2" xfId="40463" xr:uid="{20A5C980-4CF7-4B58-8D2E-9F420621FBE6}"/>
    <cellStyle name="Migliaia 32 7 2 2 3" xfId="45765" xr:uid="{911A5696-5CEF-4E5B-8232-68A85BDEABEB}"/>
    <cellStyle name="Migliaia 32 7 2 3" xfId="37812" xr:uid="{20AD953B-84E8-4C26-8B8A-68C97B70E9F5}"/>
    <cellStyle name="Migliaia 32 7 2 4" xfId="43114" xr:uid="{D9C4AEC7-C73A-425E-8741-8E9887D855BA}"/>
    <cellStyle name="Migliaia 32 7 2 5" xfId="14254" xr:uid="{F7AFF114-2474-4B41-85EC-D0ADDEBBF1F5}"/>
    <cellStyle name="Migliaia 32 7 3" xfId="6442" xr:uid="{A2CBCD6E-AF83-4420-AABD-8B74EFE2AAC1}"/>
    <cellStyle name="Migliaia 32 7 3 2" xfId="39300" xr:uid="{3F2B1F85-CCDA-4255-A72A-F1514B49C9D4}"/>
    <cellStyle name="Migliaia 32 7 3 3" xfId="44602" xr:uid="{2C5753D6-B2DB-4E84-9D20-9E344A0154B3}"/>
    <cellStyle name="Migliaia 32 7 3 4" xfId="33801" xr:uid="{C08585AF-8304-4B7C-81A2-78DCC68DF1F6}"/>
    <cellStyle name="Migliaia 32 7 3 5" xfId="20397" xr:uid="{E2D75003-69ED-469C-BC66-6E591DB235BD}"/>
    <cellStyle name="Migliaia 32 7 4" xfId="36738" xr:uid="{0CA21CB5-7753-4E0C-B7F1-BC90ACD76F50}"/>
    <cellStyle name="Migliaia 32 7 5" xfId="41951" xr:uid="{8366D61E-DDE2-46F0-B4A8-7444AAE0E861}"/>
    <cellStyle name="Migliaia 32 7 6" xfId="16409" xr:uid="{78DE83ED-501A-4D60-A828-5109EEDCEAA8}"/>
    <cellStyle name="Migliaia 32 7 7" xfId="8316" xr:uid="{A63E9AF0-C874-4A28-9367-0C48395C1C33}"/>
    <cellStyle name="Migliaia 32 8" xfId="3519" xr:uid="{B9EA8D56-496A-4BFC-9E25-5B8F8FF6563B}"/>
    <cellStyle name="Migliaia 32 8 2" xfId="5245" xr:uid="{AE7F18CF-C9D6-442F-BF29-4E0C13849FE9}"/>
    <cellStyle name="Migliaia 32 8 2 2" xfId="35304" xr:uid="{87CD96EE-C762-4B4C-8D4C-15972CA0D497}"/>
    <cellStyle name="Migliaia 32 8 2 2 2" xfId="40464" xr:uid="{2DA94507-FA2C-4EEC-B39D-EEAA326A73DE}"/>
    <cellStyle name="Migliaia 32 8 2 2 3" xfId="45766" xr:uid="{31BEB7D4-B781-4967-B378-A0EC1C0A9F24}"/>
    <cellStyle name="Migliaia 32 8 2 3" xfId="37813" xr:uid="{34E9FB55-1DA6-413B-8463-83A389642D71}"/>
    <cellStyle name="Migliaia 32 8 2 4" xfId="43115" xr:uid="{6B89630E-A2DE-4A9A-A88D-E48C4840063F}"/>
    <cellStyle name="Migliaia 32 8 2 5" xfId="13959" xr:uid="{131708B5-1171-4782-8B26-044F94A20EDF}"/>
    <cellStyle name="Migliaia 32 8 3" xfId="6443" xr:uid="{4C21A6A6-381A-4F37-8001-405EEAF1E16E}"/>
    <cellStyle name="Migliaia 32 8 3 2" xfId="39301" xr:uid="{D392DCB9-2D25-4F23-BC09-92CF4031B2D0}"/>
    <cellStyle name="Migliaia 32 8 3 3" xfId="44603" xr:uid="{416A7D03-1825-4512-A15E-4C07121C06C2}"/>
    <cellStyle name="Migliaia 32 8 3 4" xfId="33802" xr:uid="{0754052B-6F5E-451B-B202-2DB0772FC1F4}"/>
    <cellStyle name="Migliaia 32 8 3 5" xfId="20398" xr:uid="{FE23E4F7-DC54-4B1F-9666-9BDA5A7A85E1}"/>
    <cellStyle name="Migliaia 32 8 4" xfId="36739" xr:uid="{DDFC22CC-E4E6-44F1-9AD4-184D7A758ED2}"/>
    <cellStyle name="Migliaia 32 8 5" xfId="41952" xr:uid="{49FD42B4-ED68-498E-A3A4-CA2DB7ADFA24}"/>
    <cellStyle name="Migliaia 32 8 6" xfId="16410" xr:uid="{BF821772-202B-4686-8416-9A7A92DDDFA3}"/>
    <cellStyle name="Migliaia 32 8 7" xfId="7922" xr:uid="{15D4AD9B-8997-4784-B7D1-D7395431CC90}"/>
    <cellStyle name="Migliaia 32 9" xfId="5230" xr:uid="{595DA145-F0CC-4C77-A36E-E0B3F37DBD77}"/>
    <cellStyle name="Migliaia 32 9 2" xfId="33803" xr:uid="{2E783AE5-377F-48FC-9D7D-BE0DE24214DC}"/>
    <cellStyle name="Migliaia 32 9 2 2" xfId="39302" xr:uid="{86392F21-5EEB-4F97-B194-6D544D49DEB2}"/>
    <cellStyle name="Migliaia 32 9 2 3" xfId="44604" xr:uid="{BC25C094-C6EC-4110-9C49-54D2A4A2DCD8}"/>
    <cellStyle name="Migliaia 32 9 3" xfId="36740" xr:uid="{47EBACC3-ED9B-4AB1-978B-847CA27C3069}"/>
    <cellStyle name="Migliaia 32 9 4" xfId="41953" xr:uid="{7108C331-2D88-4C96-943C-20A34DF4170E}"/>
    <cellStyle name="Migliaia 32 9 5" xfId="17185" xr:uid="{7F2473FA-888C-4BF8-A580-CFA4539155A9}"/>
    <cellStyle name="Migliaia 33" xfId="405" xr:uid="{00000000-0005-0000-0000-0000A9030000}"/>
    <cellStyle name="Migliaia 33 10" xfId="6444" xr:uid="{A877428A-269A-4EB9-9D56-2E337C0EEEE2}"/>
    <cellStyle name="Migliaia 33 10 2" xfId="39303" xr:uid="{51686E89-4C24-47CD-8976-D1C68FE3F202}"/>
    <cellStyle name="Migliaia 33 10 3" xfId="44605" xr:uid="{B2A25FD3-BA94-49E8-BAF8-06FFD0576E4A}"/>
    <cellStyle name="Migliaia 33 10 4" xfId="33804" xr:uid="{4D258CBD-96B4-4DDE-8496-33E20A92FB44}"/>
    <cellStyle name="Migliaia 33 10 5" xfId="20399" xr:uid="{EA88FDA7-5EAB-48D8-A6EC-D1B2720DAF94}"/>
    <cellStyle name="Migliaia 33 11" xfId="3520" xr:uid="{60ECEFB9-5D76-4603-85D4-AF11CE2B0151}"/>
    <cellStyle name="Migliaia 33 11 2" xfId="36741" xr:uid="{3D8285BB-E7DC-4766-9267-53FBEDC8C454}"/>
    <cellStyle name="Migliaia 33 12" xfId="41954" xr:uid="{B92F1127-06E4-4894-B2E7-7AED1986905E}"/>
    <cellStyle name="Migliaia 33 13" xfId="7120" xr:uid="{EFF18E94-CD64-4526-8CBD-D2D12531AC70}"/>
    <cellStyle name="Migliaia 33 2" xfId="406" xr:uid="{00000000-0005-0000-0000-0000AA030000}"/>
    <cellStyle name="Migliaia 33 2 2" xfId="1786" xr:uid="{00000000-0005-0000-0000-0000AB030000}"/>
    <cellStyle name="Migliaia 33 2 2 2" xfId="5248" xr:uid="{798C7812-8EFE-4813-AA39-CEB8F5DCC7CB}"/>
    <cellStyle name="Migliaia 33 2 2 2 2" xfId="14389" xr:uid="{5BDBE7AF-3550-4E5D-91FA-3E2D819131A7}"/>
    <cellStyle name="Migliaia 33 2 2 2 2 2" xfId="39304" xr:uid="{BB0EE4E1-045C-438C-86B3-C8FFD66F1686}"/>
    <cellStyle name="Migliaia 33 2 2 2 2 3" xfId="44606" xr:uid="{22244368-4054-470D-A84A-FFD86380CAC2}"/>
    <cellStyle name="Migliaia 33 2 2 2 3" xfId="18440" xr:uid="{65338B57-1875-4E11-BCBB-9DD1B43931BC}"/>
    <cellStyle name="Migliaia 33 2 2 2 4" xfId="20402" xr:uid="{66789160-D667-47D1-9EC8-B1601CACE1BC}"/>
    <cellStyle name="Migliaia 33 2 2 2 4 2" xfId="41955" xr:uid="{3D40B209-D161-4649-8E59-FACF446046EF}"/>
    <cellStyle name="Migliaia 33 2 2 2 5" xfId="16411" xr:uid="{51CE6995-0199-4BDF-9C08-C3CE229086FD}"/>
    <cellStyle name="Migliaia 33 2 2 2 6" xfId="8637" xr:uid="{77F371B4-8AC2-401A-B26A-22836CDCAEFD}"/>
    <cellStyle name="Migliaia 33 2 2 3" xfId="6446" xr:uid="{9904DD2A-6FB4-4BFE-A65F-1C626C6FF29A}"/>
    <cellStyle name="Migliaia 33 2 2 3 2" xfId="35305" xr:uid="{5528D152-2874-4A84-9025-726349C08277}"/>
    <cellStyle name="Migliaia 33 2 2 3 2 2" xfId="40465" xr:uid="{34500A96-2208-4D97-A782-1A7A6E82B1C4}"/>
    <cellStyle name="Migliaia 33 2 2 3 2 3" xfId="45767" xr:uid="{117EAFB0-29CB-4D8E-847E-EBF92CEA717B}"/>
    <cellStyle name="Migliaia 33 2 2 3 3" xfId="37814" xr:uid="{2F9EE4AF-CD18-4DD6-8164-74DEE10628AD}"/>
    <cellStyle name="Migliaia 33 2 2 3 4" xfId="43116" xr:uid="{BCB7AF32-236E-445F-9407-6A985EDEA660}"/>
    <cellStyle name="Migliaia 33 2 2 3 5" xfId="11616" xr:uid="{DE694929-E3E7-41B1-AE64-E444DAD14A56}"/>
    <cellStyle name="Migliaia 33 2 2 4" xfId="3522" xr:uid="{B74A5F4D-B6A5-48EE-A1D4-86DA00656AFE}"/>
    <cellStyle name="Migliaia 33 2 2 4 2" xfId="21498" xr:uid="{A2A8F3F7-BB98-4B2B-953D-EF912D0BB8CF}"/>
    <cellStyle name="Migliaia 33 2 2 4 3" xfId="46245" xr:uid="{760029F8-688F-4A39-A520-10215FF978BA}"/>
    <cellStyle name="Migliaia 33 2 2 4 4" xfId="50513" xr:uid="{314B8371-8830-4C7E-9701-AF6F35F69C88}"/>
    <cellStyle name="Migliaia 33 2 2 4 5" xfId="53529" xr:uid="{A7FE2E3E-6657-4431-8B08-452D788DCA3D}"/>
    <cellStyle name="Migliaia 33 2 2 4 6" xfId="10863" xr:uid="{275724F2-C8FC-44E3-AB35-1B9AA733BF64}"/>
    <cellStyle name="Migliaia 33 2 2 5" xfId="20401" xr:uid="{7504D2CC-84F2-4CB9-B9DA-4E008B251274}"/>
    <cellStyle name="Migliaia 33 2 2 6" xfId="24778" xr:uid="{59404D5D-2E0D-445A-8A93-FF687C1C7C30}"/>
    <cellStyle name="Migliaia 33 2 2 7" xfId="7447" xr:uid="{CBFEA237-3EEB-4884-8339-124406B5DE49}"/>
    <cellStyle name="Migliaia 33 2 3" xfId="3523" xr:uid="{C4C1E6B0-2FC7-47FC-985D-1A925F0ADE84}"/>
    <cellStyle name="Migliaia 33 2 3 2" xfId="5249" xr:uid="{47E47011-B4B8-4287-90DA-DF4196A9E9DE}"/>
    <cellStyle name="Migliaia 33 2 3 2 2" xfId="35306" xr:uid="{AC421E02-4367-41DB-AF89-618643E2F010}"/>
    <cellStyle name="Migliaia 33 2 3 2 2 2" xfId="40466" xr:uid="{2B20B7F4-BC57-443B-A787-6DC05091845B}"/>
    <cellStyle name="Migliaia 33 2 3 2 2 3" xfId="45768" xr:uid="{B31B5F21-17E7-40FA-A6C9-041572337F0A}"/>
    <cellStyle name="Migliaia 33 2 3 2 3" xfId="37815" xr:uid="{62AB58FA-0248-4386-A6B6-302CCF033170}"/>
    <cellStyle name="Migliaia 33 2 3 2 4" xfId="43117" xr:uid="{FB913E30-A25F-4D21-A011-12A77D567658}"/>
    <cellStyle name="Migliaia 33 2 3 2 5" xfId="14258" xr:uid="{A02C6234-6B1D-4099-A99F-24013788DE32}"/>
    <cellStyle name="Migliaia 33 2 3 3" xfId="6447" xr:uid="{C1C3746A-975D-44D7-83D0-434419E3F8F1}"/>
    <cellStyle name="Migliaia 33 2 3 3 2" xfId="39305" xr:uid="{E58DE0EE-7438-4E34-9024-096504EAB298}"/>
    <cellStyle name="Migliaia 33 2 3 3 3" xfId="44607" xr:uid="{E0D2B063-F102-4D23-8ACE-D6B01E0C8447}"/>
    <cellStyle name="Migliaia 33 2 3 3 4" xfId="33805" xr:uid="{0609DA9A-06FB-41C7-A00B-2DA68ADDC614}"/>
    <cellStyle name="Migliaia 33 2 3 3 5" xfId="20403" xr:uid="{4968018E-4F93-46CB-B0BE-1D02A5E5C741}"/>
    <cellStyle name="Migliaia 33 2 3 4" xfId="36742" xr:uid="{98D4E6F2-E265-4549-845F-6474FDCAB3AE}"/>
    <cellStyle name="Migliaia 33 2 3 5" xfId="41956" xr:uid="{04835304-6BD8-4AAC-B954-8A6FCF964611}"/>
    <cellStyle name="Migliaia 33 2 3 6" xfId="16412" xr:uid="{131F52E6-60C2-4301-854B-695BC91385E2}"/>
    <cellStyle name="Migliaia 33 2 3 7" xfId="8320" xr:uid="{429C0FDC-B182-4A17-9725-4278228C36B0}"/>
    <cellStyle name="Migliaia 33 2 4" xfId="5247" xr:uid="{E3F57113-C425-405C-814C-D6CCECFEA6B2}"/>
    <cellStyle name="Migliaia 33 2 4 2" xfId="13963" xr:uid="{C5E85F4E-78F0-466B-A27E-5FFB513C86A4}"/>
    <cellStyle name="Migliaia 33 2 4 2 2" xfId="39306" xr:uid="{E1B36D76-9954-437A-958E-C53ED36A17EF}"/>
    <cellStyle name="Migliaia 33 2 4 2 3" xfId="44608" xr:uid="{DF68D1FB-1349-4901-B665-70AB39AD3603}"/>
    <cellStyle name="Migliaia 33 2 4 3" xfId="18286" xr:uid="{C1D456A4-EDCF-4DA9-8CCB-DE27E0E47A1C}"/>
    <cellStyle name="Migliaia 33 2 4 4" xfId="20404" xr:uid="{7489E9A8-8973-4AC4-9004-6BDE4F5B4369}"/>
    <cellStyle name="Migliaia 33 2 4 4 2" xfId="41957" xr:uid="{A294DA07-2392-497E-B891-55F8A793E43E}"/>
    <cellStyle name="Migliaia 33 2 4 5" xfId="16413" xr:uid="{F9EF58DD-7D46-4CC8-BA2D-83A154BB40E3}"/>
    <cellStyle name="Migliaia 33 2 4 6" xfId="7927" xr:uid="{ECC35D28-5F7E-4109-9061-3249BAD05B6D}"/>
    <cellStyle name="Migliaia 33 2 5" xfId="6445" xr:uid="{D9EFC169-75C6-4174-87E9-BB94EC399A4E}"/>
    <cellStyle name="Migliaia 33 2 5 2" xfId="33806" xr:uid="{E1E86F80-409F-4539-9F54-EF5C7C518BE8}"/>
    <cellStyle name="Migliaia 33 2 5 2 2" xfId="39307" xr:uid="{BBA449F5-5D5E-4659-B16D-49659B3014F7}"/>
    <cellStyle name="Migliaia 33 2 5 2 3" xfId="44609" xr:uid="{242E8BC3-3901-4A39-A47E-79BD74ABA603}"/>
    <cellStyle name="Migliaia 33 2 5 3" xfId="36743" xr:uid="{ABA3DBDF-111A-408D-BCA8-A38248CFBAA5}"/>
    <cellStyle name="Migliaia 33 2 5 4" xfId="41958" xr:uid="{C2D4E0C3-7C95-4E32-8789-CCDB6DC0182E}"/>
    <cellStyle name="Migliaia 33 2 5 5" xfId="13129" xr:uid="{9C383AA0-3EDB-4A3A-B5F5-9A6175BF56FE}"/>
    <cellStyle name="Migliaia 33 2 6" xfId="3521" xr:uid="{155BD3FE-4C08-4D9E-BBDB-6395C9902D17}"/>
    <cellStyle name="Migliaia 33 2 6 2" xfId="33807" xr:uid="{8055F09E-28D7-44AE-93B3-60F870D8293A}"/>
    <cellStyle name="Migliaia 33 2 6 2 2" xfId="39308" xr:uid="{44B0A7CB-1652-4C41-89BB-D219D0392017}"/>
    <cellStyle name="Migliaia 33 2 6 2 3" xfId="44610" xr:uid="{022B3EC4-F0D5-4CFF-A06E-2D1DC2C1B37A}"/>
    <cellStyle name="Migliaia 33 2 6 3" xfId="36744" xr:uid="{D3020297-08FF-4994-B185-1C494AB46B99}"/>
    <cellStyle name="Migliaia 33 2 6 4" xfId="41959" xr:uid="{DCA9DCA3-FB7F-4DD3-830B-CFA8D46407D6}"/>
    <cellStyle name="Migliaia 33 2 6 5" xfId="24779" xr:uid="{D93DE25E-FF5E-4AFB-AEF0-938C4F8ED2DE}"/>
    <cellStyle name="Migliaia 33 2 6 6" xfId="20400" xr:uid="{2E65F936-BB67-4B89-9EF8-41B4B88E18DC}"/>
    <cellStyle name="Migliaia 33 2 7" xfId="24777" xr:uid="{A17279E2-4649-4170-9D75-4E88A5D4DEE0}"/>
    <cellStyle name="Migliaia 33 2 8" xfId="7121" xr:uid="{B89AC13D-BDCB-433B-B2D5-F98CA63D61D7}"/>
    <cellStyle name="Migliaia 33 3" xfId="407" xr:uid="{00000000-0005-0000-0000-0000AC030000}"/>
    <cellStyle name="Migliaia 33 3 10" xfId="24780" xr:uid="{61A50DB0-78CB-41C0-BCFC-BE2619109540}"/>
    <cellStyle name="Migliaia 33 3 11" xfId="16414" xr:uid="{12304FC1-405D-4EF4-8589-83992B710D88}"/>
    <cellStyle name="Migliaia 33 3 12" xfId="7122" xr:uid="{E3255CDD-AEE5-4D69-9894-6D83F97C0D51}"/>
    <cellStyle name="Migliaia 33 3 2" xfId="408" xr:uid="{00000000-0005-0000-0000-0000AD030000}"/>
    <cellStyle name="Migliaia 33 3 2 2" xfId="1787" xr:uid="{00000000-0005-0000-0000-0000AE030000}"/>
    <cellStyle name="Migliaia 33 3 2 2 2" xfId="5252" xr:uid="{D419E3A0-E72A-47B3-A313-67FCEB64DBFF}"/>
    <cellStyle name="Migliaia 33 3 2 2 2 2" xfId="18441" xr:uid="{10F8976F-BA01-44CD-8983-6F89578BB699}"/>
    <cellStyle name="Migliaia 33 3 2 2 2 2 2" xfId="21867" xr:uid="{40E02619-C1DF-4DB2-9284-13015B125F65}"/>
    <cellStyle name="Migliaia 33 3 2 2 2 2 2 2" xfId="39309" xr:uid="{5B1D77E1-B744-413F-BAD7-CC8C8BEBA7D1}"/>
    <cellStyle name="Migliaia 33 3 2 2 2 2 3" xfId="44611" xr:uid="{78224EA9-B487-47F4-A3F8-43DCC2C40A8A}"/>
    <cellStyle name="Migliaia 33 3 2 2 2 2 4" xfId="33808" xr:uid="{D244E7E0-AC73-4A8C-9C8C-0E768555836F}"/>
    <cellStyle name="Migliaia 33 3 2 2 2 3" xfId="36745" xr:uid="{1594F752-7CDB-4F1D-8AC5-64B079F23FBE}"/>
    <cellStyle name="Migliaia 33 3 2 2 2 4" xfId="41960" xr:uid="{A3040B3C-D779-46C0-A93B-6FAE31AE1DF2}"/>
    <cellStyle name="Migliaia 33 3 2 2 2 5" xfId="46747" xr:uid="{C625B7D3-F4A7-4B25-8DAB-7870F4776E2E}"/>
    <cellStyle name="Migliaia 33 3 2 2 2 6" xfId="50895" xr:uid="{F92DA1A2-04C2-49A5-B03F-0556009E7682}"/>
    <cellStyle name="Migliaia 33 3 2 2 2 7" xfId="53911" xr:uid="{59505792-1904-4F14-9872-57BBC821BC4D}"/>
    <cellStyle name="Migliaia 33 3 2 2 2 8" xfId="17664" xr:uid="{00E2F878-C67F-4867-A05A-4E9BBF1C2ADA}"/>
    <cellStyle name="Migliaia 33 3 2 2 2 9" xfId="11991" xr:uid="{4E1F1226-9692-46A0-B168-B42F2B81E149}"/>
    <cellStyle name="Migliaia 33 3 2 2 3" xfId="6450" xr:uid="{CB3526BE-CD67-4DFA-86A4-C915DFFB4014}"/>
    <cellStyle name="Migliaia 33 3 2 2 3 2" xfId="11176" xr:uid="{61FD42FD-D5F5-462B-BF49-12CBDE93297E}"/>
    <cellStyle name="Migliaia 33 3 2 2 4" xfId="3526" xr:uid="{714FF336-5BA3-4F0F-A47A-B941A4918F79}"/>
    <cellStyle name="Migliaia 33 3 2 2 4 2" xfId="21499" xr:uid="{F048C1DA-3888-4AA5-8B81-35997A7E5B7C}"/>
    <cellStyle name="Migliaia 33 3 2 2 4 3" xfId="47899" xr:uid="{37695B88-DCBB-45D5-AF20-6B86B4BCF592}"/>
    <cellStyle name="Migliaia 33 3 2 2 4 4" xfId="50514" xr:uid="{44FC0D83-214E-423A-8919-9333C12C3D8A}"/>
    <cellStyle name="Migliaia 33 3 2 2 4 5" xfId="53530" xr:uid="{E3FE3039-EEFD-4281-998E-3C3D20D8A89F}"/>
    <cellStyle name="Migliaia 33 3 2 2 4 6" xfId="10864" xr:uid="{FB780955-6735-4974-8076-1FEE536FD8E9}"/>
    <cellStyle name="Migliaia 33 3 2 2 5" xfId="20407" xr:uid="{99E8A293-B2FE-4947-9398-C82F6B1FE0CA}"/>
    <cellStyle name="Migliaia 33 3 2 2 6" xfId="24782" xr:uid="{57AC3995-F97D-4ED2-85AF-6F9D365645FE}"/>
    <cellStyle name="Migliaia 33 3 2 2 7" xfId="8639" xr:uid="{32F9E74F-9D50-4AC3-B9DA-39C325022FAA}"/>
    <cellStyle name="Migliaia 33 3 2 3" xfId="5251" xr:uid="{78955755-7AE5-456A-B84A-421A86199DEC}"/>
    <cellStyle name="Migliaia 33 3 2 3 2" xfId="12411" xr:uid="{019193AC-B088-4D39-BD82-B3436ED5C1C1}"/>
    <cellStyle name="Migliaia 33 3 2 3 2 2" xfId="39310" xr:uid="{C7114CD9-4BE5-425B-90F9-BC28B827B675}"/>
    <cellStyle name="Migliaia 33 3 2 3 2 3" xfId="44612" xr:uid="{11BE0E98-CEDD-446F-A0BC-98E16B80E7D0}"/>
    <cellStyle name="Migliaia 33 3 2 3 2 4" xfId="33809" xr:uid="{435E0C94-D8A7-4BCC-AD98-9F23ABD2B416}"/>
    <cellStyle name="Migliaia 33 3 2 3 3" xfId="11992" xr:uid="{9C91D47D-A502-455C-B63B-2A5BD0A214C6}"/>
    <cellStyle name="Migliaia 33 3 2 3 4" xfId="20408" xr:uid="{E6DE9A71-FAC3-46E9-B61E-7EF022D46B14}"/>
    <cellStyle name="Migliaia 33 3 2 3 4 2" xfId="41961" xr:uid="{DEFDF590-8A5B-4E84-B4F9-8681B932E105}"/>
    <cellStyle name="Migliaia 33 3 2 3 5" xfId="16415" xr:uid="{E810665A-575B-41C7-AC12-681CDE8BF835}"/>
    <cellStyle name="Migliaia 33 3 2 3 6" xfId="7929" xr:uid="{3CA67C0C-B2BB-48E3-9F09-9C15995D31EE}"/>
    <cellStyle name="Migliaia 33 3 2 4" xfId="6449" xr:uid="{9D2149F5-EEBB-4E17-8144-C62A327FD89F}"/>
    <cellStyle name="Migliaia 33 3 2 4 2" xfId="18083" xr:uid="{C53F2789-8C0C-45F6-B7C1-D8405A9D56CC}"/>
    <cellStyle name="Migliaia 33 3 2 4 2 2" xfId="39311" xr:uid="{6E70A42C-4C3F-40D6-9387-B3F1DB006B12}"/>
    <cellStyle name="Migliaia 33 3 2 4 2 3" xfId="44613" xr:uid="{32776520-699C-4B96-8F75-FA72927586B6}"/>
    <cellStyle name="Migliaia 33 3 2 4 3" xfId="36746" xr:uid="{A7B912B8-1877-455B-A146-F0F90F7F961B}"/>
    <cellStyle name="Migliaia 33 3 2 4 4" xfId="41962" xr:uid="{D3954373-D62F-4C95-98C9-FF3BFD5080EA}"/>
    <cellStyle name="Migliaia 33 3 2 4 5" xfId="17188" xr:uid="{EE0151E7-C485-4838-AD13-8679C7309BB2}"/>
    <cellStyle name="Migliaia 33 3 2 4 6" xfId="11340" xr:uid="{2CA2CFC4-FB57-422D-9562-E852FCE1C1E4}"/>
    <cellStyle name="Migliaia 33 3 2 5" xfId="3525" xr:uid="{C36A2EB4-BB4B-46CB-B7BA-0AA5DF7E301B}"/>
    <cellStyle name="Migliaia 33 3 2 5 2" xfId="33810" xr:uid="{AA575EB4-B1E2-448E-BBF8-3C85D3EA8862}"/>
    <cellStyle name="Migliaia 33 3 2 5 2 2" xfId="39312" xr:uid="{6B696827-A862-49C4-8B5B-507822E983FD}"/>
    <cellStyle name="Migliaia 33 3 2 5 2 3" xfId="44614" xr:uid="{F1305D04-7903-4C73-A852-38958B8E2BE3}"/>
    <cellStyle name="Migliaia 33 3 2 5 3" xfId="36747" xr:uid="{F000EA4A-C750-4BFB-82CE-4A877F3132EF}"/>
    <cellStyle name="Migliaia 33 3 2 5 4" xfId="41963" xr:uid="{DF86EA1B-BDDB-4116-B187-C5372C5F6F99}"/>
    <cellStyle name="Migliaia 33 3 2 5 5" xfId="17348" xr:uid="{3E4281BB-D32F-4C44-8AA2-561108DE3CC1}"/>
    <cellStyle name="Migliaia 33 3 2 6" xfId="20406" xr:uid="{DF72F37C-6F56-4343-AEC8-46C59B3CF537}"/>
    <cellStyle name="Migliaia 33 3 2 6 2" xfId="33811" xr:uid="{7BD8FA57-A15F-4B73-9378-15282E8EE0CD}"/>
    <cellStyle name="Migliaia 33 3 2 6 2 2" xfId="39313" xr:uid="{5F1E4BB3-00AF-4B06-8C46-3B4DF16FE529}"/>
    <cellStyle name="Migliaia 33 3 2 6 2 3" xfId="44615" xr:uid="{24832F5B-C565-42E8-95FF-E7D31D6A32CA}"/>
    <cellStyle name="Migliaia 33 3 2 6 3" xfId="36748" xr:uid="{42D15E54-5A36-40B5-AE34-07514F3FECA0}"/>
    <cellStyle name="Migliaia 33 3 2 6 4" xfId="41964" xr:uid="{729AF5DE-3933-4123-8965-BB7880DB9C06}"/>
    <cellStyle name="Migliaia 33 3 2 6 5" xfId="24783" xr:uid="{9C73838C-E106-4660-82E9-A7CEDF049A48}"/>
    <cellStyle name="Migliaia 33 3 2 7" xfId="24781" xr:uid="{0CCE5FE0-4431-4BB1-AB2A-B639E06930EB}"/>
    <cellStyle name="Migliaia 33 3 2 8" xfId="7449" xr:uid="{B0CFCB26-BDE9-4979-944E-F2714C2AE83B}"/>
    <cellStyle name="Migliaia 33 3 3" xfId="3527" xr:uid="{C7CE9934-B242-40C6-86FE-41FF0D4E93A6}"/>
    <cellStyle name="Migliaia 33 3 3 10" xfId="7448" xr:uid="{0A8C0B4B-44B9-415E-A029-0C177CBFACEF}"/>
    <cellStyle name="Migliaia 33 3 3 2" xfId="5253" xr:uid="{682ED788-F4AE-4C1E-9DD8-738BE283ED85}"/>
    <cellStyle name="Migliaia 33 3 3 2 2" xfId="9934" xr:uid="{FAC281DA-BFCD-4A6A-A69B-8FDE27934A2E}"/>
    <cellStyle name="Migliaia 33 3 3 2 2 2" xfId="39315" xr:uid="{A57A7145-905F-4A12-8C87-3FD0EBCAA8FE}"/>
    <cellStyle name="Migliaia 33 3 3 2 2 3" xfId="44617" xr:uid="{9C6A095E-A435-4DCD-BE41-33BE07577E37}"/>
    <cellStyle name="Migliaia 33 3 3 2 3" xfId="18214" xr:uid="{1550A156-5153-4FC7-BFEB-A1C05E7259CB}"/>
    <cellStyle name="Migliaia 33 3 3 2 4" xfId="20410" xr:uid="{244E2242-50AC-4CAF-8878-7D65130A27E7}"/>
    <cellStyle name="Migliaia 33 3 3 2 4 2" xfId="41966" xr:uid="{8D7BA57E-3048-4A92-8D03-4C4DC45632E1}"/>
    <cellStyle name="Migliaia 33 3 3 2 5" xfId="16417" xr:uid="{04FAEEC3-BB34-4E1B-B8FA-788D7AB27F2D}"/>
    <cellStyle name="Migliaia 33 3 3 2 6" xfId="8638" xr:uid="{6CD83F93-C041-459D-AB8A-F0DE84F7BD12}"/>
    <cellStyle name="Migliaia 33 3 3 3" xfId="6451" xr:uid="{B918A6FC-1E50-4DD0-A890-F71A0EE4101D}"/>
    <cellStyle name="Migliaia 33 3 3 3 2" xfId="33813" xr:uid="{24658EE9-0A7D-4E7F-B71D-8C33FF52A982}"/>
    <cellStyle name="Migliaia 33 3 3 3 2 2" xfId="39316" xr:uid="{5685CEB0-770A-4C64-A412-C9DDD2677B75}"/>
    <cellStyle name="Migliaia 33 3 3 3 2 3" xfId="44618" xr:uid="{54F8671D-B533-4D9A-9472-95A1F1D77391}"/>
    <cellStyle name="Migliaia 33 3 3 3 3" xfId="36750" xr:uid="{EB2AF87D-2F64-485A-A991-2E28024E3E7B}"/>
    <cellStyle name="Migliaia 33 3 3 3 4" xfId="41967" xr:uid="{B10DAD71-AE13-4713-A0AB-80BF1C11A29F}"/>
    <cellStyle name="Migliaia 33 3 3 3 5" xfId="9697" xr:uid="{3327B0D2-0696-48A7-B7F4-5E2E3E6C9770}"/>
    <cellStyle name="Migliaia 33 3 3 4" xfId="20409" xr:uid="{A30A88F1-3028-4B56-857F-6DB57306CD26}"/>
    <cellStyle name="Migliaia 33 3 3 4 2" xfId="33814" xr:uid="{91A9C429-84EC-4986-B846-C939D6606E48}"/>
    <cellStyle name="Migliaia 33 3 3 4 2 2" xfId="39317" xr:uid="{36E17BFF-5D83-44CB-84C3-3B56C28B8D91}"/>
    <cellStyle name="Migliaia 33 3 3 4 2 3" xfId="44619" xr:uid="{7B29EA5C-63A0-49B9-A259-93316E2FE08C}"/>
    <cellStyle name="Migliaia 33 3 3 4 3" xfId="36751" xr:uid="{96C84558-B805-41EE-9CB2-D86B5E56F4E5}"/>
    <cellStyle name="Migliaia 33 3 3 4 4" xfId="41968" xr:uid="{789A5088-B37C-4997-88E9-7DAAB4E07069}"/>
    <cellStyle name="Migliaia 33 3 3 4 5" xfId="24784" xr:uid="{0258AA51-C676-456F-9D40-F09ECDB0E851}"/>
    <cellStyle name="Migliaia 33 3 3 5" xfId="24785" xr:uid="{84A25F20-9112-4D82-AEF0-87EE5B26F5B1}"/>
    <cellStyle name="Migliaia 33 3 3 5 2" xfId="33815" xr:uid="{4297DF74-1BBD-44F0-B15A-A2C31975D510}"/>
    <cellStyle name="Migliaia 33 3 3 5 2 2" xfId="39318" xr:uid="{C5EC0C4E-EEFE-4E8A-80F1-0BCB73D08AA8}"/>
    <cellStyle name="Migliaia 33 3 3 5 2 3" xfId="44620" xr:uid="{3745AF30-C962-459E-B542-72CEB940CFC5}"/>
    <cellStyle name="Migliaia 33 3 3 5 3" xfId="36752" xr:uid="{2C615EBD-5C45-4F11-9BCC-21CDF7C292D0}"/>
    <cellStyle name="Migliaia 33 3 3 5 4" xfId="41969" xr:uid="{30B3938E-2966-4801-8088-CBB9C2D43395}"/>
    <cellStyle name="Migliaia 33 3 3 6" xfId="33812" xr:uid="{5F5F3429-C9EA-45DF-B725-384981E81670}"/>
    <cellStyle name="Migliaia 33 3 3 6 2" xfId="39314" xr:uid="{CA35198B-F480-4961-B99D-9D06EFDCA86A}"/>
    <cellStyle name="Migliaia 33 3 3 6 3" xfId="44616" xr:uid="{FD6440D6-D123-4AC9-B8F3-0388C69ED59A}"/>
    <cellStyle name="Migliaia 33 3 3 7" xfId="36749" xr:uid="{C92A1B0F-F5D7-4FBB-9E2B-FBF8D5068A77}"/>
    <cellStyle name="Migliaia 33 3 3 8" xfId="41965" xr:uid="{C67D61F2-04F4-42DA-969E-F046A31C287B}"/>
    <cellStyle name="Migliaia 33 3 3 9" xfId="16416" xr:uid="{EC89B799-DC23-4202-A8AC-F3238BBBF5CD}"/>
    <cellStyle name="Migliaia 33 3 4" xfId="3528" xr:uid="{3A53F686-BEB6-43E1-8395-D8EAE6D2D29E}"/>
    <cellStyle name="Migliaia 33 3 4 2" xfId="5254" xr:uid="{050AC714-180D-43EA-A900-841A3D8F5357}"/>
    <cellStyle name="Migliaia 33 3 4 2 2" xfId="14449" xr:uid="{B8CC6309-0CB0-48B8-B2CF-7B40CB526A3C}"/>
    <cellStyle name="Migliaia 33 3 4 2 3" xfId="18039" xr:uid="{D29C0401-3B5B-4907-B915-43009E8B6A7D}"/>
    <cellStyle name="Migliaia 33 3 4 2 4" xfId="20412" xr:uid="{E3ABC96C-9508-4806-80F4-60937BAD1485}"/>
    <cellStyle name="Migliaia 33 3 4 2 5" xfId="32383" xr:uid="{872BAD4E-BB51-49CE-A343-3AAF6FD653E7}"/>
    <cellStyle name="Migliaia 33 3 4 2 6" xfId="16419" xr:uid="{3DAA04FE-9831-40A3-A512-CC94B5207444}"/>
    <cellStyle name="Migliaia 33 3 4 2 7" xfId="8872" xr:uid="{43B8672F-DBB4-4410-8210-4E74D28C4B44}"/>
    <cellStyle name="Migliaia 33 3 4 3" xfId="6452" xr:uid="{88F3E0D4-1071-49C0-A46A-59F1BC1C1E19}"/>
    <cellStyle name="Migliaia 33 3 4 3 2" xfId="35307" xr:uid="{C208FEFE-FA69-4362-9BEC-F429CD234393}"/>
    <cellStyle name="Migliaia 33 3 4 3 2 2" xfId="40467" xr:uid="{E3F2F2C5-523D-486D-B2E2-5D301BAA425C}"/>
    <cellStyle name="Migliaia 33 3 4 3 2 3" xfId="45769" xr:uid="{6CD5DDB4-3290-4B15-80D7-FE45DFB83855}"/>
    <cellStyle name="Migliaia 33 3 4 3 3" xfId="37816" xr:uid="{A668E711-1676-4C32-B43F-8ABADF736103}"/>
    <cellStyle name="Migliaia 33 3 4 3 4" xfId="43118" xr:uid="{41547A7A-B262-4ED8-B414-81F20FAC6913}"/>
    <cellStyle name="Migliaia 33 3 4 3 5" xfId="13697" xr:uid="{813791AE-B356-470A-88BF-E6EEC7E90E05}"/>
    <cellStyle name="Migliaia 33 3 4 4" xfId="20411" xr:uid="{BD4F8F93-60BF-40CE-98ED-CD04FC5787C0}"/>
    <cellStyle name="Migliaia 33 3 4 4 2" xfId="39319" xr:uid="{03FD3483-5AE0-4BBE-B3B1-BE53379A02F1}"/>
    <cellStyle name="Migliaia 33 3 4 4 3" xfId="44621" xr:uid="{FD86F2B6-DF33-452C-8D18-A3BDDEE7E888}"/>
    <cellStyle name="Migliaia 33 3 4 4 4" xfId="33816" xr:uid="{D0002E12-6FE9-44FC-A01D-9DF4760B15D8}"/>
    <cellStyle name="Migliaia 33 3 4 5" xfId="36753" xr:uid="{F85CB9BF-37B3-4A68-A838-A9C12EC1D813}"/>
    <cellStyle name="Migliaia 33 3 4 6" xfId="41970" xr:uid="{CEAC447F-9E24-4449-A007-211BC3902FF2}"/>
    <cellStyle name="Migliaia 33 3 4 7" xfId="16418" xr:uid="{2A69B157-57BA-4A8B-BDA8-6741823A715F}"/>
    <cellStyle name="Migliaia 33 3 4 8" xfId="7682" xr:uid="{A3A2F2A6-E625-48DE-9AFA-21BC2F2B13BB}"/>
    <cellStyle name="Migliaia 33 3 5" xfId="3529" xr:uid="{468E0BCC-C7A9-4B34-AC48-F779F325A142}"/>
    <cellStyle name="Migliaia 33 3 5 2" xfId="5255" xr:uid="{74C209CE-7E2C-45B6-9F93-5416890413A8}"/>
    <cellStyle name="Migliaia 33 3 5 2 2" xfId="35308" xr:uid="{37CE44DE-4665-4EAD-AD9F-BF6FEB9FD076}"/>
    <cellStyle name="Migliaia 33 3 5 2 2 2" xfId="40468" xr:uid="{E11F8282-A59F-477C-BCB5-ED5E469A1F16}"/>
    <cellStyle name="Migliaia 33 3 5 2 2 3" xfId="45770" xr:uid="{61CEB69C-C882-4BA2-956A-657CF80B5617}"/>
    <cellStyle name="Migliaia 33 3 5 2 3" xfId="37817" xr:uid="{7FFBB36A-C6F1-4F48-BCEC-61359BF9F914}"/>
    <cellStyle name="Migliaia 33 3 5 2 4" xfId="43119" xr:uid="{89327596-51EF-4F24-9B9E-6D583A335D88}"/>
    <cellStyle name="Migliaia 33 3 5 2 5" xfId="14259" xr:uid="{0A442F79-F12B-4DE4-A850-463F30AD0D6B}"/>
    <cellStyle name="Migliaia 33 3 5 3" xfId="6453" xr:uid="{C5832017-F400-46FB-BB53-1BD23FA8FAD0}"/>
    <cellStyle name="Migliaia 33 3 5 3 2" xfId="39320" xr:uid="{637CC46B-386D-4286-818C-A16C42C2F41E}"/>
    <cellStyle name="Migliaia 33 3 5 3 3" xfId="44622" xr:uid="{FA09074A-F573-4386-A3AF-152CE7F5905D}"/>
    <cellStyle name="Migliaia 33 3 5 3 4" xfId="33817" xr:uid="{B72A21A5-213D-4DBE-B0D5-46DB35ECD961}"/>
    <cellStyle name="Migliaia 33 3 5 3 5" xfId="20413" xr:uid="{110ED6DE-02C6-4F6A-A333-42B40F67F2F8}"/>
    <cellStyle name="Migliaia 33 3 5 4" xfId="36754" xr:uid="{51631BE1-095F-462A-9907-009033C83327}"/>
    <cellStyle name="Migliaia 33 3 5 5" xfId="41971" xr:uid="{DD658768-5B47-4744-A7DB-6A73560066D0}"/>
    <cellStyle name="Migliaia 33 3 5 6" xfId="16420" xr:uid="{DB42078C-487B-4494-8334-132C8463B33B}"/>
    <cellStyle name="Migliaia 33 3 5 7" xfId="8321" xr:uid="{278CF2F6-10F1-4053-B285-2A638F84329B}"/>
    <cellStyle name="Migliaia 33 3 6" xfId="5250" xr:uid="{A9940DAA-71EC-4473-8855-754AD11D5A69}"/>
    <cellStyle name="Migliaia 33 3 6 2" xfId="13964" xr:uid="{81FEC995-3369-455A-A1C1-6EEA20970958}"/>
    <cellStyle name="Migliaia 33 3 6 2 2" xfId="39321" xr:uid="{BED9B5DC-1013-4929-ACB6-476913A86513}"/>
    <cellStyle name="Migliaia 33 3 6 2 3" xfId="44623" xr:uid="{2DD196AC-8FAA-43F1-9EB6-048688F7227F}"/>
    <cellStyle name="Migliaia 33 3 6 3" xfId="18020" xr:uid="{52BF737B-C106-42C0-870A-72FCFB7B6F7B}"/>
    <cellStyle name="Migliaia 33 3 6 4" xfId="20414" xr:uid="{B0D0B950-2138-4125-B650-F11A003DC324}"/>
    <cellStyle name="Migliaia 33 3 6 4 2" xfId="41972" xr:uid="{A02AF1A7-41E5-4B0F-BF13-A16DB66C38B2}"/>
    <cellStyle name="Migliaia 33 3 6 5" xfId="16421" xr:uid="{A38A71AC-35D2-48EB-969A-FA225C09312F}"/>
    <cellStyle name="Migliaia 33 3 6 6" xfId="7928" xr:uid="{956EE5F7-AFB7-4F46-BE62-590A90570C80}"/>
    <cellStyle name="Migliaia 33 3 7" xfId="6448" xr:uid="{5A16EAB8-FC1A-4E47-A918-506AFBF7C062}"/>
    <cellStyle name="Migliaia 33 3 7 2" xfId="33818" xr:uid="{74602066-EB6C-4FE4-B79F-6F90EC1F8E31}"/>
    <cellStyle name="Migliaia 33 3 7 2 2" xfId="39322" xr:uid="{033842A0-DAC0-40CF-9774-148C2B81B86F}"/>
    <cellStyle name="Migliaia 33 3 7 2 3" xfId="44624" xr:uid="{C31DE00A-70CC-496B-85A5-00EF2258A921}"/>
    <cellStyle name="Migliaia 33 3 7 3" xfId="36755" xr:uid="{DD21A42D-CF63-4DF5-94E2-DD47C6865605}"/>
    <cellStyle name="Migliaia 33 3 7 4" xfId="41973" xr:uid="{2753D381-1D90-41B9-A2B5-94C71BB79904}"/>
    <cellStyle name="Migliaia 33 3 7 5" xfId="12282" xr:uid="{66200771-DE87-4FC1-8369-00BFE04C240F}"/>
    <cellStyle name="Migliaia 33 3 8" xfId="3524" xr:uid="{F0C07908-7C4F-4D05-8BD4-3CDAE158D86D}"/>
    <cellStyle name="Migliaia 33 3 8 2" xfId="33819" xr:uid="{41B1615A-9E41-4289-BBDB-16312727386A}"/>
    <cellStyle name="Migliaia 33 3 8 2 2" xfId="39323" xr:uid="{9F4ECBAD-1A0D-4C0E-9142-68076A54D8A4}"/>
    <cellStyle name="Migliaia 33 3 8 2 3" xfId="44625" xr:uid="{4976E22D-7F36-43E4-99D0-A2D54107AD57}"/>
    <cellStyle name="Migliaia 33 3 8 3" xfId="36756" xr:uid="{D9F549E4-7FA7-4BA9-AB3C-97EF5F772DB4}"/>
    <cellStyle name="Migliaia 33 3 8 4" xfId="41974" xr:uid="{DEC278DD-DB83-47ED-99EE-B162C46557F2}"/>
    <cellStyle name="Migliaia 33 3 8 5" xfId="24786" xr:uid="{F363D75E-6D72-4624-9936-F6B608F928F3}"/>
    <cellStyle name="Migliaia 33 3 8 6" xfId="17349" xr:uid="{F6F8518C-4B76-4238-825C-35C412B0FA6D}"/>
    <cellStyle name="Migliaia 33 3 9" xfId="20405" xr:uid="{B08A1A3D-9399-45CC-A242-037981684531}"/>
    <cellStyle name="Migliaia 33 4" xfId="1788" xr:uid="{00000000-0005-0000-0000-0000AF030000}"/>
    <cellStyle name="Migliaia 33 4 2" xfId="1789" xr:uid="{00000000-0005-0000-0000-0000B0030000}"/>
    <cellStyle name="Migliaia 33 4 2 2" xfId="5257" xr:uid="{4B8F04B7-CD5A-470C-BB28-91598AF20453}"/>
    <cellStyle name="Migliaia 33 4 2 2 2" xfId="33820" xr:uid="{8991E159-044B-4015-9780-D618E59F2A7A}"/>
    <cellStyle name="Migliaia 33 4 2 2 2 2" xfId="39324" xr:uid="{DA1BFCAA-23A8-4B82-989F-397D3C675D15}"/>
    <cellStyle name="Migliaia 33 4 2 2 2 3" xfId="44626" xr:uid="{C8601A82-AF9D-49F1-ADD4-90BD958D9C54}"/>
    <cellStyle name="Migliaia 33 4 2 2 3" xfId="36757" xr:uid="{66106342-D260-497F-AADD-E137CD74546B}"/>
    <cellStyle name="Migliaia 33 4 2 2 4" xfId="41975" xr:uid="{36E29D24-BA83-415C-BBB4-BCF9FCA10F2F}"/>
    <cellStyle name="Migliaia 33 4 2 2 5" xfId="9160" xr:uid="{B7EEB833-4EE2-4DC2-A8A1-AFB00F9FCFB3}"/>
    <cellStyle name="Migliaia 33 4 2 3" xfId="3531" xr:uid="{6929FC0E-2D70-403B-A767-D5ADC9D15F93}"/>
    <cellStyle name="Migliaia 33 4 2 3 2" xfId="33821" xr:uid="{6DE9AA82-229E-400E-B18F-4B76B77B1500}"/>
    <cellStyle name="Migliaia 33 4 2 3 2 2" xfId="39325" xr:uid="{7D94FE3B-9881-4674-ABED-9779D25FA22C}"/>
    <cellStyle name="Migliaia 33 4 2 3 2 3" xfId="44627" xr:uid="{29D77524-325E-4ABB-8771-DF0427BD0877}"/>
    <cellStyle name="Migliaia 33 4 2 3 3" xfId="36758" xr:uid="{63D9E0E6-2E99-44D0-BFB0-C992AA8442A9}"/>
    <cellStyle name="Migliaia 33 4 2 3 4" xfId="41976" xr:uid="{B922C886-4A1E-485D-A2BD-9214149E7BCF}"/>
    <cellStyle name="Migliaia 33 4 2 3 5" xfId="11993" xr:uid="{353B10E0-1C89-4313-8389-2AEE17B6F260}"/>
    <cellStyle name="Migliaia 33 4 2 4" xfId="11342" xr:uid="{02E02037-1E99-4777-878F-3C54F805DF69}"/>
    <cellStyle name="Migliaia 33 4 2 5" xfId="10866" xr:uid="{51711CA6-BA00-457A-9993-D5AF79DE4E19}"/>
    <cellStyle name="Migliaia 33 4 2 5 2" xfId="21501" xr:uid="{1768E103-9BF1-405C-A134-3B904B508F81}"/>
    <cellStyle name="Migliaia 33 4 2 5 3" xfId="48474" xr:uid="{AA71B367-7A69-44C2-9EDA-DB76D215AB7C}"/>
    <cellStyle name="Migliaia 33 4 2 5 4" xfId="50516" xr:uid="{C77CF1D4-4897-4754-98A1-2EE8E00241CC}"/>
    <cellStyle name="Migliaia 33 4 2 5 5" xfId="53532" xr:uid="{2D1C2AA4-CD41-47DE-902B-A4756030E08E}"/>
    <cellStyle name="Migliaia 33 4 2 6" xfId="20416" xr:uid="{9709D2C8-DDE0-4472-AB1D-9A601A963A38}"/>
    <cellStyle name="Migliaia 33 4 2 7" xfId="24788" xr:uid="{D86FC445-DB6E-4629-A1FC-77B5FA4ED464}"/>
    <cellStyle name="Migliaia 33 4 2 8" xfId="8640" xr:uid="{BEA6E1B5-9757-4D2A-ACA8-3DEC5C8A8FCC}"/>
    <cellStyle name="Migliaia 33 4 3" xfId="5256" xr:uid="{689123CB-6460-4E44-9DFE-5995ACD57CD0}"/>
    <cellStyle name="Migliaia 33 4 3 2" xfId="18215" xr:uid="{9E0BAE57-D3B2-4FDB-AFFD-FCCF0EDCB7A8}"/>
    <cellStyle name="Migliaia 33 4 3 2 2" xfId="39326" xr:uid="{C4522686-730B-4DD1-ABBE-BFE67D73C8B0}"/>
    <cellStyle name="Migliaia 33 4 3 2 3" xfId="44628" xr:uid="{5FA201E2-40C3-4F89-BBAA-08ED198CB20C}"/>
    <cellStyle name="Migliaia 33 4 3 3" xfId="36759" xr:uid="{34ABBD33-42AD-4F5E-B0E9-FEB917F1F4F8}"/>
    <cellStyle name="Migliaia 33 4 3 4" xfId="41977" xr:uid="{E2819C2D-9DDE-459E-9384-5244C084D60A}"/>
    <cellStyle name="Migliaia 33 4 3 5" xfId="17347" xr:uid="{9D0B2D98-5740-4065-A36C-A8F6D04D2C88}"/>
    <cellStyle name="Migliaia 33 4 3 6" xfId="9161" xr:uid="{4FD368DA-DB88-46A5-BF46-0F7EA140E1F4}"/>
    <cellStyle name="Migliaia 33 4 4" xfId="6454" xr:uid="{7A1F386F-62AB-43E9-A3D9-12393CFCCE50}"/>
    <cellStyle name="Migliaia 33 4 4 2" xfId="33822" xr:uid="{98186EFE-F804-4222-81D9-B19B5BAB53A9}"/>
    <cellStyle name="Migliaia 33 4 4 2 2" xfId="39327" xr:uid="{6FB243A2-119C-4799-804D-77C3F6999841}"/>
    <cellStyle name="Migliaia 33 4 4 2 3" xfId="44629" xr:uid="{48EBB6B7-E651-467A-AEF6-D69C7033261C}"/>
    <cellStyle name="Migliaia 33 4 4 3" xfId="36760" xr:uid="{D770832C-F7E0-44A6-A65D-899C58A13EAA}"/>
    <cellStyle name="Migliaia 33 4 4 4" xfId="41978" xr:uid="{813DD573-C81D-49B1-A91D-7FFF2B82817C}"/>
    <cellStyle name="Migliaia 33 4 4 5" xfId="11994" xr:uid="{D2A63FCC-402F-40DB-9F68-BEFDE190B7E7}"/>
    <cellStyle name="Migliaia 33 4 5" xfId="3530" xr:uid="{56BADB8E-4C1C-4980-BF27-C0FEA23F07DD}"/>
    <cellStyle name="Migliaia 33 4 5 2" xfId="33823" xr:uid="{4DD37BDE-717C-4B64-A0D9-D241A4D0BBD1}"/>
    <cellStyle name="Migliaia 33 4 5 2 2" xfId="39328" xr:uid="{750AE984-A6D3-49EE-8EF1-927A3C5261C2}"/>
    <cellStyle name="Migliaia 33 4 5 2 3" xfId="44630" xr:uid="{F4181DA8-0AD4-424C-B1FE-471B5097F241}"/>
    <cellStyle name="Migliaia 33 4 5 3" xfId="36761" xr:uid="{9E54F3B3-73FC-4A84-BE5E-F40F8AA16ED5}"/>
    <cellStyle name="Migliaia 33 4 5 4" xfId="41979" xr:uid="{8A513A62-CD19-4187-A454-608574406DC7}"/>
    <cellStyle name="Migliaia 33 4 5 5" xfId="11341" xr:uid="{4B5D80B1-B661-400E-920E-D81C903BB857}"/>
    <cellStyle name="Migliaia 33 4 6" xfId="10865" xr:uid="{F9DAA4DD-159D-4127-916E-C5E6A30FB603}"/>
    <cellStyle name="Migliaia 33 4 6 2" xfId="21500" xr:uid="{04FB0B5F-0915-4ECC-A945-8022545A96D8}"/>
    <cellStyle name="Migliaia 33 4 6 2 2" xfId="39329" xr:uid="{5A20C48C-E8CA-4190-BE07-44649F18C578}"/>
    <cellStyle name="Migliaia 33 4 6 2 3" xfId="44631" xr:uid="{092BF0C2-DAE3-4B65-8F72-B43ABCBDC1B9}"/>
    <cellStyle name="Migliaia 33 4 6 2 4" xfId="33824" xr:uid="{9B1ED578-A9CC-408C-80EE-85C52E723839}"/>
    <cellStyle name="Migliaia 33 4 6 3" xfId="36762" xr:uid="{A8B90BCC-AD00-48DB-B8D1-98EE59BED5D8}"/>
    <cellStyle name="Migliaia 33 4 6 4" xfId="41980" xr:uid="{7DADFEFC-3E2B-4B80-B949-1EECCD892175}"/>
    <cellStyle name="Migliaia 33 4 6 5" xfId="24789" xr:uid="{EF82B005-7EA7-406E-9AB8-641932EE66E2}"/>
    <cellStyle name="Migliaia 33 4 6 6" xfId="46246" xr:uid="{E7058617-62BC-45EF-8F84-734F605CFF94}"/>
    <cellStyle name="Migliaia 33 4 6 7" xfId="50515" xr:uid="{C9A7C71C-EECD-4A91-82E0-4A3B28113E4A}"/>
    <cellStyle name="Migliaia 33 4 6 8" xfId="53531" xr:uid="{822BD59E-7E4A-4CC6-A6E5-31023FF58CB1}"/>
    <cellStyle name="Migliaia 33 4 7" xfId="20415" xr:uid="{68DABFF9-CC4F-4B94-B0A5-40B29B95B829}"/>
    <cellStyle name="Migliaia 33 4 7 2" xfId="33825" xr:uid="{F69A7F94-C1AF-4112-A022-581CCCC2E6BD}"/>
    <cellStyle name="Migliaia 33 4 7 2 2" xfId="39330" xr:uid="{955C6DE0-49ED-41E9-BE6F-B0DD92ADE739}"/>
    <cellStyle name="Migliaia 33 4 7 2 3" xfId="44632" xr:uid="{AA29F58A-A7AF-4486-959E-A4A6ACB14FB8}"/>
    <cellStyle name="Migliaia 33 4 7 3" xfId="36763" xr:uid="{7069870D-16CD-4026-873F-5973FDD0150B}"/>
    <cellStyle name="Migliaia 33 4 7 4" xfId="41981" xr:uid="{048DB167-ADB8-4236-85E6-AFBBBCA4AB12}"/>
    <cellStyle name="Migliaia 33 4 7 5" xfId="24790" xr:uid="{F69FED95-E963-488D-9FCE-6C8356A80B69}"/>
    <cellStyle name="Migliaia 33 4 8" xfId="24787" xr:uid="{A1AACFA6-A83E-4CAA-95F4-6ED2AF67452E}"/>
    <cellStyle name="Migliaia 33 4 9" xfId="7450" xr:uid="{FA5BD013-6182-4C91-9ADE-8074E1AFE8F4}"/>
    <cellStyle name="Migliaia 33 5" xfId="1790" xr:uid="{00000000-0005-0000-0000-0000B1030000}"/>
    <cellStyle name="Migliaia 33 5 2" xfId="5258" xr:uid="{D83AAF43-CB66-4429-9D07-FCA197C6D3FF}"/>
    <cellStyle name="Migliaia 33 5 2 2" xfId="18442" xr:uid="{BCA07A2C-0714-415B-9CCC-4AD8F3C03639}"/>
    <cellStyle name="Migliaia 33 5 2 2 2" xfId="39331" xr:uid="{4E649628-1A83-473D-9A91-CDD3055F5896}"/>
    <cellStyle name="Migliaia 33 5 2 2 3" xfId="44633" xr:uid="{612A197A-2D1B-4634-87B4-15AE89A9DA2C}"/>
    <cellStyle name="Migliaia 33 5 2 3" xfId="20418" xr:uid="{270EB21B-EF41-44AF-8654-A8C0E89232AD}"/>
    <cellStyle name="Migliaia 33 5 2 3 2" xfId="36764" xr:uid="{97FEF2D6-E60B-48A0-92F5-D11DAA6A6FCC}"/>
    <cellStyle name="Migliaia 33 5 2 4" xfId="41982" xr:uid="{FCEBE5DB-389B-4A58-BABF-3DF430B56312}"/>
    <cellStyle name="Migliaia 33 5 2 5" xfId="16422" xr:uid="{FEEB9F16-BBD9-4A80-BD45-ECA537EC3571}"/>
    <cellStyle name="Migliaia 33 5 2 6" xfId="8641" xr:uid="{9FDEEBC9-B68C-4AB3-A6F7-C41906042FA4}"/>
    <cellStyle name="Migliaia 33 5 3" xfId="6455" xr:uid="{0409229C-EC13-45C9-946F-F3419BCAF51E}"/>
    <cellStyle name="Migliaia 33 5 3 2" xfId="33826" xr:uid="{8F4A8FE6-CAB5-447F-80C7-FD37CC0B5FF1}"/>
    <cellStyle name="Migliaia 33 5 3 2 2" xfId="39332" xr:uid="{D3F59B37-012F-4B52-9DD1-1D6C6867435C}"/>
    <cellStyle name="Migliaia 33 5 3 2 3" xfId="44634" xr:uid="{38A076A7-812E-426F-ABCA-C71D02ED531C}"/>
    <cellStyle name="Migliaia 33 5 3 3" xfId="36765" xr:uid="{F00DEC50-0D1C-4446-AEEF-D3FBEFCED476}"/>
    <cellStyle name="Migliaia 33 5 3 4" xfId="41983" xr:uid="{64363044-0C85-40E6-995F-BFBB703FCEE0}"/>
    <cellStyle name="Migliaia 33 5 3 5" xfId="11343" xr:uid="{057D1F62-22A6-45E6-8020-65427779B862}"/>
    <cellStyle name="Migliaia 33 5 4" xfId="3532" xr:uid="{3262721F-E17B-4E13-8E52-D203D30A0C48}"/>
    <cellStyle name="Migliaia 33 5 4 2" xfId="21502" xr:uid="{6FBB7033-F1AF-4249-8699-5C69C596B477}"/>
    <cellStyle name="Migliaia 33 5 4 2 2" xfId="39333" xr:uid="{02E26C58-4831-4F69-94A7-5B928F767A2D}"/>
    <cellStyle name="Migliaia 33 5 4 2 3" xfId="44635" xr:uid="{9D0B1F01-C622-4D27-8186-0418A373245E}"/>
    <cellStyle name="Migliaia 33 5 4 2 4" xfId="33827" xr:uid="{82B80BD4-8237-4279-AEE5-8C9E50B65EA6}"/>
    <cellStyle name="Migliaia 33 5 4 3" xfId="36766" xr:uid="{E3B8A539-1078-4B2D-92C0-4FA6FDF15013}"/>
    <cellStyle name="Migliaia 33 5 4 4" xfId="41984" xr:uid="{0CF5054F-8EE9-40BC-9339-4535E1EB8332}"/>
    <cellStyle name="Migliaia 33 5 4 5" xfId="24792" xr:uid="{EE66BACE-F2F4-4B8D-9524-AE253236061B}"/>
    <cellStyle name="Migliaia 33 5 4 6" xfId="25351" xr:uid="{326C8438-9DFD-4ABA-B7E0-45F4A78104E8}"/>
    <cellStyle name="Migliaia 33 5 4 7" xfId="50517" xr:uid="{D7654059-2F33-483C-A30F-09A496B40336}"/>
    <cellStyle name="Migliaia 33 5 4 8" xfId="53533" xr:uid="{69CC3015-A31B-4E3F-B45A-08A980293631}"/>
    <cellStyle name="Migliaia 33 5 4 9" xfId="10867" xr:uid="{7E52C985-5F83-4C29-8F1F-D405954DBF29}"/>
    <cellStyle name="Migliaia 33 5 5" xfId="20417" xr:uid="{B46D20AD-2D19-41A3-995A-D1669B284594}"/>
    <cellStyle name="Migliaia 33 5 5 2" xfId="33828" xr:uid="{8B89B360-9ED9-4844-B467-7DC819255EC4}"/>
    <cellStyle name="Migliaia 33 5 5 2 2" xfId="39334" xr:uid="{599233A8-4AAD-4F93-9600-F2D3DCCD1EB0}"/>
    <cellStyle name="Migliaia 33 5 5 2 3" xfId="44636" xr:uid="{DA893A77-17A5-4285-B18D-96A77A8A6E43}"/>
    <cellStyle name="Migliaia 33 5 5 3" xfId="36767" xr:uid="{84EB56AE-6F4E-4EB4-8EC5-D0CA5D2A96C1}"/>
    <cellStyle name="Migliaia 33 5 5 4" xfId="41985" xr:uid="{30F08878-1AA0-4640-A9D8-2D37551B60E7}"/>
    <cellStyle name="Migliaia 33 5 5 5" xfId="24793" xr:uid="{EEB16ED6-C29D-4DD1-8FFE-DD2695D39EE6}"/>
    <cellStyle name="Migliaia 33 5 6" xfId="24794" xr:uid="{BE93A48F-5715-4FAB-9115-1C09053EB44E}"/>
    <cellStyle name="Migliaia 33 5 6 2" xfId="33829" xr:uid="{595851F9-F91B-46F1-A0AB-2F53DAE73AE1}"/>
    <cellStyle name="Migliaia 33 5 6 2 2" xfId="39335" xr:uid="{E0900E73-410F-4774-8E08-3130AB4DD6DA}"/>
    <cellStyle name="Migliaia 33 5 6 2 3" xfId="44637" xr:uid="{25754D7D-D655-400A-A610-157AE381C343}"/>
    <cellStyle name="Migliaia 33 5 6 3" xfId="36768" xr:uid="{CC0EA63F-5604-4A02-B850-430F25052E14}"/>
    <cellStyle name="Migliaia 33 5 6 4" xfId="41986" xr:uid="{458B1FEB-908B-49B5-9C01-69F83AFFEBAA}"/>
    <cellStyle name="Migliaia 33 5 7" xfId="24791" xr:uid="{346CAB7F-2D0C-4803-A1ED-3A37FCE4F082}"/>
    <cellStyle name="Migliaia 33 5 8" xfId="7451" xr:uid="{B97EE952-7C6F-48B7-9F2F-E0DD7CDC9E3E}"/>
    <cellStyle name="Migliaia 33 6" xfId="3533" xr:uid="{1CC9023C-BAC6-4506-ABC0-903F1B25E2AB}"/>
    <cellStyle name="Migliaia 33 6 2" xfId="5259" xr:uid="{3F4450AC-32BD-475B-BC45-D2FF49A3C0BD}"/>
    <cellStyle name="Migliaia 33 6 2 2" xfId="9933" xr:uid="{DB058EE6-AB63-46BC-8C89-1E32D888ACB1}"/>
    <cellStyle name="Migliaia 33 6 2 3" xfId="18654" xr:uid="{41345E27-96EA-4D0D-B376-DE4D746AAAA7}"/>
    <cellStyle name="Migliaia 33 6 2 4" xfId="20420" xr:uid="{610E359D-AB77-476F-BF86-695AB6A95093}"/>
    <cellStyle name="Migliaia 33 6 2 5" xfId="32384" xr:uid="{B46098C3-953B-4C5E-898F-B155489194F4}"/>
    <cellStyle name="Migliaia 33 6 2 6" xfId="16424" xr:uid="{90366C5C-D453-4F5E-9C43-9B9879513A8C}"/>
    <cellStyle name="Migliaia 33 6 2 7" xfId="8636" xr:uid="{F54727A4-A979-4C06-B7C8-2FDC05B2A15D}"/>
    <cellStyle name="Migliaia 33 6 3" xfId="6456" xr:uid="{3F28F315-576C-46A4-B5CD-D2FF64E2F43D}"/>
    <cellStyle name="Migliaia 33 6 3 2" xfId="35309" xr:uid="{A6A8A02A-A29F-4A96-A30C-C4F121DAAF19}"/>
    <cellStyle name="Migliaia 33 6 3 2 2" xfId="40469" xr:uid="{DC6A3A4B-BA42-431C-9D94-EBCF102EC3C8}"/>
    <cellStyle name="Migliaia 33 6 3 2 3" xfId="45771" xr:uid="{1D48D5F2-1EE5-494E-8D20-66E271A870BF}"/>
    <cellStyle name="Migliaia 33 6 3 3" xfId="37818" xr:uid="{5C72A4D9-88DE-4AAC-8523-3B4ED12BD7F2}"/>
    <cellStyle name="Migliaia 33 6 3 4" xfId="43120" xr:uid="{3BE6CDCD-457D-4F0B-A3D3-B17E4271A1F2}"/>
    <cellStyle name="Migliaia 33 6 3 5" xfId="9696" xr:uid="{393D5C90-3986-4275-B55D-9611621BF1F9}"/>
    <cellStyle name="Migliaia 33 6 4" xfId="20419" xr:uid="{ED10A10E-8A2A-4F32-9BF3-EA194A735D33}"/>
    <cellStyle name="Migliaia 33 6 4 2" xfId="39336" xr:uid="{8726D025-F4DC-4F7D-90E9-F37910E11EF9}"/>
    <cellStyle name="Migliaia 33 6 4 3" xfId="44638" xr:uid="{837C355D-81A4-49A8-9998-E904FCBF7903}"/>
    <cellStyle name="Migliaia 33 6 4 4" xfId="33830" xr:uid="{0BB8ECC9-87C7-4968-BCEA-C6E59C16097A}"/>
    <cellStyle name="Migliaia 33 6 5" xfId="36769" xr:uid="{FC69B825-7F6F-4EF1-9673-0003EEFF4B91}"/>
    <cellStyle name="Migliaia 33 6 6" xfId="41987" xr:uid="{C646A7BC-B1C6-454F-A456-21E1F108A9C9}"/>
    <cellStyle name="Migliaia 33 6 7" xfId="16423" xr:uid="{946A53F9-1820-40CC-9E2C-BA222A6412BA}"/>
    <cellStyle name="Migliaia 33 6 8" xfId="7446" xr:uid="{85B9B1A8-6C81-4E6E-B7EC-EE8D3FA94377}"/>
    <cellStyle name="Migliaia 33 7" xfId="3534" xr:uid="{1CD7AB60-250D-4729-BE57-C52C410F45EA}"/>
    <cellStyle name="Migliaia 33 7 2" xfId="5260" xr:uid="{03BD8DD2-0C20-4331-903D-40562ACE8394}"/>
    <cellStyle name="Migliaia 33 7 2 2" xfId="35310" xr:uid="{767F6B2B-F2FE-4E61-9580-55BAC1D340AB}"/>
    <cellStyle name="Migliaia 33 7 2 2 2" xfId="40470" xr:uid="{2AA92785-CECB-446A-93E5-E202351E275B}"/>
    <cellStyle name="Migliaia 33 7 2 2 3" xfId="45772" xr:uid="{1D1EBA22-5357-4467-9399-E9F9F4317A22}"/>
    <cellStyle name="Migliaia 33 7 2 3" xfId="37819" xr:uid="{D0AA232A-3ABC-41FC-B012-AB0C506FDF6B}"/>
    <cellStyle name="Migliaia 33 7 2 4" xfId="43121" xr:uid="{FB21585F-EBEF-444E-9B1B-FF4582A5656E}"/>
    <cellStyle name="Migliaia 33 7 2 5" xfId="14257" xr:uid="{F3EA3820-5E77-43DC-98E1-8628E1AAD878}"/>
    <cellStyle name="Migliaia 33 7 3" xfId="6457" xr:uid="{C59D2FEA-6884-4C0F-9069-CABE2193C7AF}"/>
    <cellStyle name="Migliaia 33 7 3 2" xfId="39337" xr:uid="{73EC0920-261B-43B4-8BA7-99E77F56547D}"/>
    <cellStyle name="Migliaia 33 7 3 3" xfId="44639" xr:uid="{6669EEA6-717C-4D25-A1F0-22D1FFF8081F}"/>
    <cellStyle name="Migliaia 33 7 3 4" xfId="33831" xr:uid="{23E159F3-9536-496A-B727-9077E2ECC43F}"/>
    <cellStyle name="Migliaia 33 7 3 5" xfId="20421" xr:uid="{DD46C4CE-47CF-4F63-867E-F45A8FD3FC0A}"/>
    <cellStyle name="Migliaia 33 7 4" xfId="36770" xr:uid="{359E8E80-9B10-43EE-9E47-3259E03D4BD9}"/>
    <cellStyle name="Migliaia 33 7 5" xfId="41988" xr:uid="{146A7166-829A-4F26-95A8-8602722BC9A1}"/>
    <cellStyle name="Migliaia 33 7 6" xfId="16425" xr:uid="{E6B40BDD-DBE1-4662-A1B6-D570935D0309}"/>
    <cellStyle name="Migliaia 33 7 7" xfId="8319" xr:uid="{E3B94DFD-C13F-4F93-B661-2F6F6B483E62}"/>
    <cellStyle name="Migliaia 33 8" xfId="3535" xr:uid="{8683F9A0-3935-4A7D-B4C0-3B31A530A4AF}"/>
    <cellStyle name="Migliaia 33 8 2" xfId="5261" xr:uid="{E857E318-9E17-43E6-96C6-CF8351DB5998}"/>
    <cellStyle name="Migliaia 33 8 2 2" xfId="35311" xr:uid="{FA397A78-5C63-4247-9E3D-058CA31F5F8A}"/>
    <cellStyle name="Migliaia 33 8 2 2 2" xfId="40471" xr:uid="{CC20FE23-BD76-43AC-B928-D8F9B6E1CD75}"/>
    <cellStyle name="Migliaia 33 8 2 2 3" xfId="45773" xr:uid="{A15896D1-D276-4177-A547-295DD3A91801}"/>
    <cellStyle name="Migliaia 33 8 2 3" xfId="37820" xr:uid="{4256A1CC-071D-423A-A0C6-79C6225871DD}"/>
    <cellStyle name="Migliaia 33 8 2 4" xfId="43122" xr:uid="{08B8978E-71BE-4D0A-8583-A8C9BED4B01A}"/>
    <cellStyle name="Migliaia 33 8 2 5" xfId="13962" xr:uid="{A67FD19E-5788-4590-A761-5DAE5BB2F026}"/>
    <cellStyle name="Migliaia 33 8 3" xfId="6458" xr:uid="{8B77C66F-B847-489F-B2E4-473BA81CEFDD}"/>
    <cellStyle name="Migliaia 33 8 3 2" xfId="39338" xr:uid="{1E74C79B-B009-4E46-87EB-D68A884AFAE2}"/>
    <cellStyle name="Migliaia 33 8 3 3" xfId="44640" xr:uid="{E66B2985-C7A0-470F-97EE-63CA96917B44}"/>
    <cellStyle name="Migliaia 33 8 3 4" xfId="33832" xr:uid="{07D69D23-6379-42C5-B11E-8E945E8CE3F4}"/>
    <cellStyle name="Migliaia 33 8 3 5" xfId="20422" xr:uid="{48B5F327-AD24-4BB1-AD32-7927A15AD84A}"/>
    <cellStyle name="Migliaia 33 8 4" xfId="36771" xr:uid="{72B7093B-6839-426C-A6A4-958F118ADC57}"/>
    <cellStyle name="Migliaia 33 8 5" xfId="41989" xr:uid="{4954C0D7-AE8A-4019-9774-0869E3FF3F6C}"/>
    <cellStyle name="Migliaia 33 8 6" xfId="16426" xr:uid="{11ED1EBC-1FBC-4533-8001-6FDA78E09C08}"/>
    <cellStyle name="Migliaia 33 8 7" xfId="7926" xr:uid="{FD886BA6-508B-4C0A-910D-9136108D357D}"/>
    <cellStyle name="Migliaia 33 9" xfId="5246" xr:uid="{FE0589EC-D138-4EFB-8D0D-C7722EF7421D}"/>
    <cellStyle name="Migliaia 33 9 2" xfId="33833" xr:uid="{664675B6-2FBF-40CB-A867-04CEB792AB49}"/>
    <cellStyle name="Migliaia 33 9 2 2" xfId="39339" xr:uid="{4C589C1E-C191-43A9-9887-FFB187208372}"/>
    <cellStyle name="Migliaia 33 9 2 3" xfId="44641" xr:uid="{566DD9B9-7767-4A06-81BF-66BD711410A6}"/>
    <cellStyle name="Migliaia 33 9 3" xfId="36772" xr:uid="{FE2DDA13-4C4A-44AD-9E13-A4AEA8E5C3C0}"/>
    <cellStyle name="Migliaia 33 9 4" xfId="41990" xr:uid="{D58F67C9-A784-44D8-82B5-D6BBD663A774}"/>
    <cellStyle name="Migliaia 33 9 5" xfId="17187" xr:uid="{99F2699C-F2F5-40B9-A327-F694D609DA97}"/>
    <cellStyle name="Migliaia 34" xfId="409" xr:uid="{00000000-0005-0000-0000-0000B2030000}"/>
    <cellStyle name="Migliaia 34 10" xfId="6459" xr:uid="{446CDD86-9B5A-445F-8339-A92113949E99}"/>
    <cellStyle name="Migliaia 34 10 2" xfId="39340" xr:uid="{2ED83D3A-7EAA-4E92-96A4-3ABD91E1E6DE}"/>
    <cellStyle name="Migliaia 34 10 3" xfId="44642" xr:uid="{7CCDBEEF-862B-4D5A-BD81-BD466DD39A04}"/>
    <cellStyle name="Migliaia 34 10 4" xfId="33834" xr:uid="{20169C4F-6711-4EEF-8E3A-D8EC690376EB}"/>
    <cellStyle name="Migliaia 34 10 5" xfId="20423" xr:uid="{5117B321-3E6F-41E9-AAB4-6B24C736DAFC}"/>
    <cellStyle name="Migliaia 34 11" xfId="3536" xr:uid="{3EBA89E3-A486-4244-B127-66A360759CDC}"/>
    <cellStyle name="Migliaia 34 11 2" xfId="36773" xr:uid="{3F13076C-C325-4B58-AC19-EF8025CA838F}"/>
    <cellStyle name="Migliaia 34 12" xfId="41991" xr:uid="{7D51784F-B802-41C7-8E60-8C398D8DE32A}"/>
    <cellStyle name="Migliaia 34 13" xfId="7123" xr:uid="{A8508EA9-0699-4DB6-8B04-2CE0CEE94C0F}"/>
    <cellStyle name="Migliaia 34 2" xfId="410" xr:uid="{00000000-0005-0000-0000-0000B3030000}"/>
    <cellStyle name="Migliaia 34 2 2" xfId="1791" xr:uid="{00000000-0005-0000-0000-0000B4030000}"/>
    <cellStyle name="Migliaia 34 2 2 2" xfId="5264" xr:uid="{F9BBACB8-DC09-409E-A7F6-2799BB2311F7}"/>
    <cellStyle name="Migliaia 34 2 2 2 2" xfId="14390" xr:uid="{0FC45A7A-384E-443F-842E-0085D395E054}"/>
    <cellStyle name="Migliaia 34 2 2 2 2 2" xfId="39341" xr:uid="{5E495FDA-3C14-44E3-8423-7117B683925B}"/>
    <cellStyle name="Migliaia 34 2 2 2 2 3" xfId="44643" xr:uid="{7D2D2A14-0457-4596-A5AB-5C1D4B5DD8B3}"/>
    <cellStyle name="Migliaia 34 2 2 2 3" xfId="18443" xr:uid="{880820C9-EE7E-43C6-B9DC-BC0E34AA91C1}"/>
    <cellStyle name="Migliaia 34 2 2 2 4" xfId="20426" xr:uid="{75BC8B53-2B81-4E8E-95AE-58413F8292E0}"/>
    <cellStyle name="Migliaia 34 2 2 2 4 2" xfId="41992" xr:uid="{8E666FAD-B19C-45EF-A365-E2361C947C81}"/>
    <cellStyle name="Migliaia 34 2 2 2 5" xfId="16427" xr:uid="{2177E90B-8F02-4A42-85D3-E0A9040C9284}"/>
    <cellStyle name="Migliaia 34 2 2 2 6" xfId="8643" xr:uid="{2693995B-F17B-4A07-8E0B-8341682CAD63}"/>
    <cellStyle name="Migliaia 34 2 2 3" xfId="6461" xr:uid="{303F2612-38F3-4B14-9D02-A4DDB138081D}"/>
    <cellStyle name="Migliaia 34 2 2 3 2" xfId="35312" xr:uid="{8A25C89F-BD9A-458D-9511-0130F934DC0F}"/>
    <cellStyle name="Migliaia 34 2 2 3 2 2" xfId="40472" xr:uid="{56AAAB67-1401-47A2-9A57-877583E1D8B4}"/>
    <cellStyle name="Migliaia 34 2 2 3 2 3" xfId="45774" xr:uid="{DEE59719-4C22-4812-9BFB-A506BD19FD5F}"/>
    <cellStyle name="Migliaia 34 2 2 3 3" xfId="37821" xr:uid="{22990CE0-F1F9-4C85-BD42-362CDB7CEEF9}"/>
    <cellStyle name="Migliaia 34 2 2 3 4" xfId="43123" xr:uid="{A410E715-7642-4161-8DE1-6901E7750D13}"/>
    <cellStyle name="Migliaia 34 2 2 3 5" xfId="11617" xr:uid="{CE3E15F5-ED32-4C9C-8098-382F6745B30F}"/>
    <cellStyle name="Migliaia 34 2 2 4" xfId="3538" xr:uid="{E182DBCF-275D-4F73-94D8-AA9BF9AD72AC}"/>
    <cellStyle name="Migliaia 34 2 2 4 2" xfId="21503" xr:uid="{518622C6-17E6-4D30-B5B1-6F33333AC8F7}"/>
    <cellStyle name="Migliaia 34 2 2 4 3" xfId="47982" xr:uid="{CF5B57FD-F197-4DD3-89F0-88C603992108}"/>
    <cellStyle name="Migliaia 34 2 2 4 4" xfId="50518" xr:uid="{B4FAF854-896E-47F2-8CC6-B40C298D1199}"/>
    <cellStyle name="Migliaia 34 2 2 4 5" xfId="53534" xr:uid="{8FF5326F-B509-4B4D-8C60-1E884A209EB6}"/>
    <cellStyle name="Migliaia 34 2 2 4 6" xfId="10868" xr:uid="{A3FFC7CF-B55D-4C19-8847-38832AD006CB}"/>
    <cellStyle name="Migliaia 34 2 2 5" xfId="20425" xr:uid="{5EFBE037-1FBA-401F-8F6B-745EDDB87140}"/>
    <cellStyle name="Migliaia 34 2 2 6" xfId="24796" xr:uid="{9408C17C-9123-4E68-B680-C0CB3804C188}"/>
    <cellStyle name="Migliaia 34 2 2 7" xfId="7453" xr:uid="{D6CB66AB-8BD2-489B-858E-9F8943B11743}"/>
    <cellStyle name="Migliaia 34 2 3" xfId="3539" xr:uid="{80D1486B-304D-4D77-BACE-247822D090F3}"/>
    <cellStyle name="Migliaia 34 2 3 2" xfId="5265" xr:uid="{8B3C4948-A275-41CF-8174-470755DB9056}"/>
    <cellStyle name="Migliaia 34 2 3 2 2" xfId="35313" xr:uid="{ED417F74-0311-4EE1-B48C-69188633C538}"/>
    <cellStyle name="Migliaia 34 2 3 2 2 2" xfId="40473" xr:uid="{5435DBE0-9D0F-4138-A61D-AC2A7CC9E0DA}"/>
    <cellStyle name="Migliaia 34 2 3 2 2 3" xfId="45775" xr:uid="{60FFA7AB-648B-468E-8D33-2ADD05DAF53B}"/>
    <cellStyle name="Migliaia 34 2 3 2 3" xfId="37822" xr:uid="{D36BB970-A604-4959-8288-AD2C1A005B40}"/>
    <cellStyle name="Migliaia 34 2 3 2 4" xfId="43124" xr:uid="{C007C6EB-A2CD-42C6-B2D2-5E4308DCE328}"/>
    <cellStyle name="Migliaia 34 2 3 2 5" xfId="14261" xr:uid="{0D1169A1-4F7B-44FC-8B15-5A3ACD3763EE}"/>
    <cellStyle name="Migliaia 34 2 3 3" xfId="6462" xr:uid="{85DA57FF-AF8D-4585-9DD3-004730949076}"/>
    <cellStyle name="Migliaia 34 2 3 3 2" xfId="39342" xr:uid="{46BA9E03-3743-4582-BA74-2CFB212BCF7B}"/>
    <cellStyle name="Migliaia 34 2 3 3 3" xfId="44644" xr:uid="{8A40FCEC-67C0-4CA3-9B71-064DC381AD34}"/>
    <cellStyle name="Migliaia 34 2 3 3 4" xfId="33835" xr:uid="{282169CE-DEC1-40E1-96FB-7360C26E0E44}"/>
    <cellStyle name="Migliaia 34 2 3 3 5" xfId="20427" xr:uid="{E3489FA7-7669-47D9-B593-37DDDAEC6D1A}"/>
    <cellStyle name="Migliaia 34 2 3 4" xfId="36774" xr:uid="{67A47EFC-6804-47E6-A2B1-5BFD8A1DF79A}"/>
    <cellStyle name="Migliaia 34 2 3 5" xfId="41993" xr:uid="{1E9A4B3D-C170-4EF1-BE5F-2DE93900E3CF}"/>
    <cellStyle name="Migliaia 34 2 3 6" xfId="16428" xr:uid="{77CED738-A778-499E-ACF8-4CD71189AD8E}"/>
    <cellStyle name="Migliaia 34 2 3 7" xfId="8323" xr:uid="{74005F41-B46A-448D-9E3D-B6E0D7772C07}"/>
    <cellStyle name="Migliaia 34 2 4" xfId="5263" xr:uid="{9EB3DDC4-26C7-40AC-866F-1EF68A6B6278}"/>
    <cellStyle name="Migliaia 34 2 4 2" xfId="13966" xr:uid="{4731D848-2BD5-4254-9202-E6635F017DDC}"/>
    <cellStyle name="Migliaia 34 2 4 2 2" xfId="39343" xr:uid="{DFD2B85A-1375-4934-99E8-BA19F9785028}"/>
    <cellStyle name="Migliaia 34 2 4 2 3" xfId="44645" xr:uid="{920C84C1-8435-4CB5-B155-995F2DE549DE}"/>
    <cellStyle name="Migliaia 34 2 4 3" xfId="18613" xr:uid="{1923A48D-7584-4428-8BF0-D9CCBD7FECAF}"/>
    <cellStyle name="Migliaia 34 2 4 4" xfId="20428" xr:uid="{1D0DCD62-7DAC-460D-8619-24CABBD007EB}"/>
    <cellStyle name="Migliaia 34 2 4 4 2" xfId="41994" xr:uid="{B99602CC-8AD7-4303-85A4-2828183079BC}"/>
    <cellStyle name="Migliaia 34 2 4 5" xfId="16429" xr:uid="{82C5FCC6-9BE3-424F-9C8A-BDFA41FD2598}"/>
    <cellStyle name="Migliaia 34 2 4 6" xfId="7931" xr:uid="{2C7A27C8-892D-4BAE-BBF0-AC47021A346D}"/>
    <cellStyle name="Migliaia 34 2 5" xfId="6460" xr:uid="{A1797C92-0795-47C5-973F-E0A15B7A587A}"/>
    <cellStyle name="Migliaia 34 2 5 2" xfId="33836" xr:uid="{40C84349-D9CF-4691-8899-D84DF9F2BD6A}"/>
    <cellStyle name="Migliaia 34 2 5 2 2" xfId="39344" xr:uid="{685A3C37-DA0C-4D40-AAF1-51BB84AB1C94}"/>
    <cellStyle name="Migliaia 34 2 5 2 3" xfId="44646" xr:uid="{052E3A7D-545D-4975-8F10-787FD11C1F9E}"/>
    <cellStyle name="Migliaia 34 2 5 3" xfId="36775" xr:uid="{B77EFD97-797A-4191-A9B6-5B5D85F0FE33}"/>
    <cellStyle name="Migliaia 34 2 5 4" xfId="41995" xr:uid="{C25E3D2B-2E3D-4833-BF70-F69B8D65B234}"/>
    <cellStyle name="Migliaia 34 2 5 5" xfId="13130" xr:uid="{6F0B185C-3025-41CC-ACE5-AD7C959E1E97}"/>
    <cellStyle name="Migliaia 34 2 6" xfId="3537" xr:uid="{F762F256-F5A0-48E0-AD7C-2690A70B9247}"/>
    <cellStyle name="Migliaia 34 2 6 2" xfId="33837" xr:uid="{8F9A4ECE-E7CF-4042-9541-FE12EAE7FBB4}"/>
    <cellStyle name="Migliaia 34 2 6 2 2" xfId="39345" xr:uid="{C3545B69-56BE-4AA2-BFF9-AA9FA5398969}"/>
    <cellStyle name="Migliaia 34 2 6 2 3" xfId="44647" xr:uid="{2E1CD879-0BA5-45BC-B736-BA9DB97290EB}"/>
    <cellStyle name="Migliaia 34 2 6 3" xfId="36776" xr:uid="{38B64630-9976-47B3-886B-FF570E079A3C}"/>
    <cellStyle name="Migliaia 34 2 6 4" xfId="41996" xr:uid="{C30F8C55-C24B-44C5-96EC-825582AE2F16}"/>
    <cellStyle name="Migliaia 34 2 6 5" xfId="24797" xr:uid="{70DB9DA0-258D-48D6-99EF-4DD570077927}"/>
    <cellStyle name="Migliaia 34 2 6 6" xfId="20424" xr:uid="{C2BFF595-C970-4671-8ABA-E4037DE8EFCC}"/>
    <cellStyle name="Migliaia 34 2 7" xfId="24795" xr:uid="{D8ADFD02-3D9E-4B3F-B571-7B5D3470DC6F}"/>
    <cellStyle name="Migliaia 34 2 8" xfId="7124" xr:uid="{2A1E30C2-F23D-4096-9D07-7028CEC1D4A6}"/>
    <cellStyle name="Migliaia 34 3" xfId="411" xr:uid="{00000000-0005-0000-0000-0000B5030000}"/>
    <cellStyle name="Migliaia 34 3 10" xfId="24798" xr:uid="{5CE2254B-D5F8-4D10-95AE-710CCC840920}"/>
    <cellStyle name="Migliaia 34 3 11" xfId="16430" xr:uid="{AAE851A5-3690-4DD1-A32C-516AEF60EF91}"/>
    <cellStyle name="Migliaia 34 3 12" xfId="7125" xr:uid="{85833C4E-1595-435C-B75F-5FFBAA710B22}"/>
    <cellStyle name="Migliaia 34 3 2" xfId="412" xr:uid="{00000000-0005-0000-0000-0000B6030000}"/>
    <cellStyle name="Migliaia 34 3 2 2" xfId="1792" xr:uid="{00000000-0005-0000-0000-0000B7030000}"/>
    <cellStyle name="Migliaia 34 3 2 2 2" xfId="5268" xr:uid="{CE6271D5-C95D-4269-93DB-A7750F3DB6E3}"/>
    <cellStyle name="Migliaia 34 3 2 2 2 2" xfId="18444" xr:uid="{32814393-59DC-4110-905B-CB63072E4EB9}"/>
    <cellStyle name="Migliaia 34 3 2 2 2 2 2" xfId="21868" xr:uid="{FCA3C8C3-5690-4139-9E70-8EBB9E691C2E}"/>
    <cellStyle name="Migliaia 34 3 2 2 2 2 2 2" xfId="39346" xr:uid="{10FF51C3-6AA7-4212-A39D-93F7E46E4DB9}"/>
    <cellStyle name="Migliaia 34 3 2 2 2 2 3" xfId="44648" xr:uid="{6D137B42-4E4D-469E-91D3-7B8BA515E9C0}"/>
    <cellStyle name="Migliaia 34 3 2 2 2 2 4" xfId="33838" xr:uid="{3EDA2A78-57CF-4C6A-B1ED-AD888F1FD578}"/>
    <cellStyle name="Migliaia 34 3 2 2 2 3" xfId="36777" xr:uid="{D95D33BD-20F8-47F3-8FB9-3EB61A02E791}"/>
    <cellStyle name="Migliaia 34 3 2 2 2 4" xfId="41997" xr:uid="{256650A3-1D94-4999-8F80-2CCCF43C2167}"/>
    <cellStyle name="Migliaia 34 3 2 2 2 5" xfId="37178" xr:uid="{EFAEB2E9-0799-4DEB-8A50-7BBC16499581}"/>
    <cellStyle name="Migliaia 34 3 2 2 2 6" xfId="50896" xr:uid="{97DB9A6B-75AE-490A-8CEB-BBBC4E8FAD6E}"/>
    <cellStyle name="Migliaia 34 3 2 2 2 7" xfId="53912" xr:uid="{B0C26102-CF28-4415-B166-41F81684500E}"/>
    <cellStyle name="Migliaia 34 3 2 2 2 8" xfId="17665" xr:uid="{B810872C-E512-4A49-9BEE-1E7F1FAE2528}"/>
    <cellStyle name="Migliaia 34 3 2 2 2 9" xfId="11995" xr:uid="{1B7CE54C-98CA-44C4-9D3B-87BC5348FA0A}"/>
    <cellStyle name="Migliaia 34 3 2 2 3" xfId="6465" xr:uid="{82ADC557-C383-4EC5-9740-2BF4D3C6DD75}"/>
    <cellStyle name="Migliaia 34 3 2 2 3 2" xfId="11562" xr:uid="{9C71523F-341B-42BB-A809-DBD8E9F219A1}"/>
    <cellStyle name="Migliaia 34 3 2 2 4" xfId="3542" xr:uid="{E07B4949-0749-4A66-A056-E83098480DDB}"/>
    <cellStyle name="Migliaia 34 3 2 2 4 2" xfId="21504" xr:uid="{918380D4-8E25-4DA3-AE74-971DA1624C62}"/>
    <cellStyle name="Migliaia 34 3 2 2 4 3" xfId="46646" xr:uid="{F2304B9A-55F2-41C9-956E-98A328CF5E43}"/>
    <cellStyle name="Migliaia 34 3 2 2 4 4" xfId="50519" xr:uid="{C3388350-1440-4C06-B96E-7A92AC6AAD18}"/>
    <cellStyle name="Migliaia 34 3 2 2 4 5" xfId="53535" xr:uid="{596167F0-C313-490F-8C17-B59DC044BC2F}"/>
    <cellStyle name="Migliaia 34 3 2 2 4 6" xfId="10869" xr:uid="{CD9ABD3E-A6A3-41A6-AC91-46C40AAD8A19}"/>
    <cellStyle name="Migliaia 34 3 2 2 5" xfId="20431" xr:uid="{4FB7C1FD-4339-4DBE-ACA3-3550613417C1}"/>
    <cellStyle name="Migliaia 34 3 2 2 6" xfId="24800" xr:uid="{485220B5-59FE-4A6C-B0D7-F9C1310C848E}"/>
    <cellStyle name="Migliaia 34 3 2 2 7" xfId="8645" xr:uid="{BCBB8A76-5593-4BBB-B799-E28DDE105867}"/>
    <cellStyle name="Migliaia 34 3 2 3" xfId="5267" xr:uid="{260A6332-73C4-4A96-96DF-E797F51F175D}"/>
    <cellStyle name="Migliaia 34 3 2 3 2" xfId="12410" xr:uid="{33C810DF-B83F-41ED-B33E-00AB6C0C6873}"/>
    <cellStyle name="Migliaia 34 3 2 3 2 2" xfId="39347" xr:uid="{D641BA38-D7E7-4FB0-B331-5799D0263AA6}"/>
    <cellStyle name="Migliaia 34 3 2 3 2 3" xfId="44649" xr:uid="{775802CC-0506-46C7-BDD2-C0694FB1BF0F}"/>
    <cellStyle name="Migliaia 34 3 2 3 2 4" xfId="33839" xr:uid="{ACBB39FA-E23A-44F4-93D5-372CB5FBE9E6}"/>
    <cellStyle name="Migliaia 34 3 2 3 3" xfId="11996" xr:uid="{ECCC2CEB-F129-499D-8799-F5CEB714B9D7}"/>
    <cellStyle name="Migliaia 34 3 2 3 4" xfId="20432" xr:uid="{3A18B690-7696-42BB-A4CB-21D198E7EBA5}"/>
    <cellStyle name="Migliaia 34 3 2 3 4 2" xfId="41998" xr:uid="{FA4D13A6-10AE-4416-AC04-17B0DD3AC859}"/>
    <cellStyle name="Migliaia 34 3 2 3 5" xfId="16431" xr:uid="{71AAEBDD-CF3F-4F6B-9375-AFA32D4FA596}"/>
    <cellStyle name="Migliaia 34 3 2 3 6" xfId="7933" xr:uid="{BD6826BC-DE79-40B6-B5C5-DC01ABB848B2}"/>
    <cellStyle name="Migliaia 34 3 2 4" xfId="6464" xr:uid="{736A85FD-1579-429B-976F-5F5A6C3B3C3C}"/>
    <cellStyle name="Migliaia 34 3 2 4 2" xfId="18084" xr:uid="{711236A0-DB6B-45E6-BCCD-5DADF433C876}"/>
    <cellStyle name="Migliaia 34 3 2 4 2 2" xfId="39348" xr:uid="{8D0D78E1-3E42-4D48-91C1-00F2EC9D686F}"/>
    <cellStyle name="Migliaia 34 3 2 4 2 3" xfId="44650" xr:uid="{C0390279-502E-4176-A4A1-03F9A982C464}"/>
    <cellStyle name="Migliaia 34 3 2 4 3" xfId="36778" xr:uid="{405DB2E7-BC30-40B8-8DFA-CA57EE7E805C}"/>
    <cellStyle name="Migliaia 34 3 2 4 4" xfId="41999" xr:uid="{D8E0A404-A0CE-420E-9910-BA792ECE875D}"/>
    <cellStyle name="Migliaia 34 3 2 4 5" xfId="17190" xr:uid="{803BC5D2-04F0-40CF-AF95-B4618CAE0D69}"/>
    <cellStyle name="Migliaia 34 3 2 4 6" xfId="11344" xr:uid="{6EF1D95D-91F3-47C8-84CF-C9CFDD80FD66}"/>
    <cellStyle name="Migliaia 34 3 2 5" xfId="3541" xr:uid="{F017704D-067C-4E47-9C86-7BF408B35889}"/>
    <cellStyle name="Migliaia 34 3 2 5 2" xfId="33840" xr:uid="{77AEB179-F5E8-4D7F-8265-B51EFF5E73E8}"/>
    <cellStyle name="Migliaia 34 3 2 5 2 2" xfId="39349" xr:uid="{17C76A74-D970-4FD9-B6F7-31C8ECFEDAE3}"/>
    <cellStyle name="Migliaia 34 3 2 5 2 3" xfId="44651" xr:uid="{33924806-5B27-4FD7-8604-D09BD343AC7C}"/>
    <cellStyle name="Migliaia 34 3 2 5 3" xfId="36779" xr:uid="{A8824072-0B5C-48E4-9FD1-28BD98DF9830}"/>
    <cellStyle name="Migliaia 34 3 2 5 4" xfId="42000" xr:uid="{B2E45CEB-D6FE-4E4F-B2BA-190DDCFFD1C6}"/>
    <cellStyle name="Migliaia 34 3 2 5 5" xfId="17345" xr:uid="{39D189D8-1439-4D81-9804-6BAADCC030DA}"/>
    <cellStyle name="Migliaia 34 3 2 6" xfId="20430" xr:uid="{C04BAFB1-E402-4F61-A307-CC50FE104801}"/>
    <cellStyle name="Migliaia 34 3 2 6 2" xfId="33841" xr:uid="{4D6271A2-5643-4153-8388-1C64289F1B31}"/>
    <cellStyle name="Migliaia 34 3 2 6 2 2" xfId="39350" xr:uid="{A7F3E525-3459-445B-BCFA-A2CD146567D1}"/>
    <cellStyle name="Migliaia 34 3 2 6 2 3" xfId="44652" xr:uid="{D760F0A0-AC2B-4138-B354-824E22A6C9D6}"/>
    <cellStyle name="Migliaia 34 3 2 6 3" xfId="36780" xr:uid="{25BFBA46-9FC0-4A9B-87E0-5FB7C379EA1D}"/>
    <cellStyle name="Migliaia 34 3 2 6 4" xfId="42001" xr:uid="{45F6D8F6-B2E4-4CDB-BD24-8FDAFF1F369B}"/>
    <cellStyle name="Migliaia 34 3 2 6 5" xfId="24801" xr:uid="{13CF3B75-E483-4FA7-9DF4-B5326BDFB574}"/>
    <cellStyle name="Migliaia 34 3 2 7" xfId="24799" xr:uid="{23E0A5F5-6F26-4B4E-BCB3-817B51F6EE68}"/>
    <cellStyle name="Migliaia 34 3 2 8" xfId="7455" xr:uid="{307EC4A0-060E-420F-AD7B-67A8DF2F3494}"/>
    <cellStyle name="Migliaia 34 3 3" xfId="3543" xr:uid="{F2FE8A7C-D7E1-453E-A8C1-271A57750029}"/>
    <cellStyle name="Migliaia 34 3 3 10" xfId="7454" xr:uid="{D7F09E32-DDC2-4B4C-ADA4-769C17D37B17}"/>
    <cellStyle name="Migliaia 34 3 3 2" xfId="5269" xr:uid="{B61D78DF-9D47-44B3-A363-CB2947097F80}"/>
    <cellStyle name="Migliaia 34 3 3 2 2" xfId="9936" xr:uid="{1A44F8DB-D978-4B41-A6BD-8C2915878553}"/>
    <cellStyle name="Migliaia 34 3 3 2 2 2" xfId="39352" xr:uid="{026AF8B9-A57A-457C-90EF-F19AA9A2F2F2}"/>
    <cellStyle name="Migliaia 34 3 3 2 2 3" xfId="44654" xr:uid="{8E2E72A3-F8D4-46FD-AD53-EFCB2A5DE413}"/>
    <cellStyle name="Migliaia 34 3 3 2 3" xfId="18216" xr:uid="{C75454DD-4A6B-4033-BA73-43D50229001F}"/>
    <cellStyle name="Migliaia 34 3 3 2 4" xfId="20434" xr:uid="{B8B9AE7D-89D2-4D23-A3B4-BD6BD4FBD99B}"/>
    <cellStyle name="Migliaia 34 3 3 2 4 2" xfId="42003" xr:uid="{2F5161EB-D24F-44FC-B778-330C70752088}"/>
    <cellStyle name="Migliaia 34 3 3 2 5" xfId="16433" xr:uid="{DB7D71E7-BCDA-4CBB-9893-2C078338ABEB}"/>
    <cellStyle name="Migliaia 34 3 3 2 6" xfId="8644" xr:uid="{F3DFAADB-EC30-4842-A08D-E706189B06B1}"/>
    <cellStyle name="Migliaia 34 3 3 3" xfId="6466" xr:uid="{30B46127-11E3-4D23-A115-8875A05EDFA5}"/>
    <cellStyle name="Migliaia 34 3 3 3 2" xfId="33843" xr:uid="{8E7831A7-5E9D-423E-83A6-CFE8C7D97D81}"/>
    <cellStyle name="Migliaia 34 3 3 3 2 2" xfId="39353" xr:uid="{41B3C328-D3A7-4D9A-AC03-58DD04850161}"/>
    <cellStyle name="Migliaia 34 3 3 3 2 3" xfId="44655" xr:uid="{8C1F9CAC-C05E-485B-86A4-691AA09E9C51}"/>
    <cellStyle name="Migliaia 34 3 3 3 3" xfId="36782" xr:uid="{DE24CB78-19D7-4A6C-90D7-ADE448A67B4A}"/>
    <cellStyle name="Migliaia 34 3 3 3 4" xfId="42004" xr:uid="{89F59071-1420-43B9-8B59-39D6A6FDB4CA}"/>
    <cellStyle name="Migliaia 34 3 3 3 5" xfId="9699" xr:uid="{BF4C4282-B52E-4A2E-BA40-3E00EA0FA5E0}"/>
    <cellStyle name="Migliaia 34 3 3 4" xfId="20433" xr:uid="{55029C37-88C7-466E-8CAD-CE5617ED1BB3}"/>
    <cellStyle name="Migliaia 34 3 3 4 2" xfId="33844" xr:uid="{E3D175E5-65AC-4D87-89A4-75ED0B54FDC8}"/>
    <cellStyle name="Migliaia 34 3 3 4 2 2" xfId="39354" xr:uid="{BF2BAF69-CBA1-4A61-892D-FB7CEC301D3A}"/>
    <cellStyle name="Migliaia 34 3 3 4 2 3" xfId="44656" xr:uid="{6D9533A5-E037-4BBE-9A92-C5681C505C9D}"/>
    <cellStyle name="Migliaia 34 3 3 4 3" xfId="36783" xr:uid="{B307DE65-8F7B-4D2E-86D5-89411F5D22F4}"/>
    <cellStyle name="Migliaia 34 3 3 4 4" xfId="42005" xr:uid="{79117383-0E03-4801-92E8-C36CF34EFAC2}"/>
    <cellStyle name="Migliaia 34 3 3 4 5" xfId="24802" xr:uid="{EFA5EADE-B267-415B-988A-22252C332D68}"/>
    <cellStyle name="Migliaia 34 3 3 5" xfId="24803" xr:uid="{46D3B9F5-61A9-4F38-A331-6FF58D92BD34}"/>
    <cellStyle name="Migliaia 34 3 3 5 2" xfId="33845" xr:uid="{6D881D17-9E0D-4740-832F-6DE70D454887}"/>
    <cellStyle name="Migliaia 34 3 3 5 2 2" xfId="39355" xr:uid="{80AF3B30-1BD5-492C-9BDA-4F0D66CDA963}"/>
    <cellStyle name="Migliaia 34 3 3 5 2 3" xfId="44657" xr:uid="{81115C7D-23B9-4CD9-9C58-DE0A8C77549E}"/>
    <cellStyle name="Migliaia 34 3 3 5 3" xfId="36784" xr:uid="{307C97A3-21AE-475B-BA4D-F7408DFDEE1B}"/>
    <cellStyle name="Migliaia 34 3 3 5 4" xfId="42006" xr:uid="{7CDEC75E-30F1-46B8-8718-56A974685B01}"/>
    <cellStyle name="Migliaia 34 3 3 6" xfId="33842" xr:uid="{205F084D-FFAB-47C6-96D2-7C096E34C568}"/>
    <cellStyle name="Migliaia 34 3 3 6 2" xfId="39351" xr:uid="{B48C715A-CD08-4A8E-AFF8-4220F9484A9D}"/>
    <cellStyle name="Migliaia 34 3 3 6 3" xfId="44653" xr:uid="{377A555A-94D4-4676-BEBA-909837F71F6E}"/>
    <cellStyle name="Migliaia 34 3 3 7" xfId="36781" xr:uid="{ED12F98C-EEFB-45BF-996B-47E3DD6995DB}"/>
    <cellStyle name="Migliaia 34 3 3 8" xfId="42002" xr:uid="{F9CB8381-F5F3-4D8C-9028-E09497AE7371}"/>
    <cellStyle name="Migliaia 34 3 3 9" xfId="16432" xr:uid="{ECFC188B-7198-4720-920D-FCBBB245ECE9}"/>
    <cellStyle name="Migliaia 34 3 4" xfId="3544" xr:uid="{ADABA363-FAB2-4C0E-957F-A52E5AC4DB0A}"/>
    <cellStyle name="Migliaia 34 3 4 2" xfId="5270" xr:uid="{D1793F4F-335D-402A-89BE-7DFA7923982A}"/>
    <cellStyle name="Migliaia 34 3 4 2 2" xfId="14450" xr:uid="{2D5A4E06-9CB9-435E-91A1-998CED552E0B}"/>
    <cellStyle name="Migliaia 34 3 4 2 3" xfId="18563" xr:uid="{23373CAA-A12B-4DD8-AE18-2E286167A53F}"/>
    <cellStyle name="Migliaia 34 3 4 2 4" xfId="20436" xr:uid="{282EE62E-FE0C-420A-B886-116E92DFB71F}"/>
    <cellStyle name="Migliaia 34 3 4 2 5" xfId="32385" xr:uid="{4054D2F7-BE77-4DF2-A059-A5254A5DD995}"/>
    <cellStyle name="Migliaia 34 3 4 2 6" xfId="16435" xr:uid="{4595E0EA-1B48-4208-B725-0BCA1FB3C322}"/>
    <cellStyle name="Migliaia 34 3 4 2 7" xfId="8873" xr:uid="{A63F0EF4-0EEF-4709-9216-12AAC3007BCD}"/>
    <cellStyle name="Migliaia 34 3 4 3" xfId="6467" xr:uid="{C055AA84-91EF-4144-9DBE-A57B5618E207}"/>
    <cellStyle name="Migliaia 34 3 4 3 2" xfId="35314" xr:uid="{78281863-4175-4805-B8F3-A7A625D43F9D}"/>
    <cellStyle name="Migliaia 34 3 4 3 2 2" xfId="40474" xr:uid="{16B1C900-C410-4B6D-90F8-03CEEB665FFF}"/>
    <cellStyle name="Migliaia 34 3 4 3 2 3" xfId="45776" xr:uid="{92B773C0-CCB6-451F-B496-1A71413A106D}"/>
    <cellStyle name="Migliaia 34 3 4 3 3" xfId="37823" xr:uid="{09DBF291-D70C-416F-9F2F-1897AD7B7D88}"/>
    <cellStyle name="Migliaia 34 3 4 3 4" xfId="43125" xr:uid="{40B9C766-3198-4E7A-98C5-5CBE84C3BE4E}"/>
    <cellStyle name="Migliaia 34 3 4 3 5" xfId="13698" xr:uid="{3FA596FF-E713-4A33-A244-8ECC84CFA47B}"/>
    <cellStyle name="Migliaia 34 3 4 4" xfId="20435" xr:uid="{69C94934-B89D-4203-9AC5-C3CBAD183AF0}"/>
    <cellStyle name="Migliaia 34 3 4 4 2" xfId="39356" xr:uid="{576638C7-AE12-41B7-AF33-F8C820322DE5}"/>
    <cellStyle name="Migliaia 34 3 4 4 3" xfId="44658" xr:uid="{CCD619EB-53FF-42B5-8E4D-76749A5457DF}"/>
    <cellStyle name="Migliaia 34 3 4 4 4" xfId="33846" xr:uid="{C31D6FD7-E827-4E71-86F5-B815B74C9586}"/>
    <cellStyle name="Migliaia 34 3 4 5" xfId="36785" xr:uid="{FB00F9BA-1062-493C-A84B-7CB00779727A}"/>
    <cellStyle name="Migliaia 34 3 4 6" xfId="42007" xr:uid="{132B2B18-43A1-4FC8-B211-E421B7935F44}"/>
    <cellStyle name="Migliaia 34 3 4 7" xfId="16434" xr:uid="{1D8415D4-9E74-41D6-A001-05A56B8C9A7D}"/>
    <cellStyle name="Migliaia 34 3 4 8" xfId="7683" xr:uid="{45E60EBC-AC59-4053-9FCB-E925273E0D11}"/>
    <cellStyle name="Migliaia 34 3 5" xfId="3545" xr:uid="{1D8E9405-A699-4036-9CDB-360D68331B24}"/>
    <cellStyle name="Migliaia 34 3 5 2" xfId="5271" xr:uid="{84FDB9C1-29A7-4962-A13C-701B8297EEE1}"/>
    <cellStyle name="Migliaia 34 3 5 2 2" xfId="35315" xr:uid="{6AB334DB-11F5-457F-88ED-FA01A772B2AE}"/>
    <cellStyle name="Migliaia 34 3 5 2 2 2" xfId="40475" xr:uid="{D260095C-50CE-4234-8D33-AFF0EC9FB642}"/>
    <cellStyle name="Migliaia 34 3 5 2 2 3" xfId="45777" xr:uid="{19BC8E68-9F68-43B8-B484-2EE5022AD58C}"/>
    <cellStyle name="Migliaia 34 3 5 2 3" xfId="37824" xr:uid="{9691BC07-BE32-43D6-98BD-D2A8A8265B1F}"/>
    <cellStyle name="Migliaia 34 3 5 2 4" xfId="43126" xr:uid="{46FE9C2E-58F6-458F-B87C-8F794AAE713E}"/>
    <cellStyle name="Migliaia 34 3 5 2 5" xfId="14262" xr:uid="{6CC7B196-D647-40FC-BADB-CCDCFF035677}"/>
    <cellStyle name="Migliaia 34 3 5 3" xfId="6468" xr:uid="{6BE54B96-0C5D-40E6-B975-DBCF9C65414E}"/>
    <cellStyle name="Migliaia 34 3 5 3 2" xfId="39357" xr:uid="{2AB99CF2-40F4-422D-BA0F-E81906730134}"/>
    <cellStyle name="Migliaia 34 3 5 3 3" xfId="44659" xr:uid="{DE95A251-33D4-4CF1-9D7A-A6A517008729}"/>
    <cellStyle name="Migliaia 34 3 5 3 4" xfId="33847" xr:uid="{13145DF8-84CF-417B-8121-756292DC3A68}"/>
    <cellStyle name="Migliaia 34 3 5 3 5" xfId="20437" xr:uid="{2C2735B0-E709-4D68-929E-935802AB8E19}"/>
    <cellStyle name="Migliaia 34 3 5 4" xfId="36786" xr:uid="{9871999C-FC68-411F-968E-68BF2B3A8C24}"/>
    <cellStyle name="Migliaia 34 3 5 5" xfId="42008" xr:uid="{BA1ECF34-625C-45DC-B3C9-0F14E117600A}"/>
    <cellStyle name="Migliaia 34 3 5 6" xfId="16436" xr:uid="{5D1D6F95-A0D4-45C9-849E-56A08A84F5C4}"/>
    <cellStyle name="Migliaia 34 3 5 7" xfId="8324" xr:uid="{EF3EA36C-48E3-419E-94E8-005CB0BF320E}"/>
    <cellStyle name="Migliaia 34 3 6" xfId="5266" xr:uid="{18763EDC-4C27-43E4-BB74-325938A534EB}"/>
    <cellStyle name="Migliaia 34 3 6 2" xfId="13967" xr:uid="{A961BB2C-3A18-4A65-BC3D-CD4A46500D59}"/>
    <cellStyle name="Migliaia 34 3 6 2 2" xfId="39358" xr:uid="{A81DC99B-BD61-44C4-9C7D-192D34E83D3B}"/>
    <cellStyle name="Migliaia 34 3 6 2 3" xfId="44660" xr:uid="{3990F1AC-8F92-4EDE-8528-51595ED657D9}"/>
    <cellStyle name="Migliaia 34 3 6 3" xfId="18287" xr:uid="{9A824B65-2EE6-49DA-89A0-3C1984F26551}"/>
    <cellStyle name="Migliaia 34 3 6 4" xfId="20438" xr:uid="{8D71C902-B392-4FB8-A6B1-812678CDA7EA}"/>
    <cellStyle name="Migliaia 34 3 6 4 2" xfId="42009" xr:uid="{DEB9DAF7-3532-4826-814B-81B60E214948}"/>
    <cellStyle name="Migliaia 34 3 6 5" xfId="16437" xr:uid="{7C263C05-61E4-45F8-BC13-DF22CBEB7DFF}"/>
    <cellStyle name="Migliaia 34 3 6 6" xfId="7932" xr:uid="{41B9EBC9-9151-4DF2-AA8B-C361D89C1E2E}"/>
    <cellStyle name="Migliaia 34 3 7" xfId="6463" xr:uid="{E244BB2C-58A0-45A9-947F-FE9D080E68B2}"/>
    <cellStyle name="Migliaia 34 3 7 2" xfId="33848" xr:uid="{3C679071-6A77-4AC7-B001-6D65673E63B1}"/>
    <cellStyle name="Migliaia 34 3 7 2 2" xfId="39359" xr:uid="{26D3A9E6-3B38-4D6F-B9C7-D4D927596D0A}"/>
    <cellStyle name="Migliaia 34 3 7 2 3" xfId="44661" xr:uid="{55E16693-9966-4BD4-8B54-E6C1D6BA4718}"/>
    <cellStyle name="Migliaia 34 3 7 3" xfId="36787" xr:uid="{4CFCC0F1-C42B-4E2F-BDA5-73BBFA4B01E9}"/>
    <cellStyle name="Migliaia 34 3 7 4" xfId="42010" xr:uid="{21EBDBE0-E258-442D-82D6-91814A7A93F2}"/>
    <cellStyle name="Migliaia 34 3 7 5" xfId="12281" xr:uid="{42BB648D-FF76-4749-AE22-0B6CB05B45EA}"/>
    <cellStyle name="Migliaia 34 3 8" xfId="3540" xr:uid="{57F49CDF-D5EC-498E-AEB3-A088D33E8E1B}"/>
    <cellStyle name="Migliaia 34 3 8 2" xfId="33849" xr:uid="{D634CE6A-F83E-41EE-991D-8E64C5E08D50}"/>
    <cellStyle name="Migliaia 34 3 8 2 2" xfId="39360" xr:uid="{C56CBC05-E4FF-4E4C-B50D-9A2F4DB9F6AD}"/>
    <cellStyle name="Migliaia 34 3 8 2 3" xfId="44662" xr:uid="{84C64998-0A9F-4B1E-A577-BA470E47C5B2}"/>
    <cellStyle name="Migliaia 34 3 8 3" xfId="36788" xr:uid="{A35A7927-B8FD-45C5-9DE5-531BBA882A95}"/>
    <cellStyle name="Migliaia 34 3 8 4" xfId="42011" xr:uid="{E4B6669C-5B89-4846-B41A-0303F740DE0E}"/>
    <cellStyle name="Migliaia 34 3 8 5" xfId="24804" xr:uid="{B22E6DE4-B80D-418B-8B85-C866402007EB}"/>
    <cellStyle name="Migliaia 34 3 8 6" xfId="17346" xr:uid="{BC0553A9-D722-4D23-A53F-7F31B523727A}"/>
    <cellStyle name="Migliaia 34 3 9" xfId="20429" xr:uid="{F9B49BA6-AB9A-41D0-AF52-460C6B28F6D7}"/>
    <cellStyle name="Migliaia 34 4" xfId="1793" xr:uid="{00000000-0005-0000-0000-0000B8030000}"/>
    <cellStyle name="Migliaia 34 4 2" xfId="1794" xr:uid="{00000000-0005-0000-0000-0000B9030000}"/>
    <cellStyle name="Migliaia 34 4 2 2" xfId="5273" xr:uid="{5391FA8B-CCCE-4A27-B416-630FF6B5EAD3}"/>
    <cellStyle name="Migliaia 34 4 2 2 2" xfId="33850" xr:uid="{84C26CB8-E899-4EDB-A5BC-CAA37790EF5E}"/>
    <cellStyle name="Migliaia 34 4 2 2 2 2" xfId="39361" xr:uid="{4E7EEAAF-289B-4714-B349-04605BF5D887}"/>
    <cellStyle name="Migliaia 34 4 2 2 2 3" xfId="44663" xr:uid="{B31A905B-71AD-451E-8B8F-46E0E52ED655}"/>
    <cellStyle name="Migliaia 34 4 2 2 3" xfId="36789" xr:uid="{33E6111D-748B-4EC3-AAEF-FAEA5B979CBE}"/>
    <cellStyle name="Migliaia 34 4 2 2 4" xfId="42012" xr:uid="{9F1D7BAC-8A4C-4537-80C9-D798519CB697}"/>
    <cellStyle name="Migliaia 34 4 2 2 5" xfId="9162" xr:uid="{E3CE6559-1214-4F94-890C-EF728F969A4A}"/>
    <cellStyle name="Migliaia 34 4 2 3" xfId="3547" xr:uid="{33F31E3C-F248-4D8E-A31F-6F0760878D8B}"/>
    <cellStyle name="Migliaia 34 4 2 3 2" xfId="33851" xr:uid="{5EBBF73D-3C7A-4AA0-BAA6-86D74BD75981}"/>
    <cellStyle name="Migliaia 34 4 2 3 2 2" xfId="39362" xr:uid="{8C036DB8-F0E7-4BA4-98CE-9B30F45DDE57}"/>
    <cellStyle name="Migliaia 34 4 2 3 2 3" xfId="44664" xr:uid="{C7F8BD96-9ED5-4A21-B69D-F3836BC58B17}"/>
    <cellStyle name="Migliaia 34 4 2 3 3" xfId="36790" xr:uid="{C85BF1E0-A5CF-4AD9-A3F3-0630821947E2}"/>
    <cellStyle name="Migliaia 34 4 2 3 4" xfId="42013" xr:uid="{75C0BE7B-6624-4A4F-84B9-AF65475E609A}"/>
    <cellStyle name="Migliaia 34 4 2 3 5" xfId="11997" xr:uid="{E6846BA7-1937-423E-B06C-8A3B578FA1F2}"/>
    <cellStyle name="Migliaia 34 4 2 4" xfId="11346" xr:uid="{E85F6D33-1B87-4320-966E-52A3B7BF545A}"/>
    <cellStyle name="Migliaia 34 4 2 5" xfId="10871" xr:uid="{627096E7-DA7F-4AEE-A1A0-A888A86A8291}"/>
    <cellStyle name="Migliaia 34 4 2 5 2" xfId="21506" xr:uid="{1D4FC610-7416-4C28-ACED-7BCE74C01236}"/>
    <cellStyle name="Migliaia 34 4 2 5 3" xfId="47702" xr:uid="{F8DAA392-5F7D-427B-A8BC-384B57BA99A3}"/>
    <cellStyle name="Migliaia 34 4 2 5 4" xfId="50521" xr:uid="{C4A81215-A68B-4A93-A2C2-D5F2DD0D2A3A}"/>
    <cellStyle name="Migliaia 34 4 2 5 5" xfId="53537" xr:uid="{B5A27F39-2F77-4E96-85E1-2A6BE4A9FBC2}"/>
    <cellStyle name="Migliaia 34 4 2 6" xfId="20440" xr:uid="{40769D0C-50F0-4040-A324-1A0E75742250}"/>
    <cellStyle name="Migliaia 34 4 2 7" xfId="24806" xr:uid="{A0654325-793C-4567-B919-5D52DB24909D}"/>
    <cellStyle name="Migliaia 34 4 2 8" xfId="8646" xr:uid="{F1217321-02C0-4EFF-BD9C-99EE931985DD}"/>
    <cellStyle name="Migliaia 34 4 3" xfId="5272" xr:uid="{F58C1C99-F4DD-4E60-8F93-4974E52AE550}"/>
    <cellStyle name="Migliaia 34 4 3 2" xfId="18217" xr:uid="{B601B266-9DB2-4CA3-B932-326C4225128C}"/>
    <cellStyle name="Migliaia 34 4 3 2 2" xfId="39363" xr:uid="{EF68D26A-973F-4FA2-988C-D657800B6F3D}"/>
    <cellStyle name="Migliaia 34 4 3 2 3" xfId="44665" xr:uid="{F5846DD8-602A-4C75-9CBE-4AC2897E0B69}"/>
    <cellStyle name="Migliaia 34 4 3 3" xfId="36791" xr:uid="{D6DCD062-A080-4126-9F68-B22FB94A0859}"/>
    <cellStyle name="Migliaia 34 4 3 4" xfId="42014" xr:uid="{AB73069F-921A-4ACD-A6E1-4A31726C1F54}"/>
    <cellStyle name="Migliaia 34 4 3 5" xfId="17344" xr:uid="{F8D7C94E-519C-49D5-9F2D-10484D287BD1}"/>
    <cellStyle name="Migliaia 34 4 3 6" xfId="9163" xr:uid="{ACB0D9A2-40D3-4AAA-87FB-D1CEB8179BA2}"/>
    <cellStyle name="Migliaia 34 4 4" xfId="6469" xr:uid="{29789B69-C4F4-47EF-BD01-49ABC9CB3BE2}"/>
    <cellStyle name="Migliaia 34 4 4 2" xfId="33852" xr:uid="{2F214897-9605-4373-B882-C77388CC1CBA}"/>
    <cellStyle name="Migliaia 34 4 4 2 2" xfId="39364" xr:uid="{8C60D851-BAB9-4C1C-9094-0B716CEE5B28}"/>
    <cellStyle name="Migliaia 34 4 4 2 3" xfId="44666" xr:uid="{35BA1DBC-641C-4210-8EED-0F316B8F3FC3}"/>
    <cellStyle name="Migliaia 34 4 4 3" xfId="36792" xr:uid="{F93212A6-F4AD-407F-AAD4-BE02321C75D4}"/>
    <cellStyle name="Migliaia 34 4 4 4" xfId="42015" xr:uid="{4CB15664-3A9C-43CC-9F86-CA54C03E12C0}"/>
    <cellStyle name="Migliaia 34 4 4 5" xfId="11998" xr:uid="{F4DC939B-61D1-460A-AFCC-4840A74DA373}"/>
    <cellStyle name="Migliaia 34 4 5" xfId="3546" xr:uid="{81D3CF87-D62C-4876-ACCA-C9D26F849ED0}"/>
    <cellStyle name="Migliaia 34 4 5 2" xfId="33853" xr:uid="{9EA19D63-A199-4E7E-B0FC-1F132C2B779E}"/>
    <cellStyle name="Migliaia 34 4 5 2 2" xfId="39365" xr:uid="{8927EE17-0BFE-48CC-A1F3-865A77B13F88}"/>
    <cellStyle name="Migliaia 34 4 5 2 3" xfId="44667" xr:uid="{49D2E71A-F853-43FA-BD5B-D795DC392F96}"/>
    <cellStyle name="Migliaia 34 4 5 3" xfId="36793" xr:uid="{30E6F94C-990A-46E0-9109-2B0DB7D51BC2}"/>
    <cellStyle name="Migliaia 34 4 5 4" xfId="42016" xr:uid="{F078B4DC-01DC-4BFB-B5A4-289E10702745}"/>
    <cellStyle name="Migliaia 34 4 5 5" xfId="11345" xr:uid="{ECCA064D-EA1E-41B8-A0D0-B2E584416671}"/>
    <cellStyle name="Migliaia 34 4 6" xfId="10870" xr:uid="{1EB1A9D5-4196-4A20-B54F-D506EC75491F}"/>
    <cellStyle name="Migliaia 34 4 6 2" xfId="21505" xr:uid="{896EB573-E6D5-4815-B88A-CF8197FDC8B1}"/>
    <cellStyle name="Migliaia 34 4 6 2 2" xfId="39366" xr:uid="{E4670957-597A-465A-8130-6CE316515FC6}"/>
    <cellStyle name="Migliaia 34 4 6 2 3" xfId="44668" xr:uid="{026EDA96-940A-4F38-87B6-00D159EDEDB6}"/>
    <cellStyle name="Migliaia 34 4 6 2 4" xfId="33854" xr:uid="{C6705C1E-07F1-4181-8021-7A2ACFF07569}"/>
    <cellStyle name="Migliaia 34 4 6 3" xfId="36794" xr:uid="{402D2CDA-98BF-4FC3-9410-32F7FEFBE52C}"/>
    <cellStyle name="Migliaia 34 4 6 4" xfId="42017" xr:uid="{3F570073-3D61-4AFB-B3E0-590058B82241}"/>
    <cellStyle name="Migliaia 34 4 6 5" xfId="24807" xr:uid="{60E49C58-AE5E-4F6B-98DC-B64EF5C0BE8C}"/>
    <cellStyle name="Migliaia 34 4 6 6" xfId="48546" xr:uid="{58C9EA80-CE6C-423F-A2BD-C288A699A3C1}"/>
    <cellStyle name="Migliaia 34 4 6 7" xfId="50520" xr:uid="{872BF59A-1469-4EB4-8B5B-C700E08D9352}"/>
    <cellStyle name="Migliaia 34 4 6 8" xfId="53536" xr:uid="{024ED4E2-FE0D-4E0F-BE4D-644A114B8839}"/>
    <cellStyle name="Migliaia 34 4 7" xfId="20439" xr:uid="{0A57AFF0-A2C7-40E9-9CA3-3CDD7C98FD7A}"/>
    <cellStyle name="Migliaia 34 4 7 2" xfId="33855" xr:uid="{2505402E-5558-4DAB-BE51-58C306CE756B}"/>
    <cellStyle name="Migliaia 34 4 7 2 2" xfId="39367" xr:uid="{960107BF-C979-4464-BA1F-EF837CE2299F}"/>
    <cellStyle name="Migliaia 34 4 7 2 3" xfId="44669" xr:uid="{A7E2FC78-F031-4A0E-8128-60070394E19B}"/>
    <cellStyle name="Migliaia 34 4 7 3" xfId="36795" xr:uid="{9327EE45-6761-4575-B742-B9E23DCB93F3}"/>
    <cellStyle name="Migliaia 34 4 7 4" xfId="42018" xr:uid="{79AAEF4A-3F74-4D46-8934-F0D6BED353A2}"/>
    <cellStyle name="Migliaia 34 4 7 5" xfId="24808" xr:uid="{FC79501C-E198-48D0-AE63-5458490B8F19}"/>
    <cellStyle name="Migliaia 34 4 8" xfId="24805" xr:uid="{C83230BF-4999-4048-B3ED-96940BF0296A}"/>
    <cellStyle name="Migliaia 34 4 9" xfId="7456" xr:uid="{5E5E2F25-05D7-4F73-A3C9-50B3C056EE65}"/>
    <cellStyle name="Migliaia 34 5" xfId="1795" xr:uid="{00000000-0005-0000-0000-0000BA030000}"/>
    <cellStyle name="Migliaia 34 5 2" xfId="5274" xr:uid="{FBE8A5E5-C5E3-442B-A100-B86B1FA38481}"/>
    <cellStyle name="Migliaia 34 5 2 2" xfId="18445" xr:uid="{73FCA4F5-68D7-4EB1-9D24-C163B086290A}"/>
    <cellStyle name="Migliaia 34 5 2 2 2" xfId="39368" xr:uid="{837DF480-0B5C-4CBA-8CCB-C8CE7417C69E}"/>
    <cellStyle name="Migliaia 34 5 2 2 3" xfId="44670" xr:uid="{CCA8F51A-86EB-488E-978D-3A8E0ED916F9}"/>
    <cellStyle name="Migliaia 34 5 2 3" xfId="20442" xr:uid="{1A0C170F-9366-48B7-A8E1-E00D6990F980}"/>
    <cellStyle name="Migliaia 34 5 2 3 2" xfId="36796" xr:uid="{22F7BF89-A54F-4831-AE48-E60000958DD8}"/>
    <cellStyle name="Migliaia 34 5 2 4" xfId="42019" xr:uid="{AFA51853-41D0-4057-9324-10F8AFAFA7B4}"/>
    <cellStyle name="Migliaia 34 5 2 5" xfId="16438" xr:uid="{67CF872E-BBFB-4CFC-B250-5CCC5997D79D}"/>
    <cellStyle name="Migliaia 34 5 2 6" xfId="8647" xr:uid="{582F8BF8-9EDA-4161-8A15-5F4973BA855C}"/>
    <cellStyle name="Migliaia 34 5 3" xfId="6470" xr:uid="{D2875655-9A19-49BD-B7D3-E1CC7EC27C6D}"/>
    <cellStyle name="Migliaia 34 5 3 2" xfId="33856" xr:uid="{EF018503-C136-4280-BB74-CA79967786B5}"/>
    <cellStyle name="Migliaia 34 5 3 2 2" xfId="39369" xr:uid="{C479B8E4-BE4E-4CB5-BE21-BD30C62FBFE6}"/>
    <cellStyle name="Migliaia 34 5 3 2 3" xfId="44671" xr:uid="{FB2256B8-115A-45F2-9AB9-DA80CB154DAD}"/>
    <cellStyle name="Migliaia 34 5 3 3" xfId="36797" xr:uid="{D4EE71CD-1841-453B-A080-AE7E36DC8983}"/>
    <cellStyle name="Migliaia 34 5 3 4" xfId="42020" xr:uid="{50AF2744-1AB0-4BD4-9C85-72CC813A75D7}"/>
    <cellStyle name="Migliaia 34 5 3 5" xfId="11347" xr:uid="{24C449A1-69B2-42C3-8CE9-24F441C3219D}"/>
    <cellStyle name="Migliaia 34 5 4" xfId="3548" xr:uid="{D194646A-0E18-4E1A-8E48-D1437967D5B9}"/>
    <cellStyle name="Migliaia 34 5 4 2" xfId="21507" xr:uid="{30AF8E55-AC3F-4E48-AD6F-9E1082B5DF88}"/>
    <cellStyle name="Migliaia 34 5 4 2 2" xfId="39370" xr:uid="{08599CC6-4156-42BF-8D81-541ECCF74432}"/>
    <cellStyle name="Migliaia 34 5 4 2 3" xfId="44672" xr:uid="{1BF43E0C-233D-4FE8-B289-0F839FCC50EE}"/>
    <cellStyle name="Migliaia 34 5 4 2 4" xfId="33857" xr:uid="{D89413F6-EE2E-4A7D-9344-206EAF605C25}"/>
    <cellStyle name="Migliaia 34 5 4 3" xfId="36798" xr:uid="{51CF0855-8537-42C6-B18F-E6290EF31F0C}"/>
    <cellStyle name="Migliaia 34 5 4 4" xfId="42021" xr:uid="{4471DEA9-9AB9-4286-840E-64E776061940}"/>
    <cellStyle name="Migliaia 34 5 4 5" xfId="24810" xr:uid="{D9E0AA1B-170F-4F29-862B-1B18434861BC}"/>
    <cellStyle name="Migliaia 34 5 4 6" xfId="48238" xr:uid="{3AED3827-8653-4447-A121-555051684A36}"/>
    <cellStyle name="Migliaia 34 5 4 7" xfId="50522" xr:uid="{7D9C6CA9-0BA8-421F-A9BB-2867F92C3225}"/>
    <cellStyle name="Migliaia 34 5 4 8" xfId="53538" xr:uid="{5B5CA80A-471A-49C9-8B0A-D87253997A30}"/>
    <cellStyle name="Migliaia 34 5 4 9" xfId="10872" xr:uid="{A60D6AB7-87E6-4BC8-82F4-9E3CE7CC67D7}"/>
    <cellStyle name="Migliaia 34 5 5" xfId="20441" xr:uid="{ADF42C51-FFCE-4A80-A81E-B468A120EFF5}"/>
    <cellStyle name="Migliaia 34 5 5 2" xfId="33858" xr:uid="{2F2532C1-F7D0-4530-8AB9-072D421373E2}"/>
    <cellStyle name="Migliaia 34 5 5 2 2" xfId="39371" xr:uid="{E6618587-1B54-4BE0-B232-B8D51D6BADD0}"/>
    <cellStyle name="Migliaia 34 5 5 2 3" xfId="44673" xr:uid="{204AA2F5-FE1D-4221-8457-AEC08DF5031D}"/>
    <cellStyle name="Migliaia 34 5 5 3" xfId="36799" xr:uid="{54F37523-E72A-45FA-A64A-39800B351710}"/>
    <cellStyle name="Migliaia 34 5 5 4" xfId="42022" xr:uid="{75820485-45AD-44C7-8599-752AECD29073}"/>
    <cellStyle name="Migliaia 34 5 5 5" xfId="24811" xr:uid="{F515760E-185C-4A9A-8968-008DCCA26C71}"/>
    <cellStyle name="Migliaia 34 5 6" xfId="24812" xr:uid="{5055A003-72C5-4BB0-A97D-28F5D61B5742}"/>
    <cellStyle name="Migliaia 34 5 6 2" xfId="33859" xr:uid="{D3E9C3D3-13BC-4A24-A8A7-47A190F3A64B}"/>
    <cellStyle name="Migliaia 34 5 6 2 2" xfId="39372" xr:uid="{0592D6C3-18C5-4A01-B1CD-04F5230C0304}"/>
    <cellStyle name="Migliaia 34 5 6 2 3" xfId="44674" xr:uid="{63628A63-B1A6-4716-8108-969475FD23DF}"/>
    <cellStyle name="Migliaia 34 5 6 3" xfId="36800" xr:uid="{083B3618-2270-4178-80A1-584A46BA2839}"/>
    <cellStyle name="Migliaia 34 5 6 4" xfId="42023" xr:uid="{187DF888-623F-43FD-99C9-22F84A14FF34}"/>
    <cellStyle name="Migliaia 34 5 7" xfId="24809" xr:uid="{957807A6-2521-49E2-9739-0880E568826C}"/>
    <cellStyle name="Migliaia 34 5 8" xfId="7457" xr:uid="{4DF1E9CC-A6CD-423B-953B-719E488E7034}"/>
    <cellStyle name="Migliaia 34 6" xfId="3549" xr:uid="{A4050135-B0DE-4841-AB5C-AC54FF248931}"/>
    <cellStyle name="Migliaia 34 6 2" xfId="5275" xr:uid="{2B418228-5F27-43B2-B33C-0C35450C61D9}"/>
    <cellStyle name="Migliaia 34 6 2 2" xfId="9935" xr:uid="{812A7DF7-9F4D-49A3-9CD7-7860D53FDB07}"/>
    <cellStyle name="Migliaia 34 6 2 3" xfId="18653" xr:uid="{AE4187EB-D8EE-4F1F-9957-C97D02512D16}"/>
    <cellStyle name="Migliaia 34 6 2 4" xfId="20444" xr:uid="{EA91DEE0-77F3-4087-87E6-40394CA30DF0}"/>
    <cellStyle name="Migliaia 34 6 2 5" xfId="32386" xr:uid="{0C924C2C-0A87-40A3-85F4-C1DF474B4F95}"/>
    <cellStyle name="Migliaia 34 6 2 6" xfId="16440" xr:uid="{34EEBBCA-AD96-45A9-B0BB-089BCDEE895F}"/>
    <cellStyle name="Migliaia 34 6 2 7" xfId="8642" xr:uid="{2E7B403C-8E52-49D3-A871-A9FA3FFF883F}"/>
    <cellStyle name="Migliaia 34 6 3" xfId="6471" xr:uid="{C9CA7FC3-6BC4-49BE-9E41-E066AEB410A7}"/>
    <cellStyle name="Migliaia 34 6 3 2" xfId="35316" xr:uid="{0F0EC4F0-EB03-4296-9ABA-3FE4CFC8F351}"/>
    <cellStyle name="Migliaia 34 6 3 2 2" xfId="40476" xr:uid="{DB9A956E-C1FC-4634-95CF-69289B229B07}"/>
    <cellStyle name="Migliaia 34 6 3 2 3" xfId="45778" xr:uid="{C701858A-C87C-4BC6-BBF9-E56118BA7EE7}"/>
    <cellStyle name="Migliaia 34 6 3 3" xfId="37825" xr:uid="{9741F9B9-6DFB-4192-80A9-648318E32CF9}"/>
    <cellStyle name="Migliaia 34 6 3 4" xfId="43127" xr:uid="{02D55158-EC9A-423B-8D94-72FB9F46CA50}"/>
    <cellStyle name="Migliaia 34 6 3 5" xfId="9698" xr:uid="{B0E61DAD-A9BA-4FEA-ABC1-38A2B0AB66A1}"/>
    <cellStyle name="Migliaia 34 6 4" xfId="20443" xr:uid="{C6A76169-8CD5-47D1-858C-0E4E3EF96186}"/>
    <cellStyle name="Migliaia 34 6 4 2" xfId="39373" xr:uid="{27DD12C1-57E9-4C0A-843E-276A9D2898B9}"/>
    <cellStyle name="Migliaia 34 6 4 3" xfId="44675" xr:uid="{440719D0-BF0F-4B7D-85EB-FF19F75F9424}"/>
    <cellStyle name="Migliaia 34 6 4 4" xfId="33860" xr:uid="{5A37D7A2-5C53-408C-BE04-85535DEFB90B}"/>
    <cellStyle name="Migliaia 34 6 5" xfId="36801" xr:uid="{3EFFC2C1-C485-4F35-8C40-1E570BBA1340}"/>
    <cellStyle name="Migliaia 34 6 6" xfId="42024" xr:uid="{B5AFAA31-1074-4E46-B6DF-9A8D29FA53ED}"/>
    <cellStyle name="Migliaia 34 6 7" xfId="16439" xr:uid="{6ABD409D-9B29-4164-B77F-B207EB2A2A7F}"/>
    <cellStyle name="Migliaia 34 6 8" xfId="7452" xr:uid="{6E7A8FF3-4B21-42BC-B706-A3B34A64CC37}"/>
    <cellStyle name="Migliaia 34 7" xfId="3550" xr:uid="{A05EB219-69C9-4C79-B9AE-C21992F1CF7C}"/>
    <cellStyle name="Migliaia 34 7 2" xfId="5276" xr:uid="{A4414389-45DD-4A9C-A288-350F9D91AA13}"/>
    <cellStyle name="Migliaia 34 7 2 2" xfId="35317" xr:uid="{6486D916-657C-4F91-A8D1-4534C0091EA5}"/>
    <cellStyle name="Migliaia 34 7 2 2 2" xfId="40477" xr:uid="{8C3BEE34-EBA2-480A-AD59-F16E9328F56C}"/>
    <cellStyle name="Migliaia 34 7 2 2 3" xfId="45779" xr:uid="{80C296EA-E357-4176-ABDA-E840D2D7B9FD}"/>
    <cellStyle name="Migliaia 34 7 2 3" xfId="37826" xr:uid="{E28F8DC9-5FAA-4453-B2B8-882F4E06519E}"/>
    <cellStyle name="Migliaia 34 7 2 4" xfId="43128" xr:uid="{D6DD0DB1-1FA7-46CE-B406-C2B7E5840C8A}"/>
    <cellStyle name="Migliaia 34 7 2 5" xfId="14260" xr:uid="{F9A61114-7A1A-4AF1-B856-5A5870CEB3E1}"/>
    <cellStyle name="Migliaia 34 7 3" xfId="6472" xr:uid="{98CCE90A-9C92-410C-84D8-08EC10B6E0C5}"/>
    <cellStyle name="Migliaia 34 7 3 2" xfId="39374" xr:uid="{006476AB-E71F-479C-96D6-D988AD6BC7FA}"/>
    <cellStyle name="Migliaia 34 7 3 3" xfId="44676" xr:uid="{0E5D9334-C3D7-4562-856E-1FD702647FCB}"/>
    <cellStyle name="Migliaia 34 7 3 4" xfId="33861" xr:uid="{DA1B4B09-566C-4033-BD7E-CE3944129414}"/>
    <cellStyle name="Migliaia 34 7 3 5" xfId="20445" xr:uid="{527DAD53-96DB-4931-9960-9DDAE78F9364}"/>
    <cellStyle name="Migliaia 34 7 4" xfId="36802" xr:uid="{E006328D-AF35-4666-84CB-A76795D64814}"/>
    <cellStyle name="Migliaia 34 7 5" xfId="42025" xr:uid="{2FB1333E-5EF3-4741-B3DE-B422AC22DCD6}"/>
    <cellStyle name="Migliaia 34 7 6" xfId="16441" xr:uid="{3B639952-A3AA-43C0-9478-36DF6B2031B8}"/>
    <cellStyle name="Migliaia 34 7 7" xfId="8322" xr:uid="{14277FB3-B855-469E-8ABA-FCF71B7CDF50}"/>
    <cellStyle name="Migliaia 34 8" xfId="3551" xr:uid="{2516E43D-BD86-4BF0-AF11-AE0FECD83967}"/>
    <cellStyle name="Migliaia 34 8 2" xfId="5277" xr:uid="{BA21AC21-14EC-4A6C-A371-5BE7F2FB1F33}"/>
    <cellStyle name="Migliaia 34 8 2 2" xfId="35318" xr:uid="{8FFD30DB-DD10-435D-9292-EA5BD49BA11A}"/>
    <cellStyle name="Migliaia 34 8 2 2 2" xfId="40478" xr:uid="{6A94FB3C-D2C6-4F40-9EB7-9494203B2C2B}"/>
    <cellStyle name="Migliaia 34 8 2 2 3" xfId="45780" xr:uid="{B10BB6C6-9B11-44D3-9D51-BA63D5C56807}"/>
    <cellStyle name="Migliaia 34 8 2 3" xfId="37827" xr:uid="{5BA62EEF-2E7C-492D-8950-3C98A3A6C9F9}"/>
    <cellStyle name="Migliaia 34 8 2 4" xfId="43129" xr:uid="{E96616A9-2C47-44D0-ADDD-A87F6B3840AD}"/>
    <cellStyle name="Migliaia 34 8 2 5" xfId="13965" xr:uid="{B2A47B36-ECA9-4E26-A8EB-FFA3BBAEDCAD}"/>
    <cellStyle name="Migliaia 34 8 3" xfId="6473" xr:uid="{9E733782-29FA-4D3A-9EEE-21832632F75D}"/>
    <cellStyle name="Migliaia 34 8 3 2" xfId="39375" xr:uid="{05F259BC-6FDB-480A-BB01-CFFE3098DC45}"/>
    <cellStyle name="Migliaia 34 8 3 3" xfId="44677" xr:uid="{CC5B50BE-73BE-4DA8-A51A-C5A437A5056E}"/>
    <cellStyle name="Migliaia 34 8 3 4" xfId="33862" xr:uid="{77397314-765B-4986-9AA6-15256AE124FB}"/>
    <cellStyle name="Migliaia 34 8 3 5" xfId="20446" xr:uid="{E7154CE7-4EFC-485F-A879-048DE4206689}"/>
    <cellStyle name="Migliaia 34 8 4" xfId="36803" xr:uid="{D1609BC7-5BBE-4D0B-B2F1-CFBA0F7DF2F7}"/>
    <cellStyle name="Migliaia 34 8 5" xfId="42026" xr:uid="{F85460A4-3526-4CB7-899D-CEB57BEA37BF}"/>
    <cellStyle name="Migliaia 34 8 6" xfId="16442" xr:uid="{58F8F101-F3CF-44D8-8B2E-0C6E05B8C199}"/>
    <cellStyle name="Migliaia 34 8 7" xfId="7930" xr:uid="{863A9140-ED79-47AA-B544-ADF83C677FBD}"/>
    <cellStyle name="Migliaia 34 9" xfId="5262" xr:uid="{07A759CF-0333-432A-A54E-E9C8E9254EEE}"/>
    <cellStyle name="Migliaia 34 9 2" xfId="33863" xr:uid="{1FF04FB2-5B2E-4722-BCA2-D15A906173E9}"/>
    <cellStyle name="Migliaia 34 9 2 2" xfId="39376" xr:uid="{E4B7D7A2-5C68-42CB-90E1-7108D454F686}"/>
    <cellStyle name="Migliaia 34 9 2 3" xfId="44678" xr:uid="{F64D7F0E-239F-48F6-B276-31F100E0B81B}"/>
    <cellStyle name="Migliaia 34 9 3" xfId="36804" xr:uid="{6F72162D-D305-4909-9C24-C2E804D43691}"/>
    <cellStyle name="Migliaia 34 9 4" xfId="42027" xr:uid="{0E3A3ACB-BB53-455D-B052-1572AAF3E1E4}"/>
    <cellStyle name="Migliaia 34 9 5" xfId="17189" xr:uid="{90494DE3-0DE7-4561-952B-8C74B3B3C7AB}"/>
    <cellStyle name="Migliaia 35" xfId="413" xr:uid="{00000000-0005-0000-0000-0000BB030000}"/>
    <cellStyle name="Migliaia 35 10" xfId="6474" xr:uid="{5E8EE2AD-923A-4CF6-A96C-388B3E81A18C}"/>
    <cellStyle name="Migliaia 35 10 2" xfId="39377" xr:uid="{77F5B681-A036-401C-94DC-00A325914524}"/>
    <cellStyle name="Migliaia 35 10 3" xfId="44679" xr:uid="{762C4F49-7876-4D7C-AA32-3DDB0F2921D7}"/>
    <cellStyle name="Migliaia 35 10 4" xfId="33864" xr:uid="{7791F643-8398-43B4-A86D-B064C7575E03}"/>
    <cellStyle name="Migliaia 35 10 5" xfId="20447" xr:uid="{BC855C4C-046F-493C-9C82-0F6BE05AF98F}"/>
    <cellStyle name="Migliaia 35 11" xfId="3552" xr:uid="{A2C4153E-04F0-4796-8878-0E68B1BA565A}"/>
    <cellStyle name="Migliaia 35 11 2" xfId="36805" xr:uid="{55034F17-FF7E-41A2-9E81-DFD8AE51DF86}"/>
    <cellStyle name="Migliaia 35 12" xfId="42028" xr:uid="{1B6D8A76-7966-4E71-8AA5-971DD5888893}"/>
    <cellStyle name="Migliaia 35 13" xfId="7126" xr:uid="{EC694870-57D8-4C1B-922E-8F51E88F455B}"/>
    <cellStyle name="Migliaia 35 2" xfId="414" xr:uid="{00000000-0005-0000-0000-0000BC030000}"/>
    <cellStyle name="Migliaia 35 2 2" xfId="1796" xr:uid="{00000000-0005-0000-0000-0000BD030000}"/>
    <cellStyle name="Migliaia 35 2 2 2" xfId="5280" xr:uid="{D91C8997-071C-402F-AF4F-87F3AD810429}"/>
    <cellStyle name="Migliaia 35 2 2 2 2" xfId="14391" xr:uid="{DE1DD194-BCFC-4AEB-98DA-613C35801332}"/>
    <cellStyle name="Migliaia 35 2 2 2 2 2" xfId="39378" xr:uid="{963EC4AB-CED9-4395-BDE0-329DB5991940}"/>
    <cellStyle name="Migliaia 35 2 2 2 2 3" xfId="44680" xr:uid="{D48753D4-D467-4EE3-A285-BC5A2E354C2E}"/>
    <cellStyle name="Migliaia 35 2 2 2 3" xfId="18446" xr:uid="{3B843E64-D2DE-437B-B670-31F51D071EE5}"/>
    <cellStyle name="Migliaia 35 2 2 2 4" xfId="20450" xr:uid="{50AF5A35-589B-4B25-AEC0-0AED425C3373}"/>
    <cellStyle name="Migliaia 35 2 2 2 4 2" xfId="42029" xr:uid="{008B3FD9-9F2C-440C-895E-049EBB362721}"/>
    <cellStyle name="Migliaia 35 2 2 2 5" xfId="16443" xr:uid="{44FEEC91-A898-49B9-AE64-7CC32F9001B2}"/>
    <cellStyle name="Migliaia 35 2 2 2 6" xfId="8649" xr:uid="{9B86FB4E-E1BA-4BA2-B374-773F5769F823}"/>
    <cellStyle name="Migliaia 35 2 2 3" xfId="6476" xr:uid="{796E9B4A-A2C7-4A9C-8086-73D6DA79EDC3}"/>
    <cellStyle name="Migliaia 35 2 2 3 2" xfId="35319" xr:uid="{2D908C5E-75B5-469F-BE92-3ABEF472707F}"/>
    <cellStyle name="Migliaia 35 2 2 3 2 2" xfId="40479" xr:uid="{3674F48D-65B5-457C-B375-6EEBE409431B}"/>
    <cellStyle name="Migliaia 35 2 2 3 2 3" xfId="45781" xr:uid="{F4B78F88-D503-4356-B3B9-A10634FDB62A}"/>
    <cellStyle name="Migliaia 35 2 2 3 3" xfId="37828" xr:uid="{83B6F494-728B-403E-B8F3-F45AC06C591F}"/>
    <cellStyle name="Migliaia 35 2 2 3 4" xfId="43130" xr:uid="{FF77F690-B945-4920-9F2E-041D64238794}"/>
    <cellStyle name="Migliaia 35 2 2 3 5" xfId="11618" xr:uid="{8FCB09D0-A3B7-4A57-8D5B-5349CC487A6C}"/>
    <cellStyle name="Migliaia 35 2 2 4" xfId="3554" xr:uid="{7611F970-05F1-425C-8D02-A0B4B1BC6A6F}"/>
    <cellStyle name="Migliaia 35 2 2 4 2" xfId="21508" xr:uid="{E5A19F52-45F3-4AA8-B4F8-22F16C6EE589}"/>
    <cellStyle name="Migliaia 35 2 2 4 3" xfId="46247" xr:uid="{7B4FE4D4-C946-473B-B0DE-D4393F0554C7}"/>
    <cellStyle name="Migliaia 35 2 2 4 4" xfId="50523" xr:uid="{C9F7D22D-2B9C-48F8-AC64-E405D1993D83}"/>
    <cellStyle name="Migliaia 35 2 2 4 5" xfId="53539" xr:uid="{216627CB-4D3A-4335-A773-972D323D4426}"/>
    <cellStyle name="Migliaia 35 2 2 4 6" xfId="10873" xr:uid="{387FB7EC-BF04-41E4-B248-9D4C894D7615}"/>
    <cellStyle name="Migliaia 35 2 2 5" xfId="20449" xr:uid="{644D77EF-BDDB-48AE-876E-C9E1E1BBEFA1}"/>
    <cellStyle name="Migliaia 35 2 2 6" xfId="24814" xr:uid="{8C315959-E40A-4BE9-A1FA-6CC62F6F1466}"/>
    <cellStyle name="Migliaia 35 2 2 7" xfId="7459" xr:uid="{3705F4ED-DB67-4D88-9819-A4A6E9F00150}"/>
    <cellStyle name="Migliaia 35 2 3" xfId="3555" xr:uid="{735A83D0-CBDF-4667-901D-3E1301A0BA73}"/>
    <cellStyle name="Migliaia 35 2 3 2" xfId="5281" xr:uid="{9583A51E-53EF-48B4-A43F-397081413C15}"/>
    <cellStyle name="Migliaia 35 2 3 2 2" xfId="35320" xr:uid="{41E6C18E-D620-44CC-B461-1D8C1269134F}"/>
    <cellStyle name="Migliaia 35 2 3 2 2 2" xfId="40480" xr:uid="{57495D87-6532-4F30-AFF1-EF7838DB0F23}"/>
    <cellStyle name="Migliaia 35 2 3 2 2 3" xfId="45782" xr:uid="{84C60893-A05F-43BE-AC31-6F6393A51863}"/>
    <cellStyle name="Migliaia 35 2 3 2 3" xfId="37829" xr:uid="{7E067611-536E-4F64-B501-2283FAA325A0}"/>
    <cellStyle name="Migliaia 35 2 3 2 4" xfId="43131" xr:uid="{D79B66AD-8031-474D-A569-9B4B2A1332FF}"/>
    <cellStyle name="Migliaia 35 2 3 2 5" xfId="14264" xr:uid="{B3141938-EEBD-418B-BD63-2F9EF3984C86}"/>
    <cellStyle name="Migliaia 35 2 3 3" xfId="6477" xr:uid="{E4706E82-4662-47FE-8449-97DC14D5B5E1}"/>
    <cellStyle name="Migliaia 35 2 3 3 2" xfId="39379" xr:uid="{41607027-28E7-4CB2-A5DE-ACFDD50DDC4C}"/>
    <cellStyle name="Migliaia 35 2 3 3 3" xfId="44681" xr:uid="{4F88E875-8827-455B-8740-B274207D50D7}"/>
    <cellStyle name="Migliaia 35 2 3 3 4" xfId="33865" xr:uid="{887B5746-5A62-4337-A8F2-44D994EBE61F}"/>
    <cellStyle name="Migliaia 35 2 3 3 5" xfId="20451" xr:uid="{8213F54D-8251-479C-980C-C1F1D196407A}"/>
    <cellStyle name="Migliaia 35 2 3 4" xfId="36806" xr:uid="{48EC64E7-729B-4C4C-B31C-6E7DE9695DDD}"/>
    <cellStyle name="Migliaia 35 2 3 5" xfId="42030" xr:uid="{DE062D24-17F3-4DCC-A76A-0528F8743EC3}"/>
    <cellStyle name="Migliaia 35 2 3 6" xfId="16444" xr:uid="{B18A3EDE-5802-4429-95DC-26BBEA4B4970}"/>
    <cellStyle name="Migliaia 35 2 3 7" xfId="8326" xr:uid="{829E2E8B-2A1C-45F1-85E4-AD280DC73435}"/>
    <cellStyle name="Migliaia 35 2 4" xfId="5279" xr:uid="{0A098892-74DA-46E1-A4A8-3FB79835AA39}"/>
    <cellStyle name="Migliaia 35 2 4 2" xfId="13969" xr:uid="{12BC6788-71A0-4E1D-A88F-9194B200245B}"/>
    <cellStyle name="Migliaia 35 2 4 2 2" xfId="39380" xr:uid="{6F1C4E3E-46A2-4129-8B90-63A9ED13882E}"/>
    <cellStyle name="Migliaia 35 2 4 2 3" xfId="44682" xr:uid="{78308EAE-CE56-4DD0-93F7-345F0BA69FBA}"/>
    <cellStyle name="Migliaia 35 2 4 3" xfId="18021" xr:uid="{2A2986B1-3265-4AFE-9CBB-B2ABC5BFF31E}"/>
    <cellStyle name="Migliaia 35 2 4 4" xfId="20452" xr:uid="{66FADBFA-0CB1-4E5D-9900-649B71215C72}"/>
    <cellStyle name="Migliaia 35 2 4 4 2" xfId="42031" xr:uid="{75E77C1E-C2E3-45B5-9957-A0D073973763}"/>
    <cellStyle name="Migliaia 35 2 4 5" xfId="16445" xr:uid="{1FD36A6C-F491-4796-A312-8BD8D4DD436F}"/>
    <cellStyle name="Migliaia 35 2 4 6" xfId="7935" xr:uid="{D7F516DA-FC9F-4EAC-B41D-6AC00F6A7973}"/>
    <cellStyle name="Migliaia 35 2 5" xfId="6475" xr:uid="{0D91610C-F8B9-4AC7-9F51-362E6C89B5A8}"/>
    <cellStyle name="Migliaia 35 2 5 2" xfId="33866" xr:uid="{B1919B6D-0210-4CE4-8764-EB18643BF6B4}"/>
    <cellStyle name="Migliaia 35 2 5 2 2" xfId="39381" xr:uid="{DA510980-66D0-4422-AD18-621962041104}"/>
    <cellStyle name="Migliaia 35 2 5 2 3" xfId="44683" xr:uid="{50F4BEC7-E25A-47E9-B001-E3AF6FB6A69A}"/>
    <cellStyle name="Migliaia 35 2 5 3" xfId="36807" xr:uid="{5D446B2F-653F-45EB-8399-F9B796E8BD95}"/>
    <cellStyle name="Migliaia 35 2 5 4" xfId="42032" xr:uid="{0BADF6A2-8CDE-454B-8C98-4DB307584EA2}"/>
    <cellStyle name="Migliaia 35 2 5 5" xfId="13131" xr:uid="{D23204D7-52DE-4242-9A10-244B754E6223}"/>
    <cellStyle name="Migliaia 35 2 6" xfId="3553" xr:uid="{BC481983-8460-4ED6-9994-A4677B75F917}"/>
    <cellStyle name="Migliaia 35 2 6 2" xfId="33867" xr:uid="{4B2051DB-3C37-4C6A-AD10-EDC71D55ACB7}"/>
    <cellStyle name="Migliaia 35 2 6 2 2" xfId="39382" xr:uid="{DD1667E6-7F94-44A5-B32E-3A3F565BCE93}"/>
    <cellStyle name="Migliaia 35 2 6 2 3" xfId="44684" xr:uid="{EA7470FC-D11A-43EA-BCBF-12A32BDE48EA}"/>
    <cellStyle name="Migliaia 35 2 6 3" xfId="36808" xr:uid="{1DBCC62E-E72F-48A8-BBAB-3ED756C7E052}"/>
    <cellStyle name="Migliaia 35 2 6 4" xfId="42033" xr:uid="{1475F5C6-435E-4951-9F2A-544C768E0A24}"/>
    <cellStyle name="Migliaia 35 2 6 5" xfId="24815" xr:uid="{4A87D500-1831-4923-BA30-E21EE51B06A4}"/>
    <cellStyle name="Migliaia 35 2 6 6" xfId="20448" xr:uid="{858602A7-6C4F-480B-B56E-32CBEB085109}"/>
    <cellStyle name="Migliaia 35 2 7" xfId="24813" xr:uid="{18892CC6-8D06-4BFD-805B-9DA30D65FB05}"/>
    <cellStyle name="Migliaia 35 2 8" xfId="7127" xr:uid="{916B2BD9-0200-4E11-8EF0-4022501C1DF8}"/>
    <cellStyle name="Migliaia 35 3" xfId="415" xr:uid="{00000000-0005-0000-0000-0000BE030000}"/>
    <cellStyle name="Migliaia 35 3 10" xfId="24816" xr:uid="{21452590-8446-4837-B102-F66C02AB105A}"/>
    <cellStyle name="Migliaia 35 3 11" xfId="16446" xr:uid="{D7BB18A7-F0AC-4048-AD1F-7B5DF6C6E44D}"/>
    <cellStyle name="Migliaia 35 3 12" xfId="7128" xr:uid="{83C77325-15F5-4BFE-AB0C-253095F91D8F}"/>
    <cellStyle name="Migliaia 35 3 2" xfId="416" xr:uid="{00000000-0005-0000-0000-0000BF030000}"/>
    <cellStyle name="Migliaia 35 3 2 2" xfId="1797" xr:uid="{00000000-0005-0000-0000-0000C0030000}"/>
    <cellStyle name="Migliaia 35 3 2 2 2" xfId="5284" xr:uid="{570125C3-CC86-4BCF-B664-273222561AEE}"/>
    <cellStyle name="Migliaia 35 3 2 2 2 2" xfId="18447" xr:uid="{D5D8A4D7-A19B-46CC-A876-40F2FF022B04}"/>
    <cellStyle name="Migliaia 35 3 2 2 2 2 2" xfId="21869" xr:uid="{C8017B47-8DCD-45F4-8DAA-A91B012C3DB1}"/>
    <cellStyle name="Migliaia 35 3 2 2 2 2 2 2" xfId="39383" xr:uid="{907AFF2E-14D8-444F-B81D-FC5944D6F427}"/>
    <cellStyle name="Migliaia 35 3 2 2 2 2 3" xfId="44685" xr:uid="{33161880-438C-418F-8821-99F5F0EE2D61}"/>
    <cellStyle name="Migliaia 35 3 2 2 2 2 4" xfId="33868" xr:uid="{0CEE0A2B-13BA-49D5-9AEA-242DACF98F1C}"/>
    <cellStyle name="Migliaia 35 3 2 2 2 3" xfId="36809" xr:uid="{80C1C054-E355-4664-A83C-462289203A52}"/>
    <cellStyle name="Migliaia 35 3 2 2 2 4" xfId="42034" xr:uid="{F14574FA-E5DE-4496-938F-A99F9B80FBF1}"/>
    <cellStyle name="Migliaia 35 3 2 2 2 5" xfId="47611" xr:uid="{A105E5D5-2331-4AC3-94A3-1EF986F26266}"/>
    <cellStyle name="Migliaia 35 3 2 2 2 6" xfId="50897" xr:uid="{7DB0F916-3032-4919-A1A5-C0214FD0B3A1}"/>
    <cellStyle name="Migliaia 35 3 2 2 2 7" xfId="53913" xr:uid="{27C3BE17-A091-4851-A91A-759EC9593483}"/>
    <cellStyle name="Migliaia 35 3 2 2 2 8" xfId="17666" xr:uid="{418A6C7D-78BC-4DE9-9E2F-C1DD436BA3F3}"/>
    <cellStyle name="Migliaia 35 3 2 2 2 9" xfId="11999" xr:uid="{F940BB75-37D5-40AE-AD2F-B05C4A2496EA}"/>
    <cellStyle name="Migliaia 35 3 2 2 3" xfId="6480" xr:uid="{9B33733F-A593-4818-8B26-09BC9DC3A15A}"/>
    <cellStyle name="Migliaia 35 3 2 2 3 2" xfId="11563" xr:uid="{3B339CFA-A29D-42C9-BD5C-5BD0E82F55CC}"/>
    <cellStyle name="Migliaia 35 3 2 2 4" xfId="3558" xr:uid="{7192D9CE-6817-4368-B7FC-DF236BCB5CC6}"/>
    <cellStyle name="Migliaia 35 3 2 2 4 2" xfId="21509" xr:uid="{3D911A51-C490-4EAB-A8DF-C717EE0F3416}"/>
    <cellStyle name="Migliaia 35 3 2 2 4 3" xfId="47601" xr:uid="{8565670B-4EF7-4612-9B7A-E3E922C90B8B}"/>
    <cellStyle name="Migliaia 35 3 2 2 4 4" xfId="50524" xr:uid="{04A2A048-FDB2-425B-A5A5-62555F8C26F8}"/>
    <cellStyle name="Migliaia 35 3 2 2 4 5" xfId="53540" xr:uid="{3FB2AB20-15E5-4B1A-BFDD-CA7AA16E7774}"/>
    <cellStyle name="Migliaia 35 3 2 2 4 6" xfId="10874" xr:uid="{71B71F1D-33E9-4D72-8B7E-99E74EEC545B}"/>
    <cellStyle name="Migliaia 35 3 2 2 5" xfId="20455" xr:uid="{A45B5FF3-5B86-4DCE-BB89-024793FBB042}"/>
    <cellStyle name="Migliaia 35 3 2 2 6" xfId="24818" xr:uid="{60210EB7-6D1A-4E9E-B84C-7AE66BF0B260}"/>
    <cellStyle name="Migliaia 35 3 2 2 7" xfId="8651" xr:uid="{B10DFE34-F218-47B8-ACA5-B36F09EA0C9C}"/>
    <cellStyle name="Migliaia 35 3 2 3" xfId="5283" xr:uid="{C3B91AD6-33D9-4309-A84F-799EAC910A24}"/>
    <cellStyle name="Migliaia 35 3 2 3 2" xfId="12409" xr:uid="{1CD74651-C857-495D-8F85-7A369AAF05CC}"/>
    <cellStyle name="Migliaia 35 3 2 3 2 2" xfId="39384" xr:uid="{F80BA1E3-30B1-4EED-902F-FD6DDD194EEA}"/>
    <cellStyle name="Migliaia 35 3 2 3 2 3" xfId="44686" xr:uid="{A2032B12-5A91-42E6-8AFE-658BE07DA04B}"/>
    <cellStyle name="Migliaia 35 3 2 3 2 4" xfId="33869" xr:uid="{E3D9FC44-827A-4156-91A0-5B3F9C4CADA4}"/>
    <cellStyle name="Migliaia 35 3 2 3 3" xfId="12000" xr:uid="{B66ECE21-0164-4001-B395-C598ECA47C22}"/>
    <cellStyle name="Migliaia 35 3 2 3 4" xfId="20456" xr:uid="{42D8B7A0-EDD9-45EF-927E-633E83ADEDD6}"/>
    <cellStyle name="Migliaia 35 3 2 3 4 2" xfId="42035" xr:uid="{5CC4829F-FCCD-47B4-ACD2-5639EAEC5673}"/>
    <cellStyle name="Migliaia 35 3 2 3 5" xfId="16447" xr:uid="{AF1DC0C5-B120-4C1F-883A-E533B503575A}"/>
    <cellStyle name="Migliaia 35 3 2 3 6" xfId="7937" xr:uid="{D33CB87E-0F77-4C8C-9356-AD038D5AA7A6}"/>
    <cellStyle name="Migliaia 35 3 2 4" xfId="6479" xr:uid="{20EC5247-241C-4755-B152-807B10BB5ABC}"/>
    <cellStyle name="Migliaia 35 3 2 4 2" xfId="18085" xr:uid="{92541FCF-4ADD-49AC-9150-99037525FB3A}"/>
    <cellStyle name="Migliaia 35 3 2 4 2 2" xfId="39385" xr:uid="{6B91AB0E-7E28-413C-9419-1B9CD721468E}"/>
    <cellStyle name="Migliaia 35 3 2 4 2 3" xfId="44687" xr:uid="{4EAAE896-CAEC-4E34-AE35-66CA9F60FCF9}"/>
    <cellStyle name="Migliaia 35 3 2 4 3" xfId="36810" xr:uid="{08C8D667-165B-4030-8DFA-226360DFA210}"/>
    <cellStyle name="Migliaia 35 3 2 4 4" xfId="42036" xr:uid="{E2C97AF7-3275-423F-B478-5F2B4F7B48A8}"/>
    <cellStyle name="Migliaia 35 3 2 4 5" xfId="17192" xr:uid="{68D2DDC6-4414-43D4-9A6F-95D34EDA8FC5}"/>
    <cellStyle name="Migliaia 35 3 2 4 6" xfId="11348" xr:uid="{741674B3-C08C-412A-9FC4-D89C16EF11BA}"/>
    <cellStyle name="Migliaia 35 3 2 5" xfId="3557" xr:uid="{907C28ED-FB7C-4729-9A5F-F91596411BAE}"/>
    <cellStyle name="Migliaia 35 3 2 5 2" xfId="33870" xr:uid="{C6C9845D-F28F-4F85-8947-66DF1BCEB606}"/>
    <cellStyle name="Migliaia 35 3 2 5 2 2" xfId="39386" xr:uid="{C2A2F740-1992-4784-A610-13ADCA67D4BA}"/>
    <cellStyle name="Migliaia 35 3 2 5 2 3" xfId="44688" xr:uid="{B918D923-A610-4C33-8315-0860DF44A3A4}"/>
    <cellStyle name="Migliaia 35 3 2 5 3" xfId="36811" xr:uid="{530365D4-66DF-45DC-BC76-86C518BAA962}"/>
    <cellStyle name="Migliaia 35 3 2 5 4" xfId="42037" xr:uid="{6630D03C-D83B-4DBC-BEE1-2AF5A8CDC61D}"/>
    <cellStyle name="Migliaia 35 3 2 5 5" xfId="17342" xr:uid="{EA74956D-F0ED-489E-BC31-87AFE480B273}"/>
    <cellStyle name="Migliaia 35 3 2 6" xfId="20454" xr:uid="{BA80BE56-98F1-4399-80B8-108532806A34}"/>
    <cellStyle name="Migliaia 35 3 2 6 2" xfId="33871" xr:uid="{0E12209C-F46B-4CA4-BEEA-195A5EC542AA}"/>
    <cellStyle name="Migliaia 35 3 2 6 2 2" xfId="39387" xr:uid="{68C15D44-B0A6-4D46-B588-95ABC7133F9D}"/>
    <cellStyle name="Migliaia 35 3 2 6 2 3" xfId="44689" xr:uid="{ECF643D0-B9A7-4B8C-B8D1-86DDD13B5EBF}"/>
    <cellStyle name="Migliaia 35 3 2 6 3" xfId="36812" xr:uid="{146FD8DD-D6FD-4399-9D8E-1069E687292C}"/>
    <cellStyle name="Migliaia 35 3 2 6 4" xfId="42038" xr:uid="{2A29053D-1268-4416-AD09-45FC335BD9F6}"/>
    <cellStyle name="Migliaia 35 3 2 6 5" xfId="24819" xr:uid="{5212072C-7737-4A53-A923-9EC2C20BE9EE}"/>
    <cellStyle name="Migliaia 35 3 2 7" xfId="24817" xr:uid="{87486008-11D2-4D7B-B6A1-83000F87A8F8}"/>
    <cellStyle name="Migliaia 35 3 2 8" xfId="7461" xr:uid="{EFD802F4-0F12-42ED-827E-CBBF430196D2}"/>
    <cellStyle name="Migliaia 35 3 3" xfId="3559" xr:uid="{15C9D1D6-1E45-48B7-B6D0-871E1A37F4C2}"/>
    <cellStyle name="Migliaia 35 3 3 10" xfId="7460" xr:uid="{D8CEF066-182F-4C33-B2AD-FCBBD0520170}"/>
    <cellStyle name="Migliaia 35 3 3 2" xfId="5285" xr:uid="{41350FFC-E556-4B1B-B643-048B7F3C072E}"/>
    <cellStyle name="Migliaia 35 3 3 2 2" xfId="9938" xr:uid="{B4B4F172-EB70-49A4-BEA0-3B11FCBBE1FC}"/>
    <cellStyle name="Migliaia 35 3 3 2 2 2" xfId="39389" xr:uid="{FCB31F71-44BE-4393-A4F6-2CC6350C8828}"/>
    <cellStyle name="Migliaia 35 3 3 2 2 3" xfId="44691" xr:uid="{D9C27254-EC8B-4AAC-A915-9CD5AB9DB4DA}"/>
    <cellStyle name="Migliaia 35 3 3 2 3" xfId="18218" xr:uid="{97CD9C5B-6783-4031-A599-02A573C61926}"/>
    <cellStyle name="Migliaia 35 3 3 2 4" xfId="20458" xr:uid="{003EB30D-FC0B-4FE1-AB7D-B5A23B943254}"/>
    <cellStyle name="Migliaia 35 3 3 2 4 2" xfId="42040" xr:uid="{A06E1AC6-3386-4AAC-9C88-572DD76C3763}"/>
    <cellStyle name="Migliaia 35 3 3 2 5" xfId="16449" xr:uid="{912AEE9E-48F7-4D34-8222-A8734777978A}"/>
    <cellStyle name="Migliaia 35 3 3 2 6" xfId="8650" xr:uid="{ECE97480-6BA4-4173-8D08-38144AE7F93E}"/>
    <cellStyle name="Migliaia 35 3 3 3" xfId="6481" xr:uid="{7D094722-9405-4B87-82ED-10BEBB473D78}"/>
    <cellStyle name="Migliaia 35 3 3 3 2" xfId="33873" xr:uid="{C7B280C7-E9DA-48F6-B271-EC52ADC64F85}"/>
    <cellStyle name="Migliaia 35 3 3 3 2 2" xfId="39390" xr:uid="{3887B791-5DB0-4CA3-B14F-5CEB226D1318}"/>
    <cellStyle name="Migliaia 35 3 3 3 2 3" xfId="44692" xr:uid="{06C13CA2-B77B-4D64-9314-5D17D6F8984C}"/>
    <cellStyle name="Migliaia 35 3 3 3 3" xfId="36814" xr:uid="{BCBA76DB-5FB7-4187-8F10-9541AFA042C7}"/>
    <cellStyle name="Migliaia 35 3 3 3 4" xfId="42041" xr:uid="{0DB39CAF-54F4-4D7E-9CDF-90E91BE3BF99}"/>
    <cellStyle name="Migliaia 35 3 3 3 5" xfId="9701" xr:uid="{7DC83C13-3022-4B31-BA90-E19D94296EBF}"/>
    <cellStyle name="Migliaia 35 3 3 4" xfId="20457" xr:uid="{A3DEB2CE-AA24-4C69-B2F6-0B0B483BD73B}"/>
    <cellStyle name="Migliaia 35 3 3 4 2" xfId="33874" xr:uid="{45C4ED89-D9A7-40E2-B6E2-A5199942D47E}"/>
    <cellStyle name="Migliaia 35 3 3 4 2 2" xfId="39391" xr:uid="{84B9D091-54A3-4388-BC8B-AF51B0494695}"/>
    <cellStyle name="Migliaia 35 3 3 4 2 3" xfId="44693" xr:uid="{83B207E5-AC1E-4A86-9E22-D52C06EC5213}"/>
    <cellStyle name="Migliaia 35 3 3 4 3" xfId="36815" xr:uid="{FA669280-7707-4730-A07B-BC52DE66FC40}"/>
    <cellStyle name="Migliaia 35 3 3 4 4" xfId="42042" xr:uid="{EA6E429E-3796-4033-9311-4D5AFA788044}"/>
    <cellStyle name="Migliaia 35 3 3 4 5" xfId="24820" xr:uid="{5764D476-B2F1-4AD0-BEC2-EE7320034998}"/>
    <cellStyle name="Migliaia 35 3 3 5" xfId="24821" xr:uid="{EAF99F3B-498A-4667-A40D-AE05FE65283A}"/>
    <cellStyle name="Migliaia 35 3 3 5 2" xfId="33875" xr:uid="{EC569134-4585-499A-98C1-D08E829C588D}"/>
    <cellStyle name="Migliaia 35 3 3 5 2 2" xfId="39392" xr:uid="{583856A4-458A-4F16-8BC2-B9B5B4DAEFE5}"/>
    <cellStyle name="Migliaia 35 3 3 5 2 3" xfId="44694" xr:uid="{35628DFC-17BC-47E6-94EF-55419A7C34B4}"/>
    <cellStyle name="Migliaia 35 3 3 5 3" xfId="36816" xr:uid="{087F57BC-E81E-439E-ABE1-CC4615CF4C0A}"/>
    <cellStyle name="Migliaia 35 3 3 5 4" xfId="42043" xr:uid="{21142670-DF64-4510-AC94-51EEA6C7BC19}"/>
    <cellStyle name="Migliaia 35 3 3 6" xfId="33872" xr:uid="{912DA3AD-8BF0-4B30-A80A-68AE420CC01B}"/>
    <cellStyle name="Migliaia 35 3 3 6 2" xfId="39388" xr:uid="{8E254C1D-C3A3-41A6-A1CA-2E253DC0B726}"/>
    <cellStyle name="Migliaia 35 3 3 6 3" xfId="44690" xr:uid="{BF438520-315A-441D-9559-9C32FADB5471}"/>
    <cellStyle name="Migliaia 35 3 3 7" xfId="36813" xr:uid="{1747AEF8-87B2-4FB7-B2D5-74B8296BA7BB}"/>
    <cellStyle name="Migliaia 35 3 3 8" xfId="42039" xr:uid="{0A065C0A-6861-4C71-BCDF-9BF2FC027EB3}"/>
    <cellStyle name="Migliaia 35 3 3 9" xfId="16448" xr:uid="{84855EB8-F4D9-4237-B79E-B6E22A01E015}"/>
    <cellStyle name="Migliaia 35 3 4" xfId="3560" xr:uid="{026C782B-B3F2-48E6-B83F-B81CB8D89739}"/>
    <cellStyle name="Migliaia 35 3 4 2" xfId="5286" xr:uid="{B1E29D61-DE77-4BD6-9C5E-F7EE617B107B}"/>
    <cellStyle name="Migliaia 35 3 4 2 2" xfId="14451" xr:uid="{A5B1B314-B6C1-43D6-BE11-DC1B34D55313}"/>
    <cellStyle name="Migliaia 35 3 4 2 3" xfId="18045" xr:uid="{3AECD971-4D84-4B82-98DB-02B3C9B52E7C}"/>
    <cellStyle name="Migliaia 35 3 4 2 4" xfId="20460" xr:uid="{E1C137A7-5B95-42A7-A310-BA42CE832A4B}"/>
    <cellStyle name="Migliaia 35 3 4 2 5" xfId="32387" xr:uid="{B5AB0F53-3D8A-4FE2-88A8-ED47939F1F18}"/>
    <cellStyle name="Migliaia 35 3 4 2 6" xfId="16451" xr:uid="{6A15A6EF-DA30-447D-8C69-4B77EF54C251}"/>
    <cellStyle name="Migliaia 35 3 4 2 7" xfId="8874" xr:uid="{41C391B0-CE71-46FB-90DC-BED43ADD780C}"/>
    <cellStyle name="Migliaia 35 3 4 3" xfId="6482" xr:uid="{3446D2A1-9AC9-46EC-997B-9A9C322BFCD3}"/>
    <cellStyle name="Migliaia 35 3 4 3 2" xfId="35321" xr:uid="{2DA051AC-A78E-4B37-B25D-E4C0B5E7EA99}"/>
    <cellStyle name="Migliaia 35 3 4 3 2 2" xfId="40481" xr:uid="{487CC8C9-8191-44AC-9932-BACF6969BBC7}"/>
    <cellStyle name="Migliaia 35 3 4 3 2 3" xfId="45783" xr:uid="{E8B20824-BADE-410A-9107-B0653D357DFA}"/>
    <cellStyle name="Migliaia 35 3 4 3 3" xfId="37830" xr:uid="{87D718BA-9E3C-424D-8C9D-3CDADBE64E28}"/>
    <cellStyle name="Migliaia 35 3 4 3 4" xfId="43132" xr:uid="{8DAD3752-C9FE-4221-9F56-E8D4B93EECF0}"/>
    <cellStyle name="Migliaia 35 3 4 3 5" xfId="13699" xr:uid="{4CDF45F2-F61B-4B18-96DE-F9E9597CD582}"/>
    <cellStyle name="Migliaia 35 3 4 4" xfId="20459" xr:uid="{89974C4E-B5EF-4D3A-9509-5B61991CB630}"/>
    <cellStyle name="Migliaia 35 3 4 4 2" xfId="39393" xr:uid="{9F218734-04C7-4D72-A6A5-1FB3D78411B2}"/>
    <cellStyle name="Migliaia 35 3 4 4 3" xfId="44695" xr:uid="{A5108A3E-151D-4132-AE25-37012BE0AA41}"/>
    <cellStyle name="Migliaia 35 3 4 4 4" xfId="33876" xr:uid="{A2D76D2B-1415-45CA-AF22-3F3BC657D10A}"/>
    <cellStyle name="Migliaia 35 3 4 5" xfId="36817" xr:uid="{A5BFB52F-D7EF-45BA-A1A1-BC758AB5CEB9}"/>
    <cellStyle name="Migliaia 35 3 4 6" xfId="42044" xr:uid="{0FF95759-BE20-486F-8A6E-6D8E773E7757}"/>
    <cellStyle name="Migliaia 35 3 4 7" xfId="16450" xr:uid="{5A9573F0-BEBA-400C-96E5-56DBA83F17D0}"/>
    <cellStyle name="Migliaia 35 3 4 8" xfId="7684" xr:uid="{7A7B5002-3701-43EF-8D4F-53BBCB98A683}"/>
    <cellStyle name="Migliaia 35 3 5" xfId="3561" xr:uid="{B4F849FC-050E-4514-B6E4-74168CA38B70}"/>
    <cellStyle name="Migliaia 35 3 5 2" xfId="5287" xr:uid="{0BAFE2FF-10D4-4B16-88B3-962F82116B89}"/>
    <cellStyle name="Migliaia 35 3 5 2 2" xfId="35322" xr:uid="{0BCE77DF-19F6-4CFA-A666-E35248809B56}"/>
    <cellStyle name="Migliaia 35 3 5 2 2 2" xfId="40482" xr:uid="{0F72FD70-FB36-4D3F-9CBA-44A511B2D8FE}"/>
    <cellStyle name="Migliaia 35 3 5 2 2 3" xfId="45784" xr:uid="{E511D254-2CF7-4D33-A174-FC8C1355C958}"/>
    <cellStyle name="Migliaia 35 3 5 2 3" xfId="37831" xr:uid="{0BCF7100-DBC5-4FD1-A7A9-BD259704AA52}"/>
    <cellStyle name="Migliaia 35 3 5 2 4" xfId="43133" xr:uid="{364CD9CF-FC75-4736-8A5B-CAAF5DF4C924}"/>
    <cellStyle name="Migliaia 35 3 5 2 5" xfId="14265" xr:uid="{7BC6757F-C389-42BD-86D8-D69960947C89}"/>
    <cellStyle name="Migliaia 35 3 5 3" xfId="6483" xr:uid="{DCC83E0A-9A97-4FCF-BA66-CC94918B4637}"/>
    <cellStyle name="Migliaia 35 3 5 3 2" xfId="39394" xr:uid="{39333641-E279-402E-AFFE-EDDA6CAC562F}"/>
    <cellStyle name="Migliaia 35 3 5 3 3" xfId="44696" xr:uid="{D63BF807-5EC2-4A01-A8F5-53C3EEE5B3AD}"/>
    <cellStyle name="Migliaia 35 3 5 3 4" xfId="33877" xr:uid="{DB237F20-F878-4549-8D89-3DC8EACAFF97}"/>
    <cellStyle name="Migliaia 35 3 5 3 5" xfId="20461" xr:uid="{A6AFED10-E721-49AA-898F-A6DF25A45659}"/>
    <cellStyle name="Migliaia 35 3 5 4" xfId="36818" xr:uid="{B7F94DC5-8FC1-4D9C-BC49-09BDE3DA2FDD}"/>
    <cellStyle name="Migliaia 35 3 5 5" xfId="42045" xr:uid="{E5290A05-CF75-4A80-975A-2B12A1B1CE26}"/>
    <cellStyle name="Migliaia 35 3 5 6" xfId="16452" xr:uid="{C4B3AF3C-90D5-4977-A87B-83AD1DB12610}"/>
    <cellStyle name="Migliaia 35 3 5 7" xfId="8327" xr:uid="{D26C6DD2-CD78-4410-A102-774C2C22EB72}"/>
    <cellStyle name="Migliaia 35 3 6" xfId="5282" xr:uid="{BE78F124-8B25-41F5-A3EF-D4EF92B265A1}"/>
    <cellStyle name="Migliaia 35 3 6 2" xfId="13970" xr:uid="{6FD7C42E-0A2F-46F3-A5A3-BA84F33C88C9}"/>
    <cellStyle name="Migliaia 35 3 6 2 2" xfId="39395" xr:uid="{F3A15F7D-0F41-4AC7-A121-5FEC941DF562}"/>
    <cellStyle name="Migliaia 35 3 6 2 3" xfId="44697" xr:uid="{5AECAA81-AE74-4ED9-91EB-410BB29683D7}"/>
    <cellStyle name="Migliaia 35 3 6 3" xfId="18288" xr:uid="{E386F3B8-6990-4198-A424-6865A06A0BDD}"/>
    <cellStyle name="Migliaia 35 3 6 4" xfId="20462" xr:uid="{60757411-45C0-4E5C-9C8F-FF2AA98F3C6A}"/>
    <cellStyle name="Migliaia 35 3 6 4 2" xfId="42046" xr:uid="{C07E0E09-8734-4990-80E1-E080D785253D}"/>
    <cellStyle name="Migliaia 35 3 6 5" xfId="16453" xr:uid="{41D2F0D5-6050-419A-81EE-22C7C600B02A}"/>
    <cellStyle name="Migliaia 35 3 6 6" xfId="7936" xr:uid="{D570FD2A-31A1-4506-B000-452DB38A1273}"/>
    <cellStyle name="Migliaia 35 3 7" xfId="6478" xr:uid="{237DE95D-F5CE-4177-A7D8-B927A2BC9E1D}"/>
    <cellStyle name="Migliaia 35 3 7 2" xfId="33878" xr:uid="{0BAEB352-1DC2-4642-8E50-D365621A59A2}"/>
    <cellStyle name="Migliaia 35 3 7 2 2" xfId="39396" xr:uid="{FBA0E854-5A40-44F4-B08A-4D7A8FA2E9EB}"/>
    <cellStyle name="Migliaia 35 3 7 2 3" xfId="44698" xr:uid="{8E71BA6B-A7A7-4F5F-9CB2-D1382B067425}"/>
    <cellStyle name="Migliaia 35 3 7 3" xfId="36819" xr:uid="{D19F9A0F-B67F-4D23-98ED-9135E864BB1F}"/>
    <cellStyle name="Migliaia 35 3 7 4" xfId="42047" xr:uid="{1270AC99-C3F8-459F-B8D7-3ADB16F255E5}"/>
    <cellStyle name="Migliaia 35 3 7 5" xfId="12245" xr:uid="{2CE05577-C351-4FE1-A58B-1E9880A2D270}"/>
    <cellStyle name="Migliaia 35 3 8" xfId="3556" xr:uid="{4AECCE64-16B2-46E3-88B0-0BD6CBD9F63E}"/>
    <cellStyle name="Migliaia 35 3 8 2" xfId="33879" xr:uid="{9C2C93B3-2881-44B6-BE0B-B1CD26D551BE}"/>
    <cellStyle name="Migliaia 35 3 8 2 2" xfId="39397" xr:uid="{724EAC3B-FFBC-4FE8-9869-DDBEF312BC0F}"/>
    <cellStyle name="Migliaia 35 3 8 2 3" xfId="44699" xr:uid="{74164157-E991-4F84-81BD-ACC89E1B1E3E}"/>
    <cellStyle name="Migliaia 35 3 8 3" xfId="36820" xr:uid="{E9E6A8A0-FD86-4530-BAE8-F7EC699E58B4}"/>
    <cellStyle name="Migliaia 35 3 8 4" xfId="42048" xr:uid="{64EA7656-4ABE-4D2B-A84E-4A4D679678AD}"/>
    <cellStyle name="Migliaia 35 3 8 5" xfId="24822" xr:uid="{B973D751-EE88-48AE-BE16-36001A1FBB78}"/>
    <cellStyle name="Migliaia 35 3 8 6" xfId="17343" xr:uid="{BA5EB54D-D9CE-4D36-A2B0-B7CB857A61E1}"/>
    <cellStyle name="Migliaia 35 3 9" xfId="20453" xr:uid="{E5B0F987-8059-4413-8FD1-C30ACE8E7B20}"/>
    <cellStyle name="Migliaia 35 4" xfId="1798" xr:uid="{00000000-0005-0000-0000-0000C1030000}"/>
    <cellStyle name="Migliaia 35 4 2" xfId="1799" xr:uid="{00000000-0005-0000-0000-0000C2030000}"/>
    <cellStyle name="Migliaia 35 4 2 2" xfId="5289" xr:uid="{7848695C-ECCE-4133-8BC8-AE2D67432229}"/>
    <cellStyle name="Migliaia 35 4 2 2 2" xfId="33880" xr:uid="{3211BFBD-7608-40D9-9FA4-01F4DD5353D2}"/>
    <cellStyle name="Migliaia 35 4 2 2 2 2" xfId="39398" xr:uid="{2C05AB39-75B3-48E7-AC28-C965B8E9C3EA}"/>
    <cellStyle name="Migliaia 35 4 2 2 2 3" xfId="44700" xr:uid="{7F717C3C-B7B2-4AFC-B0CA-9D306E72D64B}"/>
    <cellStyle name="Migliaia 35 4 2 2 3" xfId="36821" xr:uid="{6932922D-D5C9-4908-87B9-9403EAB9EBFD}"/>
    <cellStyle name="Migliaia 35 4 2 2 4" xfId="42049" xr:uid="{48783423-1079-413A-81A7-F01EBA093D66}"/>
    <cellStyle name="Migliaia 35 4 2 2 5" xfId="9164" xr:uid="{83B820C6-50FF-4CD0-B725-532013D75F97}"/>
    <cellStyle name="Migliaia 35 4 2 3" xfId="3563" xr:uid="{E3885CA7-82BD-4991-A92A-BEE827196074}"/>
    <cellStyle name="Migliaia 35 4 2 3 2" xfId="33881" xr:uid="{67D25329-F43D-47C2-88AF-3C39C1C01920}"/>
    <cellStyle name="Migliaia 35 4 2 3 2 2" xfId="39399" xr:uid="{C21F2730-7F10-4955-8225-1BDDE3704584}"/>
    <cellStyle name="Migliaia 35 4 2 3 2 3" xfId="44701" xr:uid="{55E85D38-CAC7-463F-8001-0F5321EA2FEA}"/>
    <cellStyle name="Migliaia 35 4 2 3 3" xfId="36822" xr:uid="{1C7B3A53-C0A1-4A4A-956E-989910C51A80}"/>
    <cellStyle name="Migliaia 35 4 2 3 4" xfId="42050" xr:uid="{2BC87770-8A8A-4281-ABBA-5039901A6664}"/>
    <cellStyle name="Migliaia 35 4 2 3 5" xfId="12001" xr:uid="{653AAB31-2BC6-4664-A412-FEDB137E3111}"/>
    <cellStyle name="Migliaia 35 4 2 4" xfId="11350" xr:uid="{8B4995C0-D066-4ED9-AA8E-002CDA672309}"/>
    <cellStyle name="Migliaia 35 4 2 5" xfId="10876" xr:uid="{0EFED51F-1BF0-49BF-89E7-A7299BAD0AC6}"/>
    <cellStyle name="Migliaia 35 4 2 5 2" xfId="21511" xr:uid="{E5CD7B3A-EFFE-4116-B559-8EB64ACBE82D}"/>
    <cellStyle name="Migliaia 35 4 2 5 3" xfId="48552" xr:uid="{C6E1A384-41B7-4A98-A79D-3BD09E63C880}"/>
    <cellStyle name="Migliaia 35 4 2 5 4" xfId="50526" xr:uid="{F66C24E3-3F2C-4520-BE79-63B064BF1D81}"/>
    <cellStyle name="Migliaia 35 4 2 5 5" xfId="53542" xr:uid="{01358D04-7B2F-4930-843B-32778A5ED2DC}"/>
    <cellStyle name="Migliaia 35 4 2 6" xfId="20464" xr:uid="{4C617A85-1857-4312-AB7A-3C04857302BF}"/>
    <cellStyle name="Migliaia 35 4 2 7" xfId="24824" xr:uid="{02529878-BDB7-4593-A1F0-FEAD732F6AAF}"/>
    <cellStyle name="Migliaia 35 4 2 8" xfId="8652" xr:uid="{F79E789D-F98F-4BD2-AE93-C3E59A59F542}"/>
    <cellStyle name="Migliaia 35 4 3" xfId="5288" xr:uid="{97B5094E-FB7B-4427-9611-1CD9843CEDFD}"/>
    <cellStyle name="Migliaia 35 4 3 2" xfId="18219" xr:uid="{01764EC6-CC56-4BA1-B949-A61D9028540D}"/>
    <cellStyle name="Migliaia 35 4 3 2 2" xfId="39400" xr:uid="{359398BD-E724-4ADB-AD23-0459E2A3C4D8}"/>
    <cellStyle name="Migliaia 35 4 3 2 3" xfId="44702" xr:uid="{035B8199-C94D-4106-B440-E84F837C5BB7}"/>
    <cellStyle name="Migliaia 35 4 3 3" xfId="36823" xr:uid="{A2AF5E03-763F-4496-A5AA-2F01DF8C1C28}"/>
    <cellStyle name="Migliaia 35 4 3 4" xfId="42051" xr:uid="{C3688B51-73F0-44B8-94E7-1562E5372BEF}"/>
    <cellStyle name="Migliaia 35 4 3 5" xfId="17341" xr:uid="{4A861D79-936E-4698-9C92-824400AC64F1}"/>
    <cellStyle name="Migliaia 35 4 3 6" xfId="9165" xr:uid="{2CD80231-6439-4AF4-963C-4F9FFAE88FE7}"/>
    <cellStyle name="Migliaia 35 4 4" xfId="6484" xr:uid="{03028360-F389-4780-A21B-2C58F25508E1}"/>
    <cellStyle name="Migliaia 35 4 4 2" xfId="33882" xr:uid="{84AF624C-3F57-470A-AE61-E57DCCF7278A}"/>
    <cellStyle name="Migliaia 35 4 4 2 2" xfId="39401" xr:uid="{EBBD5551-41D7-4AC8-ADFA-96BEE56E3192}"/>
    <cellStyle name="Migliaia 35 4 4 2 3" xfId="44703" xr:uid="{77AB6486-02F2-41AF-B57C-3F96F9E06711}"/>
    <cellStyle name="Migliaia 35 4 4 3" xfId="36824" xr:uid="{176C6E28-6EEB-4348-9565-A5D606A61DE0}"/>
    <cellStyle name="Migliaia 35 4 4 4" xfId="42052" xr:uid="{0DF76935-C54D-4064-98FF-38E73FA16ABB}"/>
    <cellStyle name="Migliaia 35 4 4 5" xfId="12002" xr:uid="{C37695F0-8AC8-42C3-9993-29CDC54AE619}"/>
    <cellStyle name="Migliaia 35 4 5" xfId="3562" xr:uid="{5331AEFE-0062-4961-899E-699C25E80013}"/>
    <cellStyle name="Migliaia 35 4 5 2" xfId="33883" xr:uid="{916046E3-970B-4796-BD42-582FC4FFAC42}"/>
    <cellStyle name="Migliaia 35 4 5 2 2" xfId="39402" xr:uid="{8AC0BBC7-8952-4766-8B2D-E052AE9AEECE}"/>
    <cellStyle name="Migliaia 35 4 5 2 3" xfId="44704" xr:uid="{12847A77-32AD-46B8-B5EF-EB52C3AD8725}"/>
    <cellStyle name="Migliaia 35 4 5 3" xfId="36825" xr:uid="{DBEA33A1-A33C-4071-93A3-BFBD56895A45}"/>
    <cellStyle name="Migliaia 35 4 5 4" xfId="42053" xr:uid="{58F5FB30-93CB-453F-AF70-D833BEFCAF7E}"/>
    <cellStyle name="Migliaia 35 4 5 5" xfId="11349" xr:uid="{F85C538F-8F68-41CD-8DBF-1D6856CC5FE0}"/>
    <cellStyle name="Migliaia 35 4 6" xfId="10875" xr:uid="{7B41E372-FCB1-43F4-A2EB-58C1E9352D0D}"/>
    <cellStyle name="Migliaia 35 4 6 2" xfId="21510" xr:uid="{8FAFA7CA-A12C-4D38-8F9B-FDDF99D51909}"/>
    <cellStyle name="Migliaia 35 4 6 2 2" xfId="39403" xr:uid="{2EEAB224-B715-43BB-904B-3C9995604753}"/>
    <cellStyle name="Migliaia 35 4 6 2 3" xfId="44705" xr:uid="{F3EA5D16-24E7-4909-A26F-B9AA7C62082D}"/>
    <cellStyle name="Migliaia 35 4 6 2 4" xfId="33884" xr:uid="{8C698027-6948-4D89-AB0D-C044DDD76DE8}"/>
    <cellStyle name="Migliaia 35 4 6 3" xfId="36826" xr:uid="{CCFD0807-70EF-42EB-95FD-3B9BB7285FDC}"/>
    <cellStyle name="Migliaia 35 4 6 4" xfId="42054" xr:uid="{1C860E75-A8B5-460F-8F50-86B6651F2F4F}"/>
    <cellStyle name="Migliaia 35 4 6 5" xfId="24825" xr:uid="{BF9180F5-38C6-4304-96A6-8351FAAABDA1}"/>
    <cellStyle name="Migliaia 35 4 6 6" xfId="32470" xr:uid="{076BF332-007A-44CF-8A55-57306C51ED28}"/>
    <cellStyle name="Migliaia 35 4 6 7" xfId="50525" xr:uid="{CD15137E-9BB8-42D9-A6FF-23371B01FF9A}"/>
    <cellStyle name="Migliaia 35 4 6 8" xfId="53541" xr:uid="{8F0C88FF-31D4-41D9-B0E4-5DDF43E685D8}"/>
    <cellStyle name="Migliaia 35 4 7" xfId="20463" xr:uid="{95D8D1D5-E084-4C1B-B002-06BEA9A38E5E}"/>
    <cellStyle name="Migliaia 35 4 7 2" xfId="33885" xr:uid="{E21C1923-432A-4E6B-B0B3-9F573D9E3A4C}"/>
    <cellStyle name="Migliaia 35 4 7 2 2" xfId="39404" xr:uid="{D046455E-7668-4FF5-9730-7DCA812335C6}"/>
    <cellStyle name="Migliaia 35 4 7 2 3" xfId="44706" xr:uid="{72AE597C-9A65-46FF-9912-7D2216D54D2D}"/>
    <cellStyle name="Migliaia 35 4 7 3" xfId="36827" xr:uid="{3CE8F6B3-2AF4-49C5-BCBB-E172F25D3C3C}"/>
    <cellStyle name="Migliaia 35 4 7 4" xfId="42055" xr:uid="{869C3958-BB0B-4E05-856C-7587ABB91579}"/>
    <cellStyle name="Migliaia 35 4 7 5" xfId="24826" xr:uid="{5AF088CB-149F-4C19-8AE7-C2AA6C9F5D9B}"/>
    <cellStyle name="Migliaia 35 4 8" xfId="24823" xr:uid="{AE3DC46A-219F-4A22-A7ED-5F896BF394E6}"/>
    <cellStyle name="Migliaia 35 4 9" xfId="7462" xr:uid="{08A08743-2E65-4F65-A10D-582CBA4EC306}"/>
    <cellStyle name="Migliaia 35 5" xfId="1800" xr:uid="{00000000-0005-0000-0000-0000C3030000}"/>
    <cellStyle name="Migliaia 35 5 2" xfId="5290" xr:uid="{BD88701B-2CC5-4E4A-8336-E885E75F2187}"/>
    <cellStyle name="Migliaia 35 5 2 2" xfId="18448" xr:uid="{959FB021-26E4-480E-90CB-29E446C33DCD}"/>
    <cellStyle name="Migliaia 35 5 2 2 2" xfId="39405" xr:uid="{2854A744-B5E0-4A15-BC60-03110D148A8C}"/>
    <cellStyle name="Migliaia 35 5 2 2 3" xfId="44707" xr:uid="{4BBAB548-D879-4DBD-94D2-760DBB695615}"/>
    <cellStyle name="Migliaia 35 5 2 3" xfId="20466" xr:uid="{EB454504-AFD7-48EC-91C3-0EE2E47DEA22}"/>
    <cellStyle name="Migliaia 35 5 2 3 2" xfId="36828" xr:uid="{F1189B2B-22E8-41A2-8377-8FA75FBFF2C0}"/>
    <cellStyle name="Migliaia 35 5 2 4" xfId="42056" xr:uid="{0015A956-A717-4FE6-96EE-53B6BF264C5C}"/>
    <cellStyle name="Migliaia 35 5 2 5" xfId="16454" xr:uid="{E08B7D78-E85F-4964-8403-28C07DFB60A8}"/>
    <cellStyle name="Migliaia 35 5 2 6" xfId="8653" xr:uid="{97272BE5-B54F-4633-BC73-22B5C34F629C}"/>
    <cellStyle name="Migliaia 35 5 3" xfId="6485" xr:uid="{EE76A570-0496-40AC-AA55-E50AC5AA6363}"/>
    <cellStyle name="Migliaia 35 5 3 2" xfId="33886" xr:uid="{3EF6AB6E-BFA9-4D2E-87E6-5E1E0F96DD85}"/>
    <cellStyle name="Migliaia 35 5 3 2 2" xfId="39406" xr:uid="{03119E66-DCEF-4D5C-9447-4FC6802DEBB9}"/>
    <cellStyle name="Migliaia 35 5 3 2 3" xfId="44708" xr:uid="{22D2B11D-360F-4E1B-BF8C-E373EEEDE172}"/>
    <cellStyle name="Migliaia 35 5 3 3" xfId="36829" xr:uid="{49A24943-7602-4F5B-964A-5FAED1DBA636}"/>
    <cellStyle name="Migliaia 35 5 3 4" xfId="42057" xr:uid="{99FE968F-9810-4785-9C42-3E579AE3DA7F}"/>
    <cellStyle name="Migliaia 35 5 3 5" xfId="11351" xr:uid="{5BF24C92-1416-4411-A355-872D5440F1F4}"/>
    <cellStyle name="Migliaia 35 5 4" xfId="3564" xr:uid="{94374BC8-007D-4B93-9748-A5CAC2297803}"/>
    <cellStyle name="Migliaia 35 5 4 2" xfId="21512" xr:uid="{0B21B8A7-88AD-4422-97F3-18100E69AE82}"/>
    <cellStyle name="Migliaia 35 5 4 2 2" xfId="39407" xr:uid="{DAA12D58-63C9-48D2-A4D5-AFE37612D11D}"/>
    <cellStyle name="Migliaia 35 5 4 2 3" xfId="44709" xr:uid="{9D29C497-512A-4DFF-9B94-AC2EC2303E6A}"/>
    <cellStyle name="Migliaia 35 5 4 2 4" xfId="33887" xr:uid="{AF972F48-1C0C-447C-B509-9275C06FBF12}"/>
    <cellStyle name="Migliaia 35 5 4 3" xfId="36830" xr:uid="{CD55B112-6B46-4CFE-A98C-B91AE0DBE8B9}"/>
    <cellStyle name="Migliaia 35 5 4 4" xfId="42058" xr:uid="{FBFDFCD1-3C08-4015-88BE-F992FB098739}"/>
    <cellStyle name="Migliaia 35 5 4 5" xfId="24828" xr:uid="{68D71050-2F7D-429B-A94C-C97C7BDD5975}"/>
    <cellStyle name="Migliaia 35 5 4 6" xfId="46647" xr:uid="{84496E69-BE70-4C4E-BAAE-567222DB8F05}"/>
    <cellStyle name="Migliaia 35 5 4 7" xfId="50527" xr:uid="{E358B751-9EE7-461C-A026-E0DA384CE532}"/>
    <cellStyle name="Migliaia 35 5 4 8" xfId="53543" xr:uid="{3B948F3B-2483-4538-89C7-9B535570DF0E}"/>
    <cellStyle name="Migliaia 35 5 4 9" xfId="10877" xr:uid="{2DBDC068-5104-4F66-9FB7-B00EA95499CA}"/>
    <cellStyle name="Migliaia 35 5 5" xfId="20465" xr:uid="{47D7689B-1B88-4ADB-A513-7CD80108D759}"/>
    <cellStyle name="Migliaia 35 5 5 2" xfId="33888" xr:uid="{A90EC565-3479-4AD3-A39E-CFDFBF6788E3}"/>
    <cellStyle name="Migliaia 35 5 5 2 2" xfId="39408" xr:uid="{129733FF-A0D2-4211-864C-C884F9ACDEFD}"/>
    <cellStyle name="Migliaia 35 5 5 2 3" xfId="44710" xr:uid="{F8D5C75C-874B-4813-9F75-ECDB5EC15A53}"/>
    <cellStyle name="Migliaia 35 5 5 3" xfId="36831" xr:uid="{27C11B8F-714E-47AA-93A3-30941DA172C8}"/>
    <cellStyle name="Migliaia 35 5 5 4" xfId="42059" xr:uid="{D15BE125-0FF6-47DC-ADA9-2E5B8ADDFE3E}"/>
    <cellStyle name="Migliaia 35 5 5 5" xfId="24829" xr:uid="{DC30E029-432D-4D6D-83FC-94286D671591}"/>
    <cellStyle name="Migliaia 35 5 6" xfId="24830" xr:uid="{5AB9CAC0-9F7A-451D-B91F-FE0462954D66}"/>
    <cellStyle name="Migliaia 35 5 6 2" xfId="33889" xr:uid="{D7C7CC31-E444-418B-A2EE-DD429A37E337}"/>
    <cellStyle name="Migliaia 35 5 6 2 2" xfId="39409" xr:uid="{FA604420-661E-438B-A81F-2C3E99C3EBA8}"/>
    <cellStyle name="Migliaia 35 5 6 2 3" xfId="44711" xr:uid="{62CBDB63-9911-41E6-BE69-E036DBB886A3}"/>
    <cellStyle name="Migliaia 35 5 6 3" xfId="36832" xr:uid="{72C73C07-B6EF-4180-8BEC-1085C52215BF}"/>
    <cellStyle name="Migliaia 35 5 6 4" xfId="42060" xr:uid="{E112AFF7-F942-4515-B4A0-F0634F70E94C}"/>
    <cellStyle name="Migliaia 35 5 7" xfId="24827" xr:uid="{43FF2E90-CC85-44DE-B573-9DFFCB4C74E5}"/>
    <cellStyle name="Migliaia 35 5 8" xfId="7463" xr:uid="{5B073F7B-F209-4EAA-BD47-57F51C84B7B7}"/>
    <cellStyle name="Migliaia 35 6" xfId="3565" xr:uid="{0C2A6FD4-6854-4ED7-8030-75CD32492CDE}"/>
    <cellStyle name="Migliaia 35 6 2" xfId="5291" xr:uid="{48607B30-DF11-4331-9593-06FDFE3EE885}"/>
    <cellStyle name="Migliaia 35 6 2 2" xfId="9937" xr:uid="{74B25587-2B06-4140-964A-C288C8B6B02E}"/>
    <cellStyle name="Migliaia 35 6 2 3" xfId="18652" xr:uid="{5C0D19D4-5C3A-430A-A8D8-6DDB02C2E84A}"/>
    <cellStyle name="Migliaia 35 6 2 4" xfId="20468" xr:uid="{2FDCFBB9-AACE-46D7-9BB9-F4D8BBB05B67}"/>
    <cellStyle name="Migliaia 35 6 2 5" xfId="32388" xr:uid="{AB822C86-1277-46D8-A8D9-5CB412FAD036}"/>
    <cellStyle name="Migliaia 35 6 2 6" xfId="16456" xr:uid="{867C6B69-4428-48D6-916C-4DD8B01858D6}"/>
    <cellStyle name="Migliaia 35 6 2 7" xfId="8648" xr:uid="{2443E355-A005-434B-8D41-5C30BB7AEAE0}"/>
    <cellStyle name="Migliaia 35 6 3" xfId="6486" xr:uid="{DC451F01-9A36-4B6E-85B0-9E9047F31AC1}"/>
    <cellStyle name="Migliaia 35 6 3 2" xfId="35323" xr:uid="{A0FFE97A-EC62-453F-9BED-BB421F01B531}"/>
    <cellStyle name="Migliaia 35 6 3 2 2" xfId="40483" xr:uid="{77D05696-183F-4F9A-BA83-43BA02DBDD5B}"/>
    <cellStyle name="Migliaia 35 6 3 2 3" xfId="45785" xr:uid="{3A96A62E-ADC1-4023-9747-0998539EA018}"/>
    <cellStyle name="Migliaia 35 6 3 3" xfId="37832" xr:uid="{8DF8B9B7-5B4B-41AA-AF41-B4A94FD70C51}"/>
    <cellStyle name="Migliaia 35 6 3 4" xfId="43134" xr:uid="{A0550689-E6D7-47BF-808C-4FD82175BEA4}"/>
    <cellStyle name="Migliaia 35 6 3 5" xfId="9700" xr:uid="{3C54D171-E305-4E64-955E-781967F5358E}"/>
    <cellStyle name="Migliaia 35 6 4" xfId="20467" xr:uid="{6140B958-1E2C-45B5-947C-CB204AE5F34E}"/>
    <cellStyle name="Migliaia 35 6 4 2" xfId="39410" xr:uid="{0880D4CB-22D8-4E5D-A2CD-67FF1C5199FB}"/>
    <cellStyle name="Migliaia 35 6 4 3" xfId="44712" xr:uid="{A5020943-3E6E-4D1F-9BE3-D60948902D23}"/>
    <cellStyle name="Migliaia 35 6 4 4" xfId="33890" xr:uid="{AE3A75B0-A20A-4B92-B966-2D6B4386450C}"/>
    <cellStyle name="Migliaia 35 6 5" xfId="36833" xr:uid="{157CB875-1DE6-4220-80CA-E850EDF2118E}"/>
    <cellStyle name="Migliaia 35 6 6" xfId="42061" xr:uid="{9926A732-F570-4E0C-98E8-C9665BBD686A}"/>
    <cellStyle name="Migliaia 35 6 7" xfId="16455" xr:uid="{0D1DADC9-062A-4F9C-8E20-33EF1BB91B42}"/>
    <cellStyle name="Migliaia 35 6 8" xfId="7458" xr:uid="{8F486B74-2F91-4682-951D-7A8A936085CC}"/>
    <cellStyle name="Migliaia 35 7" xfId="3566" xr:uid="{09736CBB-06E8-43BD-945A-6FDFEDEDB61E}"/>
    <cellStyle name="Migliaia 35 7 2" xfId="5292" xr:uid="{F175D549-3DF5-4C55-BECA-344628AB40D4}"/>
    <cellStyle name="Migliaia 35 7 2 2" xfId="35324" xr:uid="{6FB71A25-3574-4A45-B016-2BE1012C91CD}"/>
    <cellStyle name="Migliaia 35 7 2 2 2" xfId="40484" xr:uid="{12F01579-C37D-4387-84DB-61ACD9B8D8F2}"/>
    <cellStyle name="Migliaia 35 7 2 2 3" xfId="45786" xr:uid="{B763B012-EFD1-4BA9-B428-9A6F6DD65C02}"/>
    <cellStyle name="Migliaia 35 7 2 3" xfId="37833" xr:uid="{F4BEE7C8-72EB-452C-9107-94892980EC06}"/>
    <cellStyle name="Migliaia 35 7 2 4" xfId="43135" xr:uid="{BDE69DAF-66F7-4E6E-808B-BAEF017C5C8C}"/>
    <cellStyle name="Migliaia 35 7 2 5" xfId="14263" xr:uid="{D1099C47-6B11-4565-9BFA-E3A34426DD67}"/>
    <cellStyle name="Migliaia 35 7 3" xfId="6487" xr:uid="{31551E26-229C-4694-A2D1-5E7FBB850269}"/>
    <cellStyle name="Migliaia 35 7 3 2" xfId="39411" xr:uid="{2C63AAB3-F48D-4042-85E3-810B34D825CD}"/>
    <cellStyle name="Migliaia 35 7 3 3" xfId="44713" xr:uid="{49A09A57-39F7-41C2-A707-0B32F8C86B6A}"/>
    <cellStyle name="Migliaia 35 7 3 4" xfId="33891" xr:uid="{BCEE3138-1D86-4737-8C8C-ACE4E6942E22}"/>
    <cellStyle name="Migliaia 35 7 3 5" xfId="20469" xr:uid="{FCCA1C70-3660-4218-95C3-F93DA30E1A63}"/>
    <cellStyle name="Migliaia 35 7 4" xfId="36834" xr:uid="{0996F85A-FFBC-4C92-BD04-1618766DC3AE}"/>
    <cellStyle name="Migliaia 35 7 5" xfId="42062" xr:uid="{DCA5E211-5DBA-4E13-9911-B15FF2ED0160}"/>
    <cellStyle name="Migliaia 35 7 6" xfId="16457" xr:uid="{20779983-284F-426D-BB15-30F9E475E1AD}"/>
    <cellStyle name="Migliaia 35 7 7" xfId="8325" xr:uid="{125B703B-F1AF-4672-871F-B6B20EE755A3}"/>
    <cellStyle name="Migliaia 35 8" xfId="3567" xr:uid="{AE5B4270-ADF2-4249-B464-25000DD77339}"/>
    <cellStyle name="Migliaia 35 8 2" xfId="5293" xr:uid="{C91E9C74-18BE-4FA0-B260-D93822CA9336}"/>
    <cellStyle name="Migliaia 35 8 2 2" xfId="35325" xr:uid="{02BE8B85-15BC-4970-9A4A-7326AF702FDF}"/>
    <cellStyle name="Migliaia 35 8 2 2 2" xfId="40485" xr:uid="{78FF6C24-0DF2-4533-B71D-D9BAA8C2DC52}"/>
    <cellStyle name="Migliaia 35 8 2 2 3" xfId="45787" xr:uid="{AA605970-11D5-48C4-AF2E-8FBE760ABFBE}"/>
    <cellStyle name="Migliaia 35 8 2 3" xfId="37834" xr:uid="{712D8017-76C5-49BA-BF34-E2C2B2B28E5F}"/>
    <cellStyle name="Migliaia 35 8 2 4" xfId="43136" xr:uid="{B2F1EFB2-CDC3-47B1-A420-04445CB8CC5F}"/>
    <cellStyle name="Migliaia 35 8 2 5" xfId="13968" xr:uid="{3D982A42-CA1F-4402-B87A-E6053BA672A4}"/>
    <cellStyle name="Migliaia 35 8 3" xfId="6488" xr:uid="{056436A4-BC54-48D1-BF1D-920FF474E682}"/>
    <cellStyle name="Migliaia 35 8 3 2" xfId="39412" xr:uid="{4B2CA245-AD7B-47F8-A713-AE7A0C1A23CD}"/>
    <cellStyle name="Migliaia 35 8 3 3" xfId="44714" xr:uid="{3B8E5BA2-D8C2-40E7-9027-6E35C56E6413}"/>
    <cellStyle name="Migliaia 35 8 3 4" xfId="33892" xr:uid="{A63E6039-DE2E-4B51-8303-27B31C7F187C}"/>
    <cellStyle name="Migliaia 35 8 3 5" xfId="20470" xr:uid="{A7BFAD9F-23C9-4BB2-81B9-AC3B9CFBD025}"/>
    <cellStyle name="Migliaia 35 8 4" xfId="36835" xr:uid="{09877D2C-54DB-42DE-84C1-7B9A4BEC4492}"/>
    <cellStyle name="Migliaia 35 8 5" xfId="42063" xr:uid="{38BE1EB5-6AB4-446C-B6E7-0ECDC3E42804}"/>
    <cellStyle name="Migliaia 35 8 6" xfId="16458" xr:uid="{6E4BA90A-6B91-444F-B609-F2DFBD277BF7}"/>
    <cellStyle name="Migliaia 35 8 7" xfId="7934" xr:uid="{3B9E637D-531F-4EC7-A021-3F1A09B8AF5F}"/>
    <cellStyle name="Migliaia 35 9" xfId="5278" xr:uid="{E787675B-E37C-4085-B9D5-680642A3BCB9}"/>
    <cellStyle name="Migliaia 35 9 2" xfId="33893" xr:uid="{2547D8A3-AA70-427C-93AC-177088C4C32A}"/>
    <cellStyle name="Migliaia 35 9 2 2" xfId="39413" xr:uid="{91EDC5A3-CE25-463A-AD51-4A9F4D2E3312}"/>
    <cellStyle name="Migliaia 35 9 2 3" xfId="44715" xr:uid="{376FA4DE-1C0C-40A6-8EF0-9D354A331F37}"/>
    <cellStyle name="Migliaia 35 9 3" xfId="36836" xr:uid="{39B0B3ED-949B-4E89-ABEC-883184C080EA}"/>
    <cellStyle name="Migliaia 35 9 4" xfId="42064" xr:uid="{0BDF31E5-3D37-4526-AB01-55C7A060DD9F}"/>
    <cellStyle name="Migliaia 35 9 5" xfId="17191" xr:uid="{9F07CAE0-E765-4173-9E96-422063B51408}"/>
    <cellStyle name="Migliaia 36" xfId="417" xr:uid="{00000000-0005-0000-0000-0000C4030000}"/>
    <cellStyle name="Migliaia 36 10" xfId="6489" xr:uid="{4EBF4E20-80F2-4EFB-B5A1-5DB72C738E78}"/>
    <cellStyle name="Migliaia 36 10 2" xfId="39414" xr:uid="{1B77723C-02D2-4253-A113-3407F725F674}"/>
    <cellStyle name="Migliaia 36 10 3" xfId="44716" xr:uid="{224B1FA7-794C-46D9-8799-89FF763F1527}"/>
    <cellStyle name="Migliaia 36 10 4" xfId="33894" xr:uid="{CD423B10-289B-4E57-B56B-371E0BA56BF3}"/>
    <cellStyle name="Migliaia 36 10 5" xfId="20471" xr:uid="{A4FC67D3-E1B6-47F6-8BE1-C06EE131325D}"/>
    <cellStyle name="Migliaia 36 11" xfId="3568" xr:uid="{58C08506-521C-4522-812C-5607456F48EC}"/>
    <cellStyle name="Migliaia 36 11 2" xfId="36837" xr:uid="{AA0BA897-14D6-4DF6-AEE1-9985FB89A781}"/>
    <cellStyle name="Migliaia 36 12" xfId="42065" xr:uid="{BD443297-653A-4A39-8FE3-ABC3BA9E84CF}"/>
    <cellStyle name="Migliaia 36 13" xfId="7129" xr:uid="{78745416-15C0-4FDC-8ECC-0D74A4A18205}"/>
    <cellStyle name="Migliaia 36 2" xfId="418" xr:uid="{00000000-0005-0000-0000-0000C5030000}"/>
    <cellStyle name="Migliaia 36 2 2" xfId="1801" xr:uid="{00000000-0005-0000-0000-0000C6030000}"/>
    <cellStyle name="Migliaia 36 2 2 2" xfId="5296" xr:uid="{87AB162F-C46D-4D3E-9D83-23DF47E7BF86}"/>
    <cellStyle name="Migliaia 36 2 2 2 2" xfId="14392" xr:uid="{97D12C7B-0BCA-4A37-9A0A-88AA9F7377D9}"/>
    <cellStyle name="Migliaia 36 2 2 2 2 2" xfId="39415" xr:uid="{7D0EDCE4-4346-4897-AF86-0471B06D0CB8}"/>
    <cellStyle name="Migliaia 36 2 2 2 2 3" xfId="44717" xr:uid="{FD8392DE-1DA6-4090-A0B1-D2BB82F98A0C}"/>
    <cellStyle name="Migliaia 36 2 2 2 3" xfId="18449" xr:uid="{8623052E-E55D-468F-98E8-5A999E1BCBF7}"/>
    <cellStyle name="Migliaia 36 2 2 2 4" xfId="20474" xr:uid="{141BF681-F26C-4A8B-80E7-BE724A19330F}"/>
    <cellStyle name="Migliaia 36 2 2 2 4 2" xfId="42066" xr:uid="{C8F3E92B-3763-487C-87D7-8E53A0901DD8}"/>
    <cellStyle name="Migliaia 36 2 2 2 5" xfId="16459" xr:uid="{81D1D569-C2C4-4B82-A382-5F13DDFC5383}"/>
    <cellStyle name="Migliaia 36 2 2 2 6" xfId="8655" xr:uid="{0DE3CDD1-EB14-47CE-AFBA-D9D69D1034C9}"/>
    <cellStyle name="Migliaia 36 2 2 3" xfId="6491" xr:uid="{79B82C90-20C7-43F5-A25A-6BB448AFF5C5}"/>
    <cellStyle name="Migliaia 36 2 2 3 2" xfId="35326" xr:uid="{6882CD6B-5C2F-472D-BEBB-D42706D862AF}"/>
    <cellStyle name="Migliaia 36 2 2 3 2 2" xfId="40486" xr:uid="{FC2300A7-B81E-4038-AA2A-39E3AD4B4141}"/>
    <cellStyle name="Migliaia 36 2 2 3 2 3" xfId="45788" xr:uid="{B4A85D73-A2C6-4F6C-AD85-BF0EB592B23E}"/>
    <cellStyle name="Migliaia 36 2 2 3 3" xfId="37835" xr:uid="{635350B5-777A-4E18-85BA-D676CBCE2BA9}"/>
    <cellStyle name="Migliaia 36 2 2 3 4" xfId="43137" xr:uid="{556C4E30-2615-483E-A2DF-CC9A3BE671D1}"/>
    <cellStyle name="Migliaia 36 2 2 3 5" xfId="11619" xr:uid="{C8675D5F-EAAD-488A-9445-A4CD5E3E97A2}"/>
    <cellStyle name="Migliaia 36 2 2 4" xfId="3570" xr:uid="{B6888A4E-D4EF-4401-B7E7-4950A8660E79}"/>
    <cellStyle name="Migliaia 36 2 2 4 2" xfId="21513" xr:uid="{8AE00B50-A1F6-490C-B2D7-E47ECD1693B9}"/>
    <cellStyle name="Migliaia 36 2 2 4 3" xfId="47677" xr:uid="{CD910940-C325-43A5-83F2-2F835A9DC051}"/>
    <cellStyle name="Migliaia 36 2 2 4 4" xfId="50528" xr:uid="{0D78005E-0E2D-4987-B8EB-4A8995B4A86E}"/>
    <cellStyle name="Migliaia 36 2 2 4 5" xfId="53544" xr:uid="{8E7BE9D5-743D-4839-9748-D6028AF7E5AE}"/>
    <cellStyle name="Migliaia 36 2 2 4 6" xfId="10878" xr:uid="{A6741AE2-8C7D-4A56-8F8A-ECD1D8B20579}"/>
    <cellStyle name="Migliaia 36 2 2 5" xfId="20473" xr:uid="{F343B374-A2F7-4EE7-A150-AA62DE8A4D8C}"/>
    <cellStyle name="Migliaia 36 2 2 6" xfId="24832" xr:uid="{52F02520-E755-4942-B6B7-E44B6CBAE4E6}"/>
    <cellStyle name="Migliaia 36 2 2 7" xfId="7465" xr:uid="{B7B4C0CC-0A66-4593-A5D4-F1FD786033C6}"/>
    <cellStyle name="Migliaia 36 2 3" xfId="3571" xr:uid="{8094135A-E435-4DA3-AA1A-041A3D620BE6}"/>
    <cellStyle name="Migliaia 36 2 3 2" xfId="5297" xr:uid="{9113FBDD-7221-4DC3-A464-F40898443AB4}"/>
    <cellStyle name="Migliaia 36 2 3 2 2" xfId="35327" xr:uid="{48FA998B-E839-45E7-83CE-F949C4080F0B}"/>
    <cellStyle name="Migliaia 36 2 3 2 2 2" xfId="40487" xr:uid="{284E1EDF-43D4-4FAB-B640-FEFDF9FFD535}"/>
    <cellStyle name="Migliaia 36 2 3 2 2 3" xfId="45789" xr:uid="{4BAE88DF-4E50-477D-99E1-9CA1EA40F9A2}"/>
    <cellStyle name="Migliaia 36 2 3 2 3" xfId="37836" xr:uid="{7BE50D8D-B8F5-4094-9570-E4148A657E9F}"/>
    <cellStyle name="Migliaia 36 2 3 2 4" xfId="43138" xr:uid="{D7070C03-0F43-4D39-A94B-6E8183EDB41A}"/>
    <cellStyle name="Migliaia 36 2 3 2 5" xfId="14267" xr:uid="{68088151-924D-4CAE-8CE3-71ACE08025FC}"/>
    <cellStyle name="Migliaia 36 2 3 3" xfId="6492" xr:uid="{5876BC9E-63CF-427D-BDF3-1400CC098E78}"/>
    <cellStyle name="Migliaia 36 2 3 3 2" xfId="39416" xr:uid="{C7F225D3-1124-422A-A22B-B6EDE41001EA}"/>
    <cellStyle name="Migliaia 36 2 3 3 3" xfId="44718" xr:uid="{71ED1ACD-3FAE-4AF0-8B58-EABD109E927D}"/>
    <cellStyle name="Migliaia 36 2 3 3 4" xfId="33895" xr:uid="{405B30BB-A270-4AA0-826C-A7CF357671A6}"/>
    <cellStyle name="Migliaia 36 2 3 3 5" xfId="20475" xr:uid="{8FFD3A4A-105F-4EB3-84A2-C552E2B03D7D}"/>
    <cellStyle name="Migliaia 36 2 3 4" xfId="36838" xr:uid="{3701ABCE-18F7-487C-B26A-43AFD0680A05}"/>
    <cellStyle name="Migliaia 36 2 3 5" xfId="42067" xr:uid="{5F3055B3-5D99-4E0B-B9D1-47D2F052E433}"/>
    <cellStyle name="Migliaia 36 2 3 6" xfId="16460" xr:uid="{62748B07-05F0-4EE2-A06A-03EC7EFD6D1D}"/>
    <cellStyle name="Migliaia 36 2 3 7" xfId="8329" xr:uid="{AAEFA122-BD25-4112-86DE-9B08CD50D5CE}"/>
    <cellStyle name="Migliaia 36 2 4" xfId="5295" xr:uid="{0384A640-D228-4056-99ED-66E3F6E79D3E}"/>
    <cellStyle name="Migliaia 36 2 4 2" xfId="13972" xr:uid="{47E2B3DC-375E-4DDD-8D72-EC3580CFF202}"/>
    <cellStyle name="Migliaia 36 2 4 2 2" xfId="39417" xr:uid="{ADB7633C-C35B-404F-AC05-FDAEF3634CCE}"/>
    <cellStyle name="Migliaia 36 2 4 2 3" xfId="44719" xr:uid="{E9E5FA52-D1E5-40E7-8E17-D66EB319193C}"/>
    <cellStyle name="Migliaia 36 2 4 3" xfId="18612" xr:uid="{B78D1614-897C-4FA0-9EA7-2AB879C9DF28}"/>
    <cellStyle name="Migliaia 36 2 4 4" xfId="20476" xr:uid="{DE71B8A1-8072-4123-B369-3CDE6E9CD971}"/>
    <cellStyle name="Migliaia 36 2 4 4 2" xfId="42068" xr:uid="{E611F0A1-9F82-4ABD-B8F1-C2F8473CDC46}"/>
    <cellStyle name="Migliaia 36 2 4 5" xfId="16461" xr:uid="{D4D7031C-B9DF-4013-8699-94B25270819C}"/>
    <cellStyle name="Migliaia 36 2 4 6" xfId="7939" xr:uid="{5DBC49E1-8100-4088-9734-1339BA9CFF28}"/>
    <cellStyle name="Migliaia 36 2 5" xfId="6490" xr:uid="{EC78BB23-7BE4-4354-A845-48A8F1BB148E}"/>
    <cellStyle name="Migliaia 36 2 5 2" xfId="33896" xr:uid="{79499D13-3108-44C0-914E-F3892B16ECD7}"/>
    <cellStyle name="Migliaia 36 2 5 2 2" xfId="39418" xr:uid="{182B7427-7DBA-4947-9528-6EEB055D82E3}"/>
    <cellStyle name="Migliaia 36 2 5 2 3" xfId="44720" xr:uid="{DEE5C170-2F07-4C2F-870F-0ADDE6976057}"/>
    <cellStyle name="Migliaia 36 2 5 3" xfId="36839" xr:uid="{46124F6F-891C-486F-B163-A18644F2802B}"/>
    <cellStyle name="Migliaia 36 2 5 4" xfId="42069" xr:uid="{D9DC65B5-A46E-4637-9411-A679225AE683}"/>
    <cellStyle name="Migliaia 36 2 5 5" xfId="13132" xr:uid="{904B0CB1-A8B0-47A0-A121-5DD75295368A}"/>
    <cellStyle name="Migliaia 36 2 6" xfId="3569" xr:uid="{6CD0B3D0-A4CE-4EDF-B1C6-2FA6BBC8FAE6}"/>
    <cellStyle name="Migliaia 36 2 6 2" xfId="33897" xr:uid="{AC9EB05A-F31B-4D48-8BBF-A48744B194B2}"/>
    <cellStyle name="Migliaia 36 2 6 2 2" xfId="39419" xr:uid="{4D192AF3-A505-4228-A62E-BAE1C644D6A5}"/>
    <cellStyle name="Migliaia 36 2 6 2 3" xfId="44721" xr:uid="{FC0F1878-F7C7-4246-A96C-91475F48FAF4}"/>
    <cellStyle name="Migliaia 36 2 6 3" xfId="36840" xr:uid="{D2A66AB2-44A5-40F6-A003-28DDCEFAB18C}"/>
    <cellStyle name="Migliaia 36 2 6 4" xfId="42070" xr:uid="{9386AA56-5CE8-4479-BF5C-C0443A311A5A}"/>
    <cellStyle name="Migliaia 36 2 6 5" xfId="24833" xr:uid="{04DA511E-C193-4F1F-A2D9-1C77B5D40DCF}"/>
    <cellStyle name="Migliaia 36 2 6 6" xfId="20472" xr:uid="{4FE9DDF1-899F-474D-BFC9-E49F90B81F95}"/>
    <cellStyle name="Migliaia 36 2 7" xfId="24831" xr:uid="{8080D3BE-4741-4CCB-BFDE-3083AB10172C}"/>
    <cellStyle name="Migliaia 36 2 8" xfId="7130" xr:uid="{7ACEB17C-22D0-4F82-A6CE-9FCB3AC3C7CA}"/>
    <cellStyle name="Migliaia 36 3" xfId="419" xr:uid="{00000000-0005-0000-0000-0000C7030000}"/>
    <cellStyle name="Migliaia 36 3 10" xfId="24834" xr:uid="{05C2ED4A-C77C-4DE8-BDF3-9318CF8AF51C}"/>
    <cellStyle name="Migliaia 36 3 11" xfId="16462" xr:uid="{93EEF814-95F1-433E-ACB6-A6288DF9E7C6}"/>
    <cellStyle name="Migliaia 36 3 12" xfId="7131" xr:uid="{BDA04A7A-A35C-4D8F-A3BC-074B9F13A69B}"/>
    <cellStyle name="Migliaia 36 3 2" xfId="420" xr:uid="{00000000-0005-0000-0000-0000C8030000}"/>
    <cellStyle name="Migliaia 36 3 2 2" xfId="1802" xr:uid="{00000000-0005-0000-0000-0000C9030000}"/>
    <cellStyle name="Migliaia 36 3 2 2 2" xfId="5300" xr:uid="{A68C6E22-AFB7-4031-B00E-51E5168B3A9A}"/>
    <cellStyle name="Migliaia 36 3 2 2 2 2" xfId="18450" xr:uid="{0AE75AE1-C918-49FE-B773-7453C6F66CAC}"/>
    <cellStyle name="Migliaia 36 3 2 2 2 2 2" xfId="21870" xr:uid="{CBA4D7FF-7D4E-444D-A397-C074200AB5FB}"/>
    <cellStyle name="Migliaia 36 3 2 2 2 2 2 2" xfId="39420" xr:uid="{D30E7227-BCC3-4BB1-8D77-DFEEF75F037A}"/>
    <cellStyle name="Migliaia 36 3 2 2 2 2 3" xfId="44722" xr:uid="{9047D978-95A7-49BF-A0DF-614AABD38FD0}"/>
    <cellStyle name="Migliaia 36 3 2 2 2 2 4" xfId="33898" xr:uid="{3A1F09CD-B7EB-4ABD-B787-F96F3B573FB2}"/>
    <cellStyle name="Migliaia 36 3 2 2 2 3" xfId="36841" xr:uid="{CECBA0DC-1C8A-47FA-AA63-5872CF081AA0}"/>
    <cellStyle name="Migliaia 36 3 2 2 2 4" xfId="42071" xr:uid="{3B6EB353-F640-47B3-A743-F97E75D1BABB}"/>
    <cellStyle name="Migliaia 36 3 2 2 2 5" xfId="34221" xr:uid="{864F0341-1164-4D0D-B3F1-81C68DE0FB7D}"/>
    <cellStyle name="Migliaia 36 3 2 2 2 6" xfId="50898" xr:uid="{A58A1FD4-4DBF-4941-A2A0-0952F9695287}"/>
    <cellStyle name="Migliaia 36 3 2 2 2 7" xfId="53914" xr:uid="{CC32B9F3-9D61-4546-AB29-DF7D86DBDA99}"/>
    <cellStyle name="Migliaia 36 3 2 2 2 8" xfId="17667" xr:uid="{134703B5-8509-42BE-AA88-E871B3DC78B6}"/>
    <cellStyle name="Migliaia 36 3 2 2 2 9" xfId="12003" xr:uid="{ED95BD90-8DAE-4314-86FA-DEA4114A027B}"/>
    <cellStyle name="Migliaia 36 3 2 2 3" xfId="6495" xr:uid="{992A68F2-B6EC-4E0D-8040-E303B710EE84}"/>
    <cellStyle name="Migliaia 36 3 2 2 3 2" xfId="12173" xr:uid="{55C2DC19-72E6-4D9D-A6FD-958E8F0E0F22}"/>
    <cellStyle name="Migliaia 36 3 2 2 4" xfId="3574" xr:uid="{337A7159-65BB-44AF-B25E-1C075E098118}"/>
    <cellStyle name="Migliaia 36 3 2 2 4 2" xfId="21514" xr:uid="{4A479141-B22A-48B3-B810-8362F3F668A4}"/>
    <cellStyle name="Migliaia 36 3 2 2 4 3" xfId="48282" xr:uid="{4BDE52A2-7AD3-432A-A9FF-34341121F1FC}"/>
    <cellStyle name="Migliaia 36 3 2 2 4 4" xfId="50529" xr:uid="{AAE8042A-D213-4B56-A5EF-BFF828BBC076}"/>
    <cellStyle name="Migliaia 36 3 2 2 4 5" xfId="53545" xr:uid="{58BAC94D-2C82-4CF2-ADD7-B9AFE8DD4657}"/>
    <cellStyle name="Migliaia 36 3 2 2 4 6" xfId="10879" xr:uid="{93DDFA7C-F657-4C3D-BF3F-4BF7FB6E34E2}"/>
    <cellStyle name="Migliaia 36 3 2 2 5" xfId="20479" xr:uid="{CB935A20-7E65-42E6-AD15-ADDD65223421}"/>
    <cellStyle name="Migliaia 36 3 2 2 6" xfId="24836" xr:uid="{FA882C5B-F746-4FEC-89ED-0F15DD54C48C}"/>
    <cellStyle name="Migliaia 36 3 2 2 7" xfId="8657" xr:uid="{8E912580-E3FF-4ECB-9BEA-E94AD99073AB}"/>
    <cellStyle name="Migliaia 36 3 2 3" xfId="5299" xr:uid="{4154503D-E0A1-442E-B8FA-37ACEAAF403B}"/>
    <cellStyle name="Migliaia 36 3 2 3 2" xfId="11545" xr:uid="{E0862835-E32A-45B1-82A4-C44905CF8463}"/>
    <cellStyle name="Migliaia 36 3 2 3 2 2" xfId="39421" xr:uid="{1882E14A-40F0-4839-AD03-2038782E9505}"/>
    <cellStyle name="Migliaia 36 3 2 3 2 3" xfId="44723" xr:uid="{BD8B55ED-CE25-4BC6-AF2D-8D7DBF37012F}"/>
    <cellStyle name="Migliaia 36 3 2 3 2 4" xfId="33899" xr:uid="{A12C6DBD-2C4B-41C3-8CB5-699C20695650}"/>
    <cellStyle name="Migliaia 36 3 2 3 3" xfId="12004" xr:uid="{87F9A3CA-C4A1-4DEB-A221-292BE76D45F5}"/>
    <cellStyle name="Migliaia 36 3 2 3 4" xfId="20480" xr:uid="{47279AB4-5F92-466D-88B9-E5341DC45542}"/>
    <cellStyle name="Migliaia 36 3 2 3 4 2" xfId="42072" xr:uid="{1C9683CF-A354-4243-B482-43D6EB002F69}"/>
    <cellStyle name="Migliaia 36 3 2 3 5" xfId="16463" xr:uid="{7F5B7541-03A9-48A5-A3B5-1D9DB21DA7B8}"/>
    <cellStyle name="Migliaia 36 3 2 3 6" xfId="7941" xr:uid="{E0DDB3A5-4BD1-4C87-8427-9CF237AA4B44}"/>
    <cellStyle name="Migliaia 36 3 2 4" xfId="6494" xr:uid="{579800BC-9E19-4ECE-B2ED-51F95B17AFCE}"/>
    <cellStyle name="Migliaia 36 3 2 4 2" xfId="18086" xr:uid="{9420A33A-3AF6-4CDF-B3A5-CD6A2545A258}"/>
    <cellStyle name="Migliaia 36 3 2 4 2 2" xfId="39422" xr:uid="{48FAA461-814A-4ABE-A930-17BBFB470268}"/>
    <cellStyle name="Migliaia 36 3 2 4 2 3" xfId="44724" xr:uid="{C60E253C-F9AE-4A41-9734-0A01B16B7134}"/>
    <cellStyle name="Migliaia 36 3 2 4 3" xfId="36842" xr:uid="{FC5AAA75-6372-468C-854A-452880F7B303}"/>
    <cellStyle name="Migliaia 36 3 2 4 4" xfId="42073" xr:uid="{0A589F53-445A-4FC7-81AD-C805EC45020E}"/>
    <cellStyle name="Migliaia 36 3 2 4 5" xfId="17194" xr:uid="{92C12346-4C87-49FD-ACF7-893389A2F5EE}"/>
    <cellStyle name="Migliaia 36 3 2 4 6" xfId="11352" xr:uid="{380D8714-9D64-4F16-995E-478CD1C79B53}"/>
    <cellStyle name="Migliaia 36 3 2 5" xfId="3573" xr:uid="{D32DA5F0-6200-40A4-A83D-F8DC007C46F0}"/>
    <cellStyle name="Migliaia 36 3 2 5 2" xfId="33900" xr:uid="{B5AA1899-310D-4457-96F4-A19D15177A85}"/>
    <cellStyle name="Migliaia 36 3 2 5 2 2" xfId="39423" xr:uid="{1F166513-3FB5-42DA-83BF-6BAE2BA23DC8}"/>
    <cellStyle name="Migliaia 36 3 2 5 2 3" xfId="44725" xr:uid="{117D172F-1121-4149-8278-A226CA6169F4}"/>
    <cellStyle name="Migliaia 36 3 2 5 3" xfId="36843" xr:uid="{75072238-E470-418E-B44D-3D1E316EAC9D}"/>
    <cellStyle name="Migliaia 36 3 2 5 4" xfId="42074" xr:uid="{82D8CDD8-82EB-40EA-822B-3511CE8A6713}"/>
    <cellStyle name="Migliaia 36 3 2 5 5" xfId="17339" xr:uid="{C4362ED0-CCE6-4D60-AD98-A7EAF93CB217}"/>
    <cellStyle name="Migliaia 36 3 2 6" xfId="20478" xr:uid="{7B628A51-F324-47CA-856B-4A33EBD4C146}"/>
    <cellStyle name="Migliaia 36 3 2 6 2" xfId="33901" xr:uid="{506C3313-B2B2-477C-8243-FB7131671C2E}"/>
    <cellStyle name="Migliaia 36 3 2 6 2 2" xfId="39424" xr:uid="{FAE582FA-1934-4136-9183-8E42E2C9ED2A}"/>
    <cellStyle name="Migliaia 36 3 2 6 2 3" xfId="44726" xr:uid="{C68E5F90-25AE-4075-A343-9D7B7DE60DD0}"/>
    <cellStyle name="Migliaia 36 3 2 6 3" xfId="36844" xr:uid="{7B41E84E-1FB0-4183-9806-67196AFC9401}"/>
    <cellStyle name="Migliaia 36 3 2 6 4" xfId="42075" xr:uid="{FE2CBC31-0DFB-45B2-B2BA-3CFAEF4E0FBC}"/>
    <cellStyle name="Migliaia 36 3 2 6 5" xfId="24837" xr:uid="{A70E5667-BF9B-4EB0-B703-EF400AF6100F}"/>
    <cellStyle name="Migliaia 36 3 2 7" xfId="24835" xr:uid="{C06817C7-AFD6-4F4E-A435-25B116BB4658}"/>
    <cellStyle name="Migliaia 36 3 2 8" xfId="7467" xr:uid="{03A560B9-4161-49C7-8AA6-0F0B07432838}"/>
    <cellStyle name="Migliaia 36 3 3" xfId="3575" xr:uid="{1DBB7E85-626C-42CC-8543-D54BD0C386D4}"/>
    <cellStyle name="Migliaia 36 3 3 10" xfId="7466" xr:uid="{AE4E723B-C728-4774-A0E5-13B840D4DABD}"/>
    <cellStyle name="Migliaia 36 3 3 2" xfId="5301" xr:uid="{3A0810FC-82D8-485D-B108-E6ABE8150B57}"/>
    <cellStyle name="Migliaia 36 3 3 2 2" xfId="9940" xr:uid="{0E045777-23DA-405D-8422-D1A78FB4E193}"/>
    <cellStyle name="Migliaia 36 3 3 2 2 2" xfId="39426" xr:uid="{5A94322E-24B1-42B6-A3CE-C4FA798C3852}"/>
    <cellStyle name="Migliaia 36 3 3 2 2 3" xfId="44728" xr:uid="{362060BC-8FF0-4494-A546-F09F3FF4CF19}"/>
    <cellStyle name="Migliaia 36 3 3 2 3" xfId="18220" xr:uid="{B223D836-8D43-4A0E-8F46-144F9184F6C9}"/>
    <cellStyle name="Migliaia 36 3 3 2 4" xfId="20482" xr:uid="{BBA352EF-4EB5-49B2-94D9-6B01DB85D091}"/>
    <cellStyle name="Migliaia 36 3 3 2 4 2" xfId="42077" xr:uid="{69748A5B-9D5D-47F7-BC23-1C6AFE637931}"/>
    <cellStyle name="Migliaia 36 3 3 2 5" xfId="16465" xr:uid="{459BB27F-5947-434F-99F9-BDC8E38C103B}"/>
    <cellStyle name="Migliaia 36 3 3 2 6" xfId="8656" xr:uid="{046E0377-7A17-4434-9D44-9A8192E5BEBE}"/>
    <cellStyle name="Migliaia 36 3 3 3" xfId="6496" xr:uid="{03093440-5518-4180-BE9E-119CCD99DE4E}"/>
    <cellStyle name="Migliaia 36 3 3 3 2" xfId="33903" xr:uid="{C3E8F64E-216D-4A98-8955-3F649B8C1CC3}"/>
    <cellStyle name="Migliaia 36 3 3 3 2 2" xfId="39427" xr:uid="{2E5D69F1-D2AF-4AB7-B4D4-4E7B5BC05D9D}"/>
    <cellStyle name="Migliaia 36 3 3 3 2 3" xfId="44729" xr:uid="{47B782FE-680D-4023-AF18-2E3D71878C16}"/>
    <cellStyle name="Migliaia 36 3 3 3 3" xfId="36846" xr:uid="{057D4F3A-C5F0-441A-806E-6F80D754F3A9}"/>
    <cellStyle name="Migliaia 36 3 3 3 4" xfId="42078" xr:uid="{44A17FD5-1BCD-4EF2-B9C4-2ECF294912D3}"/>
    <cellStyle name="Migliaia 36 3 3 3 5" xfId="9703" xr:uid="{DB5C8FDD-64DE-49CC-8C0A-A31D2CB08C04}"/>
    <cellStyle name="Migliaia 36 3 3 4" xfId="20481" xr:uid="{742A8561-DC10-4B10-89D8-1F7AF7293BD6}"/>
    <cellStyle name="Migliaia 36 3 3 4 2" xfId="33904" xr:uid="{CBF9C1AA-F0EA-4F8E-800A-B3E266B1477A}"/>
    <cellStyle name="Migliaia 36 3 3 4 2 2" xfId="39428" xr:uid="{9B1B3926-5D30-4B49-8FFB-2B420180750D}"/>
    <cellStyle name="Migliaia 36 3 3 4 2 3" xfId="44730" xr:uid="{E08C8015-073A-44DD-8C6A-B800E2F9E4EF}"/>
    <cellStyle name="Migliaia 36 3 3 4 3" xfId="36847" xr:uid="{E5BBC612-F97E-4A79-A096-C95C62A0532D}"/>
    <cellStyle name="Migliaia 36 3 3 4 4" xfId="42079" xr:uid="{CAF426EF-C40D-4F87-8F2D-B9528B60D6B2}"/>
    <cellStyle name="Migliaia 36 3 3 4 5" xfId="24838" xr:uid="{3FC16F62-CA16-440B-A5EC-1636C8D18A66}"/>
    <cellStyle name="Migliaia 36 3 3 5" xfId="24839" xr:uid="{D377D0BF-3DC5-4582-9299-6FDFE6578186}"/>
    <cellStyle name="Migliaia 36 3 3 5 2" xfId="33905" xr:uid="{BF3C30DD-A56D-4D7E-A18E-F0FD3C23DE08}"/>
    <cellStyle name="Migliaia 36 3 3 5 2 2" xfId="39429" xr:uid="{C9CD9B14-C363-4FC7-AD7A-DF95BC807425}"/>
    <cellStyle name="Migliaia 36 3 3 5 2 3" xfId="44731" xr:uid="{C3F188C2-8C14-4317-8343-29D6B303B124}"/>
    <cellStyle name="Migliaia 36 3 3 5 3" xfId="36848" xr:uid="{DDB03E3E-9102-4593-99E1-CC7B2F57D0BE}"/>
    <cellStyle name="Migliaia 36 3 3 5 4" xfId="42080" xr:uid="{8E177F9C-89E9-4A97-9801-1D2ABD3B053B}"/>
    <cellStyle name="Migliaia 36 3 3 6" xfId="33902" xr:uid="{5E404858-E3D1-4C7F-8F22-2E408BC8BF10}"/>
    <cellStyle name="Migliaia 36 3 3 6 2" xfId="39425" xr:uid="{4A36A7CB-634A-41F9-8A01-B0A9025D97E1}"/>
    <cellStyle name="Migliaia 36 3 3 6 3" xfId="44727" xr:uid="{17EC7732-F656-42B2-907F-9D9917EEE6C3}"/>
    <cellStyle name="Migliaia 36 3 3 7" xfId="36845" xr:uid="{66F2E748-4459-45F1-AC11-CB3A756223EF}"/>
    <cellStyle name="Migliaia 36 3 3 8" xfId="42076" xr:uid="{692E1DF2-BCA5-44F4-AF3D-11D61C5B4455}"/>
    <cellStyle name="Migliaia 36 3 3 9" xfId="16464" xr:uid="{028A8858-589A-43CC-BB7B-CDAC0661F681}"/>
    <cellStyle name="Migliaia 36 3 4" xfId="3576" xr:uid="{3C366B86-3260-4393-BB3C-3852064D4B57}"/>
    <cellStyle name="Migliaia 36 3 4 2" xfId="5302" xr:uid="{DF2916DD-A922-4D44-A80D-B4559848DC9B}"/>
    <cellStyle name="Migliaia 36 3 4 2 2" xfId="14452" xr:uid="{EE63CB77-F4F1-45F1-B3C4-DA91BFA537B3}"/>
    <cellStyle name="Migliaia 36 3 4 2 3" xfId="18582" xr:uid="{98DE43FF-5D29-425F-B7A9-38E5C04A4F96}"/>
    <cellStyle name="Migliaia 36 3 4 2 4" xfId="20484" xr:uid="{BEE14D52-9E50-4050-89B0-DFE822E3D1E1}"/>
    <cellStyle name="Migliaia 36 3 4 2 5" xfId="32389" xr:uid="{D2ABE191-6DF7-4334-B52E-432819D67918}"/>
    <cellStyle name="Migliaia 36 3 4 2 6" xfId="16467" xr:uid="{A7034F77-CCD9-4C3F-B638-757ED856AC19}"/>
    <cellStyle name="Migliaia 36 3 4 2 7" xfId="8875" xr:uid="{30F53B32-5572-4470-99C9-746B8A918D2C}"/>
    <cellStyle name="Migliaia 36 3 4 3" xfId="6497" xr:uid="{85C9C61A-2BBB-452B-8B33-44913060BCB7}"/>
    <cellStyle name="Migliaia 36 3 4 3 2" xfId="35328" xr:uid="{6190AC00-BAED-4B85-90F9-CCE0B4F43B17}"/>
    <cellStyle name="Migliaia 36 3 4 3 2 2" xfId="40488" xr:uid="{A82EE6B0-542F-4457-ADA3-EF0EA7AFFAC7}"/>
    <cellStyle name="Migliaia 36 3 4 3 2 3" xfId="45790" xr:uid="{A38D578D-B3B7-462A-BA40-5DE22FF6D380}"/>
    <cellStyle name="Migliaia 36 3 4 3 3" xfId="37837" xr:uid="{B503AF36-ACFC-4F6A-ADDA-285922795E33}"/>
    <cellStyle name="Migliaia 36 3 4 3 4" xfId="43139" xr:uid="{592E4CA8-F9D8-4E11-8157-912BB7BDD6A2}"/>
    <cellStyle name="Migliaia 36 3 4 3 5" xfId="13700" xr:uid="{8C323E83-DD3C-4C62-A753-AA8D9C389B76}"/>
    <cellStyle name="Migliaia 36 3 4 4" xfId="20483" xr:uid="{CE3E503F-46E9-4208-8AEE-BDE2E6289D2C}"/>
    <cellStyle name="Migliaia 36 3 4 4 2" xfId="39430" xr:uid="{9E26519A-7AB5-4D84-9F7A-E298A4A6797E}"/>
    <cellStyle name="Migliaia 36 3 4 4 3" xfId="44732" xr:uid="{FDB52958-1563-4CB1-A322-56245D1117E9}"/>
    <cellStyle name="Migliaia 36 3 4 4 4" xfId="33906" xr:uid="{308926A8-307A-4D4E-9906-F663FD0680EE}"/>
    <cellStyle name="Migliaia 36 3 4 5" xfId="36849" xr:uid="{090AB221-139F-414B-95EE-B39DD888148E}"/>
    <cellStyle name="Migliaia 36 3 4 6" xfId="42081" xr:uid="{E4847883-5E17-432F-AE3C-6B236B18B24C}"/>
    <cellStyle name="Migliaia 36 3 4 7" xfId="16466" xr:uid="{21D8ADD5-9733-4419-BA1F-CDE6C05B11C5}"/>
    <cellStyle name="Migliaia 36 3 4 8" xfId="7685" xr:uid="{9295684D-59DA-45A8-84D3-2B8D4030A9C8}"/>
    <cellStyle name="Migliaia 36 3 5" xfId="3577" xr:uid="{E32069A4-8CE1-46AE-9FBF-9A8E9DA3F600}"/>
    <cellStyle name="Migliaia 36 3 5 2" xfId="5303" xr:uid="{07FD3BAC-84CC-4A28-A924-DB3C71700492}"/>
    <cellStyle name="Migliaia 36 3 5 2 2" xfId="35329" xr:uid="{A4E1ACE6-F7CA-4B1C-9B80-23509FC61572}"/>
    <cellStyle name="Migliaia 36 3 5 2 2 2" xfId="40489" xr:uid="{FD25F39A-87BE-4DC8-BD05-C8031F41350C}"/>
    <cellStyle name="Migliaia 36 3 5 2 2 3" xfId="45791" xr:uid="{83361D3C-3677-4626-95C5-DC01E22756EA}"/>
    <cellStyle name="Migliaia 36 3 5 2 3" xfId="37838" xr:uid="{7F6ECD10-0D17-49EF-95A2-4E1DD032BBC3}"/>
    <cellStyle name="Migliaia 36 3 5 2 4" xfId="43140" xr:uid="{1B680D8D-FC69-4472-9AFD-349A32812F4E}"/>
    <cellStyle name="Migliaia 36 3 5 2 5" xfId="14268" xr:uid="{DD1814F6-4B6A-48D1-B43C-DB12D378A566}"/>
    <cellStyle name="Migliaia 36 3 5 3" xfId="6498" xr:uid="{90C877CF-C853-43BF-B00E-2D9D705D00BC}"/>
    <cellStyle name="Migliaia 36 3 5 3 2" xfId="39431" xr:uid="{E807924A-5844-4F4D-B013-FDA2AD3871C7}"/>
    <cellStyle name="Migliaia 36 3 5 3 3" xfId="44733" xr:uid="{F52D4798-6AD9-48DD-911E-BD15D02C45D6}"/>
    <cellStyle name="Migliaia 36 3 5 3 4" xfId="33907" xr:uid="{2CA2B84D-C7B9-4EEB-A32B-87FE037F8257}"/>
    <cellStyle name="Migliaia 36 3 5 3 5" xfId="20485" xr:uid="{FE79506D-2AF5-4551-8114-4570C335B777}"/>
    <cellStyle name="Migliaia 36 3 5 4" xfId="36850" xr:uid="{0BD02983-F368-4408-B3F9-1BECE077ABC6}"/>
    <cellStyle name="Migliaia 36 3 5 5" xfId="42082" xr:uid="{E87345A0-3375-4874-810D-BD162C18C00C}"/>
    <cellStyle name="Migliaia 36 3 5 6" xfId="16468" xr:uid="{E3DE6576-090D-41A2-B289-6F7EAE4B744F}"/>
    <cellStyle name="Migliaia 36 3 5 7" xfId="8330" xr:uid="{BBEF1296-4363-4718-AB3F-7C15CACBCDDF}"/>
    <cellStyle name="Migliaia 36 3 6" xfId="5298" xr:uid="{5ACC02D6-41A4-4405-8785-70D55A2359E1}"/>
    <cellStyle name="Migliaia 36 3 6 2" xfId="13973" xr:uid="{624D3C30-9198-4E0A-BDCE-459E6C027E67}"/>
    <cellStyle name="Migliaia 36 3 6 2 2" xfId="39432" xr:uid="{63F31C34-EC4E-4C4E-A086-6EBCC68E1E92}"/>
    <cellStyle name="Migliaia 36 3 6 2 3" xfId="44734" xr:uid="{B333190C-1983-4265-A476-F6AAD081DF40}"/>
    <cellStyle name="Migliaia 36 3 6 3" xfId="18561" xr:uid="{6AC15317-E575-49CC-A4AC-E6DB535EAC0D}"/>
    <cellStyle name="Migliaia 36 3 6 4" xfId="20486" xr:uid="{98A866AE-E99B-4A74-A7B6-1DD6C08A6CF6}"/>
    <cellStyle name="Migliaia 36 3 6 4 2" xfId="42083" xr:uid="{D7E12C49-1D26-44AD-8803-E576EC29FB7E}"/>
    <cellStyle name="Migliaia 36 3 6 5" xfId="16469" xr:uid="{407E93A1-F592-4B92-8449-395B3CCE5BDC}"/>
    <cellStyle name="Migliaia 36 3 6 6" xfId="7940" xr:uid="{252BD699-3F28-4BB4-AEC5-1583546D6F1A}"/>
    <cellStyle name="Migliaia 36 3 7" xfId="6493" xr:uid="{F1B11BC4-F524-4F0C-A10F-DDA2BEBFAC9B}"/>
    <cellStyle name="Migliaia 36 3 7 2" xfId="33908" xr:uid="{29006B68-29BC-4A85-94BB-6D37CA4E0029}"/>
    <cellStyle name="Migliaia 36 3 7 2 2" xfId="39433" xr:uid="{57392AF9-E315-4749-8816-B3B8DF036693}"/>
    <cellStyle name="Migliaia 36 3 7 2 3" xfId="44735" xr:uid="{A7415F97-C59F-4F42-AC2B-CE82D35A9640}"/>
    <cellStyle name="Migliaia 36 3 7 3" xfId="36851" xr:uid="{0368496F-7FCD-4C7C-9AAA-5E8447C1929B}"/>
    <cellStyle name="Migliaia 36 3 7 4" xfId="42084" xr:uid="{87DEE3D2-F370-4EB7-A53E-22C9266C968E}"/>
    <cellStyle name="Migliaia 36 3 7 5" xfId="11219" xr:uid="{5D910BE9-0BB8-45FF-9236-7E369E2EA820}"/>
    <cellStyle name="Migliaia 36 3 8" xfId="3572" xr:uid="{C7D91E42-3FF5-4A73-83A9-C67D74F13EC0}"/>
    <cellStyle name="Migliaia 36 3 8 2" xfId="33909" xr:uid="{54A140D0-9CC9-48FA-9F24-813696377B06}"/>
    <cellStyle name="Migliaia 36 3 8 2 2" xfId="39434" xr:uid="{3EFF636F-1CC6-4D32-A0C9-5B65C0DD649B}"/>
    <cellStyle name="Migliaia 36 3 8 2 3" xfId="44736" xr:uid="{C59F0859-960E-4D14-AF33-1C6CAE153735}"/>
    <cellStyle name="Migliaia 36 3 8 3" xfId="36852" xr:uid="{DF8C79A7-B41C-4FEC-B976-E4E5015DF8B9}"/>
    <cellStyle name="Migliaia 36 3 8 4" xfId="42085" xr:uid="{B691E97A-F76C-4C4D-AA13-5E3D573E35F4}"/>
    <cellStyle name="Migliaia 36 3 8 5" xfId="24840" xr:uid="{C701881A-06E7-4E04-81B0-7E63260CF4C7}"/>
    <cellStyle name="Migliaia 36 3 8 6" xfId="17340" xr:uid="{6CFB5F46-100D-4E6C-B6D1-7C86F11A2669}"/>
    <cellStyle name="Migliaia 36 3 9" xfId="20477" xr:uid="{F6C684EB-9BF3-4822-835C-96C9D665B1C1}"/>
    <cellStyle name="Migliaia 36 4" xfId="1803" xr:uid="{00000000-0005-0000-0000-0000CA030000}"/>
    <cellStyle name="Migliaia 36 4 2" xfId="1804" xr:uid="{00000000-0005-0000-0000-0000CB030000}"/>
    <cellStyle name="Migliaia 36 4 2 2" xfId="5305" xr:uid="{4C27EBBB-E07F-4F03-A5E2-C47F22F7B4F7}"/>
    <cellStyle name="Migliaia 36 4 2 2 2" xfId="33910" xr:uid="{9C3832D7-665A-41C2-BED7-5DF08FBC3DD0}"/>
    <cellStyle name="Migliaia 36 4 2 2 2 2" xfId="39435" xr:uid="{E445EBB3-D3BE-4C15-89E4-C656A758F579}"/>
    <cellStyle name="Migliaia 36 4 2 2 2 3" xfId="44737" xr:uid="{47176AEA-A2C8-463C-8D5E-B034DBE88F03}"/>
    <cellStyle name="Migliaia 36 4 2 2 3" xfId="36853" xr:uid="{2B7C91D8-2FE6-4007-8C7A-AD1C80F3D021}"/>
    <cellStyle name="Migliaia 36 4 2 2 4" xfId="42086" xr:uid="{DC7B8D2F-DE08-443C-8B88-4FDA17D1B416}"/>
    <cellStyle name="Migliaia 36 4 2 2 5" xfId="9166" xr:uid="{83408B39-B3C5-4003-A8AD-696AB17B8B38}"/>
    <cellStyle name="Migliaia 36 4 2 3" xfId="3579" xr:uid="{FFA56A31-073A-42D4-94F7-8AFDEAF08229}"/>
    <cellStyle name="Migliaia 36 4 2 3 2" xfId="33911" xr:uid="{CD620643-9DE6-490D-BFD8-F05614ADAAE9}"/>
    <cellStyle name="Migliaia 36 4 2 3 2 2" xfId="39436" xr:uid="{DF39283A-C868-41FF-BE35-F58E7E39DB01}"/>
    <cellStyle name="Migliaia 36 4 2 3 2 3" xfId="44738" xr:uid="{96981CD3-6F2C-44CC-9A22-2358694E7F6F}"/>
    <cellStyle name="Migliaia 36 4 2 3 3" xfId="36854" xr:uid="{C34E303E-540C-481C-A63F-DC5FA3A049EE}"/>
    <cellStyle name="Migliaia 36 4 2 3 4" xfId="42087" xr:uid="{7F50327D-6F92-4863-BE64-1B35CD05CC3A}"/>
    <cellStyle name="Migliaia 36 4 2 3 5" xfId="12005" xr:uid="{0F8F446B-962B-46E8-8555-26AEC8B74491}"/>
    <cellStyle name="Migliaia 36 4 2 4" xfId="11354" xr:uid="{16FDEE46-0A33-4ACD-98F0-E4BAC4868DA5}"/>
    <cellStyle name="Migliaia 36 4 2 5" xfId="10881" xr:uid="{2201E4F8-CBB1-40C6-9622-B313B8646819}"/>
    <cellStyle name="Migliaia 36 4 2 5 2" xfId="21516" xr:uid="{675DBB6D-B31B-4680-BB69-98AE6632F0CD}"/>
    <cellStyle name="Migliaia 36 4 2 5 3" xfId="23993" xr:uid="{AEEF6ED9-4CDF-40F0-9FD6-C86F27FE3CB1}"/>
    <cellStyle name="Migliaia 36 4 2 5 4" xfId="50531" xr:uid="{714CA27D-2464-44BC-A3C8-F7BE90025D45}"/>
    <cellStyle name="Migliaia 36 4 2 5 5" xfId="53547" xr:uid="{FF3CB944-FF29-4AB7-9DE1-48211BFDD2CC}"/>
    <cellStyle name="Migliaia 36 4 2 6" xfId="20488" xr:uid="{F44E2622-C85E-419A-A9F1-85699115D0F0}"/>
    <cellStyle name="Migliaia 36 4 2 7" xfId="24842" xr:uid="{E81E4286-9DD8-49B7-8543-2831F0238ABD}"/>
    <cellStyle name="Migliaia 36 4 2 8" xfId="8658" xr:uid="{B152C6D7-D46B-4056-A350-A882DEC95EE6}"/>
    <cellStyle name="Migliaia 36 4 3" xfId="5304" xr:uid="{04A047A6-60DC-4221-913F-711DDFC82C1D}"/>
    <cellStyle name="Migliaia 36 4 3 2" xfId="18221" xr:uid="{D5CB2AF9-6E34-4590-8011-BD85B8A949A8}"/>
    <cellStyle name="Migliaia 36 4 3 2 2" xfId="39437" xr:uid="{1EA7BF1D-54E4-4360-8058-8C541F77F218}"/>
    <cellStyle name="Migliaia 36 4 3 2 3" xfId="44739" xr:uid="{A6D5FB23-9CA7-4B15-860D-09083229EAAC}"/>
    <cellStyle name="Migliaia 36 4 3 3" xfId="36855" xr:uid="{4FAC4CA9-8D99-4380-802D-8A814DE25492}"/>
    <cellStyle name="Migliaia 36 4 3 4" xfId="42088" xr:uid="{776AF7CE-91DF-4B4F-9EDC-A74E185265A4}"/>
    <cellStyle name="Migliaia 36 4 3 5" xfId="17338" xr:uid="{ADF40597-17F9-447B-9FFA-3950B7BDF2EC}"/>
    <cellStyle name="Migliaia 36 4 3 6" xfId="9167" xr:uid="{2214FF59-B4FD-4BF7-A68A-EE506B49B406}"/>
    <cellStyle name="Migliaia 36 4 4" xfId="6499" xr:uid="{2371A2A9-4FF4-45B4-9770-B967FD6D8E6A}"/>
    <cellStyle name="Migliaia 36 4 4 2" xfId="33912" xr:uid="{961C3FAB-B7B7-48A4-844B-E2D2E6459D85}"/>
    <cellStyle name="Migliaia 36 4 4 2 2" xfId="39438" xr:uid="{D5DF14F8-3E7C-47C3-8038-B8FD81BCB46D}"/>
    <cellStyle name="Migliaia 36 4 4 2 3" xfId="44740" xr:uid="{2117FCC7-D61A-4A02-A2C9-FFD9DD875E13}"/>
    <cellStyle name="Migliaia 36 4 4 3" xfId="36856" xr:uid="{5DC0DC9B-20B9-411B-9AF4-E6E50AE3A42D}"/>
    <cellStyle name="Migliaia 36 4 4 4" xfId="42089" xr:uid="{F05E285B-9B32-44FD-9784-6788CC6C7E04}"/>
    <cellStyle name="Migliaia 36 4 4 5" xfId="12006" xr:uid="{0CF6FFE3-AA4F-464D-9DB8-79292FD44B59}"/>
    <cellStyle name="Migliaia 36 4 5" xfId="3578" xr:uid="{F9AA01AE-88FD-4C30-BEF5-6D24043AF8BC}"/>
    <cellStyle name="Migliaia 36 4 5 2" xfId="33913" xr:uid="{04866215-6E07-416A-BF94-97BD1EF51F26}"/>
    <cellStyle name="Migliaia 36 4 5 2 2" xfId="39439" xr:uid="{C8D755EC-1785-45EC-BAB6-338A1D774878}"/>
    <cellStyle name="Migliaia 36 4 5 2 3" xfId="44741" xr:uid="{11585BA5-E3E8-4B0C-9365-57EE80900377}"/>
    <cellStyle name="Migliaia 36 4 5 3" xfId="36857" xr:uid="{891D9462-FBA1-4661-A102-A5B9C9D86666}"/>
    <cellStyle name="Migliaia 36 4 5 4" xfId="42090" xr:uid="{EBE3FCCA-4FFF-483E-8175-9F5B7E79DDB7}"/>
    <cellStyle name="Migliaia 36 4 5 5" xfId="11353" xr:uid="{E5705140-B36E-45ED-A401-06C5BB2E8681}"/>
    <cellStyle name="Migliaia 36 4 6" xfId="10880" xr:uid="{EC9E11F1-3C8B-45C6-B24E-BB8FE48FFEFA}"/>
    <cellStyle name="Migliaia 36 4 6 2" xfId="21515" xr:uid="{F84AA933-BADE-49D8-B6F3-EE67C1F113D0}"/>
    <cellStyle name="Migliaia 36 4 6 2 2" xfId="39440" xr:uid="{0B126A4F-7733-47AF-B56A-7FF8B8F49407}"/>
    <cellStyle name="Migliaia 36 4 6 2 3" xfId="44742" xr:uid="{4754A2D6-188D-481A-A7C5-086013AF546C}"/>
    <cellStyle name="Migliaia 36 4 6 2 4" xfId="33914" xr:uid="{B4138D10-767E-47B6-BC40-65DEE8CD06B3}"/>
    <cellStyle name="Migliaia 36 4 6 3" xfId="36858" xr:uid="{3DA9C114-A893-4E77-A880-886FD8B1B48D}"/>
    <cellStyle name="Migliaia 36 4 6 4" xfId="42091" xr:uid="{4CA054ED-CD7C-408F-97F1-8A5040EBD42E}"/>
    <cellStyle name="Migliaia 36 4 6 5" xfId="24843" xr:uid="{11928724-DA7A-4008-B2F3-AA3DDA0AA985}"/>
    <cellStyle name="Migliaia 36 4 6 6" xfId="23996" xr:uid="{2663C111-6D09-4589-B687-F4DF6C389CAF}"/>
    <cellStyle name="Migliaia 36 4 6 7" xfId="50530" xr:uid="{F2E95D22-0E9F-42CC-AA5A-742FCDD4A00D}"/>
    <cellStyle name="Migliaia 36 4 6 8" xfId="53546" xr:uid="{D7893F70-0EAB-46DC-A258-83E8775A8148}"/>
    <cellStyle name="Migliaia 36 4 7" xfId="20487" xr:uid="{06AB5C37-DDC8-470B-A19B-721A63515245}"/>
    <cellStyle name="Migliaia 36 4 7 2" xfId="33915" xr:uid="{AE901890-0B5C-4FDC-8206-B92D7902CAF4}"/>
    <cellStyle name="Migliaia 36 4 7 2 2" xfId="39441" xr:uid="{31CAF410-B0F1-4004-9958-A459304AC23E}"/>
    <cellStyle name="Migliaia 36 4 7 2 3" xfId="44743" xr:uid="{81CAF638-1E43-4C94-9ED0-9DE3474B203E}"/>
    <cellStyle name="Migliaia 36 4 7 3" xfId="36859" xr:uid="{754AE685-8D6B-425A-A5A0-4237B551DD56}"/>
    <cellStyle name="Migliaia 36 4 7 4" xfId="42092" xr:uid="{2C6B0CAE-CFA2-4380-9AAA-2C22AD9757B5}"/>
    <cellStyle name="Migliaia 36 4 7 5" xfId="24844" xr:uid="{2B868728-2BBD-4735-B574-840B4F80B69A}"/>
    <cellStyle name="Migliaia 36 4 8" xfId="24841" xr:uid="{77EC59A5-F5C7-4D15-ABA4-128CDF6A77F0}"/>
    <cellStyle name="Migliaia 36 4 9" xfId="7468" xr:uid="{B68CC6E4-740D-4484-822B-2CF9B17545D5}"/>
    <cellStyle name="Migliaia 36 5" xfId="1805" xr:uid="{00000000-0005-0000-0000-0000CC030000}"/>
    <cellStyle name="Migliaia 36 5 2" xfId="5306" xr:uid="{4BC4A867-7D47-4266-9728-4BDF865F37A1}"/>
    <cellStyle name="Migliaia 36 5 2 2" xfId="18451" xr:uid="{0AE0E80B-B062-4DF1-B44E-D84747FE3B3D}"/>
    <cellStyle name="Migliaia 36 5 2 2 2" xfId="39442" xr:uid="{8C2E8D5E-70E7-40E9-AAF8-CDB64C632124}"/>
    <cellStyle name="Migliaia 36 5 2 2 3" xfId="44744" xr:uid="{281FBFEB-81CE-42BF-A801-57FB8A4A9C15}"/>
    <cellStyle name="Migliaia 36 5 2 3" xfId="20490" xr:uid="{FC50CF8F-D9BE-4AEC-9463-EC7BDF1E4A4B}"/>
    <cellStyle name="Migliaia 36 5 2 3 2" xfId="36860" xr:uid="{AF17AF08-C2D3-41E6-97F4-80B5D7ECA3C3}"/>
    <cellStyle name="Migliaia 36 5 2 4" xfId="42093" xr:uid="{768B8F3A-CF38-4B0E-B464-05E2FB4ACB49}"/>
    <cellStyle name="Migliaia 36 5 2 5" xfId="16470" xr:uid="{2BD63FB8-3827-40FE-8EE5-8E0C532A73EE}"/>
    <cellStyle name="Migliaia 36 5 2 6" xfId="8659" xr:uid="{154D9EBE-F349-4C5F-B655-C2E8B1DA7349}"/>
    <cellStyle name="Migliaia 36 5 3" xfId="6500" xr:uid="{747066F0-0D64-4EC6-8F0A-183D25CF3671}"/>
    <cellStyle name="Migliaia 36 5 3 2" xfId="33916" xr:uid="{C388F273-59B8-4B3E-B660-437B485B7945}"/>
    <cellStyle name="Migliaia 36 5 3 2 2" xfId="39443" xr:uid="{7ECB2E50-E4C2-4880-AAFA-1696B4C0CB6A}"/>
    <cellStyle name="Migliaia 36 5 3 2 3" xfId="44745" xr:uid="{99B6EC49-0B6B-4420-882C-2F60D25C980F}"/>
    <cellStyle name="Migliaia 36 5 3 3" xfId="36861" xr:uid="{D4145894-D004-447F-A004-BD626D104850}"/>
    <cellStyle name="Migliaia 36 5 3 4" xfId="42094" xr:uid="{4CD7F6EC-0768-4E6A-A128-04AACAC1E6DE}"/>
    <cellStyle name="Migliaia 36 5 3 5" xfId="11355" xr:uid="{CFE0C414-6B13-4F80-8DA1-57D083B7A9AC}"/>
    <cellStyle name="Migliaia 36 5 4" xfId="3580" xr:uid="{3D9BAEAD-E674-40AC-9B34-CE5272E330D9}"/>
    <cellStyle name="Migliaia 36 5 4 2" xfId="21517" xr:uid="{135D5B27-4C00-42F3-8E5B-792CA6E7C6B1}"/>
    <cellStyle name="Migliaia 36 5 4 2 2" xfId="39444" xr:uid="{5B21A89A-EA1B-4AB3-825F-CB82DFBABEC5}"/>
    <cellStyle name="Migliaia 36 5 4 2 3" xfId="44746" xr:uid="{51F6B106-860D-4E9D-8513-289BFADBBF8E}"/>
    <cellStyle name="Migliaia 36 5 4 2 4" xfId="33917" xr:uid="{A8C20130-7C01-49CA-BC09-E0DE40E1B553}"/>
    <cellStyle name="Migliaia 36 5 4 3" xfId="36862" xr:uid="{3AB19117-3A5C-42A4-9860-D22A22D71FD2}"/>
    <cellStyle name="Migliaia 36 5 4 4" xfId="42095" xr:uid="{5F5397B3-42A3-4AF4-9872-C979EB628E98}"/>
    <cellStyle name="Migliaia 36 5 4 5" xfId="24846" xr:uid="{7018A211-FA5F-4A76-B024-EE92740C1D53}"/>
    <cellStyle name="Migliaia 36 5 4 6" xfId="46248" xr:uid="{C236B62B-388D-45AB-B4C1-A57FE06522CA}"/>
    <cellStyle name="Migliaia 36 5 4 7" xfId="50532" xr:uid="{66374911-4FC6-4913-A019-1DF58B26AFCE}"/>
    <cellStyle name="Migliaia 36 5 4 8" xfId="53548" xr:uid="{D18E035C-CAD2-4D4D-96D1-E9EC178CA20B}"/>
    <cellStyle name="Migliaia 36 5 4 9" xfId="10882" xr:uid="{5C273C79-FBBD-43F7-9A2A-186E3BC4F5D2}"/>
    <cellStyle name="Migliaia 36 5 5" xfId="20489" xr:uid="{EB5825A9-135D-4001-B72E-D78C00D099C3}"/>
    <cellStyle name="Migliaia 36 5 5 2" xfId="33918" xr:uid="{F83AFBE1-BB1B-4110-A830-AD2B8AC1F348}"/>
    <cellStyle name="Migliaia 36 5 5 2 2" xfId="39445" xr:uid="{E0E03AA4-CE5C-49D6-95F0-7F4FE1E4464A}"/>
    <cellStyle name="Migliaia 36 5 5 2 3" xfId="44747" xr:uid="{98371C24-BF24-4650-A509-D71D4183AEC4}"/>
    <cellStyle name="Migliaia 36 5 5 3" xfId="36863" xr:uid="{D2CB99B3-6F52-48B9-8BA1-A2B00BB15F7B}"/>
    <cellStyle name="Migliaia 36 5 5 4" xfId="42096" xr:uid="{C4850321-D799-4C90-91B0-F91BFA0ECB79}"/>
    <cellStyle name="Migliaia 36 5 5 5" xfId="24847" xr:uid="{5124E242-EEF3-4A03-904D-E5769A882EDB}"/>
    <cellStyle name="Migliaia 36 5 6" xfId="24848" xr:uid="{1ABE15E5-9CF5-4130-AB27-2450CB5E84D3}"/>
    <cellStyle name="Migliaia 36 5 6 2" xfId="33919" xr:uid="{AF46785F-5141-456D-BE65-A7E2DCAE5764}"/>
    <cellStyle name="Migliaia 36 5 6 2 2" xfId="39446" xr:uid="{0942D412-E9A7-4E51-BE78-FC86A612DCF6}"/>
    <cellStyle name="Migliaia 36 5 6 2 3" xfId="44748" xr:uid="{67C7D0F4-301A-4CF2-9D74-C6F57EF64192}"/>
    <cellStyle name="Migliaia 36 5 6 3" xfId="36864" xr:uid="{59681593-C884-4668-AC1D-A50EB9246FFB}"/>
    <cellStyle name="Migliaia 36 5 6 4" xfId="42097" xr:uid="{5D0ADF24-87EB-4BE9-A4B7-B6693D429E00}"/>
    <cellStyle name="Migliaia 36 5 7" xfId="24845" xr:uid="{88CB6DB7-36F4-470B-BEFE-E34B1EDEC206}"/>
    <cellStyle name="Migliaia 36 5 8" xfId="7469" xr:uid="{5AAF90B6-DD98-4860-93F3-A35F9E0D1147}"/>
    <cellStyle name="Migliaia 36 6" xfId="3581" xr:uid="{BB9235FF-92E6-4168-97DE-F41796DD3032}"/>
    <cellStyle name="Migliaia 36 6 2" xfId="5307" xr:uid="{67C26097-025A-4754-A399-4B074F221E18}"/>
    <cellStyle name="Migliaia 36 6 2 2" xfId="9939" xr:uid="{AE89D354-8657-4961-8524-4880387E6818}"/>
    <cellStyle name="Migliaia 36 6 2 3" xfId="18651" xr:uid="{3D741238-1723-4461-B228-FBFBBB54C925}"/>
    <cellStyle name="Migliaia 36 6 2 4" xfId="20492" xr:uid="{64EE5BB5-0EF7-45A4-982F-67CA2F7DE495}"/>
    <cellStyle name="Migliaia 36 6 2 5" xfId="32390" xr:uid="{3658BF1D-570B-4CB8-8567-9FDB231B0468}"/>
    <cellStyle name="Migliaia 36 6 2 6" xfId="16472" xr:uid="{7983BD1E-5837-4FD2-899D-1405469EF46A}"/>
    <cellStyle name="Migliaia 36 6 2 7" xfId="8654" xr:uid="{0E6942EF-89B9-4236-9515-EB083719EA49}"/>
    <cellStyle name="Migliaia 36 6 3" xfId="6501" xr:uid="{A8A0AA72-F6F5-49FD-94A3-6D9B0CBF231B}"/>
    <cellStyle name="Migliaia 36 6 3 2" xfId="35330" xr:uid="{D3297640-A245-4540-9E1D-6D36FDEEC350}"/>
    <cellStyle name="Migliaia 36 6 3 2 2" xfId="40490" xr:uid="{21248B36-A139-4A8D-8ACB-624D6DD99F45}"/>
    <cellStyle name="Migliaia 36 6 3 2 3" xfId="45792" xr:uid="{F0AE09E0-F695-44A0-932C-28FF0D27AD50}"/>
    <cellStyle name="Migliaia 36 6 3 3" xfId="37839" xr:uid="{58C34081-9215-4246-8000-91826D074211}"/>
    <cellStyle name="Migliaia 36 6 3 4" xfId="43141" xr:uid="{F924F469-C254-46FB-AE18-46F9E52EC42F}"/>
    <cellStyle name="Migliaia 36 6 3 5" xfId="9702" xr:uid="{1D345AAC-C20B-45BC-AC6D-CD0218EB28DA}"/>
    <cellStyle name="Migliaia 36 6 4" xfId="20491" xr:uid="{36EED705-359C-4520-881E-90B1B90ADB91}"/>
    <cellStyle name="Migliaia 36 6 4 2" xfId="39447" xr:uid="{70250433-5232-462F-87F2-4CA8A7BC13B0}"/>
    <cellStyle name="Migliaia 36 6 4 3" xfId="44749" xr:uid="{A32CAA71-D14F-4AA6-871B-696D1B9E1AF4}"/>
    <cellStyle name="Migliaia 36 6 4 4" xfId="33920" xr:uid="{752D7A93-3B92-4C4E-A859-A4F0D8B164BF}"/>
    <cellStyle name="Migliaia 36 6 5" xfId="36865" xr:uid="{604A9950-CB37-4E8D-B1DC-1EC8B7E621D6}"/>
    <cellStyle name="Migliaia 36 6 6" xfId="42098" xr:uid="{1820C003-11E7-4FC1-9D1A-38438340B0C4}"/>
    <cellStyle name="Migliaia 36 6 7" xfId="16471" xr:uid="{338BAE2B-5563-441A-8384-81E6D16172CB}"/>
    <cellStyle name="Migliaia 36 6 8" xfId="7464" xr:uid="{02F8A0B1-4C15-459A-8889-A3D4A0756C9B}"/>
    <cellStyle name="Migliaia 36 7" xfId="3582" xr:uid="{61739952-4064-4808-9757-65E5E90FBEC2}"/>
    <cellStyle name="Migliaia 36 7 2" xfId="5308" xr:uid="{ED0397CF-208D-4E91-B0F8-B8E82CF5DF7D}"/>
    <cellStyle name="Migliaia 36 7 2 2" xfId="35331" xr:uid="{D5C907F4-BDC3-4CF2-AE48-CBBD6BB17189}"/>
    <cellStyle name="Migliaia 36 7 2 2 2" xfId="40491" xr:uid="{759CF592-B617-4499-9319-4E61753CD66C}"/>
    <cellStyle name="Migliaia 36 7 2 2 3" xfId="45793" xr:uid="{960D5568-B5B7-4601-9433-80119FC56EA1}"/>
    <cellStyle name="Migliaia 36 7 2 3" xfId="37840" xr:uid="{FECC8FE7-6486-4A17-9D76-5D0B076C83AE}"/>
    <cellStyle name="Migliaia 36 7 2 4" xfId="43142" xr:uid="{95A30D1E-E155-464D-A9A0-0A6BD3CCD91D}"/>
    <cellStyle name="Migliaia 36 7 2 5" xfId="14266" xr:uid="{6ECC281B-E66C-4763-8FFE-37F5861ACAF2}"/>
    <cellStyle name="Migliaia 36 7 3" xfId="6502" xr:uid="{B1BB469F-19E8-4904-9EE7-BB6B956165D6}"/>
    <cellStyle name="Migliaia 36 7 3 2" xfId="39448" xr:uid="{C61D8A7F-3E7B-4C91-9D42-155F8A663804}"/>
    <cellStyle name="Migliaia 36 7 3 3" xfId="44750" xr:uid="{06017448-B6DF-49A0-BC7B-DA6AEA6868CE}"/>
    <cellStyle name="Migliaia 36 7 3 4" xfId="33921" xr:uid="{CD0B1AE5-F8DA-4887-86B8-E269D6F7BE73}"/>
    <cellStyle name="Migliaia 36 7 3 5" xfId="20493" xr:uid="{5864307D-3429-485E-9624-EB781AB464A6}"/>
    <cellStyle name="Migliaia 36 7 4" xfId="36866" xr:uid="{30A4DB18-3AB5-4F9F-9B21-87EBD43468E2}"/>
    <cellStyle name="Migliaia 36 7 5" xfId="42099" xr:uid="{93A1F2A6-739E-427D-A2CB-FA1A0D1BDFD7}"/>
    <cellStyle name="Migliaia 36 7 6" xfId="16473" xr:uid="{5DB65D78-9F2C-4A9D-B5F4-D18877B4568D}"/>
    <cellStyle name="Migliaia 36 7 7" xfId="8328" xr:uid="{CFF3BAD5-3F53-44AB-B629-94583019214B}"/>
    <cellStyle name="Migliaia 36 8" xfId="3583" xr:uid="{AB7180A6-D0F5-4936-B9C1-AB924464F74F}"/>
    <cellStyle name="Migliaia 36 8 2" xfId="5309" xr:uid="{AEEE28A9-90E7-4025-9768-788E8A652403}"/>
    <cellStyle name="Migliaia 36 8 2 2" xfId="35332" xr:uid="{FCC8877C-8D8D-4040-9402-0194F80DDC65}"/>
    <cellStyle name="Migliaia 36 8 2 2 2" xfId="40492" xr:uid="{B37E5BA6-22B0-41FE-BF63-F7A36AF3343E}"/>
    <cellStyle name="Migliaia 36 8 2 2 3" xfId="45794" xr:uid="{982022EF-18A9-4991-B66A-59FC4BC67F2A}"/>
    <cellStyle name="Migliaia 36 8 2 3" xfId="37841" xr:uid="{FCF1DCAC-0B36-443F-AAD3-7B89A6B090D3}"/>
    <cellStyle name="Migliaia 36 8 2 4" xfId="43143" xr:uid="{B7854717-ACF3-4E64-BD2F-521E8C981562}"/>
    <cellStyle name="Migliaia 36 8 2 5" xfId="13971" xr:uid="{EF877E78-2F9B-4403-97F3-83A382DD954E}"/>
    <cellStyle name="Migliaia 36 8 3" xfId="6503" xr:uid="{CE04CBE6-711D-4ECD-B1E7-27330BE3B977}"/>
    <cellStyle name="Migliaia 36 8 3 2" xfId="39449" xr:uid="{FAC44B89-A799-4977-8FB0-31BFB4093D2B}"/>
    <cellStyle name="Migliaia 36 8 3 3" xfId="44751" xr:uid="{0F0180CD-6D7F-4B13-8AD7-CE0B2AAB2E2E}"/>
    <cellStyle name="Migliaia 36 8 3 4" xfId="33922" xr:uid="{D2312538-78B4-4FA9-8B58-81B4A98F64DC}"/>
    <cellStyle name="Migliaia 36 8 3 5" xfId="20494" xr:uid="{829F0C22-0705-43D4-87F7-935B0D447D75}"/>
    <cellStyle name="Migliaia 36 8 4" xfId="36867" xr:uid="{90BEFA60-35F5-4598-83F2-596AE82A5EAF}"/>
    <cellStyle name="Migliaia 36 8 5" xfId="42100" xr:uid="{B2A88A14-850B-4A9B-8685-AB06A1F41C24}"/>
    <cellStyle name="Migliaia 36 8 6" xfId="16474" xr:uid="{664CB55B-BA59-42DC-8B58-4A9017CFE1CD}"/>
    <cellStyle name="Migliaia 36 8 7" xfId="7938" xr:uid="{B153E314-C5CC-4E6D-9C1D-0B65D4C53052}"/>
    <cellStyle name="Migliaia 36 9" xfId="5294" xr:uid="{908F6743-7398-441C-BCCF-7466FFF2F25A}"/>
    <cellStyle name="Migliaia 36 9 2" xfId="33923" xr:uid="{3D731EA3-3322-459F-8804-950BDF0C9F7A}"/>
    <cellStyle name="Migliaia 36 9 2 2" xfId="39450" xr:uid="{EE7FD666-ABCF-4730-AC8B-54FFC4BBD469}"/>
    <cellStyle name="Migliaia 36 9 2 3" xfId="44752" xr:uid="{39A58C1D-16F4-4D3F-823F-AB23BD01DDFA}"/>
    <cellStyle name="Migliaia 36 9 3" xfId="36868" xr:uid="{07A509F7-99C5-4A48-84C6-68B8CD3D3845}"/>
    <cellStyle name="Migliaia 36 9 4" xfId="42101" xr:uid="{55FFAC0C-BE1C-43F8-A35A-A2C2254D1A6A}"/>
    <cellStyle name="Migliaia 36 9 5" xfId="17193" xr:uid="{6EB9B138-9E84-4E26-9721-CABC45E1E14E}"/>
    <cellStyle name="Migliaia 37" xfId="421" xr:uid="{00000000-0005-0000-0000-0000CD030000}"/>
    <cellStyle name="Migliaia 37 10" xfId="6504" xr:uid="{DAB6754C-D5FB-4380-84F2-122510FAE791}"/>
    <cellStyle name="Migliaia 37 10 2" xfId="39451" xr:uid="{88270880-46C5-4C40-866B-46B720C2CF3F}"/>
    <cellStyle name="Migliaia 37 10 3" xfId="44753" xr:uid="{BB412472-EB7E-4D84-90D2-20090FC99A2A}"/>
    <cellStyle name="Migliaia 37 10 4" xfId="33924" xr:uid="{934A0073-FA52-4DBC-AE78-A05185A7508F}"/>
    <cellStyle name="Migliaia 37 10 5" xfId="20495" xr:uid="{1918F526-5471-4A3C-B73D-573C8FAFD6FA}"/>
    <cellStyle name="Migliaia 37 11" xfId="3584" xr:uid="{164A2796-BF50-4436-B974-8F980D629A6B}"/>
    <cellStyle name="Migliaia 37 11 2" xfId="36869" xr:uid="{D3D53284-0CD2-4885-9524-BF307E45E059}"/>
    <cellStyle name="Migliaia 37 12" xfId="42102" xr:uid="{EE00DB0A-870E-41A7-85E2-2F83D83BCB0F}"/>
    <cellStyle name="Migliaia 37 13" xfId="7132" xr:uid="{AC12D6BB-211B-4DA1-967A-B1724C94E037}"/>
    <cellStyle name="Migliaia 37 2" xfId="422" xr:uid="{00000000-0005-0000-0000-0000CE030000}"/>
    <cellStyle name="Migliaia 37 2 2" xfId="1806" xr:uid="{00000000-0005-0000-0000-0000CF030000}"/>
    <cellStyle name="Migliaia 37 2 2 2" xfId="5312" xr:uid="{2EA2F902-8A93-45B4-A343-418E2501A6AD}"/>
    <cellStyle name="Migliaia 37 2 2 2 2" xfId="14393" xr:uid="{322BAB3D-89AE-4814-80A7-D6909D77AA0E}"/>
    <cellStyle name="Migliaia 37 2 2 2 2 2" xfId="39452" xr:uid="{43CD5C60-7C1A-4266-869A-094AE562B860}"/>
    <cellStyle name="Migliaia 37 2 2 2 2 3" xfId="44754" xr:uid="{BF094665-E678-4825-A6A0-F21C8D836014}"/>
    <cellStyle name="Migliaia 37 2 2 2 3" xfId="18452" xr:uid="{1C5754FB-5399-431B-817E-C4C5175C2746}"/>
    <cellStyle name="Migliaia 37 2 2 2 4" xfId="20498" xr:uid="{3660FD97-5EDA-4406-A162-BD903DD8666E}"/>
    <cellStyle name="Migliaia 37 2 2 2 4 2" xfId="42103" xr:uid="{494CE072-C2D0-49A2-98C2-18368DD0476B}"/>
    <cellStyle name="Migliaia 37 2 2 2 5" xfId="16475" xr:uid="{7ABEFD55-D35E-4FF1-98E9-81C54D5CCF62}"/>
    <cellStyle name="Migliaia 37 2 2 2 6" xfId="8661" xr:uid="{6FF1AF41-C188-4A7E-9FB3-9F47101D3D5A}"/>
    <cellStyle name="Migliaia 37 2 2 3" xfId="6506" xr:uid="{FE1740C6-2915-4AE6-A3C6-7EBC8AB2E9AF}"/>
    <cellStyle name="Migliaia 37 2 2 3 2" xfId="35333" xr:uid="{63FBB585-D48A-4C9C-A006-56011C2EBA4E}"/>
    <cellStyle name="Migliaia 37 2 2 3 2 2" xfId="40493" xr:uid="{89236BDC-C9D3-4863-A46B-8C4388F73B62}"/>
    <cellStyle name="Migliaia 37 2 2 3 2 3" xfId="45795" xr:uid="{63A9C7EB-99BE-4B18-AA88-29BA5667D736}"/>
    <cellStyle name="Migliaia 37 2 2 3 3" xfId="37842" xr:uid="{E7A48455-B776-4C3E-9D49-402CE994DD34}"/>
    <cellStyle name="Migliaia 37 2 2 3 4" xfId="43144" xr:uid="{9EC3EBA7-0140-4DDA-BCEB-F3915CD22BFB}"/>
    <cellStyle name="Migliaia 37 2 2 3 5" xfId="11620" xr:uid="{9A1F36D2-0554-4BED-8BB1-130AB1C369A1}"/>
    <cellStyle name="Migliaia 37 2 2 4" xfId="3586" xr:uid="{A5DB753B-5EB7-4ABB-952A-66E680BD7D2E}"/>
    <cellStyle name="Migliaia 37 2 2 4 2" xfId="21518" xr:uid="{53A842BE-3EF5-4994-A1A0-4EEE73A822D6}"/>
    <cellStyle name="Migliaia 37 2 2 4 3" xfId="48475" xr:uid="{694965F5-3AB6-4F40-8F2A-4BF5DA5082F5}"/>
    <cellStyle name="Migliaia 37 2 2 4 4" xfId="50533" xr:uid="{D148ED6D-A61C-4D08-A8DD-FA8FF3A644BB}"/>
    <cellStyle name="Migliaia 37 2 2 4 5" xfId="53549" xr:uid="{D62A4619-03BD-4137-97C5-10B3304C4162}"/>
    <cellStyle name="Migliaia 37 2 2 4 6" xfId="10883" xr:uid="{97FD69E9-7548-482C-A2E5-B6B2883B1C89}"/>
    <cellStyle name="Migliaia 37 2 2 5" xfId="20497" xr:uid="{AB640648-4FB5-4A8E-AD81-EE7BB54AD97A}"/>
    <cellStyle name="Migliaia 37 2 2 6" xfId="24850" xr:uid="{F2EC3FBE-D755-42A9-9DDE-E464837F41DF}"/>
    <cellStyle name="Migliaia 37 2 2 7" xfId="7471" xr:uid="{CF41507F-F831-4D2C-BB4E-379DD0C4A999}"/>
    <cellStyle name="Migliaia 37 2 3" xfId="3587" xr:uid="{9873D394-9284-4FD6-AF88-63D85ABAAD83}"/>
    <cellStyle name="Migliaia 37 2 3 2" xfId="5313" xr:uid="{3ED5EE35-2228-4F70-9032-FEDBF41C6335}"/>
    <cellStyle name="Migliaia 37 2 3 2 2" xfId="35334" xr:uid="{4EF8BBDC-6E10-455B-871B-A2E0170D8D70}"/>
    <cellStyle name="Migliaia 37 2 3 2 2 2" xfId="40494" xr:uid="{ADD5BDEB-46CD-4F85-A17C-B9B1531C7994}"/>
    <cellStyle name="Migliaia 37 2 3 2 2 3" xfId="45796" xr:uid="{2B013CD7-7656-4D8A-9B6F-EE05EC7A1C73}"/>
    <cellStyle name="Migliaia 37 2 3 2 3" xfId="37843" xr:uid="{C1614EAA-9C92-4A2D-81EA-EEB3CA249E80}"/>
    <cellStyle name="Migliaia 37 2 3 2 4" xfId="43145" xr:uid="{AED18240-6365-4587-9985-AE8F02FD555A}"/>
    <cellStyle name="Migliaia 37 2 3 2 5" xfId="14270" xr:uid="{04405559-29D9-4F1B-8DAD-CE7D6BBD7B95}"/>
    <cellStyle name="Migliaia 37 2 3 3" xfId="6507" xr:uid="{7F725647-5273-45EE-8507-5F914C884808}"/>
    <cellStyle name="Migliaia 37 2 3 3 2" xfId="39453" xr:uid="{3AB80723-1E58-4744-970B-F2D00D09E9B0}"/>
    <cellStyle name="Migliaia 37 2 3 3 3" xfId="44755" xr:uid="{EB32F170-2348-4E02-B47E-B7C14DC28C08}"/>
    <cellStyle name="Migliaia 37 2 3 3 4" xfId="33925" xr:uid="{CE832850-71EF-489C-9A3C-10513C7466DF}"/>
    <cellStyle name="Migliaia 37 2 3 3 5" xfId="20499" xr:uid="{D578BC13-5271-4C9C-A04D-4EA9180A5EAD}"/>
    <cellStyle name="Migliaia 37 2 3 4" xfId="36870" xr:uid="{0DD2FC95-D0E7-426C-AE2B-B437EA2A93BA}"/>
    <cellStyle name="Migliaia 37 2 3 5" xfId="42104" xr:uid="{1B7A65FC-5B25-4611-BC91-5CA60871EFFA}"/>
    <cellStyle name="Migliaia 37 2 3 6" xfId="16476" xr:uid="{A4D86E9D-003B-473D-B5A9-16E6EDFC4627}"/>
    <cellStyle name="Migliaia 37 2 3 7" xfId="8332" xr:uid="{A6535112-D784-42EC-A4B5-A2CE8BB13325}"/>
    <cellStyle name="Migliaia 37 2 4" xfId="5311" xr:uid="{12A1CD4E-3F47-4433-9518-92899C88E883}"/>
    <cellStyle name="Migliaia 37 2 4 2" xfId="13975" xr:uid="{9F8D01B2-FAA8-4939-94D7-7257B876E192}"/>
    <cellStyle name="Migliaia 37 2 4 2 2" xfId="39454" xr:uid="{19655F60-6765-4687-B6A4-1301FC19FB5A}"/>
    <cellStyle name="Migliaia 37 2 4 2 3" xfId="44756" xr:uid="{1A04506F-B129-4ADD-A4C2-5A1EA7EBB886}"/>
    <cellStyle name="Migliaia 37 2 4 3" xfId="18706" xr:uid="{F50175BD-8D0E-4612-96A6-BD7ACB1AD3C9}"/>
    <cellStyle name="Migliaia 37 2 4 4" xfId="20500" xr:uid="{CD16189D-F63E-43C7-9356-9508548EABD2}"/>
    <cellStyle name="Migliaia 37 2 4 4 2" xfId="42105" xr:uid="{688C612E-3F04-4702-A8FD-04C84718BB41}"/>
    <cellStyle name="Migliaia 37 2 4 5" xfId="16477" xr:uid="{889B1B98-0318-4D03-8F8C-93936798734E}"/>
    <cellStyle name="Migliaia 37 2 4 6" xfId="7943" xr:uid="{72634942-A2AE-41A4-B483-C1DB56FBD892}"/>
    <cellStyle name="Migliaia 37 2 5" xfId="6505" xr:uid="{A4CD483B-6536-46EB-8935-57D93CB865A4}"/>
    <cellStyle name="Migliaia 37 2 5 2" xfId="33926" xr:uid="{CA2E5BE4-F55B-4D1A-A256-2F6FBCFDF55F}"/>
    <cellStyle name="Migliaia 37 2 5 2 2" xfId="39455" xr:uid="{C2A9E129-C794-4BD9-9EEE-BDC4F6DD6CC1}"/>
    <cellStyle name="Migliaia 37 2 5 2 3" xfId="44757" xr:uid="{5C467427-30D3-448B-9DEC-2AAB7245E025}"/>
    <cellStyle name="Migliaia 37 2 5 3" xfId="36871" xr:uid="{BAC82649-1EB7-4E9B-956C-6ECB5A409E59}"/>
    <cellStyle name="Migliaia 37 2 5 4" xfId="42106" xr:uid="{0FF8A031-1A40-4F80-940F-20CB2D999BEE}"/>
    <cellStyle name="Migliaia 37 2 5 5" xfId="13133" xr:uid="{0343B286-D718-4100-A919-101372E7C81D}"/>
    <cellStyle name="Migliaia 37 2 6" xfId="3585" xr:uid="{7C5F6C24-B937-48DF-B453-4692D87A0487}"/>
    <cellStyle name="Migliaia 37 2 6 2" xfId="33927" xr:uid="{A383B33C-E307-4546-AC39-A1D3061B1A4A}"/>
    <cellStyle name="Migliaia 37 2 6 2 2" xfId="39456" xr:uid="{05AF7CF5-39DE-40CD-B589-DECA547D38EA}"/>
    <cellStyle name="Migliaia 37 2 6 2 3" xfId="44758" xr:uid="{DF6353E3-927F-45FA-AF64-72D8A509E36E}"/>
    <cellStyle name="Migliaia 37 2 6 3" xfId="36872" xr:uid="{F39B8E3B-8F61-453B-A853-A2F240F1BEFE}"/>
    <cellStyle name="Migliaia 37 2 6 4" xfId="42107" xr:uid="{F0E5E955-9D60-43B5-8354-CB8580BC2749}"/>
    <cellStyle name="Migliaia 37 2 6 5" xfId="24851" xr:uid="{FB1D86BE-7245-41E0-8EC1-3A8717D6CCDF}"/>
    <cellStyle name="Migliaia 37 2 6 6" xfId="20496" xr:uid="{0CABD0D8-F979-4B9D-811C-7241C1D91F23}"/>
    <cellStyle name="Migliaia 37 2 7" xfId="24849" xr:uid="{E30013C8-3453-491B-84E9-178FC2D1EE63}"/>
    <cellStyle name="Migliaia 37 2 8" xfId="7133" xr:uid="{89D55324-0FCB-4299-ACB8-C523073B1EAA}"/>
    <cellStyle name="Migliaia 37 3" xfId="423" xr:uid="{00000000-0005-0000-0000-0000D0030000}"/>
    <cellStyle name="Migliaia 37 3 10" xfId="24852" xr:uid="{43A8BDC0-0392-4A5A-A9E8-5344D04D4035}"/>
    <cellStyle name="Migliaia 37 3 11" xfId="16478" xr:uid="{C8612995-21E1-4EAD-8545-F955CF9D7729}"/>
    <cellStyle name="Migliaia 37 3 12" xfId="7134" xr:uid="{28AD44F4-6F52-4E12-BA58-B6E5E5FED390}"/>
    <cellStyle name="Migliaia 37 3 2" xfId="424" xr:uid="{00000000-0005-0000-0000-0000D1030000}"/>
    <cellStyle name="Migliaia 37 3 2 2" xfId="1807" xr:uid="{00000000-0005-0000-0000-0000D2030000}"/>
    <cellStyle name="Migliaia 37 3 2 2 2" xfId="5316" xr:uid="{87EE64E5-91FF-43B8-BAEE-BE8CE1934248}"/>
    <cellStyle name="Migliaia 37 3 2 2 2 2" xfId="18453" xr:uid="{029E122B-B16C-4766-884B-A6BD29F298A2}"/>
    <cellStyle name="Migliaia 37 3 2 2 2 2 2" xfId="21871" xr:uid="{78127E3F-97C0-4E26-AB93-3D81080BC222}"/>
    <cellStyle name="Migliaia 37 3 2 2 2 2 2 2" xfId="39457" xr:uid="{02EAD3B2-75DE-4365-8FAF-2593C4303BB9}"/>
    <cellStyle name="Migliaia 37 3 2 2 2 2 3" xfId="44759" xr:uid="{35DE8622-74F3-4956-93C9-1A1A7991BB74}"/>
    <cellStyle name="Migliaia 37 3 2 2 2 2 4" xfId="33928" xr:uid="{3C3FCB05-1DFC-488F-BAA3-2B1AB0D595E6}"/>
    <cellStyle name="Migliaia 37 3 2 2 2 3" xfId="36873" xr:uid="{E935F79C-8EFE-4376-976C-CCAF6ED58DBF}"/>
    <cellStyle name="Migliaia 37 3 2 2 2 4" xfId="42108" xr:uid="{48C99134-F7F5-46E1-8DB6-8CD8AB272A6C}"/>
    <cellStyle name="Migliaia 37 3 2 2 2 5" xfId="48192" xr:uid="{2F3EF3BB-0DF6-4EA1-B4D2-224A6F22440A}"/>
    <cellStyle name="Migliaia 37 3 2 2 2 6" xfId="50899" xr:uid="{F24BB711-AA4B-4336-B398-0D1366306A32}"/>
    <cellStyle name="Migliaia 37 3 2 2 2 7" xfId="53915" xr:uid="{88A3C3F3-E974-4B6B-856B-7CE88C1E7D20}"/>
    <cellStyle name="Migliaia 37 3 2 2 2 8" xfId="17668" xr:uid="{B8137BD3-9D04-4F22-A4B8-FA54A161358A}"/>
    <cellStyle name="Migliaia 37 3 2 2 2 9" xfId="12007" xr:uid="{BBFF1D56-4C6A-4D5E-9ADA-CA3EC382C1F4}"/>
    <cellStyle name="Migliaia 37 3 2 2 3" xfId="6510" xr:uid="{FAA0FEEC-19B3-4023-936F-D1204396B11B}"/>
    <cellStyle name="Migliaia 37 3 2 2 3 2" xfId="11564" xr:uid="{563A6FB9-FEF9-475A-BE1D-6F29AE7600C6}"/>
    <cellStyle name="Migliaia 37 3 2 2 4" xfId="3590" xr:uid="{E0FC737A-4D35-4506-8760-4ED833FEB3EC}"/>
    <cellStyle name="Migliaia 37 3 2 2 4 2" xfId="21519" xr:uid="{26D23008-BDDD-48EA-9B2C-92EAED28EF2D}"/>
    <cellStyle name="Migliaia 37 3 2 2 4 3" xfId="48177" xr:uid="{5449863A-23A2-4121-B970-5D3E3048B675}"/>
    <cellStyle name="Migliaia 37 3 2 2 4 4" xfId="50534" xr:uid="{0AFFD0EF-C60B-47EE-9E83-130AA8782F9B}"/>
    <cellStyle name="Migliaia 37 3 2 2 4 5" xfId="53550" xr:uid="{CAABCE47-3C74-4774-83DE-A2EB637A1446}"/>
    <cellStyle name="Migliaia 37 3 2 2 4 6" xfId="10884" xr:uid="{50D2C96A-CB25-4882-9562-A37717B843AA}"/>
    <cellStyle name="Migliaia 37 3 2 2 5" xfId="20503" xr:uid="{ADC274A3-3993-47B3-A8D7-7874FA42DA51}"/>
    <cellStyle name="Migliaia 37 3 2 2 6" xfId="24854" xr:uid="{8B5E1D27-3291-486A-8BD1-1A7C1E604E2B}"/>
    <cellStyle name="Migliaia 37 3 2 2 7" xfId="8663" xr:uid="{E6EBA922-9D9E-4C6A-BDE7-383D2D521034}"/>
    <cellStyle name="Migliaia 37 3 2 3" xfId="5315" xr:uid="{1C742278-59F5-4B53-A16B-55FB25128645}"/>
    <cellStyle name="Migliaia 37 3 2 3 2" xfId="12408" xr:uid="{15A4928B-0761-40B7-BD21-3C414BE16787}"/>
    <cellStyle name="Migliaia 37 3 2 3 2 2" xfId="39458" xr:uid="{A376D0D3-D06F-4228-A0E4-D0E1A6A95936}"/>
    <cellStyle name="Migliaia 37 3 2 3 2 3" xfId="44760" xr:uid="{39EAEE24-1589-469D-A7B9-6458A7F90025}"/>
    <cellStyle name="Migliaia 37 3 2 3 2 4" xfId="33929" xr:uid="{C116E5FF-CB52-4097-81DA-8BA170AAD03B}"/>
    <cellStyle name="Migliaia 37 3 2 3 3" xfId="12008" xr:uid="{F08454DA-0B48-4B23-86A1-BB08EF345B14}"/>
    <cellStyle name="Migliaia 37 3 2 3 4" xfId="20504" xr:uid="{FDA1253C-F1F3-4FAA-8EBB-3458FF090BA4}"/>
    <cellStyle name="Migliaia 37 3 2 3 4 2" xfId="42109" xr:uid="{C90F6C16-52D7-4972-A1DD-D83EF5869D6C}"/>
    <cellStyle name="Migliaia 37 3 2 3 5" xfId="16479" xr:uid="{92D52EAC-9CBD-4272-A34C-F29F97433505}"/>
    <cellStyle name="Migliaia 37 3 2 3 6" xfId="7945" xr:uid="{F9CF9A8A-FB21-4ABE-8CAF-9BA7B6937A5F}"/>
    <cellStyle name="Migliaia 37 3 2 4" xfId="6509" xr:uid="{39BF6808-4C02-478E-BDE4-E06578C67C33}"/>
    <cellStyle name="Migliaia 37 3 2 4 2" xfId="18087" xr:uid="{F0DBAC45-0BC2-4EC5-96C6-4ADC88AE101A}"/>
    <cellStyle name="Migliaia 37 3 2 4 2 2" xfId="39459" xr:uid="{CDF18C5D-2A08-4100-AC36-283AF88D5AF7}"/>
    <cellStyle name="Migliaia 37 3 2 4 2 3" xfId="44761" xr:uid="{156CDDF2-3C72-4993-AFD8-C74C64DB9C90}"/>
    <cellStyle name="Migliaia 37 3 2 4 3" xfId="36874" xr:uid="{FE4D69BD-E6CD-4798-8A08-601DE66FDE5B}"/>
    <cellStyle name="Migliaia 37 3 2 4 4" xfId="42110" xr:uid="{AEEFFF42-8629-4936-A7B5-E3393E897A83}"/>
    <cellStyle name="Migliaia 37 3 2 4 5" xfId="17196" xr:uid="{835AB47D-0C74-47E4-9BB3-9F3E477A30E7}"/>
    <cellStyle name="Migliaia 37 3 2 4 6" xfId="11356" xr:uid="{BC2A3955-F491-4AC3-96DF-FD8810C87F00}"/>
    <cellStyle name="Migliaia 37 3 2 5" xfId="3589" xr:uid="{BFDC1F5E-7631-4531-B37C-F262F86C2C60}"/>
    <cellStyle name="Migliaia 37 3 2 5 2" xfId="33930" xr:uid="{123BC46A-D17C-4C28-9B4F-0272BDBCC200}"/>
    <cellStyle name="Migliaia 37 3 2 5 2 2" xfId="39460" xr:uid="{28121DFF-ED28-4973-96C8-EF3B6B20462D}"/>
    <cellStyle name="Migliaia 37 3 2 5 2 3" xfId="44762" xr:uid="{4F9B317A-5420-4C9E-A2B9-862DBB835F3A}"/>
    <cellStyle name="Migliaia 37 3 2 5 3" xfId="36875" xr:uid="{67DD7EC7-D203-4D66-B891-6AFBC058623F}"/>
    <cellStyle name="Migliaia 37 3 2 5 4" xfId="42111" xr:uid="{2ED59665-E29B-45F7-809C-02524DD49A07}"/>
    <cellStyle name="Migliaia 37 3 2 5 5" xfId="17336" xr:uid="{9AAAA724-C488-44B9-876C-9A70383F0549}"/>
    <cellStyle name="Migliaia 37 3 2 6" xfId="20502" xr:uid="{C5689137-DD34-4F84-886E-3B0562B7496E}"/>
    <cellStyle name="Migliaia 37 3 2 6 2" xfId="33931" xr:uid="{37EA3F95-1E8E-4A50-910C-FFBB15C049CF}"/>
    <cellStyle name="Migliaia 37 3 2 6 2 2" xfId="39461" xr:uid="{5B11A721-39EF-434A-BB87-7187D4B7C7E6}"/>
    <cellStyle name="Migliaia 37 3 2 6 2 3" xfId="44763" xr:uid="{4BFEA0B5-A045-498C-918C-0999D991017A}"/>
    <cellStyle name="Migliaia 37 3 2 6 3" xfId="36876" xr:uid="{419F319C-FC0B-47E6-8A48-585646C5632E}"/>
    <cellStyle name="Migliaia 37 3 2 6 4" xfId="42112" xr:uid="{C80610FD-C6E0-4580-A008-C78EEE6EFC3E}"/>
    <cellStyle name="Migliaia 37 3 2 6 5" xfId="24855" xr:uid="{492EB5C0-DDAF-4C61-A519-D10071C3EA19}"/>
    <cellStyle name="Migliaia 37 3 2 7" xfId="24853" xr:uid="{3542F2C1-2AA6-4453-B516-4BE3BA5E30EB}"/>
    <cellStyle name="Migliaia 37 3 2 8" xfId="7473" xr:uid="{60760162-A591-4B37-9AB0-F997D3D3E896}"/>
    <cellStyle name="Migliaia 37 3 3" xfId="3591" xr:uid="{9B6E9A63-3182-4AB0-99E9-04937A8A4DB2}"/>
    <cellStyle name="Migliaia 37 3 3 10" xfId="7472" xr:uid="{68136A69-6094-465A-A05D-F8E2B4F4E3FE}"/>
    <cellStyle name="Migliaia 37 3 3 2" xfId="5317" xr:uid="{6DC48385-B9A6-45BB-B07A-198A39B3766A}"/>
    <cellStyle name="Migliaia 37 3 3 2 2" xfId="9942" xr:uid="{28D56B09-1A4B-4DE7-9AED-C7447DC58D8B}"/>
    <cellStyle name="Migliaia 37 3 3 2 2 2" xfId="39463" xr:uid="{E64C4E68-DCDA-455D-B2B6-B804A3E62DFF}"/>
    <cellStyle name="Migliaia 37 3 3 2 2 3" xfId="44765" xr:uid="{3232B0F3-E9B2-4F6C-949A-D16B90FB56D5}"/>
    <cellStyle name="Migliaia 37 3 3 2 3" xfId="18222" xr:uid="{5E8194AA-9809-4E67-976A-86E0247902AB}"/>
    <cellStyle name="Migliaia 37 3 3 2 4" xfId="20506" xr:uid="{5F8750B8-2385-4297-BCA5-4E0F670C128E}"/>
    <cellStyle name="Migliaia 37 3 3 2 4 2" xfId="42114" xr:uid="{ABE2B90C-D58A-4250-8571-09F2FCA8D7E3}"/>
    <cellStyle name="Migliaia 37 3 3 2 5" xfId="16481" xr:uid="{C5AF5C81-1FE7-4CD0-B2FE-6B86E7FE0337}"/>
    <cellStyle name="Migliaia 37 3 3 2 6" xfId="8662" xr:uid="{AF753188-8009-425C-8766-1C23E34E8C1A}"/>
    <cellStyle name="Migliaia 37 3 3 3" xfId="6511" xr:uid="{83A67CBE-B313-4F2A-94B1-631C38B1B45E}"/>
    <cellStyle name="Migliaia 37 3 3 3 2" xfId="33933" xr:uid="{051239B2-DC68-4EBC-9D5A-B63EB2A4F8D5}"/>
    <cellStyle name="Migliaia 37 3 3 3 2 2" xfId="39464" xr:uid="{786534BD-6173-4183-9658-A1BDB32DE078}"/>
    <cellStyle name="Migliaia 37 3 3 3 2 3" xfId="44766" xr:uid="{7E317523-A949-4AC5-8892-38AFD69956F6}"/>
    <cellStyle name="Migliaia 37 3 3 3 3" xfId="36878" xr:uid="{AC0D4078-5663-49D0-8EAC-590AE10FD445}"/>
    <cellStyle name="Migliaia 37 3 3 3 4" xfId="42115" xr:uid="{B056FB7B-CE13-485A-8B50-580430CEF004}"/>
    <cellStyle name="Migliaia 37 3 3 3 5" xfId="9705" xr:uid="{C381F117-7831-404A-A97A-FDD8E21A4277}"/>
    <cellStyle name="Migliaia 37 3 3 4" xfId="20505" xr:uid="{564E2B7F-6AA0-4DAE-B524-8F47179F3F98}"/>
    <cellStyle name="Migliaia 37 3 3 4 2" xfId="33934" xr:uid="{31AC12CF-B4CD-401F-AAF0-D47604364156}"/>
    <cellStyle name="Migliaia 37 3 3 4 2 2" xfId="39465" xr:uid="{FA4745F1-1C54-413C-953A-7C906CE018B2}"/>
    <cellStyle name="Migliaia 37 3 3 4 2 3" xfId="44767" xr:uid="{896398E7-CEE8-4884-ACDB-FBD56C273A81}"/>
    <cellStyle name="Migliaia 37 3 3 4 3" xfId="36879" xr:uid="{1BA42A86-6157-4337-B579-0E05FF40F74B}"/>
    <cellStyle name="Migliaia 37 3 3 4 4" xfId="42116" xr:uid="{5C71D161-23DA-406C-AC99-9A2FEEF415D3}"/>
    <cellStyle name="Migliaia 37 3 3 4 5" xfId="24856" xr:uid="{DF51AE2B-4941-4356-87AC-3BB1193693C4}"/>
    <cellStyle name="Migliaia 37 3 3 5" xfId="24857" xr:uid="{EB0BCFCE-5A07-4C51-8EA5-D0C51ECEC054}"/>
    <cellStyle name="Migliaia 37 3 3 5 2" xfId="33935" xr:uid="{DB4DFEED-310D-4E19-AC4B-309918DDA928}"/>
    <cellStyle name="Migliaia 37 3 3 5 2 2" xfId="39466" xr:uid="{E234E520-AB41-4D42-9862-158C6FB98DE7}"/>
    <cellStyle name="Migliaia 37 3 3 5 2 3" xfId="44768" xr:uid="{3EB63A04-61FD-40AD-A0A8-19173847B5E8}"/>
    <cellStyle name="Migliaia 37 3 3 5 3" xfId="36880" xr:uid="{1729BE56-4779-4950-846B-F12E5F639823}"/>
    <cellStyle name="Migliaia 37 3 3 5 4" xfId="42117" xr:uid="{EF6C6836-E531-417D-9768-8464DABE3B4B}"/>
    <cellStyle name="Migliaia 37 3 3 6" xfId="33932" xr:uid="{1C1C439F-C7BB-4749-9C2A-D0BC6B82F511}"/>
    <cellStyle name="Migliaia 37 3 3 6 2" xfId="39462" xr:uid="{FE070F38-1F2F-400A-BD7B-7C2DF85C3EB4}"/>
    <cellStyle name="Migliaia 37 3 3 6 3" xfId="44764" xr:uid="{04AF7F01-CA5D-4174-9495-983D6204F261}"/>
    <cellStyle name="Migliaia 37 3 3 7" xfId="36877" xr:uid="{F14CBF18-B9E7-4535-8AD5-98C5A1197E0D}"/>
    <cellStyle name="Migliaia 37 3 3 8" xfId="42113" xr:uid="{517FEEF4-52D7-43DF-BAE3-3CA02C910590}"/>
    <cellStyle name="Migliaia 37 3 3 9" xfId="16480" xr:uid="{1F048D70-2AC1-4033-9612-14397382F24C}"/>
    <cellStyle name="Migliaia 37 3 4" xfId="3592" xr:uid="{B559AC98-DD11-47FA-8A39-E1C627F183A0}"/>
    <cellStyle name="Migliaia 37 3 4 2" xfId="5318" xr:uid="{004889BF-014B-45DB-BEE1-3AADB29A83BF}"/>
    <cellStyle name="Migliaia 37 3 4 2 2" xfId="14453" xr:uid="{403F59BC-42C9-4FAF-8596-EAF7FC1E59A2}"/>
    <cellStyle name="Migliaia 37 3 4 2 3" xfId="18583" xr:uid="{DE7DB53B-162A-4B61-B9A2-22CCED31C106}"/>
    <cellStyle name="Migliaia 37 3 4 2 4" xfId="20508" xr:uid="{C001BA93-0B97-4016-9200-B6FED91515D4}"/>
    <cellStyle name="Migliaia 37 3 4 2 5" xfId="32391" xr:uid="{657275B5-E1D6-432D-AA88-9C256B4BA32F}"/>
    <cellStyle name="Migliaia 37 3 4 2 6" xfId="16483" xr:uid="{A814DC02-9406-4E2B-BCB1-681BDEEEA825}"/>
    <cellStyle name="Migliaia 37 3 4 2 7" xfId="8876" xr:uid="{2FB919FD-38F3-48C8-9AF9-DFE719898A66}"/>
    <cellStyle name="Migliaia 37 3 4 3" xfId="6512" xr:uid="{7BC5C860-3C99-4435-8A0B-F77CE98200F6}"/>
    <cellStyle name="Migliaia 37 3 4 3 2" xfId="35335" xr:uid="{92206169-29D1-47D4-846D-B04FFF8F83A0}"/>
    <cellStyle name="Migliaia 37 3 4 3 2 2" xfId="40495" xr:uid="{E1E08578-19A2-4574-8606-DE77278E7703}"/>
    <cellStyle name="Migliaia 37 3 4 3 2 3" xfId="45797" xr:uid="{57A54194-BD5B-4172-9FF2-97AA3A1BD471}"/>
    <cellStyle name="Migliaia 37 3 4 3 3" xfId="37844" xr:uid="{84E23034-402F-4512-992A-830B17EF6DE7}"/>
    <cellStyle name="Migliaia 37 3 4 3 4" xfId="43146" xr:uid="{6EE298C5-54DC-4C2F-AA41-A3A11E294290}"/>
    <cellStyle name="Migliaia 37 3 4 3 5" xfId="13701" xr:uid="{E97D1DCD-CF2A-4D0A-B253-29487713DB8F}"/>
    <cellStyle name="Migliaia 37 3 4 4" xfId="20507" xr:uid="{1AD89658-1D6B-461B-8DA7-4AC5961EA731}"/>
    <cellStyle name="Migliaia 37 3 4 4 2" xfId="39467" xr:uid="{12DC02A1-9F54-4088-93DF-1B2B5AAE4495}"/>
    <cellStyle name="Migliaia 37 3 4 4 3" xfId="44769" xr:uid="{DD7B2C39-AB9C-4272-88BF-499685EE5345}"/>
    <cellStyle name="Migliaia 37 3 4 4 4" xfId="33936" xr:uid="{01C8C208-4BF4-4774-8E41-DF77F4567AE0}"/>
    <cellStyle name="Migliaia 37 3 4 5" xfId="36881" xr:uid="{50378D47-BC2B-43E5-9159-4432B5AA49C1}"/>
    <cellStyle name="Migliaia 37 3 4 6" xfId="42118" xr:uid="{D1631D2F-BA46-4264-9AE0-A678FCBB6390}"/>
    <cellStyle name="Migliaia 37 3 4 7" xfId="16482" xr:uid="{EA909DB2-2B03-4D57-AD62-7B0F6B6A8E79}"/>
    <cellStyle name="Migliaia 37 3 4 8" xfId="7686" xr:uid="{1B3476E3-54E0-488A-A3A8-8F441F552EA9}"/>
    <cellStyle name="Migliaia 37 3 5" xfId="3593" xr:uid="{0651C7D5-50C4-4BF6-9423-2C40D079AB05}"/>
    <cellStyle name="Migliaia 37 3 5 2" xfId="5319" xr:uid="{9502462D-35B8-4D29-84B7-A0400B90E7F4}"/>
    <cellStyle name="Migliaia 37 3 5 2 2" xfId="35336" xr:uid="{67D39222-91DB-46E8-A34F-16411880199C}"/>
    <cellStyle name="Migliaia 37 3 5 2 2 2" xfId="40496" xr:uid="{339EFAA2-8E01-40B6-9E66-50C1B06A1439}"/>
    <cellStyle name="Migliaia 37 3 5 2 2 3" xfId="45798" xr:uid="{9600CF79-3B8C-47B7-AC7D-D8515BD6BB7E}"/>
    <cellStyle name="Migliaia 37 3 5 2 3" xfId="37845" xr:uid="{2B3C82F5-FE6B-45B3-9E64-5EB920F5F846}"/>
    <cellStyle name="Migliaia 37 3 5 2 4" xfId="43147" xr:uid="{1A4E7364-0EC6-4FDC-8DEB-E44ED23B7819}"/>
    <cellStyle name="Migliaia 37 3 5 2 5" xfId="14271" xr:uid="{2CB78B99-E50D-4C4A-AD5E-74637BF1749E}"/>
    <cellStyle name="Migliaia 37 3 5 3" xfId="6513" xr:uid="{34C96F0E-1D13-4B21-810A-74F7ED7010C9}"/>
    <cellStyle name="Migliaia 37 3 5 3 2" xfId="39468" xr:uid="{E3F6839D-45A5-4AFE-BD12-454B8AC5A5DE}"/>
    <cellStyle name="Migliaia 37 3 5 3 3" xfId="44770" xr:uid="{4A70C17A-CAC7-4D02-8650-BD526FD43FF6}"/>
    <cellStyle name="Migliaia 37 3 5 3 4" xfId="33937" xr:uid="{840D34D2-CF66-4B11-B98C-A766AA0EEF25}"/>
    <cellStyle name="Migliaia 37 3 5 3 5" xfId="20509" xr:uid="{71D8E9BF-47DC-40E2-BB80-0028BD7BE8B8}"/>
    <cellStyle name="Migliaia 37 3 5 4" xfId="36882" xr:uid="{8161BA9D-0E5E-47ED-9996-22842271061C}"/>
    <cellStyle name="Migliaia 37 3 5 5" xfId="42119" xr:uid="{C7855AD8-D955-4A59-8CCA-B2CF00990B76}"/>
    <cellStyle name="Migliaia 37 3 5 6" xfId="16484" xr:uid="{92B13209-6546-46C5-9425-C92253518C3C}"/>
    <cellStyle name="Migliaia 37 3 5 7" xfId="8333" xr:uid="{3922CDDA-DC06-410E-AE6B-779D8E1D81F6}"/>
    <cellStyle name="Migliaia 37 3 6" xfId="5314" xr:uid="{D9989055-3376-4BB0-B008-BFBE40D1B367}"/>
    <cellStyle name="Migliaia 37 3 6 2" xfId="13976" xr:uid="{D6679B07-7C8A-4B7E-BC80-6C6EC20C7BAF}"/>
    <cellStyle name="Migliaia 37 3 6 2 2" xfId="39469" xr:uid="{1D3DA80F-7F35-44C9-A3E1-39A3FCF67CB1}"/>
    <cellStyle name="Migliaia 37 3 6 2 3" xfId="44771" xr:uid="{EEB64226-7CC8-41F0-89C5-FFD119DE9C5B}"/>
    <cellStyle name="Migliaia 37 3 6 3" xfId="18022" xr:uid="{AF8E84D7-2B82-4532-B6A5-6D155165D333}"/>
    <cellStyle name="Migliaia 37 3 6 4" xfId="20510" xr:uid="{4F23ABAF-91D4-49DE-ACB2-AAA6C4C43B0E}"/>
    <cellStyle name="Migliaia 37 3 6 4 2" xfId="42120" xr:uid="{2F110E27-7EBA-4C64-8A8D-67EFD2DD181A}"/>
    <cellStyle name="Migliaia 37 3 6 5" xfId="16485" xr:uid="{989F6877-7D78-4666-8445-B6BB83FEAA93}"/>
    <cellStyle name="Migliaia 37 3 6 6" xfId="7944" xr:uid="{3647F7E8-E92E-4CEE-A706-2A69BDDB323A}"/>
    <cellStyle name="Migliaia 37 3 7" xfId="6508" xr:uid="{9F642E4B-BEB3-4922-BE23-2E830ADD1472}"/>
    <cellStyle name="Migliaia 37 3 7 2" xfId="33938" xr:uid="{92ED0048-E9E0-492C-B8C9-7D0E0B836434}"/>
    <cellStyle name="Migliaia 37 3 7 2 2" xfId="39470" xr:uid="{C0B39D4E-9FC0-46E0-9830-AE7947A18C5D}"/>
    <cellStyle name="Migliaia 37 3 7 2 3" xfId="44772" xr:uid="{004077B0-B4B2-4978-A390-1AAE2DB03E2C}"/>
    <cellStyle name="Migliaia 37 3 7 3" xfId="36883" xr:uid="{38C712C9-54B5-4602-B2CD-73139FA3A56A}"/>
    <cellStyle name="Migliaia 37 3 7 4" xfId="42121" xr:uid="{685E2A71-38DB-4CCA-8FEF-EFCF3A863A5C}"/>
    <cellStyle name="Migliaia 37 3 7 5" xfId="12167" xr:uid="{047E3868-D044-440E-A55B-854CD3562022}"/>
    <cellStyle name="Migliaia 37 3 8" xfId="3588" xr:uid="{D9A509CE-B803-4352-9697-99228A313C01}"/>
    <cellStyle name="Migliaia 37 3 8 2" xfId="33939" xr:uid="{B6ACB5A1-D56B-44DB-A49F-EB728F36E6BD}"/>
    <cellStyle name="Migliaia 37 3 8 2 2" xfId="39471" xr:uid="{585333FB-0615-43A5-86F3-3B2B8F2829FF}"/>
    <cellStyle name="Migliaia 37 3 8 2 3" xfId="44773" xr:uid="{4967ECAF-B707-40AC-A9C0-2D00E16CBE5C}"/>
    <cellStyle name="Migliaia 37 3 8 3" xfId="36884" xr:uid="{A88233D4-2798-4F6D-BF55-A06CC148C5B6}"/>
    <cellStyle name="Migliaia 37 3 8 4" xfId="42122" xr:uid="{B7E84758-6219-4B9B-B5D4-F6DF9434DB49}"/>
    <cellStyle name="Migliaia 37 3 8 5" xfId="24858" xr:uid="{8A232720-8FEA-4B83-BF20-33C09276FBF7}"/>
    <cellStyle name="Migliaia 37 3 8 6" xfId="17337" xr:uid="{E90C940A-B8D8-495C-A8E7-751AC38CA4FA}"/>
    <cellStyle name="Migliaia 37 3 9" xfId="20501" xr:uid="{3A73851A-405A-42DC-A35C-56559CFEC0C8}"/>
    <cellStyle name="Migliaia 37 4" xfId="1808" xr:uid="{00000000-0005-0000-0000-0000D3030000}"/>
    <cellStyle name="Migliaia 37 4 2" xfId="1809" xr:uid="{00000000-0005-0000-0000-0000D4030000}"/>
    <cellStyle name="Migliaia 37 4 2 2" xfId="5321" xr:uid="{46A48FF8-4845-4102-BBE7-7B8BF93B2077}"/>
    <cellStyle name="Migliaia 37 4 2 2 2" xfId="33940" xr:uid="{BEA85D0B-F424-47C4-BC34-D8510945CCF1}"/>
    <cellStyle name="Migliaia 37 4 2 2 2 2" xfId="39472" xr:uid="{28B586B7-09AA-4D13-8029-D4756BC5A253}"/>
    <cellStyle name="Migliaia 37 4 2 2 2 3" xfId="44774" xr:uid="{ACC9B2D0-2856-4BFA-94A6-48855A2F7471}"/>
    <cellStyle name="Migliaia 37 4 2 2 3" xfId="36885" xr:uid="{3B44E594-80A0-4B4F-8420-48E357402E6A}"/>
    <cellStyle name="Migliaia 37 4 2 2 4" xfId="42123" xr:uid="{64B833E5-5892-48EC-BC9D-13352C44C9B6}"/>
    <cellStyle name="Migliaia 37 4 2 2 5" xfId="9168" xr:uid="{B4E09724-67BE-4331-B306-940E5B173460}"/>
    <cellStyle name="Migliaia 37 4 2 3" xfId="3595" xr:uid="{36F591D5-2E96-458D-9412-0D3B3FDD323D}"/>
    <cellStyle name="Migliaia 37 4 2 3 2" xfId="33941" xr:uid="{55CCCDF1-A0C3-4E97-861B-D0A2518DF1E0}"/>
    <cellStyle name="Migliaia 37 4 2 3 2 2" xfId="39473" xr:uid="{5B536316-8869-45C8-BB43-99DA6E0DC1EC}"/>
    <cellStyle name="Migliaia 37 4 2 3 2 3" xfId="44775" xr:uid="{285B264E-FB2F-4C7F-B334-5343C230E1BC}"/>
    <cellStyle name="Migliaia 37 4 2 3 3" xfId="36886" xr:uid="{5638E44B-10DE-40FF-962C-29244C548F29}"/>
    <cellStyle name="Migliaia 37 4 2 3 4" xfId="42124" xr:uid="{92F156D2-3597-45B6-AD3E-C9CF01BBA846}"/>
    <cellStyle name="Migliaia 37 4 2 3 5" xfId="12009" xr:uid="{7A266946-107F-464D-AD8A-44B457B60C8C}"/>
    <cellStyle name="Migliaia 37 4 2 4" xfId="11358" xr:uid="{00A9FFD1-5A78-4D41-88F6-4F515A04B7F6}"/>
    <cellStyle name="Migliaia 37 4 2 5" xfId="10886" xr:uid="{F8642811-4A00-447F-8065-844719C446F9}"/>
    <cellStyle name="Migliaia 37 4 2 5 2" xfId="21521" xr:uid="{C36EC19E-8365-466B-BCE8-5A02DBEE218C}"/>
    <cellStyle name="Migliaia 37 4 2 5 3" xfId="24242" xr:uid="{D5365060-AFE7-4D69-9291-0EFCC8B4D5D4}"/>
    <cellStyle name="Migliaia 37 4 2 5 4" xfId="50536" xr:uid="{392121F4-257A-4E72-B3AF-8BF2845A5DDA}"/>
    <cellStyle name="Migliaia 37 4 2 5 5" xfId="53552" xr:uid="{052236C5-A4C6-4BA8-AAC7-0A7CA3987DAE}"/>
    <cellStyle name="Migliaia 37 4 2 6" xfId="20512" xr:uid="{27A45288-EBE3-4CD7-8A6B-3C16BE77573C}"/>
    <cellStyle name="Migliaia 37 4 2 7" xfId="24860" xr:uid="{7F19FF27-4B68-4929-B828-0F7AB06ECCC6}"/>
    <cellStyle name="Migliaia 37 4 2 8" xfId="8664" xr:uid="{CFBADEBC-E71B-48CF-9F99-9FE1A8158A8E}"/>
    <cellStyle name="Migliaia 37 4 3" xfId="5320" xr:uid="{3BA4C93B-2C92-43E1-9659-2D78C6001A17}"/>
    <cellStyle name="Migliaia 37 4 3 2" xfId="18223" xr:uid="{82E729C5-7BBF-4AD1-A43A-49F4920FD8C6}"/>
    <cellStyle name="Migliaia 37 4 3 2 2" xfId="39474" xr:uid="{5B386915-BCC8-47F3-BF42-02913EA23B3D}"/>
    <cellStyle name="Migliaia 37 4 3 2 3" xfId="44776" xr:uid="{A4E94988-D792-4714-9F53-9EF58458F721}"/>
    <cellStyle name="Migliaia 37 4 3 3" xfId="36887" xr:uid="{702DD8D5-203D-42C3-881F-6C1705CD5C91}"/>
    <cellStyle name="Migliaia 37 4 3 4" xfId="42125" xr:uid="{47A3240C-DD8B-44CB-BE61-EE90FD51524C}"/>
    <cellStyle name="Migliaia 37 4 3 5" xfId="17335" xr:uid="{D9F37E47-62E5-4E42-8AB5-0DFE9AE932B2}"/>
    <cellStyle name="Migliaia 37 4 3 6" xfId="9169" xr:uid="{4BD6C1B6-0830-4999-A78B-73BA5ACAEE2D}"/>
    <cellStyle name="Migliaia 37 4 4" xfId="6514" xr:uid="{AF797D48-E244-42F5-B7C7-6A7335A4073A}"/>
    <cellStyle name="Migliaia 37 4 4 2" xfId="33942" xr:uid="{BED3B34F-70F1-48F9-9C40-E4427A5E20A2}"/>
    <cellStyle name="Migliaia 37 4 4 2 2" xfId="39475" xr:uid="{DF57AC00-93E0-45D7-BEBB-C54488A10FA3}"/>
    <cellStyle name="Migliaia 37 4 4 2 3" xfId="44777" xr:uid="{4BFA7A27-AB31-4643-855D-51AA0ECDE15E}"/>
    <cellStyle name="Migliaia 37 4 4 3" xfId="36888" xr:uid="{8CD19001-7D16-4325-9104-60157DA9E5CD}"/>
    <cellStyle name="Migliaia 37 4 4 4" xfId="42126" xr:uid="{18F328F7-AA42-4B64-B068-A250CF7FC3D7}"/>
    <cellStyle name="Migliaia 37 4 4 5" xfId="12010" xr:uid="{01715452-FD6C-4C3C-9C9E-A571A86CEDC3}"/>
    <cellStyle name="Migliaia 37 4 5" xfId="3594" xr:uid="{9726D3E7-8F96-474D-AD88-0D141BB704AB}"/>
    <cellStyle name="Migliaia 37 4 5 2" xfId="33943" xr:uid="{8CAD4CC4-804C-4F52-8C7B-CD74268A84D4}"/>
    <cellStyle name="Migliaia 37 4 5 2 2" xfId="39476" xr:uid="{C76B2FA4-FF89-471A-952D-3D109A50D361}"/>
    <cellStyle name="Migliaia 37 4 5 2 3" xfId="44778" xr:uid="{D461C5E7-B0CA-47A7-A1BE-D2C22AA10827}"/>
    <cellStyle name="Migliaia 37 4 5 3" xfId="36889" xr:uid="{B753C684-D347-4FD2-B756-7EE8D041CD94}"/>
    <cellStyle name="Migliaia 37 4 5 4" xfId="42127" xr:uid="{65039DE0-6998-4A95-A01E-BDB202B69924}"/>
    <cellStyle name="Migliaia 37 4 5 5" xfId="11357" xr:uid="{A0065B57-E77E-4E8A-98B1-E2C7764F2EE2}"/>
    <cellStyle name="Migliaia 37 4 6" xfId="10885" xr:uid="{BEEE61C6-8A22-4C3A-8036-7503C4CC9EE5}"/>
    <cellStyle name="Migliaia 37 4 6 2" xfId="21520" xr:uid="{4CC1FE7D-DEEF-4ABB-8E00-C0E04E7BF6DA}"/>
    <cellStyle name="Migliaia 37 4 6 2 2" xfId="39477" xr:uid="{D429B1C9-8A46-456A-AEF2-164AD181D513}"/>
    <cellStyle name="Migliaia 37 4 6 2 3" xfId="44779" xr:uid="{4CCD2EAD-8C7B-450A-B0DC-10D3113223D9}"/>
    <cellStyle name="Migliaia 37 4 6 2 4" xfId="33944" xr:uid="{A8D63D5F-AC1D-43B0-83AA-47BE4BE1355A}"/>
    <cellStyle name="Migliaia 37 4 6 3" xfId="36890" xr:uid="{9E80766A-73AA-4879-981D-3941F7800049}"/>
    <cellStyle name="Migliaia 37 4 6 4" xfId="42128" xr:uid="{A8E82757-004D-43BF-A6C9-FF638E97AA05}"/>
    <cellStyle name="Migliaia 37 4 6 5" xfId="24861" xr:uid="{D885633A-8569-4EEB-AD9A-A3B395EF4EA0}"/>
    <cellStyle name="Migliaia 37 4 6 6" xfId="46249" xr:uid="{1A8CD204-1535-4696-85F9-D56053DB7296}"/>
    <cellStyle name="Migliaia 37 4 6 7" xfId="50535" xr:uid="{44ABA70A-9C24-4EA3-B2BF-E922BCD243DE}"/>
    <cellStyle name="Migliaia 37 4 6 8" xfId="53551" xr:uid="{6DC71CFF-1A35-4B21-8663-0A45EF591F2F}"/>
    <cellStyle name="Migliaia 37 4 7" xfId="20511" xr:uid="{9A092F8A-5110-4BEB-8237-F98C1BEDCE1A}"/>
    <cellStyle name="Migliaia 37 4 7 2" xfId="33945" xr:uid="{926982CA-3FC3-4B01-9235-C6BCEC163769}"/>
    <cellStyle name="Migliaia 37 4 7 2 2" xfId="39478" xr:uid="{281B7D8F-4D94-47E8-8AF0-A5EC39998F13}"/>
    <cellStyle name="Migliaia 37 4 7 2 3" xfId="44780" xr:uid="{69977650-BCF5-4FB8-8D3A-CF39BE5ED3B3}"/>
    <cellStyle name="Migliaia 37 4 7 3" xfId="36891" xr:uid="{BC49E925-0F1E-4151-B761-8DEDE5C9794D}"/>
    <cellStyle name="Migliaia 37 4 7 4" xfId="42129" xr:uid="{AB12CC12-D97C-4CD8-A115-FE38425CD69F}"/>
    <cellStyle name="Migliaia 37 4 7 5" xfId="24862" xr:uid="{9BF1529F-2CA0-4D4C-BF7D-0B4F73FE0778}"/>
    <cellStyle name="Migliaia 37 4 8" xfId="24859" xr:uid="{32D92DE8-FFFA-4299-AA28-A95F117C26E7}"/>
    <cellStyle name="Migliaia 37 4 9" xfId="7474" xr:uid="{695B849C-AEAD-4E48-8E4C-015619F485A8}"/>
    <cellStyle name="Migliaia 37 5" xfId="1810" xr:uid="{00000000-0005-0000-0000-0000D5030000}"/>
    <cellStyle name="Migliaia 37 5 2" xfId="5322" xr:uid="{040770B9-B15F-4948-8884-B33003DC9FFD}"/>
    <cellStyle name="Migliaia 37 5 2 2" xfId="18454" xr:uid="{4E7F0E19-3E41-475D-A4EF-A9272F86255C}"/>
    <cellStyle name="Migliaia 37 5 2 2 2" xfId="39479" xr:uid="{02F9B696-0EA9-43AA-A7FF-E1387A60CAB4}"/>
    <cellStyle name="Migliaia 37 5 2 2 3" xfId="44781" xr:uid="{1169F4E5-FD06-4C5E-BE23-E5E420A74417}"/>
    <cellStyle name="Migliaia 37 5 2 3" xfId="20514" xr:uid="{0A7AA658-9634-4155-B881-48213F0F5047}"/>
    <cellStyle name="Migliaia 37 5 2 3 2" xfId="36892" xr:uid="{A7740636-7DF4-40F6-ADF2-58F79BA20C8E}"/>
    <cellStyle name="Migliaia 37 5 2 4" xfId="42130" xr:uid="{59C35BA1-21DC-4274-AEBB-39C2835C6AC5}"/>
    <cellStyle name="Migliaia 37 5 2 5" xfId="16486" xr:uid="{42327E01-BFCA-4DA4-A661-148A27EFD5BC}"/>
    <cellStyle name="Migliaia 37 5 2 6" xfId="8665" xr:uid="{F325F2E7-4E9B-43E7-81AD-ADB5FF54A276}"/>
    <cellStyle name="Migliaia 37 5 3" xfId="6515" xr:uid="{5B513201-78C3-4B3D-9F88-9D484743C8D1}"/>
    <cellStyle name="Migliaia 37 5 3 2" xfId="33946" xr:uid="{05EA4128-6A74-478F-9824-B34B18C2E545}"/>
    <cellStyle name="Migliaia 37 5 3 2 2" xfId="39480" xr:uid="{4F130702-BB82-453D-9B25-3031E138BB5C}"/>
    <cellStyle name="Migliaia 37 5 3 2 3" xfId="44782" xr:uid="{85C56273-C2B1-4C86-9C8D-4147E63F15BC}"/>
    <cellStyle name="Migliaia 37 5 3 3" xfId="36893" xr:uid="{3DF26CFD-3DBD-40CA-BC6C-9034A83ADF59}"/>
    <cellStyle name="Migliaia 37 5 3 4" xfId="42131" xr:uid="{61295309-B801-4EB3-97BD-FCFD0FAFDA43}"/>
    <cellStyle name="Migliaia 37 5 3 5" xfId="11359" xr:uid="{C1089CA3-40E7-4DD3-AF8D-0D5CFD028A08}"/>
    <cellStyle name="Migliaia 37 5 4" xfId="3596" xr:uid="{D1C469AE-757A-4D31-AC85-B1CAA0F1EAFD}"/>
    <cellStyle name="Migliaia 37 5 4 2" xfId="21522" xr:uid="{57F3C56D-48AA-448B-AC0B-580376D799C2}"/>
    <cellStyle name="Migliaia 37 5 4 2 2" xfId="39481" xr:uid="{5BBB0488-7D9B-4EA1-879D-19E68BBCAA4D}"/>
    <cellStyle name="Migliaia 37 5 4 2 3" xfId="44783" xr:uid="{3152B1A5-4FEC-4419-B1AA-DB39D3547DB6}"/>
    <cellStyle name="Migliaia 37 5 4 2 4" xfId="33947" xr:uid="{D90599A3-65B8-4F8B-BC77-04CC9E3A2D25}"/>
    <cellStyle name="Migliaia 37 5 4 3" xfId="36894" xr:uid="{62C8245F-59B9-421D-B277-8CD9775DB86E}"/>
    <cellStyle name="Migliaia 37 5 4 4" xfId="42132" xr:uid="{17E88206-688C-412F-B925-A4DE2ABE941A}"/>
    <cellStyle name="Migliaia 37 5 4 5" xfId="24864" xr:uid="{EB4167CA-1A17-4A41-9C69-5761B2030D10}"/>
    <cellStyle name="Migliaia 37 5 4 6" xfId="46250" xr:uid="{880F146F-1DE8-496B-9D7D-EEABB9F9E164}"/>
    <cellStyle name="Migliaia 37 5 4 7" xfId="50537" xr:uid="{4C3C88C7-7C3C-43A1-B1B4-2BDE8C0B340C}"/>
    <cellStyle name="Migliaia 37 5 4 8" xfId="53553" xr:uid="{D12FE3F5-C453-4E50-BFE2-59F00416D107}"/>
    <cellStyle name="Migliaia 37 5 4 9" xfId="10887" xr:uid="{5AD6685B-008C-4672-BBA9-DA74C7B6C717}"/>
    <cellStyle name="Migliaia 37 5 5" xfId="20513" xr:uid="{59B50A81-DD3C-46A1-8CFC-67A84DA9DED0}"/>
    <cellStyle name="Migliaia 37 5 5 2" xfId="33948" xr:uid="{3C242595-4945-4325-91B9-37BA570D9E53}"/>
    <cellStyle name="Migliaia 37 5 5 2 2" xfId="39482" xr:uid="{CD091D5A-022A-4C74-B9C6-E00F7947BF43}"/>
    <cellStyle name="Migliaia 37 5 5 2 3" xfId="44784" xr:uid="{C4DB6250-7DB8-42A2-A267-952F29BEFB01}"/>
    <cellStyle name="Migliaia 37 5 5 3" xfId="36895" xr:uid="{2A447B25-BDCA-409A-A34F-1006831A11DB}"/>
    <cellStyle name="Migliaia 37 5 5 4" xfId="42133" xr:uid="{5F08F81E-88BB-43CE-BF2A-0CA0DA665DA3}"/>
    <cellStyle name="Migliaia 37 5 5 5" xfId="24865" xr:uid="{C2120909-6710-477D-8595-31F1CF661D0E}"/>
    <cellStyle name="Migliaia 37 5 6" xfId="24866" xr:uid="{EED989DD-1D76-41F4-B2E4-5FA8EB6A03B2}"/>
    <cellStyle name="Migliaia 37 5 6 2" xfId="33949" xr:uid="{FAC46026-D10A-42B0-8D47-B07625CDA0DA}"/>
    <cellStyle name="Migliaia 37 5 6 2 2" xfId="39483" xr:uid="{F9D394F2-3879-49F0-B610-22E9E3D63BA2}"/>
    <cellStyle name="Migliaia 37 5 6 2 3" xfId="44785" xr:uid="{5B666F98-536B-43E1-8E9A-5B3CEBDA58B1}"/>
    <cellStyle name="Migliaia 37 5 6 3" xfId="36896" xr:uid="{47E4357D-A0A1-4940-BEEF-FCDE8A213373}"/>
    <cellStyle name="Migliaia 37 5 6 4" xfId="42134" xr:uid="{59210FF2-2BB3-4F96-95DC-DED7DADB9543}"/>
    <cellStyle name="Migliaia 37 5 7" xfId="24863" xr:uid="{84751837-7CDB-4F68-B900-78A5659E0F84}"/>
    <cellStyle name="Migliaia 37 5 8" xfId="7475" xr:uid="{D57282CD-7314-433C-9419-0E5F078F6895}"/>
    <cellStyle name="Migliaia 37 6" xfId="3597" xr:uid="{02D50670-B404-4218-B08C-DBEB9951C656}"/>
    <cellStyle name="Migliaia 37 6 2" xfId="5323" xr:uid="{5881A6B7-A243-40C4-A965-4FE26DC4E963}"/>
    <cellStyle name="Migliaia 37 6 2 2" xfId="9941" xr:uid="{E4C57220-6BC6-4B2C-A90C-782F975F3613}"/>
    <cellStyle name="Migliaia 37 6 2 3" xfId="18650" xr:uid="{4C5C5A6A-C6FD-4D60-B93F-477DB0CA6712}"/>
    <cellStyle name="Migliaia 37 6 2 4" xfId="20516" xr:uid="{E748E0B9-F93F-42A0-822B-3958BA6E80D6}"/>
    <cellStyle name="Migliaia 37 6 2 5" xfId="32392" xr:uid="{95BD24AD-9B3A-4054-9728-8818B557E334}"/>
    <cellStyle name="Migliaia 37 6 2 6" xfId="16488" xr:uid="{1C5406CC-CC09-4BC1-B6DE-5A02B87EC346}"/>
    <cellStyle name="Migliaia 37 6 2 7" xfId="8660" xr:uid="{05DD705A-BC51-4203-AAF4-D92E5BAA7FE9}"/>
    <cellStyle name="Migliaia 37 6 3" xfId="6516" xr:uid="{350D6510-8676-4186-9243-D53DB5CF346F}"/>
    <cellStyle name="Migliaia 37 6 3 2" xfId="35337" xr:uid="{D6BF256F-13BE-4FC9-88EF-FF311D1397DE}"/>
    <cellStyle name="Migliaia 37 6 3 2 2" xfId="40497" xr:uid="{7291B415-C9E9-45EB-9DB9-228504FA84D3}"/>
    <cellStyle name="Migliaia 37 6 3 2 3" xfId="45799" xr:uid="{A62E4B72-475B-4F3A-BAF5-C03268ADF760}"/>
    <cellStyle name="Migliaia 37 6 3 3" xfId="37846" xr:uid="{CE20DE70-C68B-45D8-ACDF-126D534EA5C6}"/>
    <cellStyle name="Migliaia 37 6 3 4" xfId="43148" xr:uid="{271BFB9D-C9D8-4CD0-987F-1B21D2351D57}"/>
    <cellStyle name="Migliaia 37 6 3 5" xfId="9704" xr:uid="{B85C5A23-08E3-4F9E-9EE4-68D3C9C1BB70}"/>
    <cellStyle name="Migliaia 37 6 4" xfId="20515" xr:uid="{D12EE4C6-2E35-42F1-ABF6-267FA02053AC}"/>
    <cellStyle name="Migliaia 37 6 4 2" xfId="39484" xr:uid="{23EA2CFF-CC1A-460A-BD60-F3E154615EE3}"/>
    <cellStyle name="Migliaia 37 6 4 3" xfId="44786" xr:uid="{3FAD0D4C-C9D5-4418-A2C6-98345FE98C21}"/>
    <cellStyle name="Migliaia 37 6 4 4" xfId="33950" xr:uid="{C81FBD04-E88C-466B-85E3-03CC49481FDC}"/>
    <cellStyle name="Migliaia 37 6 5" xfId="36897" xr:uid="{3762882E-2294-47C9-9431-8D3434C3D374}"/>
    <cellStyle name="Migliaia 37 6 6" xfId="42135" xr:uid="{B994B19C-D5E1-4AFE-A969-7A0B5439A3A0}"/>
    <cellStyle name="Migliaia 37 6 7" xfId="16487" xr:uid="{ED995D4B-90C0-4308-B4D1-48B9801D4BD4}"/>
    <cellStyle name="Migliaia 37 6 8" xfId="7470" xr:uid="{C95B9084-BD6B-4471-AC47-0B7E9B85D349}"/>
    <cellStyle name="Migliaia 37 7" xfId="3598" xr:uid="{075E0A5D-AAA2-4127-AEBB-09EDFA6C3BDB}"/>
    <cellStyle name="Migliaia 37 7 2" xfId="5324" xr:uid="{359A1158-A60E-464F-B1F9-38CFF9239C04}"/>
    <cellStyle name="Migliaia 37 7 2 2" xfId="35338" xr:uid="{5745D005-9487-480C-AB0E-433FD3517E9E}"/>
    <cellStyle name="Migliaia 37 7 2 2 2" xfId="40498" xr:uid="{9BE6A894-8D2B-48A6-AC5E-D5AC301BEBEE}"/>
    <cellStyle name="Migliaia 37 7 2 2 3" xfId="45800" xr:uid="{04413DD0-E858-45F9-B22B-504507EC369E}"/>
    <cellStyle name="Migliaia 37 7 2 3" xfId="37847" xr:uid="{BC36DBB8-1ECE-4EDA-8F75-2329CD339D17}"/>
    <cellStyle name="Migliaia 37 7 2 4" xfId="43149" xr:uid="{6171C59B-E1F6-40C1-A098-D2CCD31D7426}"/>
    <cellStyle name="Migliaia 37 7 2 5" xfId="14269" xr:uid="{F62A63C2-1E11-420C-B79B-60799B98A2DE}"/>
    <cellStyle name="Migliaia 37 7 3" xfId="6517" xr:uid="{03E3F660-1EFB-499D-96FB-579A48D45FEB}"/>
    <cellStyle name="Migliaia 37 7 3 2" xfId="39485" xr:uid="{D70DA1F7-B1E8-4BBD-A3B0-7750B9D5AAD7}"/>
    <cellStyle name="Migliaia 37 7 3 3" xfId="44787" xr:uid="{062FCC72-E8ED-4BE2-B282-373D84D76430}"/>
    <cellStyle name="Migliaia 37 7 3 4" xfId="33951" xr:uid="{0EF89428-C5C3-4E84-96EE-07D1D26DFB08}"/>
    <cellStyle name="Migliaia 37 7 3 5" xfId="20517" xr:uid="{A2EBB191-6CB6-434B-AA9D-0D7835E4E672}"/>
    <cellStyle name="Migliaia 37 7 4" xfId="36898" xr:uid="{0593B125-9BC3-4D65-A68E-E6A5BDB9471E}"/>
    <cellStyle name="Migliaia 37 7 5" xfId="42136" xr:uid="{58D597F4-AFCE-44A2-B007-FA6081EF045B}"/>
    <cellStyle name="Migliaia 37 7 6" xfId="16489" xr:uid="{F2FC9958-7C09-4FF2-8892-30D58BAD614A}"/>
    <cellStyle name="Migliaia 37 7 7" xfId="8331" xr:uid="{AA756156-34E0-47A9-86DF-F08E2965D1CC}"/>
    <cellStyle name="Migliaia 37 8" xfId="3599" xr:uid="{C232DE7B-EDEF-4B38-A92D-1632F8464D75}"/>
    <cellStyle name="Migliaia 37 8 2" xfId="5325" xr:uid="{AA51008E-09DE-44DB-882F-6BFF0AF4715E}"/>
    <cellStyle name="Migliaia 37 8 2 2" xfId="35339" xr:uid="{0AEE7114-27A7-414C-90D4-5941DFF83163}"/>
    <cellStyle name="Migliaia 37 8 2 2 2" xfId="40499" xr:uid="{E30DA1B0-D177-44C6-8821-EECD316F742D}"/>
    <cellStyle name="Migliaia 37 8 2 2 3" xfId="45801" xr:uid="{83325E35-7923-4BA1-8D77-B9E90A834957}"/>
    <cellStyle name="Migliaia 37 8 2 3" xfId="37848" xr:uid="{DB8579DD-2FF5-43BD-BBDD-68BE729578A3}"/>
    <cellStyle name="Migliaia 37 8 2 4" xfId="43150" xr:uid="{030AA1BF-3105-42D0-B3C1-70DF5783E173}"/>
    <cellStyle name="Migliaia 37 8 2 5" xfId="13974" xr:uid="{D4CF1E22-B83B-4361-A749-632225235F82}"/>
    <cellStyle name="Migliaia 37 8 3" xfId="6518" xr:uid="{A9B3D9D6-843A-4639-81FD-39BEF1E1E66E}"/>
    <cellStyle name="Migliaia 37 8 3 2" xfId="39486" xr:uid="{877CFE5E-2CA2-4DB8-964C-A7EB1EBA4974}"/>
    <cellStyle name="Migliaia 37 8 3 3" xfId="44788" xr:uid="{29951C96-CEAD-4ED6-B90B-9DEB73324787}"/>
    <cellStyle name="Migliaia 37 8 3 4" xfId="33952" xr:uid="{485A51AE-20A2-4411-8EB4-15EA8D15C4E2}"/>
    <cellStyle name="Migliaia 37 8 3 5" xfId="20518" xr:uid="{DA38E185-C5CC-4862-9AAD-58CA0C48ABBE}"/>
    <cellStyle name="Migliaia 37 8 4" xfId="36899" xr:uid="{4AF1BBAB-F183-4F6D-B7D5-F273B33EFD0D}"/>
    <cellStyle name="Migliaia 37 8 5" xfId="42137" xr:uid="{486D2612-91CB-4A7B-8E6B-27FC2EEC9FCA}"/>
    <cellStyle name="Migliaia 37 8 6" xfId="16490" xr:uid="{CF24D403-1FF2-4115-BD3E-73D7311373E0}"/>
    <cellStyle name="Migliaia 37 8 7" xfId="7942" xr:uid="{D7FF80D7-3F41-4026-973D-50D32E36D626}"/>
    <cellStyle name="Migliaia 37 9" xfId="5310" xr:uid="{7F867A6E-AB34-4652-8106-6FDAE61C35E0}"/>
    <cellStyle name="Migliaia 37 9 2" xfId="33953" xr:uid="{1D5D7406-41D4-49AE-842E-09D921E8CF9F}"/>
    <cellStyle name="Migliaia 37 9 2 2" xfId="39487" xr:uid="{D5291881-6E9C-40D3-AA96-7358E82212AD}"/>
    <cellStyle name="Migliaia 37 9 2 3" xfId="44789" xr:uid="{62030131-A6ED-44EA-AF57-06E9DA9B93C8}"/>
    <cellStyle name="Migliaia 37 9 3" xfId="36900" xr:uid="{BA26D8EA-9268-48F0-A8D9-B0C34B4A79C4}"/>
    <cellStyle name="Migliaia 37 9 4" xfId="42138" xr:uid="{E99DA59A-73DC-49EC-8756-C808913F00E0}"/>
    <cellStyle name="Migliaia 37 9 5" xfId="17195" xr:uid="{E3055A77-6F04-445B-9077-01EEBA9727DC}"/>
    <cellStyle name="Migliaia 38" xfId="425" xr:uid="{00000000-0005-0000-0000-0000D6030000}"/>
    <cellStyle name="Migliaia 38 10" xfId="6519" xr:uid="{48F4F792-D39C-4989-9355-B09A28869061}"/>
    <cellStyle name="Migliaia 38 10 2" xfId="39488" xr:uid="{37CC3291-8AF7-4C12-BD6E-16F5FF37E68D}"/>
    <cellStyle name="Migliaia 38 10 3" xfId="44790" xr:uid="{1DFAD0CA-E205-4F8F-AC67-AEE1AB8B11FD}"/>
    <cellStyle name="Migliaia 38 10 4" xfId="33954" xr:uid="{F6A606BF-5DD0-4B27-9599-B307D6074F7D}"/>
    <cellStyle name="Migliaia 38 10 5" xfId="20519" xr:uid="{21C66D7A-61A5-40BF-905D-4E1463947F51}"/>
    <cellStyle name="Migliaia 38 11" xfId="3600" xr:uid="{F0B5EB3C-E4AA-4AAA-9BDD-ACD6991327DA}"/>
    <cellStyle name="Migliaia 38 11 2" xfId="36901" xr:uid="{B041C9FC-0957-464E-9E1E-AF96C17DC514}"/>
    <cellStyle name="Migliaia 38 12" xfId="42139" xr:uid="{C67CF126-5163-43F2-9B85-35891F9CA3A9}"/>
    <cellStyle name="Migliaia 38 13" xfId="7135" xr:uid="{B95F1F88-FFB1-4F7B-A1F6-2BA6CED84DF6}"/>
    <cellStyle name="Migliaia 38 2" xfId="426" xr:uid="{00000000-0005-0000-0000-0000D7030000}"/>
    <cellStyle name="Migliaia 38 2 2" xfId="1811" xr:uid="{00000000-0005-0000-0000-0000D8030000}"/>
    <cellStyle name="Migliaia 38 2 2 2" xfId="5328" xr:uid="{EA6AC698-C72B-42AE-B749-E09E27789715}"/>
    <cellStyle name="Migliaia 38 2 2 2 2" xfId="14394" xr:uid="{3114F6CA-A51C-42EA-85F7-0F4C844DE373}"/>
    <cellStyle name="Migliaia 38 2 2 2 2 2" xfId="39489" xr:uid="{DC5E068A-BDFB-4F51-85FD-7CE7CB95C5B3}"/>
    <cellStyle name="Migliaia 38 2 2 2 2 3" xfId="44791" xr:uid="{01A135A6-22CA-428E-95E6-3891F05E44B8}"/>
    <cellStyle name="Migliaia 38 2 2 2 3" xfId="18455" xr:uid="{1565A37F-4C87-4D11-B7A4-7B2442CD5C5F}"/>
    <cellStyle name="Migliaia 38 2 2 2 4" xfId="20522" xr:uid="{50D7A5BF-F89E-4AFC-A40B-4278D64A9ADA}"/>
    <cellStyle name="Migliaia 38 2 2 2 4 2" xfId="42140" xr:uid="{C46DF8C2-2769-4DF8-8FAF-20F97906E7AF}"/>
    <cellStyle name="Migliaia 38 2 2 2 5" xfId="16491" xr:uid="{A98163FA-BE89-4898-ACCC-A15275C14AEB}"/>
    <cellStyle name="Migliaia 38 2 2 2 6" xfId="8667" xr:uid="{89A5E8D5-A90B-4440-B40A-4516BCD88633}"/>
    <cellStyle name="Migliaia 38 2 2 3" xfId="6521" xr:uid="{CD35BAC1-E071-40B0-A89C-05193445CCB9}"/>
    <cellStyle name="Migliaia 38 2 2 3 2" xfId="35340" xr:uid="{48F010C9-2F86-4AFF-8F44-177FC0853119}"/>
    <cellStyle name="Migliaia 38 2 2 3 2 2" xfId="40500" xr:uid="{1D838483-1348-4D1D-87D9-BED9D71507A0}"/>
    <cellStyle name="Migliaia 38 2 2 3 2 3" xfId="45802" xr:uid="{E01C8003-8ADE-4058-96B5-AE6BE780E0E8}"/>
    <cellStyle name="Migliaia 38 2 2 3 3" xfId="37849" xr:uid="{4750A646-2EF9-4F4D-9723-38B065AC820A}"/>
    <cellStyle name="Migliaia 38 2 2 3 4" xfId="43151" xr:uid="{A4D330B8-7BC5-457A-923B-1814D75A5D67}"/>
    <cellStyle name="Migliaia 38 2 2 3 5" xfId="11621" xr:uid="{E9547213-D9E5-4404-8A0B-86B65694F752}"/>
    <cellStyle name="Migliaia 38 2 2 4" xfId="3602" xr:uid="{CC8288F0-74CA-4DCB-92C2-909A5BE87EA2}"/>
    <cellStyle name="Migliaia 38 2 2 4 2" xfId="21523" xr:uid="{7B163D3C-998A-4BF5-88F4-7C10C93D010B}"/>
    <cellStyle name="Migliaia 38 2 2 4 3" xfId="47307" xr:uid="{37C24236-F369-407D-B233-9080F503D84A}"/>
    <cellStyle name="Migliaia 38 2 2 4 4" xfId="50538" xr:uid="{0A49192A-5ABF-4A75-BE47-7B773618768C}"/>
    <cellStyle name="Migliaia 38 2 2 4 5" xfId="53554" xr:uid="{B658EABF-7489-4200-846D-2B56AF87C48E}"/>
    <cellStyle name="Migliaia 38 2 2 4 6" xfId="10888" xr:uid="{96A214C4-4C75-426F-A095-CC3B6744119A}"/>
    <cellStyle name="Migliaia 38 2 2 5" xfId="20521" xr:uid="{D3D75FA3-F9B3-4CEC-BE06-FB5B49ECBF2D}"/>
    <cellStyle name="Migliaia 38 2 2 6" xfId="24868" xr:uid="{A70D1D34-BA94-4AE7-A1B0-A287E36B4C91}"/>
    <cellStyle name="Migliaia 38 2 2 7" xfId="7477" xr:uid="{5B737F9F-5434-4227-87EB-CC7DD7C9886E}"/>
    <cellStyle name="Migliaia 38 2 3" xfId="3603" xr:uid="{F7D50DF9-C34C-4F60-B22D-FBDB90820433}"/>
    <cellStyle name="Migliaia 38 2 3 2" xfId="5329" xr:uid="{EB225DAB-FB4F-43FE-9F17-4692AF62927E}"/>
    <cellStyle name="Migliaia 38 2 3 2 2" xfId="35341" xr:uid="{CFCC60D7-6B71-47B4-81F3-EE79BEDC4FBD}"/>
    <cellStyle name="Migliaia 38 2 3 2 2 2" xfId="40501" xr:uid="{A6380E6A-9F09-450D-8775-CDEEDD34C950}"/>
    <cellStyle name="Migliaia 38 2 3 2 2 3" xfId="45803" xr:uid="{17BF8822-67E5-4C06-A573-A289A5E24D47}"/>
    <cellStyle name="Migliaia 38 2 3 2 3" xfId="37850" xr:uid="{BA0CF14A-480B-449F-9E5A-620FB0CCA58F}"/>
    <cellStyle name="Migliaia 38 2 3 2 4" xfId="43152" xr:uid="{04AB9F80-37E9-4355-A3B8-ADE1BC91A8C9}"/>
    <cellStyle name="Migliaia 38 2 3 2 5" xfId="14273" xr:uid="{4DBBE0C5-09B2-4204-A620-40DD728E9AE0}"/>
    <cellStyle name="Migliaia 38 2 3 3" xfId="6522" xr:uid="{B92EC2F4-C659-4FB9-83F3-703DBC26EF7A}"/>
    <cellStyle name="Migliaia 38 2 3 3 2" xfId="39490" xr:uid="{23B6A006-2989-482B-9124-2BD10D638850}"/>
    <cellStyle name="Migliaia 38 2 3 3 3" xfId="44792" xr:uid="{BF713897-99A2-4B5B-ADCE-C2E29689C7AE}"/>
    <cellStyle name="Migliaia 38 2 3 3 4" xfId="33955" xr:uid="{A970BEDE-4341-4C9B-BED3-822446990ECA}"/>
    <cellStyle name="Migliaia 38 2 3 3 5" xfId="20523" xr:uid="{CC03A306-8E54-4902-9CF1-4F4D605AB944}"/>
    <cellStyle name="Migliaia 38 2 3 4" xfId="36902" xr:uid="{253ADE66-233B-47E8-B966-048DC349D550}"/>
    <cellStyle name="Migliaia 38 2 3 5" xfId="42141" xr:uid="{7135E8A5-531B-4490-BD85-C9BE4E4EC904}"/>
    <cellStyle name="Migliaia 38 2 3 6" xfId="16492" xr:uid="{07EF21D2-5CC6-4E99-ABE3-D667A63D33E9}"/>
    <cellStyle name="Migliaia 38 2 3 7" xfId="8335" xr:uid="{0682881F-2824-4A6A-85F6-559C0AD4D450}"/>
    <cellStyle name="Migliaia 38 2 4" xfId="5327" xr:uid="{6C77A039-D1A1-4D5F-BE0C-59947A39F44F}"/>
    <cellStyle name="Migliaia 38 2 4 2" xfId="13978" xr:uid="{91329869-DFAC-4F14-9E19-A187906B5D2C}"/>
    <cellStyle name="Migliaia 38 2 4 2 2" xfId="39491" xr:uid="{565EF5DE-FA62-4CC9-8680-B7E33D8525D4}"/>
    <cellStyle name="Migliaia 38 2 4 2 3" xfId="44793" xr:uid="{1C6B3210-C0DA-4941-A23E-6AAB12CC95FA}"/>
    <cellStyle name="Migliaia 38 2 4 3" xfId="18705" xr:uid="{6412A9A1-6658-4D68-9D31-E6A2154717E4}"/>
    <cellStyle name="Migliaia 38 2 4 4" xfId="20524" xr:uid="{07A9CD23-D6C4-4BC3-9D4C-B665A8DD5350}"/>
    <cellStyle name="Migliaia 38 2 4 4 2" xfId="42142" xr:uid="{D5301AE0-8B6D-4F27-B71E-7C13EEEB050C}"/>
    <cellStyle name="Migliaia 38 2 4 5" xfId="16493" xr:uid="{234A2756-BBBC-43E6-9ABE-49189A28CEA0}"/>
    <cellStyle name="Migliaia 38 2 4 6" xfId="7947" xr:uid="{D72B7F3E-5562-472E-94C9-22737A766E05}"/>
    <cellStyle name="Migliaia 38 2 5" xfId="6520" xr:uid="{ABFE1193-C612-426D-867C-EC04DF7370FB}"/>
    <cellStyle name="Migliaia 38 2 5 2" xfId="33956" xr:uid="{04323558-9076-47CF-8B26-2677CEC7717D}"/>
    <cellStyle name="Migliaia 38 2 5 2 2" xfId="39492" xr:uid="{13A15B6C-3078-4A9B-B152-0844B0BD12B9}"/>
    <cellStyle name="Migliaia 38 2 5 2 3" xfId="44794" xr:uid="{A9FAD7E9-6008-428E-A97E-6654BD5F51B5}"/>
    <cellStyle name="Migliaia 38 2 5 3" xfId="36903" xr:uid="{A11A4A8C-5F32-4277-BAA9-819F74E188B6}"/>
    <cellStyle name="Migliaia 38 2 5 4" xfId="42143" xr:uid="{3C0933D2-607E-45F0-B242-D201F5667F96}"/>
    <cellStyle name="Migliaia 38 2 5 5" xfId="13134" xr:uid="{4161142A-07D3-4130-B4D0-E8A75F9E53FD}"/>
    <cellStyle name="Migliaia 38 2 6" xfId="3601" xr:uid="{95445A0F-9632-4D42-B07B-A3AFF2B045EA}"/>
    <cellStyle name="Migliaia 38 2 6 2" xfId="33957" xr:uid="{F83A6D51-917C-4CEB-A02F-4A8B4A5F8613}"/>
    <cellStyle name="Migliaia 38 2 6 2 2" xfId="39493" xr:uid="{292A0137-EB82-4129-929C-4C98FC641E9A}"/>
    <cellStyle name="Migliaia 38 2 6 2 3" xfId="44795" xr:uid="{32B2F417-A41C-4CCF-9131-11DD8299AC5D}"/>
    <cellStyle name="Migliaia 38 2 6 3" xfId="36904" xr:uid="{C0F161A9-DF44-4D61-B863-EC183D907CBE}"/>
    <cellStyle name="Migliaia 38 2 6 4" xfId="42144" xr:uid="{C172BD62-8C42-4869-AA43-61D24B7C3EFC}"/>
    <cellStyle name="Migliaia 38 2 6 5" xfId="24869" xr:uid="{B163AD11-E455-4AA8-962F-A5D6968B367A}"/>
    <cellStyle name="Migliaia 38 2 6 6" xfId="20520" xr:uid="{A3A2A246-CB05-421F-9A49-FD77CA17E933}"/>
    <cellStyle name="Migliaia 38 2 7" xfId="24867" xr:uid="{5DBCB35D-C7F7-460F-9C8F-0531D67E0BC0}"/>
    <cellStyle name="Migliaia 38 2 8" xfId="7136" xr:uid="{C3498C50-D7AD-45AC-887F-D3DDE09C6234}"/>
    <cellStyle name="Migliaia 38 3" xfId="427" xr:uid="{00000000-0005-0000-0000-0000D9030000}"/>
    <cellStyle name="Migliaia 38 3 10" xfId="24870" xr:uid="{E893E195-7598-4C51-B5C2-DBE98E7D976B}"/>
    <cellStyle name="Migliaia 38 3 11" xfId="16494" xr:uid="{EAC9CE1D-8D90-456A-8DFB-0121508C31EB}"/>
    <cellStyle name="Migliaia 38 3 12" xfId="7137" xr:uid="{361DD419-A4A9-479B-B11B-97E7F21A2EE1}"/>
    <cellStyle name="Migliaia 38 3 2" xfId="428" xr:uid="{00000000-0005-0000-0000-0000DA030000}"/>
    <cellStyle name="Migliaia 38 3 2 2" xfId="1812" xr:uid="{00000000-0005-0000-0000-0000DB030000}"/>
    <cellStyle name="Migliaia 38 3 2 2 2" xfId="5332" xr:uid="{D0CE1583-2C21-4DBD-9FB4-9A9091181EAD}"/>
    <cellStyle name="Migliaia 38 3 2 2 2 2" xfId="18456" xr:uid="{7B3EF70D-494B-4D58-B456-E0EF94C5C4D4}"/>
    <cellStyle name="Migliaia 38 3 2 2 2 2 2" xfId="21872" xr:uid="{3A25C66B-D024-4758-9400-50D4271629A1}"/>
    <cellStyle name="Migliaia 38 3 2 2 2 2 2 2" xfId="39494" xr:uid="{A7DB44E7-B720-4FB9-8E04-603BFB858A65}"/>
    <cellStyle name="Migliaia 38 3 2 2 2 2 3" xfId="44796" xr:uid="{7D9EDA69-519D-4CAC-8A4F-24EE4DEF16AC}"/>
    <cellStyle name="Migliaia 38 3 2 2 2 2 4" xfId="33958" xr:uid="{1A1460B1-A807-4348-A7AB-9FDBBD5CBFF7}"/>
    <cellStyle name="Migliaia 38 3 2 2 2 3" xfId="36905" xr:uid="{E7714318-2F31-41B0-BD34-4B5AC469181C}"/>
    <cellStyle name="Migliaia 38 3 2 2 2 4" xfId="42145" xr:uid="{F372C539-473F-43D6-8E14-6B2B9700D674}"/>
    <cellStyle name="Migliaia 38 3 2 2 2 5" xfId="46748" xr:uid="{CCDBECFD-BFA5-4D13-895F-D02418976989}"/>
    <cellStyle name="Migliaia 38 3 2 2 2 6" xfId="50900" xr:uid="{959EFBC0-04AA-4DAC-8D60-3549F15DCABE}"/>
    <cellStyle name="Migliaia 38 3 2 2 2 7" xfId="53916" xr:uid="{EA088152-E0A2-42CA-B3D9-C9AA0E905C25}"/>
    <cellStyle name="Migliaia 38 3 2 2 2 8" xfId="17669" xr:uid="{6D06D18F-017E-49BA-A1E4-3BF9B58D6775}"/>
    <cellStyle name="Migliaia 38 3 2 2 2 9" xfId="12011" xr:uid="{1E3BAEB7-96A3-43D2-93F1-556E7C0BC099}"/>
    <cellStyle name="Migliaia 38 3 2 2 3" xfId="6525" xr:uid="{5B73C05B-34B4-4EB1-A292-409472A35D68}"/>
    <cellStyle name="Migliaia 38 3 2 2 3 2" xfId="11565" xr:uid="{7A231238-7D31-4F7F-A7D2-F75510F29459}"/>
    <cellStyle name="Migliaia 38 3 2 2 4" xfId="3606" xr:uid="{A93408DE-FA5A-4202-9595-2A0110C15F82}"/>
    <cellStyle name="Migliaia 38 3 2 2 4 2" xfId="21524" xr:uid="{768567DA-D132-4DA8-AF88-59989CBE7B6A}"/>
    <cellStyle name="Migliaia 38 3 2 2 4 3" xfId="46251" xr:uid="{B9267E41-EB64-4065-85AE-559C30B12B11}"/>
    <cellStyle name="Migliaia 38 3 2 2 4 4" xfId="50539" xr:uid="{D8629CA9-296D-4987-BA3A-1FB98E01BE72}"/>
    <cellStyle name="Migliaia 38 3 2 2 4 5" xfId="53555" xr:uid="{2746B891-D85E-4FBA-B72F-23EFB1216D07}"/>
    <cellStyle name="Migliaia 38 3 2 2 4 6" xfId="10889" xr:uid="{C3048E5B-FDAF-462D-B46B-146F52D76883}"/>
    <cellStyle name="Migliaia 38 3 2 2 5" xfId="20527" xr:uid="{8C95328A-FB90-4451-8074-CC660B7F7265}"/>
    <cellStyle name="Migliaia 38 3 2 2 6" xfId="24872" xr:uid="{EA671DE4-FAA2-48F0-9905-F8AB4A58B8D5}"/>
    <cellStyle name="Migliaia 38 3 2 2 7" xfId="8669" xr:uid="{4C669DE5-04E4-456B-853B-DB45F8365EF7}"/>
    <cellStyle name="Migliaia 38 3 2 3" xfId="5331" xr:uid="{91F9B1FE-73FF-42E9-95C0-24CCA9077C54}"/>
    <cellStyle name="Migliaia 38 3 2 3 2" xfId="11658" xr:uid="{FB4A00DF-3DF4-4F7D-944B-F8CD899E256A}"/>
    <cellStyle name="Migliaia 38 3 2 3 2 2" xfId="39495" xr:uid="{166FE51F-3981-4CD4-9273-710A62FBB107}"/>
    <cellStyle name="Migliaia 38 3 2 3 2 3" xfId="44797" xr:uid="{0B7FCC75-AD16-4888-A541-D5D4F31217AF}"/>
    <cellStyle name="Migliaia 38 3 2 3 2 4" xfId="33959" xr:uid="{A0BEF434-55BF-4A75-8C3D-F6FD44198E4D}"/>
    <cellStyle name="Migliaia 38 3 2 3 3" xfId="12012" xr:uid="{C5A2E48A-D8BB-4C78-9634-446FAE778CAC}"/>
    <cellStyle name="Migliaia 38 3 2 3 4" xfId="20528" xr:uid="{0F0C20F1-64E5-4703-894E-B1D1E9FA094E}"/>
    <cellStyle name="Migliaia 38 3 2 3 4 2" xfId="42146" xr:uid="{7B96C800-D2B2-4D6A-AA3D-7A31F0FBDA2B}"/>
    <cellStyle name="Migliaia 38 3 2 3 5" xfId="16495" xr:uid="{C1CCC75C-DC35-4126-AD09-A268D2983F01}"/>
    <cellStyle name="Migliaia 38 3 2 3 6" xfId="7949" xr:uid="{FB5BCB0D-2A1F-4008-B3A0-91D70DC7D1E9}"/>
    <cellStyle name="Migliaia 38 3 2 4" xfId="6524" xr:uid="{0EB52077-972D-45EE-9F75-01F143972C94}"/>
    <cellStyle name="Migliaia 38 3 2 4 2" xfId="18088" xr:uid="{BBBE813D-613A-4904-BAC3-3D5B915774DA}"/>
    <cellStyle name="Migliaia 38 3 2 4 2 2" xfId="39496" xr:uid="{8C255D9D-D4A4-4F77-890C-639D43DCA5D7}"/>
    <cellStyle name="Migliaia 38 3 2 4 2 3" xfId="44798" xr:uid="{1D6B524A-227A-44B8-AF39-2EA26715A45D}"/>
    <cellStyle name="Migliaia 38 3 2 4 3" xfId="36906" xr:uid="{467DBFD4-B406-4CD7-ADA5-50CEF2F1AA86}"/>
    <cellStyle name="Migliaia 38 3 2 4 4" xfId="42147" xr:uid="{D1C2F791-3311-4738-A107-9572F394E1E9}"/>
    <cellStyle name="Migliaia 38 3 2 4 5" xfId="17198" xr:uid="{D53897E4-4A13-415E-8911-3221C641DB9B}"/>
    <cellStyle name="Migliaia 38 3 2 4 6" xfId="11360" xr:uid="{466CDDB6-D36B-4C55-A4F8-8C627E353DEE}"/>
    <cellStyle name="Migliaia 38 3 2 5" xfId="3605" xr:uid="{0F78C155-B81C-4F41-A033-9A773CB9F65C}"/>
    <cellStyle name="Migliaia 38 3 2 5 2" xfId="33960" xr:uid="{489DB895-E6DF-4E1D-8547-20B3173F6D59}"/>
    <cellStyle name="Migliaia 38 3 2 5 2 2" xfId="39497" xr:uid="{BB2B2164-06D6-4B55-9F64-E3FE650638B1}"/>
    <cellStyle name="Migliaia 38 3 2 5 2 3" xfId="44799" xr:uid="{C4728C0E-4746-4EE7-9824-A6E1487D7E38}"/>
    <cellStyle name="Migliaia 38 3 2 5 3" xfId="36907" xr:uid="{42EB457B-9446-4320-84B9-B5152961711D}"/>
    <cellStyle name="Migliaia 38 3 2 5 4" xfId="42148" xr:uid="{72FA1F99-4151-46EC-BDD5-89730DDFABC6}"/>
    <cellStyle name="Migliaia 38 3 2 5 5" xfId="17333" xr:uid="{1DA84B22-8C15-4B47-A630-00469DE9109F}"/>
    <cellStyle name="Migliaia 38 3 2 6" xfId="20526" xr:uid="{5FCFEAB7-D428-4B6B-AC5D-BBE1F586D6C0}"/>
    <cellStyle name="Migliaia 38 3 2 6 2" xfId="33961" xr:uid="{6865B7B0-B8B8-4893-88F2-6341A260202F}"/>
    <cellStyle name="Migliaia 38 3 2 6 2 2" xfId="39498" xr:uid="{0BE3FBBF-6CA5-49FD-A19E-ADA3D9BC17E4}"/>
    <cellStyle name="Migliaia 38 3 2 6 2 3" xfId="44800" xr:uid="{E0506D97-4409-4F65-9F36-CA00D0006646}"/>
    <cellStyle name="Migliaia 38 3 2 6 3" xfId="36908" xr:uid="{BB3093A2-E985-402C-B779-3D22B19AF0BE}"/>
    <cellStyle name="Migliaia 38 3 2 6 4" xfId="42149" xr:uid="{0542F52E-E4F5-45FE-B795-EAD2C8B22031}"/>
    <cellStyle name="Migliaia 38 3 2 6 5" xfId="24873" xr:uid="{A863C9E3-6B5D-4476-B25E-2676F66DD009}"/>
    <cellStyle name="Migliaia 38 3 2 7" xfId="24871" xr:uid="{2D5A5E1C-A74E-43EC-8F45-A7D3A772BFFC}"/>
    <cellStyle name="Migliaia 38 3 2 8" xfId="7479" xr:uid="{EA800ECB-F153-4834-B9D0-0570D14B914D}"/>
    <cellStyle name="Migliaia 38 3 3" xfId="3607" xr:uid="{E6DD005A-9134-476D-B762-83809B5FBFBE}"/>
    <cellStyle name="Migliaia 38 3 3 10" xfId="7478" xr:uid="{A194FCB5-57B8-4DC4-82B7-7C897416D9E7}"/>
    <cellStyle name="Migliaia 38 3 3 2" xfId="5333" xr:uid="{4BC41AA1-D181-4A6D-A385-A576B2EDBB0E}"/>
    <cellStyle name="Migliaia 38 3 3 2 2" xfId="9944" xr:uid="{3E47CA5C-58FC-47DB-8814-9C144799FFB9}"/>
    <cellStyle name="Migliaia 38 3 3 2 2 2" xfId="39500" xr:uid="{3EDA6167-02C2-4C9E-929A-040ED58679F8}"/>
    <cellStyle name="Migliaia 38 3 3 2 2 3" xfId="44802" xr:uid="{A6C20078-FFA1-4450-A376-BE56CFCDEE44}"/>
    <cellStyle name="Migliaia 38 3 3 2 3" xfId="18224" xr:uid="{D0104D05-8D33-40DE-81F8-4B7E5A476EAF}"/>
    <cellStyle name="Migliaia 38 3 3 2 4" xfId="20530" xr:uid="{403AFAE3-DE38-43F0-8787-F5A87D49EE2A}"/>
    <cellStyle name="Migliaia 38 3 3 2 4 2" xfId="42151" xr:uid="{87471109-BDF7-4811-8F21-8262FD2B4D26}"/>
    <cellStyle name="Migliaia 38 3 3 2 5" xfId="16497" xr:uid="{08D09FB3-368A-4260-85B6-A6EA03231D62}"/>
    <cellStyle name="Migliaia 38 3 3 2 6" xfId="8668" xr:uid="{84EE48C7-E986-4ADF-B969-C2710B6EEE20}"/>
    <cellStyle name="Migliaia 38 3 3 3" xfId="6526" xr:uid="{E5CDDE51-A4DF-4806-8F58-52B864150B4F}"/>
    <cellStyle name="Migliaia 38 3 3 3 2" xfId="33963" xr:uid="{21D28120-3F94-430C-B720-C159E8BC0EAA}"/>
    <cellStyle name="Migliaia 38 3 3 3 2 2" xfId="39501" xr:uid="{7371B45E-C670-49F8-9525-FB32E029072F}"/>
    <cellStyle name="Migliaia 38 3 3 3 2 3" xfId="44803" xr:uid="{89ECEA0B-CA26-411D-8681-E6C8D8DF12E3}"/>
    <cellStyle name="Migliaia 38 3 3 3 3" xfId="36910" xr:uid="{0DEA77D8-02A4-4B93-899F-F1429A607C2A}"/>
    <cellStyle name="Migliaia 38 3 3 3 4" xfId="42152" xr:uid="{A46FECE1-23A0-405D-BC2E-CBADA02617ED}"/>
    <cellStyle name="Migliaia 38 3 3 3 5" xfId="9707" xr:uid="{22F99343-8C2E-4B0F-967C-7356BEBF3ABA}"/>
    <cellStyle name="Migliaia 38 3 3 4" xfId="20529" xr:uid="{88928595-2AD8-4707-BF45-388767B3CD37}"/>
    <cellStyle name="Migliaia 38 3 3 4 2" xfId="33964" xr:uid="{9C3FBF04-0935-4764-8058-FC86E27B966A}"/>
    <cellStyle name="Migliaia 38 3 3 4 2 2" xfId="39502" xr:uid="{CAA54364-1A66-4458-8793-0054A7DB2DF0}"/>
    <cellStyle name="Migliaia 38 3 3 4 2 3" xfId="44804" xr:uid="{11D0C421-5424-4819-A765-BCF9CE7475BA}"/>
    <cellStyle name="Migliaia 38 3 3 4 3" xfId="36911" xr:uid="{8BC22591-FCC0-4CB2-8371-E2CCFE2B265F}"/>
    <cellStyle name="Migliaia 38 3 3 4 4" xfId="42153" xr:uid="{EFEEB4A1-C8F6-4DF9-AB0B-833F1DC651D8}"/>
    <cellStyle name="Migliaia 38 3 3 4 5" xfId="24874" xr:uid="{804C617F-6015-420C-9B05-A35253FF2A5F}"/>
    <cellStyle name="Migliaia 38 3 3 5" xfId="24875" xr:uid="{0193E0B1-1831-43CA-908B-40D947EF54EA}"/>
    <cellStyle name="Migliaia 38 3 3 5 2" xfId="33965" xr:uid="{8966386D-266B-4E17-9D42-50F1CCAFD2FF}"/>
    <cellStyle name="Migliaia 38 3 3 5 2 2" xfId="39503" xr:uid="{B7222EE0-D2F2-4F5F-8E98-B050DBD047F7}"/>
    <cellStyle name="Migliaia 38 3 3 5 2 3" xfId="44805" xr:uid="{EA1DB3EC-3357-43B6-9D6E-964B8AAF224B}"/>
    <cellStyle name="Migliaia 38 3 3 5 3" xfId="36912" xr:uid="{1A53FBC7-EADE-4D22-A743-CE136AF3ED9C}"/>
    <cellStyle name="Migliaia 38 3 3 5 4" xfId="42154" xr:uid="{2370C3F4-AF04-474B-845B-4D31CE4C93CD}"/>
    <cellStyle name="Migliaia 38 3 3 6" xfId="33962" xr:uid="{C8BC030E-E123-426D-9A29-0CB9B6C2D448}"/>
    <cellStyle name="Migliaia 38 3 3 6 2" xfId="39499" xr:uid="{5F661768-FBCE-427F-A766-BBC1EA838A59}"/>
    <cellStyle name="Migliaia 38 3 3 6 3" xfId="44801" xr:uid="{AC3ACC16-6D75-462E-A493-5F091F0AD8A4}"/>
    <cellStyle name="Migliaia 38 3 3 7" xfId="36909" xr:uid="{C7EE4B52-3333-4495-BC37-02206D8925B5}"/>
    <cellStyle name="Migliaia 38 3 3 8" xfId="42150" xr:uid="{A2641004-2C15-4D00-9677-5C001B3B0191}"/>
    <cellStyle name="Migliaia 38 3 3 9" xfId="16496" xr:uid="{2FC81A26-EDB8-40B5-ACAF-70F15ECCBF65}"/>
    <cellStyle name="Migliaia 38 3 4" xfId="3608" xr:uid="{03636019-356D-450C-A339-43049776B7D5}"/>
    <cellStyle name="Migliaia 38 3 4 2" xfId="5334" xr:uid="{38D61A6A-5CDF-45B8-811B-E12970FB7DD6}"/>
    <cellStyle name="Migliaia 38 3 4 2 2" xfId="14454" xr:uid="{992DF857-C1AD-420D-9FD2-9E7BF790301F}"/>
    <cellStyle name="Migliaia 38 3 4 2 3" xfId="18130" xr:uid="{52632DA4-16D9-40E1-9888-1A67A6B21BDA}"/>
    <cellStyle name="Migliaia 38 3 4 2 4" xfId="20532" xr:uid="{2D7E4857-A1AB-4F21-B09A-057592BE8811}"/>
    <cellStyle name="Migliaia 38 3 4 2 5" xfId="32393" xr:uid="{1243FA94-33B8-471A-A5AB-E642435D2F0E}"/>
    <cellStyle name="Migliaia 38 3 4 2 6" xfId="16499" xr:uid="{B8F278E4-C8AE-4845-9E33-C603E5DB509D}"/>
    <cellStyle name="Migliaia 38 3 4 2 7" xfId="8877" xr:uid="{F3A3D0C9-7B3F-416E-92C4-C3B86A61DDB2}"/>
    <cellStyle name="Migliaia 38 3 4 3" xfId="6527" xr:uid="{CCC29080-2494-4314-96D0-464D4B1845A2}"/>
    <cellStyle name="Migliaia 38 3 4 3 2" xfId="35342" xr:uid="{F4B1B1ED-C272-4C55-AF48-234BE25D0365}"/>
    <cellStyle name="Migliaia 38 3 4 3 2 2" xfId="40502" xr:uid="{98A0A85D-4246-4E2A-B939-64C277451032}"/>
    <cellStyle name="Migliaia 38 3 4 3 2 3" xfId="45804" xr:uid="{CF60CBAC-E954-44A9-93F0-F583E9AEAAB1}"/>
    <cellStyle name="Migliaia 38 3 4 3 3" xfId="37851" xr:uid="{267F65DE-5F73-4F7F-98A2-6D0348070A74}"/>
    <cellStyle name="Migliaia 38 3 4 3 4" xfId="43153" xr:uid="{7064413A-F68B-44E5-8D47-B842F8A4ECFB}"/>
    <cellStyle name="Migliaia 38 3 4 3 5" xfId="13702" xr:uid="{BAC9919B-7081-4430-A3DD-7C94FDA9C1B1}"/>
    <cellStyle name="Migliaia 38 3 4 4" xfId="20531" xr:uid="{9EEE0D2C-4429-48CF-9644-E1B034E37B29}"/>
    <cellStyle name="Migliaia 38 3 4 4 2" xfId="39504" xr:uid="{C3FEACE6-9DD5-4D6A-AFA0-58D333D9AD19}"/>
    <cellStyle name="Migliaia 38 3 4 4 3" xfId="44806" xr:uid="{E960209D-4A11-4F79-9EB0-ED89F6D02F25}"/>
    <cellStyle name="Migliaia 38 3 4 4 4" xfId="33966" xr:uid="{07B31352-D605-4EFA-9D69-92981C235BDD}"/>
    <cellStyle name="Migliaia 38 3 4 5" xfId="36913" xr:uid="{8E492602-D8C9-4333-855D-6CA55086C662}"/>
    <cellStyle name="Migliaia 38 3 4 6" xfId="42155" xr:uid="{3DC5CEA4-1F4D-4DC2-8EEB-4846B55A6653}"/>
    <cellStyle name="Migliaia 38 3 4 7" xfId="16498" xr:uid="{F60BDBA7-6B33-4066-A0DC-F2842075C8C6}"/>
    <cellStyle name="Migliaia 38 3 4 8" xfId="7687" xr:uid="{180227B2-CE76-45D8-95EC-0310AD9DAB0A}"/>
    <cellStyle name="Migliaia 38 3 5" xfId="3609" xr:uid="{D2132C9F-5EC5-40E6-9013-33262637A7BA}"/>
    <cellStyle name="Migliaia 38 3 5 2" xfId="5335" xr:uid="{B2395656-4B00-4F69-B8AF-4BAF0CC926E9}"/>
    <cellStyle name="Migliaia 38 3 5 2 2" xfId="35343" xr:uid="{7043AC64-AABC-4E50-8E74-8449FAA70599}"/>
    <cellStyle name="Migliaia 38 3 5 2 2 2" xfId="40503" xr:uid="{B4DAFFC8-2AEA-42A5-A764-83F3C93AAA05}"/>
    <cellStyle name="Migliaia 38 3 5 2 2 3" xfId="45805" xr:uid="{264A86D4-3AA4-45B2-A871-5871E10B4E7D}"/>
    <cellStyle name="Migliaia 38 3 5 2 3" xfId="37852" xr:uid="{F360E874-84DA-44AB-A587-E4E8CCF50DF3}"/>
    <cellStyle name="Migliaia 38 3 5 2 4" xfId="43154" xr:uid="{D82E9405-A9ED-403C-877D-96BFEB1FEA7A}"/>
    <cellStyle name="Migliaia 38 3 5 2 5" xfId="14274" xr:uid="{FACCE34A-5912-4C21-81E2-CAE8BA36EBD0}"/>
    <cellStyle name="Migliaia 38 3 5 3" xfId="6528" xr:uid="{C8039125-AF5B-4875-829B-C2D9E880EA80}"/>
    <cellStyle name="Migliaia 38 3 5 3 2" xfId="39505" xr:uid="{0BED0C95-F469-4478-9E99-B3BF20240072}"/>
    <cellStyle name="Migliaia 38 3 5 3 3" xfId="44807" xr:uid="{D5EB5F1B-1AA3-4660-BCFE-0323D16B70A7}"/>
    <cellStyle name="Migliaia 38 3 5 3 4" xfId="33967" xr:uid="{560C5A14-984D-48E5-B3D4-B4C067577A1D}"/>
    <cellStyle name="Migliaia 38 3 5 3 5" xfId="20533" xr:uid="{291CA0C2-3998-4557-8B23-A92A949F29A6}"/>
    <cellStyle name="Migliaia 38 3 5 4" xfId="36914" xr:uid="{B9A02760-BF61-4B45-A987-748E126BC8EA}"/>
    <cellStyle name="Migliaia 38 3 5 5" xfId="42156" xr:uid="{A75BFAEC-2F00-42D1-8AC7-709A27C3A265}"/>
    <cellStyle name="Migliaia 38 3 5 6" xfId="16500" xr:uid="{EA374F2B-88DE-45BD-9A27-9A52F60BB599}"/>
    <cellStyle name="Migliaia 38 3 5 7" xfId="8336" xr:uid="{4FF5003C-BD30-4D9A-87DA-15B58F4432D5}"/>
    <cellStyle name="Migliaia 38 3 6" xfId="5330" xr:uid="{A28B5CC7-EC12-40AB-B727-2D07B696D258}"/>
    <cellStyle name="Migliaia 38 3 6 2" xfId="13979" xr:uid="{7C0CA3A6-566D-4BBE-B65A-79B6B3CFB69F}"/>
    <cellStyle name="Migliaia 38 3 6 2 2" xfId="39506" xr:uid="{568CD108-AF48-438A-91A3-5973AC0CCAB9}"/>
    <cellStyle name="Migliaia 38 3 6 2 3" xfId="44808" xr:uid="{D20C39C3-4FAA-4DFD-A3CB-A453D449707E}"/>
    <cellStyle name="Migliaia 38 3 6 3" xfId="18611" xr:uid="{100C366B-0D7F-4866-8D30-6352C6CBD3D2}"/>
    <cellStyle name="Migliaia 38 3 6 4" xfId="20534" xr:uid="{F1BE9AAF-7B1B-4A40-B135-3C7C6FE4A295}"/>
    <cellStyle name="Migliaia 38 3 6 4 2" xfId="42157" xr:uid="{2523EB8F-7D87-4859-90A9-F9192CAB87C9}"/>
    <cellStyle name="Migliaia 38 3 6 5" xfId="16501" xr:uid="{378B25B5-84FF-4201-8987-7A99D95479D3}"/>
    <cellStyle name="Migliaia 38 3 6 6" xfId="7948" xr:uid="{A8D5FE97-34AB-4E00-A824-FB181E6BDE03}"/>
    <cellStyle name="Migliaia 38 3 7" xfId="6523" xr:uid="{02543DDF-E2DA-4DFB-8B39-CD37854D65A4}"/>
    <cellStyle name="Migliaia 38 3 7 2" xfId="33968" xr:uid="{8F16D6E8-4FC7-4942-BBEE-097B70B8B432}"/>
    <cellStyle name="Migliaia 38 3 7 2 2" xfId="39507" xr:uid="{A7AF7014-CBDE-443C-B9CF-385FB95AB5AB}"/>
    <cellStyle name="Migliaia 38 3 7 2 3" xfId="44809" xr:uid="{96CA9D8C-F926-4A88-AFD7-B794112A900F}"/>
    <cellStyle name="Migliaia 38 3 7 3" xfId="36915" xr:uid="{8006C9C7-28BF-4AF7-B60E-65632C82BC46}"/>
    <cellStyle name="Migliaia 38 3 7 4" xfId="42158" xr:uid="{056D18D8-480D-4DD2-9686-BF210572D2ED}"/>
    <cellStyle name="Migliaia 38 3 7 5" xfId="11706" xr:uid="{BCB83896-98F9-42DC-9C8B-ECB3C929866F}"/>
    <cellStyle name="Migliaia 38 3 8" xfId="3604" xr:uid="{083DEB44-C1CA-4EAD-A030-BFAC9415BB9F}"/>
    <cellStyle name="Migliaia 38 3 8 2" xfId="33969" xr:uid="{6636ADCF-1567-4224-9CAE-EC04B8ACCCB2}"/>
    <cellStyle name="Migliaia 38 3 8 2 2" xfId="39508" xr:uid="{EDE5F1BE-8B78-42DE-97CD-1BECFCC781DD}"/>
    <cellStyle name="Migliaia 38 3 8 2 3" xfId="44810" xr:uid="{681FF8D8-5BEA-4F9B-B479-F182A37819E6}"/>
    <cellStyle name="Migliaia 38 3 8 3" xfId="36916" xr:uid="{C80B1BA1-D77F-42C4-9526-12A0C8A0AC3E}"/>
    <cellStyle name="Migliaia 38 3 8 4" xfId="42159" xr:uid="{524E8ED3-DBB1-408F-99FA-ED638F717A5F}"/>
    <cellStyle name="Migliaia 38 3 8 5" xfId="24876" xr:uid="{697B3691-FEF6-4B84-85DD-2B433B4E0368}"/>
    <cellStyle name="Migliaia 38 3 8 6" xfId="17334" xr:uid="{BF9BE613-11A4-4D02-B5B3-8F6D10DC5D07}"/>
    <cellStyle name="Migliaia 38 3 9" xfId="20525" xr:uid="{689A3EB2-26CC-4338-BA6A-7FC8CEF5E5BC}"/>
    <cellStyle name="Migliaia 38 4" xfId="1813" xr:uid="{00000000-0005-0000-0000-0000DC030000}"/>
    <cellStyle name="Migliaia 38 4 2" xfId="1814" xr:uid="{00000000-0005-0000-0000-0000DD030000}"/>
    <cellStyle name="Migliaia 38 4 2 2" xfId="5337" xr:uid="{4F97117D-5AC0-481C-B2C9-77B914E2198B}"/>
    <cellStyle name="Migliaia 38 4 2 2 2" xfId="33970" xr:uid="{1BDF14C5-133F-4506-9460-05F5DDB24633}"/>
    <cellStyle name="Migliaia 38 4 2 2 2 2" xfId="39509" xr:uid="{6433EBED-EB8E-4EF1-8715-C3ED54E86487}"/>
    <cellStyle name="Migliaia 38 4 2 2 2 3" xfId="44811" xr:uid="{68C5162E-D815-4C8B-8822-64507207CA5C}"/>
    <cellStyle name="Migliaia 38 4 2 2 3" xfId="36917" xr:uid="{094A6189-C086-41E2-9AA4-F7469DC11399}"/>
    <cellStyle name="Migliaia 38 4 2 2 4" xfId="42160" xr:uid="{26BD0101-6F0C-4D42-8D35-8D59B7BBBF0D}"/>
    <cellStyle name="Migliaia 38 4 2 2 5" xfId="9170" xr:uid="{28F66063-98B9-4893-8E7A-2CF403985FC0}"/>
    <cellStyle name="Migliaia 38 4 2 3" xfId="3611" xr:uid="{DD482E3B-6EB1-4AA9-BF95-F73D1E49A9B3}"/>
    <cellStyle name="Migliaia 38 4 2 3 2" xfId="33971" xr:uid="{6AD51307-6CD8-4657-A41C-56BD924F6F45}"/>
    <cellStyle name="Migliaia 38 4 2 3 2 2" xfId="39510" xr:uid="{44E5453A-9B29-4D8B-A09E-FDE584C01A89}"/>
    <cellStyle name="Migliaia 38 4 2 3 2 3" xfId="44812" xr:uid="{740B4852-1A52-4037-A643-85A361888B7D}"/>
    <cellStyle name="Migliaia 38 4 2 3 3" xfId="36918" xr:uid="{1C9A8A19-1029-419C-9270-F57CECBD894A}"/>
    <cellStyle name="Migliaia 38 4 2 3 4" xfId="42161" xr:uid="{652C8916-D3A5-4762-B67B-8277AFEEDFA7}"/>
    <cellStyle name="Migliaia 38 4 2 3 5" xfId="12013" xr:uid="{82A5B069-72F9-471D-B480-87906547C120}"/>
    <cellStyle name="Migliaia 38 4 2 4" xfId="11362" xr:uid="{059931A2-5726-4770-BA86-8DBBA6B09853}"/>
    <cellStyle name="Migliaia 38 4 2 5" xfId="10891" xr:uid="{4DCA0870-D8ED-43C6-A7E5-75F15ABD51C1}"/>
    <cellStyle name="Migliaia 38 4 2 5 2" xfId="21526" xr:uid="{4BEE206E-AE65-446E-889A-E5494963CAC8}"/>
    <cellStyle name="Migliaia 38 4 2 5 3" xfId="46252" xr:uid="{4783B407-595C-4624-91F6-A792FD183E5F}"/>
    <cellStyle name="Migliaia 38 4 2 5 4" xfId="50541" xr:uid="{94A947A8-E80A-4EB8-8AAE-ACEAB68B6357}"/>
    <cellStyle name="Migliaia 38 4 2 5 5" xfId="53557" xr:uid="{CFCF6AF5-628C-4229-9932-3584A4E0EEF8}"/>
    <cellStyle name="Migliaia 38 4 2 6" xfId="20536" xr:uid="{D84D18A1-4CB3-4530-98B8-0A4D8EC0B061}"/>
    <cellStyle name="Migliaia 38 4 2 7" xfId="24878" xr:uid="{3C978C58-D2AF-4428-A9EB-C196818AA8A5}"/>
    <cellStyle name="Migliaia 38 4 2 8" xfId="8670" xr:uid="{E1B7E20E-E376-470E-BA59-E4199A6761EA}"/>
    <cellStyle name="Migliaia 38 4 3" xfId="5336" xr:uid="{3900A934-2117-4FC1-BBE5-CB392DBCE2C7}"/>
    <cellStyle name="Migliaia 38 4 3 2" xfId="18225" xr:uid="{34A67653-280F-4591-A84B-F4FA48FE4B04}"/>
    <cellStyle name="Migliaia 38 4 3 2 2" xfId="39511" xr:uid="{DC8435A8-F4AF-4A65-BCAA-C9D06ABC2B8C}"/>
    <cellStyle name="Migliaia 38 4 3 2 3" xfId="44813" xr:uid="{42B40CEC-DC8B-4407-9AA1-921A86171482}"/>
    <cellStyle name="Migliaia 38 4 3 3" xfId="36919" xr:uid="{C5202835-3F51-4AF5-B04C-C42CC0D6B107}"/>
    <cellStyle name="Migliaia 38 4 3 4" xfId="42162" xr:uid="{0A579BEB-B2C6-4EC3-B365-40886C64324B}"/>
    <cellStyle name="Migliaia 38 4 3 5" xfId="17332" xr:uid="{5C3834E6-80C4-40F8-8464-A84A1DB43EC7}"/>
    <cellStyle name="Migliaia 38 4 3 6" xfId="9171" xr:uid="{C6E805C6-048E-4690-9FC4-575B2A851FF8}"/>
    <cellStyle name="Migliaia 38 4 4" xfId="6529" xr:uid="{9ADE9208-CFC7-46FA-8603-393658F63F30}"/>
    <cellStyle name="Migliaia 38 4 4 2" xfId="33972" xr:uid="{139821CB-D86F-4C1A-8B2C-4AE08B0E50F7}"/>
    <cellStyle name="Migliaia 38 4 4 2 2" xfId="39512" xr:uid="{BD0EF0D4-EF80-4583-9362-F14365DD4C7F}"/>
    <cellStyle name="Migliaia 38 4 4 2 3" xfId="44814" xr:uid="{56BD93E4-BFE0-4416-B5C9-47827E46B156}"/>
    <cellStyle name="Migliaia 38 4 4 3" xfId="36920" xr:uid="{31FA38EB-6C6D-42F5-814A-0312DA86260B}"/>
    <cellStyle name="Migliaia 38 4 4 4" xfId="42163" xr:uid="{7C202CB8-8083-48AD-995F-832B4DB055CA}"/>
    <cellStyle name="Migliaia 38 4 4 5" xfId="12014" xr:uid="{8D4C8D00-67F2-4FD3-BEA5-35A4419C7FE1}"/>
    <cellStyle name="Migliaia 38 4 5" xfId="3610" xr:uid="{CBD67DC0-37CA-4186-8127-0777D4535373}"/>
    <cellStyle name="Migliaia 38 4 5 2" xfId="33973" xr:uid="{0F12C39B-4048-48D0-ACD8-584D7A5F4919}"/>
    <cellStyle name="Migliaia 38 4 5 2 2" xfId="39513" xr:uid="{689CDDE9-CE00-405B-9925-AB54006522F6}"/>
    <cellStyle name="Migliaia 38 4 5 2 3" xfId="44815" xr:uid="{0830287E-2144-47BC-9B75-2A1BBECCA05E}"/>
    <cellStyle name="Migliaia 38 4 5 3" xfId="36921" xr:uid="{D15253DC-587A-4E40-9F47-3D30195D71D4}"/>
    <cellStyle name="Migliaia 38 4 5 4" xfId="42164" xr:uid="{432BF40B-2E81-43AE-8EC6-7F673611AD61}"/>
    <cellStyle name="Migliaia 38 4 5 5" xfId="11361" xr:uid="{366800F8-0D2D-4B62-90D6-8BAE44954995}"/>
    <cellStyle name="Migliaia 38 4 6" xfId="10890" xr:uid="{FDDF7823-376E-4C03-A53D-5F3AD7710AAC}"/>
    <cellStyle name="Migliaia 38 4 6 2" xfId="21525" xr:uid="{15E99F90-8946-4743-9CB8-A0737A2B21BF}"/>
    <cellStyle name="Migliaia 38 4 6 2 2" xfId="39514" xr:uid="{BE6D0F70-62EC-4D98-AB8A-0F541248E51C}"/>
    <cellStyle name="Migliaia 38 4 6 2 3" xfId="44816" xr:uid="{1A5A20A3-7763-47EE-BC40-95B0A52C0376}"/>
    <cellStyle name="Migliaia 38 4 6 2 4" xfId="33974" xr:uid="{8237EE14-D81D-45E6-A3EA-A955B3D18798}"/>
    <cellStyle name="Migliaia 38 4 6 3" xfId="36922" xr:uid="{89837D3E-9EAF-4ADE-8CE0-2990EE55B0E3}"/>
    <cellStyle name="Migliaia 38 4 6 4" xfId="42165" xr:uid="{A84BF9CA-99CF-4427-BB50-C480E3668876}"/>
    <cellStyle name="Migliaia 38 4 6 5" xfId="24879" xr:uid="{A7276291-0EAA-4150-9A99-F2146281902F}"/>
    <cellStyle name="Migliaia 38 4 6 6" xfId="47900" xr:uid="{F734F4C7-FF6A-4383-8CDB-BEC389F4CB3A}"/>
    <cellStyle name="Migliaia 38 4 6 7" xfId="50540" xr:uid="{97B1FCE4-E07B-4E8A-8C56-FC9FD8217137}"/>
    <cellStyle name="Migliaia 38 4 6 8" xfId="53556" xr:uid="{B483C4F5-863A-435C-870F-B4D502CC987E}"/>
    <cellStyle name="Migliaia 38 4 7" xfId="20535" xr:uid="{CA981286-2140-40D9-9BE8-ECED60365144}"/>
    <cellStyle name="Migliaia 38 4 7 2" xfId="33975" xr:uid="{593BD9DE-DD47-4B86-9B78-6DB1131061F3}"/>
    <cellStyle name="Migliaia 38 4 7 2 2" xfId="39515" xr:uid="{210A647F-5707-4A53-B72D-6394ACD7A1B0}"/>
    <cellStyle name="Migliaia 38 4 7 2 3" xfId="44817" xr:uid="{48CAE7D6-A494-4C48-AB86-6978960EAA86}"/>
    <cellStyle name="Migliaia 38 4 7 3" xfId="36923" xr:uid="{E3E486F9-754C-4878-BAE5-9922DE50DDF5}"/>
    <cellStyle name="Migliaia 38 4 7 4" xfId="42166" xr:uid="{9111BED0-AC20-4925-A646-7AC09EFE8D1E}"/>
    <cellStyle name="Migliaia 38 4 7 5" xfId="24880" xr:uid="{1B8272CE-8A17-4994-A5F5-9528581EE9F0}"/>
    <cellStyle name="Migliaia 38 4 8" xfId="24877" xr:uid="{4A7A79FA-9767-451A-8EE3-FCAF65518FF5}"/>
    <cellStyle name="Migliaia 38 4 9" xfId="7480" xr:uid="{AEC38727-F490-4A21-B310-CB2408E8A6CB}"/>
    <cellStyle name="Migliaia 38 5" xfId="1815" xr:uid="{00000000-0005-0000-0000-0000DE030000}"/>
    <cellStyle name="Migliaia 38 5 2" xfId="5338" xr:uid="{3AB354CE-116D-422B-8ACC-9C145B8CCEE6}"/>
    <cellStyle name="Migliaia 38 5 2 2" xfId="18457" xr:uid="{C31DFC08-64E8-464B-BEAC-1B05E615799D}"/>
    <cellStyle name="Migliaia 38 5 2 2 2" xfId="39516" xr:uid="{DD1E635A-0E4C-45C6-8669-F438EAD15097}"/>
    <cellStyle name="Migliaia 38 5 2 2 3" xfId="44818" xr:uid="{A781480E-7069-4096-BBB9-C14366A9EB90}"/>
    <cellStyle name="Migliaia 38 5 2 3" xfId="20538" xr:uid="{021A725C-F5C3-4AC7-B2D1-B2DC88D96552}"/>
    <cellStyle name="Migliaia 38 5 2 3 2" xfId="36924" xr:uid="{73F40181-AEC0-4D4A-9227-7C6389F0DD3B}"/>
    <cellStyle name="Migliaia 38 5 2 4" xfId="42167" xr:uid="{870F9C44-35D7-4BE1-BD57-F849662DE2E3}"/>
    <cellStyle name="Migliaia 38 5 2 5" xfId="16502" xr:uid="{A1D33785-E148-4449-B48D-67C9E54CEE82}"/>
    <cellStyle name="Migliaia 38 5 2 6" xfId="8671" xr:uid="{26E018E0-6FB8-488A-8416-2820BD1C51AD}"/>
    <cellStyle name="Migliaia 38 5 3" xfId="6530" xr:uid="{4B086269-5CD7-46FC-88C3-D86EE7F5E3C8}"/>
    <cellStyle name="Migliaia 38 5 3 2" xfId="33976" xr:uid="{BAB130B2-35E3-4295-B75B-CCF40F1178BB}"/>
    <cellStyle name="Migliaia 38 5 3 2 2" xfId="39517" xr:uid="{A7BA6BD2-879C-47AE-8878-156F88B3CE1C}"/>
    <cellStyle name="Migliaia 38 5 3 2 3" xfId="44819" xr:uid="{FBDDCE84-45AB-4661-A2B5-4D04AA52645E}"/>
    <cellStyle name="Migliaia 38 5 3 3" xfId="36925" xr:uid="{F8916960-F33A-4323-AE71-54E781EA6816}"/>
    <cellStyle name="Migliaia 38 5 3 4" xfId="42168" xr:uid="{E573E481-1B06-48E4-97F2-E543E3FB4CA1}"/>
    <cellStyle name="Migliaia 38 5 3 5" xfId="11363" xr:uid="{E945DEE9-D0A1-4867-BE0C-0A1253E59647}"/>
    <cellStyle name="Migliaia 38 5 4" xfId="3612" xr:uid="{77423CE8-20EA-4637-92C3-33DFA38E2407}"/>
    <cellStyle name="Migliaia 38 5 4 2" xfId="21527" xr:uid="{196AE844-E883-468E-8E6E-3BD9CAA58FCF}"/>
    <cellStyle name="Migliaia 38 5 4 2 2" xfId="39518" xr:uid="{B4ABB43E-1F90-4263-92A4-9CF4068EC46C}"/>
    <cellStyle name="Migliaia 38 5 4 2 3" xfId="44820" xr:uid="{93E65D6D-21B1-4C61-8FEE-F268F6FE0AD4}"/>
    <cellStyle name="Migliaia 38 5 4 2 4" xfId="33977" xr:uid="{530150AE-51CC-4648-A07E-635FBF441E1E}"/>
    <cellStyle name="Migliaia 38 5 4 3" xfId="36926" xr:uid="{D4A2CD11-418F-4998-BE11-3888E531503D}"/>
    <cellStyle name="Migliaia 38 5 4 4" xfId="42169" xr:uid="{7ED6D1EB-13C9-4D79-9BB0-90D76581905C}"/>
    <cellStyle name="Migliaia 38 5 4 5" xfId="24882" xr:uid="{0A17BA00-861F-4AA2-98A9-5810A7958C66}"/>
    <cellStyle name="Migliaia 38 5 4 6" xfId="46253" xr:uid="{3A218018-1903-4AC1-BE57-5979C85F8AFF}"/>
    <cellStyle name="Migliaia 38 5 4 7" xfId="50542" xr:uid="{7E470CEE-2EDB-40E8-BF20-04A8C01036FF}"/>
    <cellStyle name="Migliaia 38 5 4 8" xfId="53558" xr:uid="{59CEBDA3-CC2A-4910-82A9-6EF29CAC668C}"/>
    <cellStyle name="Migliaia 38 5 4 9" xfId="10892" xr:uid="{A4A7F521-B645-40A7-A510-A874423F7885}"/>
    <cellStyle name="Migliaia 38 5 5" xfId="20537" xr:uid="{9ACD79CC-CFE0-4D58-B5D0-E0231FCFD630}"/>
    <cellStyle name="Migliaia 38 5 5 2" xfId="33978" xr:uid="{AA4A9F53-515E-44A6-A070-52E5651A482F}"/>
    <cellStyle name="Migliaia 38 5 5 2 2" xfId="39519" xr:uid="{12A20AC3-C5F5-4281-B685-5D570C01F9E0}"/>
    <cellStyle name="Migliaia 38 5 5 2 3" xfId="44821" xr:uid="{0453917E-320E-4DC5-A4D9-5EAFC0862391}"/>
    <cellStyle name="Migliaia 38 5 5 3" xfId="36927" xr:uid="{544CB84C-73BF-4BDD-9D3B-1438DCD66724}"/>
    <cellStyle name="Migliaia 38 5 5 4" xfId="42170" xr:uid="{FEA11BA8-684B-4B32-A400-F115BFBACD05}"/>
    <cellStyle name="Migliaia 38 5 5 5" xfId="24883" xr:uid="{3ECCFFE5-EB6F-4111-A2A6-C8436A338E93}"/>
    <cellStyle name="Migliaia 38 5 6" xfId="24884" xr:uid="{7701F8FE-E15A-40CB-8578-9902267B22CE}"/>
    <cellStyle name="Migliaia 38 5 6 2" xfId="33979" xr:uid="{3B9B4C24-1D71-4F72-AAA5-454E1685DB6E}"/>
    <cellStyle name="Migliaia 38 5 6 2 2" xfId="39520" xr:uid="{33CA0117-7B01-4D59-8F1A-6BD3A1C82C3A}"/>
    <cellStyle name="Migliaia 38 5 6 2 3" xfId="44822" xr:uid="{42BD6741-6DEC-4033-AF67-24B1D8559035}"/>
    <cellStyle name="Migliaia 38 5 6 3" xfId="36928" xr:uid="{B4DCCCFA-E8F7-4FC3-8684-608EC943704B}"/>
    <cellStyle name="Migliaia 38 5 6 4" xfId="42171" xr:uid="{073CFFC8-EBE5-427D-8FEA-FD71F5181E07}"/>
    <cellStyle name="Migliaia 38 5 7" xfId="24881" xr:uid="{2F87B4FA-0CEF-464D-99A5-CC156FDE2918}"/>
    <cellStyle name="Migliaia 38 5 8" xfId="7481" xr:uid="{0AC5EA4C-F43E-4421-87F1-B7A1588CEA4E}"/>
    <cellStyle name="Migliaia 38 6" xfId="3613" xr:uid="{2432D56B-EABC-460A-9C46-0DDD26E30DDA}"/>
    <cellStyle name="Migliaia 38 6 2" xfId="5339" xr:uid="{2DDFE5EF-3994-4CDF-902B-F43901D5D494}"/>
    <cellStyle name="Migliaia 38 6 2 2" xfId="9943" xr:uid="{BB1AE1D5-E3EB-424C-8F0E-6C0F0B1596F5}"/>
    <cellStyle name="Migliaia 38 6 2 3" xfId="18649" xr:uid="{C6007671-0598-4245-AEDA-7FAD794516E4}"/>
    <cellStyle name="Migliaia 38 6 2 4" xfId="20540" xr:uid="{44393667-F443-4FEA-9C1C-3686DBE8A75C}"/>
    <cellStyle name="Migliaia 38 6 2 5" xfId="32394" xr:uid="{02AB99C2-68B1-44C9-9CAF-F1A1D23DBD87}"/>
    <cellStyle name="Migliaia 38 6 2 6" xfId="16504" xr:uid="{C159323F-3D6C-4DA5-9DB8-C3F752BE2013}"/>
    <cellStyle name="Migliaia 38 6 2 7" xfId="8666" xr:uid="{F85D33D3-9A33-4730-A6CA-D944BFB65717}"/>
    <cellStyle name="Migliaia 38 6 3" xfId="6531" xr:uid="{A985C821-2329-4D1E-8BBA-BEBF2DCFCFDC}"/>
    <cellStyle name="Migliaia 38 6 3 2" xfId="35344" xr:uid="{C67FBBCF-5330-4161-A58A-0BF08793A2EF}"/>
    <cellStyle name="Migliaia 38 6 3 2 2" xfId="40504" xr:uid="{CCD105AC-661A-48E9-9219-E0E67EEA6924}"/>
    <cellStyle name="Migliaia 38 6 3 2 3" xfId="45806" xr:uid="{D3B6A73F-A070-4121-B753-AE0036133C78}"/>
    <cellStyle name="Migliaia 38 6 3 3" xfId="37853" xr:uid="{A23ACF0B-A1D6-4B97-88D8-7B6D24781BFA}"/>
    <cellStyle name="Migliaia 38 6 3 4" xfId="43155" xr:uid="{4CC202AB-06E5-410D-BA00-DD61AEBCB3BA}"/>
    <cellStyle name="Migliaia 38 6 3 5" xfId="9706" xr:uid="{C1907B14-E75C-4306-B1A5-89CCB24BBB8E}"/>
    <cellStyle name="Migliaia 38 6 4" xfId="20539" xr:uid="{BBB169F1-5B44-4C0C-8CB4-EB12FD864BCA}"/>
    <cellStyle name="Migliaia 38 6 4 2" xfId="39521" xr:uid="{868A4163-8ED4-4E84-93AB-9C6E22DF5B39}"/>
    <cellStyle name="Migliaia 38 6 4 3" xfId="44823" xr:uid="{36F6CDCE-675B-4091-BFF8-E8052291EDBA}"/>
    <cellStyle name="Migliaia 38 6 4 4" xfId="33980" xr:uid="{9ED13515-99B1-43E0-B06B-D7A51E048C96}"/>
    <cellStyle name="Migliaia 38 6 5" xfId="36929" xr:uid="{5E9827C5-1A60-424A-9378-90EB1A010E2D}"/>
    <cellStyle name="Migliaia 38 6 6" xfId="42172" xr:uid="{3608E785-AB11-49C5-8F84-AD6F0A8D3298}"/>
    <cellStyle name="Migliaia 38 6 7" xfId="16503" xr:uid="{47462BA2-18F6-4527-BDE6-F89843CB9319}"/>
    <cellStyle name="Migliaia 38 6 8" xfId="7476" xr:uid="{EC8A6846-4131-43B6-A32F-14DB9E3FACD4}"/>
    <cellStyle name="Migliaia 38 7" xfId="3614" xr:uid="{5B712389-F75E-48E9-9F97-FDA680FC2D5B}"/>
    <cellStyle name="Migliaia 38 7 2" xfId="5340" xr:uid="{CE2A1AFF-8F65-4D9F-B01C-ED7ECCE7CB48}"/>
    <cellStyle name="Migliaia 38 7 2 2" xfId="35345" xr:uid="{D0072D0E-8368-4E2B-9FF9-B403C134B8AB}"/>
    <cellStyle name="Migliaia 38 7 2 2 2" xfId="40505" xr:uid="{727161BA-DCE1-44CC-9372-5EEA48C0E9C4}"/>
    <cellStyle name="Migliaia 38 7 2 2 3" xfId="45807" xr:uid="{836CB491-E48F-4095-AD7E-79E4EA480871}"/>
    <cellStyle name="Migliaia 38 7 2 3" xfId="37854" xr:uid="{901ABC2F-D7F6-49C6-B51E-5B56EC9D6EFA}"/>
    <cellStyle name="Migliaia 38 7 2 4" xfId="43156" xr:uid="{E64924D3-33A8-4FA8-BF9C-3AFD8CAC9ABB}"/>
    <cellStyle name="Migliaia 38 7 2 5" xfId="14272" xr:uid="{C69C7007-FD96-4AB2-BF19-EEF4170C7CD5}"/>
    <cellStyle name="Migliaia 38 7 3" xfId="6532" xr:uid="{8C96FD05-2175-42F0-B465-9A60BA25F179}"/>
    <cellStyle name="Migliaia 38 7 3 2" xfId="39522" xr:uid="{02360B93-5965-4052-9D4A-85CE198146FB}"/>
    <cellStyle name="Migliaia 38 7 3 3" xfId="44824" xr:uid="{99D897BD-E920-4312-9920-AE6062BF1FBB}"/>
    <cellStyle name="Migliaia 38 7 3 4" xfId="33981" xr:uid="{6D8FCC62-7423-4416-89A0-60DF7C1436FC}"/>
    <cellStyle name="Migliaia 38 7 3 5" xfId="20541" xr:uid="{DE5A4458-4033-41EA-AF23-FA86AF4EF498}"/>
    <cellStyle name="Migliaia 38 7 4" xfId="36930" xr:uid="{0AB25883-8096-4D62-BF19-1341D67D7711}"/>
    <cellStyle name="Migliaia 38 7 5" xfId="42173" xr:uid="{53A0BB3D-4D98-43FD-B198-414C02133474}"/>
    <cellStyle name="Migliaia 38 7 6" xfId="16505" xr:uid="{E4BDA299-B8E2-4C25-9BA9-021E7DE2EAD7}"/>
    <cellStyle name="Migliaia 38 7 7" xfId="8334" xr:uid="{0BF76980-5D77-4864-864C-7B845E49A0B5}"/>
    <cellStyle name="Migliaia 38 8" xfId="3615" xr:uid="{FEC2D15C-2EC3-435B-B5CE-C45E47472578}"/>
    <cellStyle name="Migliaia 38 8 2" xfId="5341" xr:uid="{42294420-5BEF-4D46-B74F-ABEAC6D40298}"/>
    <cellStyle name="Migliaia 38 8 2 2" xfId="35346" xr:uid="{4135E346-B0C4-467B-AB39-33DFF1B54AD4}"/>
    <cellStyle name="Migliaia 38 8 2 2 2" xfId="40506" xr:uid="{E4618E37-8259-4D81-90B2-5C653F3616F2}"/>
    <cellStyle name="Migliaia 38 8 2 2 3" xfId="45808" xr:uid="{2A96178B-4164-4F32-A03B-808EF207CFCA}"/>
    <cellStyle name="Migliaia 38 8 2 3" xfId="37855" xr:uid="{53F01672-6580-437F-8B4C-99696E7E49D3}"/>
    <cellStyle name="Migliaia 38 8 2 4" xfId="43157" xr:uid="{819C7FD2-7699-46CD-8C35-BB81186A5DF9}"/>
    <cellStyle name="Migliaia 38 8 2 5" xfId="13977" xr:uid="{12CE5E39-68BF-4336-B861-7928DE3B8FE6}"/>
    <cellStyle name="Migliaia 38 8 3" xfId="6533" xr:uid="{CB580AB0-2084-416E-A6C7-8C65823827ED}"/>
    <cellStyle name="Migliaia 38 8 3 2" xfId="39523" xr:uid="{B84FA462-4A74-4770-AA03-C2A5EEF058A3}"/>
    <cellStyle name="Migliaia 38 8 3 3" xfId="44825" xr:uid="{2FD711A0-0536-4EE6-8B4D-AA35547950BB}"/>
    <cellStyle name="Migliaia 38 8 3 4" xfId="33982" xr:uid="{06DE6B00-85EC-4EE7-8BC2-8432A9126C07}"/>
    <cellStyle name="Migliaia 38 8 3 5" xfId="20542" xr:uid="{FB31FA05-E2FA-4554-8104-5E602221DD2D}"/>
    <cellStyle name="Migliaia 38 8 4" xfId="36931" xr:uid="{A789DFA4-EAAA-45EB-BE4D-E386F63DE8CE}"/>
    <cellStyle name="Migliaia 38 8 5" xfId="42174" xr:uid="{F3A5F626-A9A1-4BFD-B68C-F9F0D4FFF15B}"/>
    <cellStyle name="Migliaia 38 8 6" xfId="16506" xr:uid="{0744CB20-4640-4469-A46D-C463A6D726D2}"/>
    <cellStyle name="Migliaia 38 8 7" xfId="7946" xr:uid="{831DE035-A5C8-47AE-92B7-ABDA8D2A6DA3}"/>
    <cellStyle name="Migliaia 38 9" xfId="5326" xr:uid="{FFABC888-0373-4DA5-9D10-C3F0132A77DA}"/>
    <cellStyle name="Migliaia 38 9 2" xfId="33983" xr:uid="{9E785BA5-22FD-4EE8-B7B3-123BEF5E7F4D}"/>
    <cellStyle name="Migliaia 38 9 2 2" xfId="39524" xr:uid="{BD6032E4-FE5E-4A6C-84FB-135AF1346B76}"/>
    <cellStyle name="Migliaia 38 9 2 3" xfId="44826" xr:uid="{4840CC6D-2F2C-41F5-A246-39D60C16671C}"/>
    <cellStyle name="Migliaia 38 9 3" xfId="36932" xr:uid="{AB55963A-D76D-4FA5-9E96-89F52E2B3330}"/>
    <cellStyle name="Migliaia 38 9 4" xfId="42175" xr:uid="{6AC58B75-5552-44A8-924D-00A0CBD91F99}"/>
    <cellStyle name="Migliaia 38 9 5" xfId="17197" xr:uid="{3F4FDAEF-6FEA-469D-808F-FCB76C288A29}"/>
    <cellStyle name="Migliaia 39" xfId="429" xr:uid="{00000000-0005-0000-0000-0000DF030000}"/>
    <cellStyle name="Migliaia 39 10" xfId="6534" xr:uid="{CFC2E287-C38C-4918-86C7-3ABD9EA5D7EF}"/>
    <cellStyle name="Migliaia 39 10 2" xfId="39525" xr:uid="{E8D584A6-D6E2-4A99-BCFA-D7BAFF33B098}"/>
    <cellStyle name="Migliaia 39 10 3" xfId="44827" xr:uid="{518D6A0A-FA25-49F5-893D-999AF9D36279}"/>
    <cellStyle name="Migliaia 39 10 4" xfId="33984" xr:uid="{16747DD9-8380-4B3F-95C9-D80452D3B4D3}"/>
    <cellStyle name="Migliaia 39 10 5" xfId="20543" xr:uid="{4E03B5DF-C31C-4BA1-9693-1EAE6EBA8D05}"/>
    <cellStyle name="Migliaia 39 11" xfId="3616" xr:uid="{4DF7559D-8ACB-46A8-A601-C3870FEBD4B5}"/>
    <cellStyle name="Migliaia 39 11 2" xfId="36933" xr:uid="{F90B55F5-7AF7-49AD-A929-8EE3EA3F8F30}"/>
    <cellStyle name="Migliaia 39 12" xfId="42176" xr:uid="{6214C8B2-E615-4163-9EC1-C92C530B2FA6}"/>
    <cellStyle name="Migliaia 39 13" xfId="7138" xr:uid="{9545CC27-B02C-4A10-A384-A1507A3722CA}"/>
    <cellStyle name="Migliaia 39 2" xfId="430" xr:uid="{00000000-0005-0000-0000-0000E0030000}"/>
    <cellStyle name="Migliaia 39 2 2" xfId="1816" xr:uid="{00000000-0005-0000-0000-0000E1030000}"/>
    <cellStyle name="Migliaia 39 2 2 2" xfId="5344" xr:uid="{4EEF8358-44C1-4910-815E-9E9540C6B007}"/>
    <cellStyle name="Migliaia 39 2 2 2 2" xfId="14395" xr:uid="{A68F90ED-1675-4333-84A3-9F37EDCD8410}"/>
    <cellStyle name="Migliaia 39 2 2 2 2 2" xfId="39526" xr:uid="{800C7850-53E6-4673-8DF2-F0CADE09EE55}"/>
    <cellStyle name="Migliaia 39 2 2 2 2 3" xfId="44828" xr:uid="{6BA9331F-8ADD-4EC8-9FB1-A07D8569D3E5}"/>
    <cellStyle name="Migliaia 39 2 2 2 3" xfId="18458" xr:uid="{35666D8F-3670-4E9F-A22E-3B391A7BD221}"/>
    <cellStyle name="Migliaia 39 2 2 2 4" xfId="20546" xr:uid="{22DFF55F-AE2E-4FBA-9DA0-FB4E30C3A94B}"/>
    <cellStyle name="Migliaia 39 2 2 2 4 2" xfId="42177" xr:uid="{531CDC44-C77E-4248-91CB-BD1676B45F02}"/>
    <cellStyle name="Migliaia 39 2 2 2 5" xfId="16507" xr:uid="{9C003247-3AED-4121-A131-B4661EB201E6}"/>
    <cellStyle name="Migliaia 39 2 2 2 6" xfId="8673" xr:uid="{6D4BACA8-AC08-4ECF-869C-A012CC4CE493}"/>
    <cellStyle name="Migliaia 39 2 2 3" xfId="6536" xr:uid="{02EB63FC-9469-4416-ACE2-59A140F48404}"/>
    <cellStyle name="Migliaia 39 2 2 3 2" xfId="35347" xr:uid="{2052D74D-BA06-44EF-8E39-51A08EEFB58C}"/>
    <cellStyle name="Migliaia 39 2 2 3 2 2" xfId="40507" xr:uid="{D0FC187F-C955-4CF0-B9D6-EDB70443EE99}"/>
    <cellStyle name="Migliaia 39 2 2 3 2 3" xfId="45809" xr:uid="{B41F007B-9445-40FB-884F-2B6F710FCED9}"/>
    <cellStyle name="Migliaia 39 2 2 3 3" xfId="37856" xr:uid="{A5810752-EB0E-4E79-9539-1093CA579309}"/>
    <cellStyle name="Migliaia 39 2 2 3 4" xfId="43158" xr:uid="{97976791-4D20-4CC0-8237-C4599FE5FE5B}"/>
    <cellStyle name="Migliaia 39 2 2 3 5" xfId="11622" xr:uid="{39C69095-398A-424C-929F-D58716CC3A4F}"/>
    <cellStyle name="Migliaia 39 2 2 4" xfId="3618" xr:uid="{F25BBBD6-FD29-41D9-94DA-E5DD52922C08}"/>
    <cellStyle name="Migliaia 39 2 2 4 2" xfId="21528" xr:uid="{AB403708-2513-47FC-9F2E-2A7044202921}"/>
    <cellStyle name="Migliaia 39 2 2 4 3" xfId="47603" xr:uid="{937F623D-3846-4B46-9877-F367C2566C77}"/>
    <cellStyle name="Migliaia 39 2 2 4 4" xfId="50543" xr:uid="{3326EBA4-2E21-46E2-AA0C-9806294E50AA}"/>
    <cellStyle name="Migliaia 39 2 2 4 5" xfId="53559" xr:uid="{3D5863B7-B395-436C-ABE5-BE01314E1456}"/>
    <cellStyle name="Migliaia 39 2 2 4 6" xfId="10893" xr:uid="{261825A8-6883-43AE-B650-06EE72FA18B0}"/>
    <cellStyle name="Migliaia 39 2 2 5" xfId="20545" xr:uid="{AE3F912A-40D6-4539-A3F5-0369AED0CF9C}"/>
    <cellStyle name="Migliaia 39 2 2 6" xfId="24886" xr:uid="{7560E1A8-AEA0-4D22-9ACA-5076B2A3E69E}"/>
    <cellStyle name="Migliaia 39 2 2 7" xfId="7483" xr:uid="{BA1500E9-C0FE-4AAB-9566-39C5D49D0208}"/>
    <cellStyle name="Migliaia 39 2 3" xfId="3619" xr:uid="{1385B6D2-D70A-416A-80D4-50E6D9CABB6A}"/>
    <cellStyle name="Migliaia 39 2 3 2" xfId="5345" xr:uid="{7E5B0DCB-5B81-4FF9-873F-919D92038554}"/>
    <cellStyle name="Migliaia 39 2 3 2 2" xfId="35348" xr:uid="{49547A22-6951-47AB-9FE6-FE265F87A873}"/>
    <cellStyle name="Migliaia 39 2 3 2 2 2" xfId="40508" xr:uid="{3477EF12-B89B-4E42-A926-6583829EDC10}"/>
    <cellStyle name="Migliaia 39 2 3 2 2 3" xfId="45810" xr:uid="{19E5822B-7BCF-4A26-A857-10BFEC24E375}"/>
    <cellStyle name="Migliaia 39 2 3 2 3" xfId="37857" xr:uid="{6C347C19-805D-4E95-B30D-8BB312E3AAC8}"/>
    <cellStyle name="Migliaia 39 2 3 2 4" xfId="43159" xr:uid="{98EAA1EC-305A-441E-908E-5416420AE7FF}"/>
    <cellStyle name="Migliaia 39 2 3 2 5" xfId="14276" xr:uid="{4FD1EBB6-9FDF-4391-8E95-5040A4544B61}"/>
    <cellStyle name="Migliaia 39 2 3 3" xfId="6537" xr:uid="{48A1327F-BAEF-4FBC-BC9A-6A99552285DF}"/>
    <cellStyle name="Migliaia 39 2 3 3 2" xfId="39527" xr:uid="{1F73E9BC-A4E6-4A69-9C3C-575F9D25BC39}"/>
    <cellStyle name="Migliaia 39 2 3 3 3" xfId="44829" xr:uid="{5DD8EA27-B944-470C-BE23-FDA57919E009}"/>
    <cellStyle name="Migliaia 39 2 3 3 4" xfId="33985" xr:uid="{FE931FA8-92AB-40E1-8834-E0CC08B86A7F}"/>
    <cellStyle name="Migliaia 39 2 3 3 5" xfId="20547" xr:uid="{1CCB78B1-CC1C-4EA2-8F88-92AD26783412}"/>
    <cellStyle name="Migliaia 39 2 3 4" xfId="36934" xr:uid="{D3BC682B-DB9D-489B-A4BA-686C07665A82}"/>
    <cellStyle name="Migliaia 39 2 3 5" xfId="42178" xr:uid="{1A552BE0-E9A1-4944-9188-80170BA68EFB}"/>
    <cellStyle name="Migliaia 39 2 3 6" xfId="16508" xr:uid="{BC555791-082A-41E0-BB27-3667F1FB477B}"/>
    <cellStyle name="Migliaia 39 2 3 7" xfId="8338" xr:uid="{A9054987-6B3A-4749-9D31-F7A488625D68}"/>
    <cellStyle name="Migliaia 39 2 4" xfId="5343" xr:uid="{0017A008-D53C-4605-8121-AEFAA5FC2D95}"/>
    <cellStyle name="Migliaia 39 2 4 2" xfId="13981" xr:uid="{B96DE7FD-BF52-4E37-A9E6-20025753CA65}"/>
    <cellStyle name="Migliaia 39 2 4 2 2" xfId="39528" xr:uid="{54047E1C-FE5C-4EFF-B92F-9837409EE402}"/>
    <cellStyle name="Migliaia 39 2 4 2 3" xfId="44830" xr:uid="{2763DF77-4016-4239-B615-2152353F8C04}"/>
    <cellStyle name="Migliaia 39 2 4 3" xfId="18704" xr:uid="{C345BE5A-EA8E-4F82-8B15-5CC4D982AE73}"/>
    <cellStyle name="Migliaia 39 2 4 4" xfId="20548" xr:uid="{F1069851-EB8C-41B9-AD51-5FA44FE43CDD}"/>
    <cellStyle name="Migliaia 39 2 4 4 2" xfId="42179" xr:uid="{AD56C349-0A8D-4430-92BC-306E68831BA8}"/>
    <cellStyle name="Migliaia 39 2 4 5" xfId="16509" xr:uid="{208764A7-A4E2-43F5-AC50-AD9D879D693E}"/>
    <cellStyle name="Migliaia 39 2 4 6" xfId="7951" xr:uid="{672C059B-BFB9-4BBB-84D1-507A967C1F4B}"/>
    <cellStyle name="Migliaia 39 2 5" xfId="6535" xr:uid="{47C8FCE7-CD69-453A-8748-D9E240DE063B}"/>
    <cellStyle name="Migliaia 39 2 5 2" xfId="33986" xr:uid="{1336F91F-65A2-4A43-8827-019C66CCF6BF}"/>
    <cellStyle name="Migliaia 39 2 5 2 2" xfId="39529" xr:uid="{6B8DD92F-A8E9-4A90-A8A8-06D34F3E2E90}"/>
    <cellStyle name="Migliaia 39 2 5 2 3" xfId="44831" xr:uid="{6937F19D-2D91-4AB1-960D-2B058CEA79BF}"/>
    <cellStyle name="Migliaia 39 2 5 3" xfId="36935" xr:uid="{0B659761-6345-454A-965D-BECEC9B506DF}"/>
    <cellStyle name="Migliaia 39 2 5 4" xfId="42180" xr:uid="{B7D86EAD-7DB7-4E2E-8C7C-4C6EEFBEE98F}"/>
    <cellStyle name="Migliaia 39 2 5 5" xfId="13135" xr:uid="{16EB16D5-5181-41D9-A20E-A3DBDF02E6D5}"/>
    <cellStyle name="Migliaia 39 2 6" xfId="3617" xr:uid="{DC7BE60A-9252-4E57-8C45-E0934247A5F6}"/>
    <cellStyle name="Migliaia 39 2 6 2" xfId="33987" xr:uid="{4A4A2698-5E73-4469-8FF5-4DAF709484F1}"/>
    <cellStyle name="Migliaia 39 2 6 2 2" xfId="39530" xr:uid="{09E9A30A-D222-4724-97E9-460A8F375C5E}"/>
    <cellStyle name="Migliaia 39 2 6 2 3" xfId="44832" xr:uid="{06D36C32-9C52-4BCE-A4F7-97AF0BCEF978}"/>
    <cellStyle name="Migliaia 39 2 6 3" xfId="36936" xr:uid="{F601C551-DCF5-4727-989B-00E6C09B806E}"/>
    <cellStyle name="Migliaia 39 2 6 4" xfId="42181" xr:uid="{5231C3DC-44AA-48D8-B8ED-6764503B41F4}"/>
    <cellStyle name="Migliaia 39 2 6 5" xfId="24887" xr:uid="{97EAEC56-848A-46B6-8610-C65377193928}"/>
    <cellStyle name="Migliaia 39 2 6 6" xfId="20544" xr:uid="{6194EC90-FAD1-4C66-9349-975687FF49EF}"/>
    <cellStyle name="Migliaia 39 2 7" xfId="24885" xr:uid="{C117FF7E-886B-49F8-BA3D-415B61187E32}"/>
    <cellStyle name="Migliaia 39 2 8" xfId="7139" xr:uid="{C117A12B-9623-481C-AA69-B2268352ADB8}"/>
    <cellStyle name="Migliaia 39 3" xfId="431" xr:uid="{00000000-0005-0000-0000-0000E2030000}"/>
    <cellStyle name="Migliaia 39 3 10" xfId="24888" xr:uid="{B7C1BAD9-B927-4F49-B683-8A50BE3BE42A}"/>
    <cellStyle name="Migliaia 39 3 11" xfId="16510" xr:uid="{91856B3E-C32F-48FA-BB25-ACFB0AACC015}"/>
    <cellStyle name="Migliaia 39 3 12" xfId="7140" xr:uid="{42DD65A6-BA7A-4D15-9B24-DF3BDD9A242D}"/>
    <cellStyle name="Migliaia 39 3 2" xfId="432" xr:uid="{00000000-0005-0000-0000-0000E3030000}"/>
    <cellStyle name="Migliaia 39 3 2 2" xfId="1817" xr:uid="{00000000-0005-0000-0000-0000E4030000}"/>
    <cellStyle name="Migliaia 39 3 2 2 2" xfId="5348" xr:uid="{DA376E34-C122-4C97-970E-21CD391347C1}"/>
    <cellStyle name="Migliaia 39 3 2 2 2 2" xfId="18459" xr:uid="{B3656EA0-5C8D-45B6-9D72-8AFB931EB599}"/>
    <cellStyle name="Migliaia 39 3 2 2 2 2 2" xfId="21873" xr:uid="{A1E8E18C-D9C2-4317-86B3-A7867B5928B3}"/>
    <cellStyle name="Migliaia 39 3 2 2 2 2 2 2" xfId="39531" xr:uid="{556E67E0-57DD-4DA2-8B2D-E6C0A71D8FE3}"/>
    <cellStyle name="Migliaia 39 3 2 2 2 2 3" xfId="44833" xr:uid="{AF1C9BFE-6622-489C-8534-626336BCFE93}"/>
    <cellStyle name="Migliaia 39 3 2 2 2 2 4" xfId="33988" xr:uid="{EB567233-1415-4B2A-A661-C6E0B2B62E77}"/>
    <cellStyle name="Migliaia 39 3 2 2 2 3" xfId="36937" xr:uid="{113CFFDE-4FDD-4860-AEB5-8E2C8987EAF2}"/>
    <cellStyle name="Migliaia 39 3 2 2 2 4" xfId="42182" xr:uid="{E4AED56F-8EA9-4F2E-9FFC-6222B70ECA60}"/>
    <cellStyle name="Migliaia 39 3 2 2 2 5" xfId="32434" xr:uid="{F3AB2E02-708C-4721-98E0-2CE657F1843B}"/>
    <cellStyle name="Migliaia 39 3 2 2 2 6" xfId="50901" xr:uid="{2CC20C33-EECE-4F00-8827-B3292154483B}"/>
    <cellStyle name="Migliaia 39 3 2 2 2 7" xfId="53917" xr:uid="{D0BCA0FD-D5DC-44E5-9231-767677ED9C33}"/>
    <cellStyle name="Migliaia 39 3 2 2 2 8" xfId="17670" xr:uid="{7F7C1CB7-E840-471B-BFA7-96EB1C17E031}"/>
    <cellStyle name="Migliaia 39 3 2 2 2 9" xfId="12015" xr:uid="{385CD7A1-FCBB-4E03-8265-51A507E11A89}"/>
    <cellStyle name="Migliaia 39 3 2 2 3" xfId="6540" xr:uid="{263F1D12-AF9B-4129-8A1E-D06510094D81}"/>
    <cellStyle name="Migliaia 39 3 2 2 3 2" xfId="11566" xr:uid="{4B7CF2E5-E457-4D30-BC8E-8F3F01736250}"/>
    <cellStyle name="Migliaia 39 3 2 2 4" xfId="3622" xr:uid="{59FABD8E-0803-4D4D-B625-7CBAF1602C2F}"/>
    <cellStyle name="Migliaia 39 3 2 2 4 2" xfId="21529" xr:uid="{7A352A63-3E76-4B31-8956-786760B42DFD}"/>
    <cellStyle name="Migliaia 39 3 2 2 4 3" xfId="47602" xr:uid="{B721EF49-3E84-4C60-A144-6581B0B4A4D7}"/>
    <cellStyle name="Migliaia 39 3 2 2 4 4" xfId="50544" xr:uid="{49DE03A4-D8E5-4552-8B94-116B07D49B71}"/>
    <cellStyle name="Migliaia 39 3 2 2 4 5" xfId="53560" xr:uid="{FA499CEF-BCD7-4E9B-9523-703626A8807B}"/>
    <cellStyle name="Migliaia 39 3 2 2 4 6" xfId="10894" xr:uid="{82C2670E-280B-4079-8380-01EB95475958}"/>
    <cellStyle name="Migliaia 39 3 2 2 5" xfId="20551" xr:uid="{DA037DB5-086E-46CA-A0F3-872149770DF2}"/>
    <cellStyle name="Migliaia 39 3 2 2 6" xfId="24890" xr:uid="{C5546E1C-6D56-45E0-8F92-1675D5188522}"/>
    <cellStyle name="Migliaia 39 3 2 2 7" xfId="8675" xr:uid="{F51CD125-C37B-4703-BEB7-4931B3871A9B}"/>
    <cellStyle name="Migliaia 39 3 2 3" xfId="5347" xr:uid="{2AD8AE99-A637-4AC3-8F3E-2F9D4FCB2364}"/>
    <cellStyle name="Migliaia 39 3 2 3 2" xfId="12224" xr:uid="{150A9623-C85C-42BF-BF9C-6753E925171A}"/>
    <cellStyle name="Migliaia 39 3 2 3 2 2" xfId="39532" xr:uid="{7938307D-D9AA-4AEE-BAF5-F8362449D337}"/>
    <cellStyle name="Migliaia 39 3 2 3 2 3" xfId="44834" xr:uid="{3139D78A-ECBD-499B-BC9A-51D2B3301113}"/>
    <cellStyle name="Migliaia 39 3 2 3 2 4" xfId="33989" xr:uid="{000A0C9F-CC54-4F9F-97FD-DC6318FB9B5C}"/>
    <cellStyle name="Migliaia 39 3 2 3 3" xfId="12016" xr:uid="{C59C5669-60A7-471C-9B90-08A4FC144127}"/>
    <cellStyle name="Migliaia 39 3 2 3 4" xfId="20552" xr:uid="{91CE704F-4795-4F60-ADB1-D3ECDC16D035}"/>
    <cellStyle name="Migliaia 39 3 2 3 4 2" xfId="42183" xr:uid="{06BC8E8E-4E2C-436C-9E50-1A80C635C1AF}"/>
    <cellStyle name="Migliaia 39 3 2 3 5" xfId="16511" xr:uid="{08A0B994-1EB4-4489-9F00-73B689BD0DA9}"/>
    <cellStyle name="Migliaia 39 3 2 3 6" xfId="7953" xr:uid="{34BA15D5-D651-4274-AF47-297ACD886005}"/>
    <cellStyle name="Migliaia 39 3 2 4" xfId="6539" xr:uid="{8549E9DB-8819-4648-82CF-A7F4713ABB64}"/>
    <cellStyle name="Migliaia 39 3 2 4 2" xfId="18089" xr:uid="{2FC20810-2D96-4D4F-A288-D845A56CFD62}"/>
    <cellStyle name="Migliaia 39 3 2 4 2 2" xfId="39533" xr:uid="{E4AD3CB4-054B-426D-A008-4E92CC2C9399}"/>
    <cellStyle name="Migliaia 39 3 2 4 2 3" xfId="44835" xr:uid="{8811D267-9CD7-4930-A2A9-B19CA98351D8}"/>
    <cellStyle name="Migliaia 39 3 2 4 3" xfId="36939" xr:uid="{FCA77973-3FD4-4044-8484-A2C9DFF03CB2}"/>
    <cellStyle name="Migliaia 39 3 2 4 4" xfId="42184" xr:uid="{FF4CA4BA-E8D4-499F-8805-FB7C9F5BC98B}"/>
    <cellStyle name="Migliaia 39 3 2 4 5" xfId="17200" xr:uid="{6A411EC6-CC4A-41E9-B953-48D783B4B3B4}"/>
    <cellStyle name="Migliaia 39 3 2 4 6" xfId="11364" xr:uid="{9A0C53F5-D210-450E-A124-D83744D141FF}"/>
    <cellStyle name="Migliaia 39 3 2 5" xfId="3621" xr:uid="{2DEF76CC-2892-4195-8E8D-6DC5B9E884B1}"/>
    <cellStyle name="Migliaia 39 3 2 5 2" xfId="33991" xr:uid="{A83A22F4-7DB2-4BD7-A991-90D6F3FADF35}"/>
    <cellStyle name="Migliaia 39 3 2 5 2 2" xfId="39534" xr:uid="{6D3D5BF3-D854-47A2-B4BC-E7DB7C9B4523}"/>
    <cellStyle name="Migliaia 39 3 2 5 2 3" xfId="44836" xr:uid="{D019104C-CFFC-4C74-B067-B8B2FC3EA321}"/>
    <cellStyle name="Migliaia 39 3 2 5 3" xfId="36940" xr:uid="{40C698B4-B1D0-4252-8044-8FAB6E8DC726}"/>
    <cellStyle name="Migliaia 39 3 2 5 4" xfId="42185" xr:uid="{B77BB8A3-70BB-4DCE-AFB0-6B1DDC54D424}"/>
    <cellStyle name="Migliaia 39 3 2 5 5" xfId="17330" xr:uid="{914E09AE-814D-4661-9893-DC3BC2B0F50F}"/>
    <cellStyle name="Migliaia 39 3 2 6" xfId="20550" xr:uid="{0C1A9267-29E6-4FC4-A59D-B97F756CB70D}"/>
    <cellStyle name="Migliaia 39 3 2 6 2" xfId="33992" xr:uid="{28C54FA5-EAD7-4841-984B-23B05B682639}"/>
    <cellStyle name="Migliaia 39 3 2 6 2 2" xfId="39535" xr:uid="{5D728060-8D98-4556-94CF-E0340E9C37DB}"/>
    <cellStyle name="Migliaia 39 3 2 6 2 3" xfId="44837" xr:uid="{D6C7D7D1-BC2B-4B8C-9C15-415113FC736C}"/>
    <cellStyle name="Migliaia 39 3 2 6 3" xfId="36941" xr:uid="{7856E28B-FE0E-4DD0-97C1-E87BF7DD04FE}"/>
    <cellStyle name="Migliaia 39 3 2 6 4" xfId="42186" xr:uid="{DB6C05F6-1779-4319-AA06-C936F6463F92}"/>
    <cellStyle name="Migliaia 39 3 2 6 5" xfId="24893" xr:uid="{B6E43D91-1972-4607-80BA-FE9F901BFBD9}"/>
    <cellStyle name="Migliaia 39 3 2 7" xfId="24889" xr:uid="{C6AD90A9-CEFF-4C0E-AF68-153130DBFB54}"/>
    <cellStyle name="Migliaia 39 3 2 8" xfId="7485" xr:uid="{629E9B1A-018F-4330-A12E-F5756284AAB2}"/>
    <cellStyle name="Migliaia 39 3 3" xfId="3623" xr:uid="{014A9E13-49C7-40AB-9415-918FFDBA1DC0}"/>
    <cellStyle name="Migliaia 39 3 3 10" xfId="7484" xr:uid="{91A00090-8A9F-433A-85FD-98855ADDC681}"/>
    <cellStyle name="Migliaia 39 3 3 2" xfId="5349" xr:uid="{513ED7CB-8380-4F80-BA36-2335FD42EE8B}"/>
    <cellStyle name="Migliaia 39 3 3 2 2" xfId="9946" xr:uid="{64FEE60B-8363-4713-ABB8-FC7195DE6DE7}"/>
    <cellStyle name="Migliaia 39 3 3 2 2 2" xfId="39537" xr:uid="{FD2E0982-D408-4A5D-A717-E0C2E48B9F4E}"/>
    <cellStyle name="Migliaia 39 3 3 2 2 3" xfId="44839" xr:uid="{C70B6F58-AE69-409D-85D5-DD6F0A9AE007}"/>
    <cellStyle name="Migliaia 39 3 3 2 3" xfId="18226" xr:uid="{1A674EF7-7539-40AD-BA9D-A7F6FDAEC187}"/>
    <cellStyle name="Migliaia 39 3 3 2 4" xfId="20554" xr:uid="{5048F0F3-F1E1-474D-890B-93302B151320}"/>
    <cellStyle name="Migliaia 39 3 3 2 4 2" xfId="42188" xr:uid="{11DE0F28-8E14-4A68-8D14-4A77784FE346}"/>
    <cellStyle name="Migliaia 39 3 3 2 5" xfId="16513" xr:uid="{1F710998-EC7F-42C7-9998-8B47A2DF035B}"/>
    <cellStyle name="Migliaia 39 3 3 2 6" xfId="8674" xr:uid="{5A2DF3CB-0EA7-4DEC-B3CC-E374BBE2989B}"/>
    <cellStyle name="Migliaia 39 3 3 3" xfId="6541" xr:uid="{176F2416-6811-4EB4-8420-AF407E1D6085}"/>
    <cellStyle name="Migliaia 39 3 3 3 2" xfId="33995" xr:uid="{24AEE98C-9FCC-4213-B771-74686DEA5021}"/>
    <cellStyle name="Migliaia 39 3 3 3 2 2" xfId="39538" xr:uid="{3A33BA3B-E6CB-49E5-BBA0-C3E63F612330}"/>
    <cellStyle name="Migliaia 39 3 3 3 2 3" xfId="44840" xr:uid="{109A088A-D7A7-4939-8D8A-2EF642C1DE3D}"/>
    <cellStyle name="Migliaia 39 3 3 3 3" xfId="36944" xr:uid="{15995CBE-FDA4-41AB-A16C-8674BD283241}"/>
    <cellStyle name="Migliaia 39 3 3 3 4" xfId="42189" xr:uid="{81E30383-4DBC-42A8-8448-606B76786B85}"/>
    <cellStyle name="Migliaia 39 3 3 3 5" xfId="9709" xr:uid="{5FDB18AB-DB14-4E00-9023-0B9EBED2920F}"/>
    <cellStyle name="Migliaia 39 3 3 4" xfId="20553" xr:uid="{50B378A0-E56C-47C2-BB06-551112A6E6A2}"/>
    <cellStyle name="Migliaia 39 3 3 4 2" xfId="33996" xr:uid="{858E9A93-B85A-4BAB-9E20-EBB2AE404FD9}"/>
    <cellStyle name="Migliaia 39 3 3 4 2 2" xfId="39539" xr:uid="{7071E168-D07B-4446-9143-BBEA34529C5A}"/>
    <cellStyle name="Migliaia 39 3 3 4 2 3" xfId="44841" xr:uid="{2A3758D4-A5D5-4C55-BFFE-CA65CBA54173}"/>
    <cellStyle name="Migliaia 39 3 3 4 3" xfId="36945" xr:uid="{2268797D-5353-406E-AA33-B477B7171749}"/>
    <cellStyle name="Migliaia 39 3 3 4 4" xfId="42190" xr:uid="{E8C79336-AA7C-48A2-964D-576CD39B36D0}"/>
    <cellStyle name="Migliaia 39 3 3 4 5" xfId="24897" xr:uid="{D34AD686-ADF6-4628-91BB-8D560FFE2C2E}"/>
    <cellStyle name="Migliaia 39 3 3 5" xfId="24898" xr:uid="{39EE1A20-2B00-499B-97C4-C8EA380416A2}"/>
    <cellStyle name="Migliaia 39 3 3 5 2" xfId="33997" xr:uid="{EC761F0D-7602-45B1-B952-BD9C74B4DC09}"/>
    <cellStyle name="Migliaia 39 3 3 5 2 2" xfId="39540" xr:uid="{65D7A235-0B49-49AA-AE59-C1331B2568E8}"/>
    <cellStyle name="Migliaia 39 3 3 5 2 3" xfId="44842" xr:uid="{7E9B18D3-9DFF-4CD3-B544-328FCAC9F2B2}"/>
    <cellStyle name="Migliaia 39 3 3 5 3" xfId="36946" xr:uid="{FA9C01C2-9380-4538-94CE-6671F884C5F8}"/>
    <cellStyle name="Migliaia 39 3 3 5 4" xfId="42191" xr:uid="{D031C4A3-5BE1-4710-902E-D37F8515500F}"/>
    <cellStyle name="Migliaia 39 3 3 6" xfId="33993" xr:uid="{D66D6906-E122-4201-88D2-4079C8557C3F}"/>
    <cellStyle name="Migliaia 39 3 3 6 2" xfId="39536" xr:uid="{27D203BC-7200-41F6-9175-0DBB8DA0C718}"/>
    <cellStyle name="Migliaia 39 3 3 6 3" xfId="44838" xr:uid="{364971FE-3BEA-46B6-BE53-BAE7DA19AEA1}"/>
    <cellStyle name="Migliaia 39 3 3 7" xfId="36942" xr:uid="{9D450160-A903-4927-B8DE-9C4EF8263A93}"/>
    <cellStyle name="Migliaia 39 3 3 8" xfId="42187" xr:uid="{1DC18966-B6D1-4923-8203-70DCAFE64597}"/>
    <cellStyle name="Migliaia 39 3 3 9" xfId="16512" xr:uid="{69A21EF7-5263-4E80-AC47-A47D387EDB85}"/>
    <cellStyle name="Migliaia 39 3 4" xfId="3624" xr:uid="{76992008-256F-41EA-B4E0-6903B9E6B7C2}"/>
    <cellStyle name="Migliaia 39 3 4 2" xfId="5350" xr:uid="{E6837375-F6A3-4819-9FAC-D09F42EF1249}"/>
    <cellStyle name="Migliaia 39 3 4 2 2" xfId="14455" xr:uid="{7C3DCBD5-05F3-4293-9FC7-6B05736B1873}"/>
    <cellStyle name="Migliaia 39 3 4 2 3" xfId="18131" xr:uid="{5669A124-9B3A-4EE6-A1C3-18455B0B6530}"/>
    <cellStyle name="Migliaia 39 3 4 2 4" xfId="20556" xr:uid="{0AE08B59-7DE2-4857-9CD4-9EAA971C8A43}"/>
    <cellStyle name="Migliaia 39 3 4 2 5" xfId="32395" xr:uid="{409AE6A7-ED55-4EA1-941A-9950C08E3686}"/>
    <cellStyle name="Migliaia 39 3 4 2 6" xfId="16515" xr:uid="{24E7D8A8-0E4F-4FF9-8C48-A17EE68B8796}"/>
    <cellStyle name="Migliaia 39 3 4 2 7" xfId="8878" xr:uid="{94426A29-481E-433A-B18E-719EAFD391DD}"/>
    <cellStyle name="Migliaia 39 3 4 3" xfId="6542" xr:uid="{D2C3A463-DE6E-4547-91A8-35C252C090FB}"/>
    <cellStyle name="Migliaia 39 3 4 3 2" xfId="35349" xr:uid="{4443D78C-9C58-40A6-8BFE-67D2C423318E}"/>
    <cellStyle name="Migliaia 39 3 4 3 2 2" xfId="40509" xr:uid="{03F43078-4E58-4290-B7B3-14D9CDF9EC3B}"/>
    <cellStyle name="Migliaia 39 3 4 3 2 3" xfId="45811" xr:uid="{8464696A-0D0F-4430-80CB-378448C2F3F0}"/>
    <cellStyle name="Migliaia 39 3 4 3 3" xfId="37858" xr:uid="{5729C90E-93A6-4FD5-AC0E-40EDF149DB57}"/>
    <cellStyle name="Migliaia 39 3 4 3 4" xfId="43160" xr:uid="{C332807E-D2AA-4599-8EFE-68ACB3803C55}"/>
    <cellStyle name="Migliaia 39 3 4 3 5" xfId="13703" xr:uid="{97B3D162-0965-4595-A8F6-7217AD5F0447}"/>
    <cellStyle name="Migliaia 39 3 4 4" xfId="20555" xr:uid="{A12AE1CD-593E-4A54-8A3E-12CECC874BF0}"/>
    <cellStyle name="Migliaia 39 3 4 4 2" xfId="39541" xr:uid="{84C90F0F-2EAC-4E42-8078-0A919E55C254}"/>
    <cellStyle name="Migliaia 39 3 4 4 3" xfId="44843" xr:uid="{3B8006AB-0476-46AC-A023-42054647A3E8}"/>
    <cellStyle name="Migliaia 39 3 4 4 4" xfId="33998" xr:uid="{52F80CAC-397E-49AA-B8A3-0EDB0AD5F6C4}"/>
    <cellStyle name="Migliaia 39 3 4 5" xfId="36947" xr:uid="{F8E78C72-BAAA-4B92-807E-B9C3102EB882}"/>
    <cellStyle name="Migliaia 39 3 4 6" xfId="42192" xr:uid="{B0C33F54-7B08-4CE3-9F57-1AB78A20A228}"/>
    <cellStyle name="Migliaia 39 3 4 7" xfId="16514" xr:uid="{1A3080FC-D56F-4668-A437-86D8C7E2584C}"/>
    <cellStyle name="Migliaia 39 3 4 8" xfId="7688" xr:uid="{9D0C48FA-125A-410F-8082-A4B3A9F5CD85}"/>
    <cellStyle name="Migliaia 39 3 5" xfId="3625" xr:uid="{C2F16917-2C87-4594-838C-79498D90E6C8}"/>
    <cellStyle name="Migliaia 39 3 5 2" xfId="5351" xr:uid="{FCDBD2A5-C6FD-4BD2-B08B-55A1A6D990B8}"/>
    <cellStyle name="Migliaia 39 3 5 2 2" xfId="35350" xr:uid="{FF6619AD-AF1C-48EE-AC24-BD227B1376BE}"/>
    <cellStyle name="Migliaia 39 3 5 2 2 2" xfId="40510" xr:uid="{62C4CB77-6310-4BE9-A6F8-5CFDD2A82E7D}"/>
    <cellStyle name="Migliaia 39 3 5 2 2 3" xfId="45812" xr:uid="{31A670C3-E823-4914-84A9-FE3AD693575F}"/>
    <cellStyle name="Migliaia 39 3 5 2 3" xfId="37859" xr:uid="{F4CA6FD6-8DA2-46F2-8932-2297352BD81E}"/>
    <cellStyle name="Migliaia 39 3 5 2 4" xfId="43161" xr:uid="{25725698-8131-482D-80AF-6CB5AD0DEEFC}"/>
    <cellStyle name="Migliaia 39 3 5 2 5" xfId="14277" xr:uid="{B417E577-37A5-444C-B3C7-2E34321C6116}"/>
    <cellStyle name="Migliaia 39 3 5 3" xfId="6543" xr:uid="{29A6465F-809D-472B-8E8B-DF24D09348DE}"/>
    <cellStyle name="Migliaia 39 3 5 3 2" xfId="39542" xr:uid="{1AA47CE1-35E2-4E52-A5DE-97017FD983BD}"/>
    <cellStyle name="Migliaia 39 3 5 3 3" xfId="44844" xr:uid="{67F4A0F9-9B42-40BD-BCBB-CB5EBB5E9948}"/>
    <cellStyle name="Migliaia 39 3 5 3 4" xfId="33999" xr:uid="{1C069B6C-3460-429A-B24F-59AC68C968F1}"/>
    <cellStyle name="Migliaia 39 3 5 3 5" xfId="20557" xr:uid="{C8E1A30D-AF35-40EE-A803-87933F3A1622}"/>
    <cellStyle name="Migliaia 39 3 5 4" xfId="36948" xr:uid="{9ECB072E-E66F-484B-B27C-CB239A4D53E3}"/>
    <cellStyle name="Migliaia 39 3 5 5" xfId="42193" xr:uid="{7CFD0D6D-07B2-419D-B286-1BFFEC98F02C}"/>
    <cellStyle name="Migliaia 39 3 5 6" xfId="16516" xr:uid="{426B963C-F1A2-4062-8CDE-3F1E685B47BC}"/>
    <cellStyle name="Migliaia 39 3 5 7" xfId="8339" xr:uid="{EB09E490-9FD7-45B9-BBE6-FB2263D56A2E}"/>
    <cellStyle name="Migliaia 39 3 6" xfId="5346" xr:uid="{7A8E6761-B157-4C88-905A-534893E95D41}"/>
    <cellStyle name="Migliaia 39 3 6 2" xfId="13982" xr:uid="{8B645D16-D1D0-4F65-8196-8BA7E9EC6B50}"/>
    <cellStyle name="Migliaia 39 3 6 2 2" xfId="39543" xr:uid="{655C8A16-624D-4A54-94E7-92B1B982E995}"/>
    <cellStyle name="Migliaia 39 3 6 2 3" xfId="44845" xr:uid="{5128CEC1-E109-485E-BCA1-BCA52F9F07EC}"/>
    <cellStyle name="Migliaia 39 3 6 3" xfId="18610" xr:uid="{033B2C41-B3B1-4F12-A9B2-7EB65275021D}"/>
    <cellStyle name="Migliaia 39 3 6 4" xfId="20558" xr:uid="{74F67427-06E8-4691-851B-E4BB8631AD16}"/>
    <cellStyle name="Migliaia 39 3 6 4 2" xfId="42194" xr:uid="{27AAB1DA-2B14-43D0-8FA1-99E59C590C8D}"/>
    <cellStyle name="Migliaia 39 3 6 5" xfId="16517" xr:uid="{7F47B537-9305-4A5E-AAA2-5C21120EC7AF}"/>
    <cellStyle name="Migliaia 39 3 6 6" xfId="7952" xr:uid="{AF0E73A6-FBA5-4001-A3C6-DCBB4EC09CA0}"/>
    <cellStyle name="Migliaia 39 3 7" xfId="6538" xr:uid="{3CA499F2-6FB4-4E52-8750-2A961480390B}"/>
    <cellStyle name="Migliaia 39 3 7 2" xfId="34001" xr:uid="{A935F85C-83DC-4529-8FBA-4739C381D911}"/>
    <cellStyle name="Migliaia 39 3 7 2 2" xfId="39544" xr:uid="{0A6C7FB3-346F-4920-8826-A22FDAEE08CC}"/>
    <cellStyle name="Migliaia 39 3 7 2 3" xfId="44846" xr:uid="{82E5ECC6-C189-4468-B25E-F8EA4899AF5B}"/>
    <cellStyle name="Migliaia 39 3 7 3" xfId="36950" xr:uid="{14BB8D18-A402-4921-BA58-0E96A29C5C7B}"/>
    <cellStyle name="Migliaia 39 3 7 4" xfId="42195" xr:uid="{7DEB72A5-679F-43BF-8FD9-71DF98FE90FD}"/>
    <cellStyle name="Migliaia 39 3 7 5" xfId="12246" xr:uid="{556B4AA2-6CC1-4205-A94F-05DB9E9011F8}"/>
    <cellStyle name="Migliaia 39 3 8" xfId="3620" xr:uid="{5E0C95DF-66EC-4253-B2DD-4DBEBE1FED07}"/>
    <cellStyle name="Migliaia 39 3 8 2" xfId="34002" xr:uid="{955CC0B3-534D-4C0C-9B27-9435C3B8D602}"/>
    <cellStyle name="Migliaia 39 3 8 2 2" xfId="39545" xr:uid="{15BDA1B4-DA03-44AE-8359-B20D8727B7C9}"/>
    <cellStyle name="Migliaia 39 3 8 2 3" xfId="44847" xr:uid="{B5BEF261-432F-4FD8-846C-D7691DCA597B}"/>
    <cellStyle name="Migliaia 39 3 8 3" xfId="36951" xr:uid="{6FD2AC2E-6969-4C82-877F-685B09962B36}"/>
    <cellStyle name="Migliaia 39 3 8 4" xfId="42196" xr:uid="{A639A8A0-E288-4095-A5CC-BBC0FBD63856}"/>
    <cellStyle name="Migliaia 39 3 8 5" xfId="24903" xr:uid="{F657C979-23D6-4CE7-8ABD-951D8CB07E66}"/>
    <cellStyle name="Migliaia 39 3 8 6" xfId="17331" xr:uid="{A87A9A80-F087-4443-85B2-3E2C2ED80E3A}"/>
    <cellStyle name="Migliaia 39 3 9" xfId="20549" xr:uid="{195796D9-7E99-4F0A-B8C3-885E1B21C0D3}"/>
    <cellStyle name="Migliaia 39 4" xfId="1818" xr:uid="{00000000-0005-0000-0000-0000E5030000}"/>
    <cellStyle name="Migliaia 39 4 2" xfId="1819" xr:uid="{00000000-0005-0000-0000-0000E6030000}"/>
    <cellStyle name="Migliaia 39 4 2 2" xfId="5353" xr:uid="{24BBCF88-5249-4052-8B5F-5F74FEE5AA87}"/>
    <cellStyle name="Migliaia 39 4 2 2 2" xfId="34003" xr:uid="{D6329F97-8DBB-4780-BE91-3FA42CAF620C}"/>
    <cellStyle name="Migliaia 39 4 2 2 2 2" xfId="39546" xr:uid="{4E75ACCA-06DA-4D29-98ED-55C1233BAFAA}"/>
    <cellStyle name="Migliaia 39 4 2 2 2 3" xfId="44848" xr:uid="{CF5955BE-AB57-4388-957E-20236AB2535E}"/>
    <cellStyle name="Migliaia 39 4 2 2 3" xfId="36952" xr:uid="{5186D4AC-FD54-47FD-90D7-A6314981F3C9}"/>
    <cellStyle name="Migliaia 39 4 2 2 4" xfId="42197" xr:uid="{4A9C2799-BEB4-413D-8480-6A77BDD8339C}"/>
    <cellStyle name="Migliaia 39 4 2 2 5" xfId="9172" xr:uid="{C8E51782-26C4-4F87-9478-85CE1334D10A}"/>
    <cellStyle name="Migliaia 39 4 2 3" xfId="3627" xr:uid="{DB4BC0AE-548D-4373-8DA4-7F08D8D38D39}"/>
    <cellStyle name="Migliaia 39 4 2 3 2" xfId="34004" xr:uid="{99D41647-2D41-4328-B226-FBCB592DE2E0}"/>
    <cellStyle name="Migliaia 39 4 2 3 2 2" xfId="39547" xr:uid="{667EF3FF-0EC1-4ED6-B024-9F9DFC5A40CA}"/>
    <cellStyle name="Migliaia 39 4 2 3 2 3" xfId="44849" xr:uid="{115868CC-3F23-4E37-B84E-800FF2434BB4}"/>
    <cellStyle name="Migliaia 39 4 2 3 3" xfId="36953" xr:uid="{F7C3DDD1-F56A-4ABE-B9B2-32CFD5F21824}"/>
    <cellStyle name="Migliaia 39 4 2 3 4" xfId="42198" xr:uid="{F5BDFE03-A0E9-43B5-9E74-5E22E1636B96}"/>
    <cellStyle name="Migliaia 39 4 2 3 5" xfId="12017" xr:uid="{C8C85988-D14C-46F8-BAE7-DAA5D2B1CBD0}"/>
    <cellStyle name="Migliaia 39 4 2 4" xfId="11366" xr:uid="{200F21AC-154A-48D0-9AE7-710038605A32}"/>
    <cellStyle name="Migliaia 39 4 2 5" xfId="10896" xr:uid="{F9AE7C16-E1EA-4423-9678-55C6B94029BE}"/>
    <cellStyle name="Migliaia 39 4 2 5 2" xfId="21531" xr:uid="{BE8122A7-D502-4C1B-BFF9-B878A7F0BEA7}"/>
    <cellStyle name="Migliaia 39 4 2 5 3" xfId="48178" xr:uid="{D6F3F009-FE5B-4D25-8C07-C3E1CD673CE9}"/>
    <cellStyle name="Migliaia 39 4 2 5 4" xfId="50546" xr:uid="{C0B15AB4-EBCD-4D9B-BA6C-2D65A05FDF3B}"/>
    <cellStyle name="Migliaia 39 4 2 5 5" xfId="53562" xr:uid="{162B3784-B395-496E-82BE-EFE151EE805F}"/>
    <cellStyle name="Migliaia 39 4 2 6" xfId="20560" xr:uid="{5C20F9A0-6490-41CD-8D57-70FC6E5812B2}"/>
    <cellStyle name="Migliaia 39 4 2 7" xfId="24905" xr:uid="{1C35EB78-C7D2-452A-A102-72DB683BB662}"/>
    <cellStyle name="Migliaia 39 4 2 8" xfId="8676" xr:uid="{819ABC09-B3DE-4F59-B316-ACB7D57EACCC}"/>
    <cellStyle name="Migliaia 39 4 3" xfId="5352" xr:uid="{0BB4C36B-4DD7-41DA-89D7-54542B2A165B}"/>
    <cellStyle name="Migliaia 39 4 3 2" xfId="18227" xr:uid="{59808F72-862B-4336-B4E4-981AF77BE901}"/>
    <cellStyle name="Migliaia 39 4 3 2 2" xfId="39548" xr:uid="{D6FEB8C3-C48F-4374-AC96-5C2DF966F8AD}"/>
    <cellStyle name="Migliaia 39 4 3 2 3" xfId="44850" xr:uid="{20FBA41F-1A12-4940-AD05-731979C5D590}"/>
    <cellStyle name="Migliaia 39 4 3 3" xfId="36954" xr:uid="{40FB2AF8-A59D-470B-9556-7BA583769631}"/>
    <cellStyle name="Migliaia 39 4 3 4" xfId="42199" xr:uid="{13589C14-7177-428B-ADA9-8959D2DAA2DE}"/>
    <cellStyle name="Migliaia 39 4 3 5" xfId="17329" xr:uid="{88F13841-A6DC-41BE-AE35-DF28A1BAEB68}"/>
    <cellStyle name="Migliaia 39 4 3 6" xfId="9173" xr:uid="{3F69CA83-5210-4CFC-8C37-3A806175CC48}"/>
    <cellStyle name="Migliaia 39 4 4" xfId="6544" xr:uid="{AC65918E-E011-483C-BB9F-1AB4CB98BBB4}"/>
    <cellStyle name="Migliaia 39 4 4 2" xfId="34006" xr:uid="{8747304E-FE4A-4591-A7B7-203E1FC35B64}"/>
    <cellStyle name="Migliaia 39 4 4 2 2" xfId="39549" xr:uid="{653708DE-4800-43C4-BDF7-7CE1C11AA67A}"/>
    <cellStyle name="Migliaia 39 4 4 2 3" xfId="44851" xr:uid="{D924349E-7179-466E-96AB-74BFE66FD576}"/>
    <cellStyle name="Migliaia 39 4 4 3" xfId="36955" xr:uid="{E0953F39-86AE-4A5D-BE97-5CA34B56080D}"/>
    <cellStyle name="Migliaia 39 4 4 4" xfId="42200" xr:uid="{5DF0A8B0-F116-4A1D-B6D0-FDCA95E9B44E}"/>
    <cellStyle name="Migliaia 39 4 4 5" xfId="12018" xr:uid="{918772B4-3922-4509-946D-7FD492DD6C57}"/>
    <cellStyle name="Migliaia 39 4 5" xfId="3626" xr:uid="{BACDCCF8-CF0A-4446-8E18-1A5EB17B1C26}"/>
    <cellStyle name="Migliaia 39 4 5 2" xfId="34007" xr:uid="{12B3FAD5-CAE9-4A3B-B80A-CE5D9036A143}"/>
    <cellStyle name="Migliaia 39 4 5 2 2" xfId="39550" xr:uid="{49573AC1-5925-4F7B-99EA-6BC76E37FDB9}"/>
    <cellStyle name="Migliaia 39 4 5 2 3" xfId="44852" xr:uid="{9DD6FE02-E0C1-4DFE-B4DC-E2D6D5E409F1}"/>
    <cellStyle name="Migliaia 39 4 5 3" xfId="36956" xr:uid="{040B7087-C0D7-4BB1-B7B6-7A36F8BDA6DC}"/>
    <cellStyle name="Migliaia 39 4 5 4" xfId="42201" xr:uid="{97DD57BC-A6E8-4D76-8B20-2ADA75981A96}"/>
    <cellStyle name="Migliaia 39 4 5 5" xfId="11365" xr:uid="{F5E36788-3401-4635-82F8-581A242B65D7}"/>
    <cellStyle name="Migliaia 39 4 6" xfId="10895" xr:uid="{20FF2FBE-394B-4BB5-A168-3127F54E41D2}"/>
    <cellStyle name="Migliaia 39 4 6 2" xfId="21530" xr:uid="{513FB039-9C48-4759-B501-A86192C2B87D}"/>
    <cellStyle name="Migliaia 39 4 6 2 2" xfId="39551" xr:uid="{94AAB7F2-7B55-42C4-803A-38497FAB0F87}"/>
    <cellStyle name="Migliaia 39 4 6 2 3" xfId="44853" xr:uid="{BCC04B93-23A3-4607-9A2E-5523DD68749C}"/>
    <cellStyle name="Migliaia 39 4 6 2 4" xfId="34008" xr:uid="{24E384AC-526B-4E76-B4B9-6D8BBD14FEA2}"/>
    <cellStyle name="Migliaia 39 4 6 3" xfId="36957" xr:uid="{B3BBE7C6-F279-4651-93F1-56324B383182}"/>
    <cellStyle name="Migliaia 39 4 6 4" xfId="42202" xr:uid="{2755E988-8563-4D96-BEE9-D5C42B983479}"/>
    <cellStyle name="Migliaia 39 4 6 5" xfId="24911" xr:uid="{8DFB8221-CB70-40DF-9DA5-A5B3E4B76385}"/>
    <cellStyle name="Migliaia 39 4 6 6" xfId="46254" xr:uid="{80FD73B1-4AB9-43D3-A77D-37CC7B4A5A4F}"/>
    <cellStyle name="Migliaia 39 4 6 7" xfId="50545" xr:uid="{DB108F73-0390-41BB-8DFF-C4FE65B6709B}"/>
    <cellStyle name="Migliaia 39 4 6 8" xfId="53561" xr:uid="{F402E0C3-8C96-4181-B40F-F14A5E268494}"/>
    <cellStyle name="Migliaia 39 4 7" xfId="20559" xr:uid="{C0CB2690-351F-48E0-BBAF-8910B1394D6B}"/>
    <cellStyle name="Migliaia 39 4 7 2" xfId="34009" xr:uid="{CA6EC07F-0D32-4564-8887-0184F828DAF3}"/>
    <cellStyle name="Migliaia 39 4 7 2 2" xfId="39552" xr:uid="{851893B4-54FA-4EC1-B3FD-A17C969F3388}"/>
    <cellStyle name="Migliaia 39 4 7 2 3" xfId="44854" xr:uid="{F772A7A2-D1E1-4F41-8E34-3A794C4756EE}"/>
    <cellStyle name="Migliaia 39 4 7 3" xfId="36958" xr:uid="{6F7877A2-CC1A-4001-BA38-830E1518F47C}"/>
    <cellStyle name="Migliaia 39 4 7 4" xfId="42203" xr:uid="{BE784AA9-197F-4227-9796-B8A1F0EEC630}"/>
    <cellStyle name="Migliaia 39 4 7 5" xfId="24912" xr:uid="{87B964DC-DB51-4FCE-878E-B1DFBAC70B1B}"/>
    <cellStyle name="Migliaia 39 4 8" xfId="24904" xr:uid="{2CA02159-5933-4D0C-A79A-3AAED85B46EC}"/>
    <cellStyle name="Migliaia 39 4 9" xfId="7486" xr:uid="{6DE8DA73-D092-4676-9C89-FF7C2203DD49}"/>
    <cellStyle name="Migliaia 39 5" xfId="1820" xr:uid="{00000000-0005-0000-0000-0000E7030000}"/>
    <cellStyle name="Migliaia 39 5 2" xfId="5354" xr:uid="{7059AAB9-9D25-4306-96C5-212CAF7DC14C}"/>
    <cellStyle name="Migliaia 39 5 2 2" xfId="18460" xr:uid="{149A80DE-F1FC-49A2-BB87-C6581038EAA4}"/>
    <cellStyle name="Migliaia 39 5 2 2 2" xfId="39553" xr:uid="{13E927E4-E249-4E63-AB94-4EBADB988BAF}"/>
    <cellStyle name="Migliaia 39 5 2 2 3" xfId="44855" xr:uid="{551A1367-C137-418E-A54B-9A7ED3990345}"/>
    <cellStyle name="Migliaia 39 5 2 3" xfId="20562" xr:uid="{C5DE9C5A-85AC-4D1D-A3C2-5C9EF16757A2}"/>
    <cellStyle name="Migliaia 39 5 2 3 2" xfId="36959" xr:uid="{C8C773D8-93B2-4CA4-9168-45ECAD1EBAB1}"/>
    <cellStyle name="Migliaia 39 5 2 4" xfId="42204" xr:uid="{4D5EB3D9-7973-4534-8D28-0E8C5F61A894}"/>
    <cellStyle name="Migliaia 39 5 2 5" xfId="16518" xr:uid="{5A2A6B34-5B48-4EA1-98EB-7B44B7924FFB}"/>
    <cellStyle name="Migliaia 39 5 2 6" xfId="8677" xr:uid="{2C0ACD1D-00B0-4C2C-9DA3-61EEDF21C352}"/>
    <cellStyle name="Migliaia 39 5 3" xfId="6545" xr:uid="{EEA491A8-2E86-49F3-8450-C8E8BD0AF943}"/>
    <cellStyle name="Migliaia 39 5 3 2" xfId="34011" xr:uid="{C1708F7F-E714-48C0-B2F1-FF1A7FFC00EE}"/>
    <cellStyle name="Migliaia 39 5 3 2 2" xfId="39554" xr:uid="{ED4F4B91-80C7-4950-A29C-57D195EEF46C}"/>
    <cellStyle name="Migliaia 39 5 3 2 3" xfId="44856" xr:uid="{B77C2280-F033-4C3E-A9BD-A6AF2BDC5DB0}"/>
    <cellStyle name="Migliaia 39 5 3 3" xfId="36960" xr:uid="{19FF57B0-F0CE-4B35-AD3A-AC167FEA40B1}"/>
    <cellStyle name="Migliaia 39 5 3 4" xfId="42205" xr:uid="{AA542EFE-B409-40C3-9CDE-D6F99A44040D}"/>
    <cellStyle name="Migliaia 39 5 3 5" xfId="11367" xr:uid="{C6A427F2-962F-492E-A341-9DF44FA74D8D}"/>
    <cellStyle name="Migliaia 39 5 4" xfId="3628" xr:uid="{C7FC68F3-DA80-4C35-B48E-E28C0AF5D606}"/>
    <cellStyle name="Migliaia 39 5 4 2" xfId="21532" xr:uid="{123CC7BD-4D04-4444-8C31-EC1494F33AB6}"/>
    <cellStyle name="Migliaia 39 5 4 2 2" xfId="39555" xr:uid="{BA85741D-82D8-4D82-9FC8-DEAFFB012BD8}"/>
    <cellStyle name="Migliaia 39 5 4 2 3" xfId="44857" xr:uid="{FA18F1D2-27A2-4B44-8430-584990E2A1CF}"/>
    <cellStyle name="Migliaia 39 5 4 2 4" xfId="34012" xr:uid="{880624D5-800F-4E8B-8962-CF17D3BC7FDE}"/>
    <cellStyle name="Migliaia 39 5 4 3" xfId="36961" xr:uid="{CF5B0F94-7374-4188-9108-311A8C1A40CD}"/>
    <cellStyle name="Migliaia 39 5 4 4" xfId="42206" xr:uid="{BF70F695-02D5-4ABC-A754-D7B76B3F75E8}"/>
    <cellStyle name="Migliaia 39 5 4 5" xfId="24915" xr:uid="{BF055DDA-F342-4116-971B-295D934122DE}"/>
    <cellStyle name="Migliaia 39 5 4 6" xfId="46255" xr:uid="{C6B1AFE2-6AD4-4919-A71D-C20681902E3C}"/>
    <cellStyle name="Migliaia 39 5 4 7" xfId="50547" xr:uid="{35F8CBE9-FD8C-4EFF-9F48-B8972741D9BD}"/>
    <cellStyle name="Migliaia 39 5 4 8" xfId="53563" xr:uid="{4CE59E45-418C-4BA4-9378-AC1C69E938EA}"/>
    <cellStyle name="Migliaia 39 5 4 9" xfId="10897" xr:uid="{146A709E-A4C9-49D0-9312-9DA328339AAD}"/>
    <cellStyle name="Migliaia 39 5 5" xfId="20561" xr:uid="{917BC2B3-926E-43C4-B439-9BCC625504A6}"/>
    <cellStyle name="Migliaia 39 5 5 2" xfId="34013" xr:uid="{717F87DB-07EF-4D63-96F1-8FBBA4F5374F}"/>
    <cellStyle name="Migliaia 39 5 5 2 2" xfId="39556" xr:uid="{B7F7BF57-236D-48E8-9A0D-5B5E9821784D}"/>
    <cellStyle name="Migliaia 39 5 5 2 3" xfId="44858" xr:uid="{2438ED2F-6E8F-4735-80A9-F162C04EDED6}"/>
    <cellStyle name="Migliaia 39 5 5 3" xfId="36962" xr:uid="{32878D1B-424A-4F51-8A8E-2794FBB2434E}"/>
    <cellStyle name="Migliaia 39 5 5 4" xfId="42207" xr:uid="{B8B49184-7480-43A2-BE05-CA3BDEAD8F36}"/>
    <cellStyle name="Migliaia 39 5 5 5" xfId="24916" xr:uid="{ABC2B91A-B897-44D5-845B-9D389D3F5DA0}"/>
    <cellStyle name="Migliaia 39 5 6" xfId="24917" xr:uid="{964709F2-BA42-4CE0-A9C2-CF56A9378BE7}"/>
    <cellStyle name="Migliaia 39 5 6 2" xfId="34014" xr:uid="{AF53AF96-897F-44FF-9BFA-7E1233947456}"/>
    <cellStyle name="Migliaia 39 5 6 2 2" xfId="39557" xr:uid="{7D8A9A95-3EC5-447E-BD19-F0E8B4BE4D39}"/>
    <cellStyle name="Migliaia 39 5 6 2 3" xfId="44859" xr:uid="{CFCEBD9D-C873-4BD9-8EF4-9C8819D93DB1}"/>
    <cellStyle name="Migliaia 39 5 6 3" xfId="36963" xr:uid="{E7979051-E936-4836-9043-C20DDFE2B485}"/>
    <cellStyle name="Migliaia 39 5 6 4" xfId="42208" xr:uid="{ABCFC529-BE46-4781-9B71-2C17549D6B9B}"/>
    <cellStyle name="Migliaia 39 5 7" xfId="24913" xr:uid="{2B48FD34-9F74-45F2-887C-68DB1D3ECE0A}"/>
    <cellStyle name="Migliaia 39 5 8" xfId="7487" xr:uid="{648FC253-3EE9-4486-947F-6F6948D52ECD}"/>
    <cellStyle name="Migliaia 39 6" xfId="3629" xr:uid="{2DF91330-6850-4732-A357-34177DCD4B1C}"/>
    <cellStyle name="Migliaia 39 6 2" xfId="5355" xr:uid="{642FEB35-DA3A-4D19-B555-22598D7C37AD}"/>
    <cellStyle name="Migliaia 39 6 2 2" xfId="9945" xr:uid="{387B8713-11CD-4A1E-9AE1-B1C787B36847}"/>
    <cellStyle name="Migliaia 39 6 2 3" xfId="18648" xr:uid="{B6CCF253-9386-40E8-A6AB-68949B6419D1}"/>
    <cellStyle name="Migliaia 39 6 2 4" xfId="20564" xr:uid="{80197F63-7EA5-4543-B208-79C2664858B0}"/>
    <cellStyle name="Migliaia 39 6 2 5" xfId="32398" xr:uid="{6EAEEDA1-2CF7-4BA6-AE55-79BD4E26A612}"/>
    <cellStyle name="Migliaia 39 6 2 6" xfId="16520" xr:uid="{BB438504-FCDA-4259-8936-B576532042DE}"/>
    <cellStyle name="Migliaia 39 6 2 7" xfId="8672" xr:uid="{856E902C-C145-4F0B-B486-DC57C9A47EF1}"/>
    <cellStyle name="Migliaia 39 6 3" xfId="6546" xr:uid="{837932BF-0207-40DD-8A1D-0E391398F323}"/>
    <cellStyle name="Migliaia 39 6 3 2" xfId="35351" xr:uid="{71C5CA33-642F-4F00-9DEB-35D01929316A}"/>
    <cellStyle name="Migliaia 39 6 3 2 2" xfId="40511" xr:uid="{AAA199CE-CAAF-4481-A28E-ECED2D079B5D}"/>
    <cellStyle name="Migliaia 39 6 3 2 3" xfId="45813" xr:uid="{659D21F1-FAFC-4742-AD92-156E0E8A50D9}"/>
    <cellStyle name="Migliaia 39 6 3 3" xfId="37860" xr:uid="{09085A1A-4C68-4692-9DA9-476571E1634E}"/>
    <cellStyle name="Migliaia 39 6 3 4" xfId="43162" xr:uid="{1CD66D07-B0AB-410D-9300-D9BFF7F272AA}"/>
    <cellStyle name="Migliaia 39 6 3 5" xfId="9708" xr:uid="{C30EE54E-4E8B-4880-B0FA-B379BA110C31}"/>
    <cellStyle name="Migliaia 39 6 4" xfId="20563" xr:uid="{A8A9E057-9319-4335-8F98-076680C72397}"/>
    <cellStyle name="Migliaia 39 6 4 2" xfId="39558" xr:uid="{2958291C-F758-4756-B236-DC407CE83AB4}"/>
    <cellStyle name="Migliaia 39 6 4 3" xfId="44860" xr:uid="{F987B816-516A-4727-A6E3-B34D8558C560}"/>
    <cellStyle name="Migliaia 39 6 4 4" xfId="34015" xr:uid="{73A91605-88FC-495A-98C4-492C18F58369}"/>
    <cellStyle name="Migliaia 39 6 5" xfId="36964" xr:uid="{F6102AB9-9FE7-4040-8E4F-AB1A04AD8378}"/>
    <cellStyle name="Migliaia 39 6 6" xfId="42209" xr:uid="{068AC0C8-DBCD-4046-8336-9AF53D99C99F}"/>
    <cellStyle name="Migliaia 39 6 7" xfId="16519" xr:uid="{04C26E5F-2985-43EB-A245-ED0D9ECD4727}"/>
    <cellStyle name="Migliaia 39 6 8" xfId="7482" xr:uid="{A17F5E17-D773-4275-9646-8322CE3B37D5}"/>
    <cellStyle name="Migliaia 39 7" xfId="3630" xr:uid="{82A18DBE-59BD-46DC-98DB-99D492101250}"/>
    <cellStyle name="Migliaia 39 7 2" xfId="5356" xr:uid="{DA87A8CF-90FB-4A7D-AD23-105EA91FA17A}"/>
    <cellStyle name="Migliaia 39 7 2 2" xfId="35352" xr:uid="{BEC030A8-4D18-4231-91A0-C32C37F99C49}"/>
    <cellStyle name="Migliaia 39 7 2 2 2" xfId="40512" xr:uid="{0E0AD2E7-F2BB-4E16-9AF0-B198D1DCC8AF}"/>
    <cellStyle name="Migliaia 39 7 2 2 3" xfId="45814" xr:uid="{AE95AA1C-DF59-4D32-A411-7258A53DE069}"/>
    <cellStyle name="Migliaia 39 7 2 3" xfId="37861" xr:uid="{3C8948DB-2C51-4DB8-A3B0-6808667174D5}"/>
    <cellStyle name="Migliaia 39 7 2 4" xfId="43163" xr:uid="{839B97BA-AA1B-43EC-8328-666DF0EB2393}"/>
    <cellStyle name="Migliaia 39 7 2 5" xfId="14275" xr:uid="{12A75E09-3D47-42FD-9942-0167A6C150E3}"/>
    <cellStyle name="Migliaia 39 7 3" xfId="6547" xr:uid="{0F867A8B-A7FE-487B-B26E-FCC82FE16BD7}"/>
    <cellStyle name="Migliaia 39 7 3 2" xfId="39559" xr:uid="{A75D98E2-9B2F-4325-8C44-913C569A15B2}"/>
    <cellStyle name="Migliaia 39 7 3 3" xfId="44861" xr:uid="{12151E66-5E80-40E6-B170-D8157BE44729}"/>
    <cellStyle name="Migliaia 39 7 3 4" xfId="34016" xr:uid="{049A42E8-7D0D-4D71-BF1B-42E9D778793A}"/>
    <cellStyle name="Migliaia 39 7 3 5" xfId="20565" xr:uid="{90117E44-DF07-495D-9F51-83D4C09A0534}"/>
    <cellStyle name="Migliaia 39 7 4" xfId="36965" xr:uid="{8E9CEB3E-B9AD-4CDA-9A5B-57B8E595DEA1}"/>
    <cellStyle name="Migliaia 39 7 5" xfId="42210" xr:uid="{BA7C80D4-4340-49AC-8CE2-5AB878D2689B}"/>
    <cellStyle name="Migliaia 39 7 6" xfId="16521" xr:uid="{A80DA12A-5D30-4F9A-AE76-ACC407C0601C}"/>
    <cellStyle name="Migliaia 39 7 7" xfId="8337" xr:uid="{11BFD40C-4975-402D-9117-BD044F07A0CB}"/>
    <cellStyle name="Migliaia 39 8" xfId="3631" xr:uid="{A2F0EDE6-0149-4EE1-A70E-AA7E987C56F9}"/>
    <cellStyle name="Migliaia 39 8 2" xfId="5357" xr:uid="{0AD2B88F-1264-482C-9648-81191E107CA2}"/>
    <cellStyle name="Migliaia 39 8 2 2" xfId="35353" xr:uid="{F4D8556C-B2C5-42B2-9F68-F0A898E44483}"/>
    <cellStyle name="Migliaia 39 8 2 2 2" xfId="40513" xr:uid="{8FDBEBD1-8EBE-4044-A29B-791446292DF5}"/>
    <cellStyle name="Migliaia 39 8 2 2 3" xfId="45815" xr:uid="{85AA7121-13EC-41AD-8D92-6442E70D0803}"/>
    <cellStyle name="Migliaia 39 8 2 3" xfId="37862" xr:uid="{85DE8175-4AA1-4D8B-B5CA-7B7840BDCF8A}"/>
    <cellStyle name="Migliaia 39 8 2 4" xfId="43164" xr:uid="{15599CD8-49FD-408F-9616-62698F499143}"/>
    <cellStyle name="Migliaia 39 8 2 5" xfId="13980" xr:uid="{3E1F3A79-01FC-477D-841C-0FB4A11D9CF9}"/>
    <cellStyle name="Migliaia 39 8 3" xfId="6548" xr:uid="{22BCE63F-6CC8-4055-ADFF-3ADDAEB822E7}"/>
    <cellStyle name="Migliaia 39 8 3 2" xfId="39560" xr:uid="{B8C6DF32-F706-4E88-85DC-3E8CC4546B14}"/>
    <cellStyle name="Migliaia 39 8 3 3" xfId="44862" xr:uid="{7C1B54BF-80F9-4C3B-B289-79643A49D065}"/>
    <cellStyle name="Migliaia 39 8 3 4" xfId="34017" xr:uid="{571BA963-EED5-49B3-9EB2-5EA562647D84}"/>
    <cellStyle name="Migliaia 39 8 3 5" xfId="20566" xr:uid="{23619E70-F5F4-4BCC-85C8-39D41472FB67}"/>
    <cellStyle name="Migliaia 39 8 4" xfId="36966" xr:uid="{010E339A-87F5-4723-91BC-A2B7E537AE29}"/>
    <cellStyle name="Migliaia 39 8 5" xfId="42211" xr:uid="{B2C67D41-45FA-43AB-898D-92406C0FA79A}"/>
    <cellStyle name="Migliaia 39 8 6" xfId="16522" xr:uid="{408E5172-9DF1-42EC-B5BE-A1AC65FAEA6A}"/>
    <cellStyle name="Migliaia 39 8 7" xfId="7950" xr:uid="{1AF03328-BA63-44AB-9DC3-568A9AE20D42}"/>
    <cellStyle name="Migliaia 39 9" xfId="5342" xr:uid="{E6D4DAFF-BA00-4F48-B80D-EF6E928434BE}"/>
    <cellStyle name="Migliaia 39 9 2" xfId="34018" xr:uid="{51763DFF-9273-4B66-859E-489D60479BCB}"/>
    <cellStyle name="Migliaia 39 9 2 2" xfId="39561" xr:uid="{DCE75DC5-DCC8-438F-A8FB-177B5EA6C517}"/>
    <cellStyle name="Migliaia 39 9 2 3" xfId="44863" xr:uid="{23D143BE-FD4B-4260-8210-FD3D81284AE5}"/>
    <cellStyle name="Migliaia 39 9 3" xfId="36967" xr:uid="{74223B91-4DEC-4570-9550-E1ED963835A7}"/>
    <cellStyle name="Migliaia 39 9 4" xfId="42212" xr:uid="{CFA851EC-438A-46A7-8700-EDBED71E256E}"/>
    <cellStyle name="Migliaia 39 9 5" xfId="17199" xr:uid="{9D046696-4DD5-4928-8657-91A3FD862588}"/>
    <cellStyle name="Migliaia 4" xfId="433" xr:uid="{00000000-0005-0000-0000-0000E8030000}"/>
    <cellStyle name="Migliaia 4 10" xfId="6549" xr:uid="{DB540070-4EF7-48DE-A8AD-946941EEDE68}"/>
    <cellStyle name="Migliaia 4 10 2" xfId="39562" xr:uid="{D2708D79-F514-417F-A280-EB0ACD156966}"/>
    <cellStyle name="Migliaia 4 10 3" xfId="44864" xr:uid="{604FB403-4614-49C5-8DD8-57AA8A640A91}"/>
    <cellStyle name="Migliaia 4 10 4" xfId="34019" xr:uid="{A71707B0-D5F1-4772-BBFE-E117929C7C9B}"/>
    <cellStyle name="Migliaia 4 10 5" xfId="20567" xr:uid="{1BF2F3DD-C91C-4DA9-BF4F-4DD1C94B873E}"/>
    <cellStyle name="Migliaia 4 11" xfId="3632" xr:uid="{C36E57AC-11D2-46E4-AB60-52C866218C4B}"/>
    <cellStyle name="Migliaia 4 11 2" xfId="36968" xr:uid="{94D8ECD5-FC5C-4B88-A01B-3DE832EE9A43}"/>
    <cellStyle name="Migliaia 4 12" xfId="42213" xr:uid="{0092C8C3-0AFA-4899-B5A9-295D776B9B8A}"/>
    <cellStyle name="Migliaia 4 13" xfId="7141" xr:uid="{5A6952B7-A356-465F-B157-77B984BFF7EE}"/>
    <cellStyle name="Migliaia 4 2" xfId="434" xr:uid="{00000000-0005-0000-0000-0000E9030000}"/>
    <cellStyle name="Migliaia 4 2 2" xfId="1821" xr:uid="{00000000-0005-0000-0000-0000EA030000}"/>
    <cellStyle name="Migliaia 4 2 2 2" xfId="5360" xr:uid="{76765C3C-1981-4C1C-97B3-17F46F0C3222}"/>
    <cellStyle name="Migliaia 4 2 2 2 2" xfId="14396" xr:uid="{8929BF24-07F1-49DC-BBDA-F0E90C3337F7}"/>
    <cellStyle name="Migliaia 4 2 2 2 2 2" xfId="39563" xr:uid="{A55996E7-9E56-4FA0-989F-85EAF06C7DE9}"/>
    <cellStyle name="Migliaia 4 2 2 2 2 3" xfId="44865" xr:uid="{5BDC5C03-EA0A-4857-8CDB-D698A75A9A07}"/>
    <cellStyle name="Migliaia 4 2 2 2 3" xfId="18461" xr:uid="{CE08D9BC-EC67-4DAE-9F39-D48652D19E9F}"/>
    <cellStyle name="Migliaia 4 2 2 2 4" xfId="20570" xr:uid="{1B0FC064-3F0E-491A-9923-C38ADE8AA107}"/>
    <cellStyle name="Migliaia 4 2 2 2 4 2" xfId="42214" xr:uid="{962E0D17-97A4-4F1F-8E43-4D4BEA00E23F}"/>
    <cellStyle name="Migliaia 4 2 2 2 5" xfId="16523" xr:uid="{ECDEDC01-2C26-44C0-97E8-85C89D393ECF}"/>
    <cellStyle name="Migliaia 4 2 2 2 6" xfId="8679" xr:uid="{6A7585A2-30D1-4883-8A69-AE043D809EA4}"/>
    <cellStyle name="Migliaia 4 2 2 3" xfId="6551" xr:uid="{E4E3D661-6755-49EF-9FCD-D076E10CBF93}"/>
    <cellStyle name="Migliaia 4 2 2 3 2" xfId="35354" xr:uid="{FD4ABA22-B9D1-4784-847F-31351E264B21}"/>
    <cellStyle name="Migliaia 4 2 2 3 2 2" xfId="40514" xr:uid="{54A2E82A-5FF1-4550-8B6D-E2B536535072}"/>
    <cellStyle name="Migliaia 4 2 2 3 2 3" xfId="45816" xr:uid="{BAD5BE37-7E91-48FA-907B-4ECE2E2799DF}"/>
    <cellStyle name="Migliaia 4 2 2 3 3" xfId="37863" xr:uid="{AA691E95-7489-4702-9513-55C882B0D203}"/>
    <cellStyle name="Migliaia 4 2 2 3 4" xfId="43165" xr:uid="{38D5B556-FF62-44EA-8122-9DD6E6A6B9CA}"/>
    <cellStyle name="Migliaia 4 2 2 3 5" xfId="11623" xr:uid="{7F0B7A18-5C90-42F4-AF89-D6CBFA3DC851}"/>
    <cellStyle name="Migliaia 4 2 2 4" xfId="3634" xr:uid="{43A942F3-EA15-4179-9350-7A3D01F04B89}"/>
    <cellStyle name="Migliaia 4 2 2 4 2" xfId="21533" xr:uid="{6B7963BB-0A2F-42E0-A689-5928554A48D1}"/>
    <cellStyle name="Migliaia 4 2 2 4 3" xfId="32297" xr:uid="{FBCC89FC-A132-4C8C-ACAD-AC40716FD256}"/>
    <cellStyle name="Migliaia 4 2 2 4 4" xfId="50548" xr:uid="{9885ED8D-7E68-43BD-B0DD-742ED2390B84}"/>
    <cellStyle name="Migliaia 4 2 2 4 5" xfId="53564" xr:uid="{4A5DDAD4-8678-404B-9D62-094BED4A51D8}"/>
    <cellStyle name="Migliaia 4 2 2 4 6" xfId="10898" xr:uid="{952256CD-A1E1-4868-8660-B9669EB52F57}"/>
    <cellStyle name="Migliaia 4 2 2 5" xfId="20569" xr:uid="{DF098DC7-23FA-4A9A-AB3B-6CEADBBC26E9}"/>
    <cellStyle name="Migliaia 4 2 2 6" xfId="24924" xr:uid="{FCC49594-4FB4-4C9B-A628-27802751C64C}"/>
    <cellStyle name="Migliaia 4 2 2 7" xfId="7489" xr:uid="{86EFA997-82F2-42BB-AB11-FF15F204BD14}"/>
    <cellStyle name="Migliaia 4 2 3" xfId="3635" xr:uid="{F7E57930-5846-43E6-B8DE-8AD9898220B1}"/>
    <cellStyle name="Migliaia 4 2 3 2" xfId="5361" xr:uid="{36A04C13-DB88-48A6-B93F-8DEEA38D88CD}"/>
    <cellStyle name="Migliaia 4 2 3 2 2" xfId="35355" xr:uid="{2A52EA7E-B279-4E8F-8D7D-9FB2C0098A63}"/>
    <cellStyle name="Migliaia 4 2 3 2 2 2" xfId="40515" xr:uid="{9630A37C-F318-4A60-A553-9CD4F0972BFB}"/>
    <cellStyle name="Migliaia 4 2 3 2 2 3" xfId="45817" xr:uid="{84B28D83-42A9-4964-B591-C33DFBD5E821}"/>
    <cellStyle name="Migliaia 4 2 3 2 3" xfId="37864" xr:uid="{695636CD-B706-46E6-9F90-96FD1BD522A1}"/>
    <cellStyle name="Migliaia 4 2 3 2 4" xfId="43166" xr:uid="{BE3816C2-DC07-4E4B-BA07-2577E4851207}"/>
    <cellStyle name="Migliaia 4 2 3 2 5" xfId="14279" xr:uid="{E093660E-E65D-41A9-BFC0-1D351F6CE225}"/>
    <cellStyle name="Migliaia 4 2 3 3" xfId="6552" xr:uid="{9E4ED60E-1A9C-4BDF-8CAA-A9C9203A586D}"/>
    <cellStyle name="Migliaia 4 2 3 3 2" xfId="39564" xr:uid="{1CE1A29F-CC36-4473-809B-F7A92A6EFF28}"/>
    <cellStyle name="Migliaia 4 2 3 3 3" xfId="44866" xr:uid="{74B01060-35C9-4106-AE9F-0B41F9053EE0}"/>
    <cellStyle name="Migliaia 4 2 3 3 4" xfId="34021" xr:uid="{692A0E3C-8CE4-4053-958C-713C90334556}"/>
    <cellStyle name="Migliaia 4 2 3 3 5" xfId="20571" xr:uid="{0268FB34-E835-4CBB-93D6-40CE9090D5D0}"/>
    <cellStyle name="Migliaia 4 2 3 4" xfId="36970" xr:uid="{2C34B115-CBF8-440A-A497-51EF7D0A6C7B}"/>
    <cellStyle name="Migliaia 4 2 3 5" xfId="42215" xr:uid="{851857B2-9B4A-47BA-9705-EFC1C3561AE8}"/>
    <cellStyle name="Migliaia 4 2 3 6" xfId="16524" xr:uid="{E29F9012-4BB2-4EF3-845B-1CD39C5217FC}"/>
    <cellStyle name="Migliaia 4 2 3 7" xfId="8341" xr:uid="{2E7EBC5F-A23B-45E5-B2EE-99A8C0531A1B}"/>
    <cellStyle name="Migliaia 4 2 4" xfId="5359" xr:uid="{E38673E1-7937-48EF-8B19-67D42262D4FE}"/>
    <cellStyle name="Migliaia 4 2 4 2" xfId="13984" xr:uid="{89D98156-A9FC-4BDF-9407-06E988215D76}"/>
    <cellStyle name="Migliaia 4 2 4 2 2" xfId="39565" xr:uid="{22DA724F-2766-444F-8D9C-2AA9A16E3F95}"/>
    <cellStyle name="Migliaia 4 2 4 2 3" xfId="44867" xr:uid="{AC55D3C4-3F57-46ED-900B-5332618C9010}"/>
    <cellStyle name="Migliaia 4 2 4 3" xfId="18703" xr:uid="{5465AF22-5B6B-4CBC-ACB4-42AC61FFCAC0}"/>
    <cellStyle name="Migliaia 4 2 4 4" xfId="20572" xr:uid="{4A7310D2-ABE4-4EB2-BE45-77DC5EDD7B96}"/>
    <cellStyle name="Migliaia 4 2 4 4 2" xfId="42216" xr:uid="{C1AF2B96-F906-453D-83F0-05C841B30BD9}"/>
    <cellStyle name="Migliaia 4 2 4 5" xfId="16525" xr:uid="{427D5630-98D2-41F0-9EE5-CCFE6BE38FDB}"/>
    <cellStyle name="Migliaia 4 2 4 6" xfId="7955" xr:uid="{6910115A-F89B-4AA3-9EEC-455391C5FCA5}"/>
    <cellStyle name="Migliaia 4 2 5" xfId="6550" xr:uid="{DE1383EE-94CE-4B8F-818C-312F4599F16F}"/>
    <cellStyle name="Migliaia 4 2 5 2" xfId="34023" xr:uid="{A3FE7C9C-994F-4449-BC98-7472A7CC73BC}"/>
    <cellStyle name="Migliaia 4 2 5 2 2" xfId="39566" xr:uid="{27D792CC-D518-4997-BDF0-2F4F8163F614}"/>
    <cellStyle name="Migliaia 4 2 5 2 3" xfId="44868" xr:uid="{E746F8F9-F459-431C-8835-4D1BFE02F782}"/>
    <cellStyle name="Migliaia 4 2 5 3" xfId="36972" xr:uid="{BC0068B3-8392-4F76-A154-ECC5E8FD82DB}"/>
    <cellStyle name="Migliaia 4 2 5 4" xfId="42217" xr:uid="{C8FE7842-6F38-400F-9866-D9A06EA1A537}"/>
    <cellStyle name="Migliaia 4 2 5 5" xfId="13136" xr:uid="{51F81A8C-A8BB-449D-BB75-C57A6F41A34A}"/>
    <cellStyle name="Migliaia 4 2 6" xfId="3633" xr:uid="{6832B15A-A782-41F5-905D-87979449EA21}"/>
    <cellStyle name="Migliaia 4 2 6 2" xfId="34024" xr:uid="{162E9E20-7721-4D81-8217-ED34760B013A}"/>
    <cellStyle name="Migliaia 4 2 6 2 2" xfId="39567" xr:uid="{62FCB0C5-BFB5-456B-9B20-FDE4EEB3BEBE}"/>
    <cellStyle name="Migliaia 4 2 6 2 3" xfId="44869" xr:uid="{4A9296D4-930E-48B6-A5C7-083532283F8B}"/>
    <cellStyle name="Migliaia 4 2 6 3" xfId="36973" xr:uid="{D58618C3-55EB-41C5-8C02-866822F3A6A1}"/>
    <cellStyle name="Migliaia 4 2 6 4" xfId="42218" xr:uid="{75A7A927-E4CC-4F2C-8B76-95CD9BAEE89C}"/>
    <cellStyle name="Migliaia 4 2 6 5" xfId="24928" xr:uid="{46AB8F3E-8DDA-4556-B063-DBDCA7AEC820}"/>
    <cellStyle name="Migliaia 4 2 6 6" xfId="20568" xr:uid="{2DC5669A-A766-4E87-A7E6-F1874D5D960E}"/>
    <cellStyle name="Migliaia 4 2 7" xfId="24923" xr:uid="{C00714E2-324E-4CB2-AC44-A2658A5FE018}"/>
    <cellStyle name="Migliaia 4 2 8" xfId="7142" xr:uid="{022E1762-20CF-4B22-B7D8-9988893E859A}"/>
    <cellStyle name="Migliaia 4 3" xfId="435" xr:uid="{00000000-0005-0000-0000-0000EB030000}"/>
    <cellStyle name="Migliaia 4 3 10" xfId="24929" xr:uid="{3843D638-F1F8-40DC-BE61-58DE5D8D1C6A}"/>
    <cellStyle name="Migliaia 4 3 11" xfId="16526" xr:uid="{63AA3807-68A7-406A-A297-D0E573524CF8}"/>
    <cellStyle name="Migliaia 4 3 12" xfId="7143" xr:uid="{7F4B1077-3739-4E57-8B85-AAD43705A6FD}"/>
    <cellStyle name="Migliaia 4 3 2" xfId="436" xr:uid="{00000000-0005-0000-0000-0000EC030000}"/>
    <cellStyle name="Migliaia 4 3 2 2" xfId="1822" xr:uid="{00000000-0005-0000-0000-0000ED030000}"/>
    <cellStyle name="Migliaia 4 3 2 2 2" xfId="5364" xr:uid="{25E452A3-3B9C-4355-8D98-DD87FCFA4FE1}"/>
    <cellStyle name="Migliaia 4 3 2 2 2 2" xfId="18462" xr:uid="{8848A93C-C58F-4DE8-942B-791F160B320D}"/>
    <cellStyle name="Migliaia 4 3 2 2 2 2 2" xfId="21874" xr:uid="{8E696A4D-3BFA-42D6-A3B2-7B0380E98BD1}"/>
    <cellStyle name="Migliaia 4 3 2 2 2 2 2 2" xfId="39568" xr:uid="{46280DD1-8832-40CE-A7E6-A6B8A74A0453}"/>
    <cellStyle name="Migliaia 4 3 2 2 2 2 3" xfId="44870" xr:uid="{4896D924-E44D-4A15-A37C-74FAAF193E2C}"/>
    <cellStyle name="Migliaia 4 3 2 2 2 2 4" xfId="34025" xr:uid="{A9DE0449-94C7-4BA8-8055-3AE88D863CF2}"/>
    <cellStyle name="Migliaia 4 3 2 2 2 3" xfId="36974" xr:uid="{2B22D150-6F08-4596-9EB0-849DF4F683B9}"/>
    <cellStyle name="Migliaia 4 3 2 2 2 4" xfId="42219" xr:uid="{30994076-DFA4-428E-AD2F-AA2696BA7DAE}"/>
    <cellStyle name="Migliaia 4 3 2 2 2 5" xfId="47077" xr:uid="{A7EEC294-4380-4F32-B501-A4E895609912}"/>
    <cellStyle name="Migliaia 4 3 2 2 2 6" xfId="50902" xr:uid="{8FA62D2D-9DEB-4A44-BDDF-8C1DF0DE8BDE}"/>
    <cellStyle name="Migliaia 4 3 2 2 2 7" xfId="53918" xr:uid="{6FBDC66D-1214-4B04-9F98-14F801335019}"/>
    <cellStyle name="Migliaia 4 3 2 2 2 8" xfId="17672" xr:uid="{C014CCC7-666B-4AFA-B7C2-2FC612FFD601}"/>
    <cellStyle name="Migliaia 4 3 2 2 2 9" xfId="12019" xr:uid="{0F1EBFA7-3D21-42A3-80D8-0E34463CB6B2}"/>
    <cellStyle name="Migliaia 4 3 2 2 3" xfId="6555" xr:uid="{29E95BFE-1ACC-4CEC-96F9-40C385B695CD}"/>
    <cellStyle name="Migliaia 4 3 2 2 3 2" xfId="11140" xr:uid="{2E0261E5-2181-4997-9E1D-653A04854D3A}"/>
    <cellStyle name="Migliaia 4 3 2 2 4" xfId="3638" xr:uid="{AB48C4E7-AA3F-46EB-892F-F1915196FE97}"/>
    <cellStyle name="Migliaia 4 3 2 2 4 2" xfId="21534" xr:uid="{B46E015F-F9B9-4689-B3D2-27458E3D8434}"/>
    <cellStyle name="Migliaia 4 3 2 2 4 3" xfId="46256" xr:uid="{05C60CF1-2EB7-4790-BBC8-0A6FB604C308}"/>
    <cellStyle name="Migliaia 4 3 2 2 4 4" xfId="50549" xr:uid="{4D3234BA-3698-4D34-8BC8-152A68E64336}"/>
    <cellStyle name="Migliaia 4 3 2 2 4 5" xfId="53565" xr:uid="{363163DE-6B31-47D2-B95A-43D15FAB2DDD}"/>
    <cellStyle name="Migliaia 4 3 2 2 4 6" xfId="10899" xr:uid="{903EC674-6DE6-4431-9B86-136F183AEA94}"/>
    <cellStyle name="Migliaia 4 3 2 2 5" xfId="20575" xr:uid="{B59F5069-2E16-4ACE-BE2B-0359021A0E09}"/>
    <cellStyle name="Migliaia 4 3 2 2 6" xfId="24931" xr:uid="{CB491A96-DFB8-4E84-A138-4B90ADA2F54F}"/>
    <cellStyle name="Migliaia 4 3 2 2 7" xfId="8681" xr:uid="{F9D15335-FF81-4FC5-903E-0E8E4730EF97}"/>
    <cellStyle name="Migliaia 4 3 2 3" xfId="5363" xr:uid="{D086087F-CD5A-4557-AC3A-36ADED505D28}"/>
    <cellStyle name="Migliaia 4 3 2 3 2" xfId="11106" xr:uid="{5B39951B-EB35-4369-BB58-4460B8AE16C5}"/>
    <cellStyle name="Migliaia 4 3 2 3 2 2" xfId="39569" xr:uid="{CD70F68B-D50B-4E07-9DEE-CF98F7DEA476}"/>
    <cellStyle name="Migliaia 4 3 2 3 2 3" xfId="44871" xr:uid="{F813B4A2-252E-4130-B67C-10BD9B338CD7}"/>
    <cellStyle name="Migliaia 4 3 2 3 2 4" xfId="34026" xr:uid="{791991A0-569E-44E4-B0D3-A29B24837ADC}"/>
    <cellStyle name="Migliaia 4 3 2 3 3" xfId="12020" xr:uid="{17CCDCF0-25E6-49DE-A538-5BF0E24CFFDC}"/>
    <cellStyle name="Migliaia 4 3 2 3 4" xfId="20576" xr:uid="{94C54D21-5D6E-4A7A-8A8D-6FA739E6B316}"/>
    <cellStyle name="Migliaia 4 3 2 3 4 2" xfId="42220" xr:uid="{F7736415-6ED9-4C29-91FB-DB054DA8A143}"/>
    <cellStyle name="Migliaia 4 3 2 3 5" xfId="16527" xr:uid="{9BD9B504-CFAA-4C4F-863A-B0F978C26C9A}"/>
    <cellStyle name="Migliaia 4 3 2 3 6" xfId="7957" xr:uid="{F4575712-2E92-4759-8C42-98D55EF80B2D}"/>
    <cellStyle name="Migliaia 4 3 2 4" xfId="6554" xr:uid="{AEE7FDB2-2C73-48F7-85E1-2BB93D89D385}"/>
    <cellStyle name="Migliaia 4 3 2 4 2" xfId="18090" xr:uid="{83752B35-BDEF-4666-83C2-122BA91E646B}"/>
    <cellStyle name="Migliaia 4 3 2 4 2 2" xfId="39570" xr:uid="{2364D572-FD72-4429-BDBB-F8B0322CE405}"/>
    <cellStyle name="Migliaia 4 3 2 4 2 3" xfId="44872" xr:uid="{0E034DF0-3227-4DDC-9519-5A399A80988D}"/>
    <cellStyle name="Migliaia 4 3 2 4 3" xfId="36976" xr:uid="{AF3CD104-30AA-4D63-A673-744149B042B1}"/>
    <cellStyle name="Migliaia 4 3 2 4 4" xfId="42221" xr:uid="{C8B183E7-20B2-4378-BDC0-07FE48500E39}"/>
    <cellStyle name="Migliaia 4 3 2 4 5" xfId="17202" xr:uid="{176EE5A3-70DC-4F6E-9D34-97C2EDDE6503}"/>
    <cellStyle name="Migliaia 4 3 2 4 6" xfId="11368" xr:uid="{C9531B89-67EA-46BB-BB7C-D03975CDB15B}"/>
    <cellStyle name="Migliaia 4 3 2 5" xfId="3637" xr:uid="{774A102B-68E8-4C44-80FF-05E09A4A2734}"/>
    <cellStyle name="Migliaia 4 3 2 5 2" xfId="34028" xr:uid="{DE3B779C-C6B5-48CA-922C-FEFEA5F8EF1A}"/>
    <cellStyle name="Migliaia 4 3 2 5 2 2" xfId="39571" xr:uid="{A4635BA2-355E-4310-ADA0-3749EB0C7401}"/>
    <cellStyle name="Migliaia 4 3 2 5 2 3" xfId="44873" xr:uid="{9237FFD7-22A1-42FE-B2B8-5802B7904CF4}"/>
    <cellStyle name="Migliaia 4 3 2 5 3" xfId="36977" xr:uid="{DC87D592-E889-430C-9E45-79085D12BE59}"/>
    <cellStyle name="Migliaia 4 3 2 5 4" xfId="42222" xr:uid="{F970A323-234A-45F4-A59E-DC955C3B45D4}"/>
    <cellStyle name="Migliaia 4 3 2 5 5" xfId="17327" xr:uid="{3FFB2BBE-9DA8-45BD-BC44-AA7F37EAF666}"/>
    <cellStyle name="Migliaia 4 3 2 6" xfId="20574" xr:uid="{886D7817-6F2A-48D0-9EF1-41A101057F95}"/>
    <cellStyle name="Migliaia 4 3 2 6 2" xfId="34029" xr:uid="{1279C7DF-8454-43F5-8308-E2AEC4257AFA}"/>
    <cellStyle name="Migliaia 4 3 2 6 2 2" xfId="39572" xr:uid="{2D0BC3F3-D423-4DAD-9F45-BD957D935002}"/>
    <cellStyle name="Migliaia 4 3 2 6 2 3" xfId="44874" xr:uid="{80E100C9-C12A-4E3C-85A4-01F9B34A9E73}"/>
    <cellStyle name="Migliaia 4 3 2 6 3" xfId="36978" xr:uid="{A9C2E821-3C5F-4E25-BD8E-4AF65D491597}"/>
    <cellStyle name="Migliaia 4 3 2 6 4" xfId="42223" xr:uid="{4743FF33-217B-40E5-A83B-6317DE4B53CB}"/>
    <cellStyle name="Migliaia 4 3 2 6 5" xfId="24936" xr:uid="{8B699951-70BA-46B0-A14E-825D7CB0A9BC}"/>
    <cellStyle name="Migliaia 4 3 2 7" xfId="24930" xr:uid="{E04CE2AF-86BC-42A4-BCB1-8A35AC9E3A29}"/>
    <cellStyle name="Migliaia 4 3 2 8" xfId="7491" xr:uid="{AEE93DA5-1050-4A30-9FAA-A0FFF160C37B}"/>
    <cellStyle name="Migliaia 4 3 3" xfId="3639" xr:uid="{C4F61EC8-F582-4632-A73E-E51258D72703}"/>
    <cellStyle name="Migliaia 4 3 3 10" xfId="7490" xr:uid="{B0E6D4C6-6BCB-4AAA-B161-248EEFCF1138}"/>
    <cellStyle name="Migliaia 4 3 3 2" xfId="5365" xr:uid="{CDC579E7-863B-43D4-8CF8-79DBB15CD936}"/>
    <cellStyle name="Migliaia 4 3 3 2 2" xfId="9948" xr:uid="{3B7EE5D0-0A47-4776-B94F-5667AAD01E8F}"/>
    <cellStyle name="Migliaia 4 3 3 2 2 2" xfId="39574" xr:uid="{25177448-773C-4EB9-89CF-D6122FAC6070}"/>
    <cellStyle name="Migliaia 4 3 3 2 2 3" xfId="44876" xr:uid="{0417A4A9-DF3C-4B3E-99DD-984F974741A1}"/>
    <cellStyle name="Migliaia 4 3 3 2 3" xfId="18228" xr:uid="{3B1A4B3C-35A7-483C-AEEC-ED89616F4687}"/>
    <cellStyle name="Migliaia 4 3 3 2 4" xfId="20578" xr:uid="{45E0265A-B3FF-4B11-ACEF-81BA36C4BC32}"/>
    <cellStyle name="Migliaia 4 3 3 2 4 2" xfId="42225" xr:uid="{E4F561D0-4356-4DF8-ADBD-54B2D19B044F}"/>
    <cellStyle name="Migliaia 4 3 3 2 5" xfId="16529" xr:uid="{EC601D55-992B-454E-B4C3-80A35020E2C5}"/>
    <cellStyle name="Migliaia 4 3 3 2 6" xfId="8680" xr:uid="{03026B3E-E62C-4710-BBD1-F076511354F6}"/>
    <cellStyle name="Migliaia 4 3 3 3" xfId="6556" xr:uid="{51A59EB4-55BD-49CC-BCD1-67E815F6EFE6}"/>
    <cellStyle name="Migliaia 4 3 3 3 2" xfId="34032" xr:uid="{4EC25BCF-50BE-48A9-A650-5AAF6A4C3803}"/>
    <cellStyle name="Migliaia 4 3 3 3 2 2" xfId="39575" xr:uid="{A9534F89-B318-43A4-9B0B-FD3DD0082F99}"/>
    <cellStyle name="Migliaia 4 3 3 3 2 3" xfId="44877" xr:uid="{F730985D-37E4-48CE-B668-F8C10E4253FB}"/>
    <cellStyle name="Migliaia 4 3 3 3 3" xfId="36981" xr:uid="{96A5193E-148D-40FF-B4E4-49403D97C066}"/>
    <cellStyle name="Migliaia 4 3 3 3 4" xfId="42226" xr:uid="{D975E420-A041-4307-8525-F6D2FAA470E4}"/>
    <cellStyle name="Migliaia 4 3 3 3 5" xfId="9711" xr:uid="{D56218E9-81A6-4B9D-AE39-61ECFC055202}"/>
    <cellStyle name="Migliaia 4 3 3 4" xfId="20577" xr:uid="{734CE600-5C78-4F01-BE4D-CFE4D272979C}"/>
    <cellStyle name="Migliaia 4 3 3 4 2" xfId="34033" xr:uid="{28976844-DCD2-4111-A062-3ED98036064D}"/>
    <cellStyle name="Migliaia 4 3 3 4 2 2" xfId="39576" xr:uid="{41C3A809-69ED-4E13-AD99-1EC109662BEE}"/>
    <cellStyle name="Migliaia 4 3 3 4 2 3" xfId="44878" xr:uid="{FE867912-E0F4-4A0C-8A49-5B72209BF989}"/>
    <cellStyle name="Migliaia 4 3 3 4 3" xfId="36982" xr:uid="{5C28F7F2-3F7B-41AD-91FC-8C99F037FAD0}"/>
    <cellStyle name="Migliaia 4 3 3 4 4" xfId="42227" xr:uid="{F619E393-6BAC-4CB5-9E2E-36A98ED5E234}"/>
    <cellStyle name="Migliaia 4 3 3 4 5" xfId="24940" xr:uid="{58D3E28D-EAF0-4792-AFFF-4575C0BF4FB8}"/>
    <cellStyle name="Migliaia 4 3 3 5" xfId="24941" xr:uid="{BE168DA0-BA56-4DA5-9808-80C0E6F4B17B}"/>
    <cellStyle name="Migliaia 4 3 3 5 2" xfId="34034" xr:uid="{33E15E2F-F3F3-4B65-883B-C35032792348}"/>
    <cellStyle name="Migliaia 4 3 3 5 2 2" xfId="39577" xr:uid="{CE7B87DA-0D5D-401B-9AD1-F432394E044D}"/>
    <cellStyle name="Migliaia 4 3 3 5 2 3" xfId="44879" xr:uid="{96AC4F55-E963-4513-98B2-2A0DF3078216}"/>
    <cellStyle name="Migliaia 4 3 3 5 3" xfId="36983" xr:uid="{F0EA5557-CDEE-4BEE-9137-9B1C2EFD9F49}"/>
    <cellStyle name="Migliaia 4 3 3 5 4" xfId="42228" xr:uid="{CB647618-1877-46DE-924B-06DB6CE371F0}"/>
    <cellStyle name="Migliaia 4 3 3 6" xfId="34030" xr:uid="{F4397DC5-186D-4E34-A5A9-3B97B97B6789}"/>
    <cellStyle name="Migliaia 4 3 3 6 2" xfId="39573" xr:uid="{89C79B57-B07F-42FD-A355-DE9887899A2B}"/>
    <cellStyle name="Migliaia 4 3 3 6 3" xfId="44875" xr:uid="{518617BB-E961-4D2A-B498-DD6951533D86}"/>
    <cellStyle name="Migliaia 4 3 3 7" xfId="36979" xr:uid="{F81C0AE3-2720-4A35-B029-FEC437C55656}"/>
    <cellStyle name="Migliaia 4 3 3 8" xfId="42224" xr:uid="{BACB0650-06EB-4C29-9BC4-BEA759F3DFA0}"/>
    <cellStyle name="Migliaia 4 3 3 9" xfId="16528" xr:uid="{BABCF931-CF73-4635-8E83-183AF9883DAB}"/>
    <cellStyle name="Migliaia 4 3 4" xfId="3640" xr:uid="{18F38CBC-8BCC-4922-890F-12040E12BF7E}"/>
    <cellStyle name="Migliaia 4 3 4 2" xfId="5366" xr:uid="{E67CFD34-9BCD-49EE-8DD6-7B035553830D}"/>
    <cellStyle name="Migliaia 4 3 4 2 2" xfId="14456" xr:uid="{78D105C2-AD9A-4F14-B027-B2C5FC7186D0}"/>
    <cellStyle name="Migliaia 4 3 4 2 3" xfId="18580" xr:uid="{6DC025C6-05AD-4AF9-8CA5-1E1CE4D3609A}"/>
    <cellStyle name="Migliaia 4 3 4 2 4" xfId="20580" xr:uid="{716102DD-C482-4257-BAE0-23B2038FFED9}"/>
    <cellStyle name="Migliaia 4 3 4 2 5" xfId="32404" xr:uid="{12DAD57C-6559-4AFE-BE9B-E91D1C451D5C}"/>
    <cellStyle name="Migliaia 4 3 4 2 6" xfId="16531" xr:uid="{54220C00-8878-4FFE-8135-F666CA3DCE1A}"/>
    <cellStyle name="Migliaia 4 3 4 2 7" xfId="8879" xr:uid="{AC13CB7A-0794-4E7F-9334-C8CD1CEE4427}"/>
    <cellStyle name="Migliaia 4 3 4 3" xfId="6557" xr:uid="{631E5F87-6761-4E87-A9D6-8B080FBB88B3}"/>
    <cellStyle name="Migliaia 4 3 4 3 2" xfId="35356" xr:uid="{3B734706-343D-49D8-B4B9-684B9FC12EE5}"/>
    <cellStyle name="Migliaia 4 3 4 3 2 2" xfId="40516" xr:uid="{D2013CC7-FF87-4DAE-B71F-E57C5B76A110}"/>
    <cellStyle name="Migliaia 4 3 4 3 2 3" xfId="45818" xr:uid="{139E4A9C-8772-4937-98FA-FCC15D7DD1F5}"/>
    <cellStyle name="Migliaia 4 3 4 3 3" xfId="37865" xr:uid="{57452563-1FDE-4FB7-857D-EA4AD9F7A152}"/>
    <cellStyle name="Migliaia 4 3 4 3 4" xfId="43167" xr:uid="{1A3208AD-95CC-41D3-9E7F-9484AD7F9C58}"/>
    <cellStyle name="Migliaia 4 3 4 3 5" xfId="13704" xr:uid="{05004FA1-9C30-49E6-910A-26C0559BE1D5}"/>
    <cellStyle name="Migliaia 4 3 4 4" xfId="20579" xr:uid="{2B98877F-C199-4CED-9F3D-891E1ED5F546}"/>
    <cellStyle name="Migliaia 4 3 4 4 2" xfId="39578" xr:uid="{8B79964E-7CA8-4E44-9A55-1FCA5AFF5E95}"/>
    <cellStyle name="Migliaia 4 3 4 4 3" xfId="44880" xr:uid="{C52DE6A2-15E6-4DCD-8646-16738CA1D1A5}"/>
    <cellStyle name="Migliaia 4 3 4 4 4" xfId="34035" xr:uid="{D77E38E1-0DFA-4C5D-856E-D78A418CD7CA}"/>
    <cellStyle name="Migliaia 4 3 4 5" xfId="36984" xr:uid="{2590269F-74DA-4C1B-AD38-005E5E4AF81F}"/>
    <cellStyle name="Migliaia 4 3 4 6" xfId="42229" xr:uid="{E116304C-1F8C-4EBA-AA0C-092E77DAB3F9}"/>
    <cellStyle name="Migliaia 4 3 4 7" xfId="16530" xr:uid="{A5FD9967-B746-4520-B80F-A39E00902C40}"/>
    <cellStyle name="Migliaia 4 3 4 8" xfId="7689" xr:uid="{D3472088-CF15-4537-99F6-05D253188A4B}"/>
    <cellStyle name="Migliaia 4 3 5" xfId="3641" xr:uid="{D887109D-1C94-4274-BD1D-2AD296DBB16A}"/>
    <cellStyle name="Migliaia 4 3 5 2" xfId="5367" xr:uid="{CF9C5A7D-534C-4310-840D-E9A7F281E376}"/>
    <cellStyle name="Migliaia 4 3 5 2 2" xfId="35357" xr:uid="{FA5A3FE9-83E7-4249-BE34-A4B0A2967A1D}"/>
    <cellStyle name="Migliaia 4 3 5 2 2 2" xfId="40517" xr:uid="{4F7BC34B-6678-404C-A763-D5AAFD269136}"/>
    <cellStyle name="Migliaia 4 3 5 2 2 3" xfId="45819" xr:uid="{B2C7B7E8-9FD5-417B-AB74-6CD84B5927F1}"/>
    <cellStyle name="Migliaia 4 3 5 2 3" xfId="37866" xr:uid="{39132629-D366-449F-8891-E8705C4F8856}"/>
    <cellStyle name="Migliaia 4 3 5 2 4" xfId="43168" xr:uid="{4A51C481-4179-4A97-B5F3-9CABD49FD3A5}"/>
    <cellStyle name="Migliaia 4 3 5 2 5" xfId="14280" xr:uid="{94B1FABE-F20F-4FE3-9AC2-A7F175E111FA}"/>
    <cellStyle name="Migliaia 4 3 5 3" xfId="6558" xr:uid="{D2AA91BB-C8D2-48B9-846E-2D5E9BC1CF94}"/>
    <cellStyle name="Migliaia 4 3 5 3 2" xfId="39579" xr:uid="{9DE59CAD-75E9-4D6F-89A4-C661264ECB19}"/>
    <cellStyle name="Migliaia 4 3 5 3 3" xfId="44881" xr:uid="{F48D507B-BDAA-44CA-B2AF-8598128201A6}"/>
    <cellStyle name="Migliaia 4 3 5 3 4" xfId="34036" xr:uid="{C4C097E1-490D-40B1-97B3-197FBD9E708A}"/>
    <cellStyle name="Migliaia 4 3 5 3 5" xfId="20581" xr:uid="{3EF8CC44-89F9-4471-8420-F79D0458BE42}"/>
    <cellStyle name="Migliaia 4 3 5 4" xfId="36985" xr:uid="{4601004E-831C-4F10-80FA-2EE60CAED393}"/>
    <cellStyle name="Migliaia 4 3 5 5" xfId="42230" xr:uid="{B4CFF321-F168-4AB1-B8FF-56AC6C0B0DDA}"/>
    <cellStyle name="Migliaia 4 3 5 6" xfId="16532" xr:uid="{911C2910-24E9-4037-9DA6-5364FC3A9850}"/>
    <cellStyle name="Migliaia 4 3 5 7" xfId="8342" xr:uid="{0B7A44F7-CE97-44DE-ADF8-FE591747CE05}"/>
    <cellStyle name="Migliaia 4 3 6" xfId="5362" xr:uid="{AF1DC7D3-186F-4992-A3D9-79EAEE59DAB2}"/>
    <cellStyle name="Migliaia 4 3 6 2" xfId="13985" xr:uid="{59093C2D-F4D4-4E24-9101-14A3FD0AC7A5}"/>
    <cellStyle name="Migliaia 4 3 6 2 2" xfId="39580" xr:uid="{774694E2-6056-43A1-BB8B-1002845A3033}"/>
    <cellStyle name="Migliaia 4 3 6 2 3" xfId="44882" xr:uid="{23728D4F-CBB1-4465-A42D-AD2E2CB69AF5}"/>
    <cellStyle name="Migliaia 4 3 6 3" xfId="18702" xr:uid="{32AB7F4A-E1C4-4EDE-8376-463F31CCCF6A}"/>
    <cellStyle name="Migliaia 4 3 6 4" xfId="20582" xr:uid="{5685B875-FC9F-4AD3-8FEC-DFCC68BD506A}"/>
    <cellStyle name="Migliaia 4 3 6 4 2" xfId="42231" xr:uid="{62C73621-EB7D-4510-B7AD-D1163D5F44D7}"/>
    <cellStyle name="Migliaia 4 3 6 5" xfId="16533" xr:uid="{6CF930A3-A242-4133-AFCF-BEE2EACCA537}"/>
    <cellStyle name="Migliaia 4 3 6 6" xfId="7956" xr:uid="{C9EC68B1-9C67-4600-BDC1-75ADF87C4865}"/>
    <cellStyle name="Migliaia 4 3 7" xfId="6553" xr:uid="{0374635D-66E7-4D74-9912-8084B42DB37E}"/>
    <cellStyle name="Migliaia 4 3 7 2" xfId="34038" xr:uid="{D3386157-D575-4EE5-9E0C-54E8384C6427}"/>
    <cellStyle name="Migliaia 4 3 7 2 2" xfId="39581" xr:uid="{30DCA03A-B733-423D-9A46-24AFE27FABDD}"/>
    <cellStyle name="Migliaia 4 3 7 2 3" xfId="44883" xr:uid="{4A18BB65-64CA-4F8D-A08E-055F18C5A17E}"/>
    <cellStyle name="Migliaia 4 3 7 3" xfId="36987" xr:uid="{8BCFA5D8-DD24-49EC-A96F-E4A6A731974B}"/>
    <cellStyle name="Migliaia 4 3 7 4" xfId="42232" xr:uid="{2B93ADB1-FCF9-4109-85E5-636CAC8FA6C5}"/>
    <cellStyle name="Migliaia 4 3 7 5" xfId="12284" xr:uid="{DA27B978-B6E1-403D-AE55-A65AF374A861}"/>
    <cellStyle name="Migliaia 4 3 8" xfId="3636" xr:uid="{6E37D77B-EFA6-4172-9C84-5058D44E2E5A}"/>
    <cellStyle name="Migliaia 4 3 8 2" xfId="34039" xr:uid="{85EFE4A9-FAAE-4A0B-A657-F7EB17014F9C}"/>
    <cellStyle name="Migliaia 4 3 8 2 2" xfId="39582" xr:uid="{27964A03-B563-42E8-8C04-AB6B2DBE3269}"/>
    <cellStyle name="Migliaia 4 3 8 2 3" xfId="44884" xr:uid="{302D2353-D62F-44AF-B369-89AE7746ABF8}"/>
    <cellStyle name="Migliaia 4 3 8 3" xfId="36988" xr:uid="{6907F23E-F2BD-4585-AF45-7229C4D27271}"/>
    <cellStyle name="Migliaia 4 3 8 4" xfId="42233" xr:uid="{A9CE331C-B930-444A-95AB-234340FEAFC6}"/>
    <cellStyle name="Migliaia 4 3 8 5" xfId="24946" xr:uid="{A4D512B0-8AB1-4F36-AFC1-5F3AE1A823D9}"/>
    <cellStyle name="Migliaia 4 3 8 6" xfId="17328" xr:uid="{3D06B50F-8B0E-45E2-BAFF-F1192194683D}"/>
    <cellStyle name="Migliaia 4 3 9" xfId="20573" xr:uid="{58C5BED8-099B-4791-9EAC-DC01178CFEE7}"/>
    <cellStyle name="Migliaia 4 4" xfId="1823" xr:uid="{00000000-0005-0000-0000-0000EE030000}"/>
    <cellStyle name="Migliaia 4 4 2" xfId="1824" xr:uid="{00000000-0005-0000-0000-0000EF030000}"/>
    <cellStyle name="Migliaia 4 4 2 2" xfId="5369" xr:uid="{0A7B6AE2-C82D-4357-BF70-42685159F04C}"/>
    <cellStyle name="Migliaia 4 4 2 2 2" xfId="34040" xr:uid="{84449A1E-C576-40DB-AF7C-6612541370C3}"/>
    <cellStyle name="Migliaia 4 4 2 2 2 2" xfId="39583" xr:uid="{897FF647-8C4A-49D2-9645-E9012CD8CAF3}"/>
    <cellStyle name="Migliaia 4 4 2 2 2 3" xfId="44885" xr:uid="{826FFC1C-39EB-4F2C-8CC5-380E89C56E37}"/>
    <cellStyle name="Migliaia 4 4 2 2 3" xfId="36989" xr:uid="{D43B33A4-B0AE-4C3A-820D-9DADA39ED733}"/>
    <cellStyle name="Migliaia 4 4 2 2 4" xfId="42234" xr:uid="{69EBAD36-F0D7-4449-B767-E90F249466D7}"/>
    <cellStyle name="Migliaia 4 4 2 2 5" xfId="9174" xr:uid="{056E5A88-2461-4585-B1D0-264E98C464DF}"/>
    <cellStyle name="Migliaia 4 4 2 3" xfId="3643" xr:uid="{053F2128-59C7-4FF9-8F12-BBC171429481}"/>
    <cellStyle name="Migliaia 4 4 2 3 2" xfId="34041" xr:uid="{B13C5F29-08C5-4CBC-974C-80706302600B}"/>
    <cellStyle name="Migliaia 4 4 2 3 2 2" xfId="39584" xr:uid="{3F0A4AC7-927B-4E84-AE21-B1F66636A227}"/>
    <cellStyle name="Migliaia 4 4 2 3 2 3" xfId="44886" xr:uid="{E00D8D7A-02B1-4C2C-8B5A-7E5A2916FFCC}"/>
    <cellStyle name="Migliaia 4 4 2 3 3" xfId="36990" xr:uid="{ADDAC1A4-4253-4118-ACA1-04D47FDB88A6}"/>
    <cellStyle name="Migliaia 4 4 2 3 4" xfId="42235" xr:uid="{262E32A9-3612-415B-B22B-5D6D676DEF50}"/>
    <cellStyle name="Migliaia 4 4 2 3 5" xfId="12021" xr:uid="{83F07BAF-DA20-4E91-80A9-797AA8D0F7C0}"/>
    <cellStyle name="Migliaia 4 4 2 4" xfId="11370" xr:uid="{301A8B75-F730-4732-8754-7036EA3E57FB}"/>
    <cellStyle name="Migliaia 4 4 2 5" xfId="10901" xr:uid="{70C527CF-D784-4CB4-AE53-50526D45CEDF}"/>
    <cellStyle name="Migliaia 4 4 2 5 2" xfId="21536" xr:uid="{CD70F500-B85A-4C12-BA0C-E01683D270CC}"/>
    <cellStyle name="Migliaia 4 4 2 5 3" xfId="47116" xr:uid="{726F6E58-5FD3-4C70-B340-9C1FAEA9E58B}"/>
    <cellStyle name="Migliaia 4 4 2 5 4" xfId="50551" xr:uid="{15F1FB2A-448D-4015-AC14-44DA62F535E1}"/>
    <cellStyle name="Migliaia 4 4 2 5 5" xfId="53567" xr:uid="{291E76C8-C732-4DF3-A2B9-135DF88C4F1D}"/>
    <cellStyle name="Migliaia 4 4 2 6" xfId="20584" xr:uid="{BA728E9C-83A5-4215-9F7A-9D39D81D159A}"/>
    <cellStyle name="Migliaia 4 4 2 7" xfId="24948" xr:uid="{08ECD5BA-5A57-4CA6-9D04-C0CB10798CF8}"/>
    <cellStyle name="Migliaia 4 4 2 8" xfId="8682" xr:uid="{06FED83B-C977-4ACE-9D38-C2EE3DC9B026}"/>
    <cellStyle name="Migliaia 4 4 3" xfId="5368" xr:uid="{F07ECBDF-DF21-4AD0-87EA-427071F7F424}"/>
    <cellStyle name="Migliaia 4 4 3 2" xfId="18229" xr:uid="{BCFBA17F-A8B7-4B18-BD98-FDE26AAFBC3F}"/>
    <cellStyle name="Migliaia 4 4 3 2 2" xfId="39585" xr:uid="{98986B2C-594D-4F9A-8BF1-A96247ED0CA9}"/>
    <cellStyle name="Migliaia 4 4 3 2 3" xfId="44887" xr:uid="{662A68D2-BFF7-4C73-82F4-ACF9CF776748}"/>
    <cellStyle name="Migliaia 4 4 3 3" xfId="36991" xr:uid="{CF5AC16A-AA27-4ABC-A104-663F997BD747}"/>
    <cellStyle name="Migliaia 4 4 3 4" xfId="42236" xr:uid="{6735BE25-E760-47E8-9209-33BF996FD366}"/>
    <cellStyle name="Migliaia 4 4 3 5" xfId="17326" xr:uid="{9DE434E5-A5A7-45D1-ABB6-3F8C71457D16}"/>
    <cellStyle name="Migliaia 4 4 3 6" xfId="9175" xr:uid="{7DFE5D0E-77CD-458F-A629-905347A6139F}"/>
    <cellStyle name="Migliaia 4 4 4" xfId="6559" xr:uid="{44E864D9-FFEB-4DBC-8563-D097C8676501}"/>
    <cellStyle name="Migliaia 4 4 4 2" xfId="34043" xr:uid="{185AF2C1-2459-47F4-AD47-6F01130E7592}"/>
    <cellStyle name="Migliaia 4 4 4 2 2" xfId="39586" xr:uid="{EFE9FFBE-A223-4E8A-ABAA-818B403F7422}"/>
    <cellStyle name="Migliaia 4 4 4 2 3" xfId="44888" xr:uid="{15C3ADC0-AB6F-4358-B118-95ADE4207DDA}"/>
    <cellStyle name="Migliaia 4 4 4 3" xfId="36992" xr:uid="{73525AB3-A588-425D-815E-C30287A84F11}"/>
    <cellStyle name="Migliaia 4 4 4 4" xfId="42237" xr:uid="{707E7C6E-17D7-4D8C-B579-6ACC85B97CBC}"/>
    <cellStyle name="Migliaia 4 4 4 5" xfId="12022" xr:uid="{8EAA2108-D2DC-414C-B4F1-878C3F42929D}"/>
    <cellStyle name="Migliaia 4 4 5" xfId="3642" xr:uid="{49E297A0-828B-46EE-910E-632E167F2739}"/>
    <cellStyle name="Migliaia 4 4 5 2" xfId="34044" xr:uid="{52F0852D-F8DD-4763-BB63-959F907063B2}"/>
    <cellStyle name="Migliaia 4 4 5 2 2" xfId="39587" xr:uid="{09BD8BF1-6982-4333-AEDD-33701EDEA182}"/>
    <cellStyle name="Migliaia 4 4 5 2 3" xfId="44889" xr:uid="{95AF467B-5D73-4D64-8D7F-0E7F4828847D}"/>
    <cellStyle name="Migliaia 4 4 5 3" xfId="36993" xr:uid="{64231308-3827-4ECD-BE48-3CDC811E4CB5}"/>
    <cellStyle name="Migliaia 4 4 5 4" xfId="42238" xr:uid="{DCA38B76-7BF1-4245-A62C-7412AFC88828}"/>
    <cellStyle name="Migliaia 4 4 5 5" xfId="11369" xr:uid="{3C686851-C585-4A3F-B57B-C1BE0558020C}"/>
    <cellStyle name="Migliaia 4 4 6" xfId="10900" xr:uid="{905BE364-68A0-4B2E-A5A0-DCCA8E439570}"/>
    <cellStyle name="Migliaia 4 4 6 2" xfId="21535" xr:uid="{8E7FFFFE-DBAC-4B8B-A7DA-EB8798ECA6AA}"/>
    <cellStyle name="Migliaia 4 4 6 2 2" xfId="39588" xr:uid="{5820C5F3-23FF-46D5-9199-4C57B25B89D0}"/>
    <cellStyle name="Migliaia 4 4 6 2 3" xfId="44890" xr:uid="{050F24BB-001A-45AD-BCB1-ED8F926ECA57}"/>
    <cellStyle name="Migliaia 4 4 6 2 4" xfId="34045" xr:uid="{D38D854E-69E8-48A3-876D-0A2D5ED62845}"/>
    <cellStyle name="Migliaia 4 4 6 3" xfId="36994" xr:uid="{1F808397-C613-420A-A746-68DA99A537EB}"/>
    <cellStyle name="Migliaia 4 4 6 4" xfId="42239" xr:uid="{2EE009A0-035F-481E-A7F0-41A014B0F040}"/>
    <cellStyle name="Migliaia 4 4 6 5" xfId="24954" xr:uid="{056DC795-4B6C-407E-95EB-D1BE598DD138}"/>
    <cellStyle name="Migliaia 4 4 6 6" xfId="47308" xr:uid="{DDA4A4DF-E61E-4B2B-9DC7-8E64BF3B9787}"/>
    <cellStyle name="Migliaia 4 4 6 7" xfId="50550" xr:uid="{C6D19D2C-8A0A-4248-9102-B43BC62C0889}"/>
    <cellStyle name="Migliaia 4 4 6 8" xfId="53566" xr:uid="{BDB95807-2CE0-47F1-8213-98695D9AEB8F}"/>
    <cellStyle name="Migliaia 4 4 7" xfId="20583" xr:uid="{58EE3A49-DADD-4E4D-B9E8-99958D84262B}"/>
    <cellStyle name="Migliaia 4 4 7 2" xfId="34046" xr:uid="{5A351417-DE6D-4303-BCAC-89CD7F66F4CE}"/>
    <cellStyle name="Migliaia 4 4 7 2 2" xfId="39589" xr:uid="{0D4C572F-B887-4F03-BCD5-73E5C4B02E68}"/>
    <cellStyle name="Migliaia 4 4 7 2 3" xfId="44891" xr:uid="{178FB839-8FDD-424E-A2B5-0F0FB421BB44}"/>
    <cellStyle name="Migliaia 4 4 7 3" xfId="36995" xr:uid="{62765AED-A694-4C50-B3FE-7A63E4537C1F}"/>
    <cellStyle name="Migliaia 4 4 7 4" xfId="42240" xr:uid="{A369561D-12DE-423B-9AFF-4E1FA555085D}"/>
    <cellStyle name="Migliaia 4 4 7 5" xfId="24955" xr:uid="{EBED3847-7666-45A1-85F5-B316CDB0B931}"/>
    <cellStyle name="Migliaia 4 4 8" xfId="24947" xr:uid="{9631A9B5-3081-4CE8-A57D-A9E645B4AAF9}"/>
    <cellStyle name="Migliaia 4 4 9" xfId="7492" xr:uid="{C566F1C8-5952-40F3-AFF1-E7BB5324ED0C}"/>
    <cellStyle name="Migliaia 4 5" xfId="1825" xr:uid="{00000000-0005-0000-0000-0000F0030000}"/>
    <cellStyle name="Migliaia 4 5 2" xfId="5370" xr:uid="{6A9E9BD3-F75D-4778-BC01-F5822B38C3B1}"/>
    <cellStyle name="Migliaia 4 5 2 2" xfId="18463" xr:uid="{70730FF0-9A0D-4A74-9AFF-C53384E78FDD}"/>
    <cellStyle name="Migliaia 4 5 2 2 2" xfId="39590" xr:uid="{59254C07-CB4C-404C-8EA8-42446F931CDB}"/>
    <cellStyle name="Migliaia 4 5 2 2 3" xfId="44892" xr:uid="{9ACE5E88-E06B-4D4A-992A-8607A3C26793}"/>
    <cellStyle name="Migliaia 4 5 2 3" xfId="20586" xr:uid="{FB723628-09EC-4DA7-831F-5ADFD5F05D3A}"/>
    <cellStyle name="Migliaia 4 5 2 3 2" xfId="36996" xr:uid="{A181843A-430A-4408-BDB4-AA3978D311E5}"/>
    <cellStyle name="Migliaia 4 5 2 4" xfId="42241" xr:uid="{889534C1-2BA1-43C7-82C6-20510E337160}"/>
    <cellStyle name="Migliaia 4 5 2 5" xfId="16534" xr:uid="{D9198CB6-B03D-4527-9898-B1FB38872251}"/>
    <cellStyle name="Migliaia 4 5 2 6" xfId="8683" xr:uid="{24A5F2EC-9357-409E-AF52-60BE043C9ECE}"/>
    <cellStyle name="Migliaia 4 5 3" xfId="6560" xr:uid="{DED86B47-9777-4B51-A0B3-D7DC08A4CF45}"/>
    <cellStyle name="Migliaia 4 5 3 2" xfId="34048" xr:uid="{650A8D9C-5095-43CA-A33A-D92D4CB53C7B}"/>
    <cellStyle name="Migliaia 4 5 3 2 2" xfId="39591" xr:uid="{257977C2-A8C8-43BC-A54F-E39F4EF51B1A}"/>
    <cellStyle name="Migliaia 4 5 3 2 3" xfId="44893" xr:uid="{1F7C7D9E-6602-4303-8AAE-276B026EAA19}"/>
    <cellStyle name="Migliaia 4 5 3 3" xfId="36997" xr:uid="{C61097D2-57A0-4DBB-A7E7-F598E96966B1}"/>
    <cellStyle name="Migliaia 4 5 3 4" xfId="42242" xr:uid="{2B837E3E-8E7B-4CD8-B612-3E3A8FB102D0}"/>
    <cellStyle name="Migliaia 4 5 3 5" xfId="11371" xr:uid="{C171332B-4F7C-4256-BF35-163AC4617C0D}"/>
    <cellStyle name="Migliaia 4 5 4" xfId="3644" xr:uid="{7FF4BD5E-8671-491E-8C6F-A70738CB1F7F}"/>
    <cellStyle name="Migliaia 4 5 4 2" xfId="21537" xr:uid="{9F7D2DF8-CE26-4B10-9786-831AF1935CFB}"/>
    <cellStyle name="Migliaia 4 5 4 2 2" xfId="39592" xr:uid="{E97DCB5A-4199-42F1-AD4C-808E08C28ECF}"/>
    <cellStyle name="Migliaia 4 5 4 2 3" xfId="44894" xr:uid="{7E1F58CC-8AF6-4AB5-BE81-D613A4CCE60A}"/>
    <cellStyle name="Migliaia 4 5 4 2 4" xfId="34049" xr:uid="{070079DE-DD3C-4238-9019-7B8EDEE67C36}"/>
    <cellStyle name="Migliaia 4 5 4 3" xfId="36998" xr:uid="{DACA353E-2E3D-4DFF-A600-88D5B095FA5C}"/>
    <cellStyle name="Migliaia 4 5 4 4" xfId="42243" xr:uid="{115C0761-7260-4B77-9997-F9FA017B67B1}"/>
    <cellStyle name="Migliaia 4 5 4 5" xfId="24959" xr:uid="{0308A294-C2F3-4DE5-973F-1C512FBC6258}"/>
    <cellStyle name="Migliaia 4 5 4 6" xfId="48476" xr:uid="{818BBD83-D335-450A-8E06-B8B86670AAF0}"/>
    <cellStyle name="Migliaia 4 5 4 7" xfId="50552" xr:uid="{AC75D377-BE1C-418E-BD21-58E0CED3C0D3}"/>
    <cellStyle name="Migliaia 4 5 4 8" xfId="53568" xr:uid="{A60D09E8-D592-4172-BF96-D8F9BC67A663}"/>
    <cellStyle name="Migliaia 4 5 4 9" xfId="10902" xr:uid="{D44ED193-5531-421F-8C66-2F41E2F04EF7}"/>
    <cellStyle name="Migliaia 4 5 5" xfId="20585" xr:uid="{74CB0932-E599-46AD-8AE6-DEE0E8BAD208}"/>
    <cellStyle name="Migliaia 4 5 5 2" xfId="34050" xr:uid="{A861614D-07AF-4843-B640-9B8D03C65B3E}"/>
    <cellStyle name="Migliaia 4 5 5 2 2" xfId="39593" xr:uid="{C642C2F3-9170-4455-8FAC-21E308D7E22B}"/>
    <cellStyle name="Migliaia 4 5 5 2 3" xfId="44895" xr:uid="{43536CB7-2FF9-4A29-850E-CEA817DDE21C}"/>
    <cellStyle name="Migliaia 4 5 5 3" xfId="36999" xr:uid="{09174CF5-DEF2-42E3-AECE-02DF0DEC3D24}"/>
    <cellStyle name="Migliaia 4 5 5 4" xfId="42244" xr:uid="{058EA28E-EB40-4126-9B42-FF2D2F9F7918}"/>
    <cellStyle name="Migliaia 4 5 5 5" xfId="24960" xr:uid="{077E7579-5550-4783-B847-D50562B16ED7}"/>
    <cellStyle name="Migliaia 4 5 6" xfId="24961" xr:uid="{139236BC-CD85-4A20-9EA3-03B577217D53}"/>
    <cellStyle name="Migliaia 4 5 6 2" xfId="34051" xr:uid="{0B582FC4-ACCC-49BC-9C9B-BC4734986F10}"/>
    <cellStyle name="Migliaia 4 5 6 2 2" xfId="39594" xr:uid="{272AEC33-17E0-4664-BA1B-9A647EA3B289}"/>
    <cellStyle name="Migliaia 4 5 6 2 3" xfId="44896" xr:uid="{C007CF76-DB6D-4D88-B281-14E286047920}"/>
    <cellStyle name="Migliaia 4 5 6 3" xfId="37000" xr:uid="{2688BF21-7D02-42C9-A9AD-2693D0755B68}"/>
    <cellStyle name="Migliaia 4 5 6 4" xfId="42245" xr:uid="{9131C864-6D7A-44E6-8BC8-32457760A710}"/>
    <cellStyle name="Migliaia 4 5 7" xfId="24956" xr:uid="{586CD731-6ECA-4B66-BF83-505F89D693CE}"/>
    <cellStyle name="Migliaia 4 5 8" xfId="7493" xr:uid="{EA1FEF69-800B-4B80-B369-6599176A1595}"/>
    <cellStyle name="Migliaia 4 6" xfId="3645" xr:uid="{8DC4BE46-180B-4F9C-8041-D9C195BED723}"/>
    <cellStyle name="Migliaia 4 6 2" xfId="5371" xr:uid="{B5275D74-C9AC-4CB9-8A9F-A654DFB4AB89}"/>
    <cellStyle name="Migliaia 4 6 2 2" xfId="9947" xr:uid="{F4A92557-A192-45E9-89E6-E4DED3FE831A}"/>
    <cellStyle name="Migliaia 4 6 2 3" xfId="18647" xr:uid="{8E7D2CC3-1EE5-40BF-A992-CAE62A5EC85C}"/>
    <cellStyle name="Migliaia 4 6 2 4" xfId="20588" xr:uid="{BB10D401-EB31-481D-9318-670D9934AF10}"/>
    <cellStyle name="Migliaia 4 6 2 5" xfId="32407" xr:uid="{710C2ECC-FBCB-4D54-A76E-57428F327997}"/>
    <cellStyle name="Migliaia 4 6 2 6" xfId="16536" xr:uid="{D67934B7-E440-4155-B487-7E2C3A393A8F}"/>
    <cellStyle name="Migliaia 4 6 2 7" xfId="8678" xr:uid="{3BE748FC-8D1B-4AFD-B38A-981AAA39AE30}"/>
    <cellStyle name="Migliaia 4 6 3" xfId="6561" xr:uid="{23B7CDAB-39A2-4C5B-8346-DC713F9D6EEE}"/>
    <cellStyle name="Migliaia 4 6 3 2" xfId="35358" xr:uid="{F0788EF0-DA1D-4FFE-8DF7-36BE02B4FC34}"/>
    <cellStyle name="Migliaia 4 6 3 2 2" xfId="40518" xr:uid="{B0C44329-4137-4594-9BB2-9890C36F38F8}"/>
    <cellStyle name="Migliaia 4 6 3 2 3" xfId="45820" xr:uid="{0D9403C5-1517-44EA-8096-8D28E2B357D6}"/>
    <cellStyle name="Migliaia 4 6 3 3" xfId="37867" xr:uid="{2538B1C1-D0DD-430C-840D-B7981C3695A7}"/>
    <cellStyle name="Migliaia 4 6 3 4" xfId="43169" xr:uid="{4B36827D-2DAC-45E2-90D3-EE251D6D3352}"/>
    <cellStyle name="Migliaia 4 6 3 5" xfId="9710" xr:uid="{99CE6775-57BE-4F7C-A4B8-A80FFA7F22CE}"/>
    <cellStyle name="Migliaia 4 6 4" xfId="20587" xr:uid="{677E4C87-75F8-42A5-A6FD-111F96A587A8}"/>
    <cellStyle name="Migliaia 4 6 4 2" xfId="39595" xr:uid="{FD51BA18-94F0-4D45-AD3A-42D3DD14FA11}"/>
    <cellStyle name="Migliaia 4 6 4 3" xfId="44897" xr:uid="{C4E57680-2388-4EFA-9CEF-483AE043AF0D}"/>
    <cellStyle name="Migliaia 4 6 4 4" xfId="34052" xr:uid="{07819D7C-5C2D-4BA4-9C40-B22ED77823D8}"/>
    <cellStyle name="Migliaia 4 6 5" xfId="37001" xr:uid="{86F22D37-13B2-4D70-9C96-A5138D2C2D1A}"/>
    <cellStyle name="Migliaia 4 6 6" xfId="42246" xr:uid="{F0D785A2-051D-4F2B-A927-08300EE0DF88}"/>
    <cellStyle name="Migliaia 4 6 7" xfId="16535" xr:uid="{22AF3DEA-FCEA-480F-9975-AEFB104B14DF}"/>
    <cellStyle name="Migliaia 4 6 8" xfId="7488" xr:uid="{40F40624-F372-4DBA-BCD5-0ECDF2933D58}"/>
    <cellStyle name="Migliaia 4 7" xfId="3646" xr:uid="{B35065B9-9393-4940-9342-948183CB72CE}"/>
    <cellStyle name="Migliaia 4 7 2" xfId="5372" xr:uid="{97CF11F6-CB96-4039-9F5B-71E2679370E0}"/>
    <cellStyle name="Migliaia 4 7 2 2" xfId="35359" xr:uid="{7B14621E-FC71-4394-8EA9-9A0BACD321E4}"/>
    <cellStyle name="Migliaia 4 7 2 2 2" xfId="40519" xr:uid="{39C2A076-9DA7-42C2-8675-D92ED3F4B204}"/>
    <cellStyle name="Migliaia 4 7 2 2 3" xfId="45821" xr:uid="{C4878F5C-8911-4574-866B-02B785359181}"/>
    <cellStyle name="Migliaia 4 7 2 3" xfId="37868" xr:uid="{1D3D1678-45FB-4983-9713-5749590FF69E}"/>
    <cellStyle name="Migliaia 4 7 2 4" xfId="43170" xr:uid="{44504BAE-A97D-4DD4-987C-1E49762DBC78}"/>
    <cellStyle name="Migliaia 4 7 2 5" xfId="14278" xr:uid="{7975038C-C98A-4E6D-A69F-3BA1C46EE4A6}"/>
    <cellStyle name="Migliaia 4 7 3" xfId="6562" xr:uid="{7484FC6F-6A4E-44DB-AA93-6AAA417D753C}"/>
    <cellStyle name="Migliaia 4 7 3 2" xfId="39596" xr:uid="{54D5645D-1E96-490A-B0AF-3A54A9597CA1}"/>
    <cellStyle name="Migliaia 4 7 3 3" xfId="44898" xr:uid="{69734EF3-27BD-486C-81F3-A712955E7729}"/>
    <cellStyle name="Migliaia 4 7 3 4" xfId="34053" xr:uid="{4D0C88B6-5629-4CF9-846C-8FDF91C4E8CA}"/>
    <cellStyle name="Migliaia 4 7 3 5" xfId="20589" xr:uid="{91D510A5-F7B4-47AD-827D-A37D34DC594A}"/>
    <cellStyle name="Migliaia 4 7 4" xfId="37002" xr:uid="{26B4FBB3-E6DD-432A-B263-5B03647BC1B7}"/>
    <cellStyle name="Migliaia 4 7 5" xfId="42247" xr:uid="{D4C14922-6D96-4C11-88DF-B7D156B149BF}"/>
    <cellStyle name="Migliaia 4 7 6" xfId="16537" xr:uid="{1F8CA726-E694-491E-B0F7-26603DBEFC87}"/>
    <cellStyle name="Migliaia 4 7 7" xfId="8340" xr:uid="{BF170BA1-549C-448A-BA84-878BE46479D6}"/>
    <cellStyle name="Migliaia 4 8" xfId="3647" xr:uid="{1F07FE26-4361-471D-A1E0-6485B1672019}"/>
    <cellStyle name="Migliaia 4 8 2" xfId="5373" xr:uid="{114F8054-6210-43FA-B85C-260F4D637F6C}"/>
    <cellStyle name="Migliaia 4 8 2 2" xfId="35360" xr:uid="{6EAC7FDC-47F0-44EC-B56F-AF152FD2719F}"/>
    <cellStyle name="Migliaia 4 8 2 2 2" xfId="40520" xr:uid="{AC1D5628-3CC6-48C8-A5FF-9AFA826CA09F}"/>
    <cellStyle name="Migliaia 4 8 2 2 3" xfId="45822" xr:uid="{005BF8B5-87C0-4638-B011-305D79BB1CED}"/>
    <cellStyle name="Migliaia 4 8 2 3" xfId="37869" xr:uid="{C3F085D2-919B-4B7A-96DE-037F5A78D883}"/>
    <cellStyle name="Migliaia 4 8 2 4" xfId="43171" xr:uid="{11D45EED-CDDD-47B0-82B4-6ECD5EF7DCF3}"/>
    <cellStyle name="Migliaia 4 8 2 5" xfId="13983" xr:uid="{15C95D41-42D6-4626-856D-16870D8C4F77}"/>
    <cellStyle name="Migliaia 4 8 3" xfId="6563" xr:uid="{817BEC91-123F-47A2-9491-0E24223B3FB7}"/>
    <cellStyle name="Migliaia 4 8 3 2" xfId="39597" xr:uid="{B7C5660F-0CA3-4304-B6FD-C714B5989A09}"/>
    <cellStyle name="Migliaia 4 8 3 3" xfId="44899" xr:uid="{672CF9EF-D9AF-40DB-980A-142D0A1FADD1}"/>
    <cellStyle name="Migliaia 4 8 3 4" xfId="34054" xr:uid="{08F639CD-6885-44F7-8759-C4C31DCF8CB2}"/>
    <cellStyle name="Migliaia 4 8 3 5" xfId="20590" xr:uid="{42D6E2F5-D2C0-4701-9057-DCBF4F24AB23}"/>
    <cellStyle name="Migliaia 4 8 4" xfId="37003" xr:uid="{1E426BA2-A896-4CF2-A28E-61B770875403}"/>
    <cellStyle name="Migliaia 4 8 5" xfId="42248" xr:uid="{28715A8F-819B-4DCE-A1CB-E8D2B39FBB43}"/>
    <cellStyle name="Migliaia 4 8 6" xfId="16538" xr:uid="{14876143-C891-456C-8EE1-80D4F4D7B588}"/>
    <cellStyle name="Migliaia 4 8 7" xfId="7954" xr:uid="{231C9DEA-6294-4D54-B7EC-6816E1239DC2}"/>
    <cellStyle name="Migliaia 4 9" xfId="5358" xr:uid="{FCECB6E5-A6B7-487A-98FC-EA4F8B2032FF}"/>
    <cellStyle name="Migliaia 4 9 2" xfId="34055" xr:uid="{49C4C0C2-2F84-48E9-B0EF-DCAC511DCECD}"/>
    <cellStyle name="Migliaia 4 9 2 2" xfId="39598" xr:uid="{C79FE9F2-8970-4139-A00D-E6C251C70A9E}"/>
    <cellStyle name="Migliaia 4 9 2 3" xfId="44900" xr:uid="{D394EFBC-34FC-4914-A293-D4499C79BF38}"/>
    <cellStyle name="Migliaia 4 9 3" xfId="37004" xr:uid="{2141CA6A-A914-4C46-B3F0-9494CD158296}"/>
    <cellStyle name="Migliaia 4 9 4" xfId="42249" xr:uid="{8510F204-0330-4202-A227-D383954B9FAC}"/>
    <cellStyle name="Migliaia 4 9 5" xfId="17201" xr:uid="{A67027E8-59EE-4A2B-AE13-7BFE081BE1AE}"/>
    <cellStyle name="Migliaia 40" xfId="437" xr:uid="{00000000-0005-0000-0000-0000F1030000}"/>
    <cellStyle name="Migliaia 40 10" xfId="6564" xr:uid="{3F548FCE-A300-454C-9A57-0C44B64D906D}"/>
    <cellStyle name="Migliaia 40 10 2" xfId="39599" xr:uid="{9FF0780A-2BF7-465A-A355-AFF9FB40BC86}"/>
    <cellStyle name="Migliaia 40 10 3" xfId="44901" xr:uid="{3DAB61FC-C459-4BF6-B525-D9BD25DCD327}"/>
    <cellStyle name="Migliaia 40 10 4" xfId="34056" xr:uid="{B8B98F7E-BBC5-4460-882B-88D3F3388560}"/>
    <cellStyle name="Migliaia 40 10 5" xfId="20591" xr:uid="{3FA7C231-C23C-49DC-9469-044759BA7D6D}"/>
    <cellStyle name="Migliaia 40 11" xfId="3648" xr:uid="{2DDCC1D5-2C24-455F-AC00-81AFB21B95BF}"/>
    <cellStyle name="Migliaia 40 11 2" xfId="37005" xr:uid="{B363CC94-AA29-4E13-AFCC-53292E2B2561}"/>
    <cellStyle name="Migliaia 40 12" xfId="42250" xr:uid="{E1EECA55-9B6C-4610-A298-0187E9768492}"/>
    <cellStyle name="Migliaia 40 13" xfId="7144" xr:uid="{DE6FDF63-3DDB-47E6-AB3F-B4F133D6A5DD}"/>
    <cellStyle name="Migliaia 40 2" xfId="438" xr:uid="{00000000-0005-0000-0000-0000F2030000}"/>
    <cellStyle name="Migliaia 40 2 2" xfId="1826" xr:uid="{00000000-0005-0000-0000-0000F3030000}"/>
    <cellStyle name="Migliaia 40 2 2 2" xfId="5376" xr:uid="{E5901360-51EC-402A-B5A7-A3E9CE8EEB5B}"/>
    <cellStyle name="Migliaia 40 2 2 2 2" xfId="14397" xr:uid="{A21CD7D4-88EB-4FC5-932D-14FB5F48D202}"/>
    <cellStyle name="Migliaia 40 2 2 2 2 2" xfId="39600" xr:uid="{AC2567A2-743A-48EE-B465-8B246B4A00C8}"/>
    <cellStyle name="Migliaia 40 2 2 2 2 3" xfId="44902" xr:uid="{614629EA-19A9-4988-985D-483E25B3960F}"/>
    <cellStyle name="Migliaia 40 2 2 2 3" xfId="18464" xr:uid="{E4B9826C-05AF-4445-9587-CCBE7E80122D}"/>
    <cellStyle name="Migliaia 40 2 2 2 4" xfId="20594" xr:uid="{BC3CD92B-F809-4599-B9DB-B55E3F626894}"/>
    <cellStyle name="Migliaia 40 2 2 2 4 2" xfId="42251" xr:uid="{E4CDD84A-58E3-41CF-B975-5DF12FD2F816}"/>
    <cellStyle name="Migliaia 40 2 2 2 5" xfId="16539" xr:uid="{84187E1E-F290-4DB8-89F1-CFEBB3EBB493}"/>
    <cellStyle name="Migliaia 40 2 2 2 6" xfId="8685" xr:uid="{43E8B2EB-7AB9-4A67-BF86-0B5DBFBF0699}"/>
    <cellStyle name="Migliaia 40 2 2 3" xfId="6566" xr:uid="{32D79352-E617-4BEF-BA40-7DED70798825}"/>
    <cellStyle name="Migliaia 40 2 2 3 2" xfId="35361" xr:uid="{F09E6BD1-5A68-4A37-A413-716EE4B2701C}"/>
    <cellStyle name="Migliaia 40 2 2 3 2 2" xfId="40521" xr:uid="{74EFA444-C579-4A97-A86B-5523A803D7A0}"/>
    <cellStyle name="Migliaia 40 2 2 3 2 3" xfId="45823" xr:uid="{0333B11A-1CD7-4801-A808-FC3CB3A9760B}"/>
    <cellStyle name="Migliaia 40 2 2 3 3" xfId="37870" xr:uid="{39B22016-1C51-46EF-A055-0ED5CCD0D5A2}"/>
    <cellStyle name="Migliaia 40 2 2 3 4" xfId="43172" xr:uid="{C0A7687A-F711-4E3F-A34F-67CEC2961306}"/>
    <cellStyle name="Migliaia 40 2 2 3 5" xfId="11624" xr:uid="{35127764-8DF0-4DD4-B5FB-456372024E51}"/>
    <cellStyle name="Migliaia 40 2 2 4" xfId="3650" xr:uid="{71D9899D-9093-4CFD-BD9B-43CA373D767A}"/>
    <cellStyle name="Migliaia 40 2 2 4 2" xfId="21538" xr:uid="{0B6459B3-4CA0-42E3-8AF2-5C7133420C3F}"/>
    <cellStyle name="Migliaia 40 2 2 4 3" xfId="47901" xr:uid="{B9F04CDF-EC91-4047-BA91-86C971FB1889}"/>
    <cellStyle name="Migliaia 40 2 2 4 4" xfId="50553" xr:uid="{7EAAE896-BACB-4990-9874-72509061BD56}"/>
    <cellStyle name="Migliaia 40 2 2 4 5" xfId="53569" xr:uid="{A6340A2C-F92C-43E1-B8EA-B48C6DD9E120}"/>
    <cellStyle name="Migliaia 40 2 2 4 6" xfId="10903" xr:uid="{B1415B4B-6FBA-4190-8410-D5B7743378BF}"/>
    <cellStyle name="Migliaia 40 2 2 5" xfId="20593" xr:uid="{537294FC-FE26-4E40-B710-B464D551EB14}"/>
    <cellStyle name="Migliaia 40 2 2 6" xfId="24968" xr:uid="{CB8EBF23-65DB-43E3-8423-2B0AF1C83DDA}"/>
    <cellStyle name="Migliaia 40 2 2 7" xfId="7495" xr:uid="{C77F6371-E216-46F9-B1C1-D360EE3F6FAE}"/>
    <cellStyle name="Migliaia 40 2 3" xfId="3651" xr:uid="{53BEE199-6FB4-427F-ADED-D1BF60783B9A}"/>
    <cellStyle name="Migliaia 40 2 3 2" xfId="5377" xr:uid="{FB2CDA29-6041-491B-AA1D-AE58514C6506}"/>
    <cellStyle name="Migliaia 40 2 3 2 2" xfId="35362" xr:uid="{E255323F-3FD8-4ABE-A322-F2B202A544F4}"/>
    <cellStyle name="Migliaia 40 2 3 2 2 2" xfId="40522" xr:uid="{0968628F-F392-409F-A09E-01938D76E12C}"/>
    <cellStyle name="Migliaia 40 2 3 2 2 3" xfId="45824" xr:uid="{454343AE-A468-4E29-8E59-BD21DD435B00}"/>
    <cellStyle name="Migliaia 40 2 3 2 3" xfId="37871" xr:uid="{EDA50057-AF19-4B45-BE28-F9A7412CB90B}"/>
    <cellStyle name="Migliaia 40 2 3 2 4" xfId="43173" xr:uid="{B24EBE1C-BB2A-4B11-81CA-EEEEE1A0B857}"/>
    <cellStyle name="Migliaia 40 2 3 2 5" xfId="14282" xr:uid="{66D408B3-1B39-411C-A60C-C8BA15164901}"/>
    <cellStyle name="Migliaia 40 2 3 3" xfId="6567" xr:uid="{AB8201F6-BF34-444A-AA41-2549D83721C5}"/>
    <cellStyle name="Migliaia 40 2 3 3 2" xfId="39601" xr:uid="{22EE30E1-164D-42F0-B381-B7CE5CDA9CA8}"/>
    <cellStyle name="Migliaia 40 2 3 3 3" xfId="44903" xr:uid="{7EA15FA1-1158-48F4-B9E9-BF21D6487FEF}"/>
    <cellStyle name="Migliaia 40 2 3 3 4" xfId="34058" xr:uid="{110D3AC7-E980-4F5D-9EF0-02465EA4523F}"/>
    <cellStyle name="Migliaia 40 2 3 3 5" xfId="20595" xr:uid="{EE0BFE85-41C8-40BC-9F8E-E77553C52EA8}"/>
    <cellStyle name="Migliaia 40 2 3 4" xfId="37007" xr:uid="{00AF6B28-0271-42CA-9D54-531FE996BF01}"/>
    <cellStyle name="Migliaia 40 2 3 5" xfId="42252" xr:uid="{9C1EADE4-6246-4B0A-9B60-C382805C880A}"/>
    <cellStyle name="Migliaia 40 2 3 6" xfId="16540" xr:uid="{A2B114AC-1597-479E-A4A6-626189DE37E2}"/>
    <cellStyle name="Migliaia 40 2 3 7" xfId="8344" xr:uid="{4F901284-43D1-4CAC-B0D6-A064713D6F33}"/>
    <cellStyle name="Migliaia 40 2 4" xfId="5375" xr:uid="{1254A463-2801-4829-B90F-0B124C2BA1BD}"/>
    <cellStyle name="Migliaia 40 2 4 2" xfId="13987" xr:uid="{0E98C99C-96DF-4041-9707-B0538204FD8D}"/>
    <cellStyle name="Migliaia 40 2 4 2 2" xfId="39602" xr:uid="{A9C5BB71-E436-4538-AB95-1C0327AC99F7}"/>
    <cellStyle name="Migliaia 40 2 4 2 3" xfId="44904" xr:uid="{4A6CFB85-286E-4DA3-8E91-D66EACD7A078}"/>
    <cellStyle name="Migliaia 40 2 4 3" xfId="18701" xr:uid="{04486297-4990-4B10-A4CD-2F49712CEA48}"/>
    <cellStyle name="Migliaia 40 2 4 4" xfId="20596" xr:uid="{94C51E1C-B50C-420E-97C1-A8E3A1D734B2}"/>
    <cellStyle name="Migliaia 40 2 4 4 2" xfId="42253" xr:uid="{8740280E-1F43-4657-9422-FC69051F57C9}"/>
    <cellStyle name="Migliaia 40 2 4 5" xfId="16541" xr:uid="{8A58FC5D-7D8D-46A3-82A3-CCFB32481197}"/>
    <cellStyle name="Migliaia 40 2 4 6" xfId="7959" xr:uid="{BE680D8F-D774-472A-BB71-DAA115FB88FD}"/>
    <cellStyle name="Migliaia 40 2 5" xfId="6565" xr:uid="{CBA65061-74AA-49C7-829E-4A359E2ABA62}"/>
    <cellStyle name="Migliaia 40 2 5 2" xfId="34060" xr:uid="{8A51699D-84E0-40BD-9DC6-76837CAAB951}"/>
    <cellStyle name="Migliaia 40 2 5 2 2" xfId="39603" xr:uid="{22E4FBB7-6DD7-4E6A-944D-827265CD306F}"/>
    <cellStyle name="Migliaia 40 2 5 2 3" xfId="44905" xr:uid="{A5DFB281-F6C3-480E-97DD-CEDCAD7D5D40}"/>
    <cellStyle name="Migliaia 40 2 5 3" xfId="37009" xr:uid="{4F0C80AB-516F-46EA-B211-B41FEA4402D2}"/>
    <cellStyle name="Migliaia 40 2 5 4" xfId="42254" xr:uid="{70799F08-AB89-49A3-AF36-DA25D1DD4B7D}"/>
    <cellStyle name="Migliaia 40 2 5 5" xfId="13137" xr:uid="{E7CB4195-53AA-4EAE-980E-DC94A04112B6}"/>
    <cellStyle name="Migliaia 40 2 6" xfId="3649" xr:uid="{11E2DD5E-9B3B-4D3A-9ACC-CCD961C196E8}"/>
    <cellStyle name="Migliaia 40 2 6 2" xfId="34061" xr:uid="{F3DBD151-47F9-4948-8983-43A4B357528A}"/>
    <cellStyle name="Migliaia 40 2 6 2 2" xfId="39604" xr:uid="{59BDB291-1A75-46B8-BDD0-5028F75BADB9}"/>
    <cellStyle name="Migliaia 40 2 6 2 3" xfId="44906" xr:uid="{CA17BA01-6894-418F-A556-63A30F15A981}"/>
    <cellStyle name="Migliaia 40 2 6 3" xfId="37010" xr:uid="{7E8A5813-28F5-45DF-82AB-7F5C98201993}"/>
    <cellStyle name="Migliaia 40 2 6 4" xfId="42255" xr:uid="{E775CDDE-8A21-4639-AE46-85FCE995722D}"/>
    <cellStyle name="Migliaia 40 2 6 5" xfId="24973" xr:uid="{D192117A-2231-4AE0-8967-F6E8E5047773}"/>
    <cellStyle name="Migliaia 40 2 6 6" xfId="20592" xr:uid="{FDF21277-6EE1-460A-A0EC-757B532C85C3}"/>
    <cellStyle name="Migliaia 40 2 7" xfId="24967" xr:uid="{BE50D5A7-5219-4951-97AA-E443EDAE4AF5}"/>
    <cellStyle name="Migliaia 40 2 8" xfId="7145" xr:uid="{E0BDF0DC-A599-47BC-B153-13A02C313A86}"/>
    <cellStyle name="Migliaia 40 3" xfId="439" xr:uid="{00000000-0005-0000-0000-0000F4030000}"/>
    <cellStyle name="Migliaia 40 3 10" xfId="24974" xr:uid="{04DF16EA-6B44-442E-804A-CC63110A36AF}"/>
    <cellStyle name="Migliaia 40 3 11" xfId="16542" xr:uid="{E0D29783-D3CA-4B7D-B589-35D167DCA9D4}"/>
    <cellStyle name="Migliaia 40 3 12" xfId="7146" xr:uid="{DF6C5C25-F622-447B-B47C-F3A1D70E70C6}"/>
    <cellStyle name="Migliaia 40 3 2" xfId="440" xr:uid="{00000000-0005-0000-0000-0000F5030000}"/>
    <cellStyle name="Migliaia 40 3 2 2" xfId="1827" xr:uid="{00000000-0005-0000-0000-0000F6030000}"/>
    <cellStyle name="Migliaia 40 3 2 2 2" xfId="5380" xr:uid="{A35AF7A5-2F1F-4EF8-82E4-AF2E94513DB0}"/>
    <cellStyle name="Migliaia 40 3 2 2 2 2" xfId="18465" xr:uid="{16B18845-5C8F-4506-A8FE-2B4360B0D5D1}"/>
    <cellStyle name="Migliaia 40 3 2 2 2 2 2" xfId="21875" xr:uid="{EF8EC2C0-9F05-496E-B18F-BA306B0112A4}"/>
    <cellStyle name="Migliaia 40 3 2 2 2 2 2 2" xfId="39605" xr:uid="{FFFE6351-8E14-4BCB-BB15-EB14857E8801}"/>
    <cellStyle name="Migliaia 40 3 2 2 2 2 3" xfId="44907" xr:uid="{0D2D6C26-29C8-4249-BB54-5739D55B60DD}"/>
    <cellStyle name="Migliaia 40 3 2 2 2 2 4" xfId="34062" xr:uid="{1412F6C7-C45F-4934-B4C3-052B4A336B3C}"/>
    <cellStyle name="Migliaia 40 3 2 2 2 3" xfId="37011" xr:uid="{131237C6-EBAB-4858-A95B-1E0808B377ED}"/>
    <cellStyle name="Migliaia 40 3 2 2 2 4" xfId="42256" xr:uid="{A3651C63-FB90-4436-9E18-EE8BE9804ACF}"/>
    <cellStyle name="Migliaia 40 3 2 2 2 5" xfId="46749" xr:uid="{025786E8-A5F4-4C82-A341-DA4820445F02}"/>
    <cellStyle name="Migliaia 40 3 2 2 2 6" xfId="50903" xr:uid="{8C5B3888-24AB-4839-ABCA-121CD5CD6CF3}"/>
    <cellStyle name="Migliaia 40 3 2 2 2 7" xfId="53919" xr:uid="{5C6499F8-0CEE-4B32-BE81-83B5A636DC88}"/>
    <cellStyle name="Migliaia 40 3 2 2 2 8" xfId="17673" xr:uid="{BE63C4AD-4456-4849-BF52-0FC126F125C4}"/>
    <cellStyle name="Migliaia 40 3 2 2 2 9" xfId="12023" xr:uid="{38DB8E41-1981-4183-AC64-54858C445F50}"/>
    <cellStyle name="Migliaia 40 3 2 2 3" xfId="6570" xr:uid="{3086855A-C625-421B-9A5F-DF363A5127D8}"/>
    <cellStyle name="Migliaia 40 3 2 2 3 2" xfId="11177" xr:uid="{F3291818-B989-4F04-86E5-5BDA3564F188}"/>
    <cellStyle name="Migliaia 40 3 2 2 4" xfId="3654" xr:uid="{CF9F03F0-8E70-4308-98C1-894B795C6C68}"/>
    <cellStyle name="Migliaia 40 3 2 2 4 2" xfId="21539" xr:uid="{145D2151-4650-4970-803C-D1F84C336672}"/>
    <cellStyle name="Migliaia 40 3 2 2 4 3" xfId="47423" xr:uid="{823151E0-89B2-4BA9-9197-23E675037192}"/>
    <cellStyle name="Migliaia 40 3 2 2 4 4" xfId="50554" xr:uid="{C5E0848B-9122-4015-A525-8C25DDBE133F}"/>
    <cellStyle name="Migliaia 40 3 2 2 4 5" xfId="53570" xr:uid="{77026AAD-0B63-414C-8885-FD14945085A4}"/>
    <cellStyle name="Migliaia 40 3 2 2 4 6" xfId="10904" xr:uid="{2D6123A9-6031-465E-ADDD-8771D345C1EC}"/>
    <cellStyle name="Migliaia 40 3 2 2 5" xfId="20599" xr:uid="{B4215A2E-3EE7-4EB1-A3F1-A97460CD8BD5}"/>
    <cellStyle name="Migliaia 40 3 2 2 6" xfId="24976" xr:uid="{17E76108-C79E-438E-A919-5DC9DD2C6A4E}"/>
    <cellStyle name="Migliaia 40 3 2 2 7" xfId="8687" xr:uid="{03EA865A-061E-463F-9638-F8C694B78606}"/>
    <cellStyle name="Migliaia 40 3 2 3" xfId="5379" xr:uid="{13DC3EE7-8E02-4896-9A4D-F7B08ECAC9B0}"/>
    <cellStyle name="Migliaia 40 3 2 3 2" xfId="12223" xr:uid="{3707D694-19C4-4BE4-A29C-88364C5F2971}"/>
    <cellStyle name="Migliaia 40 3 2 3 2 2" xfId="39606" xr:uid="{D4404CCB-0A71-41DE-99C9-0F5079905FD7}"/>
    <cellStyle name="Migliaia 40 3 2 3 2 3" xfId="44908" xr:uid="{FD502630-C855-4601-BC34-494A2BF692B6}"/>
    <cellStyle name="Migliaia 40 3 2 3 2 4" xfId="34063" xr:uid="{DB0379D9-7B41-4788-B27F-3D4BDC747F3D}"/>
    <cellStyle name="Migliaia 40 3 2 3 3" xfId="12024" xr:uid="{5D695A85-4883-4BB6-B552-3665BE7C17C6}"/>
    <cellStyle name="Migliaia 40 3 2 3 4" xfId="20600" xr:uid="{8D3E1576-6F38-40B7-B731-B674CFA294D4}"/>
    <cellStyle name="Migliaia 40 3 2 3 4 2" xfId="42257" xr:uid="{C5F27EE2-F264-4B9A-8027-06EC098F8AC1}"/>
    <cellStyle name="Migliaia 40 3 2 3 5" xfId="16543" xr:uid="{41685E66-1924-459D-8A7E-6C1D45495D1E}"/>
    <cellStyle name="Migliaia 40 3 2 3 6" xfId="7961" xr:uid="{19802D85-E4E3-4E6E-9C90-D2164BD01FC3}"/>
    <cellStyle name="Migliaia 40 3 2 4" xfId="6569" xr:uid="{3AA213D6-C2D6-458A-BF0A-22C44E871D76}"/>
    <cellStyle name="Migliaia 40 3 2 4 2" xfId="18091" xr:uid="{2E54F842-3123-48AC-BB25-E5F52F291644}"/>
    <cellStyle name="Migliaia 40 3 2 4 2 2" xfId="39607" xr:uid="{E08E2476-8734-4E8C-8501-C5C41AB4FB1D}"/>
    <cellStyle name="Migliaia 40 3 2 4 2 3" xfId="44909" xr:uid="{A5EC403C-F04E-4A35-9401-BAA33E9B6281}"/>
    <cellStyle name="Migliaia 40 3 2 4 3" xfId="37013" xr:uid="{722EB077-EE1A-4930-9C9E-A32555D8949F}"/>
    <cellStyle name="Migliaia 40 3 2 4 4" xfId="42258" xr:uid="{D9A61075-DD41-49BB-9D4E-5A7AEBB2EA4B}"/>
    <cellStyle name="Migliaia 40 3 2 4 5" xfId="17204" xr:uid="{401647B4-7364-4B9D-98BF-062549EE0BAA}"/>
    <cellStyle name="Migliaia 40 3 2 4 6" xfId="11372" xr:uid="{9D83BD44-3B72-4645-92FB-E23674B72B4A}"/>
    <cellStyle name="Migliaia 40 3 2 5" xfId="3653" xr:uid="{EEACEFAB-A5C3-4BBD-BC01-229050BC67C6}"/>
    <cellStyle name="Migliaia 40 3 2 5 2" xfId="34065" xr:uid="{2B9F5EE1-AB19-4B98-9DE7-65A1B1CA07B9}"/>
    <cellStyle name="Migliaia 40 3 2 5 2 2" xfId="39608" xr:uid="{9561DBC3-A8CE-4B9E-9BA1-5DAFCBB22257}"/>
    <cellStyle name="Migliaia 40 3 2 5 2 3" xfId="44910" xr:uid="{9A61443D-81F9-4BB7-8CBF-E93F7A2326A0}"/>
    <cellStyle name="Migliaia 40 3 2 5 3" xfId="37014" xr:uid="{5F03C033-B7A5-4EB8-A44A-4B91D67FBC97}"/>
    <cellStyle name="Migliaia 40 3 2 5 4" xfId="42259" xr:uid="{6EA43870-186E-4914-A427-675C19344E9A}"/>
    <cellStyle name="Migliaia 40 3 2 5 5" xfId="17324" xr:uid="{4F1EAB65-72C9-4800-A591-6709ABC849A7}"/>
    <cellStyle name="Migliaia 40 3 2 6" xfId="20598" xr:uid="{ECA00CFB-368B-4193-92E8-56DBBEDEF100}"/>
    <cellStyle name="Migliaia 40 3 2 6 2" xfId="34066" xr:uid="{B0320758-8546-41C2-BD97-E82F26F7DBA6}"/>
    <cellStyle name="Migliaia 40 3 2 6 2 2" xfId="39609" xr:uid="{64A353C0-E06C-4C34-A9D3-13019FCDB861}"/>
    <cellStyle name="Migliaia 40 3 2 6 2 3" xfId="44911" xr:uid="{C0ED8034-2637-4111-BA46-8391EBDBBA93}"/>
    <cellStyle name="Migliaia 40 3 2 6 3" xfId="37015" xr:uid="{9C5055B7-776C-4079-8AD6-521470907CF5}"/>
    <cellStyle name="Migliaia 40 3 2 6 4" xfId="42260" xr:uid="{9FD535AB-D387-49BA-8BF4-6D44CFDF42BA}"/>
    <cellStyle name="Migliaia 40 3 2 6 5" xfId="24981" xr:uid="{8CEC5436-A8FC-4290-A794-0FFF5143F87D}"/>
    <cellStyle name="Migliaia 40 3 2 7" xfId="24975" xr:uid="{63576FAC-3871-48F6-8695-B25D348E4B0C}"/>
    <cellStyle name="Migliaia 40 3 2 8" xfId="7497" xr:uid="{6B77FDA6-5532-4DBF-B634-582A0B1E72BC}"/>
    <cellStyle name="Migliaia 40 3 3" xfId="3655" xr:uid="{6EE31049-E971-40F1-BAF2-35550E2D1FCA}"/>
    <cellStyle name="Migliaia 40 3 3 10" xfId="7496" xr:uid="{D74618B2-3DDB-44DB-9961-542768B3DFA6}"/>
    <cellStyle name="Migliaia 40 3 3 2" xfId="5381" xr:uid="{864D2D15-010C-48C4-9ADC-6B872AFD4245}"/>
    <cellStyle name="Migliaia 40 3 3 2 2" xfId="9950" xr:uid="{FD930C7C-DBDB-44AB-B812-CC15B32C6D00}"/>
    <cellStyle name="Migliaia 40 3 3 2 2 2" xfId="39611" xr:uid="{338E9DB5-42C5-4FDB-B7E4-8BC5D27C7459}"/>
    <cellStyle name="Migliaia 40 3 3 2 2 3" xfId="44913" xr:uid="{E4AC2DE6-FBF2-4053-9AE2-B35DD1718FEA}"/>
    <cellStyle name="Migliaia 40 3 3 2 3" xfId="18230" xr:uid="{CBF57C9F-4F0C-4643-B92B-3CD60D78BEF5}"/>
    <cellStyle name="Migliaia 40 3 3 2 4" xfId="20602" xr:uid="{7D66451B-58DB-49A7-B785-DC1E93F58BB0}"/>
    <cellStyle name="Migliaia 40 3 3 2 4 2" xfId="42262" xr:uid="{300FA86D-287F-4646-BB81-28BAF85FD7DB}"/>
    <cellStyle name="Migliaia 40 3 3 2 5" xfId="16545" xr:uid="{48AEBCB9-FCFE-4566-9BF7-822F46449D86}"/>
    <cellStyle name="Migliaia 40 3 3 2 6" xfId="8686" xr:uid="{63679DAC-586B-408E-99D4-6CE0150700B3}"/>
    <cellStyle name="Migliaia 40 3 3 3" xfId="6571" xr:uid="{4B56B737-966C-4DE5-9210-390C168CF428}"/>
    <cellStyle name="Migliaia 40 3 3 3 2" xfId="34069" xr:uid="{81E0AD06-1A28-4B8C-8327-8D7060339999}"/>
    <cellStyle name="Migliaia 40 3 3 3 2 2" xfId="39612" xr:uid="{A55E5618-5D11-4195-885B-1FBFBF83CA03}"/>
    <cellStyle name="Migliaia 40 3 3 3 2 3" xfId="44914" xr:uid="{4A682D39-4A31-4540-AFCA-4D8A7959A52E}"/>
    <cellStyle name="Migliaia 40 3 3 3 3" xfId="37018" xr:uid="{7FA34C57-B68F-40BB-A400-E3EC1410E6EE}"/>
    <cellStyle name="Migliaia 40 3 3 3 4" xfId="42263" xr:uid="{7D2D67B9-ED79-4885-8D45-8E2C1C62459D}"/>
    <cellStyle name="Migliaia 40 3 3 3 5" xfId="9713" xr:uid="{448FDE21-5634-4F14-879E-C25254299B04}"/>
    <cellStyle name="Migliaia 40 3 3 4" xfId="20601" xr:uid="{2A55B4EF-A455-4E69-8AF6-863116B72749}"/>
    <cellStyle name="Migliaia 40 3 3 4 2" xfId="34070" xr:uid="{3B28A62E-D9D0-4D25-A978-4EE698BC0B3C}"/>
    <cellStyle name="Migliaia 40 3 3 4 2 2" xfId="39613" xr:uid="{FD5CDB4C-722C-4712-A23A-8EDEA3009112}"/>
    <cellStyle name="Migliaia 40 3 3 4 2 3" xfId="44915" xr:uid="{EF1562DB-63F6-492E-971E-0C7D3FE0A471}"/>
    <cellStyle name="Migliaia 40 3 3 4 3" xfId="37019" xr:uid="{45AE7AF7-BE82-4374-960A-B35E51A81BF1}"/>
    <cellStyle name="Migliaia 40 3 3 4 4" xfId="42264" xr:uid="{B0D6F25C-0038-4741-ADD9-1110F78880AD}"/>
    <cellStyle name="Migliaia 40 3 3 4 5" xfId="24985" xr:uid="{BD6F092C-1A3C-4A70-B2B4-6BF24BA535C9}"/>
    <cellStyle name="Migliaia 40 3 3 5" xfId="24986" xr:uid="{C045BEDC-B9CE-4FF1-ADEE-733BCE0D4258}"/>
    <cellStyle name="Migliaia 40 3 3 5 2" xfId="34071" xr:uid="{83FA60AC-3102-4794-819B-952E09F553CF}"/>
    <cellStyle name="Migliaia 40 3 3 5 2 2" xfId="39614" xr:uid="{5F7342DD-94C9-4907-991C-DECE57448872}"/>
    <cellStyle name="Migliaia 40 3 3 5 2 3" xfId="44916" xr:uid="{A670482B-53B1-434C-9716-1B608F79020F}"/>
    <cellStyle name="Migliaia 40 3 3 5 3" xfId="37020" xr:uid="{EED44E00-8384-4355-B945-BF6D4850440A}"/>
    <cellStyle name="Migliaia 40 3 3 5 4" xfId="42265" xr:uid="{5D7250B3-139D-42E8-BAE0-E183B42129DE}"/>
    <cellStyle name="Migliaia 40 3 3 6" xfId="34067" xr:uid="{1F7DC8A6-F5CB-4212-A8CA-4D49CE071E67}"/>
    <cellStyle name="Migliaia 40 3 3 6 2" xfId="39610" xr:uid="{008E8585-6FDC-4C0F-86C1-0A43E77AF85E}"/>
    <cellStyle name="Migliaia 40 3 3 6 3" xfId="44912" xr:uid="{7986AD2C-CFFC-4A7E-BE33-10D9C9B9787E}"/>
    <cellStyle name="Migliaia 40 3 3 7" xfId="37016" xr:uid="{DA64C292-C3D0-492D-8D65-408FD23E820F}"/>
    <cellStyle name="Migliaia 40 3 3 8" xfId="42261" xr:uid="{3313C9EF-952F-48CF-B2D3-ADD10C7B52FF}"/>
    <cellStyle name="Migliaia 40 3 3 9" xfId="16544" xr:uid="{2D2C9F21-679B-4411-AD4D-07DD7DD4B44A}"/>
    <cellStyle name="Migliaia 40 3 4" xfId="3656" xr:uid="{5BF90421-885E-4F28-A225-FB810E49DA92}"/>
    <cellStyle name="Migliaia 40 3 4 2" xfId="5382" xr:uid="{EB25D9ED-CEB4-484C-8702-F64C5F24969E}"/>
    <cellStyle name="Migliaia 40 3 4 2 2" xfId="14457" xr:uid="{CBDB46AE-FEE8-4079-9FA3-EC34121AEDE9}"/>
    <cellStyle name="Migliaia 40 3 4 2 3" xfId="18581" xr:uid="{C704AFF7-F7EE-46FC-9344-740F87DEC0A7}"/>
    <cellStyle name="Migliaia 40 3 4 2 4" xfId="20604" xr:uid="{59EE7D13-C229-40C5-B3B5-0FEFB139DF0B}"/>
    <cellStyle name="Migliaia 40 3 4 2 5" xfId="32413" xr:uid="{017B6750-60A0-4950-88EA-E4D1FBBFB467}"/>
    <cellStyle name="Migliaia 40 3 4 2 6" xfId="16547" xr:uid="{A2DC02B6-BDAA-483B-828B-CBAF4CCF9E20}"/>
    <cellStyle name="Migliaia 40 3 4 2 7" xfId="8880" xr:uid="{1D600F0A-02AC-49ED-A165-A62A28F1D5AC}"/>
    <cellStyle name="Migliaia 40 3 4 3" xfId="6572" xr:uid="{7C3F7D3E-F9F0-420A-B3E9-593B739973B5}"/>
    <cellStyle name="Migliaia 40 3 4 3 2" xfId="35363" xr:uid="{F497F27D-E790-450B-B137-516EF82E5975}"/>
    <cellStyle name="Migliaia 40 3 4 3 2 2" xfId="40523" xr:uid="{F7E571A0-E0AB-406B-AC33-A6C23408C09E}"/>
    <cellStyle name="Migliaia 40 3 4 3 2 3" xfId="45825" xr:uid="{E6C5BF17-54F5-41C8-8D3D-874EABBA7C6A}"/>
    <cellStyle name="Migliaia 40 3 4 3 3" xfId="37872" xr:uid="{DBF30D78-C7E2-4186-82C7-1DE80676F1BA}"/>
    <cellStyle name="Migliaia 40 3 4 3 4" xfId="43174" xr:uid="{B71AB9CA-6440-4DC9-ADDA-29FA7854904C}"/>
    <cellStyle name="Migliaia 40 3 4 3 5" xfId="13705" xr:uid="{6E34F8A4-193D-4588-8A07-533E100667F2}"/>
    <cellStyle name="Migliaia 40 3 4 4" xfId="20603" xr:uid="{3871E044-EBB6-491C-A49B-D34255558F73}"/>
    <cellStyle name="Migliaia 40 3 4 4 2" xfId="39615" xr:uid="{2A80D6BF-7D71-4CBB-8B7B-997F8EBCCDE6}"/>
    <cellStyle name="Migliaia 40 3 4 4 3" xfId="44917" xr:uid="{60D36D2F-F942-4EE8-B656-A540CE671EE8}"/>
    <cellStyle name="Migliaia 40 3 4 4 4" xfId="34072" xr:uid="{B9BCE288-995F-46A4-8723-DDA627131B84}"/>
    <cellStyle name="Migliaia 40 3 4 5" xfId="37021" xr:uid="{CBA9DA06-2911-4CD1-A067-799891164B91}"/>
    <cellStyle name="Migliaia 40 3 4 6" xfId="42266" xr:uid="{F3A856E8-A7D2-47D1-BB30-22D8F4BAF987}"/>
    <cellStyle name="Migliaia 40 3 4 7" xfId="16546" xr:uid="{EB8C3C29-A82F-479A-A401-9979635B0F0D}"/>
    <cellStyle name="Migliaia 40 3 4 8" xfId="7690" xr:uid="{72A155EA-EFFC-4779-B359-F929878ADA6A}"/>
    <cellStyle name="Migliaia 40 3 5" xfId="3657" xr:uid="{B82AF4CB-65B2-42CF-90C8-D0A33967B291}"/>
    <cellStyle name="Migliaia 40 3 5 2" xfId="5383" xr:uid="{26DFB600-A41E-4C5B-ABB0-60AEF244E8D7}"/>
    <cellStyle name="Migliaia 40 3 5 2 2" xfId="35364" xr:uid="{F53B499F-D5B6-40BC-B87A-83E679B7EF5C}"/>
    <cellStyle name="Migliaia 40 3 5 2 2 2" xfId="40524" xr:uid="{03C8A4E2-D2A8-4BAE-AC7F-93BE277062F5}"/>
    <cellStyle name="Migliaia 40 3 5 2 2 3" xfId="45826" xr:uid="{C80AA801-26D5-4123-A536-07602CF39FE6}"/>
    <cellStyle name="Migliaia 40 3 5 2 3" xfId="37873" xr:uid="{19B5455E-8F9F-4596-86D6-6101D28AA084}"/>
    <cellStyle name="Migliaia 40 3 5 2 4" xfId="43175" xr:uid="{0A03221F-E1C4-45E0-A4FE-137FAADB35BF}"/>
    <cellStyle name="Migliaia 40 3 5 2 5" xfId="14283" xr:uid="{D29D81AE-CED6-4AFA-ADDC-058EE29863CC}"/>
    <cellStyle name="Migliaia 40 3 5 3" xfId="6573" xr:uid="{BF77D1C9-BEDE-4822-9AC6-935ABF49A4F5}"/>
    <cellStyle name="Migliaia 40 3 5 3 2" xfId="39616" xr:uid="{2B5DCFA1-E127-437B-A834-E1B5B313571B}"/>
    <cellStyle name="Migliaia 40 3 5 3 3" xfId="44918" xr:uid="{550B641E-3CF6-4CA9-950B-F0D0A6DF9658}"/>
    <cellStyle name="Migliaia 40 3 5 3 4" xfId="34073" xr:uid="{9F6CD954-CD42-40F5-9E07-C1A5166CC93D}"/>
    <cellStyle name="Migliaia 40 3 5 3 5" xfId="20605" xr:uid="{63635582-6B95-4EFB-8387-B55BF3A763BE}"/>
    <cellStyle name="Migliaia 40 3 5 4" xfId="37022" xr:uid="{95D7FBF1-BF27-4B59-AE01-C208583A31BB}"/>
    <cellStyle name="Migliaia 40 3 5 5" xfId="42267" xr:uid="{80C25C73-A5AA-48ED-8968-E3C5ABA02883}"/>
    <cellStyle name="Migliaia 40 3 5 6" xfId="16548" xr:uid="{9DB7B4DA-A06C-4A88-A3E9-2D033EAFED16}"/>
    <cellStyle name="Migliaia 40 3 5 7" xfId="8345" xr:uid="{72746BFE-D190-46FB-A678-D3ABBB7F9D00}"/>
    <cellStyle name="Migliaia 40 3 6" xfId="5378" xr:uid="{301BF274-5B41-4690-89C4-21264D90D556}"/>
    <cellStyle name="Migliaia 40 3 6 2" xfId="13988" xr:uid="{81B23282-D4AD-4314-87D9-9F2E5E5E357C}"/>
    <cellStyle name="Migliaia 40 3 6 2 2" xfId="39617" xr:uid="{29B801F0-1D51-4C55-B8C9-4B4038BF8D4E}"/>
    <cellStyle name="Migliaia 40 3 6 2 3" xfId="44919" xr:uid="{B8093332-39CD-4DB0-A300-A30A4139B8DA}"/>
    <cellStyle name="Migliaia 40 3 6 3" xfId="18700" xr:uid="{FB1DE14F-A872-4458-9939-93114744910D}"/>
    <cellStyle name="Migliaia 40 3 6 4" xfId="20606" xr:uid="{E3F5E471-8E22-4792-A4EE-3FFF1FC2AB89}"/>
    <cellStyle name="Migliaia 40 3 6 4 2" xfId="42268" xr:uid="{81509DAD-8167-43C8-9BD9-C7FBF69AAF5E}"/>
    <cellStyle name="Migliaia 40 3 6 5" xfId="16549" xr:uid="{B73FE2FE-188E-465A-8DCC-4F60AB0736A3}"/>
    <cellStyle name="Migliaia 40 3 6 6" xfId="7960" xr:uid="{4F7B7B31-3674-42A4-98EC-44E5DFCFBF98}"/>
    <cellStyle name="Migliaia 40 3 7" xfId="6568" xr:uid="{62936169-4996-446A-BC76-A8D45F6E83A5}"/>
    <cellStyle name="Migliaia 40 3 7 2" xfId="34074" xr:uid="{329FA9D4-6492-46FC-9568-D87EB3DBBD8B}"/>
    <cellStyle name="Migliaia 40 3 7 2 2" xfId="39618" xr:uid="{C80B2A7B-233A-4D33-BF9A-B69CBA9EC3AB}"/>
    <cellStyle name="Migliaia 40 3 7 2 3" xfId="44920" xr:uid="{29A740FD-55FB-4D55-AFC4-4C0EC7344586}"/>
    <cellStyle name="Migliaia 40 3 7 3" xfId="37023" xr:uid="{748D622B-A3BA-4CFA-8EFE-822D03EE473E}"/>
    <cellStyle name="Migliaia 40 3 7 4" xfId="42269" xr:uid="{41239423-2F64-4A0F-A065-02652E798543}"/>
    <cellStyle name="Migliaia 40 3 7 5" xfId="11532" xr:uid="{0EEC25BB-B7B5-4068-808F-E2910C2C4FB8}"/>
    <cellStyle name="Migliaia 40 3 8" xfId="3652" xr:uid="{F9EAA708-C0B7-4368-A467-4A951CA22227}"/>
    <cellStyle name="Migliaia 40 3 8 2" xfId="34075" xr:uid="{2F682A28-0FAE-42A4-A8B2-93DF76916B73}"/>
    <cellStyle name="Migliaia 40 3 8 2 2" xfId="39619" xr:uid="{F39F519E-2E29-4E08-AB93-6412A67CCC2F}"/>
    <cellStyle name="Migliaia 40 3 8 2 3" xfId="44921" xr:uid="{1492D772-D02F-48C2-8836-7DC685390989}"/>
    <cellStyle name="Migliaia 40 3 8 3" xfId="37024" xr:uid="{37DA97E3-A9DF-424A-A5CD-5B014D6203EC}"/>
    <cellStyle name="Migliaia 40 3 8 4" xfId="42270" xr:uid="{3ADD2D22-68DD-42B6-9B79-8B4CD2177985}"/>
    <cellStyle name="Migliaia 40 3 8 5" xfId="24988" xr:uid="{C0EDC8E3-D8D0-40C5-9181-0FF668785129}"/>
    <cellStyle name="Migliaia 40 3 8 6" xfId="17325" xr:uid="{A5B8E9DD-EE34-4B59-A6EE-53F1F9CB2EE0}"/>
    <cellStyle name="Migliaia 40 3 9" xfId="20597" xr:uid="{92D5239F-6D1A-4D5F-BF16-C35AC1E0E76C}"/>
    <cellStyle name="Migliaia 40 4" xfId="1828" xr:uid="{00000000-0005-0000-0000-0000F7030000}"/>
    <cellStyle name="Migliaia 40 4 2" xfId="1829" xr:uid="{00000000-0005-0000-0000-0000F8030000}"/>
    <cellStyle name="Migliaia 40 4 2 2" xfId="5385" xr:uid="{AA74ED43-0770-4DB1-B220-2A2EF229484D}"/>
    <cellStyle name="Migliaia 40 4 2 2 2" xfId="34076" xr:uid="{785C804F-F4EF-45FC-84C6-649A7DC3125A}"/>
    <cellStyle name="Migliaia 40 4 2 2 2 2" xfId="39620" xr:uid="{49EF8C30-DB6A-424D-B1A1-37390C38E3C9}"/>
    <cellStyle name="Migliaia 40 4 2 2 2 3" xfId="44922" xr:uid="{F35D67E5-6B19-4F12-9C1A-885DA2F7FEBC}"/>
    <cellStyle name="Migliaia 40 4 2 2 3" xfId="37025" xr:uid="{592825EF-4CFB-4455-A782-909D60BFD3DE}"/>
    <cellStyle name="Migliaia 40 4 2 2 4" xfId="42271" xr:uid="{D0EFE4C3-8D3C-46FB-BB40-EA856416D73F}"/>
    <cellStyle name="Migliaia 40 4 2 2 5" xfId="9176" xr:uid="{28C07F2B-6C87-4A17-A9B6-3158DFC2E0E5}"/>
    <cellStyle name="Migliaia 40 4 2 3" xfId="3659" xr:uid="{91CD397F-3049-4EA6-8EAA-BF7D9665F7B0}"/>
    <cellStyle name="Migliaia 40 4 2 3 2" xfId="34077" xr:uid="{A3344A57-6CA1-4045-8DA3-8F005F583A77}"/>
    <cellStyle name="Migliaia 40 4 2 3 2 2" xfId="39621" xr:uid="{3D308363-A9C1-481E-95BA-756BBCB58B00}"/>
    <cellStyle name="Migliaia 40 4 2 3 2 3" xfId="44923" xr:uid="{66B54AAD-CE7B-48E3-8453-F78BC3E9684D}"/>
    <cellStyle name="Migliaia 40 4 2 3 3" xfId="37026" xr:uid="{D6A7E3C6-5F36-42FA-8802-0FABE70D009E}"/>
    <cellStyle name="Migliaia 40 4 2 3 4" xfId="42272" xr:uid="{6A89BFF9-CCAA-451A-BD92-6C78CE99A2E9}"/>
    <cellStyle name="Migliaia 40 4 2 3 5" xfId="12025" xr:uid="{5217B6FD-5048-4592-89C5-9CF79258A543}"/>
    <cellStyle name="Migliaia 40 4 2 4" xfId="11374" xr:uid="{CD7AB2F7-04CD-445D-85A8-0487DE0D5A0E}"/>
    <cellStyle name="Migliaia 40 4 2 5" xfId="10906" xr:uid="{C39A7557-3E72-4B94-88A6-8BFC83B17E97}"/>
    <cellStyle name="Migliaia 40 4 2 5 2" xfId="21541" xr:uid="{FF7A80FE-0E33-4AB0-AA3F-91B4922DD8E4}"/>
    <cellStyle name="Migliaia 40 4 2 5 3" xfId="47117" xr:uid="{2349D9E2-CC04-4338-A724-FB795DD5E706}"/>
    <cellStyle name="Migliaia 40 4 2 5 4" xfId="50556" xr:uid="{C958D9C6-A11B-4E35-864B-F51CA613C0B0}"/>
    <cellStyle name="Migliaia 40 4 2 5 5" xfId="53572" xr:uid="{6754080B-628F-4031-82A9-E51E9C7F82CB}"/>
    <cellStyle name="Migliaia 40 4 2 6" xfId="20608" xr:uid="{35685CC0-B8E9-4DA6-AFE7-F3F70D7D6C4D}"/>
    <cellStyle name="Migliaia 40 4 2 7" xfId="24990" xr:uid="{E6190895-C543-4C73-9FE5-000E9595ECEF}"/>
    <cellStyle name="Migliaia 40 4 2 8" xfId="8688" xr:uid="{3C5BD1E1-DADC-4377-A886-F18E646A85E6}"/>
    <cellStyle name="Migliaia 40 4 3" xfId="5384" xr:uid="{715ECAF9-CAAE-4B82-86B5-E4B4EAD8F797}"/>
    <cellStyle name="Migliaia 40 4 3 2" xfId="18231" xr:uid="{FD3D6B1A-5C4D-46D6-8663-B41D99BDE4A5}"/>
    <cellStyle name="Migliaia 40 4 3 2 2" xfId="39622" xr:uid="{24F5DAD0-F68B-491D-95FC-96EF0574B2CA}"/>
    <cellStyle name="Migliaia 40 4 3 2 3" xfId="44924" xr:uid="{48181987-2713-45D6-B91C-6BAD74FC9B30}"/>
    <cellStyle name="Migliaia 40 4 3 3" xfId="37027" xr:uid="{C52342F5-AEC5-4B08-890E-E37DE51627AE}"/>
    <cellStyle name="Migliaia 40 4 3 4" xfId="42273" xr:uid="{43A885C3-1CA7-4E1E-AD19-4ABCA41E9FB6}"/>
    <cellStyle name="Migliaia 40 4 3 5" xfId="17323" xr:uid="{86C0BA01-993A-4F2B-BD50-732D2C37C9A7}"/>
    <cellStyle name="Migliaia 40 4 3 6" xfId="9177" xr:uid="{8DB15B35-D767-4BF7-A440-889F5A47E9AF}"/>
    <cellStyle name="Migliaia 40 4 4" xfId="6574" xr:uid="{4AF5CBA4-47CD-4D1F-9798-D5A4A0616AB4}"/>
    <cellStyle name="Migliaia 40 4 4 2" xfId="34078" xr:uid="{F286C3FE-59B2-4CEA-9E96-C8543763D4CB}"/>
    <cellStyle name="Migliaia 40 4 4 2 2" xfId="39623" xr:uid="{F7374414-EC92-459D-8841-972920D16575}"/>
    <cellStyle name="Migliaia 40 4 4 2 3" xfId="44925" xr:uid="{6C3B6F1A-314B-4F8C-869E-C5FCD62ACA06}"/>
    <cellStyle name="Migliaia 40 4 4 3" xfId="37028" xr:uid="{82418CF3-68A8-4596-A0E8-51F8B2211BAB}"/>
    <cellStyle name="Migliaia 40 4 4 4" xfId="42274" xr:uid="{57A2F23D-1D16-4F06-A5F2-34B4403AFB6C}"/>
    <cellStyle name="Migliaia 40 4 4 5" xfId="12026" xr:uid="{914B5EF7-274A-4D34-A2BD-DA79417EB145}"/>
    <cellStyle name="Migliaia 40 4 5" xfId="3658" xr:uid="{99583DAC-1F90-4E1E-9BD8-973810CD5882}"/>
    <cellStyle name="Migliaia 40 4 5 2" xfId="34079" xr:uid="{E332A127-5E72-4431-9AC2-455D2C2DD19B}"/>
    <cellStyle name="Migliaia 40 4 5 2 2" xfId="39624" xr:uid="{0F271002-E442-483A-B822-63DE12CF37BB}"/>
    <cellStyle name="Migliaia 40 4 5 2 3" xfId="44926" xr:uid="{615EDD98-D97B-4D5C-93B5-5D76D29F78B3}"/>
    <cellStyle name="Migliaia 40 4 5 3" xfId="37029" xr:uid="{72AB533B-6542-4F25-A85C-36CC21D13C46}"/>
    <cellStyle name="Migliaia 40 4 5 4" xfId="42275" xr:uid="{12FFC233-9DE6-435E-8358-B2140108E927}"/>
    <cellStyle name="Migliaia 40 4 5 5" xfId="11373" xr:uid="{4909B722-028A-4686-AD15-ECA185BADCBA}"/>
    <cellStyle name="Migliaia 40 4 6" xfId="10905" xr:uid="{ABB9ECA4-878A-4A3D-8AAE-1775C34294D9}"/>
    <cellStyle name="Migliaia 40 4 6 2" xfId="21540" xr:uid="{2584420C-8894-4607-A686-B2507BDAB698}"/>
    <cellStyle name="Migliaia 40 4 6 2 2" xfId="39625" xr:uid="{AB88646B-6853-4FD9-9DD1-BD024377660F}"/>
    <cellStyle name="Migliaia 40 4 6 2 3" xfId="44927" xr:uid="{46017A9F-1BC3-45B2-A60A-52C4ABC13595}"/>
    <cellStyle name="Migliaia 40 4 6 2 4" xfId="34080" xr:uid="{6050C3C5-E234-4B40-BB40-D3152D82C6FE}"/>
    <cellStyle name="Migliaia 40 4 6 3" xfId="37030" xr:uid="{4EF83D5A-82AE-4CE6-9049-FB9E1DB12E6A}"/>
    <cellStyle name="Migliaia 40 4 6 4" xfId="42276" xr:uid="{2B543BF4-A71F-4925-8BD4-E6C15F949FDD}"/>
    <cellStyle name="Migliaia 40 4 6 5" xfId="24991" xr:uid="{2B0C10BF-F086-4F6C-845D-A9CFD4B527D7}"/>
    <cellStyle name="Migliaia 40 4 6 6" xfId="46257" xr:uid="{2F6EC5C3-08AB-4B32-A93A-B4646869E666}"/>
    <cellStyle name="Migliaia 40 4 6 7" xfId="50555" xr:uid="{789A4F5E-B80A-4AA0-BF2D-7D556A5A78B8}"/>
    <cellStyle name="Migliaia 40 4 6 8" xfId="53571" xr:uid="{2AF2948F-D73D-462F-B16A-7F94561E9B1B}"/>
    <cellStyle name="Migliaia 40 4 7" xfId="20607" xr:uid="{04A34A60-109D-4D42-B94A-E7090C09C79C}"/>
    <cellStyle name="Migliaia 40 4 7 2" xfId="34081" xr:uid="{7D738F1D-0AD3-4FB2-A819-190E4FC61105}"/>
    <cellStyle name="Migliaia 40 4 7 2 2" xfId="39626" xr:uid="{042ECC34-0E3B-47E2-9BE9-BCEF19211DC5}"/>
    <cellStyle name="Migliaia 40 4 7 2 3" xfId="44928" xr:uid="{FCC6CFC9-67DD-447C-B3BC-C413B44B3283}"/>
    <cellStyle name="Migliaia 40 4 7 3" xfId="37031" xr:uid="{F68C515C-B223-483E-8F6D-19E5E3317B7E}"/>
    <cellStyle name="Migliaia 40 4 7 4" xfId="42277" xr:uid="{E651993A-DEFD-49DA-8D41-51D29C6D9B4A}"/>
    <cellStyle name="Migliaia 40 4 7 5" xfId="24992" xr:uid="{0599B0AF-25D5-4407-9F31-D313EF83CC9B}"/>
    <cellStyle name="Migliaia 40 4 8" xfId="24989" xr:uid="{C6628F42-F84B-4D92-A259-5D0796DFB4B9}"/>
    <cellStyle name="Migliaia 40 4 9" xfId="7498" xr:uid="{5F9FA653-DC98-45B3-AA82-D3B686A6A9BC}"/>
    <cellStyle name="Migliaia 40 5" xfId="1830" xr:uid="{00000000-0005-0000-0000-0000F9030000}"/>
    <cellStyle name="Migliaia 40 5 2" xfId="5386" xr:uid="{2B1B3094-218A-499B-8251-3AE58343F96A}"/>
    <cellStyle name="Migliaia 40 5 2 2" xfId="18466" xr:uid="{F810B180-9973-4E8A-91B3-F102CEE22321}"/>
    <cellStyle name="Migliaia 40 5 2 2 2" xfId="39627" xr:uid="{EAF040A4-E18E-44F0-9CA7-1020B0771C14}"/>
    <cellStyle name="Migliaia 40 5 2 2 3" xfId="44929" xr:uid="{857FEEFF-F36C-488F-86AC-C1374AE84439}"/>
    <cellStyle name="Migliaia 40 5 2 3" xfId="20610" xr:uid="{35637244-69E2-42DD-978A-1DC1F6540E66}"/>
    <cellStyle name="Migliaia 40 5 2 3 2" xfId="37032" xr:uid="{54F0782E-0866-4A36-B12A-346A07EF5B33}"/>
    <cellStyle name="Migliaia 40 5 2 4" xfId="42278" xr:uid="{0272DE28-C21C-4673-B016-11CC39051218}"/>
    <cellStyle name="Migliaia 40 5 2 5" xfId="16550" xr:uid="{F0C9E0DA-CF3E-4DF7-9E12-08ED8D985478}"/>
    <cellStyle name="Migliaia 40 5 2 6" xfId="8689" xr:uid="{84328031-C691-4265-A008-41A6264970E0}"/>
    <cellStyle name="Migliaia 40 5 3" xfId="6575" xr:uid="{987F6F85-51C7-4FD8-A150-A9794AC2E39E}"/>
    <cellStyle name="Migliaia 40 5 3 2" xfId="34082" xr:uid="{7439DF7B-C9A3-43DB-B2A3-E1A3FA6FC2F0}"/>
    <cellStyle name="Migliaia 40 5 3 2 2" xfId="39628" xr:uid="{CEDD7DFD-D47B-424B-A7D1-B6E074D530DF}"/>
    <cellStyle name="Migliaia 40 5 3 2 3" xfId="44930" xr:uid="{97149C99-F9B4-4D0E-9225-D69586A9338C}"/>
    <cellStyle name="Migliaia 40 5 3 3" xfId="37033" xr:uid="{E86D55BF-83D2-433B-9371-C00EC76862C6}"/>
    <cellStyle name="Migliaia 40 5 3 4" xfId="42279" xr:uid="{959698A7-7FAC-46C9-ABB6-BCD100F77D30}"/>
    <cellStyle name="Migliaia 40 5 3 5" xfId="11375" xr:uid="{B7884250-E043-453A-BE35-6CCFA32F13C9}"/>
    <cellStyle name="Migliaia 40 5 4" xfId="3660" xr:uid="{D7DF010E-A659-4CE0-AE21-F847E91B1374}"/>
    <cellStyle name="Migliaia 40 5 4 2" xfId="21542" xr:uid="{B302A748-1DEB-4C8B-87DA-F0F95CE3DA48}"/>
    <cellStyle name="Migliaia 40 5 4 2 2" xfId="39629" xr:uid="{D6716C6E-EAC1-40AE-8275-EBB7999B706D}"/>
    <cellStyle name="Migliaia 40 5 4 2 3" xfId="44931" xr:uid="{82A7EAFA-74D8-469B-93F5-3103B955EEBE}"/>
    <cellStyle name="Migliaia 40 5 4 2 4" xfId="34083" xr:uid="{10A4D5D6-D1B0-4188-9D17-5BB7B6D18087}"/>
    <cellStyle name="Migliaia 40 5 4 3" xfId="37034" xr:uid="{66703E32-8A7D-46CC-BD23-344323D74048}"/>
    <cellStyle name="Migliaia 40 5 4 4" xfId="42280" xr:uid="{C67B50E9-14D7-41CF-B914-B0B30CE8272D}"/>
    <cellStyle name="Migliaia 40 5 4 5" xfId="24994" xr:uid="{50A77049-0C40-441D-A8B9-7C9DA6EE04A7}"/>
    <cellStyle name="Migliaia 40 5 4 6" xfId="47424" xr:uid="{5E709F3E-FD5D-44AA-82FC-692A595FE1D3}"/>
    <cellStyle name="Migliaia 40 5 4 7" xfId="50557" xr:uid="{883338AD-E35D-4EC4-A104-A370C217D2B4}"/>
    <cellStyle name="Migliaia 40 5 4 8" xfId="53573" xr:uid="{1620A3B6-C00D-46EB-8823-E09AA3095666}"/>
    <cellStyle name="Migliaia 40 5 4 9" xfId="10907" xr:uid="{544F6EB5-440B-4382-8BFA-B5D4E1D67258}"/>
    <cellStyle name="Migliaia 40 5 5" xfId="20609" xr:uid="{BBF0756B-D001-428A-9987-5C263B525A9B}"/>
    <cellStyle name="Migliaia 40 5 5 2" xfId="34084" xr:uid="{FF75B541-53CE-410D-B4CE-652AC8533411}"/>
    <cellStyle name="Migliaia 40 5 5 2 2" xfId="39630" xr:uid="{08403872-3C3B-49AC-913E-66E6CC3523DB}"/>
    <cellStyle name="Migliaia 40 5 5 2 3" xfId="44932" xr:uid="{BB88B5E4-73A2-4998-8F82-3F1746E87917}"/>
    <cellStyle name="Migliaia 40 5 5 3" xfId="37035" xr:uid="{036C4B80-AF1C-4BE3-B995-E6A911A785FB}"/>
    <cellStyle name="Migliaia 40 5 5 4" xfId="42281" xr:uid="{D12FDDAF-AE83-429E-88BD-90110A78C1CB}"/>
    <cellStyle name="Migliaia 40 5 5 5" xfId="24995" xr:uid="{BFF5CC7D-7900-4B54-99E3-04166F1835F1}"/>
    <cellStyle name="Migliaia 40 5 6" xfId="24996" xr:uid="{4FAE78D5-7BC9-467E-8738-D50E292C9416}"/>
    <cellStyle name="Migliaia 40 5 6 2" xfId="34085" xr:uid="{16248633-8B13-49A4-8986-2F0B53F062E3}"/>
    <cellStyle name="Migliaia 40 5 6 2 2" xfId="39631" xr:uid="{DE91ED99-4480-491E-823F-F2863E3FBF4F}"/>
    <cellStyle name="Migliaia 40 5 6 2 3" xfId="44933" xr:uid="{AB463BD3-663B-4D02-83CF-3CA7CC40C3DF}"/>
    <cellStyle name="Migliaia 40 5 6 3" xfId="37036" xr:uid="{EF4393D0-E107-4F09-B06B-EE817E1616A5}"/>
    <cellStyle name="Migliaia 40 5 6 4" xfId="42282" xr:uid="{FDCB282C-0DAC-4D90-A0D4-1586F914D0C4}"/>
    <cellStyle name="Migliaia 40 5 7" xfId="24993" xr:uid="{8D52C39E-1CC5-4FBE-BE65-D67F77BDD9FF}"/>
    <cellStyle name="Migliaia 40 5 8" xfId="7499" xr:uid="{77FB37A9-369D-4A6B-B86D-6FD6631D8DC4}"/>
    <cellStyle name="Migliaia 40 6" xfId="3661" xr:uid="{E19F1F50-49B5-4762-A31B-6464AEF3D2AE}"/>
    <cellStyle name="Migliaia 40 6 2" xfId="5387" xr:uid="{7FAEAEA1-518F-4A9F-B1B9-2D21F8853E18}"/>
    <cellStyle name="Migliaia 40 6 2 2" xfId="9949" xr:uid="{B9E91C0C-392E-4356-9829-5D8E8A36E6BF}"/>
    <cellStyle name="Migliaia 40 6 2 3" xfId="18646" xr:uid="{A3C41829-003F-414C-B1DF-F1349D5573E9}"/>
    <cellStyle name="Migliaia 40 6 2 4" xfId="20612" xr:uid="{F2B73CAB-E1AB-448A-8BF4-15003BA2F6A6}"/>
    <cellStyle name="Migliaia 40 6 2 5" xfId="32415" xr:uid="{C82B02D1-5EFF-435C-A588-317334C829B1}"/>
    <cellStyle name="Migliaia 40 6 2 6" xfId="16552" xr:uid="{2F679070-BBA7-4666-B7C7-0E51131808D0}"/>
    <cellStyle name="Migliaia 40 6 2 7" xfId="8684" xr:uid="{71A4D4FB-4436-4155-9281-6D24B5AA398A}"/>
    <cellStyle name="Migliaia 40 6 3" xfId="6576" xr:uid="{39B3B163-CA0D-476B-9A97-B455440E06D3}"/>
    <cellStyle name="Migliaia 40 6 3 2" xfId="35365" xr:uid="{03591050-0099-40A8-95A7-2745B527336B}"/>
    <cellStyle name="Migliaia 40 6 3 2 2" xfId="40525" xr:uid="{C2457F58-85F3-4E92-B5E5-D043925999BA}"/>
    <cellStyle name="Migliaia 40 6 3 2 3" xfId="45827" xr:uid="{2A9F7C8E-6636-4326-92C8-FED8AC20769D}"/>
    <cellStyle name="Migliaia 40 6 3 3" xfId="37874" xr:uid="{964C0130-6577-4C05-BD83-CBE8EA9657D8}"/>
    <cellStyle name="Migliaia 40 6 3 4" xfId="43176" xr:uid="{E7F97524-B8FF-4060-BFB6-268E095D2B37}"/>
    <cellStyle name="Migliaia 40 6 3 5" xfId="9712" xr:uid="{7BEC77F4-FAEF-4C4F-B170-B284F855BFEC}"/>
    <cellStyle name="Migliaia 40 6 4" xfId="20611" xr:uid="{D0625238-8FDD-49F9-928F-EBC32016A4D0}"/>
    <cellStyle name="Migliaia 40 6 4 2" xfId="39632" xr:uid="{DAB74FFD-CBBC-4E33-985F-C46F16FF8F2B}"/>
    <cellStyle name="Migliaia 40 6 4 3" xfId="44934" xr:uid="{A1520CFC-64A4-492E-ADFC-CE003217976D}"/>
    <cellStyle name="Migliaia 40 6 4 4" xfId="34086" xr:uid="{FE5C0BD0-4486-4C6C-89FD-144EE87528E4}"/>
    <cellStyle name="Migliaia 40 6 5" xfId="37037" xr:uid="{173029BC-859D-4B14-A19E-81AE103F1F54}"/>
    <cellStyle name="Migliaia 40 6 6" xfId="42283" xr:uid="{8EF396F5-629E-4F77-BEE6-2B892FE1F21F}"/>
    <cellStyle name="Migliaia 40 6 7" xfId="16551" xr:uid="{815B2047-1933-446F-9452-E5A5F5ECE689}"/>
    <cellStyle name="Migliaia 40 6 8" xfId="7494" xr:uid="{8DE9B063-9741-4A9C-B3C1-B6B78E40CD79}"/>
    <cellStyle name="Migliaia 40 7" xfId="3662" xr:uid="{EB42B6F9-E3CE-41D2-996C-4B99324B2A42}"/>
    <cellStyle name="Migliaia 40 7 2" xfId="5388" xr:uid="{D18F02D3-C422-4293-9011-DD441643D0F8}"/>
    <cellStyle name="Migliaia 40 7 2 2" xfId="35366" xr:uid="{E2196725-8D8B-4E01-AEB3-C73C0F0E967D}"/>
    <cellStyle name="Migliaia 40 7 2 2 2" xfId="40526" xr:uid="{ADDB2E2B-C2D4-40FC-AE64-3F34BD96D2E3}"/>
    <cellStyle name="Migliaia 40 7 2 2 3" xfId="45828" xr:uid="{7BACBDC5-3C75-4170-BB6C-D3CAF3B8EE70}"/>
    <cellStyle name="Migliaia 40 7 2 3" xfId="37875" xr:uid="{E0F51F4A-C804-42E9-A0E9-B8118B75EDAB}"/>
    <cellStyle name="Migliaia 40 7 2 4" xfId="43177" xr:uid="{B14D66DF-0AC9-40C7-ACF1-4048E8EDAA79}"/>
    <cellStyle name="Migliaia 40 7 2 5" xfId="14281" xr:uid="{2F856FA3-B93D-402F-934D-92441CEC6189}"/>
    <cellStyle name="Migliaia 40 7 3" xfId="6577" xr:uid="{7E10C901-DC2B-458A-B1E2-C6B48A6BE3AE}"/>
    <cellStyle name="Migliaia 40 7 3 2" xfId="39633" xr:uid="{F4ECB484-C588-40DC-ADBB-BB23CAAC2B46}"/>
    <cellStyle name="Migliaia 40 7 3 3" xfId="44935" xr:uid="{A0343788-313D-40DE-B361-5E29011C9966}"/>
    <cellStyle name="Migliaia 40 7 3 4" xfId="34087" xr:uid="{16C4982F-E9BD-4797-BABE-478D9569839C}"/>
    <cellStyle name="Migliaia 40 7 3 5" xfId="20613" xr:uid="{F87854F1-B77B-4516-A88B-D505BB458243}"/>
    <cellStyle name="Migliaia 40 7 4" xfId="37038" xr:uid="{853290E1-B4D7-4BD8-87BA-BEA1E0AA3EAF}"/>
    <cellStyle name="Migliaia 40 7 5" xfId="42284" xr:uid="{5CE49D19-219D-4457-BDB7-A839AC61977B}"/>
    <cellStyle name="Migliaia 40 7 6" xfId="16553" xr:uid="{18BE8D33-33B9-4C6B-BCFC-B37DBF038BBF}"/>
    <cellStyle name="Migliaia 40 7 7" xfId="8343" xr:uid="{E15E6109-FA3A-441A-BA2C-B18570621DB3}"/>
    <cellStyle name="Migliaia 40 8" xfId="3663" xr:uid="{7642D7F4-7196-40D7-9C76-EA470A5BE69F}"/>
    <cellStyle name="Migliaia 40 8 2" xfId="5389" xr:uid="{20A80043-9182-4069-99C2-65386FCE7D8A}"/>
    <cellStyle name="Migliaia 40 8 2 2" xfId="35367" xr:uid="{47CD279D-1CD0-454C-ACC5-E3D9C31FECD6}"/>
    <cellStyle name="Migliaia 40 8 2 2 2" xfId="40527" xr:uid="{113291C4-D0B5-444C-9E1B-5F68E9DDD1E8}"/>
    <cellStyle name="Migliaia 40 8 2 2 3" xfId="45829" xr:uid="{D6940F22-C7B1-4538-B23E-ED9C9AC38A2E}"/>
    <cellStyle name="Migliaia 40 8 2 3" xfId="37876" xr:uid="{A70ADFA3-E7DA-4D39-8027-D54131D2B5EC}"/>
    <cellStyle name="Migliaia 40 8 2 4" xfId="43178" xr:uid="{B0AE7512-496C-4A03-A459-FEA102197AD8}"/>
    <cellStyle name="Migliaia 40 8 2 5" xfId="13986" xr:uid="{513AD09A-7176-4EAC-9633-072BB17A0DE2}"/>
    <cellStyle name="Migliaia 40 8 3" xfId="6578" xr:uid="{EEB67D72-8A3E-44C8-AFC1-729AFAD41242}"/>
    <cellStyle name="Migliaia 40 8 3 2" xfId="39634" xr:uid="{C2D0BDFC-92A3-4EEB-ABB5-0560AE5FE1D6}"/>
    <cellStyle name="Migliaia 40 8 3 3" xfId="44936" xr:uid="{30417659-53DF-46B6-A2D3-509B1827CED8}"/>
    <cellStyle name="Migliaia 40 8 3 4" xfId="34088" xr:uid="{F0AD4526-1B34-4947-BE42-D152A2049AB1}"/>
    <cellStyle name="Migliaia 40 8 3 5" xfId="20614" xr:uid="{4EF73AD6-0A27-49EB-BDCC-5652AB3FEB74}"/>
    <cellStyle name="Migliaia 40 8 4" xfId="37039" xr:uid="{341B9EF9-2AD3-439A-A32D-8F3D5309D8C2}"/>
    <cellStyle name="Migliaia 40 8 5" xfId="42285" xr:uid="{C79790F5-4893-4C0E-8CDE-EE8EA8C062A2}"/>
    <cellStyle name="Migliaia 40 8 6" xfId="16554" xr:uid="{066F4CB0-95BF-4B96-818A-A9B02A484A1E}"/>
    <cellStyle name="Migliaia 40 8 7" xfId="7958" xr:uid="{A494FBB8-0C79-4DA0-91FB-2FECC24BE118}"/>
    <cellStyle name="Migliaia 40 9" xfId="5374" xr:uid="{98D7C1E1-CDFB-485D-92AD-13B8CD95FAEA}"/>
    <cellStyle name="Migliaia 40 9 2" xfId="34089" xr:uid="{D5FF9751-E4C2-4923-B8F5-090C63034A6C}"/>
    <cellStyle name="Migliaia 40 9 2 2" xfId="39635" xr:uid="{A3B35520-6B8B-43C8-89FE-814CC309F68E}"/>
    <cellStyle name="Migliaia 40 9 2 3" xfId="44937" xr:uid="{BE4D0E32-F966-40C0-B399-7915A87BEA08}"/>
    <cellStyle name="Migliaia 40 9 3" xfId="37040" xr:uid="{4E4FE1A1-C2A1-4C80-BE04-4D14FDE405E3}"/>
    <cellStyle name="Migliaia 40 9 4" xfId="42286" xr:uid="{E2E50AB6-A09D-4D91-AFCF-8334AD8A7B8A}"/>
    <cellStyle name="Migliaia 40 9 5" xfId="17203" xr:uid="{62EA7DEA-9E2C-4D20-AB08-C8D79363DB3B}"/>
    <cellStyle name="Migliaia 41" xfId="441" xr:uid="{00000000-0005-0000-0000-0000FA030000}"/>
    <cellStyle name="Migliaia 41 10" xfId="6579" xr:uid="{B6AE73A4-8A73-405B-8428-CE5BD40C5DA2}"/>
    <cellStyle name="Migliaia 41 10 2" xfId="39636" xr:uid="{A5CBE2C6-2B70-40F0-9B14-1DA20FB6D621}"/>
    <cellStyle name="Migliaia 41 10 3" xfId="44938" xr:uid="{FA8B788B-28DE-4F4F-9F1F-D5804197000C}"/>
    <cellStyle name="Migliaia 41 10 4" xfId="34090" xr:uid="{10ADE848-0EE2-484F-A454-DA4316CC6E57}"/>
    <cellStyle name="Migliaia 41 10 5" xfId="20615" xr:uid="{BF9EF805-F67E-4F5E-ACAE-9C664659D076}"/>
    <cellStyle name="Migliaia 41 11" xfId="3664" xr:uid="{24B1569F-0220-4C46-8137-D373FE19626E}"/>
    <cellStyle name="Migliaia 41 11 2" xfId="37041" xr:uid="{AC4963A3-3DAC-4165-9E9B-9E671103E47F}"/>
    <cellStyle name="Migliaia 41 12" xfId="42287" xr:uid="{EB96BB6F-ADF4-4EAE-AA65-7D53E055E816}"/>
    <cellStyle name="Migliaia 41 13" xfId="7147" xr:uid="{31CE06D9-FA02-4731-BD47-E7DB72557DA1}"/>
    <cellStyle name="Migliaia 41 2" xfId="442" xr:uid="{00000000-0005-0000-0000-0000FB030000}"/>
    <cellStyle name="Migliaia 41 2 2" xfId="1831" xr:uid="{00000000-0005-0000-0000-0000FC030000}"/>
    <cellStyle name="Migliaia 41 2 2 2" xfId="5392" xr:uid="{1A8EB5F1-BF4D-482B-A49F-F45BD5CF30B2}"/>
    <cellStyle name="Migliaia 41 2 2 2 2" xfId="14398" xr:uid="{90599C7F-7689-4EF5-AF68-4A2975B0CC72}"/>
    <cellStyle name="Migliaia 41 2 2 2 2 2" xfId="39637" xr:uid="{D13A4986-9F67-490B-8749-9C77226C3ED8}"/>
    <cellStyle name="Migliaia 41 2 2 2 2 3" xfId="44939" xr:uid="{264CC9D4-C86C-4D5E-A0D2-E8E7D314E513}"/>
    <cellStyle name="Migliaia 41 2 2 2 3" xfId="18467" xr:uid="{02FE4AAF-AF30-4C42-8201-E899A4CB409E}"/>
    <cellStyle name="Migliaia 41 2 2 2 4" xfId="20618" xr:uid="{ACEC91DD-DFD4-4D65-BEF5-D001E247C9E0}"/>
    <cellStyle name="Migliaia 41 2 2 2 4 2" xfId="42288" xr:uid="{3D1AF2EC-AD29-417A-B2B7-3AC37796D905}"/>
    <cellStyle name="Migliaia 41 2 2 2 5" xfId="16555" xr:uid="{298B8B99-F84E-4A33-B091-F7AB2D0A3F63}"/>
    <cellStyle name="Migliaia 41 2 2 2 6" xfId="8691" xr:uid="{A6652197-975B-47BC-93F4-5BBD081A4C4A}"/>
    <cellStyle name="Migliaia 41 2 2 3" xfId="6581" xr:uid="{08D5C62D-956C-425E-B8EA-3192A152D32B}"/>
    <cellStyle name="Migliaia 41 2 2 3 2" xfId="35368" xr:uid="{BD87902D-7561-46F4-AC8A-6D2A12E0D811}"/>
    <cellStyle name="Migliaia 41 2 2 3 2 2" xfId="40528" xr:uid="{F901F05B-3E0F-4B0A-879D-BF96C196F7A0}"/>
    <cellStyle name="Migliaia 41 2 2 3 2 3" xfId="45830" xr:uid="{6FA232C4-992A-42D0-98FA-554D0C7CA9EF}"/>
    <cellStyle name="Migliaia 41 2 2 3 3" xfId="37877" xr:uid="{0069C3B5-A09A-43E9-90A2-16F15FC4ABD7}"/>
    <cellStyle name="Migliaia 41 2 2 3 4" xfId="43179" xr:uid="{E445D6B5-A58E-4B4D-BA45-5B86FD3B4469}"/>
    <cellStyle name="Migliaia 41 2 2 3 5" xfId="11625" xr:uid="{38DFC627-820C-4108-AAF5-A13213A28634}"/>
    <cellStyle name="Migliaia 41 2 2 4" xfId="3666" xr:uid="{41DB77EF-B363-49C8-A2F1-52830D0E35F1}"/>
    <cellStyle name="Migliaia 41 2 2 4 2" xfId="21543" xr:uid="{D989958D-404E-4C78-9C70-B7B885DF3ABC}"/>
    <cellStyle name="Migliaia 41 2 2 4 3" xfId="48181" xr:uid="{787921EC-215F-42EB-9D62-04F5B23DC8DE}"/>
    <cellStyle name="Migliaia 41 2 2 4 4" xfId="50558" xr:uid="{F859E345-FBD0-4AA0-A90B-2616953EFF7F}"/>
    <cellStyle name="Migliaia 41 2 2 4 5" xfId="53574" xr:uid="{583B3DD7-C447-4F63-B246-B02BAB42C182}"/>
    <cellStyle name="Migliaia 41 2 2 4 6" xfId="10908" xr:uid="{2DF75FF2-9CF8-4A13-A4A3-952907D9C4DA}"/>
    <cellStyle name="Migliaia 41 2 2 5" xfId="20617" xr:uid="{20B697C7-0F8D-4103-88FD-E8911DCC098E}"/>
    <cellStyle name="Migliaia 41 2 2 6" xfId="24998" xr:uid="{7E7F0D22-436F-4C83-B972-50CF1480B91B}"/>
    <cellStyle name="Migliaia 41 2 2 7" xfId="7501" xr:uid="{BF9FADA5-8CC0-4806-B2D7-65BB0819FEB3}"/>
    <cellStyle name="Migliaia 41 2 3" xfId="3667" xr:uid="{755F7E7D-E15D-43D7-B9E4-F2EB3A943F41}"/>
    <cellStyle name="Migliaia 41 2 3 2" xfId="5393" xr:uid="{C359E737-32B1-4E52-AABC-0758EEB3843C}"/>
    <cellStyle name="Migliaia 41 2 3 2 2" xfId="35369" xr:uid="{47E29B2C-F0CE-4490-9D68-C2C7CC8C285A}"/>
    <cellStyle name="Migliaia 41 2 3 2 2 2" xfId="40529" xr:uid="{110BFBCB-9E83-4FCC-A46B-849142F3AC72}"/>
    <cellStyle name="Migliaia 41 2 3 2 2 3" xfId="45831" xr:uid="{A224337A-0BA1-421A-A823-EB84B6B3718A}"/>
    <cellStyle name="Migliaia 41 2 3 2 3" xfId="37878" xr:uid="{A8B53441-B723-4BE6-B604-42133C04C3FB}"/>
    <cellStyle name="Migliaia 41 2 3 2 4" xfId="43180" xr:uid="{8D8743F9-9AAC-4979-97AB-7DDC0FA195F9}"/>
    <cellStyle name="Migliaia 41 2 3 2 5" xfId="14285" xr:uid="{F0D88E17-40FB-4A9B-A8B4-8DC1524405CF}"/>
    <cellStyle name="Migliaia 41 2 3 3" xfId="6582" xr:uid="{564CD3C9-A399-447F-A669-D88D24533841}"/>
    <cellStyle name="Migliaia 41 2 3 3 2" xfId="39638" xr:uid="{CBF880B3-A8DC-48CA-B71B-161468199BCF}"/>
    <cellStyle name="Migliaia 41 2 3 3 3" xfId="44940" xr:uid="{D337CFD8-2C6D-44DF-A58C-7415B58AF85D}"/>
    <cellStyle name="Migliaia 41 2 3 3 4" xfId="34091" xr:uid="{DD18C9B2-6F88-425B-90DA-5A1DACA5920A}"/>
    <cellStyle name="Migliaia 41 2 3 3 5" xfId="20619" xr:uid="{A733A393-7C6C-46D0-8F3D-94D8960AB62B}"/>
    <cellStyle name="Migliaia 41 2 3 4" xfId="37042" xr:uid="{74A8B156-FDFB-4B93-8364-363A387A2A51}"/>
    <cellStyle name="Migliaia 41 2 3 5" xfId="42289" xr:uid="{CC29908C-8137-4EA2-ABA6-F9421805F488}"/>
    <cellStyle name="Migliaia 41 2 3 6" xfId="16556" xr:uid="{6C9D36DE-4776-41B7-8C8B-440AC56670CD}"/>
    <cellStyle name="Migliaia 41 2 3 7" xfId="8347" xr:uid="{CBAD86FF-096C-4DC7-8DAF-A3EBF4739401}"/>
    <cellStyle name="Migliaia 41 2 4" xfId="5391" xr:uid="{24FCC011-D9B2-4610-A5E0-0480C22F29F4}"/>
    <cellStyle name="Migliaia 41 2 4 2" xfId="13990" xr:uid="{E6EDDC8B-A4D3-4453-9AE2-1917E441439A}"/>
    <cellStyle name="Migliaia 41 2 4 2 2" xfId="39639" xr:uid="{1F5F2463-5A35-42D4-A15E-A6A54E993FC1}"/>
    <cellStyle name="Migliaia 41 2 4 2 3" xfId="44941" xr:uid="{8FAEF81E-26E0-4C99-8AC8-4A735694CEA6}"/>
    <cellStyle name="Migliaia 41 2 4 3" xfId="18153" xr:uid="{DAB9F0A1-A31A-4AB3-9C58-AFF939397131}"/>
    <cellStyle name="Migliaia 41 2 4 4" xfId="20620" xr:uid="{49A26813-1C63-4BBA-9BE8-B70717386228}"/>
    <cellStyle name="Migliaia 41 2 4 4 2" xfId="42290" xr:uid="{A76EAC5A-726A-4070-86C8-E41B87D34F3C}"/>
    <cellStyle name="Migliaia 41 2 4 5" xfId="16557" xr:uid="{F16D268D-B924-476C-9A55-E05707CD823B}"/>
    <cellStyle name="Migliaia 41 2 4 6" xfId="7963" xr:uid="{A712C83D-3D57-4B0D-8BDF-7A22D75663BE}"/>
    <cellStyle name="Migliaia 41 2 5" xfId="6580" xr:uid="{DE08F1CC-6040-4C85-A8B6-048A78AE9957}"/>
    <cellStyle name="Migliaia 41 2 5 2" xfId="34092" xr:uid="{93789C3B-7184-4B4D-B60D-12D083C4C411}"/>
    <cellStyle name="Migliaia 41 2 5 2 2" xfId="39640" xr:uid="{9C412E1E-E188-41F6-85AF-92E1516B4B7D}"/>
    <cellStyle name="Migliaia 41 2 5 2 3" xfId="44942" xr:uid="{397F4F0E-635E-48F9-8BE4-5F20F43F0B81}"/>
    <cellStyle name="Migliaia 41 2 5 3" xfId="37043" xr:uid="{4A7BE68C-2B60-4EF9-9BC6-328387A7BA97}"/>
    <cellStyle name="Migliaia 41 2 5 4" xfId="42291" xr:uid="{F490798F-8E89-4598-9103-A86BB7DC5A57}"/>
    <cellStyle name="Migliaia 41 2 5 5" xfId="13138" xr:uid="{6EA7C34E-6E6B-4787-AB76-CE21E2B2AF25}"/>
    <cellStyle name="Migliaia 41 2 6" xfId="3665" xr:uid="{80785BF2-9B6E-42B0-95FB-B2701C01D253}"/>
    <cellStyle name="Migliaia 41 2 6 2" xfId="34093" xr:uid="{E53A92B6-440E-4420-A4D6-556792231DE3}"/>
    <cellStyle name="Migliaia 41 2 6 2 2" xfId="39641" xr:uid="{60E51DF7-2173-4312-BFF9-F14CDF999C2C}"/>
    <cellStyle name="Migliaia 41 2 6 2 3" xfId="44943" xr:uid="{FB8A3AF2-28C3-419F-8F67-47B0BDA9E18D}"/>
    <cellStyle name="Migliaia 41 2 6 3" xfId="37044" xr:uid="{D2ABFE12-6704-4ED8-8594-8C16D61C88C1}"/>
    <cellStyle name="Migliaia 41 2 6 4" xfId="42292" xr:uid="{26F09DCC-F99C-4E38-9147-118D1EFBEFDE}"/>
    <cellStyle name="Migliaia 41 2 6 5" xfId="24999" xr:uid="{85BC1BB6-6F54-456E-A8DB-FD20A015A0E4}"/>
    <cellStyle name="Migliaia 41 2 6 6" xfId="20616" xr:uid="{08FB3022-B176-4920-9270-F573BA45862F}"/>
    <cellStyle name="Migliaia 41 2 7" xfId="24997" xr:uid="{DC0B12AB-8F25-4758-A241-0151C8F06FA0}"/>
    <cellStyle name="Migliaia 41 2 8" xfId="7148" xr:uid="{52409EC0-5D91-40F7-8958-E5EDBFFDF3A1}"/>
    <cellStyle name="Migliaia 41 3" xfId="443" xr:uid="{00000000-0005-0000-0000-0000FD030000}"/>
    <cellStyle name="Migliaia 41 3 10" xfId="25000" xr:uid="{F55983E0-C5DC-45F0-9E91-D70D7A81164D}"/>
    <cellStyle name="Migliaia 41 3 11" xfId="16558" xr:uid="{19E0B3D2-FFD6-40F2-8377-DBA6B38DBBF4}"/>
    <cellStyle name="Migliaia 41 3 12" xfId="7149" xr:uid="{77970086-BB66-420B-A16E-CECBC5ED062D}"/>
    <cellStyle name="Migliaia 41 3 2" xfId="444" xr:uid="{00000000-0005-0000-0000-0000FE030000}"/>
    <cellStyle name="Migliaia 41 3 2 2" xfId="1832" xr:uid="{00000000-0005-0000-0000-0000FF030000}"/>
    <cellStyle name="Migliaia 41 3 2 2 2" xfId="5396" xr:uid="{E7F5DF68-4D0F-42BB-98DE-F9B8C034CF0B}"/>
    <cellStyle name="Migliaia 41 3 2 2 2 2" xfId="18468" xr:uid="{DB1CAF3B-5451-4C54-A717-1281A8BC8BA8}"/>
    <cellStyle name="Migliaia 41 3 2 2 2 2 2" xfId="21876" xr:uid="{FF9C3021-14E6-42D2-8D5D-FBE402243E58}"/>
    <cellStyle name="Migliaia 41 3 2 2 2 2 2 2" xfId="39642" xr:uid="{6AC22212-D1E5-4F5E-BC37-EDEBE045CE15}"/>
    <cellStyle name="Migliaia 41 3 2 2 2 2 3" xfId="44944" xr:uid="{A3BF4A2B-A728-4B83-B86C-C0AFD9388E78}"/>
    <cellStyle name="Migliaia 41 3 2 2 2 2 4" xfId="34094" xr:uid="{E049D853-EB5B-40E2-9D20-3B283388C8B9}"/>
    <cellStyle name="Migliaia 41 3 2 2 2 3" xfId="37045" xr:uid="{E809266C-C739-4767-B5FD-FED71BC0BC17}"/>
    <cellStyle name="Migliaia 41 3 2 2 2 4" xfId="42293" xr:uid="{51FECCA5-2519-4D9F-BA04-A77D5D776C53}"/>
    <cellStyle name="Migliaia 41 3 2 2 2 5" xfId="36383" xr:uid="{1E825E1F-7B59-4273-8A23-E278C4958529}"/>
    <cellStyle name="Migliaia 41 3 2 2 2 6" xfId="50904" xr:uid="{675A1F0E-0A94-4D89-B313-A97B52400572}"/>
    <cellStyle name="Migliaia 41 3 2 2 2 7" xfId="53920" xr:uid="{EE858222-201D-4CEE-8ABD-7A74AF092A12}"/>
    <cellStyle name="Migliaia 41 3 2 2 2 8" xfId="17674" xr:uid="{23625E0B-8916-4E4D-9520-B5D40A7D0F36}"/>
    <cellStyle name="Migliaia 41 3 2 2 2 9" xfId="12027" xr:uid="{27A9CCAD-C3DB-4DFA-8942-46D1656F4EE9}"/>
    <cellStyle name="Migliaia 41 3 2 2 3" xfId="6585" xr:uid="{1023E66E-3B1E-41E0-87E5-C0623393763F}"/>
    <cellStyle name="Migliaia 41 3 2 2 3 2" xfId="11567" xr:uid="{FEC6F5D9-754B-4583-90FD-886864E413E0}"/>
    <cellStyle name="Migliaia 41 3 2 2 4" xfId="3670" xr:uid="{39CE3AC9-B03E-4EAB-BB40-6BD123818B87}"/>
    <cellStyle name="Migliaia 41 3 2 2 4 2" xfId="21544" xr:uid="{9D98EF69-61BE-4964-9FAF-C6AFBD6EECE9}"/>
    <cellStyle name="Migliaia 41 3 2 2 4 3" xfId="24241" xr:uid="{97C035E6-11A2-45A4-860C-0DA5FB208452}"/>
    <cellStyle name="Migliaia 41 3 2 2 4 4" xfId="50559" xr:uid="{5A9C2C28-CCD5-44BD-91B2-C6F72F206506}"/>
    <cellStyle name="Migliaia 41 3 2 2 4 5" xfId="53575" xr:uid="{43BA6B23-72A4-409E-BE9C-462E06CE36B1}"/>
    <cellStyle name="Migliaia 41 3 2 2 4 6" xfId="10909" xr:uid="{5D70369B-3866-4926-99BF-88ACDC8C5608}"/>
    <cellStyle name="Migliaia 41 3 2 2 5" xfId="20623" xr:uid="{7099677D-E384-4A1A-B379-1DAE1A41D0FB}"/>
    <cellStyle name="Migliaia 41 3 2 2 6" xfId="25002" xr:uid="{8EE0ACA9-B621-49BC-9FF0-FF3C4D2DB993}"/>
    <cellStyle name="Migliaia 41 3 2 2 7" xfId="8693" xr:uid="{D7D80972-ED75-4964-99DD-E970F7C4878F}"/>
    <cellStyle name="Migliaia 41 3 2 3" xfId="5395" xr:uid="{D7E725C4-924A-44F2-9F61-708986A900D2}"/>
    <cellStyle name="Migliaia 41 3 2 3 2" xfId="12407" xr:uid="{C9AE605E-7421-4709-8FC2-4F1C84A20756}"/>
    <cellStyle name="Migliaia 41 3 2 3 2 2" xfId="39643" xr:uid="{6E75FB98-F384-4F2A-AF8B-C34938F8D032}"/>
    <cellStyle name="Migliaia 41 3 2 3 2 3" xfId="44945" xr:uid="{04774580-FD8F-4194-98E0-775A36F538C5}"/>
    <cellStyle name="Migliaia 41 3 2 3 2 4" xfId="34095" xr:uid="{735DB84A-F07E-4BAF-92CF-F99E2580F904}"/>
    <cellStyle name="Migliaia 41 3 2 3 3" xfId="12028" xr:uid="{6CDF0BE9-A9B2-4174-A31B-237EC699113C}"/>
    <cellStyle name="Migliaia 41 3 2 3 4" xfId="20624" xr:uid="{D807D630-3C69-4FB6-9015-1181D7B4FECC}"/>
    <cellStyle name="Migliaia 41 3 2 3 4 2" xfId="42294" xr:uid="{8648EE54-8D27-41C4-BF64-BBA7D375699D}"/>
    <cellStyle name="Migliaia 41 3 2 3 5" xfId="16559" xr:uid="{990B157A-C57A-47CC-A9A5-EC3F26CD280B}"/>
    <cellStyle name="Migliaia 41 3 2 3 6" xfId="7965" xr:uid="{F7D4FEF9-A9CE-49FA-BDFC-390C09AB7997}"/>
    <cellStyle name="Migliaia 41 3 2 4" xfId="6584" xr:uid="{8B786F37-023B-4378-9E26-BC6294ECD313}"/>
    <cellStyle name="Migliaia 41 3 2 4 2" xfId="18092" xr:uid="{E5FE0878-7E9E-4F4A-8576-21816B744B63}"/>
    <cellStyle name="Migliaia 41 3 2 4 2 2" xfId="39644" xr:uid="{F8151C25-43F1-4F8A-AE72-A38AF26F9D8F}"/>
    <cellStyle name="Migliaia 41 3 2 4 2 3" xfId="44946" xr:uid="{C82AE960-F43B-42F7-92B6-B0C2CD5A773D}"/>
    <cellStyle name="Migliaia 41 3 2 4 3" xfId="37046" xr:uid="{F202A4E8-9ABD-48BF-8A5D-203C4429E0EA}"/>
    <cellStyle name="Migliaia 41 3 2 4 4" xfId="42295" xr:uid="{CDE32346-5D0D-47FC-ACD0-76136FD9513C}"/>
    <cellStyle name="Migliaia 41 3 2 4 5" xfId="17206" xr:uid="{F5ECD5AC-1EE8-47B8-9897-5330C9E5B718}"/>
    <cellStyle name="Migliaia 41 3 2 4 6" xfId="11376" xr:uid="{083505BB-DD07-4F15-9148-54DA9CD19D17}"/>
    <cellStyle name="Migliaia 41 3 2 5" xfId="3669" xr:uid="{F701301A-973F-44F5-84DE-75593B3F8F08}"/>
    <cellStyle name="Migliaia 41 3 2 5 2" xfId="34096" xr:uid="{38A07DA2-8954-49AD-89C3-F36C7A413C90}"/>
    <cellStyle name="Migliaia 41 3 2 5 2 2" xfId="39645" xr:uid="{281B793F-989A-4765-877F-B85516EB3DD3}"/>
    <cellStyle name="Migliaia 41 3 2 5 2 3" xfId="44947" xr:uid="{FF840C0A-040B-4721-8DAC-1D5E1B9FB948}"/>
    <cellStyle name="Migliaia 41 3 2 5 3" xfId="37047" xr:uid="{42A7C774-9FE0-4305-8DE2-67D2194DDCC7}"/>
    <cellStyle name="Migliaia 41 3 2 5 4" xfId="42296" xr:uid="{73A14144-025B-49ED-A110-68DF86775C25}"/>
    <cellStyle name="Migliaia 41 3 2 5 5" xfId="17321" xr:uid="{ADFB4761-1CB9-475C-8E66-D69D79FBF822}"/>
    <cellStyle name="Migliaia 41 3 2 6" xfId="20622" xr:uid="{6EC63469-8E9C-470E-B421-3CD2ED3D896D}"/>
    <cellStyle name="Migliaia 41 3 2 6 2" xfId="34097" xr:uid="{45F7A800-FB22-452D-AA57-6CA6A2A918BF}"/>
    <cellStyle name="Migliaia 41 3 2 6 2 2" xfId="39646" xr:uid="{1047FE4F-A0EA-491F-8E67-51E7B2E0CD6A}"/>
    <cellStyle name="Migliaia 41 3 2 6 2 3" xfId="44948" xr:uid="{681CD1AA-74FD-41CB-8C48-6530C1F98B57}"/>
    <cellStyle name="Migliaia 41 3 2 6 3" xfId="37048" xr:uid="{3525D9A3-F71E-416F-907C-F2BFBA74AFD0}"/>
    <cellStyle name="Migliaia 41 3 2 6 4" xfId="42297" xr:uid="{50F03ADB-3700-4978-9329-18EA1D6F93AF}"/>
    <cellStyle name="Migliaia 41 3 2 6 5" xfId="25003" xr:uid="{6CD3AA43-36D3-4124-BEEE-F1D9927A7494}"/>
    <cellStyle name="Migliaia 41 3 2 7" xfId="25001" xr:uid="{079013BC-5E83-406A-91AD-D253BA2A28A3}"/>
    <cellStyle name="Migliaia 41 3 2 8" xfId="7503" xr:uid="{B5012525-EF60-497C-AB04-591EF92178BB}"/>
    <cellStyle name="Migliaia 41 3 3" xfId="3671" xr:uid="{CCC797CA-FBEB-4E93-BFBB-570D0269D9E0}"/>
    <cellStyle name="Migliaia 41 3 3 10" xfId="7502" xr:uid="{18FD1AD1-D1B0-4311-BE69-F0615B335E3E}"/>
    <cellStyle name="Migliaia 41 3 3 2" xfId="5397" xr:uid="{3DBDA27A-78D8-4037-A8E3-22F005BC373E}"/>
    <cellStyle name="Migliaia 41 3 3 2 2" xfId="9952" xr:uid="{5AA84A20-2E79-4B82-BD8F-E49822CD1B35}"/>
    <cellStyle name="Migliaia 41 3 3 2 2 2" xfId="39648" xr:uid="{2B00042F-D211-4A2D-AD72-CCEA3F58A8C1}"/>
    <cellStyle name="Migliaia 41 3 3 2 2 3" xfId="44950" xr:uid="{756CC39A-E2F2-43B6-AE4A-BCEA84235299}"/>
    <cellStyle name="Migliaia 41 3 3 2 3" xfId="18232" xr:uid="{91A4F19B-9C2C-4F18-A467-B6893E48BE97}"/>
    <cellStyle name="Migliaia 41 3 3 2 4" xfId="20626" xr:uid="{3930B3A4-8DA1-4D07-88AD-EA91F1F95FC9}"/>
    <cellStyle name="Migliaia 41 3 3 2 4 2" xfId="42299" xr:uid="{011B03E8-F46A-4CF4-9A6C-D573CEB58E3B}"/>
    <cellStyle name="Migliaia 41 3 3 2 5" xfId="16561" xr:uid="{BA1DBB79-CD30-4086-BFB2-72D0EC8F1B72}"/>
    <cellStyle name="Migliaia 41 3 3 2 6" xfId="8692" xr:uid="{68F61442-95A3-492E-AC16-9DC52B503594}"/>
    <cellStyle name="Migliaia 41 3 3 3" xfId="6586" xr:uid="{B25CEFFB-DD2A-4064-888A-FAD34E38B694}"/>
    <cellStyle name="Migliaia 41 3 3 3 2" xfId="34099" xr:uid="{819364A7-3B78-4ACA-A9F9-A6F29D38CCF9}"/>
    <cellStyle name="Migliaia 41 3 3 3 2 2" xfId="39649" xr:uid="{E79D0DD8-81B0-4862-8060-3247FE141720}"/>
    <cellStyle name="Migliaia 41 3 3 3 2 3" xfId="44951" xr:uid="{15CDA7A5-452C-4B9F-8BD3-8B648AE57C63}"/>
    <cellStyle name="Migliaia 41 3 3 3 3" xfId="37050" xr:uid="{F024124F-657F-41C8-BD22-5185A3C0DC7F}"/>
    <cellStyle name="Migliaia 41 3 3 3 4" xfId="42300" xr:uid="{1E7E6735-7B52-4CC5-8443-4D0BE66317C5}"/>
    <cellStyle name="Migliaia 41 3 3 3 5" xfId="9715" xr:uid="{845F9063-DC25-401D-9AFF-37BF8820265E}"/>
    <cellStyle name="Migliaia 41 3 3 4" xfId="20625" xr:uid="{26E748E5-7D70-4C7E-A3F7-A9D53BF3B418}"/>
    <cellStyle name="Migliaia 41 3 3 4 2" xfId="34100" xr:uid="{4CF09EFF-8FFE-4E5B-A62D-49DE8E2A106E}"/>
    <cellStyle name="Migliaia 41 3 3 4 2 2" xfId="39650" xr:uid="{A60AE7EB-D3E9-48DB-93DA-B5E958C6ABF2}"/>
    <cellStyle name="Migliaia 41 3 3 4 2 3" xfId="44952" xr:uid="{EE4ECD4C-575C-4A0F-95DE-538C0A7E713D}"/>
    <cellStyle name="Migliaia 41 3 3 4 3" xfId="37051" xr:uid="{12D2B6BD-9EF4-4F3C-9A34-1FD948971B85}"/>
    <cellStyle name="Migliaia 41 3 3 4 4" xfId="42301" xr:uid="{8871F7BD-0A79-453B-BB0F-E9E3375D8DC5}"/>
    <cellStyle name="Migliaia 41 3 3 4 5" xfId="25004" xr:uid="{1671B8AF-80D7-404C-9467-A43490713BD6}"/>
    <cellStyle name="Migliaia 41 3 3 5" xfId="25005" xr:uid="{4CF47941-D879-40CE-8FA4-BA5BA7D3A3CB}"/>
    <cellStyle name="Migliaia 41 3 3 5 2" xfId="34101" xr:uid="{5E304405-EC75-49E1-BB03-6D82B1C0098E}"/>
    <cellStyle name="Migliaia 41 3 3 5 2 2" xfId="39651" xr:uid="{3B7D4F69-FDC5-48DD-8E83-5F42244CEC4F}"/>
    <cellStyle name="Migliaia 41 3 3 5 2 3" xfId="44953" xr:uid="{F6B9C8D4-2A52-4702-AAF5-8C4BA9D3D198}"/>
    <cellStyle name="Migliaia 41 3 3 5 3" xfId="37052" xr:uid="{3C17FA83-AEEF-4721-8608-B710E7C09A8A}"/>
    <cellStyle name="Migliaia 41 3 3 5 4" xfId="42302" xr:uid="{E0C847A4-5476-410A-9F4B-4309319AC808}"/>
    <cellStyle name="Migliaia 41 3 3 6" xfId="34098" xr:uid="{4FC95122-826E-4D27-B821-520AB95CBF7D}"/>
    <cellStyle name="Migliaia 41 3 3 6 2" xfId="39647" xr:uid="{50F90400-F9CE-48A3-8BF4-CF09169E8AA6}"/>
    <cellStyle name="Migliaia 41 3 3 6 3" xfId="44949" xr:uid="{55DF8494-8A09-4EF9-AD16-42EF484176AF}"/>
    <cellStyle name="Migliaia 41 3 3 7" xfId="37049" xr:uid="{DDAFE839-01F9-4103-90EF-9A1EAEB355C2}"/>
    <cellStyle name="Migliaia 41 3 3 8" xfId="42298" xr:uid="{A68F6160-4E21-4DBF-B347-BE2DA2DB2DCC}"/>
    <cellStyle name="Migliaia 41 3 3 9" xfId="16560" xr:uid="{143C6E86-5178-4E0A-A27E-3A5F25FAA9A1}"/>
    <cellStyle name="Migliaia 41 3 4" xfId="3672" xr:uid="{D30FD7CA-C51D-440F-98C6-C690A4034CC5}"/>
    <cellStyle name="Migliaia 41 3 4 2" xfId="5398" xr:uid="{A68135B6-C8F5-4D17-8604-B08907A2EDBC}"/>
    <cellStyle name="Migliaia 41 3 4 2 2" xfId="14458" xr:uid="{91E8AE19-16DB-4C2C-8E36-C283F7C57AF4}"/>
    <cellStyle name="Migliaia 41 3 4 2 3" xfId="18559" xr:uid="{727C3342-576F-44BB-A043-FBE11A37FF4A}"/>
    <cellStyle name="Migliaia 41 3 4 2 4" xfId="20628" xr:uid="{43195EEF-4DC1-40A2-B64D-1D7F73F5417A}"/>
    <cellStyle name="Migliaia 41 3 4 2 5" xfId="32416" xr:uid="{D8B450A3-0ED7-4B69-B246-15105107F0FE}"/>
    <cellStyle name="Migliaia 41 3 4 2 6" xfId="16563" xr:uid="{45603A33-DE07-4C36-9DEF-F08A42361FBB}"/>
    <cellStyle name="Migliaia 41 3 4 2 7" xfId="8881" xr:uid="{6B0BFB32-80FF-4F93-9131-99F22841209B}"/>
    <cellStyle name="Migliaia 41 3 4 3" xfId="6587" xr:uid="{8D3D2554-A257-4EEB-952E-57575849FADA}"/>
    <cellStyle name="Migliaia 41 3 4 3 2" xfId="35370" xr:uid="{76EC9C43-7D87-4AA3-82FD-EE340CAF5FD0}"/>
    <cellStyle name="Migliaia 41 3 4 3 2 2" xfId="40530" xr:uid="{5DF57E19-1337-4336-9D3D-372903B6D763}"/>
    <cellStyle name="Migliaia 41 3 4 3 2 3" xfId="45832" xr:uid="{F45AE0CA-6FCC-4B83-A1E7-56BCD71ECB68}"/>
    <cellStyle name="Migliaia 41 3 4 3 3" xfId="37879" xr:uid="{48722FA0-E6A9-4323-A505-C6D904D9FE42}"/>
    <cellStyle name="Migliaia 41 3 4 3 4" xfId="43181" xr:uid="{FFC20FFA-432D-4FA6-94CD-D9EC797F234F}"/>
    <cellStyle name="Migliaia 41 3 4 3 5" xfId="13706" xr:uid="{5EA68E3B-CE69-4A52-B2C7-442F87A65A20}"/>
    <cellStyle name="Migliaia 41 3 4 4" xfId="20627" xr:uid="{C19D4BD5-F786-4780-BFE4-DB13DA16C04F}"/>
    <cellStyle name="Migliaia 41 3 4 4 2" xfId="39652" xr:uid="{18733AF6-CC29-4731-8DD8-4919DA4919B2}"/>
    <cellStyle name="Migliaia 41 3 4 4 3" xfId="44954" xr:uid="{07199F13-7E6B-4194-8125-D9447F9D56AB}"/>
    <cellStyle name="Migliaia 41 3 4 4 4" xfId="34102" xr:uid="{EC8262AE-3055-4D8B-B74B-DE7A8BFE0F09}"/>
    <cellStyle name="Migliaia 41 3 4 5" xfId="37053" xr:uid="{679DC479-B5CC-43EC-A06A-EA77B696D616}"/>
    <cellStyle name="Migliaia 41 3 4 6" xfId="42303" xr:uid="{39F0E50C-7B5D-4B53-B3DB-56314205024A}"/>
    <cellStyle name="Migliaia 41 3 4 7" xfId="16562" xr:uid="{C955CE13-1336-4910-8396-1451B1D2AD31}"/>
    <cellStyle name="Migliaia 41 3 4 8" xfId="7691" xr:uid="{08E9DC64-3CA9-444D-A1CA-4C77336C206D}"/>
    <cellStyle name="Migliaia 41 3 5" xfId="3673" xr:uid="{C4A2ABCB-763C-4A24-8A6D-D5CDE7675D47}"/>
    <cellStyle name="Migliaia 41 3 5 2" xfId="5399" xr:uid="{BD5CB2BD-DDA7-414E-982A-4D238B461DC1}"/>
    <cellStyle name="Migliaia 41 3 5 2 2" xfId="35371" xr:uid="{2A4D9CD1-0FAF-48D1-A741-CD2D176CE807}"/>
    <cellStyle name="Migliaia 41 3 5 2 2 2" xfId="40531" xr:uid="{CC7D5DA3-7AAC-4F05-A10C-6113BD314F73}"/>
    <cellStyle name="Migliaia 41 3 5 2 2 3" xfId="45833" xr:uid="{3C30DE44-E8EE-4ACC-9BAA-ED7102B90480}"/>
    <cellStyle name="Migliaia 41 3 5 2 3" xfId="37880" xr:uid="{661D44C7-29AF-494B-9E6B-81ABB9BEECB9}"/>
    <cellStyle name="Migliaia 41 3 5 2 4" xfId="43182" xr:uid="{0ABCCB9D-59D9-44F5-8C8D-9BE7789F015E}"/>
    <cellStyle name="Migliaia 41 3 5 2 5" xfId="14286" xr:uid="{EBB3EA6D-2A31-477E-8F84-D52F4C2E9B83}"/>
    <cellStyle name="Migliaia 41 3 5 3" xfId="6588" xr:uid="{C2BC8053-3E19-4CF8-A840-2B5F4F0B891C}"/>
    <cellStyle name="Migliaia 41 3 5 3 2" xfId="39653" xr:uid="{A12A9753-AC53-455C-9723-2B7DDF5FDD38}"/>
    <cellStyle name="Migliaia 41 3 5 3 3" xfId="44955" xr:uid="{B17409FC-CEDC-4ECE-A460-41DD0DB781C4}"/>
    <cellStyle name="Migliaia 41 3 5 3 4" xfId="34103" xr:uid="{634F572D-5E7B-4EEF-B13C-2696D56FE283}"/>
    <cellStyle name="Migliaia 41 3 5 3 5" xfId="20629" xr:uid="{8C208878-67C1-492F-8FAF-B177C5C9AAAA}"/>
    <cellStyle name="Migliaia 41 3 5 4" xfId="37054" xr:uid="{9EB73F53-EC4A-4EF2-8370-619E89D74D6F}"/>
    <cellStyle name="Migliaia 41 3 5 5" xfId="42304" xr:uid="{56F8D175-C0C7-4A4E-B2C7-2F117F3AC4BF}"/>
    <cellStyle name="Migliaia 41 3 5 6" xfId="16564" xr:uid="{1A251CBE-BE3F-4E67-82D5-DA5ABE530D96}"/>
    <cellStyle name="Migliaia 41 3 5 7" xfId="8348" xr:uid="{C1107E28-A1FB-4F27-A306-69FFA56613A7}"/>
    <cellStyle name="Migliaia 41 3 6" xfId="5394" xr:uid="{B63FAC98-84DD-48EF-BA3D-FF867E6E66DF}"/>
    <cellStyle name="Migliaia 41 3 6 2" xfId="13991" xr:uid="{425D19BC-618E-4E64-8923-3B74D6343C74}"/>
    <cellStyle name="Migliaia 41 3 6 2 2" xfId="39654" xr:uid="{7AB844E4-3F9A-4B86-830D-B7F5CD032A37}"/>
    <cellStyle name="Migliaia 41 3 6 2 3" xfId="44956" xr:uid="{A000242A-8EFA-4F8B-9D00-B7EEBD759451}"/>
    <cellStyle name="Migliaia 41 3 6 3" xfId="18699" xr:uid="{F78F34CA-F7A9-46BC-BD8B-E62CBD568FF6}"/>
    <cellStyle name="Migliaia 41 3 6 4" xfId="20630" xr:uid="{99CEADA1-5B0A-4B43-8B60-5C9C1FA0C4F3}"/>
    <cellStyle name="Migliaia 41 3 6 4 2" xfId="42305" xr:uid="{030E28E8-527A-468E-B2DD-DC2129E916F1}"/>
    <cellStyle name="Migliaia 41 3 6 5" xfId="16565" xr:uid="{B4B1F38F-E638-4345-ABFE-E8BFD8CFB22B}"/>
    <cellStyle name="Migliaia 41 3 6 6" xfId="7964" xr:uid="{9A3BA60D-AD26-4FEE-879C-BE4B3C19F139}"/>
    <cellStyle name="Migliaia 41 3 7" xfId="6583" xr:uid="{D75A280D-C0F6-4DF2-BD43-C7D366392263}"/>
    <cellStyle name="Migliaia 41 3 7 2" xfId="34104" xr:uid="{CAC07438-1576-4A17-94CC-15E2A7D66C1D}"/>
    <cellStyle name="Migliaia 41 3 7 2 2" xfId="39655" xr:uid="{333030BF-4A2D-4D19-AAB4-2866DD92F6D4}"/>
    <cellStyle name="Migliaia 41 3 7 2 3" xfId="44957" xr:uid="{489F4D29-DAF4-419B-980C-69A701799F04}"/>
    <cellStyle name="Migliaia 41 3 7 3" xfId="37055" xr:uid="{8C1CC1A0-C737-4B26-80B7-FAFF933BF67F}"/>
    <cellStyle name="Migliaia 41 3 7 4" xfId="42306" xr:uid="{1848E72A-F4C9-4BD0-AD43-0E6B866E3332}"/>
    <cellStyle name="Migliaia 41 3 7 5" xfId="12283" xr:uid="{8E821BFE-234B-4711-8F74-F2EC61090BAF}"/>
    <cellStyle name="Migliaia 41 3 8" xfId="3668" xr:uid="{EA780D19-D4FC-42B6-8EF9-A185886509C6}"/>
    <cellStyle name="Migliaia 41 3 8 2" xfId="34105" xr:uid="{09F2C016-FB95-45FA-BF05-9D2CE15E0D1B}"/>
    <cellStyle name="Migliaia 41 3 8 2 2" xfId="39656" xr:uid="{CA17C210-583C-4A54-82F2-C1C573D36E71}"/>
    <cellStyle name="Migliaia 41 3 8 2 3" xfId="44958" xr:uid="{03ECD010-1676-4243-A8FF-EBA8C4462B7D}"/>
    <cellStyle name="Migliaia 41 3 8 3" xfId="37056" xr:uid="{A2012E00-0E37-4AA9-AAD9-0212E09141B7}"/>
    <cellStyle name="Migliaia 41 3 8 4" xfId="42307" xr:uid="{6686506C-E558-461C-89A6-93F1769EDD1D}"/>
    <cellStyle name="Migliaia 41 3 8 5" xfId="25006" xr:uid="{E73927C2-4BB4-4B35-92BD-509324C4C68E}"/>
    <cellStyle name="Migliaia 41 3 8 6" xfId="17322" xr:uid="{3702EA85-3C55-47F3-AF36-CE4E221237D6}"/>
    <cellStyle name="Migliaia 41 3 9" xfId="20621" xr:uid="{77F94837-2E88-4A6F-87B7-3859B74CD333}"/>
    <cellStyle name="Migliaia 41 4" xfId="1833" xr:uid="{00000000-0005-0000-0000-000000040000}"/>
    <cellStyle name="Migliaia 41 4 2" xfId="1834" xr:uid="{00000000-0005-0000-0000-000001040000}"/>
    <cellStyle name="Migliaia 41 4 2 2" xfId="5401" xr:uid="{0BF81CD2-D495-4235-A5F3-8598116771B7}"/>
    <cellStyle name="Migliaia 41 4 2 2 2" xfId="34106" xr:uid="{9F5AC840-0C41-4E93-A8D6-D0E756ABA11B}"/>
    <cellStyle name="Migliaia 41 4 2 2 2 2" xfId="39657" xr:uid="{D3DE2BE5-93A4-4A68-A528-B6E4388C65BA}"/>
    <cellStyle name="Migliaia 41 4 2 2 2 3" xfId="44959" xr:uid="{B3AA32C0-EB7E-4E71-8E2F-C763061AA4D7}"/>
    <cellStyle name="Migliaia 41 4 2 2 3" xfId="37057" xr:uid="{C67112EF-D02A-42F3-BF8A-BC64390C6B22}"/>
    <cellStyle name="Migliaia 41 4 2 2 4" xfId="42308" xr:uid="{655B2B46-B035-4FBF-AFAF-12A5DCAC27AF}"/>
    <cellStyle name="Migliaia 41 4 2 2 5" xfId="9178" xr:uid="{7EA65DB3-471A-49AC-9F98-CA7DE158D027}"/>
    <cellStyle name="Migliaia 41 4 2 3" xfId="3675" xr:uid="{250A6D7E-0F04-4EB3-A22E-E160BB8C9FCB}"/>
    <cellStyle name="Migliaia 41 4 2 3 2" xfId="34107" xr:uid="{8247E28C-BFC6-445B-BB3B-5DC950CC0EAE}"/>
    <cellStyle name="Migliaia 41 4 2 3 2 2" xfId="39658" xr:uid="{7FCD017A-685F-4FCE-976F-246F7C15A43B}"/>
    <cellStyle name="Migliaia 41 4 2 3 2 3" xfId="44960" xr:uid="{3783C4B9-F319-4551-AB30-DB0D1D825C2D}"/>
    <cellStyle name="Migliaia 41 4 2 3 3" xfId="37058" xr:uid="{FC715CF3-EFE4-47CA-9303-E77BFBF79489}"/>
    <cellStyle name="Migliaia 41 4 2 3 4" xfId="42309" xr:uid="{E6DDFDBE-D06D-4074-B86D-99E3EF7A71EC}"/>
    <cellStyle name="Migliaia 41 4 2 3 5" xfId="12029" xr:uid="{9F30BB87-1D97-42A1-B797-EE4AE4DE2AA4}"/>
    <cellStyle name="Migliaia 41 4 2 4" xfId="11378" xr:uid="{DE8E7B8A-7E71-4138-ABB5-2B12FBDD44A0}"/>
    <cellStyle name="Migliaia 41 4 2 5" xfId="10911" xr:uid="{4C1A4322-6650-4108-BCB2-57BD51ACFA0C}"/>
    <cellStyle name="Migliaia 41 4 2 5 2" xfId="21546" xr:uid="{D297181E-B8B6-465B-B4E3-77170C3E9887}"/>
    <cellStyle name="Migliaia 41 4 2 5 3" xfId="32296" xr:uid="{0954944C-C574-4EE4-B282-5958D17161BD}"/>
    <cellStyle name="Migliaia 41 4 2 5 4" xfId="50561" xr:uid="{580CBDB0-F899-4233-AE1F-ECA6C400C83C}"/>
    <cellStyle name="Migliaia 41 4 2 5 5" xfId="53577" xr:uid="{E9E84837-FB54-4E57-87B0-4FD97C3228EE}"/>
    <cellStyle name="Migliaia 41 4 2 6" xfId="20632" xr:uid="{7340A75D-DC49-4EF1-BCB3-5A15CC4430E4}"/>
    <cellStyle name="Migliaia 41 4 2 7" xfId="25008" xr:uid="{13C65749-3881-42EF-A64E-8EE2BB235D9E}"/>
    <cellStyle name="Migliaia 41 4 2 8" xfId="8694" xr:uid="{29870646-EBA1-4B21-8A05-8DC124E8817F}"/>
    <cellStyle name="Migliaia 41 4 3" xfId="5400" xr:uid="{57ABE550-183B-4D9B-91BB-7176C2F47CF2}"/>
    <cellStyle name="Migliaia 41 4 3 2" xfId="18233" xr:uid="{35B943FE-27B3-4651-BD08-B684101A12F6}"/>
    <cellStyle name="Migliaia 41 4 3 2 2" xfId="39659" xr:uid="{F0647A8C-9546-402A-9B69-C17C8338EB75}"/>
    <cellStyle name="Migliaia 41 4 3 2 3" xfId="44961" xr:uid="{0A109135-C54A-4941-AEFC-B4F951313E2D}"/>
    <cellStyle name="Migliaia 41 4 3 3" xfId="37059" xr:uid="{643B86CF-C6C5-461D-9EAE-5534231BD581}"/>
    <cellStyle name="Migliaia 41 4 3 4" xfId="42310" xr:uid="{FECCEF29-FB20-4014-BC75-E918D6051B74}"/>
    <cellStyle name="Migliaia 41 4 3 5" xfId="17320" xr:uid="{D1B6A159-C346-4DFD-B2C5-3849D427E210}"/>
    <cellStyle name="Migliaia 41 4 3 6" xfId="9179" xr:uid="{1EF10DBD-8513-4E72-964B-B4631020BAF7}"/>
    <cellStyle name="Migliaia 41 4 4" xfId="6589" xr:uid="{644339AC-D222-4D57-A042-89D255E7F645}"/>
    <cellStyle name="Migliaia 41 4 4 2" xfId="34108" xr:uid="{8E6ACFAC-6EB7-49FF-BA32-3A74FED2932E}"/>
    <cellStyle name="Migliaia 41 4 4 2 2" xfId="39660" xr:uid="{B407FAB9-4601-46B1-8EBB-32BF9DCA43C7}"/>
    <cellStyle name="Migliaia 41 4 4 2 3" xfId="44962" xr:uid="{8A60B855-4493-4D95-A88A-EB534020B5FB}"/>
    <cellStyle name="Migliaia 41 4 4 3" xfId="37060" xr:uid="{4AB9B8C4-BD01-4CAC-83B4-71A694925EFF}"/>
    <cellStyle name="Migliaia 41 4 4 4" xfId="42311" xr:uid="{794D014E-EB3A-4032-9D74-A103FF59EDB7}"/>
    <cellStyle name="Migliaia 41 4 4 5" xfId="12030" xr:uid="{0538037C-27ED-4B10-BE11-6F7C6C7F2597}"/>
    <cellStyle name="Migliaia 41 4 5" xfId="3674" xr:uid="{48D38193-51CB-4F37-9660-A67B15AF9EA3}"/>
    <cellStyle name="Migliaia 41 4 5 2" xfId="34109" xr:uid="{60F7753D-E222-45A2-A333-F20DB3D03835}"/>
    <cellStyle name="Migliaia 41 4 5 2 2" xfId="39661" xr:uid="{AC51F5AD-652B-4A64-AB8C-8A92CF83F547}"/>
    <cellStyle name="Migliaia 41 4 5 2 3" xfId="44963" xr:uid="{926E6578-054E-4BA0-8972-85E3D6D4CA5D}"/>
    <cellStyle name="Migliaia 41 4 5 3" xfId="37061" xr:uid="{F7A861D7-F6A2-4636-A14F-FDF6281E554E}"/>
    <cellStyle name="Migliaia 41 4 5 4" xfId="42312" xr:uid="{6091078E-A9ED-4CA9-8F03-464AEC4C332E}"/>
    <cellStyle name="Migliaia 41 4 5 5" xfId="11377" xr:uid="{CDCCA49D-692F-4D48-9D55-599A0CDE8DE1}"/>
    <cellStyle name="Migliaia 41 4 6" xfId="10910" xr:uid="{3B874466-C450-4B29-ABA6-0714AFB72B33}"/>
    <cellStyle name="Migliaia 41 4 6 2" xfId="21545" xr:uid="{A87C5062-1B88-4194-B5AE-D753C51BB5C4}"/>
    <cellStyle name="Migliaia 41 4 6 2 2" xfId="39662" xr:uid="{8860EAE8-0F0F-4767-AF0A-FA816EB3D2DD}"/>
    <cellStyle name="Migliaia 41 4 6 2 3" xfId="44964" xr:uid="{013DBEE3-46F1-43CB-8781-8CA57114BBFF}"/>
    <cellStyle name="Migliaia 41 4 6 2 4" xfId="34110" xr:uid="{CC0D77A4-EACD-4582-8E85-EFA5B5F542DB}"/>
    <cellStyle name="Migliaia 41 4 6 3" xfId="37062" xr:uid="{FC37E175-B1D0-43B6-857F-8FAE1FE23656}"/>
    <cellStyle name="Migliaia 41 4 6 4" xfId="42313" xr:uid="{2AD99E77-5025-408B-9E12-58ED825FB11B}"/>
    <cellStyle name="Migliaia 41 4 6 5" xfId="25009" xr:uid="{36CDAB8D-8ED2-4382-8C19-76882376DDD6}"/>
    <cellStyle name="Migliaia 41 4 6 6" xfId="46258" xr:uid="{EDA256BD-7128-4705-AB38-9BEB1ECE9C9D}"/>
    <cellStyle name="Migliaia 41 4 6 7" xfId="50560" xr:uid="{17AA54BB-853D-4F1B-8D71-304ED2919D4B}"/>
    <cellStyle name="Migliaia 41 4 6 8" xfId="53576" xr:uid="{95C50941-CCC4-45FE-B238-CF6B0CDE49DC}"/>
    <cellStyle name="Migliaia 41 4 7" xfId="20631" xr:uid="{06DBF93B-484A-4E5E-83E5-431AEB83DAB5}"/>
    <cellStyle name="Migliaia 41 4 7 2" xfId="34111" xr:uid="{8CBBD78D-0260-419F-AF4D-EE06A6835BB8}"/>
    <cellStyle name="Migliaia 41 4 7 2 2" xfId="39663" xr:uid="{B2DF1348-C5E2-4D43-8E0F-E51B061743AA}"/>
    <cellStyle name="Migliaia 41 4 7 2 3" xfId="44965" xr:uid="{2B8453B4-5257-42E1-8BFC-9B5DCB8D3D76}"/>
    <cellStyle name="Migliaia 41 4 7 3" xfId="37063" xr:uid="{7F7A05E7-4818-48DB-ACE8-D9FD3CD2AA66}"/>
    <cellStyle name="Migliaia 41 4 7 4" xfId="42314" xr:uid="{B2E6EADA-1692-498F-8C0D-1A84AFED3A90}"/>
    <cellStyle name="Migliaia 41 4 7 5" xfId="25010" xr:uid="{B2CF51E2-DD6C-44FB-99A3-D81CB1745392}"/>
    <cellStyle name="Migliaia 41 4 8" xfId="25007" xr:uid="{2CE0A57D-FD9B-43F0-8FD2-75FA808FF554}"/>
    <cellStyle name="Migliaia 41 4 9" xfId="7504" xr:uid="{77B076FB-7022-4C39-8CEC-910716A1F41C}"/>
    <cellStyle name="Migliaia 41 5" xfId="1835" xr:uid="{00000000-0005-0000-0000-000002040000}"/>
    <cellStyle name="Migliaia 41 5 2" xfId="5402" xr:uid="{5B9AF5BB-B682-4D79-8DE9-2B41D3B87B7B}"/>
    <cellStyle name="Migliaia 41 5 2 2" xfId="18469" xr:uid="{BB49E6EF-2F1C-4D41-9D83-25C2EC6DDE20}"/>
    <cellStyle name="Migliaia 41 5 2 2 2" xfId="39664" xr:uid="{BBBADB65-CD3D-4652-82CC-D4DB527FFCA5}"/>
    <cellStyle name="Migliaia 41 5 2 2 3" xfId="44966" xr:uid="{FB4745D1-4178-40BD-91A3-C3BEDE3BBAED}"/>
    <cellStyle name="Migliaia 41 5 2 3" xfId="20634" xr:uid="{549AFE9E-3ACE-463D-A471-0CFD376C6EC5}"/>
    <cellStyle name="Migliaia 41 5 2 3 2" xfId="37064" xr:uid="{7752558F-71C8-4F38-8460-3F69D43C5267}"/>
    <cellStyle name="Migliaia 41 5 2 4" xfId="42315" xr:uid="{7EF7C16D-9DAD-46AA-9426-E4235C93CBEA}"/>
    <cellStyle name="Migliaia 41 5 2 5" xfId="16566" xr:uid="{C8DAAEB5-FC86-4CE0-96BB-CBFE863E5DF9}"/>
    <cellStyle name="Migliaia 41 5 2 6" xfId="8695" xr:uid="{599AF1C2-2745-4E59-B043-B89402E92A36}"/>
    <cellStyle name="Migliaia 41 5 3" xfId="6590" xr:uid="{A9DCFD99-76E1-4D5A-93B9-359DF6A1AA1F}"/>
    <cellStyle name="Migliaia 41 5 3 2" xfId="34112" xr:uid="{1DB1D63B-E34D-40ED-91EE-401888E5FB70}"/>
    <cellStyle name="Migliaia 41 5 3 2 2" xfId="39665" xr:uid="{F3B23F83-9874-412B-97D1-EB313D376B8A}"/>
    <cellStyle name="Migliaia 41 5 3 2 3" xfId="44967" xr:uid="{E940C95F-0AF5-463E-AA5C-EC40AE6B620F}"/>
    <cellStyle name="Migliaia 41 5 3 3" xfId="37065" xr:uid="{7B32B80B-A70C-434C-9713-08B9ADAE9B6F}"/>
    <cellStyle name="Migliaia 41 5 3 4" xfId="42316" xr:uid="{13A427BE-1D48-45CE-9A25-74C608DC0343}"/>
    <cellStyle name="Migliaia 41 5 3 5" xfId="11379" xr:uid="{CC301E79-2B7A-41F0-90DA-439460803275}"/>
    <cellStyle name="Migliaia 41 5 4" xfId="3676" xr:uid="{24A4F75F-356B-46B7-A5D7-9B28498CE010}"/>
    <cellStyle name="Migliaia 41 5 4 2" xfId="21547" xr:uid="{8F67C49A-EE76-4B04-B790-2D2BCCC8C233}"/>
    <cellStyle name="Migliaia 41 5 4 2 2" xfId="39666" xr:uid="{B7D9C7F1-B6F8-41BD-AAFB-537F7443BD5E}"/>
    <cellStyle name="Migliaia 41 5 4 2 3" xfId="44968" xr:uid="{A5D3E2A4-221C-4E9C-A225-313C7D574809}"/>
    <cellStyle name="Migliaia 41 5 4 2 4" xfId="34113" xr:uid="{15B4F3B6-E064-415E-981E-5E90E87698C1}"/>
    <cellStyle name="Migliaia 41 5 4 3" xfId="37066" xr:uid="{A46162F0-776B-4BEE-A9F0-6932C242839F}"/>
    <cellStyle name="Migliaia 41 5 4 4" xfId="42317" xr:uid="{0A10C200-1DDE-43EB-B982-7B1DF5CE5BB2}"/>
    <cellStyle name="Migliaia 41 5 4 5" xfId="25012" xr:uid="{7F0FD481-457B-4D56-82F2-EB95A7171C1C}"/>
    <cellStyle name="Migliaia 41 5 4 6" xfId="47118" xr:uid="{4AF26D37-F88D-4D71-A611-8EE77E1DF4D7}"/>
    <cellStyle name="Migliaia 41 5 4 7" xfId="50562" xr:uid="{F6DE96B4-C9D7-4F24-964C-0B86D2A96D61}"/>
    <cellStyle name="Migliaia 41 5 4 8" xfId="53578" xr:uid="{D3C8623E-B8C2-45F1-8699-2D25483D4A04}"/>
    <cellStyle name="Migliaia 41 5 4 9" xfId="10912" xr:uid="{F2B3FDD6-948F-43B0-9220-D114624EC539}"/>
    <cellStyle name="Migliaia 41 5 5" xfId="20633" xr:uid="{38BE6AA5-5727-4E11-8693-5B0FFD9E5CE1}"/>
    <cellStyle name="Migliaia 41 5 5 2" xfId="34114" xr:uid="{05D5CD27-945A-4910-BACC-5A11B8406C47}"/>
    <cellStyle name="Migliaia 41 5 5 2 2" xfId="39667" xr:uid="{E981CDD4-0A1E-44CA-B211-FD262E04F5AC}"/>
    <cellStyle name="Migliaia 41 5 5 2 3" xfId="44969" xr:uid="{89E14843-C217-4934-A828-C5FED416D201}"/>
    <cellStyle name="Migliaia 41 5 5 3" xfId="37067" xr:uid="{015C0A26-AA0E-4929-B6FB-A37A3CBC5027}"/>
    <cellStyle name="Migliaia 41 5 5 4" xfId="42318" xr:uid="{29C251F7-767A-49A3-941B-5FFB1CB8468D}"/>
    <cellStyle name="Migliaia 41 5 5 5" xfId="25013" xr:uid="{4ABC1534-EC0A-43F7-AC64-B42B09E5A069}"/>
    <cellStyle name="Migliaia 41 5 6" xfId="25014" xr:uid="{A5ACB79F-214F-4597-9F9C-79B10108838A}"/>
    <cellStyle name="Migliaia 41 5 6 2" xfId="34115" xr:uid="{F2E2E127-DC62-4E7E-88CD-DC1453FAD5E0}"/>
    <cellStyle name="Migliaia 41 5 6 2 2" xfId="39668" xr:uid="{13E647D2-2927-4831-B67F-DCD15411F3DA}"/>
    <cellStyle name="Migliaia 41 5 6 2 3" xfId="44970" xr:uid="{109130E9-ECD4-4422-A7B3-69A077626DC8}"/>
    <cellStyle name="Migliaia 41 5 6 3" xfId="37068" xr:uid="{106A4295-F09A-43D6-8D14-05C1D071DA8D}"/>
    <cellStyle name="Migliaia 41 5 6 4" xfId="42319" xr:uid="{0C234BF9-9F2F-41A0-9897-377BDFA4EF72}"/>
    <cellStyle name="Migliaia 41 5 7" xfId="25011" xr:uid="{53901848-5172-4D23-B613-8757119B875D}"/>
    <cellStyle name="Migliaia 41 5 8" xfId="7505" xr:uid="{AFC2450B-8B2B-41D5-91AD-2FEBFFB83D11}"/>
    <cellStyle name="Migliaia 41 6" xfId="3677" xr:uid="{64EBE5BE-22B6-4CD3-ACAB-945D61481878}"/>
    <cellStyle name="Migliaia 41 6 2" xfId="5403" xr:uid="{A182C449-281E-4104-B67F-B8166D007DF1}"/>
    <cellStyle name="Migliaia 41 6 2 2" xfId="9951" xr:uid="{DBCF0ED2-18A6-4DDD-963F-F6F29521C374}"/>
    <cellStyle name="Migliaia 41 6 2 3" xfId="18645" xr:uid="{2BE3DAB5-2C86-4EAB-970B-57ABE0D6CFA9}"/>
    <cellStyle name="Migliaia 41 6 2 4" xfId="20636" xr:uid="{8F2B280A-4CA3-4C6B-BACB-AF9D32E09B51}"/>
    <cellStyle name="Migliaia 41 6 2 5" xfId="32417" xr:uid="{E6219713-C2C3-4BFA-A8F3-E1471704A8FF}"/>
    <cellStyle name="Migliaia 41 6 2 6" xfId="16568" xr:uid="{FB7A3B08-1992-4547-9F92-FB4589648B96}"/>
    <cellStyle name="Migliaia 41 6 2 7" xfId="8690" xr:uid="{71819118-DF65-450D-BD41-B582D66B3822}"/>
    <cellStyle name="Migliaia 41 6 3" xfId="6591" xr:uid="{E4433CCD-FCA9-416A-9A73-816451B07F74}"/>
    <cellStyle name="Migliaia 41 6 3 2" xfId="35372" xr:uid="{73424A20-9428-42C3-8A99-3B40AE34075E}"/>
    <cellStyle name="Migliaia 41 6 3 2 2" xfId="40532" xr:uid="{625F64F1-0505-4532-A5D8-1C19814968C3}"/>
    <cellStyle name="Migliaia 41 6 3 2 3" xfId="45834" xr:uid="{5C6649FB-589D-4C5C-B15A-5E22FCA4DEA6}"/>
    <cellStyle name="Migliaia 41 6 3 3" xfId="37881" xr:uid="{FDA45F98-72A4-4006-9093-C73CEEA3FF56}"/>
    <cellStyle name="Migliaia 41 6 3 4" xfId="43183" xr:uid="{5A74474D-4048-4F7D-A92E-47503E11E4AF}"/>
    <cellStyle name="Migliaia 41 6 3 5" xfId="9714" xr:uid="{E94F2DE0-0C36-4577-9D30-B9B7917C7D3B}"/>
    <cellStyle name="Migliaia 41 6 4" xfId="20635" xr:uid="{A1C58C75-267F-4AFC-AA83-6A703D6F645A}"/>
    <cellStyle name="Migliaia 41 6 4 2" xfId="39669" xr:uid="{7294BEC7-D59C-4F63-9A3C-0B2C990329AC}"/>
    <cellStyle name="Migliaia 41 6 4 3" xfId="44971" xr:uid="{6416DAD6-9462-4E01-8D0E-E0364918B05C}"/>
    <cellStyle name="Migliaia 41 6 4 4" xfId="34116" xr:uid="{477C358B-6F70-48B2-B838-E32B9331B424}"/>
    <cellStyle name="Migliaia 41 6 5" xfId="37069" xr:uid="{73FB0A2D-47D5-4ED4-A739-F7DF158B8731}"/>
    <cellStyle name="Migliaia 41 6 6" xfId="42320" xr:uid="{2C6F5E2A-BA2C-4201-8CBB-87387866D3DE}"/>
    <cellStyle name="Migliaia 41 6 7" xfId="16567" xr:uid="{6A7A8A11-1989-4078-92C6-270B25423B5A}"/>
    <cellStyle name="Migliaia 41 6 8" xfId="7500" xr:uid="{06B433C0-9701-4CA7-8430-750ED955758C}"/>
    <cellStyle name="Migliaia 41 7" xfId="3678" xr:uid="{AB694BBD-D91F-4DE4-B3F6-A942DC9C1F35}"/>
    <cellStyle name="Migliaia 41 7 2" xfId="5404" xr:uid="{E6E82F0C-8A3E-4364-8460-1D0214C26916}"/>
    <cellStyle name="Migliaia 41 7 2 2" xfId="35373" xr:uid="{D56175CD-9B50-4514-BDDC-6A679362798E}"/>
    <cellStyle name="Migliaia 41 7 2 2 2" xfId="40533" xr:uid="{ABDDE411-0707-499D-87ED-994CFCC23D69}"/>
    <cellStyle name="Migliaia 41 7 2 2 3" xfId="45835" xr:uid="{72CC50C2-1340-4215-82B5-F4C2A7A5B94D}"/>
    <cellStyle name="Migliaia 41 7 2 3" xfId="37882" xr:uid="{608E0254-3CA5-4445-89A4-502EDB7CE72E}"/>
    <cellStyle name="Migliaia 41 7 2 4" xfId="43184" xr:uid="{87C6EA41-C821-455E-B96E-F5F53E736370}"/>
    <cellStyle name="Migliaia 41 7 2 5" xfId="14284" xr:uid="{08CABD1B-3429-43A1-8199-8C8196ED8EC7}"/>
    <cellStyle name="Migliaia 41 7 3" xfId="6592" xr:uid="{FF2122F4-0943-43D6-BA95-C723958CF4A9}"/>
    <cellStyle name="Migliaia 41 7 3 2" xfId="39670" xr:uid="{8CBB92C4-45A4-427A-A3F6-B56FB903E85A}"/>
    <cellStyle name="Migliaia 41 7 3 3" xfId="44972" xr:uid="{61E2C023-3C1E-4F8A-8549-907D8389F904}"/>
    <cellStyle name="Migliaia 41 7 3 4" xfId="34117" xr:uid="{9DB40DEE-0BC2-47F1-B991-20EAD9A5C87E}"/>
    <cellStyle name="Migliaia 41 7 3 5" xfId="20637" xr:uid="{90BA7B7B-A7FD-4A4E-AB6F-7188633A83DF}"/>
    <cellStyle name="Migliaia 41 7 4" xfId="37070" xr:uid="{F9E9F99C-6F55-41C9-96E6-F36FFDF4D4DB}"/>
    <cellStyle name="Migliaia 41 7 5" xfId="42321" xr:uid="{28B09A89-7A21-4B06-BD79-F9CAE819E143}"/>
    <cellStyle name="Migliaia 41 7 6" xfId="16569" xr:uid="{427F9776-C4EC-41FD-A631-C8391F01E182}"/>
    <cellStyle name="Migliaia 41 7 7" xfId="8346" xr:uid="{97D2DE38-6700-4F0B-8DA3-4270B6069CB6}"/>
    <cellStyle name="Migliaia 41 8" xfId="3679" xr:uid="{1F3D00DE-01F6-4BD7-95C0-2747F8039565}"/>
    <cellStyle name="Migliaia 41 8 2" xfId="5405" xr:uid="{2F1B0665-19C4-4449-80F2-0E8435B1CBAD}"/>
    <cellStyle name="Migliaia 41 8 2 2" xfId="35374" xr:uid="{16208FFA-5163-42DE-97BA-B2C6F1DA84E8}"/>
    <cellStyle name="Migliaia 41 8 2 2 2" xfId="40534" xr:uid="{5960E34F-48FD-4219-BCC4-6C2CC5E2C4AC}"/>
    <cellStyle name="Migliaia 41 8 2 2 3" xfId="45836" xr:uid="{F5390EF0-6DD0-472B-B31E-A48019A7E879}"/>
    <cellStyle name="Migliaia 41 8 2 3" xfId="37883" xr:uid="{F6EE9643-F643-46E7-8A18-3162593CB5C1}"/>
    <cellStyle name="Migliaia 41 8 2 4" xfId="43185" xr:uid="{5D7512A2-9E44-4E06-A23B-09CD10B8671A}"/>
    <cellStyle name="Migliaia 41 8 2 5" xfId="13989" xr:uid="{1FB5A1EE-7924-4747-884E-A6BAE0D55ED4}"/>
    <cellStyle name="Migliaia 41 8 3" xfId="6593" xr:uid="{DB823D79-6E06-4B3E-A7A2-793B3ADC91C4}"/>
    <cellStyle name="Migliaia 41 8 3 2" xfId="39671" xr:uid="{0A906E5B-5D6E-4898-89E4-2FB33000F402}"/>
    <cellStyle name="Migliaia 41 8 3 3" xfId="44973" xr:uid="{7A299ECC-6B93-4B66-99B4-88D75391B5EB}"/>
    <cellStyle name="Migliaia 41 8 3 4" xfId="34118" xr:uid="{E93B39C3-48AE-4B7A-A9BD-06132B22BA34}"/>
    <cellStyle name="Migliaia 41 8 3 5" xfId="20638" xr:uid="{FD374B21-D3CC-4007-A3EF-C280DD7891FB}"/>
    <cellStyle name="Migliaia 41 8 4" xfId="37071" xr:uid="{199934E5-773F-4A6B-8038-1AB7A294F76B}"/>
    <cellStyle name="Migliaia 41 8 5" xfId="42322" xr:uid="{0032F8C1-43FD-480E-80AB-F8BC538AB216}"/>
    <cellStyle name="Migliaia 41 8 6" xfId="16570" xr:uid="{1143FA6D-93F2-450D-8C60-58DB8E830FCE}"/>
    <cellStyle name="Migliaia 41 8 7" xfId="7962" xr:uid="{2D6C33EC-AB37-4FE0-9C99-F60697025DEE}"/>
    <cellStyle name="Migliaia 41 9" xfId="5390" xr:uid="{4ACE08C6-2C20-46FA-AC8E-1D2D865DA549}"/>
    <cellStyle name="Migliaia 41 9 2" xfId="34119" xr:uid="{0C30C3B9-06AE-4A14-8BF9-F2695B42EC56}"/>
    <cellStyle name="Migliaia 41 9 2 2" xfId="39672" xr:uid="{9E2B7AC6-5332-42F3-B237-468615DCB2DA}"/>
    <cellStyle name="Migliaia 41 9 2 3" xfId="44974" xr:uid="{2980C7C0-9A8C-487F-91DF-4DC808D28D6F}"/>
    <cellStyle name="Migliaia 41 9 3" xfId="37072" xr:uid="{E802DB20-AF27-43B1-9053-2C5120DF0A47}"/>
    <cellStyle name="Migliaia 41 9 4" xfId="42323" xr:uid="{921B04B9-0282-4025-89DB-A79649FD869D}"/>
    <cellStyle name="Migliaia 41 9 5" xfId="17205" xr:uid="{3F74649E-36D4-4D71-A3B5-88596FEBFDB2}"/>
    <cellStyle name="Migliaia 42" xfId="445" xr:uid="{00000000-0005-0000-0000-000003040000}"/>
    <cellStyle name="Migliaia 42 10" xfId="6594" xr:uid="{4CA667ED-9C0C-4A5B-93E9-45E13265C50F}"/>
    <cellStyle name="Migliaia 42 10 2" xfId="39673" xr:uid="{FBA18652-CFCC-4487-B18D-F20E8943328D}"/>
    <cellStyle name="Migliaia 42 10 3" xfId="44975" xr:uid="{C33B1DD2-C26C-49EC-85F0-F882A43535C1}"/>
    <cellStyle name="Migliaia 42 10 4" xfId="34120" xr:uid="{92BAEC75-5046-4F34-865C-C8B08A811C63}"/>
    <cellStyle name="Migliaia 42 10 5" xfId="20639" xr:uid="{78FDB559-F84D-4B8E-A92D-CB7FD5EC773E}"/>
    <cellStyle name="Migliaia 42 11" xfId="3680" xr:uid="{63575C2D-0943-4508-94B2-FF374F8D3B40}"/>
    <cellStyle name="Migliaia 42 11 2" xfId="37073" xr:uid="{C24EEEE5-2650-4934-B852-66EBE9F6E65B}"/>
    <cellStyle name="Migliaia 42 12" xfId="42324" xr:uid="{A4D6DA36-829F-40D9-9100-C556C2CB2D3E}"/>
    <cellStyle name="Migliaia 42 13" xfId="7150" xr:uid="{D53E19C0-5F6C-450C-B516-13CD276D2FFB}"/>
    <cellStyle name="Migliaia 42 2" xfId="446" xr:uid="{00000000-0005-0000-0000-000004040000}"/>
    <cellStyle name="Migliaia 42 2 2" xfId="1836" xr:uid="{00000000-0005-0000-0000-000005040000}"/>
    <cellStyle name="Migliaia 42 2 2 2" xfId="5408" xr:uid="{FC4DF6BE-260D-4227-BB92-FF8BE8E97E50}"/>
    <cellStyle name="Migliaia 42 2 2 2 2" xfId="14399" xr:uid="{16FD9EFA-762F-4CE1-B059-2B1561E22968}"/>
    <cellStyle name="Migliaia 42 2 2 2 2 2" xfId="39674" xr:uid="{474DE85D-5B37-473C-9D76-F8CBB9773ED1}"/>
    <cellStyle name="Migliaia 42 2 2 2 2 3" xfId="44976" xr:uid="{1EF34E44-DD9A-4274-A784-FCC7F69DF060}"/>
    <cellStyle name="Migliaia 42 2 2 2 3" xfId="18470" xr:uid="{603D8668-9A85-41F7-AE7B-D792CED87B6B}"/>
    <cellStyle name="Migliaia 42 2 2 2 4" xfId="20642" xr:uid="{C0E7D02A-B75D-46FF-8E4F-D0780FECC6ED}"/>
    <cellStyle name="Migliaia 42 2 2 2 4 2" xfId="42325" xr:uid="{76E20149-FB91-47A8-84FB-158618E2C3E2}"/>
    <cellStyle name="Migliaia 42 2 2 2 5" xfId="16571" xr:uid="{DAB33F08-4853-4416-B920-577479B8FFBD}"/>
    <cellStyle name="Migliaia 42 2 2 2 6" xfId="8697" xr:uid="{22BA0BCD-22AF-4B70-8273-0921B6C5B3AE}"/>
    <cellStyle name="Migliaia 42 2 2 3" xfId="6596" xr:uid="{9CECB5FF-B687-427A-92DB-2183CFD32993}"/>
    <cellStyle name="Migliaia 42 2 2 3 2" xfId="35375" xr:uid="{391A201B-7809-4275-B189-81D743CAC599}"/>
    <cellStyle name="Migliaia 42 2 2 3 2 2" xfId="40535" xr:uid="{CFD95F3E-85EE-4340-A779-2F1C32325E44}"/>
    <cellStyle name="Migliaia 42 2 2 3 2 3" xfId="45837" xr:uid="{7C7F94A1-7034-4C1F-85D9-B19EBE2AC6B8}"/>
    <cellStyle name="Migliaia 42 2 2 3 3" xfId="37884" xr:uid="{29154DFC-2A20-4D8B-902D-D3B6CFF149F6}"/>
    <cellStyle name="Migliaia 42 2 2 3 4" xfId="43186" xr:uid="{36AF4D62-237A-419E-893A-5A78453A91D9}"/>
    <cellStyle name="Migliaia 42 2 2 3 5" xfId="11626" xr:uid="{0041E145-7DB8-4A09-8A55-9D846EDB3BFE}"/>
    <cellStyle name="Migliaia 42 2 2 4" xfId="3682" xr:uid="{C3433140-B375-4634-B4A8-6DE0989B7C51}"/>
    <cellStyle name="Migliaia 42 2 2 4 2" xfId="21548" xr:uid="{E362E10A-77BB-424A-9D38-5478E96FB660}"/>
    <cellStyle name="Migliaia 42 2 2 4 3" xfId="47309" xr:uid="{3EA5971F-AAFA-4FA2-B634-7C5F74502D3C}"/>
    <cellStyle name="Migliaia 42 2 2 4 4" xfId="50563" xr:uid="{C00BDEED-CA2A-48F3-9344-7848D7E19869}"/>
    <cellStyle name="Migliaia 42 2 2 4 5" xfId="53579" xr:uid="{BB3BC3ED-94AE-4403-A618-050B2239ADF5}"/>
    <cellStyle name="Migliaia 42 2 2 4 6" xfId="10913" xr:uid="{AB72B128-DED0-4546-BF22-475381BA55F9}"/>
    <cellStyle name="Migliaia 42 2 2 5" xfId="20641" xr:uid="{12AB9F2E-D69F-4289-961C-AF5189CACB86}"/>
    <cellStyle name="Migliaia 42 2 2 6" xfId="25016" xr:uid="{152A06A6-5A2D-4BD7-A9F2-D8CFD461D767}"/>
    <cellStyle name="Migliaia 42 2 2 7" xfId="7507" xr:uid="{CB9DE556-7B75-48F5-8773-A2EC8FE61D9C}"/>
    <cellStyle name="Migliaia 42 2 3" xfId="3683" xr:uid="{B7EDE378-2CD8-4A31-8C5A-827F0011BC37}"/>
    <cellStyle name="Migliaia 42 2 3 2" xfId="5409" xr:uid="{7A25153E-547F-4B10-9912-2C02885DF10C}"/>
    <cellStyle name="Migliaia 42 2 3 2 2" xfId="35376" xr:uid="{DA528DE9-17F9-4026-86B5-90E4920F8CF6}"/>
    <cellStyle name="Migliaia 42 2 3 2 2 2" xfId="40536" xr:uid="{D51C024C-236F-44C8-8D5E-7CD627A64CC3}"/>
    <cellStyle name="Migliaia 42 2 3 2 2 3" xfId="45838" xr:uid="{7D8B117B-3332-4F5B-8A4D-16B2EE3967B0}"/>
    <cellStyle name="Migliaia 42 2 3 2 3" xfId="37885" xr:uid="{6432F162-0550-41FA-8C89-ADC22E7CC6C9}"/>
    <cellStyle name="Migliaia 42 2 3 2 4" xfId="43187" xr:uid="{9A8C8520-C97E-416C-833F-EE8282CB605C}"/>
    <cellStyle name="Migliaia 42 2 3 2 5" xfId="14288" xr:uid="{7818B884-3E8C-4EA1-9144-0F7B234EEDCA}"/>
    <cellStyle name="Migliaia 42 2 3 3" xfId="6597" xr:uid="{BEB49CE5-149C-4004-8F7B-74C637C35268}"/>
    <cellStyle name="Migliaia 42 2 3 3 2" xfId="39675" xr:uid="{2C7F0003-4315-4DB9-8585-98232C4F275C}"/>
    <cellStyle name="Migliaia 42 2 3 3 3" xfId="44977" xr:uid="{FE6A2E17-7532-4E08-A00D-063BC3A90268}"/>
    <cellStyle name="Migliaia 42 2 3 3 4" xfId="34121" xr:uid="{2C41090A-6182-401E-BC50-11AF5BF5F7E7}"/>
    <cellStyle name="Migliaia 42 2 3 3 5" xfId="20643" xr:uid="{A228E10F-E31B-4FCA-959B-E5183BF4802C}"/>
    <cellStyle name="Migliaia 42 2 3 4" xfId="37074" xr:uid="{6B16147C-715C-43CB-BD86-6421DCA272F9}"/>
    <cellStyle name="Migliaia 42 2 3 5" xfId="42326" xr:uid="{E79CC83C-FF94-4A04-B183-89556A0605BA}"/>
    <cellStyle name="Migliaia 42 2 3 6" xfId="16572" xr:uid="{1E85E9CB-C049-4B90-B961-231F295486E0}"/>
    <cellStyle name="Migliaia 42 2 3 7" xfId="8350" xr:uid="{42B1F9B4-B46C-4350-BC6C-3C91AA2C1B38}"/>
    <cellStyle name="Migliaia 42 2 4" xfId="5407" xr:uid="{CA689A89-2784-4832-9BD9-6035668EF8D8}"/>
    <cellStyle name="Migliaia 42 2 4 2" xfId="13993" xr:uid="{2C7B4CFF-FA78-4282-8CAE-3871F9C8D840}"/>
    <cellStyle name="Migliaia 42 2 4 2 2" xfId="39676" xr:uid="{C8B4B55F-4478-4A59-BF32-A7BEB0EED60D}"/>
    <cellStyle name="Migliaia 42 2 4 2 3" xfId="44978" xr:uid="{1BDEB0EA-8F9B-479A-B22E-7C8C2F8E4263}"/>
    <cellStyle name="Migliaia 42 2 4 3" xfId="18698" xr:uid="{629751DE-D6A1-4A8E-92D3-443D3B07E9A5}"/>
    <cellStyle name="Migliaia 42 2 4 4" xfId="20644" xr:uid="{47C2361D-4403-4AB3-9AD5-BF208EAE24FE}"/>
    <cellStyle name="Migliaia 42 2 4 4 2" xfId="42327" xr:uid="{DCF47A8D-785A-4C7D-A225-F1E36B1A0CBA}"/>
    <cellStyle name="Migliaia 42 2 4 5" xfId="16573" xr:uid="{B7F70B6D-8CCB-463C-94C4-EB1473027240}"/>
    <cellStyle name="Migliaia 42 2 4 6" xfId="7967" xr:uid="{17310118-7B23-4F76-81BB-C16B75D9215D}"/>
    <cellStyle name="Migliaia 42 2 5" xfId="6595" xr:uid="{E6E24544-EE03-4DAD-93FD-0DE641D8DCCF}"/>
    <cellStyle name="Migliaia 42 2 5 2" xfId="34122" xr:uid="{D5DE7451-7D69-4B81-97C6-AB320B09D45E}"/>
    <cellStyle name="Migliaia 42 2 5 2 2" xfId="39677" xr:uid="{12C3C188-A4A5-4B82-85B8-D9DEB8DAD615}"/>
    <cellStyle name="Migliaia 42 2 5 2 3" xfId="44979" xr:uid="{29AC3EB2-CB36-42F3-B577-EF6A6D0D80BF}"/>
    <cellStyle name="Migliaia 42 2 5 3" xfId="37075" xr:uid="{10AA29A1-3C80-42F6-8614-80B28451E87B}"/>
    <cellStyle name="Migliaia 42 2 5 4" xfId="42328" xr:uid="{3EAE7413-D230-4437-B7CD-FD5F0D69AA4E}"/>
    <cellStyle name="Migliaia 42 2 5 5" xfId="13139" xr:uid="{A73740C3-5E05-4761-A792-B2B280AECDEF}"/>
    <cellStyle name="Migliaia 42 2 6" xfId="3681" xr:uid="{98B60FD5-F5FB-4C1F-B12C-DB87333136C2}"/>
    <cellStyle name="Migliaia 42 2 6 2" xfId="34123" xr:uid="{5A677FA6-D4F6-4B1D-9FEE-71CB50005D38}"/>
    <cellStyle name="Migliaia 42 2 6 2 2" xfId="39678" xr:uid="{9B4F3087-F573-47A2-8CBF-DC48F2CB7103}"/>
    <cellStyle name="Migliaia 42 2 6 2 3" xfId="44980" xr:uid="{110E8423-1CB9-4285-8451-6546F9EACB94}"/>
    <cellStyle name="Migliaia 42 2 6 3" xfId="37076" xr:uid="{3EE9DD15-0BBB-462C-96FA-F5807D7E8336}"/>
    <cellStyle name="Migliaia 42 2 6 4" xfId="42329" xr:uid="{FD4D46B5-4797-4D29-8ADB-DB947C45D3BB}"/>
    <cellStyle name="Migliaia 42 2 6 5" xfId="25017" xr:uid="{72AC9495-4537-40EB-93C0-0977A85AFF0F}"/>
    <cellStyle name="Migliaia 42 2 6 6" xfId="20640" xr:uid="{41A50701-6C6F-4C43-96A3-609540EE791C}"/>
    <cellStyle name="Migliaia 42 2 7" xfId="25015" xr:uid="{D127CEE8-50C8-4219-8735-C47DF7E18DE4}"/>
    <cellStyle name="Migliaia 42 2 8" xfId="7151" xr:uid="{47962C00-BF36-4EA5-9BDA-27F18695023F}"/>
    <cellStyle name="Migliaia 42 3" xfId="447" xr:uid="{00000000-0005-0000-0000-000006040000}"/>
    <cellStyle name="Migliaia 42 3 10" xfId="25018" xr:uid="{D6AADFE3-80E2-4A6E-8472-88BFF57D4C4E}"/>
    <cellStyle name="Migliaia 42 3 11" xfId="16574" xr:uid="{3A20ABCA-E18E-4E83-9C6C-934D62725D78}"/>
    <cellStyle name="Migliaia 42 3 12" xfId="7152" xr:uid="{9379673C-91F8-45BF-87BB-C781451C25C9}"/>
    <cellStyle name="Migliaia 42 3 2" xfId="448" xr:uid="{00000000-0005-0000-0000-000007040000}"/>
    <cellStyle name="Migliaia 42 3 2 2" xfId="1837" xr:uid="{00000000-0005-0000-0000-000008040000}"/>
    <cellStyle name="Migliaia 42 3 2 2 2" xfId="5412" xr:uid="{6F73CBD8-D11F-4FCC-BE10-340B3C8D2687}"/>
    <cellStyle name="Migliaia 42 3 2 2 2 2" xfId="18471" xr:uid="{B0DF7848-59FE-4CF7-8D23-71BA4B1F1BEE}"/>
    <cellStyle name="Migliaia 42 3 2 2 2 2 2" xfId="21877" xr:uid="{E9E7F037-9624-4C90-8119-04AA2263CCAA}"/>
    <cellStyle name="Migliaia 42 3 2 2 2 2 2 2" xfId="39679" xr:uid="{210C82CE-FA05-4C3C-B6B0-3EFB65765F2B}"/>
    <cellStyle name="Migliaia 42 3 2 2 2 2 3" xfId="44981" xr:uid="{FBA4F13F-20D1-4B22-AC54-47C83C97CA24}"/>
    <cellStyle name="Migliaia 42 3 2 2 2 2 4" xfId="34124" xr:uid="{10E01876-9554-41C4-B702-9E38C4F809CC}"/>
    <cellStyle name="Migliaia 42 3 2 2 2 3" xfId="37077" xr:uid="{A92F6058-736B-4F84-A80C-42E4A5F0FD2C}"/>
    <cellStyle name="Migliaia 42 3 2 2 2 4" xfId="42330" xr:uid="{BA8335FC-5ADA-4FC3-8962-E6D643CC6A7E}"/>
    <cellStyle name="Migliaia 42 3 2 2 2 5" xfId="23988" xr:uid="{FFCE5E57-DE31-485F-A3BA-008373997C93}"/>
    <cellStyle name="Migliaia 42 3 2 2 2 6" xfId="50905" xr:uid="{FA9870B7-A6EA-4E8B-975A-DA0212DBF9FC}"/>
    <cellStyle name="Migliaia 42 3 2 2 2 7" xfId="53921" xr:uid="{494B921F-BBB0-417D-9779-4A33E8FEA2B4}"/>
    <cellStyle name="Migliaia 42 3 2 2 2 8" xfId="17675" xr:uid="{2174B7D5-601C-4A58-9744-75950DB64AD2}"/>
    <cellStyle name="Migliaia 42 3 2 2 2 9" xfId="12031" xr:uid="{411375EC-3586-4563-BFF8-DA297BFED320}"/>
    <cellStyle name="Migliaia 42 3 2 2 3" xfId="6600" xr:uid="{0328CB94-615F-4A6E-8AAF-C67B88E1B857}"/>
    <cellStyle name="Migliaia 42 3 2 2 3 2" xfId="11568" xr:uid="{5D7005F5-760A-495C-8C29-C62938DC432D}"/>
    <cellStyle name="Migliaia 42 3 2 2 4" xfId="3686" xr:uid="{8C01A4E3-8ABD-440E-8CDE-7F758DDC3D98}"/>
    <cellStyle name="Migliaia 42 3 2 2 4 2" xfId="21549" xr:uid="{8FAD40E7-F943-4A47-9E48-9C7E0AE1B22C}"/>
    <cellStyle name="Migliaia 42 3 2 2 4 3" xfId="47425" xr:uid="{606EFEA6-FDD2-4E27-91F0-61C082F1BF65}"/>
    <cellStyle name="Migliaia 42 3 2 2 4 4" xfId="50564" xr:uid="{7E585232-475A-4D95-BE5D-4A6CFAD4C7F4}"/>
    <cellStyle name="Migliaia 42 3 2 2 4 5" xfId="53580" xr:uid="{C158CF4A-83C5-4F6F-89E0-EA837C09DFB8}"/>
    <cellStyle name="Migliaia 42 3 2 2 4 6" xfId="10914" xr:uid="{AEBFA000-85C5-4F50-95EE-A714CA995C3A}"/>
    <cellStyle name="Migliaia 42 3 2 2 5" xfId="20647" xr:uid="{79ABB003-FB5B-454D-AD85-769AE11C1DAA}"/>
    <cellStyle name="Migliaia 42 3 2 2 6" xfId="25020" xr:uid="{7FDF8E4C-F6DE-4057-B352-C2714E8CB346}"/>
    <cellStyle name="Migliaia 42 3 2 2 7" xfId="8699" xr:uid="{E82652F7-89C5-4491-8D60-0813ADD81E0A}"/>
    <cellStyle name="Migliaia 42 3 2 3" xfId="5411" xr:uid="{7AE042D6-73EB-4AC6-BC85-07A616024026}"/>
    <cellStyle name="Migliaia 42 3 2 3 2" xfId="12406" xr:uid="{2DCB0AD6-61A0-4DBF-A0E8-16F5DBBFAE5E}"/>
    <cellStyle name="Migliaia 42 3 2 3 2 2" xfId="39680" xr:uid="{C28C5956-783C-4603-A280-666EB5DF5332}"/>
    <cellStyle name="Migliaia 42 3 2 3 2 3" xfId="44982" xr:uid="{6F38F036-6DA4-4DED-8A5D-9BDFA27EE6E5}"/>
    <cellStyle name="Migliaia 42 3 2 3 2 4" xfId="34125" xr:uid="{459715AD-4917-4A8B-A460-EAB7F6E93EB8}"/>
    <cellStyle name="Migliaia 42 3 2 3 3" xfId="12032" xr:uid="{F4BE4F1F-2C76-4735-9E3E-458E919DCD51}"/>
    <cellStyle name="Migliaia 42 3 2 3 4" xfId="20648" xr:uid="{895ACF05-6772-4D5E-B312-1CCB9B524110}"/>
    <cellStyle name="Migliaia 42 3 2 3 4 2" xfId="42331" xr:uid="{90153681-EA6A-4441-8E27-14887EB4C69C}"/>
    <cellStyle name="Migliaia 42 3 2 3 5" xfId="16575" xr:uid="{DCEFB2F3-9728-4A23-8C62-AB17E25AE7BB}"/>
    <cellStyle name="Migliaia 42 3 2 3 6" xfId="7969" xr:uid="{8A98B4BA-22BB-47C6-9CFD-F6F859CCACF1}"/>
    <cellStyle name="Migliaia 42 3 2 4" xfId="6599" xr:uid="{548C2C2F-34C3-4615-B91D-56194F789C96}"/>
    <cellStyle name="Migliaia 42 3 2 4 2" xfId="18093" xr:uid="{9338A041-5061-46EB-B5C4-D84D39735A85}"/>
    <cellStyle name="Migliaia 42 3 2 4 2 2" xfId="39681" xr:uid="{972E6E81-F91B-42F1-ADDE-2DA788FD7EA3}"/>
    <cellStyle name="Migliaia 42 3 2 4 2 3" xfId="44983" xr:uid="{CF25D883-5245-44EF-B3C4-BCE3ACD67541}"/>
    <cellStyle name="Migliaia 42 3 2 4 3" xfId="37078" xr:uid="{F6865A4E-3DE2-465B-84F5-FC4CCDFE6937}"/>
    <cellStyle name="Migliaia 42 3 2 4 4" xfId="42332" xr:uid="{D12478DD-874E-41E0-9012-4329D67C6055}"/>
    <cellStyle name="Migliaia 42 3 2 4 5" xfId="17208" xr:uid="{2C7ED76A-F9A4-490C-ACF9-27C574214624}"/>
    <cellStyle name="Migliaia 42 3 2 4 6" xfId="11380" xr:uid="{1F7B6F86-2BFE-47E7-BED5-9AD7983C8D2C}"/>
    <cellStyle name="Migliaia 42 3 2 5" xfId="3685" xr:uid="{046DF93E-5516-4292-A2CD-BE3E4CE547C4}"/>
    <cellStyle name="Migliaia 42 3 2 5 2" xfId="34126" xr:uid="{C16BB024-944E-4947-8D41-4984FF66AA7D}"/>
    <cellStyle name="Migliaia 42 3 2 5 2 2" xfId="39682" xr:uid="{99627C58-3987-49B3-A012-F16FC9D9D9BF}"/>
    <cellStyle name="Migliaia 42 3 2 5 2 3" xfId="44984" xr:uid="{B07E80A0-19AE-437C-8C3B-DB26858640CB}"/>
    <cellStyle name="Migliaia 42 3 2 5 3" xfId="37079" xr:uid="{5CF27984-ABDB-4688-A9CF-56A6CD8FC148}"/>
    <cellStyle name="Migliaia 42 3 2 5 4" xfId="42333" xr:uid="{CDC4C1FD-E28C-4EF6-9D6C-8F49F8714BA5}"/>
    <cellStyle name="Migliaia 42 3 2 5 5" xfId="17318" xr:uid="{664588A4-A51E-4891-A474-A6803CC71C60}"/>
    <cellStyle name="Migliaia 42 3 2 6" xfId="20646" xr:uid="{919CF251-2508-4690-AED7-701914E4BD49}"/>
    <cellStyle name="Migliaia 42 3 2 6 2" xfId="34127" xr:uid="{A54E5D9B-C3F4-41EC-B53B-825FCFA426AF}"/>
    <cellStyle name="Migliaia 42 3 2 6 2 2" xfId="39683" xr:uid="{9CD4C518-519C-44F8-9661-CBC634A43347}"/>
    <cellStyle name="Migliaia 42 3 2 6 2 3" xfId="44985" xr:uid="{E469F326-0284-49E6-A03C-30555A994FB7}"/>
    <cellStyle name="Migliaia 42 3 2 6 3" xfId="37080" xr:uid="{C2C7C948-3F13-41A2-9905-16D00EDFBEE3}"/>
    <cellStyle name="Migliaia 42 3 2 6 4" xfId="42334" xr:uid="{C47C88A6-A046-44AF-8967-7850DB7A39C1}"/>
    <cellStyle name="Migliaia 42 3 2 6 5" xfId="25021" xr:uid="{464085E3-6782-4785-9AA5-C0FA341E4FD1}"/>
    <cellStyle name="Migliaia 42 3 2 7" xfId="25019" xr:uid="{6D96BA6D-20D5-4BBE-9D30-DC618E1A0DAC}"/>
    <cellStyle name="Migliaia 42 3 2 8" xfId="7509" xr:uid="{5C5AC451-612B-43C6-81A9-7F0CEA49D912}"/>
    <cellStyle name="Migliaia 42 3 3" xfId="3687" xr:uid="{14AD234C-A93C-434D-8AA0-E9E268F695CA}"/>
    <cellStyle name="Migliaia 42 3 3 10" xfId="7508" xr:uid="{3AA6861F-5499-4BD7-BB74-A00259EB6600}"/>
    <cellStyle name="Migliaia 42 3 3 2" xfId="5413" xr:uid="{935F6128-386C-42F2-A7C2-5CED5BA480A5}"/>
    <cellStyle name="Migliaia 42 3 3 2 2" xfId="9954" xr:uid="{C54C5DF8-A766-4A7A-9ED0-0B94FECC10DD}"/>
    <cellStyle name="Migliaia 42 3 3 2 2 2" xfId="39685" xr:uid="{CE015A26-B7D1-4C39-9811-AB79CC501899}"/>
    <cellStyle name="Migliaia 42 3 3 2 2 3" xfId="44987" xr:uid="{9CD1730B-062F-4819-BD7F-D08AB98AC43D}"/>
    <cellStyle name="Migliaia 42 3 3 2 3" xfId="18234" xr:uid="{321031B4-1002-4B1D-83E2-C5F038249221}"/>
    <cellStyle name="Migliaia 42 3 3 2 4" xfId="20650" xr:uid="{4585F5E2-A727-4CC3-85B2-7AF4B3C09AED}"/>
    <cellStyle name="Migliaia 42 3 3 2 4 2" xfId="42336" xr:uid="{8E5B5955-3B8E-4E84-87BF-1F7B856DC025}"/>
    <cellStyle name="Migliaia 42 3 3 2 5" xfId="16577" xr:uid="{690A8058-8C5C-4D49-9A60-EB7E065DE3DE}"/>
    <cellStyle name="Migliaia 42 3 3 2 6" xfId="8698" xr:uid="{225F4972-5E5D-4A75-9148-8DFAF0FE524A}"/>
    <cellStyle name="Migliaia 42 3 3 3" xfId="6601" xr:uid="{CF9E21B0-96BE-4BA8-A247-D8194F45F190}"/>
    <cellStyle name="Migliaia 42 3 3 3 2" xfId="34129" xr:uid="{1DD9C758-0364-49C0-A045-BECD82D26BAF}"/>
    <cellStyle name="Migliaia 42 3 3 3 2 2" xfId="39686" xr:uid="{566BD775-A204-476E-B90A-EEC205DC28CE}"/>
    <cellStyle name="Migliaia 42 3 3 3 2 3" xfId="44988" xr:uid="{D7D039F6-728B-4B68-BC82-D7FFF33DBC20}"/>
    <cellStyle name="Migliaia 42 3 3 3 3" xfId="37082" xr:uid="{14848FD8-D93C-41C2-947B-98F36CB46461}"/>
    <cellStyle name="Migliaia 42 3 3 3 4" xfId="42337" xr:uid="{C9718DD5-02D0-4BDA-8576-9D522D0225C0}"/>
    <cellStyle name="Migliaia 42 3 3 3 5" xfId="9717" xr:uid="{0E80169B-1E6C-44B4-A4D4-A9C123E891BC}"/>
    <cellStyle name="Migliaia 42 3 3 4" xfId="20649" xr:uid="{82F555A5-158E-42ED-8D48-69289CE4B6F4}"/>
    <cellStyle name="Migliaia 42 3 3 4 2" xfId="34130" xr:uid="{BF3F9426-5B0A-4342-AF60-48316662C650}"/>
    <cellStyle name="Migliaia 42 3 3 4 2 2" xfId="39687" xr:uid="{FB8D534E-D82E-49A2-BCDA-D0769E0D31B5}"/>
    <cellStyle name="Migliaia 42 3 3 4 2 3" xfId="44989" xr:uid="{BC382741-B34E-4B46-B8C0-C137AC5E6676}"/>
    <cellStyle name="Migliaia 42 3 3 4 3" xfId="37083" xr:uid="{8E1DB54D-FB00-4211-8302-A677B0A42E62}"/>
    <cellStyle name="Migliaia 42 3 3 4 4" xfId="42338" xr:uid="{F715F4BA-9EFA-4233-AA21-114F93715F83}"/>
    <cellStyle name="Migliaia 42 3 3 4 5" xfId="25022" xr:uid="{F41961CC-134D-4345-9C69-2047B3FE4094}"/>
    <cellStyle name="Migliaia 42 3 3 5" xfId="25023" xr:uid="{5243B470-B646-42BB-B3A9-389D8A85E3B4}"/>
    <cellStyle name="Migliaia 42 3 3 5 2" xfId="34131" xr:uid="{2F4FA38B-E540-4D45-83E0-B5A4AD8F4499}"/>
    <cellStyle name="Migliaia 42 3 3 5 2 2" xfId="39688" xr:uid="{E3484864-E94B-4CC8-8D84-14E9795FF9BD}"/>
    <cellStyle name="Migliaia 42 3 3 5 2 3" xfId="44990" xr:uid="{3A217358-5944-4C17-95B0-F86393E026DF}"/>
    <cellStyle name="Migliaia 42 3 3 5 3" xfId="37084" xr:uid="{DE81502C-6E50-4508-B398-3D64BD167DC7}"/>
    <cellStyle name="Migliaia 42 3 3 5 4" xfId="42339" xr:uid="{E2D48FEB-9EC8-4157-B3D5-745959F64CE0}"/>
    <cellStyle name="Migliaia 42 3 3 6" xfId="34128" xr:uid="{8B6EB805-3E86-4563-927C-5269FC3ED6D6}"/>
    <cellStyle name="Migliaia 42 3 3 6 2" xfId="39684" xr:uid="{44109717-C499-4FCC-A2B8-0013D97A75AA}"/>
    <cellStyle name="Migliaia 42 3 3 6 3" xfId="44986" xr:uid="{572F0177-2376-4424-891E-0540DBE2FA3B}"/>
    <cellStyle name="Migliaia 42 3 3 7" xfId="37081" xr:uid="{5741A35A-74BA-4518-A4AA-7DB5C7AE28E4}"/>
    <cellStyle name="Migliaia 42 3 3 8" xfId="42335" xr:uid="{1D0DFCE9-B5D0-47EB-A1A4-584F734A0100}"/>
    <cellStyle name="Migliaia 42 3 3 9" xfId="16576" xr:uid="{C2AD4F90-E9F1-4E82-8500-DDC260279846}"/>
    <cellStyle name="Migliaia 42 3 4" xfId="3688" xr:uid="{F529A206-FE6C-46CC-BFB3-399F2C0C49CE}"/>
    <cellStyle name="Migliaia 42 3 4 2" xfId="5414" xr:uid="{BDADA8EF-4072-46E6-9238-9652E920CBC7}"/>
    <cellStyle name="Migliaia 42 3 4 2 2" xfId="14459" xr:uid="{56A8C100-BECD-4354-8A52-D33B6A3D3BF0}"/>
    <cellStyle name="Migliaia 42 3 4 2 3" xfId="18628" xr:uid="{2BA26BD7-1FC2-4AD7-879F-92FF607BB406}"/>
    <cellStyle name="Migliaia 42 3 4 2 4" xfId="20652" xr:uid="{C7024B64-1F0C-4A1D-9F46-685C16A1427F}"/>
    <cellStyle name="Migliaia 42 3 4 2 5" xfId="32418" xr:uid="{A9D93383-B5FC-40E3-B227-0C8339B075F4}"/>
    <cellStyle name="Migliaia 42 3 4 2 6" xfId="16579" xr:uid="{8CCD9A84-4652-45FD-9A14-991890218AF0}"/>
    <cellStyle name="Migliaia 42 3 4 2 7" xfId="8882" xr:uid="{99B3A80C-A8FD-4980-9169-04689D52FD2B}"/>
    <cellStyle name="Migliaia 42 3 4 3" xfId="6602" xr:uid="{94099431-B308-4B76-BCDA-426073D11105}"/>
    <cellStyle name="Migliaia 42 3 4 3 2" xfId="35377" xr:uid="{68C7BCAC-2721-4934-AEAF-6FA9739E450F}"/>
    <cellStyle name="Migliaia 42 3 4 3 2 2" xfId="40537" xr:uid="{58558476-16C1-40E3-A7D2-A4FDDBC774BF}"/>
    <cellStyle name="Migliaia 42 3 4 3 2 3" xfId="45839" xr:uid="{08D7F91A-A5D9-4733-BCCB-190A530DEE77}"/>
    <cellStyle name="Migliaia 42 3 4 3 3" xfId="37886" xr:uid="{193B0AA8-ABBC-44D9-BD82-2CE22B33CACF}"/>
    <cellStyle name="Migliaia 42 3 4 3 4" xfId="43188" xr:uid="{B0592774-6268-46EF-A4E0-72C18969CC35}"/>
    <cellStyle name="Migliaia 42 3 4 3 5" xfId="13707" xr:uid="{9E79E41F-1E2E-4A76-9943-D8CC8C476CC4}"/>
    <cellStyle name="Migliaia 42 3 4 4" xfId="20651" xr:uid="{D30DF690-AEF7-4FD6-A5C9-D616D4014E36}"/>
    <cellStyle name="Migliaia 42 3 4 4 2" xfId="39689" xr:uid="{A6C47B8A-7120-412C-9F40-34EE22700BBE}"/>
    <cellStyle name="Migliaia 42 3 4 4 3" xfId="44991" xr:uid="{79E7109D-0E90-47FF-A704-CE138CB25BC1}"/>
    <cellStyle name="Migliaia 42 3 4 4 4" xfId="34132" xr:uid="{D0DE17A3-6E1F-4C87-AA59-8DD00A745CAA}"/>
    <cellStyle name="Migliaia 42 3 4 5" xfId="37085" xr:uid="{4E698B98-1F3E-4640-A263-FCC154F31706}"/>
    <cellStyle name="Migliaia 42 3 4 6" xfId="42340" xr:uid="{FFA5D687-E782-4EDF-AB88-D5E4BCE19592}"/>
    <cellStyle name="Migliaia 42 3 4 7" xfId="16578" xr:uid="{0ED7AB9D-DC8C-4DB5-8D72-6A7D89AAAA07}"/>
    <cellStyle name="Migliaia 42 3 4 8" xfId="7692" xr:uid="{6ADF6C3E-4A22-40F7-BF01-524132127E2D}"/>
    <cellStyle name="Migliaia 42 3 5" xfId="3689" xr:uid="{F8E66518-068A-494A-B58A-A69DDA470BBD}"/>
    <cellStyle name="Migliaia 42 3 5 2" xfId="5415" xr:uid="{0EFAC48A-16B6-4400-83A1-F8E0EB29F1BA}"/>
    <cellStyle name="Migliaia 42 3 5 2 2" xfId="35378" xr:uid="{8F7ACB88-5C37-4F31-A35B-823FA1AA62B4}"/>
    <cellStyle name="Migliaia 42 3 5 2 2 2" xfId="40538" xr:uid="{C9BE55C2-F20A-4C1A-BC9F-C7745923DBE8}"/>
    <cellStyle name="Migliaia 42 3 5 2 2 3" xfId="45840" xr:uid="{1ADF1C08-8641-48F7-A771-A22922A63F5E}"/>
    <cellStyle name="Migliaia 42 3 5 2 3" xfId="37887" xr:uid="{DFABE7B0-7080-4317-A17C-ACD564CE5FC5}"/>
    <cellStyle name="Migliaia 42 3 5 2 4" xfId="43189" xr:uid="{75CAC2C5-56F0-4CEA-B347-10A3E3D14B73}"/>
    <cellStyle name="Migliaia 42 3 5 2 5" xfId="14289" xr:uid="{B65BC46D-037B-4143-BD7C-3F4C84034DAF}"/>
    <cellStyle name="Migliaia 42 3 5 3" xfId="6603" xr:uid="{6F8B11C8-0983-4291-A012-5619273643DE}"/>
    <cellStyle name="Migliaia 42 3 5 3 2" xfId="39690" xr:uid="{77FBB6C4-9410-4978-8859-6178D6CF925C}"/>
    <cellStyle name="Migliaia 42 3 5 3 3" xfId="44992" xr:uid="{96045B64-10A0-4149-A554-1E59907C8F2C}"/>
    <cellStyle name="Migliaia 42 3 5 3 4" xfId="34133" xr:uid="{94E330F9-BC44-45C6-873D-EB06B56D5204}"/>
    <cellStyle name="Migliaia 42 3 5 3 5" xfId="20653" xr:uid="{570D26FC-5C0F-41ED-B108-646DDC59A4E2}"/>
    <cellStyle name="Migliaia 42 3 5 4" xfId="37086" xr:uid="{29C17E89-99E0-472E-8FD4-3D88C75B546F}"/>
    <cellStyle name="Migliaia 42 3 5 5" xfId="42341" xr:uid="{548D2DCD-B4D2-4A07-AAFA-3A6300BBC7FC}"/>
    <cellStyle name="Migliaia 42 3 5 6" xfId="16580" xr:uid="{B165D33E-875F-4109-94DD-099B8BD67F63}"/>
    <cellStyle name="Migliaia 42 3 5 7" xfId="8351" xr:uid="{6EB12D98-E6FC-4280-88DF-0068047FCC3C}"/>
    <cellStyle name="Migliaia 42 3 6" xfId="5410" xr:uid="{D95E8B71-2436-4DF1-B110-FA1A92E0AFF0}"/>
    <cellStyle name="Migliaia 42 3 6 2" xfId="13994" xr:uid="{4A5BF096-EB06-472F-9CC4-7E109587D6B2}"/>
    <cellStyle name="Migliaia 42 3 6 2 2" xfId="39691" xr:uid="{7A7D7358-70AC-46D7-AE40-6181E80FC49D}"/>
    <cellStyle name="Migliaia 42 3 6 2 3" xfId="44993" xr:uid="{C0AAC34A-D2D4-4FF7-BD72-C8AD9CFBA916}"/>
    <cellStyle name="Migliaia 42 3 6 3" xfId="18609" xr:uid="{832B40FE-DED6-42DB-894F-D2A6A9E48C2A}"/>
    <cellStyle name="Migliaia 42 3 6 4" xfId="20654" xr:uid="{6A480FE5-A1E0-46F3-8BB1-E4292A7CE2BC}"/>
    <cellStyle name="Migliaia 42 3 6 4 2" xfId="42342" xr:uid="{97E03AFF-BA59-43B9-B8AB-9A7E8062442B}"/>
    <cellStyle name="Migliaia 42 3 6 5" xfId="16581" xr:uid="{40079096-9E7C-47C7-A83A-F7A136780138}"/>
    <cellStyle name="Migliaia 42 3 6 6" xfId="7968" xr:uid="{02B4B44F-E093-4A04-9A21-762027150C24}"/>
    <cellStyle name="Migliaia 42 3 7" xfId="6598" xr:uid="{E99903A8-AD5F-4B60-A58A-7BE94FBD941C}"/>
    <cellStyle name="Migliaia 42 3 7 2" xfId="34134" xr:uid="{B8BBBE5A-5DEE-4271-A93A-8399D9661805}"/>
    <cellStyle name="Migliaia 42 3 7 2 2" xfId="39692" xr:uid="{3908C0C6-2AE8-4D4F-AB01-1EE1C51D0F77}"/>
    <cellStyle name="Migliaia 42 3 7 2 3" xfId="44994" xr:uid="{C07F44F0-AC2B-48D8-A2F2-87D3CC7717AA}"/>
    <cellStyle name="Migliaia 42 3 7 3" xfId="37087" xr:uid="{A9D39D86-0A7C-489E-8F63-4A19A2B764A3}"/>
    <cellStyle name="Migliaia 42 3 7 4" xfId="42343" xr:uid="{754C375B-A4BC-4E46-BE4A-C1A35F8C4A32}"/>
    <cellStyle name="Migliaia 42 3 7 5" xfId="12247" xr:uid="{3F005B55-F432-4327-8A99-03759731F798}"/>
    <cellStyle name="Migliaia 42 3 8" xfId="3684" xr:uid="{BF2E584E-DB74-4E71-9D2D-2897249F35F7}"/>
    <cellStyle name="Migliaia 42 3 8 2" xfId="34135" xr:uid="{CC1FC2F4-7CF9-4630-B6C4-3D37BDF8DC8A}"/>
    <cellStyle name="Migliaia 42 3 8 2 2" xfId="39693" xr:uid="{365EAC0B-F12A-44D8-B360-5010724E28EE}"/>
    <cellStyle name="Migliaia 42 3 8 2 3" xfId="44995" xr:uid="{400186FC-53B4-4E70-9139-763B4372EF67}"/>
    <cellStyle name="Migliaia 42 3 8 3" xfId="37088" xr:uid="{ABAAC972-8EC0-47AC-9311-9A9AE474F45A}"/>
    <cellStyle name="Migliaia 42 3 8 4" xfId="42344" xr:uid="{DEBC1C1B-4E98-4F79-A1DA-60BB40F58AF2}"/>
    <cellStyle name="Migliaia 42 3 8 5" xfId="25024" xr:uid="{C79967D1-0035-4B07-9C17-52E60D809C7F}"/>
    <cellStyle name="Migliaia 42 3 8 6" xfId="17319" xr:uid="{5D66BA5B-B59E-4AFC-B0BA-C220CC535EDD}"/>
    <cellStyle name="Migliaia 42 3 9" xfId="20645" xr:uid="{AA61BE4B-94F6-4D82-A58F-9C3877A3D12A}"/>
    <cellStyle name="Migliaia 42 4" xfId="1838" xr:uid="{00000000-0005-0000-0000-000009040000}"/>
    <cellStyle name="Migliaia 42 4 2" xfId="1839" xr:uid="{00000000-0005-0000-0000-00000A040000}"/>
    <cellStyle name="Migliaia 42 4 2 2" xfId="5417" xr:uid="{F353511E-7122-4DF1-B2D0-CB89EB433B1C}"/>
    <cellStyle name="Migliaia 42 4 2 2 2" xfId="34136" xr:uid="{085579E7-D7D2-4999-904A-7A570419B02A}"/>
    <cellStyle name="Migliaia 42 4 2 2 2 2" xfId="39694" xr:uid="{8B8AFBAB-DFF6-4F4E-9C58-E14329CEDC8B}"/>
    <cellStyle name="Migliaia 42 4 2 2 2 3" xfId="44996" xr:uid="{FB449D6D-0592-4AE0-9C6C-C9E149038165}"/>
    <cellStyle name="Migliaia 42 4 2 2 3" xfId="37089" xr:uid="{16478EB4-3F56-497E-8F2F-E204D7F79FBB}"/>
    <cellStyle name="Migliaia 42 4 2 2 4" xfId="42345" xr:uid="{92FD4046-5060-4F3E-9150-333972F020E0}"/>
    <cellStyle name="Migliaia 42 4 2 2 5" xfId="9180" xr:uid="{708F96F8-B4E2-4884-B538-AD707E37325F}"/>
    <cellStyle name="Migliaia 42 4 2 3" xfId="3691" xr:uid="{F0016668-CC46-41EE-8DE0-434A015DD712}"/>
    <cellStyle name="Migliaia 42 4 2 3 2" xfId="34137" xr:uid="{C8D39D2C-74D1-4C69-A416-8EB164162F3F}"/>
    <cellStyle name="Migliaia 42 4 2 3 2 2" xfId="39695" xr:uid="{66059E14-89D1-447E-8C0A-36CBAF7152F8}"/>
    <cellStyle name="Migliaia 42 4 2 3 2 3" xfId="44997" xr:uid="{F3D76387-0F67-4B94-BDCD-AB6C26018E4A}"/>
    <cellStyle name="Migliaia 42 4 2 3 3" xfId="37090" xr:uid="{844B621C-CDA5-485F-B147-68E79CBD8CB1}"/>
    <cellStyle name="Migliaia 42 4 2 3 4" xfId="42346" xr:uid="{17110356-0DB1-4732-A1D4-134365C5E38A}"/>
    <cellStyle name="Migliaia 42 4 2 3 5" xfId="12033" xr:uid="{5D7F69AF-3327-4A0D-A394-0B6FDA605FB8}"/>
    <cellStyle name="Migliaia 42 4 2 4" xfId="11382" xr:uid="{0AE7782F-93A3-4834-8DCC-0D41B9619757}"/>
    <cellStyle name="Migliaia 42 4 2 5" xfId="10916" xr:uid="{3456CFC0-55C6-486B-B365-2DBF3F293A78}"/>
    <cellStyle name="Migliaia 42 4 2 5 2" xfId="21551" xr:uid="{8B5DD290-BACE-493A-B357-BF3E2C575750}"/>
    <cellStyle name="Migliaia 42 4 2 5 3" xfId="25350" xr:uid="{86BE9832-EBD2-48FE-965A-97C6F93EBE83}"/>
    <cellStyle name="Migliaia 42 4 2 5 4" xfId="50566" xr:uid="{7A0EA6F6-23CE-4589-9850-9F3585EF9F54}"/>
    <cellStyle name="Migliaia 42 4 2 5 5" xfId="53582" xr:uid="{791E3DDC-93C9-44F4-8F2B-23758393803B}"/>
    <cellStyle name="Migliaia 42 4 2 6" xfId="20656" xr:uid="{9BDC98E3-086B-41F1-8DF5-1F9EFDCE9F97}"/>
    <cellStyle name="Migliaia 42 4 2 7" xfId="25026" xr:uid="{B228C546-5E58-42A6-A976-6C32D62B83D4}"/>
    <cellStyle name="Migliaia 42 4 2 8" xfId="8700" xr:uid="{916E3B09-6D98-454D-B3BC-E3DDC01C4653}"/>
    <cellStyle name="Migliaia 42 4 3" xfId="5416" xr:uid="{97FE7688-E785-41D6-9197-6C70640B3B6C}"/>
    <cellStyle name="Migliaia 42 4 3 2" xfId="18235" xr:uid="{95A122C6-8CAA-414F-A21F-DDC81A26D37B}"/>
    <cellStyle name="Migliaia 42 4 3 2 2" xfId="39696" xr:uid="{6B7CCB82-631B-4F4A-B59A-0FE557CFE5C1}"/>
    <cellStyle name="Migliaia 42 4 3 2 3" xfId="44998" xr:uid="{3821AAA2-51B7-4612-9EA4-5CBF28692F86}"/>
    <cellStyle name="Migliaia 42 4 3 3" xfId="37091" xr:uid="{FBC34D1C-F38D-4F12-A5DD-32D4023B58DF}"/>
    <cellStyle name="Migliaia 42 4 3 4" xfId="42347" xr:uid="{5EB83BF4-6300-456B-A270-C6535DD39961}"/>
    <cellStyle name="Migliaia 42 4 3 5" xfId="17317" xr:uid="{244FC892-FDBC-4590-A83E-AB73B96A6D21}"/>
    <cellStyle name="Migliaia 42 4 3 6" xfId="9181" xr:uid="{3A105F35-1FDD-4F78-9E14-30ACE820FE2F}"/>
    <cellStyle name="Migliaia 42 4 4" xfId="6604" xr:uid="{E5812EF7-A939-4F47-82A0-F11A5EDB1272}"/>
    <cellStyle name="Migliaia 42 4 4 2" xfId="34139" xr:uid="{7157546D-A726-4F46-830C-0EAD428201DA}"/>
    <cellStyle name="Migliaia 42 4 4 2 2" xfId="39697" xr:uid="{28667A3C-0F8E-42DB-9291-ADB42CAE446E}"/>
    <cellStyle name="Migliaia 42 4 4 2 3" xfId="44999" xr:uid="{6C29DF8F-BCB1-45C4-8D07-A39EDBC19B9C}"/>
    <cellStyle name="Migliaia 42 4 4 3" xfId="37092" xr:uid="{29994A0A-3568-4ACE-80E2-0F2F3332189A}"/>
    <cellStyle name="Migliaia 42 4 4 4" xfId="42348" xr:uid="{B14256B5-64D4-484F-8486-A88EB0234EA1}"/>
    <cellStyle name="Migliaia 42 4 4 5" xfId="12034" xr:uid="{86423CAE-C65F-439B-ACD4-8D6CAEBBF3B0}"/>
    <cellStyle name="Migliaia 42 4 5" xfId="3690" xr:uid="{6FC28AF1-43DA-4F9C-8AD9-01091AC3B763}"/>
    <cellStyle name="Migliaia 42 4 5 2" xfId="34140" xr:uid="{30D3BA50-4BB8-441E-85D9-34943EE57AFA}"/>
    <cellStyle name="Migliaia 42 4 5 2 2" xfId="39698" xr:uid="{ABE9ADCA-3F52-480C-B41F-CC55EE767380}"/>
    <cellStyle name="Migliaia 42 4 5 2 3" xfId="45000" xr:uid="{604F3892-337E-4D07-90F6-AEF1F0FAC483}"/>
    <cellStyle name="Migliaia 42 4 5 3" xfId="37093" xr:uid="{4C2515FE-5CB1-4BAC-8869-5197295B12F5}"/>
    <cellStyle name="Migliaia 42 4 5 4" xfId="42349" xr:uid="{807EC45C-F2F2-483F-91EF-AC2237467E2C}"/>
    <cellStyle name="Migliaia 42 4 5 5" xfId="11381" xr:uid="{7E840DF5-48DD-4840-93B3-7630826BBFC7}"/>
    <cellStyle name="Migliaia 42 4 6" xfId="10915" xr:uid="{044C42C3-19D9-4BEC-AACC-C9615294B72C}"/>
    <cellStyle name="Migliaia 42 4 6 2" xfId="21550" xr:uid="{F0F8C6ED-1F35-43E1-91D6-1550E7AE4F78}"/>
    <cellStyle name="Migliaia 42 4 6 2 2" xfId="39699" xr:uid="{2C2F327F-977B-4B2C-8374-6CE49ED9F1B2}"/>
    <cellStyle name="Migliaia 42 4 6 2 3" xfId="45001" xr:uid="{B84CB9B0-67DB-47C8-A26D-3FF23643B1A6}"/>
    <cellStyle name="Migliaia 42 4 6 2 4" xfId="34141" xr:uid="{88D80FC9-CFCE-4E29-85F1-B487C936AC6F}"/>
    <cellStyle name="Migliaia 42 4 6 3" xfId="37094" xr:uid="{BF0BD964-B065-4B30-A6D7-701D74AC6E19}"/>
    <cellStyle name="Migliaia 42 4 6 4" xfId="42350" xr:uid="{7A4702FC-F8D2-4283-95BE-7583CD903C85}"/>
    <cellStyle name="Migliaia 42 4 6 5" xfId="25031" xr:uid="{337E76B7-19C2-47C6-BF50-67B7E1C73838}"/>
    <cellStyle name="Migliaia 42 4 6 6" xfId="47903" xr:uid="{F6C99586-E809-4139-A32B-4BC304936084}"/>
    <cellStyle name="Migliaia 42 4 6 7" xfId="50565" xr:uid="{F92DD9A6-AF17-489D-869A-FE6C211F139C}"/>
    <cellStyle name="Migliaia 42 4 6 8" xfId="53581" xr:uid="{B1EDCFBB-BB40-4B49-85A7-521C843829A3}"/>
    <cellStyle name="Migliaia 42 4 7" xfId="20655" xr:uid="{71F86F2E-0FCD-452F-99FE-FCC55A23FE35}"/>
    <cellStyle name="Migliaia 42 4 7 2" xfId="34142" xr:uid="{2D80DD91-CE47-496A-9AC1-07878BAE9F3D}"/>
    <cellStyle name="Migliaia 42 4 7 2 2" xfId="39700" xr:uid="{DAADC547-4F36-4B87-B578-1472E5C30525}"/>
    <cellStyle name="Migliaia 42 4 7 2 3" xfId="45002" xr:uid="{B43BC6E9-6C6C-40DE-99F2-2A5A6EA2960F}"/>
    <cellStyle name="Migliaia 42 4 7 3" xfId="37095" xr:uid="{E7581B52-504A-4431-AAFC-FD1A241726A4}"/>
    <cellStyle name="Migliaia 42 4 7 4" xfId="42351" xr:uid="{9B48FEE6-4DCA-415E-B1F9-B9C7A1C9DACC}"/>
    <cellStyle name="Migliaia 42 4 7 5" xfId="25032" xr:uid="{09F2F37F-6B7B-4F96-9BC9-787A386A051F}"/>
    <cellStyle name="Migliaia 42 4 8" xfId="25025" xr:uid="{278E04B7-CD0B-4952-AF7A-CD77EB018638}"/>
    <cellStyle name="Migliaia 42 4 9" xfId="7510" xr:uid="{35F41FBD-FD71-45FE-96A7-3EC765E9D364}"/>
    <cellStyle name="Migliaia 42 5" xfId="1840" xr:uid="{00000000-0005-0000-0000-00000B040000}"/>
    <cellStyle name="Migliaia 42 5 2" xfId="5418" xr:uid="{89C8FEB2-EEDB-4A35-9C06-3BEEC11466E6}"/>
    <cellStyle name="Migliaia 42 5 2 2" xfId="18472" xr:uid="{71913396-5AD8-479F-977C-245B420F6236}"/>
    <cellStyle name="Migliaia 42 5 2 2 2" xfId="39701" xr:uid="{09A56A1B-B7B9-4EDD-B8E2-FE1F9677E456}"/>
    <cellStyle name="Migliaia 42 5 2 2 3" xfId="45003" xr:uid="{22954157-D996-4313-B65D-48B4EA72177D}"/>
    <cellStyle name="Migliaia 42 5 2 3" xfId="20658" xr:uid="{776B25E5-49E6-42C4-BF1F-2EE831664061}"/>
    <cellStyle name="Migliaia 42 5 2 3 2" xfId="37096" xr:uid="{712A855E-1832-49BD-B84E-031EF6050D47}"/>
    <cellStyle name="Migliaia 42 5 2 4" xfId="42352" xr:uid="{A5F44E9E-D99A-4CB1-8D4E-07152677ABA9}"/>
    <cellStyle name="Migliaia 42 5 2 5" xfId="16582" xr:uid="{EEDC6D8C-F384-4717-B5DD-FE713485889C}"/>
    <cellStyle name="Migliaia 42 5 2 6" xfId="8701" xr:uid="{0751170D-EBF2-4A14-9BB1-81F0340F697A}"/>
    <cellStyle name="Migliaia 42 5 3" xfId="6605" xr:uid="{28F63BBA-C89B-4692-8F68-297820F79E7E}"/>
    <cellStyle name="Migliaia 42 5 3 2" xfId="34144" xr:uid="{5D2ED6CF-D0C9-4F69-AFE6-667B2FA701A6}"/>
    <cellStyle name="Migliaia 42 5 3 2 2" xfId="39702" xr:uid="{61FCB0B4-4DD9-407F-B64A-A3F4B49E4841}"/>
    <cellStyle name="Migliaia 42 5 3 2 3" xfId="45004" xr:uid="{159854C0-1813-43AD-AC90-A9DCDC6CA20C}"/>
    <cellStyle name="Migliaia 42 5 3 3" xfId="37097" xr:uid="{7DAEA7DC-D5B2-477C-B5C6-2C88B382000D}"/>
    <cellStyle name="Migliaia 42 5 3 4" xfId="42353" xr:uid="{65C81641-3E98-4937-8AF1-10C951A4FFC1}"/>
    <cellStyle name="Migliaia 42 5 3 5" xfId="11383" xr:uid="{20282CAF-A50D-48D0-8DE8-BA72663CA1BE}"/>
    <cellStyle name="Migliaia 42 5 4" xfId="3692" xr:uid="{FC3A25BA-A23A-4BC1-86D8-F1797FCD92AA}"/>
    <cellStyle name="Migliaia 42 5 4 2" xfId="21552" xr:uid="{4F9E3A51-BCE4-4C22-B3C2-7DE750FA89B0}"/>
    <cellStyle name="Migliaia 42 5 4 2 2" xfId="39703" xr:uid="{F3DC06B1-3C14-45D4-B755-40A49FE26D2C}"/>
    <cellStyle name="Migliaia 42 5 4 2 3" xfId="45005" xr:uid="{8C441359-2FED-4416-97DC-D83180C7C25E}"/>
    <cellStyle name="Migliaia 42 5 4 2 4" xfId="34145" xr:uid="{05510ACB-39A7-4BD0-A17C-35931F310413}"/>
    <cellStyle name="Migliaia 42 5 4 3" xfId="37098" xr:uid="{2DA758ED-DA7F-41E2-AFAD-5824E66DC567}"/>
    <cellStyle name="Migliaia 42 5 4 4" xfId="42354" xr:uid="{A4C5A8C5-A031-4912-AF8F-E31066B7CCC3}"/>
    <cellStyle name="Migliaia 42 5 4 5" xfId="25036" xr:uid="{929007F9-4F7D-4425-B6FD-CA009A5F084A}"/>
    <cellStyle name="Migliaia 42 5 4 6" xfId="47684" xr:uid="{D09DA7AA-3FDE-4DA1-A2BC-7382D4EA0C88}"/>
    <cellStyle name="Migliaia 42 5 4 7" xfId="50567" xr:uid="{06AAA181-05A6-4EC1-80B4-5464477E7659}"/>
    <cellStyle name="Migliaia 42 5 4 8" xfId="53583" xr:uid="{5D1B8EE0-FFBC-4DE9-AF5D-5BB1046A1322}"/>
    <cellStyle name="Migliaia 42 5 4 9" xfId="10917" xr:uid="{54E9E6D5-9CE0-4630-B71A-5AD853E5B158}"/>
    <cellStyle name="Migliaia 42 5 5" xfId="20657" xr:uid="{3C92F024-D803-4427-BC08-47A46C67D0B4}"/>
    <cellStyle name="Migliaia 42 5 5 2" xfId="34146" xr:uid="{E106252F-B7F0-4372-83B2-9E1B3287131B}"/>
    <cellStyle name="Migliaia 42 5 5 2 2" xfId="39704" xr:uid="{2F62A187-F02C-4653-A3F5-4DAD06E88209}"/>
    <cellStyle name="Migliaia 42 5 5 2 3" xfId="45006" xr:uid="{31AB2EB6-CAB9-40C9-9AFD-B1523FE452E2}"/>
    <cellStyle name="Migliaia 42 5 5 3" xfId="37099" xr:uid="{916A10A9-30FC-46EA-B362-D0AF2FD585B8}"/>
    <cellStyle name="Migliaia 42 5 5 4" xfId="42355" xr:uid="{57CE34D6-DFEB-45BB-8FFB-A4E618C5E78C}"/>
    <cellStyle name="Migliaia 42 5 5 5" xfId="25037" xr:uid="{B7C15AA2-FF3D-4582-AFF3-21A8988BCAE7}"/>
    <cellStyle name="Migliaia 42 5 6" xfId="25038" xr:uid="{590B0E26-ADB6-45C0-AB39-C7438022B959}"/>
    <cellStyle name="Migliaia 42 5 6 2" xfId="34147" xr:uid="{C6CAA7C5-E433-4D6D-9794-05EA3ABAFF43}"/>
    <cellStyle name="Migliaia 42 5 6 2 2" xfId="39705" xr:uid="{B54E7263-6061-4228-97C8-AD0B95AFC840}"/>
    <cellStyle name="Migliaia 42 5 6 2 3" xfId="45007" xr:uid="{F58790AC-0A54-4ACA-8A2C-F3BDE8A247D1}"/>
    <cellStyle name="Migliaia 42 5 6 3" xfId="37100" xr:uid="{F5743281-DAE1-4B32-ABAC-B8F188F3F1AA}"/>
    <cellStyle name="Migliaia 42 5 6 4" xfId="42356" xr:uid="{07C6A713-2E1D-4F26-832C-E8C459CEAEF0}"/>
    <cellStyle name="Migliaia 42 5 7" xfId="25033" xr:uid="{3D742FCF-7F11-4439-9130-BB69FFD90C32}"/>
    <cellStyle name="Migliaia 42 5 8" xfId="7511" xr:uid="{438F3350-91B1-42F4-93C4-4F4B5064ACEA}"/>
    <cellStyle name="Migliaia 42 6" xfId="3693" xr:uid="{632F3160-871B-4698-BB32-D290612D7D8A}"/>
    <cellStyle name="Migliaia 42 6 2" xfId="5419" xr:uid="{5E0A78F6-9B38-42BD-BDA4-94C39C3CCE10}"/>
    <cellStyle name="Migliaia 42 6 2 2" xfId="9953" xr:uid="{C94CA372-A326-4BA4-9EAB-8D3069556100}"/>
    <cellStyle name="Migliaia 42 6 2 3" xfId="18644" xr:uid="{8338275C-AD53-44FF-8622-FE5E4991A444}"/>
    <cellStyle name="Migliaia 42 6 2 4" xfId="20660" xr:uid="{6474C2C1-DB5B-4545-8A32-B9B3FBD4CDB3}"/>
    <cellStyle name="Migliaia 42 6 2 5" xfId="32419" xr:uid="{CDA34691-F75C-4650-A9FC-D2E5F5D007FE}"/>
    <cellStyle name="Migliaia 42 6 2 6" xfId="16584" xr:uid="{C6F1395F-2893-4D98-BFF5-C892990790AD}"/>
    <cellStyle name="Migliaia 42 6 2 7" xfId="8696" xr:uid="{55625B93-B671-4D1A-B37B-6CD269009727}"/>
    <cellStyle name="Migliaia 42 6 3" xfId="6606" xr:uid="{87D8BCEA-FE4D-4CFA-8F43-CC31D9131F9A}"/>
    <cellStyle name="Migliaia 42 6 3 2" xfId="35379" xr:uid="{35CEE2E6-76E6-4714-AA64-E87E408ABCD3}"/>
    <cellStyle name="Migliaia 42 6 3 2 2" xfId="40539" xr:uid="{56F293E3-7307-4FFC-A6B7-8FFC53484306}"/>
    <cellStyle name="Migliaia 42 6 3 2 3" xfId="45841" xr:uid="{A0937652-114D-4A68-A878-9677C981A4B0}"/>
    <cellStyle name="Migliaia 42 6 3 3" xfId="37888" xr:uid="{9A32E8BB-B5B8-4604-8723-357E31A70C59}"/>
    <cellStyle name="Migliaia 42 6 3 4" xfId="43190" xr:uid="{D0CB7B31-4066-4602-BE9D-02FB445F3670}"/>
    <cellStyle name="Migliaia 42 6 3 5" xfId="9716" xr:uid="{F52C3CF1-7177-40C9-ACA8-35F69BB49C07}"/>
    <cellStyle name="Migliaia 42 6 4" xfId="20659" xr:uid="{86195FB4-9CE8-48C8-ACEA-0BF283F645C7}"/>
    <cellStyle name="Migliaia 42 6 4 2" xfId="39706" xr:uid="{8284C111-2C85-45B5-8DD8-0915D19AC26D}"/>
    <cellStyle name="Migliaia 42 6 4 3" xfId="45008" xr:uid="{DC5251C0-BCDD-435E-B7D3-8DD7711D19E4}"/>
    <cellStyle name="Migliaia 42 6 4 4" xfId="34148" xr:uid="{4A98269E-ADCB-4F3C-BA55-BD0A9014880B}"/>
    <cellStyle name="Migliaia 42 6 5" xfId="37101" xr:uid="{62705112-3FCC-4254-9D27-FB597149D44E}"/>
    <cellStyle name="Migliaia 42 6 6" xfId="42357" xr:uid="{85CBBAA0-02F1-46E8-8ADD-DBE6A322FA32}"/>
    <cellStyle name="Migliaia 42 6 7" xfId="16583" xr:uid="{6E99512B-F487-4724-9388-204FA21AC43A}"/>
    <cellStyle name="Migliaia 42 6 8" xfId="7506" xr:uid="{3A1A4E62-6C7A-4692-B148-EFF938A6D860}"/>
    <cellStyle name="Migliaia 42 7" xfId="3694" xr:uid="{879D1E0B-71AA-4AC4-A310-DA61331F4844}"/>
    <cellStyle name="Migliaia 42 7 2" xfId="5420" xr:uid="{CF49F9FA-E279-4E2A-8397-9A999C594BF7}"/>
    <cellStyle name="Migliaia 42 7 2 2" xfId="35380" xr:uid="{9FB1DC88-E215-4F86-AC06-9807FB596B58}"/>
    <cellStyle name="Migliaia 42 7 2 2 2" xfId="40540" xr:uid="{F2B7B221-A1A6-4712-BB00-85BF242294C7}"/>
    <cellStyle name="Migliaia 42 7 2 2 3" xfId="45842" xr:uid="{EB7DA3E3-797D-40DB-A63B-C84D14C7AFD4}"/>
    <cellStyle name="Migliaia 42 7 2 3" xfId="37889" xr:uid="{121DD3C7-2B49-4BDD-9E45-769EE915D09E}"/>
    <cellStyle name="Migliaia 42 7 2 4" xfId="43191" xr:uid="{EB8DCA5A-C024-463A-9D57-1789DBF95E6F}"/>
    <cellStyle name="Migliaia 42 7 2 5" xfId="14287" xr:uid="{5037202B-2391-4B24-B5C2-436F0F9B8CC9}"/>
    <cellStyle name="Migliaia 42 7 3" xfId="6607" xr:uid="{A0759CFA-4706-4847-B960-D9A8D10A652A}"/>
    <cellStyle name="Migliaia 42 7 3 2" xfId="39707" xr:uid="{D3F1FC1E-9DF4-4742-B5EC-8633C9D4D321}"/>
    <cellStyle name="Migliaia 42 7 3 3" xfId="45009" xr:uid="{42935F49-D243-4398-B3F8-BB3BB052A5DB}"/>
    <cellStyle name="Migliaia 42 7 3 4" xfId="34149" xr:uid="{555C4B1C-DD2B-4061-B80D-1277033CA646}"/>
    <cellStyle name="Migliaia 42 7 3 5" xfId="20661" xr:uid="{CA0FF31B-E8EC-445B-9649-6262140C29F2}"/>
    <cellStyle name="Migliaia 42 7 4" xfId="37102" xr:uid="{1BC709C6-93A6-4C74-8AFA-8FDCE16F7678}"/>
    <cellStyle name="Migliaia 42 7 5" xfId="42358" xr:uid="{C98F35F6-31C8-4E2C-B727-CAFB49DEAC52}"/>
    <cellStyle name="Migliaia 42 7 6" xfId="16585" xr:uid="{CAB21A63-3A81-4569-BCEC-90BC77516C3C}"/>
    <cellStyle name="Migliaia 42 7 7" xfId="8349" xr:uid="{650960B5-31DD-4E25-B70D-50CE8A6E5422}"/>
    <cellStyle name="Migliaia 42 8" xfId="3695" xr:uid="{5ED4FED8-AA9E-4460-93D5-72AC33061130}"/>
    <cellStyle name="Migliaia 42 8 2" xfId="5421" xr:uid="{191A56C6-AC93-447F-81F8-367E259B40C6}"/>
    <cellStyle name="Migliaia 42 8 2 2" xfId="35381" xr:uid="{AC49295C-2D14-4970-914C-3DDC24A1CC33}"/>
    <cellStyle name="Migliaia 42 8 2 2 2" xfId="40541" xr:uid="{AB75B483-C930-45A0-99F7-89EBB7BBD1C1}"/>
    <cellStyle name="Migliaia 42 8 2 2 3" xfId="45843" xr:uid="{C778D8E1-00F8-45C9-8856-57AE50E5FA1C}"/>
    <cellStyle name="Migliaia 42 8 2 3" xfId="37890" xr:uid="{6B5B6772-559C-423D-A8A3-160BEA79A81C}"/>
    <cellStyle name="Migliaia 42 8 2 4" xfId="43192" xr:uid="{235E667D-B7E2-4D75-B361-7B9DA357DD70}"/>
    <cellStyle name="Migliaia 42 8 2 5" xfId="13992" xr:uid="{59030CFF-2F4B-40C7-8EB2-B30B68723314}"/>
    <cellStyle name="Migliaia 42 8 3" xfId="6608" xr:uid="{2E4669DF-12E5-470B-9A61-A0C393B6ABDB}"/>
    <cellStyle name="Migliaia 42 8 3 2" xfId="39708" xr:uid="{91F83CBA-67BD-4F7F-8845-D88C3C1DA8E5}"/>
    <cellStyle name="Migliaia 42 8 3 3" xfId="45010" xr:uid="{110E9A64-DB44-40C6-A564-D376DF7DC4B6}"/>
    <cellStyle name="Migliaia 42 8 3 4" xfId="34150" xr:uid="{FF951990-E552-4794-B4C2-CA456A14F062}"/>
    <cellStyle name="Migliaia 42 8 3 5" xfId="20662" xr:uid="{FC99B20C-281A-418D-ACB5-A86FD1DE53F7}"/>
    <cellStyle name="Migliaia 42 8 4" xfId="37103" xr:uid="{D5BC26DC-A00B-49D0-999F-E4980D5548C8}"/>
    <cellStyle name="Migliaia 42 8 5" xfId="42359" xr:uid="{A09881A1-F812-4D5E-8D45-F89F704E2FC2}"/>
    <cellStyle name="Migliaia 42 8 6" xfId="16586" xr:uid="{D9228E3F-3DA6-40D5-9F3F-1A92361A1F6F}"/>
    <cellStyle name="Migliaia 42 8 7" xfId="7966" xr:uid="{9440F674-15C5-42F1-AD0F-026941564D32}"/>
    <cellStyle name="Migliaia 42 9" xfId="5406" xr:uid="{1DEB2634-39AF-4229-AB19-878D9A76D4A9}"/>
    <cellStyle name="Migliaia 42 9 2" xfId="34151" xr:uid="{609F3586-2594-40CA-A7EF-AEFD1DAF03A6}"/>
    <cellStyle name="Migliaia 42 9 2 2" xfId="39709" xr:uid="{6E96F12C-B860-43C5-9F6E-AEE411E9100E}"/>
    <cellStyle name="Migliaia 42 9 2 3" xfId="45011" xr:uid="{428A8C5B-82DE-4C83-91A6-63F015884195}"/>
    <cellStyle name="Migliaia 42 9 3" xfId="37104" xr:uid="{F1DF73D5-A5B8-49C3-8A2E-A194A1BCFC50}"/>
    <cellStyle name="Migliaia 42 9 4" xfId="42360" xr:uid="{0EAB34A9-27C2-4615-B6AA-7971F8F54945}"/>
    <cellStyle name="Migliaia 42 9 5" xfId="17207" xr:uid="{F854B0F7-E528-4857-8868-7BA7F76C49E6}"/>
    <cellStyle name="Migliaia 43" xfId="449" xr:uid="{00000000-0005-0000-0000-00000C040000}"/>
    <cellStyle name="Migliaia 43 10" xfId="6609" xr:uid="{7828C89F-F659-4428-9044-91FF9D5FA5EC}"/>
    <cellStyle name="Migliaia 43 10 2" xfId="39710" xr:uid="{868D094E-BC63-46A7-8D48-37351FDE7523}"/>
    <cellStyle name="Migliaia 43 10 3" xfId="45012" xr:uid="{EA8D02A2-CC04-4811-A4E3-8136A527576B}"/>
    <cellStyle name="Migliaia 43 10 4" xfId="34152" xr:uid="{C741703E-6EA2-41D1-8A9A-84735AAB9C19}"/>
    <cellStyle name="Migliaia 43 10 5" xfId="20663" xr:uid="{66CBB224-6774-4FE2-8C1E-E0086CD1611D}"/>
    <cellStyle name="Migliaia 43 11" xfId="3696" xr:uid="{1F709AED-F455-4A56-A064-8FBE24D576EA}"/>
    <cellStyle name="Migliaia 43 11 2" xfId="37105" xr:uid="{7B79099D-032F-4B05-BEA5-F4ADD9CEE883}"/>
    <cellStyle name="Migliaia 43 12" xfId="42361" xr:uid="{FB608340-FD6E-4D6D-8A59-D355090013FB}"/>
    <cellStyle name="Migliaia 43 13" xfId="7153" xr:uid="{92BAFA19-9115-4E02-A344-DEAA97C55EF3}"/>
    <cellStyle name="Migliaia 43 2" xfId="450" xr:uid="{00000000-0005-0000-0000-00000D040000}"/>
    <cellStyle name="Migliaia 43 2 2" xfId="1841" xr:uid="{00000000-0005-0000-0000-00000E040000}"/>
    <cellStyle name="Migliaia 43 2 2 2" xfId="5424" xr:uid="{49839C44-7518-468A-BCA9-196611BFD54F}"/>
    <cellStyle name="Migliaia 43 2 2 2 2" xfId="14400" xr:uid="{EFF754C5-6105-4DF8-915A-3920240F4D25}"/>
    <cellStyle name="Migliaia 43 2 2 2 2 2" xfId="39711" xr:uid="{C3EA92F8-7663-449E-9ACC-63E32C7B82E3}"/>
    <cellStyle name="Migliaia 43 2 2 2 2 3" xfId="45013" xr:uid="{FD2B266A-8E54-41E3-B12A-49690057E905}"/>
    <cellStyle name="Migliaia 43 2 2 2 3" xfId="18473" xr:uid="{5CDA7EDA-40AF-4DFB-925F-B4C715A317E9}"/>
    <cellStyle name="Migliaia 43 2 2 2 4" xfId="20666" xr:uid="{27A8FEFB-9078-4CF0-A7A0-EDC76896D069}"/>
    <cellStyle name="Migliaia 43 2 2 2 4 2" xfId="42362" xr:uid="{0AD3DAA4-29B3-4F32-A4B0-0BF76F0851A7}"/>
    <cellStyle name="Migliaia 43 2 2 2 5" xfId="16587" xr:uid="{CC26867F-E2E0-4CE5-B060-D2EF837E6193}"/>
    <cellStyle name="Migliaia 43 2 2 2 6" xfId="8703" xr:uid="{66391FD5-BE31-4705-BD63-A18DD88A3143}"/>
    <cellStyle name="Migliaia 43 2 2 3" xfId="6611" xr:uid="{EBEEF11C-D5DB-41BD-939A-FE7222A02729}"/>
    <cellStyle name="Migliaia 43 2 2 3 2" xfId="35382" xr:uid="{4AFD7B41-E21E-4FC5-857F-F08171696D02}"/>
    <cellStyle name="Migliaia 43 2 2 3 2 2" xfId="40542" xr:uid="{4C6CD827-CBBF-4509-96DC-326B7C56352A}"/>
    <cellStyle name="Migliaia 43 2 2 3 2 3" xfId="45844" xr:uid="{70019DD3-2BFD-4C97-80A1-6F8CA132AF43}"/>
    <cellStyle name="Migliaia 43 2 2 3 3" xfId="37891" xr:uid="{89940BA5-710E-4614-81C8-E8D83DA36CED}"/>
    <cellStyle name="Migliaia 43 2 2 3 4" xfId="43193" xr:uid="{8CBEA2A7-4EED-4D15-A4B2-27400174865D}"/>
    <cellStyle name="Migliaia 43 2 2 3 5" xfId="11627" xr:uid="{9642820D-38BE-46CE-8F7B-07A2F6C41455}"/>
    <cellStyle name="Migliaia 43 2 2 4" xfId="3698" xr:uid="{31C160B1-093A-4118-ABE6-D4859C4E366A}"/>
    <cellStyle name="Migliaia 43 2 2 4 2" xfId="21553" xr:uid="{9092DC02-4A5A-4F9E-B4E4-6593FDFF3884}"/>
    <cellStyle name="Migliaia 43 2 2 4 3" xfId="46648" xr:uid="{2AB0ED83-783A-4BD1-8F73-C0093F8A1092}"/>
    <cellStyle name="Migliaia 43 2 2 4 4" xfId="50568" xr:uid="{D0BC10F8-527C-41F7-A39F-6B01BB77C703}"/>
    <cellStyle name="Migliaia 43 2 2 4 5" xfId="53584" xr:uid="{1413CE68-218C-4B76-B025-7094A52F6B76}"/>
    <cellStyle name="Migliaia 43 2 2 4 6" xfId="10918" xr:uid="{33883E87-9986-4E63-99F5-D7E9FAEFEC90}"/>
    <cellStyle name="Migliaia 43 2 2 5" xfId="20665" xr:uid="{B56C77FE-8919-4F95-8300-FB645D2A009F}"/>
    <cellStyle name="Migliaia 43 2 2 6" xfId="25045" xr:uid="{AD74B53F-B1BC-4571-960C-C4549F319632}"/>
    <cellStyle name="Migliaia 43 2 2 7" xfId="7513" xr:uid="{958D17F3-44B6-40F4-B35A-65CEB223F951}"/>
    <cellStyle name="Migliaia 43 2 3" xfId="3699" xr:uid="{EC4A9E39-04FF-4D3E-96DF-557A0B41BEA1}"/>
    <cellStyle name="Migliaia 43 2 3 2" xfId="5425" xr:uid="{6B6C10FF-3B8A-44F9-86E0-A909BE29BAE9}"/>
    <cellStyle name="Migliaia 43 2 3 2 2" xfId="35383" xr:uid="{B041A09A-4811-4CE9-A383-F5C471B669C6}"/>
    <cellStyle name="Migliaia 43 2 3 2 2 2" xfId="40543" xr:uid="{1D9D4E05-51A0-4E27-BD46-87E3FC98CCB7}"/>
    <cellStyle name="Migliaia 43 2 3 2 2 3" xfId="45845" xr:uid="{C1F486B9-DCE8-4CC3-9758-D9C57E4E9BB2}"/>
    <cellStyle name="Migliaia 43 2 3 2 3" xfId="37892" xr:uid="{E34A3D0D-8D4D-4BDA-BCA9-6D28CF5B28F8}"/>
    <cellStyle name="Migliaia 43 2 3 2 4" xfId="43194" xr:uid="{3389F25F-0569-4FAA-AF48-4280A2ED28D6}"/>
    <cellStyle name="Migliaia 43 2 3 2 5" xfId="14291" xr:uid="{BAC342F4-B1DE-4AAB-8750-BDD886A494FA}"/>
    <cellStyle name="Migliaia 43 2 3 3" xfId="6612" xr:uid="{7093F441-B026-4001-A20C-C1991CA647F4}"/>
    <cellStyle name="Migliaia 43 2 3 3 2" xfId="39712" xr:uid="{EF720481-5E2C-400A-8CE1-3915E9D98EEA}"/>
    <cellStyle name="Migliaia 43 2 3 3 3" xfId="45014" xr:uid="{19055BFE-72E0-442B-BD61-CD77146A52A6}"/>
    <cellStyle name="Migliaia 43 2 3 3 4" xfId="34154" xr:uid="{227C43BC-8BB6-4E83-A81E-7D49FC5D675C}"/>
    <cellStyle name="Migliaia 43 2 3 3 5" xfId="20667" xr:uid="{E2BBD45B-8312-46AD-8D77-59C3021792EB}"/>
    <cellStyle name="Migliaia 43 2 3 4" xfId="37107" xr:uid="{0634D817-DAD2-4BA4-A95C-3FA9311BE7DB}"/>
    <cellStyle name="Migliaia 43 2 3 5" xfId="42363" xr:uid="{B573B628-41EC-4B70-A61A-1D5A870114D5}"/>
    <cellStyle name="Migliaia 43 2 3 6" xfId="16588" xr:uid="{F1FE39D3-6456-4374-9CC8-2E8613CC1E69}"/>
    <cellStyle name="Migliaia 43 2 3 7" xfId="8353" xr:uid="{AE2B5A89-905F-4595-BAE9-8AA25C383DD1}"/>
    <cellStyle name="Migliaia 43 2 4" xfId="5423" xr:uid="{016DC3AE-3817-4F79-9372-9E38E01E7DA3}"/>
    <cellStyle name="Migliaia 43 2 4 2" xfId="13996" xr:uid="{1E457AC8-FF1A-4F08-BE27-522546FC4A90}"/>
    <cellStyle name="Migliaia 43 2 4 2 2" xfId="39713" xr:uid="{2765CB81-FD04-4122-BFF7-A756AEFE0283}"/>
    <cellStyle name="Migliaia 43 2 4 2 3" xfId="45015" xr:uid="{F02DAF1B-1871-4D27-ACFB-9ED58B118B98}"/>
    <cellStyle name="Migliaia 43 2 4 3" xfId="18289" xr:uid="{0C02AFEA-63EA-440D-A70F-7EC55330B7C8}"/>
    <cellStyle name="Migliaia 43 2 4 4" xfId="20668" xr:uid="{5FC2A43D-9DFE-4142-BF8C-903A028CD615}"/>
    <cellStyle name="Migliaia 43 2 4 4 2" xfId="42364" xr:uid="{5BCBA173-0439-47D5-BE58-B0C3A422E8AF}"/>
    <cellStyle name="Migliaia 43 2 4 5" xfId="16589" xr:uid="{6D56A285-53AD-45E7-83E2-758AC74F3464}"/>
    <cellStyle name="Migliaia 43 2 4 6" xfId="7971" xr:uid="{EB0E458F-559B-4779-825C-A758FD5F490A}"/>
    <cellStyle name="Migliaia 43 2 5" xfId="6610" xr:uid="{03C114F5-F6FC-400E-AA53-D915636EBD5E}"/>
    <cellStyle name="Migliaia 43 2 5 2" xfId="34155" xr:uid="{C267EB13-CF07-45B9-816A-A6692F227727}"/>
    <cellStyle name="Migliaia 43 2 5 2 2" xfId="39714" xr:uid="{93BCDC13-E440-41C8-B087-FC86ECE70D6C}"/>
    <cellStyle name="Migliaia 43 2 5 2 3" xfId="45016" xr:uid="{96FD800D-3A5A-4C43-AA5E-C6B3AFEC7DE2}"/>
    <cellStyle name="Migliaia 43 2 5 3" xfId="37109" xr:uid="{43ACFF08-0CAA-43FF-BC07-ADA49DC23259}"/>
    <cellStyle name="Migliaia 43 2 5 4" xfId="42365" xr:uid="{B79B914F-C451-4F01-884F-DE0A70970DF6}"/>
    <cellStyle name="Migliaia 43 2 5 5" xfId="13140" xr:uid="{62DC6C09-F830-4557-AFEA-5A889A6019ED}"/>
    <cellStyle name="Migliaia 43 2 6" xfId="3697" xr:uid="{62560EEF-FDC7-4812-B4A1-1C78330739A4}"/>
    <cellStyle name="Migliaia 43 2 6 2" xfId="34156" xr:uid="{1E122B88-57B2-4230-BF3A-1A07D0FCCA40}"/>
    <cellStyle name="Migliaia 43 2 6 2 2" xfId="39715" xr:uid="{BA3FC78F-6A98-42CF-96C1-F83644F2F5A6}"/>
    <cellStyle name="Migliaia 43 2 6 2 3" xfId="45017" xr:uid="{8C383BE4-B04D-411E-9369-D9B28D1640B9}"/>
    <cellStyle name="Migliaia 43 2 6 3" xfId="37110" xr:uid="{F947CF86-86A2-469E-A2F2-8403C966DDC5}"/>
    <cellStyle name="Migliaia 43 2 6 4" xfId="42366" xr:uid="{A0E3338E-F78C-404D-B57F-8800341A04E5}"/>
    <cellStyle name="Migliaia 43 2 6 5" xfId="25050" xr:uid="{0464839D-0DFA-41D8-916D-358AFE29C213}"/>
    <cellStyle name="Migliaia 43 2 6 6" xfId="20664" xr:uid="{9B3148CE-B8D5-43EB-94D6-9EF4F13B24C1}"/>
    <cellStyle name="Migliaia 43 2 7" xfId="25044" xr:uid="{F2473E12-39A3-4759-AEF6-66C4D21F8251}"/>
    <cellStyle name="Migliaia 43 2 8" xfId="7154" xr:uid="{10E2D32E-DD83-42F1-9D8A-E080D5B3299E}"/>
    <cellStyle name="Migliaia 43 3" xfId="451" xr:uid="{00000000-0005-0000-0000-00000F040000}"/>
    <cellStyle name="Migliaia 43 3 10" xfId="25051" xr:uid="{5757DFDC-AE60-402B-83C2-9FE6CA89CEAB}"/>
    <cellStyle name="Migliaia 43 3 11" xfId="16590" xr:uid="{F191CF5E-E007-4040-858E-22BC47FEA002}"/>
    <cellStyle name="Migliaia 43 3 12" xfId="7155" xr:uid="{0536EF18-715D-4613-8E05-E609FAA17048}"/>
    <cellStyle name="Migliaia 43 3 2" xfId="452" xr:uid="{00000000-0005-0000-0000-000010040000}"/>
    <cellStyle name="Migliaia 43 3 2 2" xfId="1842" xr:uid="{00000000-0005-0000-0000-000011040000}"/>
    <cellStyle name="Migliaia 43 3 2 2 2" xfId="5428" xr:uid="{D5403BE5-FC5B-4B9B-AADD-C7FC6EB8DA3C}"/>
    <cellStyle name="Migliaia 43 3 2 2 2 2" xfId="18474" xr:uid="{BF64C4DD-DC47-442E-87C6-28CEB47FC436}"/>
    <cellStyle name="Migliaia 43 3 2 2 2 2 2" xfId="21878" xr:uid="{40884ED0-4FF2-446E-8ED9-6963F72FABBE}"/>
    <cellStyle name="Migliaia 43 3 2 2 2 2 2 2" xfId="39716" xr:uid="{0E59B65A-784D-4913-8AC5-C524D60269F9}"/>
    <cellStyle name="Migliaia 43 3 2 2 2 2 3" xfId="45018" xr:uid="{E84A62A5-1CF0-4CFC-B7C1-14F2EB12C497}"/>
    <cellStyle name="Migliaia 43 3 2 2 2 2 4" xfId="34157" xr:uid="{14CA3302-0992-4186-9750-207280DBA0E2}"/>
    <cellStyle name="Migliaia 43 3 2 2 2 3" xfId="37111" xr:uid="{32945834-79C6-4622-B8E0-F27EDA633825}"/>
    <cellStyle name="Migliaia 43 3 2 2 2 4" xfId="42367" xr:uid="{12A43A55-6AAC-4A85-9100-17A4FDBA6157}"/>
    <cellStyle name="Migliaia 43 3 2 2 2 5" xfId="46750" xr:uid="{DFD83035-497F-4227-A1AD-C935672F60B9}"/>
    <cellStyle name="Migliaia 43 3 2 2 2 6" xfId="50906" xr:uid="{1751B70A-69EA-47FF-8182-496E7619649F}"/>
    <cellStyle name="Migliaia 43 3 2 2 2 7" xfId="53922" xr:uid="{46E0FD31-5918-4764-8D10-D9C22030B754}"/>
    <cellStyle name="Migliaia 43 3 2 2 2 8" xfId="17676" xr:uid="{12422C07-4C11-44F3-AECE-3A00404E22F3}"/>
    <cellStyle name="Migliaia 43 3 2 2 2 9" xfId="12035" xr:uid="{7CC954FC-7BE8-4C6A-B076-8726B0A74713}"/>
    <cellStyle name="Migliaia 43 3 2 2 3" xfId="6615" xr:uid="{37AA7550-D513-4A67-93FE-B0CE9C60A80A}"/>
    <cellStyle name="Migliaia 43 3 2 2 3 2" xfId="12174" xr:uid="{41708C03-8B40-4D44-811C-C5E1AD181871}"/>
    <cellStyle name="Migliaia 43 3 2 2 4" xfId="3702" xr:uid="{889E4846-3796-4257-AE69-1EF1E0D440D8}"/>
    <cellStyle name="Migliaia 43 3 2 2 4 2" xfId="21554" xr:uid="{F6536B3B-BDC1-4D34-B6F4-3EAACA6F813F}"/>
    <cellStyle name="Migliaia 43 3 2 2 4 3" xfId="48257" xr:uid="{2C9B646A-363A-479B-8B6D-1140D05D756C}"/>
    <cellStyle name="Migliaia 43 3 2 2 4 4" xfId="50569" xr:uid="{853450D7-6FF6-4EEC-95DD-2CEF31D79FA9}"/>
    <cellStyle name="Migliaia 43 3 2 2 4 5" xfId="53585" xr:uid="{8767E1FF-C540-4C07-8976-F8216755FADB}"/>
    <cellStyle name="Migliaia 43 3 2 2 4 6" xfId="10919" xr:uid="{CB8BD4CB-B159-4B5A-812C-7261D2CFC014}"/>
    <cellStyle name="Migliaia 43 3 2 2 5" xfId="20671" xr:uid="{86D4CB2D-A918-4B91-835D-71EC32EC9E25}"/>
    <cellStyle name="Migliaia 43 3 2 2 6" xfId="25053" xr:uid="{EC23201F-83FB-4242-8BD3-AFA89574FC77}"/>
    <cellStyle name="Migliaia 43 3 2 2 7" xfId="8705" xr:uid="{B4B50419-230D-4C7D-8552-D25B504D30D5}"/>
    <cellStyle name="Migliaia 43 3 2 3" xfId="5427" xr:uid="{59F7E196-E6B1-4F5F-BD82-F6E7A666E1A0}"/>
    <cellStyle name="Migliaia 43 3 2 3 2" xfId="12405" xr:uid="{54499A43-FB75-4384-9899-49D2F958FC62}"/>
    <cellStyle name="Migliaia 43 3 2 3 2 2" xfId="39717" xr:uid="{36428C8C-A6B0-41E3-8A27-72BFEEA66BFB}"/>
    <cellStyle name="Migliaia 43 3 2 3 2 3" xfId="45019" xr:uid="{DBA9E010-885D-49AD-97DF-DA480B3D58C1}"/>
    <cellStyle name="Migliaia 43 3 2 3 2 4" xfId="34158" xr:uid="{2996C05D-1199-4E66-A0DE-82CC0AF42F13}"/>
    <cellStyle name="Migliaia 43 3 2 3 3" xfId="12036" xr:uid="{528C95FD-928F-47A7-A1CB-A752FB512C7B}"/>
    <cellStyle name="Migliaia 43 3 2 3 4" xfId="20672" xr:uid="{6464916D-DD3D-48DA-A11B-9F932A4A4694}"/>
    <cellStyle name="Migliaia 43 3 2 3 4 2" xfId="42368" xr:uid="{61BDBAD0-055B-40FA-B4CE-417B84A8E6CF}"/>
    <cellStyle name="Migliaia 43 3 2 3 5" xfId="16591" xr:uid="{0A19EECB-7B91-455B-A014-63D9C08DC81C}"/>
    <cellStyle name="Migliaia 43 3 2 3 6" xfId="7973" xr:uid="{2CD26B0E-740F-459B-89BA-FB97E55E1A1C}"/>
    <cellStyle name="Migliaia 43 3 2 4" xfId="6614" xr:uid="{6C66720D-3082-46EB-8ADC-BC443882FC13}"/>
    <cellStyle name="Migliaia 43 3 2 4 2" xfId="18094" xr:uid="{7EE45EBC-F2B0-4439-B319-941FDD6F1114}"/>
    <cellStyle name="Migliaia 43 3 2 4 2 2" xfId="39718" xr:uid="{F15DD610-E322-41E0-8B1C-57B8C392ED6B}"/>
    <cellStyle name="Migliaia 43 3 2 4 2 3" xfId="45020" xr:uid="{992B3473-FDC7-44AD-9CC5-ED9F1BF7293E}"/>
    <cellStyle name="Migliaia 43 3 2 4 3" xfId="37113" xr:uid="{DEFF0303-A636-47DC-99AB-E9AC22BF8E4D}"/>
    <cellStyle name="Migliaia 43 3 2 4 4" xfId="42369" xr:uid="{161587AC-136D-4BF2-A9BF-F8F905AD2BBE}"/>
    <cellStyle name="Migliaia 43 3 2 4 5" xfId="17210" xr:uid="{EEC5FA0E-23F3-4F41-AD52-1282B9B6ABC6}"/>
    <cellStyle name="Migliaia 43 3 2 4 6" xfId="11384" xr:uid="{42E7D8DD-0778-4ABE-8DCC-6956F9D9C8C1}"/>
    <cellStyle name="Migliaia 43 3 2 5" xfId="3701" xr:uid="{58D20B1C-E517-46D3-B52A-B791A609F367}"/>
    <cellStyle name="Migliaia 43 3 2 5 2" xfId="34160" xr:uid="{3174A042-CE68-4A8B-BBAA-692E3679A807}"/>
    <cellStyle name="Migliaia 43 3 2 5 2 2" xfId="39719" xr:uid="{DAFEDB3B-859F-4A06-B4DE-88C029DF3D3C}"/>
    <cellStyle name="Migliaia 43 3 2 5 2 3" xfId="45021" xr:uid="{3F015F49-7632-43ED-B556-BA09DF914A85}"/>
    <cellStyle name="Migliaia 43 3 2 5 3" xfId="37114" xr:uid="{F9B10F61-ACE8-4AA9-8ADF-CEAED949A40C}"/>
    <cellStyle name="Migliaia 43 3 2 5 4" xfId="42370" xr:uid="{0AB70625-3879-4973-B7C1-34A587151590}"/>
    <cellStyle name="Migliaia 43 3 2 5 5" xfId="17315" xr:uid="{849BCFE8-9989-4214-A44E-E18047CD11A9}"/>
    <cellStyle name="Migliaia 43 3 2 6" xfId="20670" xr:uid="{CBD82545-456D-425E-8CEB-887DF4C3195E}"/>
    <cellStyle name="Migliaia 43 3 2 6 2" xfId="34161" xr:uid="{D81AAFEA-6F22-45EB-A9EF-72E8AB204CB4}"/>
    <cellStyle name="Migliaia 43 3 2 6 2 2" xfId="39720" xr:uid="{3D4C1EA5-C2C4-4EDE-BFCF-8E2835037320}"/>
    <cellStyle name="Migliaia 43 3 2 6 2 3" xfId="45022" xr:uid="{67485ADC-5ADE-4348-8E6E-0F6C18DE0EA6}"/>
    <cellStyle name="Migliaia 43 3 2 6 3" xfId="37115" xr:uid="{C2061F5F-0D44-4FC9-8829-A27CA521CB0B}"/>
    <cellStyle name="Migliaia 43 3 2 6 4" xfId="42371" xr:uid="{09C96970-28CE-4C52-B4E6-644132B6BD4C}"/>
    <cellStyle name="Migliaia 43 3 2 6 5" xfId="25058" xr:uid="{6C620E30-ABC5-45E1-A0AE-E97B4A835128}"/>
    <cellStyle name="Migliaia 43 3 2 7" xfId="25052" xr:uid="{54B8BAD9-9893-4658-8C3D-F1D65B379085}"/>
    <cellStyle name="Migliaia 43 3 2 8" xfId="7515" xr:uid="{15522BE0-E05F-4B41-BC80-87D466DDB24E}"/>
    <cellStyle name="Migliaia 43 3 3" xfId="3703" xr:uid="{65E1434F-A338-4681-AC67-36312D7F0D10}"/>
    <cellStyle name="Migliaia 43 3 3 10" xfId="7514" xr:uid="{85737D3A-BA0F-4946-955B-5A62DD8D3A3F}"/>
    <cellStyle name="Migliaia 43 3 3 2" xfId="5429" xr:uid="{EC01A1EE-AA6F-4060-8A55-8806FDC2501B}"/>
    <cellStyle name="Migliaia 43 3 3 2 2" xfId="9956" xr:uid="{41319265-3843-48DF-9967-692F04B1F1DE}"/>
    <cellStyle name="Migliaia 43 3 3 2 2 2" xfId="39722" xr:uid="{C1C71A9C-1D3D-47B0-8602-6B182F35FCB4}"/>
    <cellStyle name="Migliaia 43 3 3 2 2 3" xfId="45024" xr:uid="{3CFCD39F-ECA0-4041-A3F7-EAE72D3CF3C3}"/>
    <cellStyle name="Migliaia 43 3 3 2 3" xfId="18236" xr:uid="{51C70468-CBF0-43C9-8DE1-F7D5CB4E3392}"/>
    <cellStyle name="Migliaia 43 3 3 2 4" xfId="20674" xr:uid="{F5A1067B-018B-4FEA-A27C-7F6BBC5E26AB}"/>
    <cellStyle name="Migliaia 43 3 3 2 4 2" xfId="42373" xr:uid="{DB32D776-A3D4-4E05-851B-60DF61D0C1F1}"/>
    <cellStyle name="Migliaia 43 3 3 2 5" xfId="16593" xr:uid="{381DCEA5-5A62-4055-8E92-37A5E87C837F}"/>
    <cellStyle name="Migliaia 43 3 3 2 6" xfId="8704" xr:uid="{F85DEF5E-9401-4568-A36B-A4A9C56EFD8D}"/>
    <cellStyle name="Migliaia 43 3 3 3" xfId="6616" xr:uid="{85113703-F0EA-4B30-9BCF-A976FD4CAB38}"/>
    <cellStyle name="Migliaia 43 3 3 3 2" xfId="34164" xr:uid="{2A768E68-DB58-43FB-A311-96DCCF443490}"/>
    <cellStyle name="Migliaia 43 3 3 3 2 2" xfId="39723" xr:uid="{CA0A2A37-BEBF-4268-9067-3057524AB43D}"/>
    <cellStyle name="Migliaia 43 3 3 3 2 3" xfId="45025" xr:uid="{2A2AC789-D897-4DAF-97B5-0E4FB0ACB8D1}"/>
    <cellStyle name="Migliaia 43 3 3 3 3" xfId="37118" xr:uid="{B4692E16-995B-481B-953C-687CBB5511B6}"/>
    <cellStyle name="Migliaia 43 3 3 3 4" xfId="42374" xr:uid="{BA20E789-114B-4415-A08F-12BC74286816}"/>
    <cellStyle name="Migliaia 43 3 3 3 5" xfId="9719" xr:uid="{35E1251F-48D5-4C2E-833A-209C7356DB8F}"/>
    <cellStyle name="Migliaia 43 3 3 4" xfId="20673" xr:uid="{1EDD993B-2BE1-4BF6-920D-430FEDD3A36E}"/>
    <cellStyle name="Migliaia 43 3 3 4 2" xfId="34165" xr:uid="{EB7D0C53-E306-4582-A804-A9792081579A}"/>
    <cellStyle name="Migliaia 43 3 3 4 2 2" xfId="39724" xr:uid="{B0716F1B-BDCD-4F54-814B-4E70EC209B65}"/>
    <cellStyle name="Migliaia 43 3 3 4 2 3" xfId="45026" xr:uid="{B338A192-EE8E-4B31-A7A4-2F30B0A7BCB8}"/>
    <cellStyle name="Migliaia 43 3 3 4 3" xfId="37119" xr:uid="{F4FE3C53-AB9A-472C-9E98-F7CFA41B7CBB}"/>
    <cellStyle name="Migliaia 43 3 3 4 4" xfId="42375" xr:uid="{7AFC23DF-EF6F-455E-BBFD-9D2BC2B61DE7}"/>
    <cellStyle name="Migliaia 43 3 3 4 5" xfId="25062" xr:uid="{9FA1626C-3D2F-460A-BDFD-7AA4DEC443DC}"/>
    <cellStyle name="Migliaia 43 3 3 5" xfId="25063" xr:uid="{8C04FD00-7D64-4C2F-BF0E-ACA897D7BAC4}"/>
    <cellStyle name="Migliaia 43 3 3 5 2" xfId="34166" xr:uid="{C05E6070-2501-44A9-ADF0-A5CBE968FDA7}"/>
    <cellStyle name="Migliaia 43 3 3 5 2 2" xfId="39725" xr:uid="{6EF96632-37AA-45D3-B110-EFF13A515D29}"/>
    <cellStyle name="Migliaia 43 3 3 5 2 3" xfId="45027" xr:uid="{D41182E5-CA26-40BE-9A6A-CC7F9A207C91}"/>
    <cellStyle name="Migliaia 43 3 3 5 3" xfId="37120" xr:uid="{C7716C88-7349-4A5D-934F-75E6529C0CC6}"/>
    <cellStyle name="Migliaia 43 3 3 5 4" xfId="42376" xr:uid="{06696FA3-D502-441C-9905-B6B32A836E00}"/>
    <cellStyle name="Migliaia 43 3 3 6" xfId="34162" xr:uid="{A1B714B5-78E1-4C04-8022-A6471F03ABAA}"/>
    <cellStyle name="Migliaia 43 3 3 6 2" xfId="39721" xr:uid="{9B237987-9F10-46E9-A6EE-36D413B91456}"/>
    <cellStyle name="Migliaia 43 3 3 6 3" xfId="45023" xr:uid="{62675886-F928-4C39-86A3-955AFFDEA149}"/>
    <cellStyle name="Migliaia 43 3 3 7" xfId="37116" xr:uid="{09D522EC-796E-456F-B019-0B5256BFC627}"/>
    <cellStyle name="Migliaia 43 3 3 8" xfId="42372" xr:uid="{A28A638C-48E2-49B1-9B5C-4180C2749FCE}"/>
    <cellStyle name="Migliaia 43 3 3 9" xfId="16592" xr:uid="{48D2FE39-BD28-4379-A631-7A3E89F648AC}"/>
    <cellStyle name="Migliaia 43 3 4" xfId="3704" xr:uid="{6C271BCC-AA0D-4046-BF70-502DC218C912}"/>
    <cellStyle name="Migliaia 43 3 4 2" xfId="5430" xr:uid="{EBDA9C74-000E-4CC2-BB15-E748E45F932A}"/>
    <cellStyle name="Migliaia 43 3 4 2 2" xfId="14460" xr:uid="{5E068F2A-29E9-433A-A6D0-CDF9202244A8}"/>
    <cellStyle name="Migliaia 43 3 4 2 3" xfId="18132" xr:uid="{1A629785-208A-4D97-9566-453B9A19596B}"/>
    <cellStyle name="Migliaia 43 3 4 2 4" xfId="20676" xr:uid="{FA9C0F0B-F4A0-47A8-9D1B-F7D535CA7906}"/>
    <cellStyle name="Migliaia 43 3 4 2 5" xfId="32425" xr:uid="{4C19820A-894F-4C4C-B3DA-F45B2BD111E7}"/>
    <cellStyle name="Migliaia 43 3 4 2 6" xfId="16595" xr:uid="{14A515DD-BDDE-4947-AEC7-9707C7222B39}"/>
    <cellStyle name="Migliaia 43 3 4 2 7" xfId="8883" xr:uid="{DDD17D1B-55E1-4002-9D22-6ADB038A04D3}"/>
    <cellStyle name="Migliaia 43 3 4 3" xfId="6617" xr:uid="{37BD3EBB-C1F3-425D-8E70-C3B4A8566F44}"/>
    <cellStyle name="Migliaia 43 3 4 3 2" xfId="35384" xr:uid="{BBE58207-4C60-4D1F-B65D-0505BB7BAA05}"/>
    <cellStyle name="Migliaia 43 3 4 3 2 2" xfId="40544" xr:uid="{A86CAA9B-B10F-4D47-A307-FFD9E3CFCEF1}"/>
    <cellStyle name="Migliaia 43 3 4 3 2 3" xfId="45846" xr:uid="{BA3372F0-3251-449C-BD9E-62EBC84A913A}"/>
    <cellStyle name="Migliaia 43 3 4 3 3" xfId="37893" xr:uid="{44EB5D94-D115-4C19-80AA-AB58EF330F12}"/>
    <cellStyle name="Migliaia 43 3 4 3 4" xfId="43195" xr:uid="{6FC23DC3-D7C6-4A8C-A523-DDBB2F27AD83}"/>
    <cellStyle name="Migliaia 43 3 4 3 5" xfId="13708" xr:uid="{8D07CD6C-DE5C-41B0-B702-D3B1307F652B}"/>
    <cellStyle name="Migliaia 43 3 4 4" xfId="20675" xr:uid="{BB932412-7C8B-4EF3-A632-3CDA8CF3D84A}"/>
    <cellStyle name="Migliaia 43 3 4 4 2" xfId="39726" xr:uid="{DB5F872A-C917-4804-92A2-92E8C415BC28}"/>
    <cellStyle name="Migliaia 43 3 4 4 3" xfId="45028" xr:uid="{70D94F9E-C546-47A0-A695-F346B63494DF}"/>
    <cellStyle name="Migliaia 43 3 4 4 4" xfId="34167" xr:uid="{684EA4C0-485C-41FA-8B71-2085A27C29E7}"/>
    <cellStyle name="Migliaia 43 3 4 5" xfId="37121" xr:uid="{4B0FACE1-2839-4B50-88E9-4456588AADA1}"/>
    <cellStyle name="Migliaia 43 3 4 6" xfId="42377" xr:uid="{934FF300-6716-41C8-96DA-F0E10C1056F3}"/>
    <cellStyle name="Migliaia 43 3 4 7" xfId="16594" xr:uid="{43FAF9CC-2A03-44B0-A9BC-A6D2C69AFA96}"/>
    <cellStyle name="Migliaia 43 3 4 8" xfId="7693" xr:uid="{1D5DBED4-5994-4FEC-A6AC-6D626295289A}"/>
    <cellStyle name="Migliaia 43 3 5" xfId="3705" xr:uid="{68C33D07-A8C5-4CB2-85C6-A8498106DD2F}"/>
    <cellStyle name="Migliaia 43 3 5 2" xfId="5431" xr:uid="{1D9F2EA8-64E0-407B-B98B-3BE489B96248}"/>
    <cellStyle name="Migliaia 43 3 5 2 2" xfId="35385" xr:uid="{EBCD51A8-7F53-4217-A3AF-C12CDD0BF22B}"/>
    <cellStyle name="Migliaia 43 3 5 2 2 2" xfId="40545" xr:uid="{A879C7D3-4F96-44FD-AD3A-06F23CDC3E48}"/>
    <cellStyle name="Migliaia 43 3 5 2 2 3" xfId="45847" xr:uid="{3CDA5AFA-140F-4295-8331-9BC879834FD1}"/>
    <cellStyle name="Migliaia 43 3 5 2 3" xfId="37894" xr:uid="{8305D945-48DD-46E4-AF2C-942E3958E905}"/>
    <cellStyle name="Migliaia 43 3 5 2 4" xfId="43196" xr:uid="{EFD3B234-BCB7-4880-B664-AFD8D87CC811}"/>
    <cellStyle name="Migliaia 43 3 5 2 5" xfId="14292" xr:uid="{82550F0E-1E35-4546-AA31-2CE5021E90B4}"/>
    <cellStyle name="Migliaia 43 3 5 3" xfId="6618" xr:uid="{F378636C-A7F0-4845-AF59-6745C293FFAD}"/>
    <cellStyle name="Migliaia 43 3 5 3 2" xfId="39727" xr:uid="{8EA2309F-BB2A-44D8-8D5A-C9CAB7D61AAB}"/>
    <cellStyle name="Migliaia 43 3 5 3 3" xfId="45029" xr:uid="{4809AF43-37D2-4855-B110-9CA59350EC02}"/>
    <cellStyle name="Migliaia 43 3 5 3 4" xfId="34168" xr:uid="{DD2BA1D8-6572-4988-A37B-AEC95C43910F}"/>
    <cellStyle name="Migliaia 43 3 5 3 5" xfId="20677" xr:uid="{40A7DABD-507C-40D6-B0DF-69F06A558BB5}"/>
    <cellStyle name="Migliaia 43 3 5 4" xfId="37122" xr:uid="{8649139F-19CD-4AAE-91CC-F6E23007512A}"/>
    <cellStyle name="Migliaia 43 3 5 5" xfId="42378" xr:uid="{87A7DFDA-6BA8-4F6B-A29A-63165DECE69B}"/>
    <cellStyle name="Migliaia 43 3 5 6" xfId="16596" xr:uid="{E6E49358-25B6-4FB1-A9B4-73333C1F0865}"/>
    <cellStyle name="Migliaia 43 3 5 7" xfId="8354" xr:uid="{3C489F8E-78DC-4DC1-B1DC-79C9B38972C8}"/>
    <cellStyle name="Migliaia 43 3 6" xfId="5426" xr:uid="{DBBAE00A-0A95-4A90-A3C2-C92BFB18727F}"/>
    <cellStyle name="Migliaia 43 3 6 2" xfId="13997" xr:uid="{F3C96492-BB16-42CB-930D-C2340E28CA87}"/>
    <cellStyle name="Migliaia 43 3 6 2 2" xfId="39728" xr:uid="{A5FE435E-35CE-49FC-9954-53F7AC5FB6EE}"/>
    <cellStyle name="Migliaia 43 3 6 2 3" xfId="45030" xr:uid="{58494975-409E-4D79-9DA5-D1560ADEBD6D}"/>
    <cellStyle name="Migliaia 43 3 6 3" xfId="18023" xr:uid="{20224FD5-2995-44EB-93E7-2B6EF72AA9ED}"/>
    <cellStyle name="Migliaia 43 3 6 4" xfId="20678" xr:uid="{4F003EF8-E038-4595-8E34-39A98FD3FD6D}"/>
    <cellStyle name="Migliaia 43 3 6 4 2" xfId="42379" xr:uid="{952BD2A4-BF0F-42F2-9507-8BF381D3A14A}"/>
    <cellStyle name="Migliaia 43 3 6 5" xfId="16597" xr:uid="{55396C5B-00CA-431C-A447-B2B79836F566}"/>
    <cellStyle name="Migliaia 43 3 6 6" xfId="7972" xr:uid="{8546FFD2-6044-4ECC-A50F-391F66D9CD07}"/>
    <cellStyle name="Migliaia 43 3 7" xfId="6613" xr:uid="{A2298F06-8173-4CE0-886F-40D57C9B7459}"/>
    <cellStyle name="Migliaia 43 3 7 2" xfId="34170" xr:uid="{A735E35B-510D-4BD8-8187-62F50103A6E7}"/>
    <cellStyle name="Migliaia 43 3 7 2 2" xfId="39729" xr:uid="{0179EF3F-E203-463E-B3A1-951FA793EAB3}"/>
    <cellStyle name="Migliaia 43 3 7 2 3" xfId="45031" xr:uid="{52637D82-16B6-495D-80B0-DB22E5F68FDC}"/>
    <cellStyle name="Migliaia 43 3 7 3" xfId="37124" xr:uid="{29A074B1-4D0B-48D1-BF6A-F16E8BC6ED21}"/>
    <cellStyle name="Migliaia 43 3 7 4" xfId="42380" xr:uid="{9C07E753-AB0E-4458-B687-97229996D54F}"/>
    <cellStyle name="Migliaia 43 3 7 5" xfId="11218" xr:uid="{D0EBA80E-6010-4DEB-A5E8-00C385A28EC6}"/>
    <cellStyle name="Migliaia 43 3 8" xfId="3700" xr:uid="{13A3A862-2990-4B10-9DC9-4CC398BB5405}"/>
    <cellStyle name="Migliaia 43 3 8 2" xfId="34171" xr:uid="{CF0FF482-B624-4C2B-BF39-4B71CD5FE47C}"/>
    <cellStyle name="Migliaia 43 3 8 2 2" xfId="39730" xr:uid="{10335B84-BFF8-4EBB-8DBE-212D77AD4B8A}"/>
    <cellStyle name="Migliaia 43 3 8 2 3" xfId="45032" xr:uid="{091AC831-635B-499D-8B28-3FFBF65378EA}"/>
    <cellStyle name="Migliaia 43 3 8 3" xfId="37125" xr:uid="{C55255FE-4F7A-474D-A32D-22010DE67BD2}"/>
    <cellStyle name="Migliaia 43 3 8 4" xfId="42381" xr:uid="{B8B31C03-490A-42DD-B052-28E1B647D4FF}"/>
    <cellStyle name="Migliaia 43 3 8 5" xfId="25068" xr:uid="{AEB033BC-2A09-4CF1-B4E7-512CDE1FF411}"/>
    <cellStyle name="Migliaia 43 3 8 6" xfId="17316" xr:uid="{66CF9003-BEDB-4B3B-89CD-F4C8CD28C3DE}"/>
    <cellStyle name="Migliaia 43 3 9" xfId="20669" xr:uid="{77FD21BF-8659-4E21-B850-65E6A3D1B1A5}"/>
    <cellStyle name="Migliaia 43 4" xfId="1843" xr:uid="{00000000-0005-0000-0000-000012040000}"/>
    <cellStyle name="Migliaia 43 4 2" xfId="1844" xr:uid="{00000000-0005-0000-0000-000013040000}"/>
    <cellStyle name="Migliaia 43 4 2 2" xfId="5433" xr:uid="{FCA34C9C-2165-4B21-93A9-1693C5E53DEE}"/>
    <cellStyle name="Migliaia 43 4 2 2 2" xfId="34172" xr:uid="{4CB8CF92-56D6-431E-B24F-9DE452EC39AE}"/>
    <cellStyle name="Migliaia 43 4 2 2 2 2" xfId="39731" xr:uid="{616E0339-DE4E-40AD-8248-506E8A6962A1}"/>
    <cellStyle name="Migliaia 43 4 2 2 2 3" xfId="45033" xr:uid="{C19DFF35-C085-4B47-B3D0-541436C833F2}"/>
    <cellStyle name="Migliaia 43 4 2 2 3" xfId="37126" xr:uid="{3BD04D5A-AF7A-4065-B1E3-A487DE9405DF}"/>
    <cellStyle name="Migliaia 43 4 2 2 4" xfId="42382" xr:uid="{BD9321CA-BA1B-40D3-A34A-5A7DD02720E8}"/>
    <cellStyle name="Migliaia 43 4 2 2 5" xfId="9182" xr:uid="{655707D8-4E22-41AE-94B2-64A8C125378D}"/>
    <cellStyle name="Migliaia 43 4 2 3" xfId="3707" xr:uid="{511D714A-B169-4432-9F0A-707476A89686}"/>
    <cellStyle name="Migliaia 43 4 2 3 2" xfId="34173" xr:uid="{BB45BF0F-B66E-451B-8A4A-74A96A074BC7}"/>
    <cellStyle name="Migliaia 43 4 2 3 2 2" xfId="39732" xr:uid="{E2A8E2AB-2555-4651-9FC9-93688D0F5A6D}"/>
    <cellStyle name="Migliaia 43 4 2 3 2 3" xfId="45034" xr:uid="{8A9373B6-230B-4B61-B8AB-4DCF53F23D83}"/>
    <cellStyle name="Migliaia 43 4 2 3 3" xfId="37127" xr:uid="{9D877977-D2BB-40DB-92EE-A43DA4729C8A}"/>
    <cellStyle name="Migliaia 43 4 2 3 4" xfId="42383" xr:uid="{445BE23B-C839-4956-A13A-85F09612DC5E}"/>
    <cellStyle name="Migliaia 43 4 2 3 5" xfId="12037" xr:uid="{C0ADC7E1-5BF7-4B8E-991C-8A796BA4032D}"/>
    <cellStyle name="Migliaia 43 4 2 4" xfId="11386" xr:uid="{94575CD5-D102-441A-B2AA-C9C01ED2CE05}"/>
    <cellStyle name="Migliaia 43 4 2 5" xfId="10921" xr:uid="{3899E73C-0586-4B72-BDE3-1F5627242BFF}"/>
    <cellStyle name="Migliaia 43 4 2 5 2" xfId="21556" xr:uid="{95FB1715-7405-420B-B9E8-5E5B984C227A}"/>
    <cellStyle name="Migliaia 43 4 2 5 3" xfId="47364" xr:uid="{C4B40BF3-02D3-4CA2-9F2A-3EBF3D32BEC3}"/>
    <cellStyle name="Migliaia 43 4 2 5 4" xfId="50571" xr:uid="{37456766-B88B-4B1E-9A40-24A5C7AFC4B5}"/>
    <cellStyle name="Migliaia 43 4 2 5 5" xfId="53587" xr:uid="{E2181475-8738-403D-B224-4B7EDB70D9B4}"/>
    <cellStyle name="Migliaia 43 4 2 6" xfId="20680" xr:uid="{38CE37D6-AC2D-44E3-8298-6C0A229F94CE}"/>
    <cellStyle name="Migliaia 43 4 2 7" xfId="25070" xr:uid="{92154275-68EE-4237-A5C3-903495FC8902}"/>
    <cellStyle name="Migliaia 43 4 2 8" xfId="8706" xr:uid="{F24C4962-701B-49E3-ADB5-075C1405B469}"/>
    <cellStyle name="Migliaia 43 4 3" xfId="5432" xr:uid="{5C16A89C-6620-4EF5-8FBD-1B9F0E2D5A2B}"/>
    <cellStyle name="Migliaia 43 4 3 2" xfId="18237" xr:uid="{980CA8D3-7547-4D6B-BD82-06482480C7FA}"/>
    <cellStyle name="Migliaia 43 4 3 2 2" xfId="39733" xr:uid="{D1070AC1-DD56-41DD-B955-0F0EB4A90903}"/>
    <cellStyle name="Migliaia 43 4 3 2 3" xfId="45035" xr:uid="{93725761-7C5C-4FDC-A77A-98352A57ACA3}"/>
    <cellStyle name="Migliaia 43 4 3 3" xfId="37128" xr:uid="{D92565F8-34A8-49EC-9E06-52EA91AA24F5}"/>
    <cellStyle name="Migliaia 43 4 3 4" xfId="42384" xr:uid="{766AE19D-F67C-47B8-A074-1312BEF06233}"/>
    <cellStyle name="Migliaia 43 4 3 5" xfId="17314" xr:uid="{719319D2-BF1A-4F0C-8302-09F0D14F9C01}"/>
    <cellStyle name="Migliaia 43 4 3 6" xfId="9183" xr:uid="{2693692E-5C2C-4F0A-89D0-E86D01DC87BA}"/>
    <cellStyle name="Migliaia 43 4 4" xfId="6619" xr:uid="{79B51477-2238-42D7-802B-9B4E05057A8A}"/>
    <cellStyle name="Migliaia 43 4 4 2" xfId="34175" xr:uid="{791C7DFC-28DC-444C-A727-58605EE462BC}"/>
    <cellStyle name="Migliaia 43 4 4 2 2" xfId="39734" xr:uid="{E184BEC8-2540-4ABA-8304-E595142D479E}"/>
    <cellStyle name="Migliaia 43 4 4 2 3" xfId="45036" xr:uid="{C5BEEDD2-EA4F-4ED6-B3A0-149D0460BF4F}"/>
    <cellStyle name="Migliaia 43 4 4 3" xfId="37129" xr:uid="{82A5C984-AFA3-450C-A8B8-178F02B3C30A}"/>
    <cellStyle name="Migliaia 43 4 4 4" xfId="42385" xr:uid="{7677C060-9254-46F9-8C2D-1001ACB9504C}"/>
    <cellStyle name="Migliaia 43 4 4 5" xfId="12038" xr:uid="{5F32C596-C382-44F2-86FC-12D88FE8AFD1}"/>
    <cellStyle name="Migliaia 43 4 5" xfId="3706" xr:uid="{55B37FB2-0420-40E0-B31D-40AAE29CC37A}"/>
    <cellStyle name="Migliaia 43 4 5 2" xfId="34176" xr:uid="{AA22D1B6-B66D-40E8-8749-89DBFE0E39D2}"/>
    <cellStyle name="Migliaia 43 4 5 2 2" xfId="39735" xr:uid="{46516304-2F47-4AB9-9E8C-1079D1662872}"/>
    <cellStyle name="Migliaia 43 4 5 2 3" xfId="45037" xr:uid="{79BB87F6-6060-4E2C-A7EC-E936C600E971}"/>
    <cellStyle name="Migliaia 43 4 5 3" xfId="37130" xr:uid="{EAD07527-D0E6-495F-A3D7-7DCA6C3D1A61}"/>
    <cellStyle name="Migliaia 43 4 5 4" xfId="42386" xr:uid="{23394B5E-F416-4E6E-A8BD-AFD906F7D78C}"/>
    <cellStyle name="Migliaia 43 4 5 5" xfId="11385" xr:uid="{43F2C320-C2A3-4F72-B567-83F43E2BAD46}"/>
    <cellStyle name="Migliaia 43 4 6" xfId="10920" xr:uid="{CEA8DB65-C5D6-4AD1-BA81-07C76FD5F5D8}"/>
    <cellStyle name="Migliaia 43 4 6 2" xfId="21555" xr:uid="{EA20C6A8-DA8D-4377-BD24-73B415A29550}"/>
    <cellStyle name="Migliaia 43 4 6 2 2" xfId="39736" xr:uid="{E89DB492-0756-4BE9-A65C-EC63AA4E0DB3}"/>
    <cellStyle name="Migliaia 43 4 6 2 3" xfId="45038" xr:uid="{90B0A57E-706C-47CB-AA67-AA991AB74788}"/>
    <cellStyle name="Migliaia 43 4 6 2 4" xfId="34177" xr:uid="{44FDD22A-728B-4C5B-A258-F0B543510C24}"/>
    <cellStyle name="Migliaia 43 4 6 3" xfId="37131" xr:uid="{D7CB82F5-5AD6-482C-9E8D-C0F9F16FF47B}"/>
    <cellStyle name="Migliaia 43 4 6 4" xfId="42387" xr:uid="{B6FFBCE4-25B3-43BD-9EB2-9F18A253BB59}"/>
    <cellStyle name="Migliaia 43 4 6 5" xfId="25076" xr:uid="{95A8ACF1-E127-44D5-9950-3965C380F7A0}"/>
    <cellStyle name="Migliaia 43 4 6 6" xfId="47264" xr:uid="{F8D86233-6EBA-4C49-9934-AEE128D9BBEF}"/>
    <cellStyle name="Migliaia 43 4 6 7" xfId="50570" xr:uid="{61EEF052-66C1-4668-B3F6-C121D0962261}"/>
    <cellStyle name="Migliaia 43 4 6 8" xfId="53586" xr:uid="{B16FC150-703B-43B0-9CF9-C47CD68AA7D4}"/>
    <cellStyle name="Migliaia 43 4 7" xfId="20679" xr:uid="{72102058-8F77-4B2D-9B07-96398FF7D91A}"/>
    <cellStyle name="Migliaia 43 4 7 2" xfId="34178" xr:uid="{22672D5D-0A6B-4FB8-9DB7-575C083B4983}"/>
    <cellStyle name="Migliaia 43 4 7 2 2" xfId="39737" xr:uid="{03641958-64E5-4875-A852-91C8B2740571}"/>
    <cellStyle name="Migliaia 43 4 7 2 3" xfId="45039" xr:uid="{CCD48F93-C7CB-4837-B821-1542C6DD5E3E}"/>
    <cellStyle name="Migliaia 43 4 7 3" xfId="37132" xr:uid="{D7D7BC0B-FF71-4843-AE10-DFFF0B55E67A}"/>
    <cellStyle name="Migliaia 43 4 7 4" xfId="42388" xr:uid="{C45A65FD-0240-486D-BCB8-A341E0C658E9}"/>
    <cellStyle name="Migliaia 43 4 7 5" xfId="25077" xr:uid="{9117ED36-0E46-4054-BF1C-21806AC64ADF}"/>
    <cellStyle name="Migliaia 43 4 8" xfId="25069" xr:uid="{BE0499CF-A6D4-41DD-99A8-308C959DF963}"/>
    <cellStyle name="Migliaia 43 4 9" xfId="7516" xr:uid="{656B39BA-325F-48EC-A899-12BD22F3166F}"/>
    <cellStyle name="Migliaia 43 5" xfId="1845" xr:uid="{00000000-0005-0000-0000-000014040000}"/>
    <cellStyle name="Migliaia 43 5 2" xfId="5434" xr:uid="{FA42EACE-A059-4BF5-8E5A-48E50AAD8857}"/>
    <cellStyle name="Migliaia 43 5 2 2" xfId="18475" xr:uid="{1DD1D7F2-B799-46ED-83DF-FD8B385752BF}"/>
    <cellStyle name="Migliaia 43 5 2 2 2" xfId="39738" xr:uid="{32318B93-7CA7-46FA-A98A-5825F8CD276B}"/>
    <cellStyle name="Migliaia 43 5 2 2 3" xfId="45040" xr:uid="{FDF9BFB0-9889-4194-9286-BF2EDDA7A4B4}"/>
    <cellStyle name="Migliaia 43 5 2 3" xfId="20682" xr:uid="{0AEC5357-7D78-4B93-92A0-2698326A62BB}"/>
    <cellStyle name="Migliaia 43 5 2 3 2" xfId="37133" xr:uid="{650B1D34-1E9B-4FA3-8AE2-0510C63EB89F}"/>
    <cellStyle name="Migliaia 43 5 2 4" xfId="42389" xr:uid="{68667E0C-A03B-43FC-BFE0-1CBA23294587}"/>
    <cellStyle name="Migliaia 43 5 2 5" xfId="16598" xr:uid="{0118E776-98CE-4895-863E-04E672BC14C5}"/>
    <cellStyle name="Migliaia 43 5 2 6" xfId="8707" xr:uid="{E450942C-5175-4CA4-84FB-5CFEB8C1B2E5}"/>
    <cellStyle name="Migliaia 43 5 3" xfId="6620" xr:uid="{5C3EA93A-136B-4265-8CC5-5660E75BEBAE}"/>
    <cellStyle name="Migliaia 43 5 3 2" xfId="34180" xr:uid="{0D37C7E5-02DA-42C7-91AC-F33C352E1D94}"/>
    <cellStyle name="Migliaia 43 5 3 2 2" xfId="39739" xr:uid="{51400C6A-4C98-465E-8327-C1F229457523}"/>
    <cellStyle name="Migliaia 43 5 3 2 3" xfId="45041" xr:uid="{1EFBD755-841C-4881-876E-29362E8F9894}"/>
    <cellStyle name="Migliaia 43 5 3 3" xfId="37134" xr:uid="{4C949410-1D52-4AFB-928A-A6BFEF193365}"/>
    <cellStyle name="Migliaia 43 5 3 4" xfId="42390" xr:uid="{A7851E4F-D750-4EFD-A3BC-829E222CD2AD}"/>
    <cellStyle name="Migliaia 43 5 3 5" xfId="11387" xr:uid="{9E10C2AE-C794-4041-B233-699F0BFD2518}"/>
    <cellStyle name="Migliaia 43 5 4" xfId="3708" xr:uid="{E224E1F4-931F-4E25-AE94-2E9EF9F2C2C5}"/>
    <cellStyle name="Migliaia 43 5 4 2" xfId="21557" xr:uid="{0DBE780F-0382-4FD3-97AE-A9B816B552C4}"/>
    <cellStyle name="Migliaia 43 5 4 2 2" xfId="39740" xr:uid="{F279D305-57A1-4F2E-9A5B-132B0FFAE2AD}"/>
    <cellStyle name="Migliaia 43 5 4 2 3" xfId="45042" xr:uid="{89775498-2167-4B47-8B1A-BF093639CAC8}"/>
    <cellStyle name="Migliaia 43 5 4 2 4" xfId="34181" xr:uid="{0524A084-E6F1-4CCC-9B4F-2FC07AB8BC3B}"/>
    <cellStyle name="Migliaia 43 5 4 3" xfId="37135" xr:uid="{86511C26-2962-4507-9F61-C914605E96BF}"/>
    <cellStyle name="Migliaia 43 5 4 4" xfId="42391" xr:uid="{D62620D8-4552-43B8-8EF6-3BD0D3457D1E}"/>
    <cellStyle name="Migliaia 43 5 4 5" xfId="25081" xr:uid="{D6684779-F851-48E0-AA09-B247D8BEB77A}"/>
    <cellStyle name="Migliaia 43 5 4 6" xfId="46259" xr:uid="{B663A6B9-0E81-47FD-B6E2-0638407BBA11}"/>
    <cellStyle name="Migliaia 43 5 4 7" xfId="50572" xr:uid="{94EE158C-3315-4569-BE3D-65B929F5B99B}"/>
    <cellStyle name="Migliaia 43 5 4 8" xfId="53588" xr:uid="{CA40F439-C6F7-4A96-A240-AFB6E3ECBEFF}"/>
    <cellStyle name="Migliaia 43 5 4 9" xfId="10922" xr:uid="{EFCB44CE-5AB7-4F43-AF7A-0F281D13DCCC}"/>
    <cellStyle name="Migliaia 43 5 5" xfId="20681" xr:uid="{93A61784-CD46-46A6-AA0B-B53ABADE8897}"/>
    <cellStyle name="Migliaia 43 5 5 2" xfId="34182" xr:uid="{E01A1212-A99B-44E7-A3E6-A2BF0D05345E}"/>
    <cellStyle name="Migliaia 43 5 5 2 2" xfId="39741" xr:uid="{D2986DBD-7FC7-498D-A4C5-DDFB71208819}"/>
    <cellStyle name="Migliaia 43 5 5 2 3" xfId="45043" xr:uid="{460D357E-B93A-43E4-AF08-E1FBFF3B64E4}"/>
    <cellStyle name="Migliaia 43 5 5 3" xfId="37136" xr:uid="{FEB6F996-E0E0-42FB-8EF3-D5D320C62510}"/>
    <cellStyle name="Migliaia 43 5 5 4" xfId="42392" xr:uid="{4CD4B72F-C953-4234-BE85-885E37E7C6FB}"/>
    <cellStyle name="Migliaia 43 5 5 5" xfId="25082" xr:uid="{6B5C94BA-8A65-46E7-8320-E15FA653301A}"/>
    <cellStyle name="Migliaia 43 5 6" xfId="25083" xr:uid="{CBA383BD-3EBF-42A5-8396-FBCE64C4A4DE}"/>
    <cellStyle name="Migliaia 43 5 6 2" xfId="34183" xr:uid="{A3052A38-88B9-44DD-BCB2-14CDC61AC282}"/>
    <cellStyle name="Migliaia 43 5 6 2 2" xfId="39742" xr:uid="{9D0199FC-82A7-4E66-BD15-515DAE66B76E}"/>
    <cellStyle name="Migliaia 43 5 6 2 3" xfId="45044" xr:uid="{4E1C9835-793C-4BE7-A7FF-D40BCBEFCE6D}"/>
    <cellStyle name="Migliaia 43 5 6 3" xfId="37137" xr:uid="{C6330DED-917D-40C4-95E5-485CF9266DF3}"/>
    <cellStyle name="Migliaia 43 5 6 4" xfId="42393" xr:uid="{4ED8858D-EC5E-4CA1-85DC-3F6F1F4A6F28}"/>
    <cellStyle name="Migliaia 43 5 7" xfId="25078" xr:uid="{DCBCBEC3-D5A9-4864-93C4-D356CBC24D15}"/>
    <cellStyle name="Migliaia 43 5 8" xfId="7517" xr:uid="{3C89BBE0-228B-41B5-B700-4B2F115155E1}"/>
    <cellStyle name="Migliaia 43 6" xfId="3709" xr:uid="{F072E6B5-FE24-4E0D-A4DC-03F9C71B9882}"/>
    <cellStyle name="Migliaia 43 6 2" xfId="5435" xr:uid="{0B4D3EA2-B8F0-4CD0-885B-6F83EC6E70ED}"/>
    <cellStyle name="Migliaia 43 6 2 2" xfId="9955" xr:uid="{47DE7256-A376-4740-A9D4-13FE421EA5A6}"/>
    <cellStyle name="Migliaia 43 6 2 3" xfId="18643" xr:uid="{48A983F2-7AE3-4467-8CD6-D88CB78EAF10}"/>
    <cellStyle name="Migliaia 43 6 2 4" xfId="20684" xr:uid="{10EA8155-EA0F-460B-B33F-3397AF55905E}"/>
    <cellStyle name="Migliaia 43 6 2 5" xfId="32427" xr:uid="{6717DDCF-8FB5-408C-8B03-215205B3BAA0}"/>
    <cellStyle name="Migliaia 43 6 2 6" xfId="16600" xr:uid="{0B2002C7-A939-40AA-8366-94BCC85F35CC}"/>
    <cellStyle name="Migliaia 43 6 2 7" xfId="8702" xr:uid="{340B007C-E359-418C-AA4A-3D385D6E0122}"/>
    <cellStyle name="Migliaia 43 6 3" xfId="6621" xr:uid="{8BF9FBF5-236D-49C7-BFD3-6B2B271B0ECA}"/>
    <cellStyle name="Migliaia 43 6 3 2" xfId="35386" xr:uid="{5E7EED87-9663-4C52-8FD5-D8414C4A27E7}"/>
    <cellStyle name="Migliaia 43 6 3 2 2" xfId="40546" xr:uid="{E7AC8B0F-3854-4827-8342-52E4E3ECF1CF}"/>
    <cellStyle name="Migliaia 43 6 3 2 3" xfId="45848" xr:uid="{0A6EB1FD-DA97-42F3-969A-4ABB731F23C9}"/>
    <cellStyle name="Migliaia 43 6 3 3" xfId="37895" xr:uid="{1993A862-22B1-4718-97C2-F38FA88CFB48}"/>
    <cellStyle name="Migliaia 43 6 3 4" xfId="43197" xr:uid="{A5B8DB68-6A7E-41CA-9ABB-52BF4E0D58E8}"/>
    <cellStyle name="Migliaia 43 6 3 5" xfId="9718" xr:uid="{DBAF44B0-B876-41AA-AA2F-AF8C2DBFFFB2}"/>
    <cellStyle name="Migliaia 43 6 4" xfId="20683" xr:uid="{09FD1F59-12C6-4CCB-B823-02DF341006DF}"/>
    <cellStyle name="Migliaia 43 6 4 2" xfId="39743" xr:uid="{A6EB34DE-558C-4CA1-89E9-05133F75DA03}"/>
    <cellStyle name="Migliaia 43 6 4 3" xfId="45045" xr:uid="{5CF2A20D-9DB5-4CA7-B4E4-E03317580649}"/>
    <cellStyle name="Migliaia 43 6 4 4" xfId="34184" xr:uid="{9A6C3B5F-2984-40F7-99C4-3C58C33BFA5E}"/>
    <cellStyle name="Migliaia 43 6 5" xfId="37138" xr:uid="{68E8C4EC-5162-4864-82FE-77B424EE089B}"/>
    <cellStyle name="Migliaia 43 6 6" xfId="42394" xr:uid="{EEE29800-5F47-452B-AE0A-F91C0DDAAB6D}"/>
    <cellStyle name="Migliaia 43 6 7" xfId="16599" xr:uid="{08D31EBD-C698-4C2F-99E4-84AFAB8F5A9D}"/>
    <cellStyle name="Migliaia 43 6 8" xfId="7512" xr:uid="{66884DA4-7A92-4615-A2AB-A3C35AE2F40E}"/>
    <cellStyle name="Migliaia 43 7" xfId="3710" xr:uid="{118DD966-44D8-43A0-B4D9-71ADC72DC010}"/>
    <cellStyle name="Migliaia 43 7 2" xfId="5436" xr:uid="{63826C31-3B57-4F51-A584-91A8D3E5120B}"/>
    <cellStyle name="Migliaia 43 7 2 2" xfId="35387" xr:uid="{BC89A0D4-FE08-44EF-AB80-82A2745832AE}"/>
    <cellStyle name="Migliaia 43 7 2 2 2" xfId="40547" xr:uid="{739587F9-C83C-48AC-AFCB-2BDCC13F95B4}"/>
    <cellStyle name="Migliaia 43 7 2 2 3" xfId="45849" xr:uid="{67525FB6-AC57-476F-88A7-33431C1C0A2C}"/>
    <cellStyle name="Migliaia 43 7 2 3" xfId="37896" xr:uid="{88E63988-EF98-4DCB-95D7-A3E284836D75}"/>
    <cellStyle name="Migliaia 43 7 2 4" xfId="43198" xr:uid="{9FD5DA2F-8AD3-4828-A1EC-325B3906DA37}"/>
    <cellStyle name="Migliaia 43 7 2 5" xfId="14290" xr:uid="{35B87AF5-0EB0-40DA-8826-C332D9FA1923}"/>
    <cellStyle name="Migliaia 43 7 3" xfId="6622" xr:uid="{3544D5E2-072E-40D6-AFE3-D0E85DA1E348}"/>
    <cellStyle name="Migliaia 43 7 3 2" xfId="39744" xr:uid="{F95710EB-193A-4F65-8537-70509C12D038}"/>
    <cellStyle name="Migliaia 43 7 3 3" xfId="45046" xr:uid="{35DD572C-251F-4F76-9C9C-D09966D94AFD}"/>
    <cellStyle name="Migliaia 43 7 3 4" xfId="34185" xr:uid="{FACCC2D0-985C-4F4C-AE3C-A069383C0AC8}"/>
    <cellStyle name="Migliaia 43 7 3 5" xfId="20685" xr:uid="{98B11196-C41D-4CBD-93AF-58CB905EA803}"/>
    <cellStyle name="Migliaia 43 7 4" xfId="37139" xr:uid="{C9521F0F-3D7E-4EE7-92F0-ADEA0A9CE08D}"/>
    <cellStyle name="Migliaia 43 7 5" xfId="42395" xr:uid="{4416FDCC-825F-4EE3-9F60-4EE03FED8200}"/>
    <cellStyle name="Migliaia 43 7 6" xfId="16601" xr:uid="{FE019635-BF6C-4FBB-B1E9-441F6F369E3D}"/>
    <cellStyle name="Migliaia 43 7 7" xfId="8352" xr:uid="{C3E43FB2-27A8-4CD8-AF75-159C7E0BED10}"/>
    <cellStyle name="Migliaia 43 8" xfId="3711" xr:uid="{7780D516-51AA-4E45-B93A-0175E8FF9C2C}"/>
    <cellStyle name="Migliaia 43 8 2" xfId="5437" xr:uid="{276B9114-7D7D-4299-ADFA-B6C80DB86282}"/>
    <cellStyle name="Migliaia 43 8 2 2" xfId="35388" xr:uid="{3FCF122D-6D0A-49D0-8A17-38EE21897407}"/>
    <cellStyle name="Migliaia 43 8 2 2 2" xfId="40548" xr:uid="{E27BDB13-4E3C-4808-B572-C7A697F015B7}"/>
    <cellStyle name="Migliaia 43 8 2 2 3" xfId="45850" xr:uid="{6E784B3F-B21A-4150-A4BB-0DD4C860F23D}"/>
    <cellStyle name="Migliaia 43 8 2 3" xfId="37897" xr:uid="{5FA2D2E1-52FD-49D2-A4A9-A2C07C14DB77}"/>
    <cellStyle name="Migliaia 43 8 2 4" xfId="43199" xr:uid="{B1C5E889-BA2E-470C-8A9E-78FD0C520BF3}"/>
    <cellStyle name="Migliaia 43 8 2 5" xfId="13995" xr:uid="{A48DA4E1-D229-481A-8E68-6C1A5ABADEEE}"/>
    <cellStyle name="Migliaia 43 8 3" xfId="6623" xr:uid="{9F11793E-9177-4C2B-8556-0565DB74A265}"/>
    <cellStyle name="Migliaia 43 8 3 2" xfId="39745" xr:uid="{E534010F-2F91-49A5-BA88-3059B2705E7E}"/>
    <cellStyle name="Migliaia 43 8 3 3" xfId="45047" xr:uid="{14FCC487-C263-4355-B831-38EBFD0F2C3C}"/>
    <cellStyle name="Migliaia 43 8 3 4" xfId="34186" xr:uid="{D982147A-BBB8-47A0-A4DA-F1891678B8F3}"/>
    <cellStyle name="Migliaia 43 8 3 5" xfId="20686" xr:uid="{805BAE3C-32C0-47F5-A315-660737B719CD}"/>
    <cellStyle name="Migliaia 43 8 4" xfId="37140" xr:uid="{B80EF678-A1DA-4772-A0FF-5A3D63673C96}"/>
    <cellStyle name="Migliaia 43 8 5" xfId="42396" xr:uid="{04731A40-E075-488C-A490-1F491A7889C4}"/>
    <cellStyle name="Migliaia 43 8 6" xfId="16602" xr:uid="{0440B9E3-DF16-4671-9159-F2CDC8FA924F}"/>
    <cellStyle name="Migliaia 43 8 7" xfId="7970" xr:uid="{956DC0B6-7E2B-4BAC-A855-CDB815BFDF6A}"/>
    <cellStyle name="Migliaia 43 9" xfId="5422" xr:uid="{63CC7E02-61B6-4E30-A101-7A865BDF1BC2}"/>
    <cellStyle name="Migliaia 43 9 2" xfId="34187" xr:uid="{1EAE561F-FEA9-44D6-954A-750D5C4E5F55}"/>
    <cellStyle name="Migliaia 43 9 2 2" xfId="39746" xr:uid="{7C7FB619-737B-4A43-A067-B300F8C16FD4}"/>
    <cellStyle name="Migliaia 43 9 2 3" xfId="45048" xr:uid="{6A3FB4B5-A8A9-4F6C-AF7A-5F96CA50D00B}"/>
    <cellStyle name="Migliaia 43 9 3" xfId="37141" xr:uid="{E8D1818C-3E28-4EE2-BB00-A0B57CC5085B}"/>
    <cellStyle name="Migliaia 43 9 4" xfId="42397" xr:uid="{7DAEBF02-6682-431D-B363-309CF141DA98}"/>
    <cellStyle name="Migliaia 43 9 5" xfId="17209" xr:uid="{0EE0B0F5-30C3-4E78-AC07-EE33E544D467}"/>
    <cellStyle name="Migliaia 44" xfId="453" xr:uid="{00000000-0005-0000-0000-000015040000}"/>
    <cellStyle name="Migliaia 44 10" xfId="6624" xr:uid="{A8D53E44-37FD-4DC9-8A4A-82D613CB23B6}"/>
    <cellStyle name="Migliaia 44 10 2" xfId="39747" xr:uid="{33A559D5-C87A-4E29-B914-BC828432C12E}"/>
    <cellStyle name="Migliaia 44 10 3" xfId="45049" xr:uid="{6C2E9CA5-5ABB-4968-B8E2-4FF27B1575EA}"/>
    <cellStyle name="Migliaia 44 10 4" xfId="34188" xr:uid="{F239B6AF-DE01-46C3-A0F3-62BA53F23DFE}"/>
    <cellStyle name="Migliaia 44 10 5" xfId="20687" xr:uid="{567A0866-3A18-4714-949A-6CD621199F2D}"/>
    <cellStyle name="Migliaia 44 11" xfId="3712" xr:uid="{6DC8F25D-EE44-4546-85BB-50ED6B7759A6}"/>
    <cellStyle name="Migliaia 44 11 2" xfId="37142" xr:uid="{5109B807-7298-4A5B-B8CD-909E00C96DBC}"/>
    <cellStyle name="Migliaia 44 12" xfId="42398" xr:uid="{984F9000-BA07-4E0A-968C-E0FF961D08D1}"/>
    <cellStyle name="Migliaia 44 13" xfId="7156" xr:uid="{9EBDA7FE-D3B0-41B2-82CC-4A10091EF2EE}"/>
    <cellStyle name="Migliaia 44 2" xfId="454" xr:uid="{00000000-0005-0000-0000-000016040000}"/>
    <cellStyle name="Migliaia 44 2 2" xfId="1846" xr:uid="{00000000-0005-0000-0000-000017040000}"/>
    <cellStyle name="Migliaia 44 2 2 2" xfId="5440" xr:uid="{28D25D56-790E-44B2-993B-A295C3550BA0}"/>
    <cellStyle name="Migliaia 44 2 2 2 2" xfId="14401" xr:uid="{55FCC41F-0BAA-47B3-BE9E-64EA3E786A25}"/>
    <cellStyle name="Migliaia 44 2 2 2 2 2" xfId="39748" xr:uid="{F7F8AF53-7D5D-4F32-95F6-E3F5A6BF41EF}"/>
    <cellStyle name="Migliaia 44 2 2 2 2 3" xfId="45050" xr:uid="{31EA1B0E-D774-4D92-B621-4D1E64A5BBF8}"/>
    <cellStyle name="Migliaia 44 2 2 2 3" xfId="18476" xr:uid="{32A29965-ED6E-49CF-8E7A-70CF5F9697E4}"/>
    <cellStyle name="Migliaia 44 2 2 2 4" xfId="20690" xr:uid="{EABDA32C-DFD9-4CE4-8F14-8BAAF08A56D9}"/>
    <cellStyle name="Migliaia 44 2 2 2 4 2" xfId="42399" xr:uid="{BCCC9A6A-9E96-4C9F-B671-503A59646C08}"/>
    <cellStyle name="Migliaia 44 2 2 2 5" xfId="16603" xr:uid="{FBBA37D3-F281-47D3-A99F-3AF27F6A2B25}"/>
    <cellStyle name="Migliaia 44 2 2 2 6" xfId="8709" xr:uid="{074D9D02-51E4-484E-AF8D-D5773D52E095}"/>
    <cellStyle name="Migliaia 44 2 2 3" xfId="6626" xr:uid="{904E045B-19C4-432B-BC32-05470016BC52}"/>
    <cellStyle name="Migliaia 44 2 2 3 2" xfId="35389" xr:uid="{5F739DC0-E90E-48EC-BED4-6D53A1B13FD7}"/>
    <cellStyle name="Migliaia 44 2 2 3 2 2" xfId="40549" xr:uid="{2CE77EFD-EC1E-4B6B-887F-D838287D1B0C}"/>
    <cellStyle name="Migliaia 44 2 2 3 2 3" xfId="45851" xr:uid="{56121CB7-558D-414D-8C50-075617ED7DFB}"/>
    <cellStyle name="Migliaia 44 2 2 3 3" xfId="37898" xr:uid="{B9295926-0AED-4E1C-B62E-F11E1D9A6707}"/>
    <cellStyle name="Migliaia 44 2 2 3 4" xfId="43200" xr:uid="{A76CF8D2-2DB4-4EC8-B357-C5CB14A6DD6F}"/>
    <cellStyle name="Migliaia 44 2 2 3 5" xfId="11628" xr:uid="{ABA7E34F-D115-4A01-80DD-02D570A22257}"/>
    <cellStyle name="Migliaia 44 2 2 4" xfId="3714" xr:uid="{8D4B1600-5DB4-487D-9980-14978E7BCDC2}"/>
    <cellStyle name="Migliaia 44 2 2 4 2" xfId="21558" xr:uid="{97AB884F-7D6D-42D6-881C-6D2E62B84FAD}"/>
    <cellStyle name="Migliaia 44 2 2 4 3" xfId="47604" xr:uid="{BD9F8AD8-730A-440D-A1F1-CC7248259B27}"/>
    <cellStyle name="Migliaia 44 2 2 4 4" xfId="50573" xr:uid="{ADD7138B-80F0-4B23-B47E-329183788EDF}"/>
    <cellStyle name="Migliaia 44 2 2 4 5" xfId="53589" xr:uid="{BA98F7C4-00F2-4C2C-BC8A-44AB076C33CC}"/>
    <cellStyle name="Migliaia 44 2 2 4 6" xfId="10923" xr:uid="{EFB97BF3-4C81-4581-AD56-1B2E49F3CC9A}"/>
    <cellStyle name="Migliaia 44 2 2 5" xfId="20689" xr:uid="{AE472FB9-574A-4337-9D68-E426957609E5}"/>
    <cellStyle name="Migliaia 44 2 2 6" xfId="25090" xr:uid="{AB3B409B-3297-44EB-AE51-C17BE065289F}"/>
    <cellStyle name="Migliaia 44 2 2 7" xfId="7519" xr:uid="{0372186C-106C-4CB9-95ED-7CAB14732C62}"/>
    <cellStyle name="Migliaia 44 2 3" xfId="3715" xr:uid="{AF28B6FB-A1F2-47A2-BB70-BFC4EF2ED806}"/>
    <cellStyle name="Migliaia 44 2 3 2" xfId="5441" xr:uid="{D00BD111-F711-4EA3-B1D5-2F0821A74D2E}"/>
    <cellStyle name="Migliaia 44 2 3 2 2" xfId="35390" xr:uid="{3FFD429C-B5AF-4277-88C9-FE7B15A1EF66}"/>
    <cellStyle name="Migliaia 44 2 3 2 2 2" xfId="40550" xr:uid="{5BAE779C-8383-4F98-8C5F-8C2B8EAD39EF}"/>
    <cellStyle name="Migliaia 44 2 3 2 2 3" xfId="45852" xr:uid="{5DA84BAF-E980-4C87-879C-D50891A2CF89}"/>
    <cellStyle name="Migliaia 44 2 3 2 3" xfId="37899" xr:uid="{16C3AF66-935D-48E8-ACDF-CBD5B6964574}"/>
    <cellStyle name="Migliaia 44 2 3 2 4" xfId="43201" xr:uid="{C8DD5F52-DA42-4C8E-A2C0-BA5AB86C6CB4}"/>
    <cellStyle name="Migliaia 44 2 3 2 5" xfId="14294" xr:uid="{344F9587-6557-4502-9A75-3F96410A7760}"/>
    <cellStyle name="Migliaia 44 2 3 3" xfId="6627" xr:uid="{D96E467E-E4D7-4E82-A0A1-0500AD740787}"/>
    <cellStyle name="Migliaia 44 2 3 3 2" xfId="39749" xr:uid="{BCAE3F75-0FD3-4CEF-BFDA-27701EE70784}"/>
    <cellStyle name="Migliaia 44 2 3 3 3" xfId="45051" xr:uid="{25BB52EC-CDC5-4EC8-85E9-C7173DF36D71}"/>
    <cellStyle name="Migliaia 44 2 3 3 4" xfId="34190" xr:uid="{0D827030-F4CD-4E9F-ABE3-3C03F6FE064D}"/>
    <cellStyle name="Migliaia 44 2 3 3 5" xfId="20691" xr:uid="{482EC773-4FD2-489F-9442-CEA4E38BE994}"/>
    <cellStyle name="Migliaia 44 2 3 4" xfId="37144" xr:uid="{43513EE5-B022-46D5-A4AB-990BEA962186}"/>
    <cellStyle name="Migliaia 44 2 3 5" xfId="42400" xr:uid="{F73C5625-8403-4100-A3B7-52200BD11B5B}"/>
    <cellStyle name="Migliaia 44 2 3 6" xfId="16604" xr:uid="{C3FC07BC-02CD-40C5-85C1-0056DEB27EB7}"/>
    <cellStyle name="Migliaia 44 2 3 7" xfId="8356" xr:uid="{337820A8-A21A-4974-A120-D822F946591F}"/>
    <cellStyle name="Migliaia 44 2 4" xfId="5439" xr:uid="{8D5A401F-98CC-4B2E-AB8D-78767C17BED6}"/>
    <cellStyle name="Migliaia 44 2 4 2" xfId="13999" xr:uid="{6EF584A2-826D-4833-B383-DE2F91DB691E}"/>
    <cellStyle name="Migliaia 44 2 4 2 2" xfId="39750" xr:uid="{9A49DA97-70D9-4A2F-89B0-69B80527AB97}"/>
    <cellStyle name="Migliaia 44 2 4 2 3" xfId="45052" xr:uid="{45522ED3-4ED4-496D-B479-28C55EDAC0FF}"/>
    <cellStyle name="Migliaia 44 2 4 3" xfId="18608" xr:uid="{D9E092F3-DFD6-4B97-A0D5-140A2D08799F}"/>
    <cellStyle name="Migliaia 44 2 4 4" xfId="20692" xr:uid="{F4D5E7D9-EE1B-4455-A058-702954718656}"/>
    <cellStyle name="Migliaia 44 2 4 4 2" xfId="42401" xr:uid="{6F5BAB18-FBB7-4AA0-BC75-F4E630D29C56}"/>
    <cellStyle name="Migliaia 44 2 4 5" xfId="16605" xr:uid="{827D37D4-4C79-464C-B016-59E510E5AF25}"/>
    <cellStyle name="Migliaia 44 2 4 6" xfId="7975" xr:uid="{631EAAE9-CA59-45D1-9896-973C2D0B996F}"/>
    <cellStyle name="Migliaia 44 2 5" xfId="6625" xr:uid="{3EEDC538-83E2-4FBD-864A-098E6BB934DE}"/>
    <cellStyle name="Migliaia 44 2 5 2" xfId="34191" xr:uid="{AACEAB61-1432-4753-AE3B-0283306B6E2C}"/>
    <cellStyle name="Migliaia 44 2 5 2 2" xfId="39751" xr:uid="{C1F5425D-84DE-4D5F-B01A-0AED104B11CA}"/>
    <cellStyle name="Migliaia 44 2 5 2 3" xfId="45053" xr:uid="{0E64FCAD-B365-4ED3-B69B-00AFB612BD21}"/>
    <cellStyle name="Migliaia 44 2 5 3" xfId="37145" xr:uid="{E3A5E7B5-372C-4EC0-A0A6-75B63C57792B}"/>
    <cellStyle name="Migliaia 44 2 5 4" xfId="42402" xr:uid="{BD093E10-AFCE-4CD6-8CA0-F070AEF2E500}"/>
    <cellStyle name="Migliaia 44 2 5 5" xfId="13141" xr:uid="{78A7402C-5D46-44DB-AFB6-686187D4629A}"/>
    <cellStyle name="Migliaia 44 2 6" xfId="3713" xr:uid="{CA824D8A-2ADC-4E78-AE53-724E9F125FAF}"/>
    <cellStyle name="Migliaia 44 2 6 2" xfId="34192" xr:uid="{DDA26824-854B-4B9B-AED5-DDFD60BB8D99}"/>
    <cellStyle name="Migliaia 44 2 6 2 2" xfId="39752" xr:uid="{BCC8F59B-BCB8-4E91-B6E1-FAE2EFB20D04}"/>
    <cellStyle name="Migliaia 44 2 6 2 3" xfId="45054" xr:uid="{18129C84-51E2-4833-ABFB-193257E4471D}"/>
    <cellStyle name="Migliaia 44 2 6 3" xfId="37146" xr:uid="{87305442-A995-4048-BACB-7B680F00DB42}"/>
    <cellStyle name="Migliaia 44 2 6 4" xfId="42403" xr:uid="{6342FB03-9FFF-40AC-A390-AD323783CEF2}"/>
    <cellStyle name="Migliaia 44 2 6 5" xfId="25092" xr:uid="{6A24767E-394B-44A8-AB57-E45082A883C0}"/>
    <cellStyle name="Migliaia 44 2 6 6" xfId="20688" xr:uid="{4A82205D-1B66-423F-B7D1-A60FE1D2FED5}"/>
    <cellStyle name="Migliaia 44 2 7" xfId="25089" xr:uid="{E40D86A3-4EAA-423A-9135-9F08C45588FD}"/>
    <cellStyle name="Migliaia 44 2 8" xfId="7157" xr:uid="{00B97E6C-587D-4420-8103-D9FF8C7603ED}"/>
    <cellStyle name="Migliaia 44 3" xfId="455" xr:uid="{00000000-0005-0000-0000-000018040000}"/>
    <cellStyle name="Migliaia 44 3 10" xfId="25093" xr:uid="{9EBF86FF-5AB2-4840-84E6-46FA6E94A88A}"/>
    <cellStyle name="Migliaia 44 3 11" xfId="16606" xr:uid="{2A816D33-C4DF-4840-9606-1CE831ADF7B6}"/>
    <cellStyle name="Migliaia 44 3 12" xfId="7158" xr:uid="{5D19B05A-1A84-4AFD-9D28-E4B2E3EA8F0E}"/>
    <cellStyle name="Migliaia 44 3 2" xfId="456" xr:uid="{00000000-0005-0000-0000-000019040000}"/>
    <cellStyle name="Migliaia 44 3 2 2" xfId="1847" xr:uid="{00000000-0005-0000-0000-00001A040000}"/>
    <cellStyle name="Migliaia 44 3 2 2 2" xfId="5444" xr:uid="{861B8755-8FBD-4691-A486-819FA10B0846}"/>
    <cellStyle name="Migliaia 44 3 2 2 2 2" xfId="18477" xr:uid="{5B8761B7-5267-47DE-AA26-BAFD5E05928F}"/>
    <cellStyle name="Migliaia 44 3 2 2 2 2 2" xfId="21879" xr:uid="{AF14AB27-2FE2-41DC-8C70-6705686D7AC9}"/>
    <cellStyle name="Migliaia 44 3 2 2 2 2 2 2" xfId="39753" xr:uid="{3D50B70B-5C4E-4B44-AC36-2A107C391D18}"/>
    <cellStyle name="Migliaia 44 3 2 2 2 2 3" xfId="45055" xr:uid="{56936C79-BE41-4544-9155-AB91F9F9DF21}"/>
    <cellStyle name="Migliaia 44 3 2 2 2 2 4" xfId="34193" xr:uid="{33171C85-FF9E-4149-8962-05D04C9FC7B8}"/>
    <cellStyle name="Migliaia 44 3 2 2 2 3" xfId="37147" xr:uid="{68B731E0-1AEA-4CFB-83AA-A70A723A9753}"/>
    <cellStyle name="Migliaia 44 3 2 2 2 4" xfId="42404" xr:uid="{078152DB-0F8E-4AFD-AB61-A10AAAE0D630}"/>
    <cellStyle name="Migliaia 44 3 2 2 2 5" xfId="47212" xr:uid="{8BE1A9BE-D625-4978-BEEC-81217BE0B5AB}"/>
    <cellStyle name="Migliaia 44 3 2 2 2 6" xfId="50907" xr:uid="{358CC441-9133-4843-8972-4514233B40E6}"/>
    <cellStyle name="Migliaia 44 3 2 2 2 7" xfId="53923" xr:uid="{733EE611-4BC3-4252-B550-5BE2F28B873F}"/>
    <cellStyle name="Migliaia 44 3 2 2 2 8" xfId="17677" xr:uid="{F008281C-9CA1-4A74-9CB6-D5686DB5D943}"/>
    <cellStyle name="Migliaia 44 3 2 2 2 9" xfId="12039" xr:uid="{C4B968C2-D41A-48FE-A9B4-59C0CC3910A1}"/>
    <cellStyle name="Migliaia 44 3 2 2 3" xfId="6630" xr:uid="{917919BD-6B66-4E4E-960F-BA4F0384F55D}"/>
    <cellStyle name="Migliaia 44 3 2 2 3 2" xfId="11569" xr:uid="{015AD682-BAC4-4723-9DC2-6BAE02CCB901}"/>
    <cellStyle name="Migliaia 44 3 2 2 4" xfId="3718" xr:uid="{BD4F330B-D144-4029-9F78-9FF59D30185E}"/>
    <cellStyle name="Migliaia 44 3 2 2 4 2" xfId="21559" xr:uid="{2321D8FA-90E5-408E-B583-202BE6EA9AC0}"/>
    <cellStyle name="Migliaia 44 3 2 2 4 3" xfId="32469" xr:uid="{4F7E9DDA-1FF2-44EC-9274-0B6D105C071B}"/>
    <cellStyle name="Migliaia 44 3 2 2 4 4" xfId="50574" xr:uid="{FD9CB82D-9C48-4875-BB59-78E04C6E9343}"/>
    <cellStyle name="Migliaia 44 3 2 2 4 5" xfId="53590" xr:uid="{3E5B3F3B-437F-4C31-A7EA-2154E421816F}"/>
    <cellStyle name="Migliaia 44 3 2 2 4 6" xfId="10924" xr:uid="{E5CC1809-70B2-4502-BA9B-D90557BD16EE}"/>
    <cellStyle name="Migliaia 44 3 2 2 5" xfId="20695" xr:uid="{E8242429-45C3-4E6E-96B8-09F08D52B3F6}"/>
    <cellStyle name="Migliaia 44 3 2 2 6" xfId="25095" xr:uid="{0CC10331-3B18-4BB5-91B8-7ED461770DE8}"/>
    <cellStyle name="Migliaia 44 3 2 2 7" xfId="8711" xr:uid="{55021F92-B330-4639-8B6E-36DE043E8690}"/>
    <cellStyle name="Migliaia 44 3 2 3" xfId="5443" xr:uid="{B8E228EA-5609-41AA-8907-B20C07421AED}"/>
    <cellStyle name="Migliaia 44 3 2 3 2" xfId="12404" xr:uid="{C9A7FCAF-563C-4C60-961A-F8A19B978974}"/>
    <cellStyle name="Migliaia 44 3 2 3 2 2" xfId="39754" xr:uid="{1E54F82A-5930-4BAE-B8D1-F2F3032D2B83}"/>
    <cellStyle name="Migliaia 44 3 2 3 2 3" xfId="45056" xr:uid="{EBFC4D89-F5D6-4F3E-BBC4-B2E47908C455}"/>
    <cellStyle name="Migliaia 44 3 2 3 2 4" xfId="34194" xr:uid="{55BA28E6-10FF-49FD-9630-B5F8DA97DEAA}"/>
    <cellStyle name="Migliaia 44 3 2 3 3" xfId="12040" xr:uid="{1136854C-8AF9-4E65-94F5-20BC895521EE}"/>
    <cellStyle name="Migliaia 44 3 2 3 4" xfId="20696" xr:uid="{A92DA1FF-145C-42D3-A5ED-9A6D5B66F23F}"/>
    <cellStyle name="Migliaia 44 3 2 3 4 2" xfId="42405" xr:uid="{CD791D95-0D23-4841-874E-16D04451C30D}"/>
    <cellStyle name="Migliaia 44 3 2 3 5" xfId="16607" xr:uid="{325A3BC5-744B-4BD3-95C8-0E6AE0253CF8}"/>
    <cellStyle name="Migliaia 44 3 2 3 6" xfId="7977" xr:uid="{228FB0B2-5F8D-4608-9A5C-CA2A255BA5F0}"/>
    <cellStyle name="Migliaia 44 3 2 4" xfId="6629" xr:uid="{EA1D03E1-00CB-4E2E-A6F2-919D8CFF335F}"/>
    <cellStyle name="Migliaia 44 3 2 4 2" xfId="18095" xr:uid="{1C828EC4-793F-4E54-B0AC-30DE8C06B35E}"/>
    <cellStyle name="Migliaia 44 3 2 4 2 2" xfId="39755" xr:uid="{E1E82E91-CEBE-4E97-A6EC-A7A2159D42E0}"/>
    <cellStyle name="Migliaia 44 3 2 4 2 3" xfId="45057" xr:uid="{630ED773-CF2C-494B-85B3-C71AE30D8647}"/>
    <cellStyle name="Migliaia 44 3 2 4 3" xfId="37148" xr:uid="{C1FD4A05-FE0B-4FC0-9F8E-A4091DE5788A}"/>
    <cellStyle name="Migliaia 44 3 2 4 4" xfId="42406" xr:uid="{DA1CCEBB-F729-44C8-ACBB-1ACA182CC429}"/>
    <cellStyle name="Migliaia 44 3 2 4 5" xfId="17212" xr:uid="{054E3898-362B-485B-913B-7A1480C58CBD}"/>
    <cellStyle name="Migliaia 44 3 2 4 6" xfId="11388" xr:uid="{9A357FE5-6F67-4A72-B0C1-A30B1B10E1CA}"/>
    <cellStyle name="Migliaia 44 3 2 5" xfId="3717" xr:uid="{7B7C961D-9974-4584-88EE-6B3E88E9D2A2}"/>
    <cellStyle name="Migliaia 44 3 2 5 2" xfId="34195" xr:uid="{0D6B56D1-3C32-48BA-AA93-25E3A4D3DA86}"/>
    <cellStyle name="Migliaia 44 3 2 5 2 2" xfId="39756" xr:uid="{8948FEFB-C9D1-45DD-8153-1F24FD7B13DE}"/>
    <cellStyle name="Migliaia 44 3 2 5 2 3" xfId="45058" xr:uid="{4BB23E9A-4348-494D-AFDF-C21029D14F98}"/>
    <cellStyle name="Migliaia 44 3 2 5 3" xfId="37149" xr:uid="{F3601FBB-B351-4615-9720-D03730B6A1C3}"/>
    <cellStyle name="Migliaia 44 3 2 5 4" xfId="42407" xr:uid="{E5DCE5DA-5D16-45CC-99E1-D3EC6E82702B}"/>
    <cellStyle name="Migliaia 44 3 2 5 5" xfId="17312" xr:uid="{361550D7-F118-4FFC-BA67-C451C9033BDB}"/>
    <cellStyle name="Migliaia 44 3 2 6" xfId="20694" xr:uid="{061747CF-3EF1-40B8-81A0-9CE89A64A9D4}"/>
    <cellStyle name="Migliaia 44 3 2 6 2" xfId="34196" xr:uid="{AD43EDBF-06C8-495F-9995-2613540BE6FD}"/>
    <cellStyle name="Migliaia 44 3 2 6 2 2" xfId="39757" xr:uid="{4575AEE7-06D3-49CC-9564-7456AEB618F9}"/>
    <cellStyle name="Migliaia 44 3 2 6 2 3" xfId="45059" xr:uid="{89561864-2343-4B0E-A286-F72145FD13BA}"/>
    <cellStyle name="Migliaia 44 3 2 6 3" xfId="37150" xr:uid="{A283F890-49AF-4B01-85DB-343D74460320}"/>
    <cellStyle name="Migliaia 44 3 2 6 4" xfId="42408" xr:uid="{B345AA3C-A281-4779-AFEB-037126DD2509}"/>
    <cellStyle name="Migliaia 44 3 2 6 5" xfId="25096" xr:uid="{6911CC77-81B9-4FCC-B2D8-756CEB2BE785}"/>
    <cellStyle name="Migliaia 44 3 2 7" xfId="25094" xr:uid="{01C2E9EE-3A26-49F6-A571-4AE51AB32955}"/>
    <cellStyle name="Migliaia 44 3 2 8" xfId="7521" xr:uid="{DD04ADB4-4956-4EE9-B16E-2E056D4D9FD9}"/>
    <cellStyle name="Migliaia 44 3 3" xfId="3719" xr:uid="{6900DCB4-EF93-40FE-BE01-A4A35B96B411}"/>
    <cellStyle name="Migliaia 44 3 3 10" xfId="7520" xr:uid="{DC5C0DEF-2D1C-4018-B012-46119AC14704}"/>
    <cellStyle name="Migliaia 44 3 3 2" xfId="5445" xr:uid="{60ABB838-2A0B-4222-AE93-52A6170EF019}"/>
    <cellStyle name="Migliaia 44 3 3 2 2" xfId="9958" xr:uid="{FE8D5FE4-2FB8-4302-B617-23B3A55FFA82}"/>
    <cellStyle name="Migliaia 44 3 3 2 2 2" xfId="39759" xr:uid="{84071B29-E1FB-42C3-BC9F-B6C53B540EC2}"/>
    <cellStyle name="Migliaia 44 3 3 2 2 3" xfId="45061" xr:uid="{E75707D8-B60C-42FF-9396-F3DA5F37763D}"/>
    <cellStyle name="Migliaia 44 3 3 2 3" xfId="18238" xr:uid="{358C14C5-5785-45EA-819A-F417E98EFF5A}"/>
    <cellStyle name="Migliaia 44 3 3 2 4" xfId="20698" xr:uid="{E8C309C1-8331-4E8F-877C-656642B31E2B}"/>
    <cellStyle name="Migliaia 44 3 3 2 4 2" xfId="42410" xr:uid="{AFAB6AB7-C51C-4B72-94F3-05A6B1317B97}"/>
    <cellStyle name="Migliaia 44 3 3 2 5" xfId="16609" xr:uid="{5278E8F9-81FE-41F7-AEFD-63DCBC671E50}"/>
    <cellStyle name="Migliaia 44 3 3 2 6" xfId="8710" xr:uid="{2E7649A1-FD1B-40F8-AAA3-9466F73C8847}"/>
    <cellStyle name="Migliaia 44 3 3 3" xfId="6631" xr:uid="{2C2A44C1-2D90-4F7E-8C6B-F0C5948DC5B9}"/>
    <cellStyle name="Migliaia 44 3 3 3 2" xfId="34198" xr:uid="{29B94591-9AB1-4087-84EE-656348B3FE09}"/>
    <cellStyle name="Migliaia 44 3 3 3 2 2" xfId="39760" xr:uid="{A9200040-7E7A-426D-92CC-638B5BEAEE19}"/>
    <cellStyle name="Migliaia 44 3 3 3 2 3" xfId="45062" xr:uid="{CAC0975B-D9D1-4E24-9E4A-B28B5A63393B}"/>
    <cellStyle name="Migliaia 44 3 3 3 3" xfId="37152" xr:uid="{97530F50-0673-4D66-BD10-D5B98B91F8EA}"/>
    <cellStyle name="Migliaia 44 3 3 3 4" xfId="42411" xr:uid="{355EEB10-7E1F-4636-9A57-2BAFD5002BE6}"/>
    <cellStyle name="Migliaia 44 3 3 3 5" xfId="9721" xr:uid="{7BA15277-8182-4814-9F46-7249A16C88C5}"/>
    <cellStyle name="Migliaia 44 3 3 4" xfId="20697" xr:uid="{F6D09BE2-F517-4B9A-BDD8-D7D3A9F0489C}"/>
    <cellStyle name="Migliaia 44 3 3 4 2" xfId="34199" xr:uid="{AF67F587-3C30-4AD2-8D6E-E29EAD51CE34}"/>
    <cellStyle name="Migliaia 44 3 3 4 2 2" xfId="39761" xr:uid="{8BD06F36-FFA7-471A-95D2-75670B8C4A01}"/>
    <cellStyle name="Migliaia 44 3 3 4 2 3" xfId="45063" xr:uid="{332620E8-49CF-4B1F-8CAB-8791E58FBDAB}"/>
    <cellStyle name="Migliaia 44 3 3 4 3" xfId="37153" xr:uid="{F7970C24-5621-4E82-A70B-05ACA1D8DC5D}"/>
    <cellStyle name="Migliaia 44 3 3 4 4" xfId="42412" xr:uid="{9B0CEB22-78E5-4191-9F4C-5D0E54B83952}"/>
    <cellStyle name="Migliaia 44 3 3 4 5" xfId="25097" xr:uid="{BB14E425-C5A8-4CC0-AA18-62FF6380548F}"/>
    <cellStyle name="Migliaia 44 3 3 5" xfId="25098" xr:uid="{F0D8F215-A8F4-444E-91A0-156C60720D0D}"/>
    <cellStyle name="Migliaia 44 3 3 5 2" xfId="34200" xr:uid="{29C78F79-6AFA-49F8-BB13-29C0AD725EEF}"/>
    <cellStyle name="Migliaia 44 3 3 5 2 2" xfId="39762" xr:uid="{2D532BBE-92DB-4BD1-AAD4-87A786CB2F2A}"/>
    <cellStyle name="Migliaia 44 3 3 5 2 3" xfId="45064" xr:uid="{C19FB828-CF7C-476E-8F6E-5A932EC12DF7}"/>
    <cellStyle name="Migliaia 44 3 3 5 3" xfId="37154" xr:uid="{111687A4-3951-4CFE-B470-133520E7DD3C}"/>
    <cellStyle name="Migliaia 44 3 3 5 4" xfId="42413" xr:uid="{FDC8A997-AFB4-4B0B-AC67-406159030F78}"/>
    <cellStyle name="Migliaia 44 3 3 6" xfId="34197" xr:uid="{05479C39-857D-4006-9903-DE94D0794D40}"/>
    <cellStyle name="Migliaia 44 3 3 6 2" xfId="39758" xr:uid="{1F81EE7B-0C1B-479E-8E2E-BAE9554D5446}"/>
    <cellStyle name="Migliaia 44 3 3 6 3" xfId="45060" xr:uid="{3E7430DB-4C59-4C8A-A001-16F5A9B31AB2}"/>
    <cellStyle name="Migliaia 44 3 3 7" xfId="37151" xr:uid="{6903BEFE-A182-48F4-8C51-08405D06D680}"/>
    <cellStyle name="Migliaia 44 3 3 8" xfId="42409" xr:uid="{9E5767DB-CD3F-40CB-87AC-D784075D6598}"/>
    <cellStyle name="Migliaia 44 3 3 9" xfId="16608" xr:uid="{537A3BAE-7D70-4CDD-BB25-9FF7647C2BEF}"/>
    <cellStyle name="Migliaia 44 3 4" xfId="3720" xr:uid="{AF33F740-0144-403E-8DE8-9F5640CCEE60}"/>
    <cellStyle name="Migliaia 44 3 4 2" xfId="5446" xr:uid="{173D0A7A-6705-42BC-8CF2-4742FE979774}"/>
    <cellStyle name="Migliaia 44 3 4 2 2" xfId="14461" xr:uid="{A4DF7D1E-7FD4-4D68-A8DF-702EA5A65EC1}"/>
    <cellStyle name="Migliaia 44 3 4 2 3" xfId="18133" xr:uid="{64ACF327-6074-40EE-B3BA-D64CE1883201}"/>
    <cellStyle name="Migliaia 44 3 4 2 4" xfId="20700" xr:uid="{AA58EA23-DF28-4024-8011-80AFE78D7098}"/>
    <cellStyle name="Migliaia 44 3 4 2 5" xfId="32432" xr:uid="{475BDA86-DD9B-4A9D-AD2E-52CA515E4B19}"/>
    <cellStyle name="Migliaia 44 3 4 2 6" xfId="16611" xr:uid="{6100AAE0-4F78-4B29-A362-090705D8FFA8}"/>
    <cellStyle name="Migliaia 44 3 4 2 7" xfId="8884" xr:uid="{944BAD98-FD2A-4FF9-9571-2976991A4936}"/>
    <cellStyle name="Migliaia 44 3 4 3" xfId="6632" xr:uid="{72EB8694-7FEE-4D7B-AAF3-7D8B1BAC25BC}"/>
    <cellStyle name="Migliaia 44 3 4 3 2" xfId="35391" xr:uid="{12ACAD47-B94E-4285-A68E-397C3FE379FF}"/>
    <cellStyle name="Migliaia 44 3 4 3 2 2" xfId="40551" xr:uid="{07A75CC3-EF3A-48F5-BCDA-E8E2F6705B51}"/>
    <cellStyle name="Migliaia 44 3 4 3 2 3" xfId="45853" xr:uid="{575DEFC5-B06E-454C-B675-D25AED47226F}"/>
    <cellStyle name="Migliaia 44 3 4 3 3" xfId="37900" xr:uid="{2A74C8F5-43A6-44DC-94DF-202761129431}"/>
    <cellStyle name="Migliaia 44 3 4 3 4" xfId="43202" xr:uid="{942B5F2B-16DF-4BB9-A2F4-0C81F1C20535}"/>
    <cellStyle name="Migliaia 44 3 4 3 5" xfId="13709" xr:uid="{50E72A2F-953C-4308-A4A0-C4A33A78E5C0}"/>
    <cellStyle name="Migliaia 44 3 4 4" xfId="20699" xr:uid="{09606D36-F6D8-4F2B-92CB-D4649A144E3D}"/>
    <cellStyle name="Migliaia 44 3 4 4 2" xfId="39763" xr:uid="{5CF6B0A3-7195-4BAE-B80A-FF3491D2296A}"/>
    <cellStyle name="Migliaia 44 3 4 4 3" xfId="45065" xr:uid="{4EE2B89B-A882-4A77-AC11-114E43379586}"/>
    <cellStyle name="Migliaia 44 3 4 4 4" xfId="34201" xr:uid="{D57B0A9C-7349-4E3D-830A-84900E2350A8}"/>
    <cellStyle name="Migliaia 44 3 4 5" xfId="37155" xr:uid="{4335E90B-FE1F-4AED-BAFE-B842FAD11B1F}"/>
    <cellStyle name="Migliaia 44 3 4 6" xfId="42414" xr:uid="{361A997E-3E5B-4438-B1A4-C608DEBA49D7}"/>
    <cellStyle name="Migliaia 44 3 4 7" xfId="16610" xr:uid="{46664480-FAAC-4E1B-B73D-3322F4BE499A}"/>
    <cellStyle name="Migliaia 44 3 4 8" xfId="7694" xr:uid="{5FD6CB5D-C6C0-42E7-B366-CAEDE923D10C}"/>
    <cellStyle name="Migliaia 44 3 5" xfId="3721" xr:uid="{0B522378-E586-43EB-818D-2A491ADD29E9}"/>
    <cellStyle name="Migliaia 44 3 5 2" xfId="5447" xr:uid="{84000AE2-4D60-455E-9FE7-E5398ED7EE40}"/>
    <cellStyle name="Migliaia 44 3 5 2 2" xfId="35392" xr:uid="{B40FCCC0-7C13-4A58-9C7B-B19213FBAD7E}"/>
    <cellStyle name="Migliaia 44 3 5 2 2 2" xfId="40552" xr:uid="{AEDC7F82-6DB1-4541-8AA2-F37CE472EBFA}"/>
    <cellStyle name="Migliaia 44 3 5 2 2 3" xfId="45854" xr:uid="{734B6949-0F60-4D88-BEAE-505A62C163C8}"/>
    <cellStyle name="Migliaia 44 3 5 2 3" xfId="37901" xr:uid="{F79F5A23-0C35-46F8-871C-4F37E10FE7B4}"/>
    <cellStyle name="Migliaia 44 3 5 2 4" xfId="43203" xr:uid="{54AA181D-2BAA-4181-9EB2-A975F64C7DD8}"/>
    <cellStyle name="Migliaia 44 3 5 2 5" xfId="14295" xr:uid="{29CF4C3F-E8FE-441C-8851-29D89D4CEBE5}"/>
    <cellStyle name="Migliaia 44 3 5 3" xfId="6633" xr:uid="{AEA74206-CA55-40DB-B82C-46250188FAA6}"/>
    <cellStyle name="Migliaia 44 3 5 3 2" xfId="39764" xr:uid="{5678D900-2EB4-46FE-BF3B-F5FD0ADAFE01}"/>
    <cellStyle name="Migliaia 44 3 5 3 3" xfId="45066" xr:uid="{25899101-768C-4362-8633-18245B204DAF}"/>
    <cellStyle name="Migliaia 44 3 5 3 4" xfId="34202" xr:uid="{70DB9935-9FFA-4814-8C4A-4B8A3CE1E21C}"/>
    <cellStyle name="Migliaia 44 3 5 3 5" xfId="20701" xr:uid="{9A0F9F40-AE43-469F-BE98-35A40D3C341D}"/>
    <cellStyle name="Migliaia 44 3 5 4" xfId="37156" xr:uid="{C29B3F41-044B-47D6-8107-2ECADA207EEC}"/>
    <cellStyle name="Migliaia 44 3 5 5" xfId="42415" xr:uid="{DE1F5FA3-E79C-40A9-B86A-5F2177FC30C0}"/>
    <cellStyle name="Migliaia 44 3 5 6" xfId="16612" xr:uid="{98B9F411-6EB0-4493-BCDF-16B980B8B1AF}"/>
    <cellStyle name="Migliaia 44 3 5 7" xfId="8357" xr:uid="{0E7BB83C-E6D5-4031-B770-86C86DC48501}"/>
    <cellStyle name="Migliaia 44 3 6" xfId="5442" xr:uid="{3EEFC3D4-2C66-4584-8D4A-860EF4388484}"/>
    <cellStyle name="Migliaia 44 3 6 2" xfId="14000" xr:uid="{3E379953-BA96-4E81-A208-959496E8CF21}"/>
    <cellStyle name="Migliaia 44 3 6 2 2" xfId="39765" xr:uid="{1F8CABC8-CE63-4F4A-B94D-0A831CBBED8D}"/>
    <cellStyle name="Migliaia 44 3 6 2 3" xfId="45067" xr:uid="{A178D84F-4A04-4496-B04D-F895B8FE8329}"/>
    <cellStyle name="Migliaia 44 3 6 3" xfId="18290" xr:uid="{DFA0BFA5-3FB9-49B8-A2EC-6582CEF25699}"/>
    <cellStyle name="Migliaia 44 3 6 4" xfId="20702" xr:uid="{100DB960-6333-4EB6-99FF-3A030BB4758F}"/>
    <cellStyle name="Migliaia 44 3 6 4 2" xfId="42416" xr:uid="{355E7388-C344-4F30-9625-CAB25584D9E6}"/>
    <cellStyle name="Migliaia 44 3 6 5" xfId="16613" xr:uid="{EF25E997-7DF6-42B0-AAAB-F0D257721C8A}"/>
    <cellStyle name="Migliaia 44 3 6 6" xfId="7976" xr:uid="{866A2EF3-9A12-44AD-924D-B416DF1743F1}"/>
    <cellStyle name="Migliaia 44 3 7" xfId="6628" xr:uid="{55B4266E-D3C1-413C-9139-63CD568310AD}"/>
    <cellStyle name="Migliaia 44 3 7 2" xfId="34203" xr:uid="{BD21876C-3F8A-4B2C-8953-5FD735D10F0C}"/>
    <cellStyle name="Migliaia 44 3 7 2 2" xfId="39766" xr:uid="{39A78412-2AAC-450C-94B9-5699F747F83B}"/>
    <cellStyle name="Migliaia 44 3 7 2 3" xfId="45068" xr:uid="{568A4226-78D4-421A-88EA-4C9E769FDDDF}"/>
    <cellStyle name="Migliaia 44 3 7 3" xfId="37157" xr:uid="{4404E111-0D53-4E8A-802E-22ADD0EAC5E8}"/>
    <cellStyle name="Migliaia 44 3 7 4" xfId="42417" xr:uid="{7FEC17CB-DC28-418C-91D9-14008645EFC9}"/>
    <cellStyle name="Migliaia 44 3 7 5" xfId="11531" xr:uid="{25606D7E-4E2A-4AD9-B1B0-B89A57D0D5F3}"/>
    <cellStyle name="Migliaia 44 3 8" xfId="3716" xr:uid="{5EC787BA-4D6C-42C2-99E6-631453E03DE8}"/>
    <cellStyle name="Migliaia 44 3 8 2" xfId="34204" xr:uid="{B40A5357-340D-46C9-BFEE-375DB67C5442}"/>
    <cellStyle name="Migliaia 44 3 8 2 2" xfId="39767" xr:uid="{52ED2925-1961-4E11-A6EA-F1569C09C53F}"/>
    <cellStyle name="Migliaia 44 3 8 2 3" xfId="45069" xr:uid="{4D57276E-18BF-45A8-9852-2E03E66E268B}"/>
    <cellStyle name="Migliaia 44 3 8 3" xfId="37158" xr:uid="{726EA871-584C-4FAC-9F01-0D48D10D5D5C}"/>
    <cellStyle name="Migliaia 44 3 8 4" xfId="42418" xr:uid="{B0C898F8-22CF-4415-AC1A-FBB13446E96A}"/>
    <cellStyle name="Migliaia 44 3 8 5" xfId="25099" xr:uid="{1EDCF5FB-808F-421E-B23B-8B2FEE906CC2}"/>
    <cellStyle name="Migliaia 44 3 8 6" xfId="17313" xr:uid="{AE05D928-3506-47CE-A58D-C08F00E758DD}"/>
    <cellStyle name="Migliaia 44 3 9" xfId="20693" xr:uid="{4AB8EFAF-F417-4F78-A7FD-261A0AA7B14A}"/>
    <cellStyle name="Migliaia 44 4" xfId="1848" xr:uid="{00000000-0005-0000-0000-00001B040000}"/>
    <cellStyle name="Migliaia 44 4 2" xfId="1849" xr:uid="{00000000-0005-0000-0000-00001C040000}"/>
    <cellStyle name="Migliaia 44 4 2 2" xfId="5449" xr:uid="{8DD2AA22-2652-4242-BD9A-1F8296586DC6}"/>
    <cellStyle name="Migliaia 44 4 2 2 2" xfId="34205" xr:uid="{FE3FB68E-1436-44BA-9927-DC69C3FD8EE3}"/>
    <cellStyle name="Migliaia 44 4 2 2 2 2" xfId="39768" xr:uid="{03BFBE08-5DB5-4AA4-9E6F-957571FBAAE1}"/>
    <cellStyle name="Migliaia 44 4 2 2 2 3" xfId="45070" xr:uid="{6048DFDB-47BE-470E-8C4A-C32DBB01ECB6}"/>
    <cellStyle name="Migliaia 44 4 2 2 3" xfId="37159" xr:uid="{A5ECB326-65DC-4969-974F-4D9492D57C1A}"/>
    <cellStyle name="Migliaia 44 4 2 2 4" xfId="42419" xr:uid="{FD8C9492-5834-4C34-A38E-6B22C509D55A}"/>
    <cellStyle name="Migliaia 44 4 2 2 5" xfId="9184" xr:uid="{2677F580-784C-441C-A3AF-9307507E0519}"/>
    <cellStyle name="Migliaia 44 4 2 3" xfId="3723" xr:uid="{FDE08B28-0A17-43A8-B934-8F33F81E52E9}"/>
    <cellStyle name="Migliaia 44 4 2 3 2" xfId="34206" xr:uid="{505A79BD-C7A1-4AE6-BD9A-0F6D286F930D}"/>
    <cellStyle name="Migliaia 44 4 2 3 2 2" xfId="39769" xr:uid="{085B96AB-E2C8-4871-AB3E-AE90125E46E7}"/>
    <cellStyle name="Migliaia 44 4 2 3 2 3" xfId="45071" xr:uid="{0EDB73A1-E78B-40AC-864D-5D2B5B522C0C}"/>
    <cellStyle name="Migliaia 44 4 2 3 3" xfId="37160" xr:uid="{713616E1-4E9A-42FC-BF42-23B8826D1232}"/>
    <cellStyle name="Migliaia 44 4 2 3 4" xfId="42420" xr:uid="{6BC613D0-3644-47DE-9E3A-45BF36C7453B}"/>
    <cellStyle name="Migliaia 44 4 2 3 5" xfId="12041" xr:uid="{EA6993FD-D8DB-40F4-9E1E-743C549ED5B6}"/>
    <cellStyle name="Migliaia 44 4 2 4" xfId="11390" xr:uid="{4BD26477-30C2-4FBB-9C1E-E6AB2267B82D}"/>
    <cellStyle name="Migliaia 44 4 2 5" xfId="10926" xr:uid="{31D58768-C77A-4B47-82DB-1478056B22A8}"/>
    <cellStyle name="Migliaia 44 4 2 5 2" xfId="21561" xr:uid="{24FED794-7C0F-4227-8312-341358D8EF8A}"/>
    <cellStyle name="Migliaia 44 4 2 5 3" xfId="46649" xr:uid="{7BB45274-71D9-4C55-AB88-F11859EF1BB1}"/>
    <cellStyle name="Migliaia 44 4 2 5 4" xfId="50576" xr:uid="{20B441FD-702F-4F93-A8AE-D23639CCFA2A}"/>
    <cellStyle name="Migliaia 44 4 2 5 5" xfId="53592" xr:uid="{B427FDF6-2C25-48F4-B37F-A10FABA48208}"/>
    <cellStyle name="Migliaia 44 4 2 6" xfId="20704" xr:uid="{72494F94-6151-456A-B828-89B1D2ACD283}"/>
    <cellStyle name="Migliaia 44 4 2 7" xfId="25101" xr:uid="{65385FFB-AEF9-4F02-BC65-EE24E7949154}"/>
    <cellStyle name="Migliaia 44 4 2 8" xfId="8712" xr:uid="{0B6A4F7D-538D-4AB1-A793-0BCD011CEEE5}"/>
    <cellStyle name="Migliaia 44 4 3" xfId="5448" xr:uid="{927E3CEB-76A2-4C0F-8642-5F4F187E2C88}"/>
    <cellStyle name="Migliaia 44 4 3 2" xfId="18239" xr:uid="{20AD7DB2-7A43-4A7E-87D8-80E7E2ADA54C}"/>
    <cellStyle name="Migliaia 44 4 3 2 2" xfId="39770" xr:uid="{FC929D02-180C-482E-A0C7-BF720F283FD8}"/>
    <cellStyle name="Migliaia 44 4 3 2 3" xfId="45072" xr:uid="{2E3AE97A-1FF3-4597-AD8E-E31970BB58B0}"/>
    <cellStyle name="Migliaia 44 4 3 3" xfId="37161" xr:uid="{8BFC251F-49FC-4745-8F82-80A9C284FFAF}"/>
    <cellStyle name="Migliaia 44 4 3 4" xfId="42421" xr:uid="{ECD3EC9A-5109-42CA-BA76-3AED4FBCDA2B}"/>
    <cellStyle name="Migliaia 44 4 3 5" xfId="17311" xr:uid="{A5B7D536-EC07-4FA6-9866-D4671362AB8F}"/>
    <cellStyle name="Migliaia 44 4 3 6" xfId="9185" xr:uid="{4CBF72AB-A388-4BEB-B77C-D1F6FD112A66}"/>
    <cellStyle name="Migliaia 44 4 4" xfId="6634" xr:uid="{8FB85026-CE7E-4BB5-8FEA-AF23276BC979}"/>
    <cellStyle name="Migliaia 44 4 4 2" xfId="34207" xr:uid="{9665C257-262C-4FE3-BE77-C4B554247195}"/>
    <cellStyle name="Migliaia 44 4 4 2 2" xfId="39771" xr:uid="{D2607FA3-9D31-4FE7-A44F-E0936D357848}"/>
    <cellStyle name="Migliaia 44 4 4 2 3" xfId="45073" xr:uid="{F9F5BCB0-E4ED-44F3-9F0B-9758B3249C67}"/>
    <cellStyle name="Migliaia 44 4 4 3" xfId="37162" xr:uid="{05200463-51EA-49D0-9337-2980656F3FD7}"/>
    <cellStyle name="Migliaia 44 4 4 4" xfId="42422" xr:uid="{AB94BECC-D867-4023-8AD3-E41F264F5EE9}"/>
    <cellStyle name="Migliaia 44 4 4 5" xfId="12042" xr:uid="{EAF97073-B993-49AF-9945-CA4E0B1BF2DA}"/>
    <cellStyle name="Migliaia 44 4 5" xfId="3722" xr:uid="{59F3572B-9313-423A-A1AF-4B4018541B15}"/>
    <cellStyle name="Migliaia 44 4 5 2" xfId="34208" xr:uid="{C2C05EFE-F8D4-40F4-B2DC-382C811C8359}"/>
    <cellStyle name="Migliaia 44 4 5 2 2" xfId="39772" xr:uid="{9889FA51-76CC-4EA4-9178-6AE4EAC3344A}"/>
    <cellStyle name="Migliaia 44 4 5 2 3" xfId="45074" xr:uid="{A42D45D4-B381-4030-B27D-00DCC278E3FC}"/>
    <cellStyle name="Migliaia 44 4 5 3" xfId="37163" xr:uid="{1D34534B-9631-4754-91B4-128E5326A27C}"/>
    <cellStyle name="Migliaia 44 4 5 4" xfId="42423" xr:uid="{2F6BDE68-46CA-4875-A650-27B8F96DA1C8}"/>
    <cellStyle name="Migliaia 44 4 5 5" xfId="11389" xr:uid="{581FA83E-AFF5-48E0-95BA-D1ED41492DA8}"/>
    <cellStyle name="Migliaia 44 4 6" xfId="10925" xr:uid="{F2E1D25E-AA62-48B3-873C-9BB099E20FB6}"/>
    <cellStyle name="Migliaia 44 4 6 2" xfId="21560" xr:uid="{65A9F7D7-2D84-4502-9ACC-C28E909B1F79}"/>
    <cellStyle name="Migliaia 44 4 6 2 2" xfId="39773" xr:uid="{775FC090-EC8E-4EF6-9B23-17E951C1EDEF}"/>
    <cellStyle name="Migliaia 44 4 6 2 3" xfId="45075" xr:uid="{D5EAE920-7E4F-4D65-A492-D8B87007C6DB}"/>
    <cellStyle name="Migliaia 44 4 6 2 4" xfId="34209" xr:uid="{34875ECC-B65F-4CD6-A330-F92A85A6343A}"/>
    <cellStyle name="Migliaia 44 4 6 3" xfId="37164" xr:uid="{2F0CB3C0-5E51-487F-B2D5-059E29ADF9B2}"/>
    <cellStyle name="Migliaia 44 4 6 4" xfId="42424" xr:uid="{2CF355FF-8CA2-4B57-B1E5-9BF645719AA6}"/>
    <cellStyle name="Migliaia 44 4 6 5" xfId="25102" xr:uid="{F726B957-0F09-4E34-8E86-5BC079E5713E}"/>
    <cellStyle name="Migliaia 44 4 6 6" xfId="48265" xr:uid="{ADB060B3-E544-4E44-B7BD-E559F9248D9A}"/>
    <cellStyle name="Migliaia 44 4 6 7" xfId="50575" xr:uid="{B125ED72-C7CC-41AC-BCB8-550210E92FDE}"/>
    <cellStyle name="Migliaia 44 4 6 8" xfId="53591" xr:uid="{03D0DF0B-B9A8-42D6-9FA0-2F7466714028}"/>
    <cellStyle name="Migliaia 44 4 7" xfId="20703" xr:uid="{7CA85A8B-11E0-47C5-9167-DAB2B405E4D1}"/>
    <cellStyle name="Migliaia 44 4 7 2" xfId="34210" xr:uid="{C0EE8309-0F1C-4AD1-9C2C-8C1C945E6544}"/>
    <cellStyle name="Migliaia 44 4 7 2 2" xfId="39774" xr:uid="{5A6E74B2-E643-407C-90A9-E63278F69D05}"/>
    <cellStyle name="Migliaia 44 4 7 2 3" xfId="45076" xr:uid="{746597BC-B466-427F-9F4F-6B67A34B1AE3}"/>
    <cellStyle name="Migliaia 44 4 7 3" xfId="37165" xr:uid="{8440DFAB-106D-437C-99B4-953285C06F4A}"/>
    <cellStyle name="Migliaia 44 4 7 4" xfId="42425" xr:uid="{2F7A3132-01F3-428A-BD43-DE9421EC919D}"/>
    <cellStyle name="Migliaia 44 4 7 5" xfId="25103" xr:uid="{1333DCF3-CFCB-48E8-B983-03BAB33AA72B}"/>
    <cellStyle name="Migliaia 44 4 8" xfId="25100" xr:uid="{ADBF2E3A-4FB5-45AB-81F7-9554D546571B}"/>
    <cellStyle name="Migliaia 44 4 9" xfId="7522" xr:uid="{F2F93A9F-A1DC-4E4C-AF55-6F5920CD2129}"/>
    <cellStyle name="Migliaia 44 5" xfId="1850" xr:uid="{00000000-0005-0000-0000-00001D040000}"/>
    <cellStyle name="Migliaia 44 5 2" xfId="5450" xr:uid="{4E6E42EF-E27B-459B-B41A-9B4449054B5B}"/>
    <cellStyle name="Migliaia 44 5 2 2" xfId="18478" xr:uid="{7A1AFB66-F85C-4364-A031-112A588DD996}"/>
    <cellStyle name="Migliaia 44 5 2 2 2" xfId="39775" xr:uid="{2175ECD3-383B-4D11-883C-BCAE6A675328}"/>
    <cellStyle name="Migliaia 44 5 2 2 3" xfId="45077" xr:uid="{D4210010-CE8A-4BA0-8305-D1F92818E71F}"/>
    <cellStyle name="Migliaia 44 5 2 3" xfId="20706" xr:uid="{694CAF9C-C412-42D2-AA74-025C3448FEA7}"/>
    <cellStyle name="Migliaia 44 5 2 3 2" xfId="37166" xr:uid="{CE300E90-9A6C-445A-8B80-07CE29DFBD38}"/>
    <cellStyle name="Migliaia 44 5 2 4" xfId="42426" xr:uid="{79992522-403A-4BFC-872D-E7BD588E5160}"/>
    <cellStyle name="Migliaia 44 5 2 5" xfId="16614" xr:uid="{0B6BA713-A1A0-403E-B02A-9E6564952FA4}"/>
    <cellStyle name="Migliaia 44 5 2 6" xfId="8713" xr:uid="{DECBF57D-E45E-403F-8699-31CEF86F4C0D}"/>
    <cellStyle name="Migliaia 44 5 3" xfId="6635" xr:uid="{22BB5BC8-F2A8-4609-A595-51234E78F983}"/>
    <cellStyle name="Migliaia 44 5 3 2" xfId="34211" xr:uid="{A977745A-1609-4864-AF5F-A05866A44717}"/>
    <cellStyle name="Migliaia 44 5 3 2 2" xfId="39776" xr:uid="{EF7EC22C-AB3E-4F47-9B8E-47FE0CE7DF64}"/>
    <cellStyle name="Migliaia 44 5 3 2 3" xfId="45078" xr:uid="{3D05E8EA-E843-481C-9172-6984D9A2FBA6}"/>
    <cellStyle name="Migliaia 44 5 3 3" xfId="37167" xr:uid="{97A88EC7-67AD-4981-8E7E-4C47563BD10D}"/>
    <cellStyle name="Migliaia 44 5 3 4" xfId="42427" xr:uid="{18C626EF-EE18-4739-ACC7-17475D54A451}"/>
    <cellStyle name="Migliaia 44 5 3 5" xfId="11391" xr:uid="{A7E7D77A-3C1B-4C52-89B4-3EB83D5CFEBE}"/>
    <cellStyle name="Migliaia 44 5 4" xfId="3724" xr:uid="{B1B9CAE4-A201-40C2-AFD1-274C107521F9}"/>
    <cellStyle name="Migliaia 44 5 4 2" xfId="21562" xr:uid="{37746872-E93F-4360-9299-3A828A39EAA8}"/>
    <cellStyle name="Migliaia 44 5 4 2 2" xfId="39777" xr:uid="{2F033F72-5647-488B-8377-193CC1AEE448}"/>
    <cellStyle name="Migliaia 44 5 4 2 3" xfId="45079" xr:uid="{F8991CFE-DED0-45FC-9A60-9E6E435D58E4}"/>
    <cellStyle name="Migliaia 44 5 4 2 4" xfId="34212" xr:uid="{3FEEED97-07DC-4963-B865-F006579AF0F0}"/>
    <cellStyle name="Migliaia 44 5 4 3" xfId="37168" xr:uid="{76862522-164D-4991-842D-C447791B0832}"/>
    <cellStyle name="Migliaia 44 5 4 4" xfId="42428" xr:uid="{73300D37-B649-456A-AD7C-1E8D207D04C2}"/>
    <cellStyle name="Migliaia 44 5 4 5" xfId="25106" xr:uid="{8579DAC7-34D3-48FE-B088-0945FEB3E467}"/>
    <cellStyle name="Migliaia 44 5 4 6" xfId="47144" xr:uid="{E04C95D9-66B7-42AC-98BE-C396DE564BC3}"/>
    <cellStyle name="Migliaia 44 5 4 7" xfId="50577" xr:uid="{C3B863F9-6BEA-4EDE-8F13-FDD8612E54CA}"/>
    <cellStyle name="Migliaia 44 5 4 8" xfId="53593" xr:uid="{83E82749-3A77-43C7-94DB-CB44B41C8CC5}"/>
    <cellStyle name="Migliaia 44 5 4 9" xfId="10927" xr:uid="{FE06348E-4502-417B-9A08-AA343CDAA203}"/>
    <cellStyle name="Migliaia 44 5 5" xfId="20705" xr:uid="{C28E810E-0973-4059-9C30-F7B07D383AD1}"/>
    <cellStyle name="Migliaia 44 5 5 2" xfId="34213" xr:uid="{54278351-DF2C-41D5-A0C8-901ACFE3F21C}"/>
    <cellStyle name="Migliaia 44 5 5 2 2" xfId="39778" xr:uid="{90BB5106-C184-4E11-8494-2FC11049B34F}"/>
    <cellStyle name="Migliaia 44 5 5 2 3" xfId="45080" xr:uid="{80EB85CD-4309-459B-A956-AB8AB12791C0}"/>
    <cellStyle name="Migliaia 44 5 5 3" xfId="37169" xr:uid="{1A2916C2-FBA7-4250-9DE2-CF8AF7526543}"/>
    <cellStyle name="Migliaia 44 5 5 4" xfId="42429" xr:uid="{9F15883F-747D-4658-959F-562BEE87155F}"/>
    <cellStyle name="Migliaia 44 5 5 5" xfId="25107" xr:uid="{93EBC265-331B-4CE8-97EF-210C7502B73B}"/>
    <cellStyle name="Migliaia 44 5 6" xfId="25108" xr:uid="{53AF20FC-3B2C-4F32-83D4-CA2D0E8CA2AB}"/>
    <cellStyle name="Migliaia 44 5 6 2" xfId="34214" xr:uid="{FDD68640-8EE7-4AA5-8238-D7DE177F7295}"/>
    <cellStyle name="Migliaia 44 5 6 2 2" xfId="39779" xr:uid="{B4701F5E-5E3F-49D2-8F0F-E7A9BFD1B6C7}"/>
    <cellStyle name="Migliaia 44 5 6 2 3" xfId="45081" xr:uid="{67036E29-0A02-4DF1-B847-9C26757CCD24}"/>
    <cellStyle name="Migliaia 44 5 6 3" xfId="37170" xr:uid="{10E74408-7940-4117-AF17-B8E71A94DE0F}"/>
    <cellStyle name="Migliaia 44 5 6 4" xfId="42430" xr:uid="{80C83B32-368A-4619-AC3E-7B6839C1872D}"/>
    <cellStyle name="Migliaia 44 5 7" xfId="25104" xr:uid="{6C0FC56C-1D4E-4369-BF9A-2F4738FF729A}"/>
    <cellStyle name="Migliaia 44 5 8" xfId="7523" xr:uid="{5AE19133-2A6A-4836-A1F0-2FF68BC94F65}"/>
    <cellStyle name="Migliaia 44 6" xfId="3725" xr:uid="{CF324E23-EDE7-4354-9AEB-A0CEC7FDF5B6}"/>
    <cellStyle name="Migliaia 44 6 2" xfId="5451" xr:uid="{4DB200AB-90A7-46BD-BA97-66E0989B388C}"/>
    <cellStyle name="Migliaia 44 6 2 2" xfId="9957" xr:uid="{487BB87C-C853-4B76-A8FB-282A9675EF8D}"/>
    <cellStyle name="Migliaia 44 6 2 3" xfId="18642" xr:uid="{728B8EE7-B157-4CD9-A002-531F9446FF78}"/>
    <cellStyle name="Migliaia 44 6 2 4" xfId="20708" xr:uid="{CB749558-0E4E-4826-A645-7017EB013495}"/>
    <cellStyle name="Migliaia 44 6 2 5" xfId="32433" xr:uid="{451BC901-4BE0-4F0B-A275-EC2E77C76025}"/>
    <cellStyle name="Migliaia 44 6 2 6" xfId="16616" xr:uid="{558F8D16-2B69-45FB-B791-7A6AA0F082A9}"/>
    <cellStyle name="Migliaia 44 6 2 7" xfId="8708" xr:uid="{41FC712F-140B-4FEE-98C0-FAA7D9FA5792}"/>
    <cellStyle name="Migliaia 44 6 3" xfId="6636" xr:uid="{E26374A9-8151-4087-88CF-21E30ADADF34}"/>
    <cellStyle name="Migliaia 44 6 3 2" xfId="35393" xr:uid="{BFFC31B7-2D03-4570-8C1D-9A61E56EF4D2}"/>
    <cellStyle name="Migliaia 44 6 3 2 2" xfId="40553" xr:uid="{822684EF-B8B8-483B-AD0B-5C7D9FFB0698}"/>
    <cellStyle name="Migliaia 44 6 3 2 3" xfId="45855" xr:uid="{A6737DC9-FEA6-4405-996C-365F9589661D}"/>
    <cellStyle name="Migliaia 44 6 3 3" xfId="37902" xr:uid="{F74A463A-239C-4CC7-A8F7-BB6EBC65EB2A}"/>
    <cellStyle name="Migliaia 44 6 3 4" xfId="43204" xr:uid="{78F52D41-61EB-4638-9669-84D451626749}"/>
    <cellStyle name="Migliaia 44 6 3 5" xfId="9720" xr:uid="{7907CBFF-FB45-4462-9F0F-27392BCA9535}"/>
    <cellStyle name="Migliaia 44 6 4" xfId="20707" xr:uid="{BC8EF088-9DB7-4881-BA52-1C25373D2D87}"/>
    <cellStyle name="Migliaia 44 6 4 2" xfId="39780" xr:uid="{2A195C70-6783-410E-ACAE-89DC90CFE612}"/>
    <cellStyle name="Migliaia 44 6 4 3" xfId="45082" xr:uid="{2300E7E5-04C2-4E1F-8E59-14B9EF50D04A}"/>
    <cellStyle name="Migliaia 44 6 4 4" xfId="34215" xr:uid="{0D5F5EC0-C84B-4127-BE1F-5283224FD488}"/>
    <cellStyle name="Migliaia 44 6 5" xfId="37171" xr:uid="{713C1E22-542F-45B4-BAA7-95B10A5AE682}"/>
    <cellStyle name="Migliaia 44 6 6" xfId="42431" xr:uid="{8F11D115-D676-4465-B411-1F88C3DF56AF}"/>
    <cellStyle name="Migliaia 44 6 7" xfId="16615" xr:uid="{809628F2-F373-4689-BE05-1232ECAC4C1C}"/>
    <cellStyle name="Migliaia 44 6 8" xfId="7518" xr:uid="{4392AC52-7483-4BD5-8924-EF5168E4380C}"/>
    <cellStyle name="Migliaia 44 7" xfId="3726" xr:uid="{14D4DD88-180E-4CD7-B583-DD33A3BFB54F}"/>
    <cellStyle name="Migliaia 44 7 2" xfId="5452" xr:uid="{F5C7DC81-4AA8-4935-A67C-701B272661B8}"/>
    <cellStyle name="Migliaia 44 7 2 2" xfId="35394" xr:uid="{361E4FFE-B302-44EF-B771-5ADC11EF8CD3}"/>
    <cellStyle name="Migliaia 44 7 2 2 2" xfId="40554" xr:uid="{146A8E0B-2D5E-46A4-AD04-AA11AE14FEF4}"/>
    <cellStyle name="Migliaia 44 7 2 2 3" xfId="45856" xr:uid="{32F9A35C-8AE1-456B-B646-2B4452FB565B}"/>
    <cellStyle name="Migliaia 44 7 2 3" xfId="37903" xr:uid="{849B5FC1-6354-4BEC-A58A-B74A27D65396}"/>
    <cellStyle name="Migliaia 44 7 2 4" xfId="43205" xr:uid="{4DC36DBA-0468-4386-95B9-1687F49A61CB}"/>
    <cellStyle name="Migliaia 44 7 2 5" xfId="14293" xr:uid="{AC03A435-D745-4FB7-AE42-B4A394420738}"/>
    <cellStyle name="Migliaia 44 7 3" xfId="6637" xr:uid="{F3C72B20-1445-4CC3-87A4-28E5E62066B0}"/>
    <cellStyle name="Migliaia 44 7 3 2" xfId="39781" xr:uid="{FC272549-1DD4-4825-96E3-A27F49E10FDC}"/>
    <cellStyle name="Migliaia 44 7 3 3" xfId="45083" xr:uid="{E4678D1D-213C-4E16-B36E-12FFC22FB450}"/>
    <cellStyle name="Migliaia 44 7 3 4" xfId="34216" xr:uid="{F5CE154C-3C28-4104-93EB-E188AFBF5E7B}"/>
    <cellStyle name="Migliaia 44 7 3 5" xfId="20709" xr:uid="{D3567147-4D8D-4703-86AD-06A37C6626A0}"/>
    <cellStyle name="Migliaia 44 7 4" xfId="37172" xr:uid="{CD2D7DB7-C675-4D01-B3BA-94E69147463F}"/>
    <cellStyle name="Migliaia 44 7 5" xfId="42432" xr:uid="{EEB9800A-3359-4D91-8F41-7BD4E804B203}"/>
    <cellStyle name="Migliaia 44 7 6" xfId="16617" xr:uid="{58298541-006D-43AD-9F8A-37762B149C2B}"/>
    <cellStyle name="Migliaia 44 7 7" xfId="8355" xr:uid="{4091219D-BE11-4F79-AB09-73F26F239575}"/>
    <cellStyle name="Migliaia 44 8" xfId="3727" xr:uid="{5E796974-C4BC-46FB-91D4-D41B3BB4EF58}"/>
    <cellStyle name="Migliaia 44 8 2" xfId="5453" xr:uid="{89D24175-CFDB-474D-AE7A-AED0EFF4A9C7}"/>
    <cellStyle name="Migliaia 44 8 2 2" xfId="35395" xr:uid="{88F5ACA7-08C5-4E81-A3C6-684D3C9F62BB}"/>
    <cellStyle name="Migliaia 44 8 2 2 2" xfId="40555" xr:uid="{AF633EFE-4219-48D7-AB70-89079FE53A20}"/>
    <cellStyle name="Migliaia 44 8 2 2 3" xfId="45857" xr:uid="{0C738855-409D-42D2-ACF6-61819E3B854E}"/>
    <cellStyle name="Migliaia 44 8 2 3" xfId="37904" xr:uid="{ADEDCA4F-1D5E-4CD4-BA75-F5C6AB07392B}"/>
    <cellStyle name="Migliaia 44 8 2 4" xfId="43206" xr:uid="{99D9B21C-780C-411A-A97D-59AD7E0DC944}"/>
    <cellStyle name="Migliaia 44 8 2 5" xfId="13998" xr:uid="{283935A5-892A-4825-B158-AFD5173C0170}"/>
    <cellStyle name="Migliaia 44 8 3" xfId="6638" xr:uid="{72EB42BE-18CE-4E08-816E-BE04A1D72D2C}"/>
    <cellStyle name="Migliaia 44 8 3 2" xfId="39782" xr:uid="{1E9982F9-CEEE-4EA3-822B-1CFAA9A1B122}"/>
    <cellStyle name="Migliaia 44 8 3 3" xfId="45084" xr:uid="{DFECC3E8-C503-4BD3-B784-0634D57F2945}"/>
    <cellStyle name="Migliaia 44 8 3 4" xfId="34217" xr:uid="{CD611326-C62D-4AC2-B36D-69D0F0BB6B20}"/>
    <cellStyle name="Migliaia 44 8 3 5" xfId="20710" xr:uid="{1006290D-DB25-4691-9F5D-C4B3B7C1C0CB}"/>
    <cellStyle name="Migliaia 44 8 4" xfId="37173" xr:uid="{AC75CC8A-13F7-4FB9-AB47-5E51ABD03A0C}"/>
    <cellStyle name="Migliaia 44 8 5" xfId="42433" xr:uid="{DC6901EC-D55D-4EE8-9C1F-6AA43893F89F}"/>
    <cellStyle name="Migliaia 44 8 6" xfId="16618" xr:uid="{266F34E5-4F0C-485D-A473-DA00D21046B5}"/>
    <cellStyle name="Migliaia 44 8 7" xfId="7974" xr:uid="{BF7754CF-A331-4911-8805-46C009290C5A}"/>
    <cellStyle name="Migliaia 44 9" xfId="5438" xr:uid="{4E77F5C1-8DAE-4B56-90A3-1C629B13C55F}"/>
    <cellStyle name="Migliaia 44 9 2" xfId="34218" xr:uid="{84FC19BA-1CB9-4008-B249-76B2ECB5F9B5}"/>
    <cellStyle name="Migliaia 44 9 2 2" xfId="39783" xr:uid="{D3546828-6B42-4595-B141-78E173E4B878}"/>
    <cellStyle name="Migliaia 44 9 2 3" xfId="45085" xr:uid="{626068B7-E48E-445F-BAEC-F60742F1FEAD}"/>
    <cellStyle name="Migliaia 44 9 3" xfId="37174" xr:uid="{330E2C1D-03F3-4517-A8CD-CFEA04B61558}"/>
    <cellStyle name="Migliaia 44 9 4" xfId="42434" xr:uid="{E7197999-D648-4F39-B417-1F2416EBABB9}"/>
    <cellStyle name="Migliaia 44 9 5" xfId="17211" xr:uid="{ADBC7CDF-294A-4863-9B01-53E7C9C570AB}"/>
    <cellStyle name="Migliaia 45" xfId="457" xr:uid="{00000000-0005-0000-0000-00001E040000}"/>
    <cellStyle name="Migliaia 45 10" xfId="6639" xr:uid="{CB4C5E9D-DB0B-402A-B61B-58D73708FDC3}"/>
    <cellStyle name="Migliaia 45 10 2" xfId="39784" xr:uid="{66CDC3D7-5918-4513-82B7-D4B88208F41A}"/>
    <cellStyle name="Migliaia 45 10 3" xfId="45086" xr:uid="{82DF6D56-1180-40AE-91E8-7F20DD24BBF5}"/>
    <cellStyle name="Migliaia 45 10 4" xfId="34219" xr:uid="{6E3F5C12-D477-45F2-BD74-A3423AD2E33A}"/>
    <cellStyle name="Migliaia 45 10 5" xfId="20711" xr:uid="{3DE811A1-6F37-4AC4-9064-94012F863504}"/>
    <cellStyle name="Migliaia 45 11" xfId="3728" xr:uid="{360FA787-C808-4CDB-954B-1A945C46AE26}"/>
    <cellStyle name="Migliaia 45 11 2" xfId="37175" xr:uid="{559D9D8C-4A1C-4DC1-91B5-2EFF08F71A75}"/>
    <cellStyle name="Migliaia 45 12" xfId="42435" xr:uid="{BB01DEC1-90B4-4626-8642-B25B201F63BC}"/>
    <cellStyle name="Migliaia 45 13" xfId="7159" xr:uid="{91A7E6B3-9DE8-48B3-85E1-C7DF8E14C32D}"/>
    <cellStyle name="Migliaia 45 2" xfId="458" xr:uid="{00000000-0005-0000-0000-00001F040000}"/>
    <cellStyle name="Migliaia 45 2 2" xfId="1851" xr:uid="{00000000-0005-0000-0000-000020040000}"/>
    <cellStyle name="Migliaia 45 2 2 2" xfId="5456" xr:uid="{88F7DDCA-EF5E-4A07-ABBC-3E9667C945B8}"/>
    <cellStyle name="Migliaia 45 2 2 2 2" xfId="14402" xr:uid="{7B7BB0D5-D698-4C07-8D2C-98BD39B1D7E4}"/>
    <cellStyle name="Migliaia 45 2 2 2 2 2" xfId="39785" xr:uid="{2EC8EB29-4B25-40EC-810A-7D18C6883EBC}"/>
    <cellStyle name="Migliaia 45 2 2 2 2 3" xfId="45087" xr:uid="{62A9A0E0-F95E-4C11-8044-76672D8ACBD7}"/>
    <cellStyle name="Migliaia 45 2 2 2 3" xfId="18479" xr:uid="{D23C11FD-FFD6-487A-8447-F461D0D2D640}"/>
    <cellStyle name="Migliaia 45 2 2 2 4" xfId="20714" xr:uid="{7A00DDB7-19C9-4E92-9506-89198520033E}"/>
    <cellStyle name="Migliaia 45 2 2 2 4 2" xfId="42436" xr:uid="{59DA8315-34EB-4C6F-9820-CB79BA1FCAD0}"/>
    <cellStyle name="Migliaia 45 2 2 2 5" xfId="16619" xr:uid="{43E534D8-ABD6-4DE5-A6C5-DF3908E19937}"/>
    <cellStyle name="Migliaia 45 2 2 2 6" xfId="8715" xr:uid="{EF2B23CC-CC8E-4EF0-A50C-07C1A3D4A53F}"/>
    <cellStyle name="Migliaia 45 2 2 3" xfId="6641" xr:uid="{910B35A0-D794-4DF7-8ADE-42D25A6AE7E8}"/>
    <cellStyle name="Migliaia 45 2 2 3 2" xfId="35396" xr:uid="{98FA80E6-38D6-4AB2-B88E-1FDFFF03DDC4}"/>
    <cellStyle name="Migliaia 45 2 2 3 2 2" xfId="40556" xr:uid="{1B0F17BB-C4BF-47E1-91AD-F22C4AE9D07C}"/>
    <cellStyle name="Migliaia 45 2 2 3 2 3" xfId="45858" xr:uid="{C33653E0-A198-4B26-AEB2-AAD2371A792B}"/>
    <cellStyle name="Migliaia 45 2 2 3 3" xfId="37905" xr:uid="{7DB8AA02-5D1D-416B-B31E-47524DB46140}"/>
    <cellStyle name="Migliaia 45 2 2 3 4" xfId="43207" xr:uid="{04408EC0-DC71-432A-977E-58673072D0C8}"/>
    <cellStyle name="Migliaia 45 2 2 3 5" xfId="11629" xr:uid="{B61F0270-85CD-4C9A-A3A7-CAE377BD8FCC}"/>
    <cellStyle name="Migliaia 45 2 2 4" xfId="3730" xr:uid="{86429CD3-D532-47BF-B58E-E1C62B77B5CE}"/>
    <cellStyle name="Migliaia 45 2 2 4 2" xfId="21563" xr:uid="{E80CC313-B42B-4DEF-A0BB-8C9626B0142B}"/>
    <cellStyle name="Migliaia 45 2 2 4 3" xfId="47856" xr:uid="{08A37D9B-427E-417E-8F97-E65295640573}"/>
    <cellStyle name="Migliaia 45 2 2 4 4" xfId="50578" xr:uid="{5F3CEE38-1047-4955-BAC3-0BC65C5E3FD6}"/>
    <cellStyle name="Migliaia 45 2 2 4 5" xfId="53594" xr:uid="{299F0FEB-EEEC-4C8A-AF17-8D3695741770}"/>
    <cellStyle name="Migliaia 45 2 2 4 6" xfId="10928" xr:uid="{D91CB6CC-8C0C-467E-982F-CD83E08EE83B}"/>
    <cellStyle name="Migliaia 45 2 2 5" xfId="20713" xr:uid="{372433FE-1BAE-409E-AE18-9CB7E91810B0}"/>
    <cellStyle name="Migliaia 45 2 2 6" xfId="25112" xr:uid="{91092F69-25A9-4BDD-B645-DB957F0195D3}"/>
    <cellStyle name="Migliaia 45 2 2 7" xfId="7525" xr:uid="{AB3D5AD9-7298-4743-A651-29E8010E0643}"/>
    <cellStyle name="Migliaia 45 2 3" xfId="3731" xr:uid="{6A8FC345-B4E5-4724-B61F-ED1BC940140B}"/>
    <cellStyle name="Migliaia 45 2 3 2" xfId="5457" xr:uid="{7EEE3B49-ED0F-4137-904D-DA37DA464E60}"/>
    <cellStyle name="Migliaia 45 2 3 2 2" xfId="35397" xr:uid="{DB83C961-55B1-4152-AFD7-B0693B459539}"/>
    <cellStyle name="Migliaia 45 2 3 2 2 2" xfId="40557" xr:uid="{CA2672BA-36B3-4D10-8F81-B168D3A05E2B}"/>
    <cellStyle name="Migliaia 45 2 3 2 2 3" xfId="45859" xr:uid="{E6037EFC-5D93-4FBE-8126-616711CF5749}"/>
    <cellStyle name="Migliaia 45 2 3 2 3" xfId="37906" xr:uid="{344B88A5-15F7-4FD5-B378-5DC133731939}"/>
    <cellStyle name="Migliaia 45 2 3 2 4" xfId="43208" xr:uid="{DED0BF62-CF63-4B76-9BEC-92273C0B4EAA}"/>
    <cellStyle name="Migliaia 45 2 3 2 5" xfId="14297" xr:uid="{A48DB99A-5974-4621-8025-7D35F10D9C22}"/>
    <cellStyle name="Migliaia 45 2 3 3" xfId="6642" xr:uid="{22B73B88-3A39-4166-B7EB-FF9993985D73}"/>
    <cellStyle name="Migliaia 45 2 3 3 2" xfId="39786" xr:uid="{F98E0055-2E94-40D7-9E12-22399950BEF8}"/>
    <cellStyle name="Migliaia 45 2 3 3 3" xfId="45088" xr:uid="{89F31F87-77F9-48FA-AC82-B9AFAAE91333}"/>
    <cellStyle name="Migliaia 45 2 3 3 4" xfId="34220" xr:uid="{C3953363-4B42-49AC-A46F-DBFC4F8CF9A3}"/>
    <cellStyle name="Migliaia 45 2 3 3 5" xfId="20715" xr:uid="{9ED77180-2063-4F70-8267-0AB42E3C3E04}"/>
    <cellStyle name="Migliaia 45 2 3 4" xfId="37177" xr:uid="{6C3D5455-FA1B-455D-B39E-FC9C63BDC34C}"/>
    <cellStyle name="Migliaia 45 2 3 5" xfId="42437" xr:uid="{95CD7692-3A11-49FE-8780-62CEDA5EBED6}"/>
    <cellStyle name="Migliaia 45 2 3 6" xfId="16620" xr:uid="{755C988A-DA55-4EA4-AC3A-FC30D7B1AED4}"/>
    <cellStyle name="Migliaia 45 2 3 7" xfId="8359" xr:uid="{23EC7A05-E422-4D04-AC8D-F49C18F70514}"/>
    <cellStyle name="Migliaia 45 2 4" xfId="5455" xr:uid="{C2416A9B-8DB7-4782-9264-1681D1062B36}"/>
    <cellStyle name="Migliaia 45 2 4 2" xfId="14002" xr:uid="{F72DC0DB-E00C-4137-A977-2CC298DBC4E0}"/>
    <cellStyle name="Migliaia 45 2 4 2 2" xfId="39787" xr:uid="{F17479EC-E972-4135-AB51-B78719B9EBE2}"/>
    <cellStyle name="Migliaia 45 2 4 2 3" xfId="45089" xr:uid="{5B526D6B-B386-462C-BF59-62AB28567290}"/>
    <cellStyle name="Migliaia 45 2 4 3" xfId="18024" xr:uid="{B80F02A4-CD4A-4880-9BB2-42F55D00CF46}"/>
    <cellStyle name="Migliaia 45 2 4 4" xfId="20716" xr:uid="{9E59E0E0-CB64-4BB7-95BA-7787BD5ACF2A}"/>
    <cellStyle name="Migliaia 45 2 4 4 2" xfId="42438" xr:uid="{DDF35E80-F8D0-4FFE-9E60-9E457B4A741E}"/>
    <cellStyle name="Migliaia 45 2 4 5" xfId="16621" xr:uid="{D56B3BBD-9F30-431C-8FC9-24EEE02AD483}"/>
    <cellStyle name="Migliaia 45 2 4 6" xfId="7979" xr:uid="{A8371B9A-3648-407F-81D2-F7272A200F30}"/>
    <cellStyle name="Migliaia 45 2 5" xfId="6640" xr:uid="{D59A5B6D-17E7-4CD8-96BA-08E86CFD4FEE}"/>
    <cellStyle name="Migliaia 45 2 5 2" xfId="34222" xr:uid="{7D597830-64E4-4DCD-9C6B-10428804D113}"/>
    <cellStyle name="Migliaia 45 2 5 2 2" xfId="39788" xr:uid="{90DE4638-FAC2-4D3C-8807-534666921BAE}"/>
    <cellStyle name="Migliaia 45 2 5 2 3" xfId="45090" xr:uid="{C886D7F1-DAD6-469C-85FB-CDB7955D6EA7}"/>
    <cellStyle name="Migliaia 45 2 5 3" xfId="37179" xr:uid="{7283F7B7-1CD5-417A-8A65-C9B57C9DF177}"/>
    <cellStyle name="Migliaia 45 2 5 4" xfId="42439" xr:uid="{4C804A67-818E-4BCF-9722-346B2723230F}"/>
    <cellStyle name="Migliaia 45 2 5 5" xfId="13142" xr:uid="{91F989F4-F70F-4920-90B5-12B984558B3A}"/>
    <cellStyle name="Migliaia 45 2 6" xfId="3729" xr:uid="{27D1F830-6362-4398-BF56-F877B072F498}"/>
    <cellStyle name="Migliaia 45 2 6 2" xfId="34223" xr:uid="{2950634D-A99B-45E9-AA5C-8C1640F1BCF7}"/>
    <cellStyle name="Migliaia 45 2 6 2 2" xfId="39789" xr:uid="{6DBE2081-7069-4A33-BD04-104C986563AE}"/>
    <cellStyle name="Migliaia 45 2 6 2 3" xfId="45091" xr:uid="{8885DC2E-F1BA-4B3A-9A73-EC48BD2AADF0}"/>
    <cellStyle name="Migliaia 45 2 6 3" xfId="37180" xr:uid="{EEB8E7D0-087A-4BE7-8F95-FAAA9E91D300}"/>
    <cellStyle name="Migliaia 45 2 6 4" xfId="42440" xr:uid="{BA4E6575-0DBC-4A4A-8F73-7856DF3B46F0}"/>
    <cellStyle name="Migliaia 45 2 6 5" xfId="25114" xr:uid="{0599041C-4D9D-4C50-8398-1397B34DF8CC}"/>
    <cellStyle name="Migliaia 45 2 6 6" xfId="20712" xr:uid="{5F54EC99-A227-4EC2-9153-67E74155D96B}"/>
    <cellStyle name="Migliaia 45 2 7" xfId="25111" xr:uid="{A60F0CAF-4A1C-4A7B-A197-92914179D0AA}"/>
    <cellStyle name="Migliaia 45 2 8" xfId="7160" xr:uid="{A47486D4-8A5C-40F7-B192-109EC2AE0F71}"/>
    <cellStyle name="Migliaia 45 3" xfId="459" xr:uid="{00000000-0005-0000-0000-000021040000}"/>
    <cellStyle name="Migliaia 45 3 10" xfId="25115" xr:uid="{7C0BD1EA-64B8-4D15-A2C7-0803045A551D}"/>
    <cellStyle name="Migliaia 45 3 11" xfId="16622" xr:uid="{95FCEDDF-65B1-4E32-B8CF-930214F119E8}"/>
    <cellStyle name="Migliaia 45 3 12" xfId="7161" xr:uid="{B6929698-D8AA-4E31-8174-8B2F93B464F2}"/>
    <cellStyle name="Migliaia 45 3 2" xfId="460" xr:uid="{00000000-0005-0000-0000-000022040000}"/>
    <cellStyle name="Migliaia 45 3 2 2" xfId="1852" xr:uid="{00000000-0005-0000-0000-000023040000}"/>
    <cellStyle name="Migliaia 45 3 2 2 2" xfId="5460" xr:uid="{BE2C701F-5550-42E7-B73F-C491CBAA30AE}"/>
    <cellStyle name="Migliaia 45 3 2 2 2 2" xfId="18480" xr:uid="{50502FD0-F02F-4405-B28C-F2EA65B580B7}"/>
    <cellStyle name="Migliaia 45 3 2 2 2 2 2" xfId="21880" xr:uid="{E7974282-DD09-4E10-ACED-533771A24D40}"/>
    <cellStyle name="Migliaia 45 3 2 2 2 2 2 2" xfId="39790" xr:uid="{028789F2-62E8-4102-BB87-8CD8065DF1C2}"/>
    <cellStyle name="Migliaia 45 3 2 2 2 2 3" xfId="45092" xr:uid="{00B05A83-BC02-4DA8-8A64-5797A565CD74}"/>
    <cellStyle name="Migliaia 45 3 2 2 2 2 4" xfId="34224" xr:uid="{1B9F9302-C23B-4CA7-89FB-1B0B5F5794CB}"/>
    <cellStyle name="Migliaia 45 3 2 2 2 3" xfId="37181" xr:uid="{B5580A1D-41BA-487B-B66B-9BAC594C33C8}"/>
    <cellStyle name="Migliaia 45 3 2 2 2 4" xfId="42441" xr:uid="{EA5866DB-5ED2-47D6-81B7-E359CB35044C}"/>
    <cellStyle name="Migliaia 45 3 2 2 2 5" xfId="47085" xr:uid="{AFCC765B-D9C4-4A22-95E6-99DB935D410D}"/>
    <cellStyle name="Migliaia 45 3 2 2 2 6" xfId="50908" xr:uid="{5840C98F-597B-408E-83DC-0CED955E6BBA}"/>
    <cellStyle name="Migliaia 45 3 2 2 2 7" xfId="53924" xr:uid="{438F0080-E747-4DE3-9DBF-3D1ED0583B7E}"/>
    <cellStyle name="Migliaia 45 3 2 2 2 8" xfId="17678" xr:uid="{4AF6FA34-60D9-4D5F-AE1F-AED4743662FA}"/>
    <cellStyle name="Migliaia 45 3 2 2 2 9" xfId="12043" xr:uid="{D41A1B06-E962-4377-AA48-9E56F6C09381}"/>
    <cellStyle name="Migliaia 45 3 2 2 3" xfId="6645" xr:uid="{B8EA651F-A8BC-400B-AC3D-30C5207B9EEE}"/>
    <cellStyle name="Migliaia 45 3 2 2 3 2" xfId="11570" xr:uid="{99250ABB-B485-4342-A92B-9CC83921D700}"/>
    <cellStyle name="Migliaia 45 3 2 2 4" xfId="3734" xr:uid="{747CD7D9-9F0A-48CA-AC5D-23795C1AFE49}"/>
    <cellStyle name="Migliaia 45 3 2 2 4 2" xfId="21564" xr:uid="{BE4D146A-BC87-48F9-A978-74357400179D}"/>
    <cellStyle name="Migliaia 45 3 2 2 4 3" xfId="47959" xr:uid="{E47726BC-9637-49A3-9409-DDEB510CA5B5}"/>
    <cellStyle name="Migliaia 45 3 2 2 4 4" xfId="50579" xr:uid="{67C6772C-C730-4136-84E9-4D5F04954D48}"/>
    <cellStyle name="Migliaia 45 3 2 2 4 5" xfId="53595" xr:uid="{70F96E7E-ECB9-43FF-AAA3-39CB23008A12}"/>
    <cellStyle name="Migliaia 45 3 2 2 4 6" xfId="10929" xr:uid="{EBD16809-388D-4585-8C05-46CA0DA7B7FA}"/>
    <cellStyle name="Migliaia 45 3 2 2 5" xfId="20719" xr:uid="{14DF95D7-10B4-462C-9C9E-2DB4B83098EE}"/>
    <cellStyle name="Migliaia 45 3 2 2 6" xfId="25117" xr:uid="{8760939D-FF77-49E2-86D2-1F7CCFFEF491}"/>
    <cellStyle name="Migliaia 45 3 2 2 7" xfId="8717" xr:uid="{1FADDA78-CAA7-4754-8BED-8CBFBF06C14E}"/>
    <cellStyle name="Migliaia 45 3 2 3" xfId="5459" xr:uid="{A766F0A4-BECE-447A-A59E-ABD5E4B7942A}"/>
    <cellStyle name="Migliaia 45 3 2 3 2" xfId="12403" xr:uid="{94DADAEF-9723-4A98-A861-BCFB9AD43910}"/>
    <cellStyle name="Migliaia 45 3 2 3 2 2" xfId="39791" xr:uid="{FA147434-5B72-4BD0-89A1-58F609398B76}"/>
    <cellStyle name="Migliaia 45 3 2 3 2 3" xfId="45093" xr:uid="{FFEF7BCA-FB70-4436-9006-0014F4D5C954}"/>
    <cellStyle name="Migliaia 45 3 2 3 2 4" xfId="34225" xr:uid="{F9C59EBA-182A-4BEB-82D0-6A18C7A08A4E}"/>
    <cellStyle name="Migliaia 45 3 2 3 3" xfId="12044" xr:uid="{637A2C40-8AA5-40F0-A5F4-1FD7EC1195B7}"/>
    <cellStyle name="Migliaia 45 3 2 3 4" xfId="20720" xr:uid="{EB863725-0092-4CE2-BDA3-EAE48C86AD09}"/>
    <cellStyle name="Migliaia 45 3 2 3 4 2" xfId="42442" xr:uid="{34EFACB2-2B7A-4669-8ACC-4E5B0203A8DE}"/>
    <cellStyle name="Migliaia 45 3 2 3 5" xfId="16623" xr:uid="{2AF31D6F-8EAB-46D1-8DF1-EF25C708B5A2}"/>
    <cellStyle name="Migliaia 45 3 2 3 6" xfId="7981" xr:uid="{9C77BEA7-1656-44A9-986B-25E35B46D707}"/>
    <cellStyle name="Migliaia 45 3 2 4" xfId="6644" xr:uid="{DFCC49E6-783B-4FF8-94DA-29C6F0094B2B}"/>
    <cellStyle name="Migliaia 45 3 2 4 2" xfId="18096" xr:uid="{675D3225-EF35-401B-9F48-D86E72037866}"/>
    <cellStyle name="Migliaia 45 3 2 4 2 2" xfId="39792" xr:uid="{677C5FE3-997D-48C8-8B56-A2B8EE49A411}"/>
    <cellStyle name="Migliaia 45 3 2 4 2 3" xfId="45094" xr:uid="{C16550D2-DAB3-489F-BA4F-4DE651C09DB4}"/>
    <cellStyle name="Migliaia 45 3 2 4 3" xfId="37183" xr:uid="{956DE352-2D6E-459B-A501-B6D8DAF064E0}"/>
    <cellStyle name="Migliaia 45 3 2 4 4" xfId="42443" xr:uid="{12C6C9A5-772A-4944-BDE8-E5491FC6BA8E}"/>
    <cellStyle name="Migliaia 45 3 2 4 5" xfId="17214" xr:uid="{95540FE3-DC7A-4073-9CBB-8FDFE37C8063}"/>
    <cellStyle name="Migliaia 45 3 2 4 6" xfId="11392" xr:uid="{A6ED6001-FEDE-43A0-85A6-A38BAE5F3940}"/>
    <cellStyle name="Migliaia 45 3 2 5" xfId="3733" xr:uid="{8F2C7B16-3A2E-4CC8-8E0A-D1F03CEB7E30}"/>
    <cellStyle name="Migliaia 45 3 2 5 2" xfId="34226" xr:uid="{BD865915-67B4-47A1-87E7-EED370C70361}"/>
    <cellStyle name="Migliaia 45 3 2 5 2 2" xfId="39793" xr:uid="{CD5EC84E-199E-4237-8FFC-5A60B422338B}"/>
    <cellStyle name="Migliaia 45 3 2 5 2 3" xfId="45095" xr:uid="{A982714C-0330-403C-B971-403E24E534F0}"/>
    <cellStyle name="Migliaia 45 3 2 5 3" xfId="37184" xr:uid="{FA8B1FD2-938D-4606-BADE-6E55ADCC80E8}"/>
    <cellStyle name="Migliaia 45 3 2 5 4" xfId="42444" xr:uid="{45479597-B476-4503-B950-14BD13F2AD06}"/>
    <cellStyle name="Migliaia 45 3 2 5 5" xfId="17309" xr:uid="{D5431EA5-6D96-4EB3-B89A-A2187CAC599E}"/>
    <cellStyle name="Migliaia 45 3 2 6" xfId="20718" xr:uid="{2C07C621-B629-4150-AF21-FB2F1ACD43CE}"/>
    <cellStyle name="Migliaia 45 3 2 6 2" xfId="34227" xr:uid="{4D50E917-6BB8-46AC-8FC6-1E1767D0958D}"/>
    <cellStyle name="Migliaia 45 3 2 6 2 2" xfId="39794" xr:uid="{88EC071B-3313-418B-BE4F-A728D1361C9A}"/>
    <cellStyle name="Migliaia 45 3 2 6 2 3" xfId="45096" xr:uid="{732E0E18-D6F6-40E1-B676-E08CF5128C0C}"/>
    <cellStyle name="Migliaia 45 3 2 6 3" xfId="37185" xr:uid="{BDFE6CF7-57E0-4ED8-9010-8EE3DC639FBC}"/>
    <cellStyle name="Migliaia 45 3 2 6 4" xfId="42445" xr:uid="{8C94AA93-7FA7-4EA3-90DA-89C926B27823}"/>
    <cellStyle name="Migliaia 45 3 2 6 5" xfId="25120" xr:uid="{C844152D-5A23-4521-BDDE-FF9D22C735F4}"/>
    <cellStyle name="Migliaia 45 3 2 7" xfId="25116" xr:uid="{C9E3B218-F3BC-4C2B-857B-104E0A6045F7}"/>
    <cellStyle name="Migliaia 45 3 2 8" xfId="7527" xr:uid="{EE6DA81A-8722-4504-B4AB-886D949F2706}"/>
    <cellStyle name="Migliaia 45 3 3" xfId="3735" xr:uid="{87AB3AED-A4E9-4E5B-B820-C06F19DC3C20}"/>
    <cellStyle name="Migliaia 45 3 3 10" xfId="7526" xr:uid="{C3A8D475-EC34-4C9A-8B72-A2F8F46E13EB}"/>
    <cellStyle name="Migliaia 45 3 3 2" xfId="5461" xr:uid="{BE2787CE-5D37-4F48-BF6E-6A3F2FA3B8C7}"/>
    <cellStyle name="Migliaia 45 3 3 2 2" xfId="9960" xr:uid="{370D1BA4-91A5-49EE-806E-06C82B7F49B5}"/>
    <cellStyle name="Migliaia 45 3 3 2 2 2" xfId="39796" xr:uid="{1E36631D-7A8D-4653-812E-693E70877CAD}"/>
    <cellStyle name="Migliaia 45 3 3 2 2 3" xfId="45098" xr:uid="{25004DCE-2130-4765-83B3-BA223757ED12}"/>
    <cellStyle name="Migliaia 45 3 3 2 3" xfId="18240" xr:uid="{1B2A1D8D-357F-4397-B690-58A23B753C91}"/>
    <cellStyle name="Migliaia 45 3 3 2 4" xfId="20722" xr:uid="{527F6B9E-CD44-4F50-AFBE-D0FD321A6701}"/>
    <cellStyle name="Migliaia 45 3 3 2 4 2" xfId="42447" xr:uid="{C8DB6842-5EB0-4F33-9CE4-296140E5E289}"/>
    <cellStyle name="Migliaia 45 3 3 2 5" xfId="16625" xr:uid="{AFBD6098-2DB4-454C-BC24-F520093E31C1}"/>
    <cellStyle name="Migliaia 45 3 3 2 6" xfId="8716" xr:uid="{43DDEFDC-EDB1-4DB6-ADFF-845AA479F2E9}"/>
    <cellStyle name="Migliaia 45 3 3 3" xfId="6646" xr:uid="{B02DDF3B-00CC-4AC4-89C8-881B11D9C2EA}"/>
    <cellStyle name="Migliaia 45 3 3 3 2" xfId="34230" xr:uid="{D506240B-4182-40C1-8D60-521C3B7EC536}"/>
    <cellStyle name="Migliaia 45 3 3 3 2 2" xfId="39797" xr:uid="{B48FF1CA-423F-45F9-8979-3EDE3EC7FF6C}"/>
    <cellStyle name="Migliaia 45 3 3 3 2 3" xfId="45099" xr:uid="{1CD7F514-5C69-4396-853A-71B23A622061}"/>
    <cellStyle name="Migliaia 45 3 3 3 3" xfId="37188" xr:uid="{4036BA9C-1D3C-4499-B72A-F96EDC35D993}"/>
    <cellStyle name="Migliaia 45 3 3 3 4" xfId="42448" xr:uid="{62EDE648-8CD7-45D9-9FA3-75158CC442CF}"/>
    <cellStyle name="Migliaia 45 3 3 3 5" xfId="9723" xr:uid="{29EE7561-AEF8-451B-95A0-1F0EC79D1108}"/>
    <cellStyle name="Migliaia 45 3 3 4" xfId="20721" xr:uid="{220CEF73-65B9-4926-8433-BB17EE2A5DB1}"/>
    <cellStyle name="Migliaia 45 3 3 4 2" xfId="34231" xr:uid="{1C0FC007-6358-4FF9-8E5A-C8912B1A44C5}"/>
    <cellStyle name="Migliaia 45 3 3 4 2 2" xfId="39798" xr:uid="{E4E761C2-3D7B-42EE-9619-1108B806A28D}"/>
    <cellStyle name="Migliaia 45 3 3 4 2 3" xfId="45100" xr:uid="{A1793CD0-3EBD-46D7-9C1D-9B37CB2E3FCE}"/>
    <cellStyle name="Migliaia 45 3 3 4 3" xfId="37189" xr:uid="{B3AC9461-F74D-427B-8E48-2A75F2AA96D7}"/>
    <cellStyle name="Migliaia 45 3 3 4 4" xfId="42449" xr:uid="{183D56B0-14C8-4D39-A038-61C7C6611B72}"/>
    <cellStyle name="Migliaia 45 3 3 4 5" xfId="25121" xr:uid="{D22ECC61-323D-47A7-A26F-E590DCCF7322}"/>
    <cellStyle name="Migliaia 45 3 3 5" xfId="25122" xr:uid="{17AC6C59-B62D-4519-8327-C06EE0BE1AC6}"/>
    <cellStyle name="Migliaia 45 3 3 5 2" xfId="34232" xr:uid="{2CCC7965-98D0-41E0-B759-8111F0475038}"/>
    <cellStyle name="Migliaia 45 3 3 5 2 2" xfId="39799" xr:uid="{CE40BB23-3F9A-4922-93DA-B306D0F01005}"/>
    <cellStyle name="Migliaia 45 3 3 5 2 3" xfId="45101" xr:uid="{595A97F4-BA19-4AA8-A0A5-D4ADB0DEFD89}"/>
    <cellStyle name="Migliaia 45 3 3 5 3" xfId="37190" xr:uid="{C227CAF4-532A-4744-ABED-62E20761185B}"/>
    <cellStyle name="Migliaia 45 3 3 5 4" xfId="42450" xr:uid="{B2E646E1-D116-47DB-BD33-EA91D1180400}"/>
    <cellStyle name="Migliaia 45 3 3 6" xfId="34228" xr:uid="{1CCA2A4A-EAF0-4D14-AC40-893D980DDF98}"/>
    <cellStyle name="Migliaia 45 3 3 6 2" xfId="39795" xr:uid="{CB95168F-B420-4781-87C1-8BD5EEF128AB}"/>
    <cellStyle name="Migliaia 45 3 3 6 3" xfId="45097" xr:uid="{88AF4CE3-0680-4A76-BCC9-D3816B7ADDCE}"/>
    <cellStyle name="Migliaia 45 3 3 7" xfId="37186" xr:uid="{A4D690D1-66E7-43CE-A794-787AEF26B2AF}"/>
    <cellStyle name="Migliaia 45 3 3 8" xfId="42446" xr:uid="{A5AFAEE1-1654-4AF9-BEB4-B0A11B2C3DF6}"/>
    <cellStyle name="Migliaia 45 3 3 9" xfId="16624" xr:uid="{93F7703D-87DE-401D-ADCA-D9167170E828}"/>
    <cellStyle name="Migliaia 45 3 4" xfId="3736" xr:uid="{C0D1102E-0BD9-4CE7-9214-A63F183C73DD}"/>
    <cellStyle name="Migliaia 45 3 4 2" xfId="5462" xr:uid="{67491AEB-0A8E-4CAC-B321-FE81104E4818}"/>
    <cellStyle name="Migliaia 45 3 4 2 2" xfId="14462" xr:uid="{07A70A63-9CE1-450C-8482-542396D692F5}"/>
    <cellStyle name="Migliaia 45 3 4 2 3" xfId="18579" xr:uid="{CF2D1954-54F6-44E8-AAB6-167232A8FF1D}"/>
    <cellStyle name="Migliaia 45 3 4 2 4" xfId="20724" xr:uid="{3A8C5123-E8B6-4252-A10E-E3C67BE00FBE}"/>
    <cellStyle name="Migliaia 45 3 4 2 5" xfId="32435" xr:uid="{E6B9A436-5E31-4599-96A1-B80B28E4F37C}"/>
    <cellStyle name="Migliaia 45 3 4 2 6" xfId="16627" xr:uid="{F7469200-191A-4AE0-8B5A-A933F4974C66}"/>
    <cellStyle name="Migliaia 45 3 4 2 7" xfId="8885" xr:uid="{9B504185-4EF7-4547-B561-75B7BF979D58}"/>
    <cellStyle name="Migliaia 45 3 4 3" xfId="6647" xr:uid="{FF84C7C2-1871-447F-82B4-CADC2FF2D9CC}"/>
    <cellStyle name="Migliaia 45 3 4 3 2" xfId="35398" xr:uid="{4A0546EB-8DD4-42BA-9BD4-025677F7515A}"/>
    <cellStyle name="Migliaia 45 3 4 3 2 2" xfId="40558" xr:uid="{54C191E3-AF16-402E-8619-F0BCBA036867}"/>
    <cellStyle name="Migliaia 45 3 4 3 2 3" xfId="45860" xr:uid="{3ECA2AC2-3135-490F-A75D-FEBCE9D0A33B}"/>
    <cellStyle name="Migliaia 45 3 4 3 3" xfId="37907" xr:uid="{4E846CE6-8551-4E18-8AC9-2AC339803851}"/>
    <cellStyle name="Migliaia 45 3 4 3 4" xfId="43209" xr:uid="{2DC1DA25-6AD2-497C-BA2D-07ACD26AEF08}"/>
    <cellStyle name="Migliaia 45 3 4 3 5" xfId="13710" xr:uid="{09FD28DC-2A05-4EB2-9007-2807D9B8CF32}"/>
    <cellStyle name="Migliaia 45 3 4 4" xfId="20723" xr:uid="{80A2AD85-1A95-483F-8BB9-636672214D05}"/>
    <cellStyle name="Migliaia 45 3 4 4 2" xfId="39800" xr:uid="{8FDBE668-837D-4B0F-9219-2D7CCE3BA6E6}"/>
    <cellStyle name="Migliaia 45 3 4 4 3" xfId="45102" xr:uid="{C9074BF0-46E8-42B3-BB2F-D94CE449842A}"/>
    <cellStyle name="Migliaia 45 3 4 4 4" xfId="34233" xr:uid="{9403D04B-7108-4AC9-8221-C04F370F2AC1}"/>
    <cellStyle name="Migliaia 45 3 4 5" xfId="37191" xr:uid="{9FE0DB7D-7594-4E54-9C21-FC0FBF926DFD}"/>
    <cellStyle name="Migliaia 45 3 4 6" xfId="42451" xr:uid="{087AC798-F38D-45FA-8E04-3431665DB04D}"/>
    <cellStyle name="Migliaia 45 3 4 7" xfId="16626" xr:uid="{C6DBFE85-BCB9-44D8-B2FA-157526ACC819}"/>
    <cellStyle name="Migliaia 45 3 4 8" xfId="7695" xr:uid="{7740A718-6D75-4A15-9265-FB71B1F6901F}"/>
    <cellStyle name="Migliaia 45 3 5" xfId="3737" xr:uid="{8DCC063F-A2FC-4C0B-A9EE-9A42D165D1A7}"/>
    <cellStyle name="Migliaia 45 3 5 2" xfId="5463" xr:uid="{2E9A93E2-1CD2-4A38-B17B-4D42818A8DF9}"/>
    <cellStyle name="Migliaia 45 3 5 2 2" xfId="35399" xr:uid="{11E4E4C9-39D4-497F-B04A-2647AA65E566}"/>
    <cellStyle name="Migliaia 45 3 5 2 2 2" xfId="40559" xr:uid="{F13970E0-54DF-4A5F-9912-DFF877B5E2D7}"/>
    <cellStyle name="Migliaia 45 3 5 2 2 3" xfId="45861" xr:uid="{13481850-DACC-4F8B-9D4B-38E86BA86B65}"/>
    <cellStyle name="Migliaia 45 3 5 2 3" xfId="37908" xr:uid="{6EAE9652-58B3-4EE7-BDD1-F3055BAD608A}"/>
    <cellStyle name="Migliaia 45 3 5 2 4" xfId="43210" xr:uid="{E5405B0B-297D-455F-A6A1-4B5ED33759F3}"/>
    <cellStyle name="Migliaia 45 3 5 2 5" xfId="14298" xr:uid="{A696BB32-C558-4A0D-B1D2-B7A781A64A2E}"/>
    <cellStyle name="Migliaia 45 3 5 3" xfId="6648" xr:uid="{986F262D-8A60-48A5-8FF9-35A6173712D1}"/>
    <cellStyle name="Migliaia 45 3 5 3 2" xfId="39801" xr:uid="{E04CEBE5-0BDD-443A-BB74-69B29B11981E}"/>
    <cellStyle name="Migliaia 45 3 5 3 3" xfId="45103" xr:uid="{EB04BDEE-3328-4D86-AD5F-FAB64598D4EA}"/>
    <cellStyle name="Migliaia 45 3 5 3 4" xfId="34234" xr:uid="{15F6D9FB-542C-4785-980C-D1231BA9CB67}"/>
    <cellStyle name="Migliaia 45 3 5 3 5" xfId="20725" xr:uid="{44337DCD-1872-4B5B-BAEC-45400155B04B}"/>
    <cellStyle name="Migliaia 45 3 5 4" xfId="37192" xr:uid="{E5A441FC-180A-4FBA-8183-6B85F1C9B150}"/>
    <cellStyle name="Migliaia 45 3 5 5" xfId="42452" xr:uid="{90EDA9A5-7FCC-4AA3-ACAC-4C89340A100C}"/>
    <cellStyle name="Migliaia 45 3 5 6" xfId="16628" xr:uid="{C92159C3-D759-4B42-9BFE-8B50A7D11C69}"/>
    <cellStyle name="Migliaia 45 3 5 7" xfId="8360" xr:uid="{D0FCD5A2-C945-4F85-973B-5E1C55D46A3E}"/>
    <cellStyle name="Migliaia 45 3 6" xfId="5458" xr:uid="{E17BC920-A66D-4798-8763-18F7574402A1}"/>
    <cellStyle name="Migliaia 45 3 6 2" xfId="14003" xr:uid="{6021065D-7D9C-4620-B2B2-582AA8C28810}"/>
    <cellStyle name="Migliaia 45 3 6 2 2" xfId="39802" xr:uid="{45ECA847-875F-4918-8D91-1453B6BFB5C9}"/>
    <cellStyle name="Migliaia 45 3 6 2 3" xfId="45104" xr:uid="{ADDD94E0-456C-4678-8EBE-7B30525D8431}"/>
    <cellStyle name="Migliaia 45 3 6 3" xfId="18291" xr:uid="{D3BC4769-B187-4CB5-9EED-486164EA856C}"/>
    <cellStyle name="Migliaia 45 3 6 4" xfId="20726" xr:uid="{06739DEE-2482-4D2A-BC3C-683344AC9DE5}"/>
    <cellStyle name="Migliaia 45 3 6 4 2" xfId="42453" xr:uid="{E5D380B8-45FD-4477-9096-01FB562C3CF6}"/>
    <cellStyle name="Migliaia 45 3 6 5" xfId="16629" xr:uid="{F2200DE4-4047-4F5D-BAC7-C993A4F3D046}"/>
    <cellStyle name="Migliaia 45 3 6 6" xfId="7980" xr:uid="{2CE726F2-1110-4472-A5B8-252F9686163B}"/>
    <cellStyle name="Migliaia 45 3 7" xfId="6643" xr:uid="{EDCFE344-C2AD-4359-8EA1-DD7858ED757D}"/>
    <cellStyle name="Migliaia 45 3 7 2" xfId="34236" xr:uid="{A97D94E5-3560-459B-B368-199F0881643A}"/>
    <cellStyle name="Migliaia 45 3 7 2 2" xfId="39803" xr:uid="{A7AFB845-FC90-4BF2-A723-B0568AFA8175}"/>
    <cellStyle name="Migliaia 45 3 7 2 3" xfId="45105" xr:uid="{01109F6C-6B6F-456F-BE98-91665EDC0A8B}"/>
    <cellStyle name="Migliaia 45 3 7 3" xfId="37194" xr:uid="{3051F8B2-CAE1-43BC-B2B5-9425BE32336B}"/>
    <cellStyle name="Migliaia 45 3 7 4" xfId="42454" xr:uid="{9E062EB0-D5E1-438C-8C5E-FF225FDE2DCD}"/>
    <cellStyle name="Migliaia 45 3 7 5" xfId="11518" xr:uid="{44AED69B-5CA7-43C5-A9B1-0FC4A5649A0B}"/>
    <cellStyle name="Migliaia 45 3 8" xfId="3732" xr:uid="{3ABBACF6-F343-4BE6-8D60-6B581AED1DA7}"/>
    <cellStyle name="Migliaia 45 3 8 2" xfId="34237" xr:uid="{86D220F4-7689-4FA7-A447-718831632FAD}"/>
    <cellStyle name="Migliaia 45 3 8 2 2" xfId="39804" xr:uid="{365BF8C8-1C69-4413-B005-CE7EEFDAF94B}"/>
    <cellStyle name="Migliaia 45 3 8 2 3" xfId="45106" xr:uid="{D9981C0E-260B-4F1D-8D0E-EFEB5E6374B7}"/>
    <cellStyle name="Migliaia 45 3 8 3" xfId="37195" xr:uid="{A7A6D12F-876C-4AA3-B2CD-4C3371EDAE9C}"/>
    <cellStyle name="Migliaia 45 3 8 4" xfId="42455" xr:uid="{6CFB2E0F-2522-40F7-9BCD-95347DAFF07B}"/>
    <cellStyle name="Migliaia 45 3 8 5" xfId="25126" xr:uid="{2C9CF865-45F8-440C-AAD7-648039249D3C}"/>
    <cellStyle name="Migliaia 45 3 8 6" xfId="17310" xr:uid="{2BB9AE42-8220-47A9-81E7-BD455D6E6052}"/>
    <cellStyle name="Migliaia 45 3 9" xfId="20717" xr:uid="{2EC4ADD8-6F2B-43DB-A984-951F5636CA73}"/>
    <cellStyle name="Migliaia 45 4" xfId="1853" xr:uid="{00000000-0005-0000-0000-000024040000}"/>
    <cellStyle name="Migliaia 45 4 2" xfId="1854" xr:uid="{00000000-0005-0000-0000-000025040000}"/>
    <cellStyle name="Migliaia 45 4 2 2" xfId="5465" xr:uid="{A19FA925-73A8-4C77-836B-9ECD9943A7E9}"/>
    <cellStyle name="Migliaia 45 4 2 2 2" xfId="34238" xr:uid="{9922C7FC-36B1-4D7E-A50C-0947E45CB67B}"/>
    <cellStyle name="Migliaia 45 4 2 2 2 2" xfId="39805" xr:uid="{AFDCE943-1BC6-46C0-B42A-B9A3749F3492}"/>
    <cellStyle name="Migliaia 45 4 2 2 2 3" xfId="45107" xr:uid="{0DA012CE-2746-4FAD-BC5C-23CB05251E07}"/>
    <cellStyle name="Migliaia 45 4 2 2 3" xfId="37196" xr:uid="{070DC943-9F9A-4906-AFA0-08AF4244ADC8}"/>
    <cellStyle name="Migliaia 45 4 2 2 4" xfId="42456" xr:uid="{7C2FC211-A0D4-409C-A400-FB9DC28B4129}"/>
    <cellStyle name="Migliaia 45 4 2 2 5" xfId="9186" xr:uid="{669179BA-AF99-435C-8924-715750F91B39}"/>
    <cellStyle name="Migliaia 45 4 2 3" xfId="3739" xr:uid="{3A0F199E-214D-483B-A13E-5237C9BF53AD}"/>
    <cellStyle name="Migliaia 45 4 2 3 2" xfId="34239" xr:uid="{9055B643-DDD6-411C-9D6E-2FF2229BA8E1}"/>
    <cellStyle name="Migliaia 45 4 2 3 2 2" xfId="39806" xr:uid="{3CE6E19F-842E-4249-852C-F128CBE2874D}"/>
    <cellStyle name="Migliaia 45 4 2 3 2 3" xfId="45108" xr:uid="{ADF72078-63DD-4DAA-941E-C7636BBAA870}"/>
    <cellStyle name="Migliaia 45 4 2 3 3" xfId="37197" xr:uid="{992D6750-50EA-4AD8-93D6-D21841F6609A}"/>
    <cellStyle name="Migliaia 45 4 2 3 4" xfId="42457" xr:uid="{A01751A2-6151-4A56-ACC8-EA23323C69EA}"/>
    <cellStyle name="Migliaia 45 4 2 3 5" xfId="12045" xr:uid="{646792A6-1453-44AB-9C82-50DDA7853468}"/>
    <cellStyle name="Migliaia 45 4 2 4" xfId="11394" xr:uid="{A756B019-A0F4-4F8A-A66C-8A6D0128027B}"/>
    <cellStyle name="Migliaia 45 4 2 5" xfId="10931" xr:uid="{9FA1084A-63EB-4A27-8C5A-35978753A358}"/>
    <cellStyle name="Migliaia 45 4 2 5 2" xfId="21566" xr:uid="{B5EE4CB3-B6B7-4D2E-B6CF-6CAB1009B4D6}"/>
    <cellStyle name="Migliaia 45 4 2 5 3" xfId="47119" xr:uid="{5B32A75B-CB38-4213-8531-7743659AAC1A}"/>
    <cellStyle name="Migliaia 45 4 2 5 4" xfId="50581" xr:uid="{30397D28-E6C3-442F-B85B-6C46EDD8D4FA}"/>
    <cellStyle name="Migliaia 45 4 2 5 5" xfId="53597" xr:uid="{3C4C63A2-AEDA-4A2A-99AA-5E46066E204D}"/>
    <cellStyle name="Migliaia 45 4 2 6" xfId="20728" xr:uid="{EFD4A683-1A47-4DCA-924B-63C131CA62E9}"/>
    <cellStyle name="Migliaia 45 4 2 7" xfId="25128" xr:uid="{C2A6E085-ED68-4457-9295-796D23894D75}"/>
    <cellStyle name="Migliaia 45 4 2 8" xfId="8718" xr:uid="{C4ED253F-9DDB-48CC-B7A0-492B5755B51D}"/>
    <cellStyle name="Migliaia 45 4 3" xfId="5464" xr:uid="{A6D791CB-7226-4EBC-9337-25A7E4AE20FE}"/>
    <cellStyle name="Migliaia 45 4 3 2" xfId="18241" xr:uid="{3CBE9B00-3265-46C0-9475-430FF9AAE1DF}"/>
    <cellStyle name="Migliaia 45 4 3 2 2" xfId="39807" xr:uid="{609C0E27-9C4F-4905-B3B3-8B131F5D1096}"/>
    <cellStyle name="Migliaia 45 4 3 2 3" xfId="45109" xr:uid="{F1DA4B02-0C8C-4188-BCAA-19BB46A070A2}"/>
    <cellStyle name="Migliaia 45 4 3 3" xfId="37198" xr:uid="{DD954A36-78C4-46E3-A32D-128D76A8401D}"/>
    <cellStyle name="Migliaia 45 4 3 4" xfId="42458" xr:uid="{3B3535F4-CC5B-4CEA-AB05-82A1C28D9295}"/>
    <cellStyle name="Migliaia 45 4 3 5" xfId="17308" xr:uid="{F0FD3884-949A-45BF-9CEB-D4FDE51C7FBD}"/>
    <cellStyle name="Migliaia 45 4 3 6" xfId="9187" xr:uid="{ADFE7A5D-F744-4120-8F20-53C973EB86C7}"/>
    <cellStyle name="Migliaia 45 4 4" xfId="6649" xr:uid="{F803B11A-A649-49DF-8393-D44AC82BF769}"/>
    <cellStyle name="Migliaia 45 4 4 2" xfId="34240" xr:uid="{B1E8774A-8EDD-4C14-A527-C2B2E983DF4A}"/>
    <cellStyle name="Migliaia 45 4 4 2 2" xfId="39808" xr:uid="{B67CD498-5783-48F6-A753-748800C542FC}"/>
    <cellStyle name="Migliaia 45 4 4 2 3" xfId="45110" xr:uid="{54278422-80AD-4B1F-9DA1-A6A202DC4B90}"/>
    <cellStyle name="Migliaia 45 4 4 3" xfId="37199" xr:uid="{F5EAC6FA-E683-41C6-89E3-1EE509B22936}"/>
    <cellStyle name="Migliaia 45 4 4 4" xfId="42459" xr:uid="{1772222B-4FAC-4805-B8EA-251E70231A57}"/>
    <cellStyle name="Migliaia 45 4 4 5" xfId="12046" xr:uid="{6C191470-67FD-4144-AA34-18C0810297BF}"/>
    <cellStyle name="Migliaia 45 4 5" xfId="3738" xr:uid="{977BDE80-8F24-404B-BC20-4854FC8F22FB}"/>
    <cellStyle name="Migliaia 45 4 5 2" xfId="34241" xr:uid="{D3BC4D75-318C-4B47-8D38-4C77150DC94B}"/>
    <cellStyle name="Migliaia 45 4 5 2 2" xfId="39809" xr:uid="{C62BB664-E7FA-49A6-A0EA-9D91E498C456}"/>
    <cellStyle name="Migliaia 45 4 5 2 3" xfId="45111" xr:uid="{F26903B0-0DAA-4351-83CF-1D9BC9CEAB4D}"/>
    <cellStyle name="Migliaia 45 4 5 3" xfId="37200" xr:uid="{AB75E32A-8AC9-43F1-B469-C0AFE4A660BE}"/>
    <cellStyle name="Migliaia 45 4 5 4" xfId="42460" xr:uid="{59F773AD-54AB-44F3-BD10-6216BA6D2FB8}"/>
    <cellStyle name="Migliaia 45 4 5 5" xfId="11393" xr:uid="{EA5B949C-3AFF-4F09-B27A-8FB1B35AAFFE}"/>
    <cellStyle name="Migliaia 45 4 6" xfId="10930" xr:uid="{ECA5175E-36B6-469E-B17D-FBB033370444}"/>
    <cellStyle name="Migliaia 45 4 6 2" xfId="21565" xr:uid="{D20ABC73-D830-4437-AC44-631680AD2184}"/>
    <cellStyle name="Migliaia 45 4 6 2 2" xfId="39810" xr:uid="{FD0B24B5-8AE3-493F-9B8C-93617BFE75E7}"/>
    <cellStyle name="Migliaia 45 4 6 2 3" xfId="45112" xr:uid="{5C799CFC-070E-4B70-A0A0-92422B158E36}"/>
    <cellStyle name="Migliaia 45 4 6 2 4" xfId="34242" xr:uid="{99C975A1-E9BB-4A70-87A8-006285057A53}"/>
    <cellStyle name="Migliaia 45 4 6 3" xfId="37201" xr:uid="{510D5132-5DE4-4743-A6DE-97443A6D33D0}"/>
    <cellStyle name="Migliaia 45 4 6 4" xfId="42461" xr:uid="{52879D29-F391-489F-A7FA-7C16B656544E}"/>
    <cellStyle name="Migliaia 45 4 6 5" xfId="25132" xr:uid="{72C93969-0471-44E8-B5AC-3944390DA003}"/>
    <cellStyle name="Migliaia 45 4 6 6" xfId="48477" xr:uid="{6C2D15E5-D4C5-4280-AD9F-D0545A5DA43A}"/>
    <cellStyle name="Migliaia 45 4 6 7" xfId="50580" xr:uid="{EDCE24FC-706F-4315-A314-170E78913FD7}"/>
    <cellStyle name="Migliaia 45 4 6 8" xfId="53596" xr:uid="{D7812963-357A-498D-9087-0ECE2E8AF4CA}"/>
    <cellStyle name="Migliaia 45 4 7" xfId="20727" xr:uid="{0635AA40-7DAD-4F32-822C-B1DAA33EEE99}"/>
    <cellStyle name="Migliaia 45 4 7 2" xfId="34243" xr:uid="{5328FDA5-1675-48CE-8ADC-8EBB027A44E9}"/>
    <cellStyle name="Migliaia 45 4 7 2 2" xfId="39811" xr:uid="{7B21CE7C-5F89-4FAA-9B36-773A0163F7A4}"/>
    <cellStyle name="Migliaia 45 4 7 2 3" xfId="45113" xr:uid="{1C456E24-2C0C-4E72-853B-8FD601F4CEDE}"/>
    <cellStyle name="Migliaia 45 4 7 3" xfId="37202" xr:uid="{DE330603-0993-4703-989B-63CE8F3919DA}"/>
    <cellStyle name="Migliaia 45 4 7 4" xfId="42462" xr:uid="{8B923D09-89D6-475A-B54F-5BD4BB1B621A}"/>
    <cellStyle name="Migliaia 45 4 7 5" xfId="25133" xr:uid="{363242D6-9524-4CB7-92A4-38AC4E3D8358}"/>
    <cellStyle name="Migliaia 45 4 8" xfId="25127" xr:uid="{ECE7054D-1CB0-469D-AC04-81DF1D769DEF}"/>
    <cellStyle name="Migliaia 45 4 9" xfId="7528" xr:uid="{93293FDD-7888-4174-9720-D4F524FED94B}"/>
    <cellStyle name="Migliaia 45 5" xfId="1855" xr:uid="{00000000-0005-0000-0000-000026040000}"/>
    <cellStyle name="Migliaia 45 5 2" xfId="5466" xr:uid="{9406E960-03A3-4D04-BAF5-C29F5A07AE7F}"/>
    <cellStyle name="Migliaia 45 5 2 2" xfId="18481" xr:uid="{50E4E1C1-4CB0-43C8-ADB6-919873A76FCB}"/>
    <cellStyle name="Migliaia 45 5 2 2 2" xfId="39812" xr:uid="{0F99C936-2C0F-4978-946F-0DB3578C7985}"/>
    <cellStyle name="Migliaia 45 5 2 2 3" xfId="45114" xr:uid="{D49C5E82-C161-4B7E-83DA-9D0744A2BAD4}"/>
    <cellStyle name="Migliaia 45 5 2 3" xfId="20730" xr:uid="{9BA2E7B1-B9F9-4938-A45B-34264E2D1D1D}"/>
    <cellStyle name="Migliaia 45 5 2 3 2" xfId="37203" xr:uid="{EFFEF3FE-C4C2-4B9E-A1DC-59B514EF4F57}"/>
    <cellStyle name="Migliaia 45 5 2 4" xfId="42463" xr:uid="{F15990F6-C78B-4177-B5E4-D83D675A9726}"/>
    <cellStyle name="Migliaia 45 5 2 5" xfId="16630" xr:uid="{8EB14286-09B5-4DE8-8A54-4B15C3B8B27F}"/>
    <cellStyle name="Migliaia 45 5 2 6" xfId="8719" xr:uid="{834C45BD-6A96-45F3-A8BA-527D1761C02D}"/>
    <cellStyle name="Migliaia 45 5 3" xfId="6650" xr:uid="{7CFB10BC-54DA-4BB7-BD88-0033A14A8EAB}"/>
    <cellStyle name="Migliaia 45 5 3 2" xfId="34244" xr:uid="{CFE3165E-0241-45C1-A5A0-D6B67282F87D}"/>
    <cellStyle name="Migliaia 45 5 3 2 2" xfId="39813" xr:uid="{AAE948AB-8A77-45EB-B542-1439AB30A713}"/>
    <cellStyle name="Migliaia 45 5 3 2 3" xfId="45115" xr:uid="{496374FD-5DC1-44EA-8539-BD3724727451}"/>
    <cellStyle name="Migliaia 45 5 3 3" xfId="37204" xr:uid="{EE4E39DE-01E9-4374-A57F-573E254A4735}"/>
    <cellStyle name="Migliaia 45 5 3 4" xfId="42464" xr:uid="{37311EBA-0138-49BD-98B7-B8B92DF70D2D}"/>
    <cellStyle name="Migliaia 45 5 3 5" xfId="11395" xr:uid="{E8EEC1EF-9DAE-4726-AA3A-5FF97A5F21E5}"/>
    <cellStyle name="Migliaia 45 5 4" xfId="3740" xr:uid="{4329E875-D24C-488F-BFF9-C28865C5A93F}"/>
    <cellStyle name="Migliaia 45 5 4 2" xfId="21567" xr:uid="{C2CF2829-467E-4826-ACEC-837C6514E10D}"/>
    <cellStyle name="Migliaia 45 5 4 2 2" xfId="39814" xr:uid="{1371714C-D032-4DFF-90FF-0ED9FEC34B63}"/>
    <cellStyle name="Migliaia 45 5 4 2 3" xfId="45116" xr:uid="{BEF4DB5F-9B42-4860-99B5-2482EFA271B6}"/>
    <cellStyle name="Migliaia 45 5 4 2 4" xfId="34245" xr:uid="{2A57DE87-AE46-47B3-BA01-DF8726E7BE3B}"/>
    <cellStyle name="Migliaia 45 5 4 3" xfId="37205" xr:uid="{6493A185-B332-423E-8E72-460D3B010AFF}"/>
    <cellStyle name="Migliaia 45 5 4 4" xfId="42465" xr:uid="{CD8991CD-564C-4A59-802C-62C28FBB77F8}"/>
    <cellStyle name="Migliaia 45 5 4 5" xfId="25135" xr:uid="{04EA2A00-7D43-4B7D-B1FB-FCDA67692C44}"/>
    <cellStyle name="Migliaia 45 5 4 6" xfId="47426" xr:uid="{17CD3F9F-8559-4D71-9764-383A65703F1D}"/>
    <cellStyle name="Migliaia 45 5 4 7" xfId="50582" xr:uid="{B7E6DFFC-67A0-4058-80DE-9C108D91C191}"/>
    <cellStyle name="Migliaia 45 5 4 8" xfId="53598" xr:uid="{C3E462EA-DEAC-4D73-A496-BE3A813FEB9C}"/>
    <cellStyle name="Migliaia 45 5 4 9" xfId="10932" xr:uid="{70263C65-D144-4BEB-8DC6-F8FE7BAAB7F9}"/>
    <cellStyle name="Migliaia 45 5 5" xfId="20729" xr:uid="{C8EEC835-BE01-4C6B-AE47-1584369023B6}"/>
    <cellStyle name="Migliaia 45 5 5 2" xfId="34246" xr:uid="{F21CF628-A94C-4CFA-9872-C8BB9ADAEA1D}"/>
    <cellStyle name="Migliaia 45 5 5 2 2" xfId="39815" xr:uid="{AC9CDFB8-B764-4500-BD48-4561685604C2}"/>
    <cellStyle name="Migliaia 45 5 5 2 3" xfId="45117" xr:uid="{2D7953B6-ACC5-4050-B594-6CAD8E3B7B5F}"/>
    <cellStyle name="Migliaia 45 5 5 3" xfId="37206" xr:uid="{79B47CCE-6835-4BC0-9FBC-18ADB5DE7C15}"/>
    <cellStyle name="Migliaia 45 5 5 4" xfId="42466" xr:uid="{8E76CBCD-5662-416B-8574-3EE0D9591602}"/>
    <cellStyle name="Migliaia 45 5 5 5" xfId="25136" xr:uid="{92EE93E7-E03E-49D0-8A4B-D56F4B652F1F}"/>
    <cellStyle name="Migliaia 45 5 6" xfId="25137" xr:uid="{EDC7E65F-B3B8-49AB-9D2E-9EB11FCC61D2}"/>
    <cellStyle name="Migliaia 45 5 6 2" xfId="34247" xr:uid="{6B45AA86-7B35-4D43-B6FE-B1CD2D60387F}"/>
    <cellStyle name="Migliaia 45 5 6 2 2" xfId="39816" xr:uid="{1C402B77-F0C9-4CA0-B3F0-3B1B05D21735}"/>
    <cellStyle name="Migliaia 45 5 6 2 3" xfId="45118" xr:uid="{B34B63AE-5CC1-4D3E-AF28-2AB045BBF2DE}"/>
    <cellStyle name="Migliaia 45 5 6 3" xfId="37207" xr:uid="{B39B5CA9-482B-49CA-BC2A-63BF47354EC6}"/>
    <cellStyle name="Migliaia 45 5 6 4" xfId="42467" xr:uid="{7F76569F-49BE-439B-87F0-E3D11D101BF5}"/>
    <cellStyle name="Migliaia 45 5 7" xfId="25134" xr:uid="{921C0C15-B184-4209-A8AB-5B3BF9784498}"/>
    <cellStyle name="Migliaia 45 5 8" xfId="7529" xr:uid="{BE3AAF14-0C64-4D07-8B97-F8E5C99E81BC}"/>
    <cellStyle name="Migliaia 45 6" xfId="3741" xr:uid="{450938BB-9F5A-4E2C-A7C4-7181921BC508}"/>
    <cellStyle name="Migliaia 45 6 2" xfId="5467" xr:uid="{33C47DBF-1611-418E-A7A9-A0BDE21937DA}"/>
    <cellStyle name="Migliaia 45 6 2 2" xfId="9959" xr:uid="{D822049D-E6D0-4EAB-A722-E1BFF588ACB1}"/>
    <cellStyle name="Migliaia 45 6 2 3" xfId="18641" xr:uid="{413D7C8C-EAE4-4F33-BD32-148612B00CC7}"/>
    <cellStyle name="Migliaia 45 6 2 4" xfId="20732" xr:uid="{DEBD9671-ED7B-44CA-AF66-B5EB3B3BD741}"/>
    <cellStyle name="Migliaia 45 6 2 5" xfId="32438" xr:uid="{A396503A-1DD5-4D9E-8C5A-AD3D7149C9C1}"/>
    <cellStyle name="Migliaia 45 6 2 6" xfId="16632" xr:uid="{DED9508C-767B-4E65-B9E4-97024DEABEAE}"/>
    <cellStyle name="Migliaia 45 6 2 7" xfId="8714" xr:uid="{A3418D3A-7E5F-4377-A69A-D0C304366509}"/>
    <cellStyle name="Migliaia 45 6 3" xfId="6651" xr:uid="{55D62B0F-254E-4D2F-8B17-9C019BAA0D82}"/>
    <cellStyle name="Migliaia 45 6 3 2" xfId="35400" xr:uid="{380F3D45-719E-46F9-B14D-B1C7DE389E6D}"/>
    <cellStyle name="Migliaia 45 6 3 2 2" xfId="40560" xr:uid="{6952155B-678D-4BCF-86B7-21D492550AD3}"/>
    <cellStyle name="Migliaia 45 6 3 2 3" xfId="45862" xr:uid="{4ED6700F-A62E-4500-AA0B-8258F8FD946E}"/>
    <cellStyle name="Migliaia 45 6 3 3" xfId="37909" xr:uid="{50C467DB-85D0-4AC3-9F44-1809DBA69D71}"/>
    <cellStyle name="Migliaia 45 6 3 4" xfId="43211" xr:uid="{ED909338-FCBD-4953-BDDA-56EEAFE6E11B}"/>
    <cellStyle name="Migliaia 45 6 3 5" xfId="9722" xr:uid="{54D76FFD-D5E0-42EF-97C4-803BE89CF5A5}"/>
    <cellStyle name="Migliaia 45 6 4" xfId="20731" xr:uid="{E1238E69-932A-447F-BC7B-261DC591BBBF}"/>
    <cellStyle name="Migliaia 45 6 4 2" xfId="39817" xr:uid="{BF2A76B4-01D0-48D5-B0B1-6EE2CF655FBA}"/>
    <cellStyle name="Migliaia 45 6 4 3" xfId="45119" xr:uid="{15144446-C8D9-4918-B63E-9378D7646A25}"/>
    <cellStyle name="Migliaia 45 6 4 4" xfId="34248" xr:uid="{DED34DD1-D5DB-42A4-9B45-5B51485A3094}"/>
    <cellStyle name="Migliaia 45 6 5" xfId="37208" xr:uid="{A5283D05-30AE-4F24-9668-8E7B35840A82}"/>
    <cellStyle name="Migliaia 45 6 6" xfId="42468" xr:uid="{3ADD8D98-7D2D-4A82-818C-8AAF24F1CC99}"/>
    <cellStyle name="Migliaia 45 6 7" xfId="16631" xr:uid="{410C6538-E39D-4768-A063-3526F935C4C7}"/>
    <cellStyle name="Migliaia 45 6 8" xfId="7524" xr:uid="{787BBD76-BB1C-49AD-82F8-10DF6278732D}"/>
    <cellStyle name="Migliaia 45 7" xfId="3742" xr:uid="{9F506B05-3B13-4232-84CB-B1337D50D4BA}"/>
    <cellStyle name="Migliaia 45 7 2" xfId="5468" xr:uid="{066C1883-C6B9-4211-A12B-AC88EAF1B14F}"/>
    <cellStyle name="Migliaia 45 7 2 2" xfId="35401" xr:uid="{2895F71B-240F-4BFC-83B9-9CA6A5244A30}"/>
    <cellStyle name="Migliaia 45 7 2 2 2" xfId="40561" xr:uid="{AAAD7A7E-7ECE-4546-8863-6BAC7DDBD138}"/>
    <cellStyle name="Migliaia 45 7 2 2 3" xfId="45863" xr:uid="{EA49D6D3-BB28-4FAC-BEBA-654E26F28B7B}"/>
    <cellStyle name="Migliaia 45 7 2 3" xfId="37910" xr:uid="{E66BE94B-B34D-49A2-AEA8-22E1C29C0A11}"/>
    <cellStyle name="Migliaia 45 7 2 4" xfId="43212" xr:uid="{422E6E9E-C920-4608-AA44-EDA5DBC5A30A}"/>
    <cellStyle name="Migliaia 45 7 2 5" xfId="14296" xr:uid="{0F5B7DEC-0532-47A7-8858-11CE5FAAB7E6}"/>
    <cellStyle name="Migliaia 45 7 3" xfId="6652" xr:uid="{04A80393-4B6E-431C-A69F-FD25D45DD4AF}"/>
    <cellStyle name="Migliaia 45 7 3 2" xfId="39818" xr:uid="{73D1A1E2-8812-4E3F-97A4-5E71CC543887}"/>
    <cellStyle name="Migliaia 45 7 3 3" xfId="45120" xr:uid="{13DD975C-4907-466D-8EEE-528B35D0190D}"/>
    <cellStyle name="Migliaia 45 7 3 4" xfId="34249" xr:uid="{CD8F0C9D-B5C6-4E15-BE15-B428A942B9D1}"/>
    <cellStyle name="Migliaia 45 7 3 5" xfId="20733" xr:uid="{C2F73DE9-BAA1-4424-92EF-5DFDAA4D5780}"/>
    <cellStyle name="Migliaia 45 7 4" xfId="37209" xr:uid="{76B86065-2013-4311-BA65-F2997133EA54}"/>
    <cellStyle name="Migliaia 45 7 5" xfId="42469" xr:uid="{DF598FEF-360E-4B84-A3EB-8A05B35C5BF1}"/>
    <cellStyle name="Migliaia 45 7 6" xfId="16633" xr:uid="{E1D5C459-E3AA-45E4-8662-33C9EEE4AED6}"/>
    <cellStyle name="Migliaia 45 7 7" xfId="8358" xr:uid="{33972E4E-9565-4650-A39B-2307618139FB}"/>
    <cellStyle name="Migliaia 45 8" xfId="3743" xr:uid="{605F0FA4-7C77-4BF0-A639-D7734D66A3CB}"/>
    <cellStyle name="Migliaia 45 8 2" xfId="5469" xr:uid="{5D8CA892-ABDC-4A6A-82AB-B149F5226BD6}"/>
    <cellStyle name="Migliaia 45 8 2 2" xfId="35402" xr:uid="{E7D60BF3-5F5D-462F-97D9-3606552393E3}"/>
    <cellStyle name="Migliaia 45 8 2 2 2" xfId="40562" xr:uid="{C832DB11-88EE-4D21-9F28-B6DD68D61F93}"/>
    <cellStyle name="Migliaia 45 8 2 2 3" xfId="45864" xr:uid="{CD5F2D9C-F42F-4D3D-91C5-0DBE2D934FA6}"/>
    <cellStyle name="Migliaia 45 8 2 3" xfId="37911" xr:uid="{01547B9E-2FF5-42AA-B0BC-7DEB2A6B08B6}"/>
    <cellStyle name="Migliaia 45 8 2 4" xfId="43213" xr:uid="{2061C742-B892-4ACE-9114-ACC059EE9CBE}"/>
    <cellStyle name="Migliaia 45 8 2 5" xfId="14001" xr:uid="{8B4386B0-CE47-42B1-8FD9-87780B7D7046}"/>
    <cellStyle name="Migliaia 45 8 3" xfId="6653" xr:uid="{04731D4E-7C5B-4C35-90D9-0701F6FEF57B}"/>
    <cellStyle name="Migliaia 45 8 3 2" xfId="39819" xr:uid="{48D57B12-FD9F-465D-A688-AFBC45747175}"/>
    <cellStyle name="Migliaia 45 8 3 3" xfId="45121" xr:uid="{E2CEEB3E-97AB-4CF9-8E55-60F25CC60296}"/>
    <cellStyle name="Migliaia 45 8 3 4" xfId="34250" xr:uid="{43D72B16-29DA-401B-9E87-63055D4D7DEC}"/>
    <cellStyle name="Migliaia 45 8 3 5" xfId="20734" xr:uid="{A9F4723D-91F6-4CD6-89AB-17439135B9BF}"/>
    <cellStyle name="Migliaia 45 8 4" xfId="37210" xr:uid="{B0580AFE-069B-4960-AA9A-C8D5BC79A4F9}"/>
    <cellStyle name="Migliaia 45 8 5" xfId="42470" xr:uid="{9A342F7E-BE68-413B-827E-D65C4A3226FA}"/>
    <cellStyle name="Migliaia 45 8 6" xfId="16634" xr:uid="{58A6C0BD-C257-4FAB-9AB4-50E2A01FB3EA}"/>
    <cellStyle name="Migliaia 45 8 7" xfId="7978" xr:uid="{58D19ABD-B5D5-4B93-A007-200A33FD1707}"/>
    <cellStyle name="Migliaia 45 9" xfId="5454" xr:uid="{719EF2D7-D3E8-457B-8ABB-7535F1BCD2FD}"/>
    <cellStyle name="Migliaia 45 9 2" xfId="34251" xr:uid="{6EEF1C9B-D359-48A2-A5D9-3EDDD7515A24}"/>
    <cellStyle name="Migliaia 45 9 2 2" xfId="39820" xr:uid="{99A8F06E-A386-438E-9A7A-8FF25C101121}"/>
    <cellStyle name="Migliaia 45 9 2 3" xfId="45122" xr:uid="{D14A444B-5BE6-44D6-AC05-E791A353E333}"/>
    <cellStyle name="Migliaia 45 9 3" xfId="37211" xr:uid="{9DA7A5B6-A119-4627-8A63-A12DF613513A}"/>
    <cellStyle name="Migliaia 45 9 4" xfId="42471" xr:uid="{16E3CB42-5C08-4B90-B993-C0211F107416}"/>
    <cellStyle name="Migliaia 45 9 5" xfId="17213" xr:uid="{D679D634-CD93-4F90-ABC6-A32C0B4997F5}"/>
    <cellStyle name="Migliaia 46" xfId="461" xr:uid="{00000000-0005-0000-0000-000027040000}"/>
    <cellStyle name="Migliaia 46 10" xfId="6654" xr:uid="{391522CE-0ACD-4306-AEAE-3609E2D6424A}"/>
    <cellStyle name="Migliaia 46 10 2" xfId="39821" xr:uid="{89A775B0-C599-47D2-A5F2-73072D0A6406}"/>
    <cellStyle name="Migliaia 46 10 3" xfId="45123" xr:uid="{F7EDDF2E-05A6-4425-ADFC-975BC5C4ADB2}"/>
    <cellStyle name="Migliaia 46 10 4" xfId="34252" xr:uid="{87C1FD44-D276-40CF-A5EF-187247ADF280}"/>
    <cellStyle name="Migliaia 46 10 5" xfId="20735" xr:uid="{DDB0E91A-1AC8-405B-8DCB-6E4DCB938684}"/>
    <cellStyle name="Migliaia 46 11" xfId="3744" xr:uid="{5848253A-7386-41FE-A382-6ECDE73DEA24}"/>
    <cellStyle name="Migliaia 46 11 2" xfId="37212" xr:uid="{78028635-0E4E-4F3B-BECD-4DE40A182062}"/>
    <cellStyle name="Migliaia 46 12" xfId="42472" xr:uid="{A8A27DE4-D2A3-4412-8BEC-E288F7A81F82}"/>
    <cellStyle name="Migliaia 46 13" xfId="7162" xr:uid="{5903FFD7-22B2-4E07-83E7-393EDD4953C9}"/>
    <cellStyle name="Migliaia 46 2" xfId="462" xr:uid="{00000000-0005-0000-0000-000028040000}"/>
    <cellStyle name="Migliaia 46 2 2" xfId="1856" xr:uid="{00000000-0005-0000-0000-000029040000}"/>
    <cellStyle name="Migliaia 46 2 2 2" xfId="5472" xr:uid="{65774CC7-9EF2-4C9F-B057-C0DFF1C58B0F}"/>
    <cellStyle name="Migliaia 46 2 2 2 2" xfId="14403" xr:uid="{72214872-DF8C-4D00-95B6-994ACFACFA55}"/>
    <cellStyle name="Migliaia 46 2 2 2 2 2" xfId="39822" xr:uid="{62A2EB27-EEF2-4885-8518-7C7B31AC2524}"/>
    <cellStyle name="Migliaia 46 2 2 2 2 3" xfId="45124" xr:uid="{8205D10D-99DF-4A51-A765-88582C64FC54}"/>
    <cellStyle name="Migliaia 46 2 2 2 3" xfId="18482" xr:uid="{780A5981-39A8-45E2-8186-19B689D3FE76}"/>
    <cellStyle name="Migliaia 46 2 2 2 4" xfId="20738" xr:uid="{2D19F1F5-6348-4FBF-AEC5-5310EA3090BE}"/>
    <cellStyle name="Migliaia 46 2 2 2 4 2" xfId="42473" xr:uid="{EBC291D7-EFEC-42FB-A2BA-EDB7057256B0}"/>
    <cellStyle name="Migliaia 46 2 2 2 5" xfId="16635" xr:uid="{1046D646-2D26-4550-B55C-DD718AB772B1}"/>
    <cellStyle name="Migliaia 46 2 2 2 6" xfId="8721" xr:uid="{BEA41339-7F19-479A-BB8B-AC4820C00045}"/>
    <cellStyle name="Migliaia 46 2 2 3" xfId="6656" xr:uid="{F4720053-1D51-4B19-874E-4191BF2ACA33}"/>
    <cellStyle name="Migliaia 46 2 2 3 2" xfId="35403" xr:uid="{D8F1F4DF-043B-418B-995E-338FD8C8B500}"/>
    <cellStyle name="Migliaia 46 2 2 3 2 2" xfId="40563" xr:uid="{F5374F7A-AB97-4434-BCF6-45AE5649D202}"/>
    <cellStyle name="Migliaia 46 2 2 3 2 3" xfId="45865" xr:uid="{509B071E-7349-4614-BFF7-48CC0EB099A8}"/>
    <cellStyle name="Migliaia 46 2 2 3 3" xfId="37912" xr:uid="{FEBE7420-65F1-43C7-B0CA-73838E26B8AC}"/>
    <cellStyle name="Migliaia 46 2 2 3 4" xfId="43214" xr:uid="{1E65A623-1847-41B3-AA9B-970B5397D9D8}"/>
    <cellStyle name="Migliaia 46 2 2 3 5" xfId="11630" xr:uid="{4B03E32B-07B7-40AF-94DF-7A9971254E7E}"/>
    <cellStyle name="Migliaia 46 2 2 4" xfId="3746" xr:uid="{8E595C51-E99F-416C-B8F0-B8B2371E07C6}"/>
    <cellStyle name="Migliaia 46 2 2 4 2" xfId="21568" xr:uid="{481015BA-182A-4FF4-ACD9-D11C058BA0DE}"/>
    <cellStyle name="Migliaia 46 2 2 4 3" xfId="47120" xr:uid="{9A46B6FD-89B7-473B-A323-4534C9C438DD}"/>
    <cellStyle name="Migliaia 46 2 2 4 4" xfId="50583" xr:uid="{EFB06574-B328-438D-AF93-76C8A06A1AC4}"/>
    <cellStyle name="Migliaia 46 2 2 4 5" xfId="53599" xr:uid="{B5FBFE10-3C34-4956-8F9E-60D01186BD87}"/>
    <cellStyle name="Migliaia 46 2 2 4 6" xfId="10933" xr:uid="{3C401081-0D3C-4443-B6A4-C2B4222E7EDF}"/>
    <cellStyle name="Migliaia 46 2 2 5" xfId="20737" xr:uid="{63F9FA3B-8056-4E95-8020-DB1A83FD5310}"/>
    <cellStyle name="Migliaia 46 2 2 6" xfId="25140" xr:uid="{32236567-56C8-4718-977C-1A70D2080EF7}"/>
    <cellStyle name="Migliaia 46 2 2 7" xfId="7531" xr:uid="{57B5C3C8-FF66-48BF-86FD-F22A0E641E1C}"/>
    <cellStyle name="Migliaia 46 2 3" xfId="3747" xr:uid="{2FF833E5-177F-4732-AAB1-0F674947457F}"/>
    <cellStyle name="Migliaia 46 2 3 2" xfId="5473" xr:uid="{9D94B1AE-DCD4-4B8A-A324-60D8270ACCCD}"/>
    <cellStyle name="Migliaia 46 2 3 2 2" xfId="35404" xr:uid="{E38DE8D5-1A22-4467-BDB6-EC41C7687FD5}"/>
    <cellStyle name="Migliaia 46 2 3 2 2 2" xfId="40564" xr:uid="{FE862C1D-49B9-4938-8B7A-BF5670B36076}"/>
    <cellStyle name="Migliaia 46 2 3 2 2 3" xfId="45866" xr:uid="{64D8E1E6-BD0B-454B-AC61-2B2B268C531D}"/>
    <cellStyle name="Migliaia 46 2 3 2 3" xfId="37913" xr:uid="{1408C725-385B-43BF-BE5D-0704AC1F34D8}"/>
    <cellStyle name="Migliaia 46 2 3 2 4" xfId="43215" xr:uid="{C93F110A-49EB-43E3-B143-296BC9EA6542}"/>
    <cellStyle name="Migliaia 46 2 3 2 5" xfId="14300" xr:uid="{8AA7DE8D-E12B-4DC7-880B-2E27A34B4485}"/>
    <cellStyle name="Migliaia 46 2 3 3" xfId="6657" xr:uid="{70877106-0C80-4F5E-B2D0-0E9591468102}"/>
    <cellStyle name="Migliaia 46 2 3 3 2" xfId="39823" xr:uid="{56851DD1-41E9-42DC-BE85-8CD9C41A1EF4}"/>
    <cellStyle name="Migliaia 46 2 3 3 3" xfId="45125" xr:uid="{2CD99399-0CB1-4A32-9DF1-F8480E2C6AEB}"/>
    <cellStyle name="Migliaia 46 2 3 3 4" xfId="34253" xr:uid="{71464DEE-C378-40FC-B62D-EE9D87784AD4}"/>
    <cellStyle name="Migliaia 46 2 3 3 5" xfId="20739" xr:uid="{AFBA7D24-4334-4052-A475-DEB177FE504B}"/>
    <cellStyle name="Migliaia 46 2 3 4" xfId="37213" xr:uid="{2BB84C6E-CE97-4E85-9DEE-9EFF62367AFD}"/>
    <cellStyle name="Migliaia 46 2 3 5" xfId="42474" xr:uid="{22C0C35C-23E9-483A-910D-B02386062461}"/>
    <cellStyle name="Migliaia 46 2 3 6" xfId="16636" xr:uid="{CEEFB32C-8437-4065-98D3-D96CC891549D}"/>
    <cellStyle name="Migliaia 46 2 3 7" xfId="8362" xr:uid="{5B558C6E-A637-49E2-A2F7-51387C147232}"/>
    <cellStyle name="Migliaia 46 2 4" xfId="5471" xr:uid="{C43B14DB-CC7B-4866-A8C8-3343755BF1DC}"/>
    <cellStyle name="Migliaia 46 2 4 2" xfId="14005" xr:uid="{84591C2D-4574-4819-9CB6-50F24F9BA087}"/>
    <cellStyle name="Migliaia 46 2 4 2 2" xfId="39824" xr:uid="{1C419466-E4E0-4E8C-9EF8-36CF0049E10B}"/>
    <cellStyle name="Migliaia 46 2 4 2 3" xfId="45126" xr:uid="{09703170-7BA6-4739-A2FE-55FBE261B26A}"/>
    <cellStyle name="Migliaia 46 2 4 3" xfId="18607" xr:uid="{B1E0B324-E638-4C14-98A9-AFD23DA284FF}"/>
    <cellStyle name="Migliaia 46 2 4 4" xfId="20740" xr:uid="{A20D167D-9FE8-44E5-B602-A64402EF43AD}"/>
    <cellStyle name="Migliaia 46 2 4 4 2" xfId="42475" xr:uid="{11E23A95-C9DC-405F-A35D-2F40AE0DA8FE}"/>
    <cellStyle name="Migliaia 46 2 4 5" xfId="16637" xr:uid="{EDABA50B-8058-4705-999C-3BD37CD01804}"/>
    <cellStyle name="Migliaia 46 2 4 6" xfId="7983" xr:uid="{CE462B0F-17DC-4007-B9AA-11F1562FBA93}"/>
    <cellStyle name="Migliaia 46 2 5" xfId="6655" xr:uid="{9FF78595-24EE-435E-BADA-9083442DB8C9}"/>
    <cellStyle name="Migliaia 46 2 5 2" xfId="34254" xr:uid="{25D32D34-4D2B-4A1A-834B-638D87D33821}"/>
    <cellStyle name="Migliaia 46 2 5 2 2" xfId="39825" xr:uid="{BE2CB0DE-44E3-40EC-9BF6-6B7C297DCF03}"/>
    <cellStyle name="Migliaia 46 2 5 2 3" xfId="45127" xr:uid="{3B1525A7-B306-4874-9029-F3957F9023A5}"/>
    <cellStyle name="Migliaia 46 2 5 3" xfId="37215" xr:uid="{4B89A0BA-852E-4DD9-8860-8C16C9B86A62}"/>
    <cellStyle name="Migliaia 46 2 5 4" xfId="42476" xr:uid="{BCBCC785-E17A-433C-9162-E792109321BF}"/>
    <cellStyle name="Migliaia 46 2 5 5" xfId="13143" xr:uid="{41E047D3-4F2D-4CCA-9FAF-3CB5F840EB3C}"/>
    <cellStyle name="Migliaia 46 2 6" xfId="3745" xr:uid="{D40B4495-0E33-4118-A6BB-EC0019ADEB1A}"/>
    <cellStyle name="Migliaia 46 2 6 2" xfId="34255" xr:uid="{22F95DA9-9990-4347-A450-F867C637CC40}"/>
    <cellStyle name="Migliaia 46 2 6 2 2" xfId="39826" xr:uid="{5A27A16F-EA9D-498C-98D3-1CC02CEF9429}"/>
    <cellStyle name="Migliaia 46 2 6 2 3" xfId="45128" xr:uid="{E0B44F92-FCBF-453F-A45C-437A6A71EF5C}"/>
    <cellStyle name="Migliaia 46 2 6 3" xfId="37216" xr:uid="{5ED8203E-728B-429F-8D72-05CED495F975}"/>
    <cellStyle name="Migliaia 46 2 6 4" xfId="42477" xr:uid="{15FD1443-1220-4DCC-8E6B-171DEE5CB9E2}"/>
    <cellStyle name="Migliaia 46 2 6 5" xfId="25141" xr:uid="{78B1D546-FE2A-429B-975C-0312E69CA189}"/>
    <cellStyle name="Migliaia 46 2 6 6" xfId="20736" xr:uid="{6E07B773-842F-4578-8BA1-FD631806CDB3}"/>
    <cellStyle name="Migliaia 46 2 7" xfId="25139" xr:uid="{32F970A4-562B-4678-9BE2-18DC106C885D}"/>
    <cellStyle name="Migliaia 46 2 8" xfId="7163" xr:uid="{38C67086-1CEB-4B05-AA65-6786604A83E3}"/>
    <cellStyle name="Migliaia 46 3" xfId="463" xr:uid="{00000000-0005-0000-0000-00002A040000}"/>
    <cellStyle name="Migliaia 46 3 10" xfId="25142" xr:uid="{8C505DFB-B596-4543-904C-6051816C03D6}"/>
    <cellStyle name="Migliaia 46 3 11" xfId="16638" xr:uid="{567D3072-F03E-4438-8AB8-77C016AE6557}"/>
    <cellStyle name="Migliaia 46 3 12" xfId="7164" xr:uid="{87A15F8D-E9F3-4B04-B313-D504399B21F1}"/>
    <cellStyle name="Migliaia 46 3 2" xfId="464" xr:uid="{00000000-0005-0000-0000-00002B040000}"/>
    <cellStyle name="Migliaia 46 3 2 2" xfId="1857" xr:uid="{00000000-0005-0000-0000-00002C040000}"/>
    <cellStyle name="Migliaia 46 3 2 2 2" xfId="5476" xr:uid="{53C39A1D-DE4C-42F5-9625-18EDD8F92182}"/>
    <cellStyle name="Migliaia 46 3 2 2 2 2" xfId="18483" xr:uid="{291AF77A-BC19-4E29-A00A-F9ACCFD587A7}"/>
    <cellStyle name="Migliaia 46 3 2 2 2 2 2" xfId="21881" xr:uid="{AB5D534C-51D7-4E7C-98E5-7AF620499264}"/>
    <cellStyle name="Migliaia 46 3 2 2 2 2 2 2" xfId="39827" xr:uid="{A3655E92-EA3A-4ACA-924C-600FAEB4DA4B}"/>
    <cellStyle name="Migliaia 46 3 2 2 2 2 3" xfId="45129" xr:uid="{58CC6756-E784-44B4-A08A-320E32521F5F}"/>
    <cellStyle name="Migliaia 46 3 2 2 2 2 4" xfId="34256" xr:uid="{27DECB42-E636-4C60-BCB7-CEFFCB301BF0}"/>
    <cellStyle name="Migliaia 46 3 2 2 2 3" xfId="37217" xr:uid="{8667230F-5F88-48FE-9D77-22754B106F74}"/>
    <cellStyle name="Migliaia 46 3 2 2 2 4" xfId="42478" xr:uid="{E0F58D24-18DB-4B76-8539-BD841455E009}"/>
    <cellStyle name="Migliaia 46 3 2 2 2 5" xfId="24489" xr:uid="{0E2E7347-C485-4F33-B7BF-73F50A9F230A}"/>
    <cellStyle name="Migliaia 46 3 2 2 2 6" xfId="50909" xr:uid="{20A3BCF3-C025-4B47-BFBD-C2B6676BB9F9}"/>
    <cellStyle name="Migliaia 46 3 2 2 2 7" xfId="53925" xr:uid="{5565C536-3E59-40D9-B255-8D4A90723FE4}"/>
    <cellStyle name="Migliaia 46 3 2 2 2 8" xfId="17679" xr:uid="{A5803C8C-8E58-4F8A-BC88-C850A4123F6C}"/>
    <cellStyle name="Migliaia 46 3 2 2 2 9" xfId="12047" xr:uid="{09B988F6-B200-4F2E-82E2-59D3549F0367}"/>
    <cellStyle name="Migliaia 46 3 2 2 3" xfId="6660" xr:uid="{462E83BA-0363-4214-8938-0FA27B056877}"/>
    <cellStyle name="Migliaia 46 3 2 2 3 2" xfId="11571" xr:uid="{2CBEEB92-D63D-42B0-B022-8CC9E33B4235}"/>
    <cellStyle name="Migliaia 46 3 2 2 4" xfId="3750" xr:uid="{9B940950-B9A1-4442-A2C0-3D1AC51C7988}"/>
    <cellStyle name="Migliaia 46 3 2 2 4 2" xfId="21569" xr:uid="{4264836C-CB11-4579-8087-CCB3C41EE6C8}"/>
    <cellStyle name="Migliaia 46 3 2 2 4 3" xfId="24240" xr:uid="{CB83C2EC-C663-48DC-A078-988DF3895E81}"/>
    <cellStyle name="Migliaia 46 3 2 2 4 4" xfId="50584" xr:uid="{D07063D9-1209-42B2-805F-0F8758A60FB6}"/>
    <cellStyle name="Migliaia 46 3 2 2 4 5" xfId="53600" xr:uid="{B1126C60-6F56-4044-A73E-9F5F1E3917E1}"/>
    <cellStyle name="Migliaia 46 3 2 2 4 6" xfId="10934" xr:uid="{19E24EC8-0E98-480F-AF98-F23A047190B6}"/>
    <cellStyle name="Migliaia 46 3 2 2 5" xfId="20743" xr:uid="{565FD44E-81DA-4E87-BF86-BE1D3EB9FC1F}"/>
    <cellStyle name="Migliaia 46 3 2 2 6" xfId="25144" xr:uid="{008D097B-FCD0-4169-87C1-5AFD01E04994}"/>
    <cellStyle name="Migliaia 46 3 2 2 7" xfId="8723" xr:uid="{0BD16203-3403-40D3-AB62-D2E993B85C42}"/>
    <cellStyle name="Migliaia 46 3 2 3" xfId="5475" xr:uid="{4E7388B4-F95E-4AC6-8D8D-E2FBB2ABBB91}"/>
    <cellStyle name="Migliaia 46 3 2 3 2" xfId="12170" xr:uid="{8249BF9E-6789-4B3E-8FE3-409531EE4AE3}"/>
    <cellStyle name="Migliaia 46 3 2 3 2 2" xfId="39828" xr:uid="{260671C8-3C9E-4C88-B210-CB6572B27173}"/>
    <cellStyle name="Migliaia 46 3 2 3 2 3" xfId="45130" xr:uid="{1C694A1E-53DD-4B06-9D37-5D02B3E98B22}"/>
    <cellStyle name="Migliaia 46 3 2 3 2 4" xfId="34257" xr:uid="{3E0D57D2-FE2E-46FF-9968-67458BD51AF7}"/>
    <cellStyle name="Migliaia 46 3 2 3 3" xfId="12048" xr:uid="{0483D667-54C4-476D-8072-E65A1AC31306}"/>
    <cellStyle name="Migliaia 46 3 2 3 4" xfId="20744" xr:uid="{493ABC4E-891D-45C3-9470-16447EA1F684}"/>
    <cellStyle name="Migliaia 46 3 2 3 4 2" xfId="42479" xr:uid="{C463947D-E2CA-4841-B9C0-86F252391B31}"/>
    <cellStyle name="Migliaia 46 3 2 3 5" xfId="16639" xr:uid="{62D7C965-5498-4F4D-A5B3-BF6625B76C9D}"/>
    <cellStyle name="Migliaia 46 3 2 3 6" xfId="7985" xr:uid="{BE9C52A0-794B-4F49-BF2B-FA599A66C460}"/>
    <cellStyle name="Migliaia 46 3 2 4" xfId="6659" xr:uid="{B2B3B897-7254-4567-8261-FEE1FFDCBAF3}"/>
    <cellStyle name="Migliaia 46 3 2 4 2" xfId="18097" xr:uid="{63E557C0-7AF5-478A-BBAB-6BAA79A4686E}"/>
    <cellStyle name="Migliaia 46 3 2 4 2 2" xfId="39829" xr:uid="{836E47B3-EA77-444B-8B13-3EBB22EF88A9}"/>
    <cellStyle name="Migliaia 46 3 2 4 2 3" xfId="45131" xr:uid="{9CBBFFE3-F719-4432-90C2-FA6784340CFA}"/>
    <cellStyle name="Migliaia 46 3 2 4 3" xfId="37218" xr:uid="{D52B548A-F9F7-4681-B4C2-33B9FDE0F58C}"/>
    <cellStyle name="Migliaia 46 3 2 4 4" xfId="42480" xr:uid="{52E4482D-8D1E-471B-825C-97E4A7280DF7}"/>
    <cellStyle name="Migliaia 46 3 2 4 5" xfId="17216" xr:uid="{7D001DCF-E028-4E6F-9EE4-15DE3891A7E7}"/>
    <cellStyle name="Migliaia 46 3 2 4 6" xfId="11396" xr:uid="{5D954A4A-0196-42C7-9C62-F0977551DEA0}"/>
    <cellStyle name="Migliaia 46 3 2 5" xfId="3749" xr:uid="{4F36FF56-3621-495C-A151-C50598CC00E7}"/>
    <cellStyle name="Migliaia 46 3 2 5 2" xfId="34258" xr:uid="{D375DFE4-2B79-49A0-A798-1DEBD2B5C208}"/>
    <cellStyle name="Migliaia 46 3 2 5 2 2" xfId="39830" xr:uid="{E8F31DA4-84FA-482F-B9F9-FB56105038E1}"/>
    <cellStyle name="Migliaia 46 3 2 5 2 3" xfId="45132" xr:uid="{D12B770A-25A5-429D-92B8-657C36959916}"/>
    <cellStyle name="Migliaia 46 3 2 5 3" xfId="37219" xr:uid="{66A205DC-FE16-48CF-A5C1-B3092934BE46}"/>
    <cellStyle name="Migliaia 46 3 2 5 4" xfId="42481" xr:uid="{3845D922-E422-40F7-97C8-3C9EB63EE64C}"/>
    <cellStyle name="Migliaia 46 3 2 5 5" xfId="17306" xr:uid="{DEC600DD-FC86-4F4C-8B32-C380F3316238}"/>
    <cellStyle name="Migliaia 46 3 2 6" xfId="20742" xr:uid="{79DB43BA-8273-4144-BB66-D8B04468E5DD}"/>
    <cellStyle name="Migliaia 46 3 2 6 2" xfId="34259" xr:uid="{9DA2990E-9808-4C02-8730-73099DC5FB9A}"/>
    <cellStyle name="Migliaia 46 3 2 6 2 2" xfId="39831" xr:uid="{978F9AE3-F325-493C-92C0-CF2BB9A0C9A0}"/>
    <cellStyle name="Migliaia 46 3 2 6 2 3" xfId="45133" xr:uid="{0895DB03-CBC8-448A-A803-379A3DEC0535}"/>
    <cellStyle name="Migliaia 46 3 2 6 3" xfId="37220" xr:uid="{8A19D509-0CB6-4AB6-824A-7293E271D300}"/>
    <cellStyle name="Migliaia 46 3 2 6 4" xfId="42482" xr:uid="{140FD21B-D8C6-4BD3-8403-B6E7B75BB047}"/>
    <cellStyle name="Migliaia 46 3 2 6 5" xfId="25145" xr:uid="{2EC2B624-9B7B-458F-9F3E-0B125B8BFA67}"/>
    <cellStyle name="Migliaia 46 3 2 7" xfId="25143" xr:uid="{4297F773-8663-4D05-84F2-564E3989A00A}"/>
    <cellStyle name="Migliaia 46 3 2 8" xfId="7533" xr:uid="{DCC633F1-9B6C-48CB-AE1A-E8D535BCE642}"/>
    <cellStyle name="Migliaia 46 3 3" xfId="3751" xr:uid="{0ECE847B-586F-4868-B327-6DD573066B0D}"/>
    <cellStyle name="Migliaia 46 3 3 10" xfId="7532" xr:uid="{BFB30BBA-AC6B-4605-95FA-C9839E0AA212}"/>
    <cellStyle name="Migliaia 46 3 3 2" xfId="5477" xr:uid="{F90AC99B-D04D-4982-AA39-6B65C31669C5}"/>
    <cellStyle name="Migliaia 46 3 3 2 2" xfId="9962" xr:uid="{FF86E377-B2A7-4671-BEA5-B50374CE07F1}"/>
    <cellStyle name="Migliaia 46 3 3 2 2 2" xfId="39833" xr:uid="{AF26A725-16DD-434A-BB89-4DA5C1677285}"/>
    <cellStyle name="Migliaia 46 3 3 2 2 3" xfId="45135" xr:uid="{A991418B-7876-4345-B919-F283E54D7267}"/>
    <cellStyle name="Migliaia 46 3 3 2 3" xfId="18242" xr:uid="{2D6C3D78-9153-4EF2-8832-578DFF95D014}"/>
    <cellStyle name="Migliaia 46 3 3 2 4" xfId="20746" xr:uid="{22AC1B1A-CD1E-419F-8014-F9E381926B6A}"/>
    <cellStyle name="Migliaia 46 3 3 2 4 2" xfId="42484" xr:uid="{C4404672-D65A-462E-9B69-535DFDE4268F}"/>
    <cellStyle name="Migliaia 46 3 3 2 5" xfId="16641" xr:uid="{116E79E9-D651-46CD-8BEF-0FA46DE2E925}"/>
    <cellStyle name="Migliaia 46 3 3 2 6" xfId="8722" xr:uid="{1393B9A3-F1C7-4697-8ED9-03915A6BD377}"/>
    <cellStyle name="Migliaia 46 3 3 3" xfId="6661" xr:uid="{8A330E73-8DD2-4390-93D7-FA2701227ED1}"/>
    <cellStyle name="Migliaia 46 3 3 3 2" xfId="34261" xr:uid="{36FCE927-5D4D-4F6E-8715-A1CE2DD5DC3E}"/>
    <cellStyle name="Migliaia 46 3 3 3 2 2" xfId="39834" xr:uid="{BD978327-DEB0-4F89-9478-18541BDE031A}"/>
    <cellStyle name="Migliaia 46 3 3 3 2 3" xfId="45136" xr:uid="{4263C511-4DE9-4C35-AC2D-105AD3075F09}"/>
    <cellStyle name="Migliaia 46 3 3 3 3" xfId="37222" xr:uid="{9C344B60-C497-4E93-9207-71662A3D656F}"/>
    <cellStyle name="Migliaia 46 3 3 3 4" xfId="42485" xr:uid="{C78643DE-54D2-427B-AE54-FCBDD5FE3BB9}"/>
    <cellStyle name="Migliaia 46 3 3 3 5" xfId="9725" xr:uid="{31348892-9D61-417B-9D5F-71ADD78B8B7C}"/>
    <cellStyle name="Migliaia 46 3 3 4" xfId="20745" xr:uid="{C79B5DF7-30F6-4FB7-9E3F-F609AF93AB3A}"/>
    <cellStyle name="Migliaia 46 3 3 4 2" xfId="34262" xr:uid="{D509CED4-FCDE-49DB-9900-3148AB33BBE7}"/>
    <cellStyle name="Migliaia 46 3 3 4 2 2" xfId="39835" xr:uid="{D4BF6B67-136F-43EC-B677-21B7BE6079A5}"/>
    <cellStyle name="Migliaia 46 3 3 4 2 3" xfId="45137" xr:uid="{B4DA6074-28E6-4BD8-ABDE-C87D38993064}"/>
    <cellStyle name="Migliaia 46 3 3 4 3" xfId="37223" xr:uid="{AD603A8B-5221-4ED2-B666-956FCF241F20}"/>
    <cellStyle name="Migliaia 46 3 3 4 4" xfId="42486" xr:uid="{DC885DDE-8B2A-463B-AC71-40665974020E}"/>
    <cellStyle name="Migliaia 46 3 3 4 5" xfId="25146" xr:uid="{7B5EB095-17FE-4165-AAA6-60C3D1445999}"/>
    <cellStyle name="Migliaia 46 3 3 5" xfId="25147" xr:uid="{5275B099-EE02-4177-BD71-3EFB05EB6076}"/>
    <cellStyle name="Migliaia 46 3 3 5 2" xfId="34263" xr:uid="{5492A7CA-A3DF-4ECB-99A5-73C8B023B92B}"/>
    <cellStyle name="Migliaia 46 3 3 5 2 2" xfId="39836" xr:uid="{75EB9314-3887-4CB9-AE4E-F3927AF94762}"/>
    <cellStyle name="Migliaia 46 3 3 5 2 3" xfId="45138" xr:uid="{69A9099C-A2EC-441F-8908-9CA552CA6699}"/>
    <cellStyle name="Migliaia 46 3 3 5 3" xfId="37224" xr:uid="{CF0E302B-AC7E-4B9A-868E-25201F39DC5F}"/>
    <cellStyle name="Migliaia 46 3 3 5 4" xfId="42487" xr:uid="{866E928E-4CDB-4958-8A23-D6E9A38F0264}"/>
    <cellStyle name="Migliaia 46 3 3 6" xfId="34260" xr:uid="{07BE22AF-526E-4045-907E-39493D0115FD}"/>
    <cellStyle name="Migliaia 46 3 3 6 2" xfId="39832" xr:uid="{9E0D82C6-9F83-4BF0-959F-76A73A9B810B}"/>
    <cellStyle name="Migliaia 46 3 3 6 3" xfId="45134" xr:uid="{7F403CBD-DEEC-4326-8193-D6FEF72B1BD6}"/>
    <cellStyle name="Migliaia 46 3 3 7" xfId="37221" xr:uid="{B203DE2A-DF74-4D4A-A327-1B5BA25547CC}"/>
    <cellStyle name="Migliaia 46 3 3 8" xfId="42483" xr:uid="{423F5DAF-D1F1-4288-A710-7C07936189DF}"/>
    <cellStyle name="Migliaia 46 3 3 9" xfId="16640" xr:uid="{43C4C240-AE1B-4CF5-8C1A-51084B824037}"/>
    <cellStyle name="Migliaia 46 3 4" xfId="3752" xr:uid="{0F8DE620-6C6F-4062-977E-41F319C49A36}"/>
    <cellStyle name="Migliaia 46 3 4 2" xfId="5478" xr:uid="{8206242C-0D65-4891-BC60-8A03F510F333}"/>
    <cellStyle name="Migliaia 46 3 4 2 2" xfId="14463" xr:uid="{F2B80D22-FC79-443E-9989-ACD1C52119F5}"/>
    <cellStyle name="Migliaia 46 3 4 2 3" xfId="18047" xr:uid="{7F18AC64-64C6-449A-BE40-33D16C079A09}"/>
    <cellStyle name="Migliaia 46 3 4 2 4" xfId="20748" xr:uid="{F77CB776-957B-4757-9FA5-BD386D53DEF4}"/>
    <cellStyle name="Migliaia 46 3 4 2 5" xfId="32440" xr:uid="{6A639CC2-83A1-4FE6-8398-CA0E728BE2B9}"/>
    <cellStyle name="Migliaia 46 3 4 2 6" xfId="16643" xr:uid="{86292850-7936-415E-AF71-AF5FC0B5A108}"/>
    <cellStyle name="Migliaia 46 3 4 2 7" xfId="8886" xr:uid="{D578884C-25F3-472A-AB34-3265450A6D56}"/>
    <cellStyle name="Migliaia 46 3 4 3" xfId="6662" xr:uid="{350087F6-2FAC-4028-9028-E3C833BE3CB6}"/>
    <cellStyle name="Migliaia 46 3 4 3 2" xfId="35405" xr:uid="{8E560535-6AFF-47C6-96A2-D1553E365CC3}"/>
    <cellStyle name="Migliaia 46 3 4 3 2 2" xfId="40565" xr:uid="{C7FF7C6E-6EA6-483B-A5BE-2C62CA19F942}"/>
    <cellStyle name="Migliaia 46 3 4 3 2 3" xfId="45867" xr:uid="{707C9BE1-0197-426B-AEEE-036A5A69D4BE}"/>
    <cellStyle name="Migliaia 46 3 4 3 3" xfId="37914" xr:uid="{C2C10D93-B7DE-4327-A304-8A507097B792}"/>
    <cellStyle name="Migliaia 46 3 4 3 4" xfId="43216" xr:uid="{D71D576A-2352-4B37-8791-A658FDEE0BC5}"/>
    <cellStyle name="Migliaia 46 3 4 3 5" xfId="13711" xr:uid="{AB1DAF6D-BC57-497A-9119-1A6DF9A0D012}"/>
    <cellStyle name="Migliaia 46 3 4 4" xfId="20747" xr:uid="{D8969F87-58DC-44B4-90E5-4553D8D7E8BC}"/>
    <cellStyle name="Migliaia 46 3 4 4 2" xfId="39837" xr:uid="{0AE8AD8B-23F8-423B-9B7B-A3B1083E75F6}"/>
    <cellStyle name="Migliaia 46 3 4 4 3" xfId="45139" xr:uid="{6CB9E858-FE06-4F96-9239-3CCCBB0E09BE}"/>
    <cellStyle name="Migliaia 46 3 4 4 4" xfId="34264" xr:uid="{4DBE1E2D-1570-4329-879A-8CEE18BBEC8B}"/>
    <cellStyle name="Migliaia 46 3 4 5" xfId="37225" xr:uid="{3B658666-2F13-47FF-A496-C6B75000ECD2}"/>
    <cellStyle name="Migliaia 46 3 4 6" xfId="42488" xr:uid="{9E6DAB67-A7AD-44BF-AE30-7018E96EC373}"/>
    <cellStyle name="Migliaia 46 3 4 7" xfId="16642" xr:uid="{FB2FFD9A-461D-4111-B12D-F3E9F784979B}"/>
    <cellStyle name="Migliaia 46 3 4 8" xfId="7696" xr:uid="{EF75146A-E40A-4297-8F90-7B43CBCBAD89}"/>
    <cellStyle name="Migliaia 46 3 5" xfId="3753" xr:uid="{96EF8DCE-EBA0-4540-A29C-075BA3A6B594}"/>
    <cellStyle name="Migliaia 46 3 5 2" xfId="5479" xr:uid="{142E5445-07C7-4A47-8072-7A021AC9AA93}"/>
    <cellStyle name="Migliaia 46 3 5 2 2" xfId="35406" xr:uid="{801E2A33-1C1A-4B4C-B3F0-E10DAC037C30}"/>
    <cellStyle name="Migliaia 46 3 5 2 2 2" xfId="40566" xr:uid="{8DCF7864-2731-4A23-8A82-8518D14FFF6C}"/>
    <cellStyle name="Migliaia 46 3 5 2 2 3" xfId="45868" xr:uid="{1DB6E03E-ED4E-4868-A041-43B7ABCC3B00}"/>
    <cellStyle name="Migliaia 46 3 5 2 3" xfId="37915" xr:uid="{B2E4EEDD-5C5D-46F2-A8EC-9421BA8354A1}"/>
    <cellStyle name="Migliaia 46 3 5 2 4" xfId="43217" xr:uid="{1F84CB10-9C67-45E0-847D-45F61D002882}"/>
    <cellStyle name="Migliaia 46 3 5 2 5" xfId="14301" xr:uid="{AAEB9E7D-5353-458A-A9D0-56EF91BE3FDA}"/>
    <cellStyle name="Migliaia 46 3 5 3" xfId="6663" xr:uid="{E97B99D4-CFEF-455D-B549-94A713F7A832}"/>
    <cellStyle name="Migliaia 46 3 5 3 2" xfId="39838" xr:uid="{D3100E9E-51F9-43C9-8CE7-DCD08FF132E3}"/>
    <cellStyle name="Migliaia 46 3 5 3 3" xfId="45140" xr:uid="{80E3E301-FA38-4846-BD91-7DA143BED360}"/>
    <cellStyle name="Migliaia 46 3 5 3 4" xfId="34265" xr:uid="{1B06AC8E-0C63-4781-BB77-571F92EB9149}"/>
    <cellStyle name="Migliaia 46 3 5 3 5" xfId="20749" xr:uid="{6F4DEE75-B74E-41C5-8A0E-EA2E57D7B5EE}"/>
    <cellStyle name="Migliaia 46 3 5 4" xfId="37226" xr:uid="{CFDB4FE6-A32A-45C4-A015-8E0D7F16A81F}"/>
    <cellStyle name="Migliaia 46 3 5 5" xfId="42489" xr:uid="{2C6AF2DA-CC54-4293-A005-B2C454111974}"/>
    <cellStyle name="Migliaia 46 3 5 6" xfId="16644" xr:uid="{13E8C87D-C988-4A11-8C3D-D6FC9F549D99}"/>
    <cellStyle name="Migliaia 46 3 5 7" xfId="8363" xr:uid="{4A745A9B-DDA1-40AF-9FC8-0DA504B5C26D}"/>
    <cellStyle name="Migliaia 46 3 6" xfId="5474" xr:uid="{791EB1AA-901B-4755-A300-2AA74D7CE06C}"/>
    <cellStyle name="Migliaia 46 3 6 2" xfId="14006" xr:uid="{316936FF-441A-4963-95A5-8A127F7A3734}"/>
    <cellStyle name="Migliaia 46 3 6 2 2" xfId="39839" xr:uid="{E5D21603-D262-4942-816C-BB0AB8397437}"/>
    <cellStyle name="Migliaia 46 3 6 2 3" xfId="45141" xr:uid="{DF49DEC7-2F98-4BCE-9307-361EEDE27045}"/>
    <cellStyle name="Migliaia 46 3 6 3" xfId="18143" xr:uid="{AD750B1E-B0B2-40D1-B21C-8DCBBFF408C2}"/>
    <cellStyle name="Migliaia 46 3 6 4" xfId="20750" xr:uid="{0D4ACB03-7676-4127-B8F8-D895670CC45F}"/>
    <cellStyle name="Migliaia 46 3 6 4 2" xfId="42490" xr:uid="{C0591369-13D8-4CC3-A35B-1807684C57EA}"/>
    <cellStyle name="Migliaia 46 3 6 5" xfId="16645" xr:uid="{F218D61A-631F-482C-9523-0701B355C9E7}"/>
    <cellStyle name="Migliaia 46 3 6 6" xfId="7984" xr:uid="{3FD3313F-2394-4D0A-9AF1-DFAB78A2C64D}"/>
    <cellStyle name="Migliaia 46 3 7" xfId="6658" xr:uid="{7BCFB411-9239-44B8-AD44-E74FF61584A3}"/>
    <cellStyle name="Migliaia 46 3 7 2" xfId="34266" xr:uid="{8D23C66D-F6B8-4C42-B342-456E3DAE0242}"/>
    <cellStyle name="Migliaia 46 3 7 2 2" xfId="39840" xr:uid="{BE99A6C0-3483-4FE0-AA66-1F871185CEEA}"/>
    <cellStyle name="Migliaia 46 3 7 2 3" xfId="45142" xr:uid="{E5A6F1A2-D339-4543-979A-4C1A26ECBE56}"/>
    <cellStyle name="Migliaia 46 3 7 3" xfId="37227" xr:uid="{8D7C06AB-6DE4-44A4-9151-7408B26F6D2F}"/>
    <cellStyle name="Migliaia 46 3 7 4" xfId="42491" xr:uid="{9475610D-5C4E-4854-A7C0-CADA719418EC}"/>
    <cellStyle name="Migliaia 46 3 7 5" xfId="12248" xr:uid="{4B4AF906-C59A-4E26-AADC-95811D5980F5}"/>
    <cellStyle name="Migliaia 46 3 8" xfId="3748" xr:uid="{7AF1ED60-1AF0-46F3-A238-E22CB4B93686}"/>
    <cellStyle name="Migliaia 46 3 8 2" xfId="34267" xr:uid="{924A7540-99E4-4468-8D26-421B49CB7BEC}"/>
    <cellStyle name="Migliaia 46 3 8 2 2" xfId="39841" xr:uid="{BB4BF53C-73A7-4EA9-9CC9-A55C30695BE4}"/>
    <cellStyle name="Migliaia 46 3 8 2 3" xfId="45143" xr:uid="{BE840805-BD3E-4FB4-967B-D349B52A4713}"/>
    <cellStyle name="Migliaia 46 3 8 3" xfId="37228" xr:uid="{9EE4AE36-9D21-476A-86AC-7C5ACB31750F}"/>
    <cellStyle name="Migliaia 46 3 8 4" xfId="42492" xr:uid="{DFD80FE6-7AFC-44DB-B669-2A6FD6CE2FE9}"/>
    <cellStyle name="Migliaia 46 3 8 5" xfId="25148" xr:uid="{22F17F04-C591-4327-ABC2-FD82A1FAEE8D}"/>
    <cellStyle name="Migliaia 46 3 8 6" xfId="17307" xr:uid="{21498629-CC6A-4382-A719-33CC21EEC0CE}"/>
    <cellStyle name="Migliaia 46 3 9" xfId="20741" xr:uid="{CF35EF3C-01C9-409B-9C4B-99ABDBD0796C}"/>
    <cellStyle name="Migliaia 46 4" xfId="1858" xr:uid="{00000000-0005-0000-0000-00002D040000}"/>
    <cellStyle name="Migliaia 46 4 2" xfId="1859" xr:uid="{00000000-0005-0000-0000-00002E040000}"/>
    <cellStyle name="Migliaia 46 4 2 2" xfId="5481" xr:uid="{8EE5C577-EE62-4743-9615-ACAC84407180}"/>
    <cellStyle name="Migliaia 46 4 2 2 2" xfId="34268" xr:uid="{4E1E0A8B-E58D-4391-B776-45DDFCE99E91}"/>
    <cellStyle name="Migliaia 46 4 2 2 2 2" xfId="39842" xr:uid="{F76C486C-BAB0-4816-B0F6-5D13EDD63AF3}"/>
    <cellStyle name="Migliaia 46 4 2 2 2 3" xfId="45144" xr:uid="{7F1B81A3-A4FB-4E7A-B307-16F29E7B5FAB}"/>
    <cellStyle name="Migliaia 46 4 2 2 3" xfId="37229" xr:uid="{CFD9DE00-1ABA-4CAF-97D6-7318E3D18AB0}"/>
    <cellStyle name="Migliaia 46 4 2 2 4" xfId="42493" xr:uid="{F355B6A7-53D9-4C57-8F15-3B8808FCC84A}"/>
    <cellStyle name="Migliaia 46 4 2 2 5" xfId="9188" xr:uid="{A7582FF8-057B-435C-8451-2219A00E4D8D}"/>
    <cellStyle name="Migliaia 46 4 2 3" xfId="3755" xr:uid="{7DFFFB86-9FD2-49D6-8218-34A4FF769132}"/>
    <cellStyle name="Migliaia 46 4 2 3 2" xfId="34269" xr:uid="{C1E7341C-2962-40C0-8FF0-092DCB837259}"/>
    <cellStyle name="Migliaia 46 4 2 3 2 2" xfId="39843" xr:uid="{51CAEE99-CEB3-4DD8-ADB4-7B7D687CEBA3}"/>
    <cellStyle name="Migliaia 46 4 2 3 2 3" xfId="45145" xr:uid="{E0E3FE48-E048-45F2-8D6B-63D3499E53C5}"/>
    <cellStyle name="Migliaia 46 4 2 3 3" xfId="37230" xr:uid="{30CBB57A-1752-447A-BEFF-50922180A6AA}"/>
    <cellStyle name="Migliaia 46 4 2 3 4" xfId="42494" xr:uid="{B5C8EF9F-73FC-4E28-BC8A-8E000C0F4738}"/>
    <cellStyle name="Migliaia 46 4 2 3 5" xfId="12049" xr:uid="{2CDE1213-E5EA-4D91-ABD4-8CE61935FED7}"/>
    <cellStyle name="Migliaia 46 4 2 4" xfId="11398" xr:uid="{C1DC0481-6A64-42DB-B641-ECF728AC468A}"/>
    <cellStyle name="Migliaia 46 4 2 5" xfId="10936" xr:uid="{6DD5FBFA-1077-4142-BA85-C1FD32916431}"/>
    <cellStyle name="Migliaia 46 4 2 5 2" xfId="21571" xr:uid="{BA1F5722-5EE4-4373-B050-E043BA6B1CFA}"/>
    <cellStyle name="Migliaia 46 4 2 5 3" xfId="47310" xr:uid="{3416746A-652F-4D4D-8B30-3BA2F63B0A69}"/>
    <cellStyle name="Migliaia 46 4 2 5 4" xfId="50586" xr:uid="{B9F8B641-262D-4BF0-98F6-2D51F378C89C}"/>
    <cellStyle name="Migliaia 46 4 2 5 5" xfId="53602" xr:uid="{7D40FD53-4C08-4B0E-8DC2-AB24D0AB2F9C}"/>
    <cellStyle name="Migliaia 46 4 2 6" xfId="20752" xr:uid="{F2E49407-6D76-4300-AC5F-0258E8243C8F}"/>
    <cellStyle name="Migliaia 46 4 2 7" xfId="25150" xr:uid="{C491E25F-00AE-4382-B151-FB8DCB885C54}"/>
    <cellStyle name="Migliaia 46 4 2 8" xfId="8724" xr:uid="{92E852B0-B8F5-4859-B46F-D652592EE3B9}"/>
    <cellStyle name="Migliaia 46 4 3" xfId="5480" xr:uid="{80163026-F19E-4685-8285-E88D17E548D9}"/>
    <cellStyle name="Migliaia 46 4 3 2" xfId="18243" xr:uid="{788812CE-3E87-47C5-B13E-CBCCF4F83280}"/>
    <cellStyle name="Migliaia 46 4 3 2 2" xfId="39844" xr:uid="{3FBB2D95-B8B2-4681-A0A8-B45418E7A80C}"/>
    <cellStyle name="Migliaia 46 4 3 2 3" xfId="45146" xr:uid="{8E8B7554-02BD-42A4-AF99-DAACD478AE50}"/>
    <cellStyle name="Migliaia 46 4 3 3" xfId="37231" xr:uid="{A46E9FA3-3ACA-4B5B-803F-1DC99EAA5A1B}"/>
    <cellStyle name="Migliaia 46 4 3 4" xfId="42495" xr:uid="{B0FEBC88-AC81-448A-9B4C-9FFB0BA247A4}"/>
    <cellStyle name="Migliaia 46 4 3 5" xfId="17305" xr:uid="{9762606E-B860-41E1-BC4C-84C96329FA4E}"/>
    <cellStyle name="Migliaia 46 4 3 6" xfId="9189" xr:uid="{AB0BA984-0651-432B-A289-544D83E8E5FC}"/>
    <cellStyle name="Migliaia 46 4 4" xfId="6664" xr:uid="{DD892B3B-1930-4DA2-9FCF-6C45F366021C}"/>
    <cellStyle name="Migliaia 46 4 4 2" xfId="34270" xr:uid="{B6B82E84-D0FC-441F-9018-37167A8CAF4E}"/>
    <cellStyle name="Migliaia 46 4 4 2 2" xfId="39845" xr:uid="{1E847A80-D441-41F8-931F-C2D5C8CA3099}"/>
    <cellStyle name="Migliaia 46 4 4 2 3" xfId="45147" xr:uid="{A6EFC519-9878-4579-819E-FB49CEB774BC}"/>
    <cellStyle name="Migliaia 46 4 4 3" xfId="37232" xr:uid="{9C9EA2B8-B95F-41F2-B8A6-EEFD4CDEDE1B}"/>
    <cellStyle name="Migliaia 46 4 4 4" xfId="42496" xr:uid="{002E3897-7F46-42D5-91A7-B2F6AD4121C9}"/>
    <cellStyle name="Migliaia 46 4 4 5" xfId="12050" xr:uid="{4B53916D-40ED-4468-8110-28C7E573280E}"/>
    <cellStyle name="Migliaia 46 4 5" xfId="3754" xr:uid="{21D75C22-4D3D-460C-8760-F59B699F5A4B}"/>
    <cellStyle name="Migliaia 46 4 5 2" xfId="34271" xr:uid="{DBD64D81-9136-48A6-B885-D91563E885CF}"/>
    <cellStyle name="Migliaia 46 4 5 2 2" xfId="39846" xr:uid="{618D7159-B307-4DE5-A9EB-80BFDC31095C}"/>
    <cellStyle name="Migliaia 46 4 5 2 3" xfId="45148" xr:uid="{1B5110C7-FED1-4CC3-819C-70B98AAD96ED}"/>
    <cellStyle name="Migliaia 46 4 5 3" xfId="37233" xr:uid="{22EFE003-144B-4B02-BCC7-AA86B2CA6152}"/>
    <cellStyle name="Migliaia 46 4 5 4" xfId="42497" xr:uid="{96811363-F9BC-4309-AC90-E16472071013}"/>
    <cellStyle name="Migliaia 46 4 5 5" xfId="11397" xr:uid="{5F6939AB-771A-455C-9B1B-EA59F9373482}"/>
    <cellStyle name="Migliaia 46 4 6" xfId="10935" xr:uid="{E0625DD4-B6BE-4460-B757-333F5F6CBFA2}"/>
    <cellStyle name="Migliaia 46 4 6 2" xfId="21570" xr:uid="{AF570ED4-CDE6-4FE9-A60A-4051BA107993}"/>
    <cellStyle name="Migliaia 46 4 6 2 2" xfId="39847" xr:uid="{49133F8A-EC2E-41F2-A07F-47885D48183B}"/>
    <cellStyle name="Migliaia 46 4 6 2 3" xfId="45149" xr:uid="{24D038BE-6A06-40B1-8A8E-E24F927D2B17}"/>
    <cellStyle name="Migliaia 46 4 6 2 4" xfId="34272" xr:uid="{3F52F045-6809-4A97-8430-A4D5CFFEA950}"/>
    <cellStyle name="Migliaia 46 4 6 3" xfId="37234" xr:uid="{785D8B59-6F26-49E6-81FA-BF7F4AC25BD1}"/>
    <cellStyle name="Migliaia 46 4 6 4" xfId="42498" xr:uid="{64B385A4-BAED-4278-8781-2FDE56CB1DAF}"/>
    <cellStyle name="Migliaia 46 4 6 5" xfId="25151" xr:uid="{AC217BEF-B8A5-4F7F-B1EF-782128C323BA}"/>
    <cellStyle name="Migliaia 46 4 6 6" xfId="47427" xr:uid="{1F4301F0-752A-4D97-806D-5238A496DB7D}"/>
    <cellStyle name="Migliaia 46 4 6 7" xfId="50585" xr:uid="{B2C1D74B-76C1-4783-8C27-74EDDCEAD175}"/>
    <cellStyle name="Migliaia 46 4 6 8" xfId="53601" xr:uid="{3B7F9402-6E0A-4158-BFD6-3949F9A17D1F}"/>
    <cellStyle name="Migliaia 46 4 7" xfId="20751" xr:uid="{40F36421-FF64-4A3F-99A6-D90B7EB2363B}"/>
    <cellStyle name="Migliaia 46 4 7 2" xfId="34273" xr:uid="{67AD894B-7EC7-4EC0-8A7A-E99D2CF15118}"/>
    <cellStyle name="Migliaia 46 4 7 2 2" xfId="39848" xr:uid="{27914DBA-EBB5-4362-8BAB-5C37014BF385}"/>
    <cellStyle name="Migliaia 46 4 7 2 3" xfId="45150" xr:uid="{3B00FC05-90ED-4D99-B478-96E19EE6FEAA}"/>
    <cellStyle name="Migliaia 46 4 7 3" xfId="37235" xr:uid="{EB166857-FC0A-444E-9080-34279478D67A}"/>
    <cellStyle name="Migliaia 46 4 7 4" xfId="42499" xr:uid="{BA3AD520-E55C-4ADF-A657-22445C514F15}"/>
    <cellStyle name="Migliaia 46 4 7 5" xfId="25152" xr:uid="{8C535E9A-77BE-4ECE-BF4A-0499ADC7A6C4}"/>
    <cellStyle name="Migliaia 46 4 8" xfId="25149" xr:uid="{FD7B0012-0401-4708-9A2D-2DCA1F5B4CF9}"/>
    <cellStyle name="Migliaia 46 4 9" xfId="7534" xr:uid="{C6399183-FEE4-4182-BAA6-2F3BECE6BAAA}"/>
    <cellStyle name="Migliaia 46 5" xfId="1860" xr:uid="{00000000-0005-0000-0000-00002F040000}"/>
    <cellStyle name="Migliaia 46 5 2" xfId="5482" xr:uid="{59338C53-D48E-457B-B9C3-C5DC44F3310B}"/>
    <cellStyle name="Migliaia 46 5 2 2" xfId="18484" xr:uid="{E8CA00F7-879B-4F53-B05F-1677C76D0DC4}"/>
    <cellStyle name="Migliaia 46 5 2 2 2" xfId="39849" xr:uid="{19B72BFA-0BA6-404D-B33D-CE6234FAF7D5}"/>
    <cellStyle name="Migliaia 46 5 2 2 3" xfId="45151" xr:uid="{527460D6-73F0-4AC7-A347-D4990DBB91C0}"/>
    <cellStyle name="Migliaia 46 5 2 3" xfId="20754" xr:uid="{29BC4323-F4DA-40B9-88D0-40EF046D43EF}"/>
    <cellStyle name="Migliaia 46 5 2 3 2" xfId="37236" xr:uid="{D8E4CE0E-8272-42E8-AD0C-B63AF3261CAF}"/>
    <cellStyle name="Migliaia 46 5 2 4" xfId="42500" xr:uid="{2694F40B-09DA-4F4B-96F5-1DF8374529D2}"/>
    <cellStyle name="Migliaia 46 5 2 5" xfId="16646" xr:uid="{954F5968-8D79-41F8-BFFE-1ED007BF2858}"/>
    <cellStyle name="Migliaia 46 5 2 6" xfId="8725" xr:uid="{78A7551B-8C95-49EE-B95E-01C87CB247F6}"/>
    <cellStyle name="Migliaia 46 5 3" xfId="6665" xr:uid="{DA403AF9-9141-4A89-B56A-92414CFE7274}"/>
    <cellStyle name="Migliaia 46 5 3 2" xfId="34274" xr:uid="{2F3EC246-BCAE-4A7D-BC25-99520B06A03E}"/>
    <cellStyle name="Migliaia 46 5 3 2 2" xfId="39850" xr:uid="{549DFA70-F5CB-4AB5-AFE1-7AD08D566660}"/>
    <cellStyle name="Migliaia 46 5 3 2 3" xfId="45152" xr:uid="{119DEFF2-C599-468D-A32F-C0635FDFBBA3}"/>
    <cellStyle name="Migliaia 46 5 3 3" xfId="37237" xr:uid="{BA90ACD1-E479-4253-A071-59501BC51BB6}"/>
    <cellStyle name="Migliaia 46 5 3 4" xfId="42501" xr:uid="{8715A3CC-9310-49A7-ACE5-27FA312C89CE}"/>
    <cellStyle name="Migliaia 46 5 3 5" xfId="11399" xr:uid="{E660679F-7E4A-47F0-90B6-3884C9DDB17B}"/>
    <cellStyle name="Migliaia 46 5 4" xfId="3756" xr:uid="{C7A418DF-17FC-4179-BF40-776395AB3D11}"/>
    <cellStyle name="Migliaia 46 5 4 2" xfId="21572" xr:uid="{CC9DADE3-2683-4DF6-B663-2367E1CC6DD0}"/>
    <cellStyle name="Migliaia 46 5 4 2 2" xfId="39851" xr:uid="{B360582F-B539-4719-BBFC-A33A85467706}"/>
    <cellStyle name="Migliaia 46 5 4 2 3" xfId="45153" xr:uid="{42FAD991-6672-488E-9BD4-6F216288FB24}"/>
    <cellStyle name="Migliaia 46 5 4 2 4" xfId="34275" xr:uid="{C1880878-7F5B-4208-AFA8-DDDD0219F1A1}"/>
    <cellStyle name="Migliaia 46 5 4 3" xfId="37238" xr:uid="{DCA5BAE4-D0A1-4EF9-BD6E-F631315CF414}"/>
    <cellStyle name="Migliaia 46 5 4 4" xfId="42502" xr:uid="{30EE2E70-3C5B-46C7-9D1D-D61038332661}"/>
    <cellStyle name="Migliaia 46 5 4 5" xfId="25154" xr:uid="{30DBA3F3-AA0D-44FA-AFF7-E0A6510A8EBF}"/>
    <cellStyle name="Migliaia 46 5 4 6" xfId="46260" xr:uid="{A4C25B83-26AB-445F-90E1-D72E09FE0E7F}"/>
    <cellStyle name="Migliaia 46 5 4 7" xfId="50587" xr:uid="{0697CABF-A99A-44BD-9986-C43AA96E681D}"/>
    <cellStyle name="Migliaia 46 5 4 8" xfId="53603" xr:uid="{FD674446-56F1-4BF6-86D8-EEEAE271F08C}"/>
    <cellStyle name="Migliaia 46 5 4 9" xfId="10937" xr:uid="{D38BB2C6-706E-49B8-BE0E-FEB79E6822B0}"/>
    <cellStyle name="Migliaia 46 5 5" xfId="20753" xr:uid="{A3FB3B2E-5889-4A82-88B0-1F666300E87D}"/>
    <cellStyle name="Migliaia 46 5 5 2" xfId="34276" xr:uid="{59DE34D0-0332-4B79-A8E3-C2FE8DA8F28E}"/>
    <cellStyle name="Migliaia 46 5 5 2 2" xfId="39852" xr:uid="{235E6BB8-703E-4953-9A7C-EDD3024E0CE6}"/>
    <cellStyle name="Migliaia 46 5 5 2 3" xfId="45154" xr:uid="{3559690E-B7B8-4220-8E57-80F14ED738AF}"/>
    <cellStyle name="Migliaia 46 5 5 3" xfId="37239" xr:uid="{A918EA5D-479D-44A7-B42B-A7301BFD0FA9}"/>
    <cellStyle name="Migliaia 46 5 5 4" xfId="42503" xr:uid="{8C894095-8164-4F28-9E72-9D81B8480D1D}"/>
    <cellStyle name="Migliaia 46 5 5 5" xfId="25155" xr:uid="{FF552209-3998-47E3-B109-FEE85968FECE}"/>
    <cellStyle name="Migliaia 46 5 6" xfId="25156" xr:uid="{FD38D098-E8EE-4DFA-A91F-CB42264D1DC6}"/>
    <cellStyle name="Migliaia 46 5 6 2" xfId="34277" xr:uid="{DD3F8A60-9754-4EF6-9DC2-26E389BBEC2A}"/>
    <cellStyle name="Migliaia 46 5 6 2 2" xfId="39853" xr:uid="{7EBCC056-6C73-4884-B8FF-2BA0DF76628F}"/>
    <cellStyle name="Migliaia 46 5 6 2 3" xfId="45155" xr:uid="{1B8247D6-C38A-443C-BA77-EDCD241B50A6}"/>
    <cellStyle name="Migliaia 46 5 6 3" xfId="37240" xr:uid="{7ABFF4B3-CA57-41C4-A8B9-9F640E25FD2F}"/>
    <cellStyle name="Migliaia 46 5 6 4" xfId="42504" xr:uid="{81FD7248-0338-4C50-9A9A-4D770F672E5E}"/>
    <cellStyle name="Migliaia 46 5 7" xfId="25153" xr:uid="{0294ADE2-1227-4332-AC94-7550C8622EC0}"/>
    <cellStyle name="Migliaia 46 5 8" xfId="7535" xr:uid="{395C751D-9921-4122-879F-CEADFB5255D1}"/>
    <cellStyle name="Migliaia 46 6" xfId="3757" xr:uid="{C7EB0CDC-7E81-4458-87BA-F2890ECBD7C0}"/>
    <cellStyle name="Migliaia 46 6 2" xfId="5483" xr:uid="{709C9577-B994-42ED-B7F3-08AA34E5BC19}"/>
    <cellStyle name="Migliaia 46 6 2 2" xfId="9961" xr:uid="{1F2B35AB-3795-4E74-906D-61C565D267B4}"/>
    <cellStyle name="Migliaia 46 6 2 3" xfId="18640" xr:uid="{E01BD415-341C-408E-8064-3662671FC776}"/>
    <cellStyle name="Migliaia 46 6 2 4" xfId="20756" xr:uid="{EF18E96B-C0B5-48B6-9B26-42F7DC554B6F}"/>
    <cellStyle name="Migliaia 46 6 2 5" xfId="32441" xr:uid="{827704D9-3A15-49BB-BABF-B3182B78841B}"/>
    <cellStyle name="Migliaia 46 6 2 6" xfId="16648" xr:uid="{236767C9-AB73-496A-A1BF-8357B30A6084}"/>
    <cellStyle name="Migliaia 46 6 2 7" xfId="8720" xr:uid="{59D57109-857F-454F-9264-1D0071DDBE25}"/>
    <cellStyle name="Migliaia 46 6 3" xfId="6666" xr:uid="{ED4F6FE0-6C02-4CF3-90EA-0F6E0EF41885}"/>
    <cellStyle name="Migliaia 46 6 3 2" xfId="35407" xr:uid="{48B8CCFC-D7DF-401C-AD4E-C260829400E9}"/>
    <cellStyle name="Migliaia 46 6 3 2 2" xfId="40567" xr:uid="{9D2525A8-2D6D-481E-8692-E81ECE39DD17}"/>
    <cellStyle name="Migliaia 46 6 3 2 3" xfId="45869" xr:uid="{3F4600AE-F898-4C92-8423-59878228F6D7}"/>
    <cellStyle name="Migliaia 46 6 3 3" xfId="37916" xr:uid="{27AB7022-A6E5-45DD-8317-1EE88737B21B}"/>
    <cellStyle name="Migliaia 46 6 3 4" xfId="43218" xr:uid="{B68A4CD7-11EB-4896-956D-D9DE176C1A55}"/>
    <cellStyle name="Migliaia 46 6 3 5" xfId="9724" xr:uid="{74D8D098-FEE6-43AE-9BF4-FF2C0FF8AB14}"/>
    <cellStyle name="Migliaia 46 6 4" xfId="20755" xr:uid="{ACF3C187-BED3-4D51-B5D5-8D444571B95F}"/>
    <cellStyle name="Migliaia 46 6 4 2" xfId="39854" xr:uid="{DD459F02-7C0A-402C-A495-402C1E06A9C8}"/>
    <cellStyle name="Migliaia 46 6 4 3" xfId="45156" xr:uid="{87AD234F-57BD-40FA-8343-56C0F63B1379}"/>
    <cellStyle name="Migliaia 46 6 4 4" xfId="34278" xr:uid="{0278D5CC-8FC0-43F6-B472-D5AC5D7FEAE5}"/>
    <cellStyle name="Migliaia 46 6 5" xfId="37241" xr:uid="{5D18C243-7FC6-4527-B471-95B067997D10}"/>
    <cellStyle name="Migliaia 46 6 6" xfId="42505" xr:uid="{79D5237E-3706-4B54-8147-26AAF11C6412}"/>
    <cellStyle name="Migliaia 46 6 7" xfId="16647" xr:uid="{5BC2763D-7483-4EC2-A89C-51743015FF3F}"/>
    <cellStyle name="Migliaia 46 6 8" xfId="7530" xr:uid="{EBFEC8B9-6571-455B-859E-A89DC6C609EB}"/>
    <cellStyle name="Migliaia 46 7" xfId="3758" xr:uid="{ED74A01A-CB09-41E1-A89C-E75A48F8B810}"/>
    <cellStyle name="Migliaia 46 7 2" xfId="5484" xr:uid="{20B75C15-BCA0-423B-9D2D-637D9587551D}"/>
    <cellStyle name="Migliaia 46 7 2 2" xfId="35408" xr:uid="{5F1628F2-152D-43DE-A092-AC2C3C5F7212}"/>
    <cellStyle name="Migliaia 46 7 2 2 2" xfId="40568" xr:uid="{41E8E01C-4E15-4E02-A09E-1AF769E15B05}"/>
    <cellStyle name="Migliaia 46 7 2 2 3" xfId="45870" xr:uid="{6CEB436F-E06A-4D15-B31D-C754075646D0}"/>
    <cellStyle name="Migliaia 46 7 2 3" xfId="37917" xr:uid="{380B0764-D2CD-4509-B1E1-D03AA7761B32}"/>
    <cellStyle name="Migliaia 46 7 2 4" xfId="43219" xr:uid="{BF06D51E-70DC-4CA4-B5D2-A0010E1F4B71}"/>
    <cellStyle name="Migliaia 46 7 2 5" xfId="14299" xr:uid="{5979E2FF-279D-4ABC-891F-ACCB72A1DB36}"/>
    <cellStyle name="Migliaia 46 7 3" xfId="6667" xr:uid="{CDEAFA78-86A6-4034-8C33-82ABFC96A806}"/>
    <cellStyle name="Migliaia 46 7 3 2" xfId="39855" xr:uid="{4269250F-91C2-4A95-85D7-6D5BDA9B6F39}"/>
    <cellStyle name="Migliaia 46 7 3 3" xfId="45157" xr:uid="{0696E9E8-5B22-467A-8486-6A9887254126}"/>
    <cellStyle name="Migliaia 46 7 3 4" xfId="34279" xr:uid="{524004A6-C62B-4A7A-AAB6-69E63161B4DC}"/>
    <cellStyle name="Migliaia 46 7 3 5" xfId="20757" xr:uid="{039B9ECF-4DBB-47A1-8BE8-AA6747B17DB1}"/>
    <cellStyle name="Migliaia 46 7 4" xfId="37242" xr:uid="{6362FE89-3989-4972-A2D7-FCFAFA1EB8AA}"/>
    <cellStyle name="Migliaia 46 7 5" xfId="42506" xr:uid="{AEFFE9E8-E8AF-42B1-B9CE-536C7E611F34}"/>
    <cellStyle name="Migliaia 46 7 6" xfId="16649" xr:uid="{AA314AED-6B78-4252-B89D-30370803292B}"/>
    <cellStyle name="Migliaia 46 7 7" xfId="8361" xr:uid="{EA8D4DCD-2FCD-41CA-BD6E-110EB0B628A4}"/>
    <cellStyle name="Migliaia 46 8" xfId="3759" xr:uid="{5BF3515C-FA1A-4236-91D3-5547CA86AF7A}"/>
    <cellStyle name="Migliaia 46 8 2" xfId="5485" xr:uid="{407376C9-4ED2-413C-92F2-C534AC9748E5}"/>
    <cellStyle name="Migliaia 46 8 2 2" xfId="35409" xr:uid="{B2DB2B43-D906-4FC7-8294-ADBBCFD3171D}"/>
    <cellStyle name="Migliaia 46 8 2 2 2" xfId="40569" xr:uid="{0193B82E-5C1A-40BB-877C-2246B34E7C22}"/>
    <cellStyle name="Migliaia 46 8 2 2 3" xfId="45871" xr:uid="{4A63D364-721D-4A8D-A86F-E43376A4EFED}"/>
    <cellStyle name="Migliaia 46 8 2 3" xfId="37918" xr:uid="{DA947AEF-CE8F-41E3-AE2B-9FEB87E7BFF9}"/>
    <cellStyle name="Migliaia 46 8 2 4" xfId="43220" xr:uid="{9B2BDE60-1CCE-4559-B1AB-54BB39B073C4}"/>
    <cellStyle name="Migliaia 46 8 2 5" xfId="14004" xr:uid="{9AB3B737-5671-4C24-A26E-E1625AEE500B}"/>
    <cellStyle name="Migliaia 46 8 3" xfId="6668" xr:uid="{87B3C641-C4DC-4C6C-87F3-A705526F1A55}"/>
    <cellStyle name="Migliaia 46 8 3 2" xfId="39856" xr:uid="{640FF09B-B3C1-42DB-8739-3BD764FC7D05}"/>
    <cellStyle name="Migliaia 46 8 3 3" xfId="45158" xr:uid="{5FDED6FC-4AA0-492B-83FD-D6FA3E405FD7}"/>
    <cellStyle name="Migliaia 46 8 3 4" xfId="34280" xr:uid="{DFE76762-72B0-4F38-A749-62DF7C03E6EA}"/>
    <cellStyle name="Migliaia 46 8 3 5" xfId="20758" xr:uid="{A298DB5A-7375-465E-BA4C-D249F13B2086}"/>
    <cellStyle name="Migliaia 46 8 4" xfId="37243" xr:uid="{55784EA6-78F1-4D64-BB5A-BA7B86D30B9E}"/>
    <cellStyle name="Migliaia 46 8 5" xfId="42507" xr:uid="{8F5897CC-C990-4B7C-9AAA-D17DD07D0E52}"/>
    <cellStyle name="Migliaia 46 8 6" xfId="16650" xr:uid="{54EB37E9-FDCC-436B-A284-E7AFEF3EA574}"/>
    <cellStyle name="Migliaia 46 8 7" xfId="7982" xr:uid="{AEB58526-D24F-4DBC-9890-7529A6DFE925}"/>
    <cellStyle name="Migliaia 46 9" xfId="5470" xr:uid="{1DF514BA-51C7-4BB3-9BCC-D90476BF9D38}"/>
    <cellStyle name="Migliaia 46 9 2" xfId="34281" xr:uid="{AD8D2C6E-E218-4E4D-A1EB-CCE7C5072EA6}"/>
    <cellStyle name="Migliaia 46 9 2 2" xfId="39857" xr:uid="{6410B75C-B84C-44BC-B26B-664A1E052896}"/>
    <cellStyle name="Migliaia 46 9 2 3" xfId="45159" xr:uid="{1C3779F0-EB8B-42DE-B74D-5ED6F3D7F352}"/>
    <cellStyle name="Migliaia 46 9 3" xfId="37244" xr:uid="{8E0EB2AB-BF79-4F3F-AFF9-130FD55A2088}"/>
    <cellStyle name="Migliaia 46 9 4" xfId="42508" xr:uid="{755DDED4-4CD3-440F-B742-D756626BEC0A}"/>
    <cellStyle name="Migliaia 46 9 5" xfId="17215" xr:uid="{4583C464-3551-42BA-9173-91D82C49AB6A}"/>
    <cellStyle name="Migliaia 47" xfId="465" xr:uid="{00000000-0005-0000-0000-000030040000}"/>
    <cellStyle name="Migliaia 47 10" xfId="6669" xr:uid="{58B66077-9DE4-4615-8A05-88F40868DFA6}"/>
    <cellStyle name="Migliaia 47 10 2" xfId="39858" xr:uid="{51E7F5DB-3F10-459D-A1C8-365BB86F70E7}"/>
    <cellStyle name="Migliaia 47 10 3" xfId="45160" xr:uid="{A8DDBE16-93BB-477C-8ED4-0175F96084AB}"/>
    <cellStyle name="Migliaia 47 10 4" xfId="34282" xr:uid="{5580C26A-C636-4D2E-9C7E-BBC96A91C404}"/>
    <cellStyle name="Migliaia 47 10 5" xfId="20759" xr:uid="{8FF02B87-D020-4B8B-9ADE-45D0E7D6FC0D}"/>
    <cellStyle name="Migliaia 47 11" xfId="3760" xr:uid="{30D4AB59-2E0C-4BD0-845B-896614282AC1}"/>
    <cellStyle name="Migliaia 47 11 2" xfId="37245" xr:uid="{602A5055-D0BE-476B-97D4-35F24F30258B}"/>
    <cellStyle name="Migliaia 47 12" xfId="42509" xr:uid="{AB6FA7D1-A3DF-4E56-9314-CA25C3D30F44}"/>
    <cellStyle name="Migliaia 47 13" xfId="7165" xr:uid="{AC5E1B96-ECB5-4302-AA74-780DD5ECF69E}"/>
    <cellStyle name="Migliaia 47 2" xfId="466" xr:uid="{00000000-0005-0000-0000-000031040000}"/>
    <cellStyle name="Migliaia 47 2 2" xfId="1861" xr:uid="{00000000-0005-0000-0000-000032040000}"/>
    <cellStyle name="Migliaia 47 2 2 2" xfId="5488" xr:uid="{F5D4E436-81DE-4984-8C33-44D2F5D5B7CF}"/>
    <cellStyle name="Migliaia 47 2 2 2 2" xfId="14404" xr:uid="{6142B4D7-85BE-4481-A99B-B1061E15952E}"/>
    <cellStyle name="Migliaia 47 2 2 2 2 2" xfId="39859" xr:uid="{0FC8357E-76CB-4C25-BE15-CAC46D25CE30}"/>
    <cellStyle name="Migliaia 47 2 2 2 2 3" xfId="45161" xr:uid="{47A78FA1-0302-415A-8EE5-75FAECEC3928}"/>
    <cellStyle name="Migliaia 47 2 2 2 3" xfId="18485" xr:uid="{434AD15B-14C9-412F-A333-A16475E681B4}"/>
    <cellStyle name="Migliaia 47 2 2 2 4" xfId="20762" xr:uid="{6FCCBBB8-DA9D-44EC-A5E7-89F73FF09F78}"/>
    <cellStyle name="Migliaia 47 2 2 2 4 2" xfId="42510" xr:uid="{390775AA-D824-48E9-B201-287EDB29860E}"/>
    <cellStyle name="Migliaia 47 2 2 2 5" xfId="16651" xr:uid="{E9663506-DCF1-4417-BE54-F7CDA3F66927}"/>
    <cellStyle name="Migliaia 47 2 2 2 6" xfId="8727" xr:uid="{A8DE60AA-F427-4930-972C-4083BDF202CC}"/>
    <cellStyle name="Migliaia 47 2 2 3" xfId="6671" xr:uid="{E007C20A-A4FD-4785-B414-CFCD199C7B8F}"/>
    <cellStyle name="Migliaia 47 2 2 3 2" xfId="35410" xr:uid="{011DB7B5-F66C-4D07-8EDC-DA36550D085C}"/>
    <cellStyle name="Migliaia 47 2 2 3 2 2" xfId="40570" xr:uid="{EFA84E2F-712C-4E00-ABD4-56F6FCBABA1E}"/>
    <cellStyle name="Migliaia 47 2 2 3 2 3" xfId="45872" xr:uid="{F6CC6A80-C285-4E18-A3DD-8A598819CB8D}"/>
    <cellStyle name="Migliaia 47 2 2 3 3" xfId="37919" xr:uid="{6F6B54C3-BFC1-4D68-AADD-03AE43709777}"/>
    <cellStyle name="Migliaia 47 2 2 3 4" xfId="43221" xr:uid="{D3504D7F-33B5-43DD-9EDA-85DE683767D6}"/>
    <cellStyle name="Migliaia 47 2 2 3 5" xfId="11631" xr:uid="{8839CAE9-A517-4904-A670-22F1510D4DFB}"/>
    <cellStyle name="Migliaia 47 2 2 4" xfId="3762" xr:uid="{6A4DA001-497B-4567-95EE-9EE8B2F1E73A}"/>
    <cellStyle name="Migliaia 47 2 2 4 2" xfId="21573" xr:uid="{5A75D05C-C193-4175-AAF5-31C809227508}"/>
    <cellStyle name="Migliaia 47 2 2 4 3" xfId="47904" xr:uid="{2F28772F-7970-4E18-82B8-1F5B469F8559}"/>
    <cellStyle name="Migliaia 47 2 2 4 4" xfId="50588" xr:uid="{3B5F8D1D-0DD9-4B77-B7E5-C9AAA7AF5A85}"/>
    <cellStyle name="Migliaia 47 2 2 4 5" xfId="53604" xr:uid="{20FBBB76-BB1C-42F8-9454-15CFD15681A6}"/>
    <cellStyle name="Migliaia 47 2 2 4 6" xfId="10938" xr:uid="{86B14F87-F0E5-487D-92B3-25C72C066038}"/>
    <cellStyle name="Migliaia 47 2 2 5" xfId="20761" xr:uid="{601AB84D-8BEE-483F-A21C-05C7950F01D9}"/>
    <cellStyle name="Migliaia 47 2 2 6" xfId="25158" xr:uid="{34D4EC2D-2FFE-463C-8EB6-D568D3C9D0A8}"/>
    <cellStyle name="Migliaia 47 2 2 7" xfId="7537" xr:uid="{0E856AE8-A8FA-4F22-B5E8-2857BBAA249B}"/>
    <cellStyle name="Migliaia 47 2 3" xfId="3763" xr:uid="{8EC71CED-A63F-453C-83FF-A7FDAC949A3E}"/>
    <cellStyle name="Migliaia 47 2 3 2" xfId="5489" xr:uid="{F62E0981-0B94-4DEF-A2AC-7464D851E043}"/>
    <cellStyle name="Migliaia 47 2 3 2 2" xfId="35411" xr:uid="{AB6D45B2-F0BF-4763-BC2D-1C62BA4AA59A}"/>
    <cellStyle name="Migliaia 47 2 3 2 2 2" xfId="40571" xr:uid="{05C75B21-64A9-4D47-8AA5-ACB20D8B65A7}"/>
    <cellStyle name="Migliaia 47 2 3 2 2 3" xfId="45873" xr:uid="{C598D2AF-4954-424A-A449-B621E0D3E0CF}"/>
    <cellStyle name="Migliaia 47 2 3 2 3" xfId="37920" xr:uid="{6772EA97-3909-4FEB-A594-838C9BF98CE9}"/>
    <cellStyle name="Migliaia 47 2 3 2 4" xfId="43222" xr:uid="{F7727180-FD67-410B-BF99-894FAA478183}"/>
    <cellStyle name="Migliaia 47 2 3 2 5" xfId="14303" xr:uid="{5F699C29-A1EE-44C6-9A18-AA1C0FD7E4D4}"/>
    <cellStyle name="Migliaia 47 2 3 3" xfId="6672" xr:uid="{3251134C-5FD7-4504-B782-8AB3957D207D}"/>
    <cellStyle name="Migliaia 47 2 3 3 2" xfId="39860" xr:uid="{453ADDCA-C92A-4249-95AE-184778F9F114}"/>
    <cellStyle name="Migliaia 47 2 3 3 3" xfId="45162" xr:uid="{22599909-C5CC-4144-B1BB-ABAD25454FEF}"/>
    <cellStyle name="Migliaia 47 2 3 3 4" xfId="34283" xr:uid="{6B17FF00-BD58-451C-933E-29ED5EF317DB}"/>
    <cellStyle name="Migliaia 47 2 3 3 5" xfId="20763" xr:uid="{91ED2D15-9211-4B30-9F88-D4BC44936EFD}"/>
    <cellStyle name="Migliaia 47 2 3 4" xfId="37246" xr:uid="{92E930DE-A76F-48D8-B8F7-8D63DB860DA2}"/>
    <cellStyle name="Migliaia 47 2 3 5" xfId="42511" xr:uid="{B8CFE0A3-2CB7-40FC-B597-132AB69DFB25}"/>
    <cellStyle name="Migliaia 47 2 3 6" xfId="16652" xr:uid="{34506406-7D51-4ACE-84F1-ECED2636B20A}"/>
    <cellStyle name="Migliaia 47 2 3 7" xfId="8365" xr:uid="{5D2039A7-F463-4FFF-B71F-85101202B48B}"/>
    <cellStyle name="Migliaia 47 2 4" xfId="5487" xr:uid="{9A483735-BE3F-41D2-89FE-BFEE098C3787}"/>
    <cellStyle name="Migliaia 47 2 4 2" xfId="14008" xr:uid="{4EA7AE78-F146-43DA-87B3-F1D44CBA627B}"/>
    <cellStyle name="Migliaia 47 2 4 2 2" xfId="39861" xr:uid="{97C359DF-916C-403A-A5E0-AE6AE1678C93}"/>
    <cellStyle name="Migliaia 47 2 4 2 3" xfId="45163" xr:uid="{93AF5596-080D-4294-8FC4-EFD57C9AA511}"/>
    <cellStyle name="Migliaia 47 2 4 3" xfId="18697" xr:uid="{DB4F0684-6453-46A3-B5B0-19FE758B2E55}"/>
    <cellStyle name="Migliaia 47 2 4 4" xfId="20764" xr:uid="{7D48CAAA-EE2A-4B71-B7BE-74D814299C8D}"/>
    <cellStyle name="Migliaia 47 2 4 4 2" xfId="42512" xr:uid="{818553DD-6566-4947-9C8B-DB98CE755081}"/>
    <cellStyle name="Migliaia 47 2 4 5" xfId="16653" xr:uid="{F13AB95F-C28B-4F76-83C8-215F87ED0176}"/>
    <cellStyle name="Migliaia 47 2 4 6" xfId="7987" xr:uid="{552376A4-F09E-43E1-AE4D-3D5430112559}"/>
    <cellStyle name="Migliaia 47 2 5" xfId="6670" xr:uid="{67FB58E4-996B-4C2F-8B1B-29FFED53830F}"/>
    <cellStyle name="Migliaia 47 2 5 2" xfId="34285" xr:uid="{942789D6-E523-4C3F-8034-AE50579AD94D}"/>
    <cellStyle name="Migliaia 47 2 5 2 2" xfId="39862" xr:uid="{B36BD3A4-3ADC-435C-B545-B00FB73741D4}"/>
    <cellStyle name="Migliaia 47 2 5 2 3" xfId="45164" xr:uid="{A05919B9-C81B-492B-B3C1-FE915E7C2DDD}"/>
    <cellStyle name="Migliaia 47 2 5 3" xfId="37247" xr:uid="{4594CAB5-DA24-408B-BA92-3A6049A9E9F6}"/>
    <cellStyle name="Migliaia 47 2 5 4" xfId="42513" xr:uid="{C1D260C0-EC01-4A37-9F88-2A3C4574E708}"/>
    <cellStyle name="Migliaia 47 2 5 5" xfId="13144" xr:uid="{5A9F3F0E-C538-4FEC-93B0-DEFBB258383A}"/>
    <cellStyle name="Migliaia 47 2 6" xfId="3761" xr:uid="{E70DB612-ECDB-48D8-9547-5B659033AB11}"/>
    <cellStyle name="Migliaia 47 2 6 2" xfId="34286" xr:uid="{94FD381C-9396-4BAE-9A4E-599E6AB3C6F5}"/>
    <cellStyle name="Migliaia 47 2 6 2 2" xfId="39863" xr:uid="{97D7DDF5-C614-48F7-A0E3-44341B5957B8}"/>
    <cellStyle name="Migliaia 47 2 6 2 3" xfId="45165" xr:uid="{3B0B99FB-A3B8-4167-BE75-3CB3953FC7E3}"/>
    <cellStyle name="Migliaia 47 2 6 3" xfId="37248" xr:uid="{404811EF-CDE6-4F4F-8B1D-B4B095B05B8B}"/>
    <cellStyle name="Migliaia 47 2 6 4" xfId="42514" xr:uid="{03A77F18-290F-4657-BC4E-1EF2AFBAD374}"/>
    <cellStyle name="Migliaia 47 2 6 5" xfId="25160" xr:uid="{4D74BE74-FFB8-4A1C-A80A-ABD3EA784CB8}"/>
    <cellStyle name="Migliaia 47 2 6 6" xfId="20760" xr:uid="{38F59E28-4FF2-457A-BFE7-7C4192FEC312}"/>
    <cellStyle name="Migliaia 47 2 7" xfId="25157" xr:uid="{2258533B-CD2B-423C-94E0-A187DAFD9404}"/>
    <cellStyle name="Migliaia 47 2 8" xfId="7166" xr:uid="{A91C51FF-2429-4C81-AE3C-F1AD531AA9C8}"/>
    <cellStyle name="Migliaia 47 3" xfId="467" xr:uid="{00000000-0005-0000-0000-000033040000}"/>
    <cellStyle name="Migliaia 47 3 10" xfId="25161" xr:uid="{86EBABEF-0264-4F73-A663-C458E79BA2F6}"/>
    <cellStyle name="Migliaia 47 3 11" xfId="16654" xr:uid="{DDB50030-9857-4680-A7FB-B8CAAFDD302F}"/>
    <cellStyle name="Migliaia 47 3 12" xfId="7167" xr:uid="{034EE52F-8D10-4BD4-B3CC-052F54656821}"/>
    <cellStyle name="Migliaia 47 3 2" xfId="468" xr:uid="{00000000-0005-0000-0000-000034040000}"/>
    <cellStyle name="Migliaia 47 3 2 2" xfId="1862" xr:uid="{00000000-0005-0000-0000-000035040000}"/>
    <cellStyle name="Migliaia 47 3 2 2 2" xfId="5492" xr:uid="{D97BA747-D864-41C6-9A12-C0317C2B2ED2}"/>
    <cellStyle name="Migliaia 47 3 2 2 2 2" xfId="18486" xr:uid="{B94587E5-53D0-481B-A131-6F2266C35E62}"/>
    <cellStyle name="Migliaia 47 3 2 2 2 2 2" xfId="21882" xr:uid="{DF3672D3-4C4A-420F-AE8F-D658DDF45E41}"/>
    <cellStyle name="Migliaia 47 3 2 2 2 2 2 2" xfId="39864" xr:uid="{B123DF8E-19D2-40D3-A0DD-A7A0802F6B8E}"/>
    <cellStyle name="Migliaia 47 3 2 2 2 2 3" xfId="45166" xr:uid="{2D6C8048-6EC5-4434-9853-8510F1AF8FAA}"/>
    <cellStyle name="Migliaia 47 3 2 2 2 2 4" xfId="34287" xr:uid="{378A444D-33EC-4BA0-93C9-6D9513C1D4D8}"/>
    <cellStyle name="Migliaia 47 3 2 2 2 3" xfId="37249" xr:uid="{00BF4221-0CE3-41D5-96E5-8B834006AE1D}"/>
    <cellStyle name="Migliaia 47 3 2 2 2 4" xfId="42515" xr:uid="{D75576E4-4273-4FB1-A0AF-7B350EA77ACF}"/>
    <cellStyle name="Migliaia 47 3 2 2 2 5" xfId="25113" xr:uid="{6B3127EB-B190-4990-9BFB-D30EC8C54965}"/>
    <cellStyle name="Migliaia 47 3 2 2 2 6" xfId="50910" xr:uid="{6B655601-FC96-455C-91DB-3B7C455C632F}"/>
    <cellStyle name="Migliaia 47 3 2 2 2 7" xfId="53926" xr:uid="{9E9644D2-917C-421D-AA51-C2E9E36E0240}"/>
    <cellStyle name="Migliaia 47 3 2 2 2 8" xfId="17680" xr:uid="{37D79C8D-C231-4474-9CF4-80F7D114C888}"/>
    <cellStyle name="Migliaia 47 3 2 2 2 9" xfId="12051" xr:uid="{67B72CB5-A15E-4225-A0FF-7AECC3A0C144}"/>
    <cellStyle name="Migliaia 47 3 2 2 3" xfId="6675" xr:uid="{6AA901BF-7931-428C-BC04-8FF206E9E720}"/>
    <cellStyle name="Migliaia 47 3 2 2 3 2" xfId="11141" xr:uid="{353CECCE-0FCF-4EC6-B91C-7308D9069A2A}"/>
    <cellStyle name="Migliaia 47 3 2 2 4" xfId="3766" xr:uid="{80C05CA8-F4FF-40E6-83AF-4B0FDAF5919F}"/>
    <cellStyle name="Migliaia 47 3 2 2 4 2" xfId="21574" xr:uid="{77AF271E-01A5-4262-98B2-D9E6E7D51215}"/>
    <cellStyle name="Migliaia 47 3 2 2 4 3" xfId="25349" xr:uid="{428F9E32-1E00-48E4-B329-D85873593EBD}"/>
    <cellStyle name="Migliaia 47 3 2 2 4 4" xfId="50589" xr:uid="{A441CC85-1DA0-416D-962F-1715CAF39D26}"/>
    <cellStyle name="Migliaia 47 3 2 2 4 5" xfId="53605" xr:uid="{36D407E6-54DA-46EF-AB07-6213340F3255}"/>
    <cellStyle name="Migliaia 47 3 2 2 4 6" xfId="10939" xr:uid="{25E0EAB5-1DAD-4434-9ADA-1010F7FB3B13}"/>
    <cellStyle name="Migliaia 47 3 2 2 5" xfId="20767" xr:uid="{F1A8499A-7E2D-41A2-BB22-ACEB8857AF87}"/>
    <cellStyle name="Migliaia 47 3 2 2 6" xfId="25163" xr:uid="{6B491CA1-CB39-4016-8D31-3E756D79A3E6}"/>
    <cellStyle name="Migliaia 47 3 2 2 7" xfId="8729" xr:uid="{930344C8-A30F-44FB-AB2F-8CECE3C06F61}"/>
    <cellStyle name="Migliaia 47 3 2 3" xfId="5491" xr:uid="{0F95BC40-D8CB-4E74-95F3-077FB8C3D444}"/>
    <cellStyle name="Migliaia 47 3 2 3 2" xfId="12402" xr:uid="{25537D91-0525-409C-AEC5-FF27A046D5E1}"/>
    <cellStyle name="Migliaia 47 3 2 3 2 2" xfId="39865" xr:uid="{8C2B3F2A-A780-4742-835E-2970083C2270}"/>
    <cellStyle name="Migliaia 47 3 2 3 2 3" xfId="45167" xr:uid="{139838F6-524B-4897-A8AB-88C559369A4D}"/>
    <cellStyle name="Migliaia 47 3 2 3 2 4" xfId="34288" xr:uid="{697C2133-5755-4DF8-9313-9C8A80FEDD9D}"/>
    <cellStyle name="Migliaia 47 3 2 3 3" xfId="12052" xr:uid="{AB9BF880-C414-4C66-87B8-AA410ADBCD9B}"/>
    <cellStyle name="Migliaia 47 3 2 3 4" xfId="20768" xr:uid="{0932AF06-0580-45E7-BFBB-4DE8C9DC8B88}"/>
    <cellStyle name="Migliaia 47 3 2 3 4 2" xfId="42516" xr:uid="{26334DB4-7E59-4618-A0B0-BC9DAF10D55C}"/>
    <cellStyle name="Migliaia 47 3 2 3 5" xfId="16655" xr:uid="{20B36C75-1C15-445B-A3C7-097F1D9390FD}"/>
    <cellStyle name="Migliaia 47 3 2 3 6" xfId="7989" xr:uid="{21E34490-9A14-46E0-8E5E-DDBD2BD7F4D9}"/>
    <cellStyle name="Migliaia 47 3 2 4" xfId="6674" xr:uid="{0A14D3A0-B26E-43E3-93E6-4EBD80449D44}"/>
    <cellStyle name="Migliaia 47 3 2 4 2" xfId="18098" xr:uid="{9B734395-9AF5-401B-9A9A-C5DC8D2AC4F8}"/>
    <cellStyle name="Migliaia 47 3 2 4 2 2" xfId="39866" xr:uid="{39AADF45-315F-4A71-958D-F8655400D757}"/>
    <cellStyle name="Migliaia 47 3 2 4 2 3" xfId="45168" xr:uid="{D3AF07F6-9374-4502-8A18-E057A34FD642}"/>
    <cellStyle name="Migliaia 47 3 2 4 3" xfId="37250" xr:uid="{F505F607-9D0B-4F7C-8B3F-F1BEAC56A95B}"/>
    <cellStyle name="Migliaia 47 3 2 4 4" xfId="42517" xr:uid="{EDCEDEFE-E580-471A-A694-C019998F32AE}"/>
    <cellStyle name="Migliaia 47 3 2 4 5" xfId="17218" xr:uid="{320C3DB3-7B49-4B93-B757-4031CCE8D0A0}"/>
    <cellStyle name="Migliaia 47 3 2 4 6" xfId="11400" xr:uid="{B457EAC7-F25B-4C77-A182-2C8F711E261E}"/>
    <cellStyle name="Migliaia 47 3 2 5" xfId="3765" xr:uid="{1A7309DA-6A1B-4F7F-8B67-8B35A65810EF}"/>
    <cellStyle name="Migliaia 47 3 2 5 2" xfId="34289" xr:uid="{22C38159-95A1-41E8-8D77-A1B5A85D2BA8}"/>
    <cellStyle name="Migliaia 47 3 2 5 2 2" xfId="39867" xr:uid="{C50C136F-87CB-4C02-A821-BD0CC2C6B52A}"/>
    <cellStyle name="Migliaia 47 3 2 5 2 3" xfId="45169" xr:uid="{4D6BBB46-38D9-4A2C-B71C-DC4333F2B088}"/>
    <cellStyle name="Migliaia 47 3 2 5 3" xfId="37251" xr:uid="{1D0F04D8-CC29-4E0A-9E1A-66FF5BD667A3}"/>
    <cellStyle name="Migliaia 47 3 2 5 4" xfId="42518" xr:uid="{52D243F1-67EF-4430-8959-54CA0CCFC149}"/>
    <cellStyle name="Migliaia 47 3 2 5 5" xfId="17303" xr:uid="{A0566FC9-F770-47FE-B567-E12CCFB3D479}"/>
    <cellStyle name="Migliaia 47 3 2 6" xfId="20766" xr:uid="{D68548A8-5CE6-4066-A37B-8BEE0331E8F8}"/>
    <cellStyle name="Migliaia 47 3 2 6 2" xfId="34290" xr:uid="{5EAE3E20-B17A-46C6-8C55-C7682E53A14F}"/>
    <cellStyle name="Migliaia 47 3 2 6 2 2" xfId="39868" xr:uid="{8B5AE849-D749-44DD-9A67-2769821167B9}"/>
    <cellStyle name="Migliaia 47 3 2 6 2 3" xfId="45170" xr:uid="{82D29505-3657-4EB5-AF13-0B442F029670}"/>
    <cellStyle name="Migliaia 47 3 2 6 3" xfId="37252" xr:uid="{5A1E7661-1C73-47D1-9E7E-3B3C6CA6CBB4}"/>
    <cellStyle name="Migliaia 47 3 2 6 4" xfId="42519" xr:uid="{24CF22EF-B30C-48D2-844B-A2769235EF88}"/>
    <cellStyle name="Migliaia 47 3 2 6 5" xfId="25165" xr:uid="{27FA2C89-E83E-4CB3-86C2-6471B18B21E2}"/>
    <cellStyle name="Migliaia 47 3 2 7" xfId="25162" xr:uid="{74FF6A7C-F812-43B6-AE2F-CF14922E3906}"/>
    <cellStyle name="Migliaia 47 3 2 8" xfId="7539" xr:uid="{1490735C-549A-43B7-B293-C9108ECD897C}"/>
    <cellStyle name="Migliaia 47 3 3" xfId="3767" xr:uid="{F7D5CB41-EAC1-4919-A03A-2F0918E86579}"/>
    <cellStyle name="Migliaia 47 3 3 10" xfId="7538" xr:uid="{2099C720-C1F2-4B97-82A8-3B07F240255A}"/>
    <cellStyle name="Migliaia 47 3 3 2" xfId="5493" xr:uid="{C72CD9F1-027F-47C9-ACF3-556ED879D09B}"/>
    <cellStyle name="Migliaia 47 3 3 2 2" xfId="9964" xr:uid="{7EAD3058-244B-4E95-B12D-5185B6EDD603}"/>
    <cellStyle name="Migliaia 47 3 3 2 2 2" xfId="39870" xr:uid="{DFF2E03E-68FA-4B7C-B4FD-8A9054E4C5DC}"/>
    <cellStyle name="Migliaia 47 3 3 2 2 3" xfId="45172" xr:uid="{1AA3501A-2445-4319-932D-7D8F5639D8E0}"/>
    <cellStyle name="Migliaia 47 3 3 2 3" xfId="18244" xr:uid="{D432E71C-8AD4-45CB-ADB1-8352828642CD}"/>
    <cellStyle name="Migliaia 47 3 3 2 4" xfId="20770" xr:uid="{F5C118C5-900A-4FE7-92DB-853E4821DCE7}"/>
    <cellStyle name="Migliaia 47 3 3 2 4 2" xfId="42521" xr:uid="{8A870803-CB49-40E0-B239-34EC61D60DCE}"/>
    <cellStyle name="Migliaia 47 3 3 2 5" xfId="16657" xr:uid="{72471BDB-997F-4604-A647-781A84291E90}"/>
    <cellStyle name="Migliaia 47 3 3 2 6" xfId="8728" xr:uid="{B2B4B00B-30FB-47F8-9F96-7FDA5B22294D}"/>
    <cellStyle name="Migliaia 47 3 3 3" xfId="6676" xr:uid="{0EA9DBD3-D086-40B4-AA09-5E3D43286F9B}"/>
    <cellStyle name="Migliaia 47 3 3 3 2" xfId="34292" xr:uid="{CA429718-0262-4E5A-9014-D7C9E0357771}"/>
    <cellStyle name="Migliaia 47 3 3 3 2 2" xfId="39871" xr:uid="{F8FC02A1-7886-42D9-8A60-FD09DA79147D}"/>
    <cellStyle name="Migliaia 47 3 3 3 2 3" xfId="45173" xr:uid="{00C7F549-5BF7-4D5E-93CE-B98AC9906933}"/>
    <cellStyle name="Migliaia 47 3 3 3 3" xfId="37255" xr:uid="{F3BAE4E8-F7BC-4FC5-B3FF-3A67541809F2}"/>
    <cellStyle name="Migliaia 47 3 3 3 4" xfId="42522" xr:uid="{D3F85A8E-EEC5-446E-A02C-AD7BA0CE87F8}"/>
    <cellStyle name="Migliaia 47 3 3 3 5" xfId="9727" xr:uid="{7A828BBC-67AD-4A5A-95E4-DF475242BF8C}"/>
    <cellStyle name="Migliaia 47 3 3 4" xfId="20769" xr:uid="{F7D691DE-DCFD-44ED-82FE-F65A87215F7B}"/>
    <cellStyle name="Migliaia 47 3 3 4 2" xfId="34293" xr:uid="{0AF4D0E0-291F-45CF-B503-8FCF72CA7EED}"/>
    <cellStyle name="Migliaia 47 3 3 4 2 2" xfId="39872" xr:uid="{88995DEB-BF69-4F78-8298-6140AFB29558}"/>
    <cellStyle name="Migliaia 47 3 3 4 2 3" xfId="45174" xr:uid="{E859A849-D9C0-43F8-AB20-FAC39E01DFC3}"/>
    <cellStyle name="Migliaia 47 3 3 4 3" xfId="37256" xr:uid="{203BFED0-6365-4B54-B32F-B59AB0C48801}"/>
    <cellStyle name="Migliaia 47 3 3 4 4" xfId="42523" xr:uid="{DB56FA77-C201-4425-B4E4-8E4D94E0FB6F}"/>
    <cellStyle name="Migliaia 47 3 3 4 5" xfId="25166" xr:uid="{21B4DF81-1201-45D9-BA32-16298FA1C95B}"/>
    <cellStyle name="Migliaia 47 3 3 5" xfId="25167" xr:uid="{3855A2C1-0AFB-4279-8A2C-70D6F4D6D37C}"/>
    <cellStyle name="Migliaia 47 3 3 5 2" xfId="34294" xr:uid="{66EDB81E-EB93-404B-8367-648C5CB6C172}"/>
    <cellStyle name="Migliaia 47 3 3 5 2 2" xfId="39873" xr:uid="{C54CBAC4-5792-41C8-A72F-DAB31EEBABDE}"/>
    <cellStyle name="Migliaia 47 3 3 5 2 3" xfId="45175" xr:uid="{869497F4-AA4F-4A45-ACDB-9EF08239E6F8}"/>
    <cellStyle name="Migliaia 47 3 3 5 3" xfId="37257" xr:uid="{C0AA95A1-47C6-4435-9A3E-EBA1D3B3F467}"/>
    <cellStyle name="Migliaia 47 3 3 5 4" xfId="42524" xr:uid="{1324C8F1-06E5-4E96-BED5-3A1C066A01D5}"/>
    <cellStyle name="Migliaia 47 3 3 6" xfId="34291" xr:uid="{0E6AC50C-0415-457F-B99F-E9E81BE43326}"/>
    <cellStyle name="Migliaia 47 3 3 6 2" xfId="39869" xr:uid="{6F5A3A88-A2DE-496C-9282-1E757623B1DF}"/>
    <cellStyle name="Migliaia 47 3 3 6 3" xfId="45171" xr:uid="{6CB28241-90AB-4304-A624-8E057D560421}"/>
    <cellStyle name="Migliaia 47 3 3 7" xfId="37253" xr:uid="{84490E46-780F-4313-8AE9-27AD2C3D6F13}"/>
    <cellStyle name="Migliaia 47 3 3 8" xfId="42520" xr:uid="{07D7A513-2175-4012-B2A6-27690B96DD41}"/>
    <cellStyle name="Migliaia 47 3 3 9" xfId="16656" xr:uid="{3286F16D-F8B0-413D-BD26-0CE1521B1BC7}"/>
    <cellStyle name="Migliaia 47 3 4" xfId="3768" xr:uid="{54DE5148-DC8B-4FE0-ACD6-26A88986EC46}"/>
    <cellStyle name="Migliaia 47 3 4 2" xfId="5494" xr:uid="{AC022AD0-71F0-428F-ABDA-6C5F6E96AE7F}"/>
    <cellStyle name="Migliaia 47 3 4 2 2" xfId="14464" xr:uid="{01F72089-D19B-49C5-B1D8-09EB0E2866E2}"/>
    <cellStyle name="Migliaia 47 3 4 2 3" xfId="18157" xr:uid="{BBE2763D-3521-4955-BB4A-6DF39290D038}"/>
    <cellStyle name="Migliaia 47 3 4 2 4" xfId="20772" xr:uid="{2F9D3861-4C37-4B8B-8BD5-A977BF932505}"/>
    <cellStyle name="Migliaia 47 3 4 2 5" xfId="32443" xr:uid="{75DA4484-E8F4-4EEB-A259-7F1ED819D664}"/>
    <cellStyle name="Migliaia 47 3 4 2 6" xfId="16659" xr:uid="{C06D5D2C-22EA-454C-8FD4-8D41B4ACF6B4}"/>
    <cellStyle name="Migliaia 47 3 4 2 7" xfId="8887" xr:uid="{C8F4A317-BD8E-43AE-87E5-957237F38437}"/>
    <cellStyle name="Migliaia 47 3 4 3" xfId="6677" xr:uid="{1BAD6652-6290-4D20-8DE9-43C90B311574}"/>
    <cellStyle name="Migliaia 47 3 4 3 2" xfId="35412" xr:uid="{BF39891E-3BB4-4989-B7A9-8C226E6D4251}"/>
    <cellStyle name="Migliaia 47 3 4 3 2 2" xfId="40572" xr:uid="{06AD624B-D51F-4D8B-921F-B5A468CF7AF1}"/>
    <cellStyle name="Migliaia 47 3 4 3 2 3" xfId="45874" xr:uid="{CF45F20F-4CB6-4458-8012-C2748FEE8F86}"/>
    <cellStyle name="Migliaia 47 3 4 3 3" xfId="37921" xr:uid="{24E1592E-AF58-458C-A243-CB1AFF6B1A41}"/>
    <cellStyle name="Migliaia 47 3 4 3 4" xfId="43223" xr:uid="{3E4CA121-2D08-4E26-96C7-56BDEBC5A7FE}"/>
    <cellStyle name="Migliaia 47 3 4 3 5" xfId="13712" xr:uid="{F2DDE577-73FB-45F2-857A-7FD18452C492}"/>
    <cellStyle name="Migliaia 47 3 4 4" xfId="20771" xr:uid="{5B49CDDD-8B8E-4A5A-9F3D-D267AE7B98B0}"/>
    <cellStyle name="Migliaia 47 3 4 4 2" xfId="39874" xr:uid="{E08A2EEC-D89A-4A80-BEF6-DB7966541553}"/>
    <cellStyle name="Migliaia 47 3 4 4 3" xfId="45176" xr:uid="{9D6982AA-5055-4BE1-991B-69D73D51B459}"/>
    <cellStyle name="Migliaia 47 3 4 4 4" xfId="34295" xr:uid="{BB441A6B-D698-4030-9D3D-BCF813101349}"/>
    <cellStyle name="Migliaia 47 3 4 5" xfId="37258" xr:uid="{05B9126A-DE53-43D3-9CB8-C78DCE38F0B0}"/>
    <cellStyle name="Migliaia 47 3 4 6" xfId="42525" xr:uid="{6226ADFC-EB50-48F3-93D7-68054C75C14D}"/>
    <cellStyle name="Migliaia 47 3 4 7" xfId="16658" xr:uid="{DEAC3563-EFDB-487A-818E-E639182071AC}"/>
    <cellStyle name="Migliaia 47 3 4 8" xfId="7697" xr:uid="{0E8E13FD-D560-4FD9-A204-F3AF8875C89F}"/>
    <cellStyle name="Migliaia 47 3 5" xfId="3769" xr:uid="{C595156D-C7D3-4253-9746-1D984E684331}"/>
    <cellStyle name="Migliaia 47 3 5 2" xfId="5495" xr:uid="{2C230855-C095-427A-A035-64D971060BE7}"/>
    <cellStyle name="Migliaia 47 3 5 2 2" xfId="35413" xr:uid="{6E95DE45-AF58-4BAD-AD5E-F365AD11EB56}"/>
    <cellStyle name="Migliaia 47 3 5 2 2 2" xfId="40573" xr:uid="{9F7C6865-021D-48EF-9559-C99A563E41A9}"/>
    <cellStyle name="Migliaia 47 3 5 2 2 3" xfId="45875" xr:uid="{3D570F39-A4FC-40A7-B4BF-635A47A7F54D}"/>
    <cellStyle name="Migliaia 47 3 5 2 3" xfId="37922" xr:uid="{643BEEFE-AF8A-4948-8743-BA8C7FEF7237}"/>
    <cellStyle name="Migliaia 47 3 5 2 4" xfId="43224" xr:uid="{748ABF92-4D71-4D52-9124-383670F84F4E}"/>
    <cellStyle name="Migliaia 47 3 5 2 5" xfId="14304" xr:uid="{76007187-6888-4C1D-A47D-E059021D1B3E}"/>
    <cellStyle name="Migliaia 47 3 5 3" xfId="6678" xr:uid="{35923231-D47C-4F65-A646-DD4E3BFDC13E}"/>
    <cellStyle name="Migliaia 47 3 5 3 2" xfId="39875" xr:uid="{261F15D1-48FD-4DA5-9C12-826B6617EAA0}"/>
    <cellStyle name="Migliaia 47 3 5 3 3" xfId="45177" xr:uid="{85FC0F5F-CA6C-4283-84FA-C8D3C6EE4AEF}"/>
    <cellStyle name="Migliaia 47 3 5 3 4" xfId="34296" xr:uid="{D3AF8B83-8FEB-4D9E-829E-587BA1FCC23E}"/>
    <cellStyle name="Migliaia 47 3 5 3 5" xfId="20773" xr:uid="{E968300E-9995-4439-BA5B-537E40F625AA}"/>
    <cellStyle name="Migliaia 47 3 5 4" xfId="37259" xr:uid="{AB15B2B9-BCA3-4978-8A25-D8D318B44957}"/>
    <cellStyle name="Migliaia 47 3 5 5" xfId="42526" xr:uid="{E1999B78-BB36-48B7-8CDA-814C1B842DDD}"/>
    <cellStyle name="Migliaia 47 3 5 6" xfId="16660" xr:uid="{69DEFB94-98DD-45DC-8CEF-12FC57B8B9DB}"/>
    <cellStyle name="Migliaia 47 3 5 7" xfId="8366" xr:uid="{EFFE0D21-ACA8-49B7-BDB3-BD7811059902}"/>
    <cellStyle name="Migliaia 47 3 6" xfId="5490" xr:uid="{27034741-B3A1-45F6-A9C8-18A29448D514}"/>
    <cellStyle name="Migliaia 47 3 6 2" xfId="14009" xr:uid="{CE020B0C-3875-4F2E-BD65-FF0629181634}"/>
    <cellStyle name="Migliaia 47 3 6 2 2" xfId="39876" xr:uid="{93B1A6BE-AF8D-4E43-AB74-7DE0584C177C}"/>
    <cellStyle name="Migliaia 47 3 6 2 3" xfId="45178" xr:uid="{01E1005C-D923-4FB7-8473-42DB5869B262}"/>
    <cellStyle name="Migliaia 47 3 6 3" xfId="18025" xr:uid="{167A2682-B37B-474C-A88B-735D4999D381}"/>
    <cellStyle name="Migliaia 47 3 6 4" xfId="20774" xr:uid="{B7D09F72-B729-4FC1-ABB2-3BF009E0C95C}"/>
    <cellStyle name="Migliaia 47 3 6 4 2" xfId="42527" xr:uid="{141A75E9-D0D3-4662-B9E4-AB3E79F3996A}"/>
    <cellStyle name="Migliaia 47 3 6 5" xfId="16661" xr:uid="{73FECE0F-E042-4858-92FE-77E3254561AA}"/>
    <cellStyle name="Migliaia 47 3 6 6" xfId="7988" xr:uid="{C001EA63-07C5-4B35-B8B3-33A40DBFE192}"/>
    <cellStyle name="Migliaia 47 3 7" xfId="6673" xr:uid="{591A807B-902C-469B-80E2-EA9A262943D1}"/>
    <cellStyle name="Migliaia 47 3 7 2" xfId="34297" xr:uid="{DA0C67E4-E2BF-4F7D-9A47-BF9E1AB7E09E}"/>
    <cellStyle name="Migliaia 47 3 7 2 2" xfId="39877" xr:uid="{AE7A60BB-8FC8-4AB4-8756-1BE09C7C00A7}"/>
    <cellStyle name="Migliaia 47 3 7 2 3" xfId="45179" xr:uid="{475F1490-9EA0-4314-815C-D64D609E2095}"/>
    <cellStyle name="Migliaia 47 3 7 3" xfId="37260" xr:uid="{897EF9A8-D173-4D5D-BACE-B072049728AF}"/>
    <cellStyle name="Migliaia 47 3 7 4" xfId="42528" xr:uid="{5AE83559-DA27-4E2A-A4AD-64DB9A56FF66}"/>
    <cellStyle name="Migliaia 47 3 7 5" xfId="11163" xr:uid="{254A6E2A-5B4C-469F-A90A-C596D979EE37}"/>
    <cellStyle name="Migliaia 47 3 8" xfId="3764" xr:uid="{9ED0196E-2303-4849-8493-4EA214F8D607}"/>
    <cellStyle name="Migliaia 47 3 8 2" xfId="34298" xr:uid="{A3AE379B-28C2-470A-83D7-F19C6E7422AE}"/>
    <cellStyle name="Migliaia 47 3 8 2 2" xfId="39878" xr:uid="{947B5054-DF51-42CC-8378-8FB1B66E7719}"/>
    <cellStyle name="Migliaia 47 3 8 2 3" xfId="45180" xr:uid="{BA2FDFA8-CB0A-49CD-B0D2-A44B0ED81476}"/>
    <cellStyle name="Migliaia 47 3 8 3" xfId="37261" xr:uid="{2CFC5381-3894-4E68-87CD-04EED3E95CA5}"/>
    <cellStyle name="Migliaia 47 3 8 4" xfId="42529" xr:uid="{3F7E12C7-6E7C-4037-B30F-13C06253531D}"/>
    <cellStyle name="Migliaia 47 3 8 5" xfId="25171" xr:uid="{2FEC1AF3-C23E-4B0B-8C69-DD8D8653B229}"/>
    <cellStyle name="Migliaia 47 3 8 6" xfId="17304" xr:uid="{DB7519D3-2E1A-4644-93E4-D847BDCF3C74}"/>
    <cellStyle name="Migliaia 47 3 9" xfId="20765" xr:uid="{D36CCA53-0C57-45BA-99B1-700ED795179E}"/>
    <cellStyle name="Migliaia 47 4" xfId="1863" xr:uid="{00000000-0005-0000-0000-000036040000}"/>
    <cellStyle name="Migliaia 47 4 2" xfId="1864" xr:uid="{00000000-0005-0000-0000-000037040000}"/>
    <cellStyle name="Migliaia 47 4 2 2" xfId="5497" xr:uid="{40EB5BB5-5E11-49C1-9341-C1E88426028B}"/>
    <cellStyle name="Migliaia 47 4 2 2 2" xfId="34299" xr:uid="{321BD443-416A-4445-B3CC-B766CC3E820C}"/>
    <cellStyle name="Migliaia 47 4 2 2 2 2" xfId="39879" xr:uid="{ECEEAFA2-E694-4B6A-940F-46A9FAA2E7CC}"/>
    <cellStyle name="Migliaia 47 4 2 2 2 3" xfId="45181" xr:uid="{A4EA0352-B9B7-44EF-8A2A-E0AD49D1DC71}"/>
    <cellStyle name="Migliaia 47 4 2 2 3" xfId="37262" xr:uid="{96B38762-EA6C-4FB7-9616-D377F7742FEA}"/>
    <cellStyle name="Migliaia 47 4 2 2 4" xfId="42530" xr:uid="{7A9FFB6F-4A6C-4BB7-BDE2-BE44E38358AB}"/>
    <cellStyle name="Migliaia 47 4 2 2 5" xfId="9190" xr:uid="{A48789BF-12F6-4919-AE73-2A1DB09D1818}"/>
    <cellStyle name="Migliaia 47 4 2 3" xfId="3771" xr:uid="{F86FDFCB-22D4-4228-A273-4AFE1278E143}"/>
    <cellStyle name="Migliaia 47 4 2 3 2" xfId="34300" xr:uid="{EAA93607-6399-41E5-BAE6-250367890D56}"/>
    <cellStyle name="Migliaia 47 4 2 3 2 2" xfId="39880" xr:uid="{DDAC986D-595F-437C-B153-BC33CB324B6D}"/>
    <cellStyle name="Migliaia 47 4 2 3 2 3" xfId="45182" xr:uid="{3D7215FE-E9B6-4CC0-BE99-6304D15E86BA}"/>
    <cellStyle name="Migliaia 47 4 2 3 3" xfId="37263" xr:uid="{6AFC6221-8272-4FDF-AF1F-9729FA33F078}"/>
    <cellStyle name="Migliaia 47 4 2 3 4" xfId="42531" xr:uid="{676D4BF2-C1CB-4E6A-A79A-0CD7AB9C08B2}"/>
    <cellStyle name="Migliaia 47 4 2 3 5" xfId="12053" xr:uid="{13516A8A-7B14-4783-919A-664850E6526C}"/>
    <cellStyle name="Migliaia 47 4 2 4" xfId="11402" xr:uid="{4E080F5F-3275-4E4F-8C97-1A9A37FEFC65}"/>
    <cellStyle name="Migliaia 47 4 2 5" xfId="10941" xr:uid="{5C97EB3B-4B17-41D3-9EB2-2135AFD8E554}"/>
    <cellStyle name="Migliaia 47 4 2 5 2" xfId="21576" xr:uid="{8F52D687-3D20-4C95-9243-AC6A7C870227}"/>
    <cellStyle name="Migliaia 47 4 2 5 3" xfId="32553" xr:uid="{F62F8DE9-7FC1-49EE-AE30-F09E20DAAE6F}"/>
    <cellStyle name="Migliaia 47 4 2 5 4" xfId="50591" xr:uid="{82EB0BB9-D147-435E-84FE-AFB445AB156F}"/>
    <cellStyle name="Migliaia 47 4 2 5 5" xfId="53607" xr:uid="{9229DC2A-C980-4162-A769-8F7B5E347453}"/>
    <cellStyle name="Migliaia 47 4 2 6" xfId="20776" xr:uid="{430678B8-3924-486C-8A00-62953608AC26}"/>
    <cellStyle name="Migliaia 47 4 2 7" xfId="25173" xr:uid="{B33221D5-C724-4212-A5A9-0E6A7BB3E3C3}"/>
    <cellStyle name="Migliaia 47 4 2 8" xfId="8730" xr:uid="{0BA10670-1363-493B-BD1C-AB85C86201E0}"/>
    <cellStyle name="Migliaia 47 4 3" xfId="5496" xr:uid="{FE84EDD8-556C-42B4-AABE-549869E9BAF6}"/>
    <cellStyle name="Migliaia 47 4 3 2" xfId="18245" xr:uid="{D6D39A4C-A9AC-4A17-8FA5-D0B32FEF9E47}"/>
    <cellStyle name="Migliaia 47 4 3 2 2" xfId="39881" xr:uid="{7541AF84-1476-49B5-9A00-56C0EAADB4EF}"/>
    <cellStyle name="Migliaia 47 4 3 2 3" xfId="45183" xr:uid="{99906653-CBFA-4EBC-AEDF-247532EAE92B}"/>
    <cellStyle name="Migliaia 47 4 3 3" xfId="37264" xr:uid="{C3817691-E42F-46FA-BCA8-EC22EB07B7BE}"/>
    <cellStyle name="Migliaia 47 4 3 4" xfId="42532" xr:uid="{2B97FD93-38FE-4589-B408-C8659C205CFE}"/>
    <cellStyle name="Migliaia 47 4 3 5" xfId="17302" xr:uid="{C2343E41-94BC-4997-8469-6BE9E6448D98}"/>
    <cellStyle name="Migliaia 47 4 3 6" xfId="9191" xr:uid="{6A4848EA-E3EA-40E2-BDAA-408710A9683E}"/>
    <cellStyle name="Migliaia 47 4 4" xfId="6679" xr:uid="{E7E8BE65-91E8-4E9C-8A64-6E84047B4220}"/>
    <cellStyle name="Migliaia 47 4 4 2" xfId="34301" xr:uid="{F00CCB8E-EFE4-485B-9786-B1EA51C80EC8}"/>
    <cellStyle name="Migliaia 47 4 4 2 2" xfId="39882" xr:uid="{64B4E10B-DE6E-459F-B8FE-B725F636A150}"/>
    <cellStyle name="Migliaia 47 4 4 2 3" xfId="45184" xr:uid="{46476A36-3D8E-4206-871F-269BF831535D}"/>
    <cellStyle name="Migliaia 47 4 4 3" xfId="37265" xr:uid="{DFB10F49-421C-4FE4-BD04-3A1D3C2FBD55}"/>
    <cellStyle name="Migliaia 47 4 4 4" xfId="42533" xr:uid="{385AEC5C-F8E6-4A08-A129-06638BE4306D}"/>
    <cellStyle name="Migliaia 47 4 4 5" xfId="12054" xr:uid="{E0FFC106-45FB-45B0-901B-404C5593CCBB}"/>
    <cellStyle name="Migliaia 47 4 5" xfId="3770" xr:uid="{F9FCEB1A-986E-4E83-835C-C19127D1077C}"/>
    <cellStyle name="Migliaia 47 4 5 2" xfId="34302" xr:uid="{8934BF95-58F3-439B-8399-E72EA57973E9}"/>
    <cellStyle name="Migliaia 47 4 5 2 2" xfId="39883" xr:uid="{F6B54338-B4CA-4495-89AC-3D50E216FFFE}"/>
    <cellStyle name="Migliaia 47 4 5 2 3" xfId="45185" xr:uid="{88C6E741-0D9F-4679-A2BB-3FCBA76BAE40}"/>
    <cellStyle name="Migliaia 47 4 5 3" xfId="37266" xr:uid="{CF44C9E1-8D31-447A-9EDF-CA54F5299BD2}"/>
    <cellStyle name="Migliaia 47 4 5 4" xfId="42534" xr:uid="{14FB4E05-FA8C-406A-84E7-2189948E61F4}"/>
    <cellStyle name="Migliaia 47 4 5 5" xfId="11401" xr:uid="{D2AC3E75-CB28-43A0-8150-4F331B3248A6}"/>
    <cellStyle name="Migliaia 47 4 6" xfId="10940" xr:uid="{43059E03-F228-42FD-A9FF-EDAB42BFEA98}"/>
    <cellStyle name="Migliaia 47 4 6 2" xfId="21575" xr:uid="{9BAE11F5-7C60-4DE0-B74E-DB602BA25AB0}"/>
    <cellStyle name="Migliaia 47 4 6 2 2" xfId="39884" xr:uid="{94CD6D63-FF19-4DC9-88B3-6757FFEB92AB}"/>
    <cellStyle name="Migliaia 47 4 6 2 3" xfId="45186" xr:uid="{167F5E53-2EEF-4BB6-B315-143B6DC3D7C3}"/>
    <cellStyle name="Migliaia 47 4 6 2 4" xfId="34303" xr:uid="{45970FDF-118E-4F5F-8245-3D02AB415C9E}"/>
    <cellStyle name="Migliaia 47 4 6 3" xfId="37267" xr:uid="{9D52B6B7-B8E6-413D-80B3-A4B9EA0133D2}"/>
    <cellStyle name="Migliaia 47 4 6 4" xfId="42535" xr:uid="{BA8E12E7-7A30-49F3-8647-E05AE62B0382}"/>
    <cellStyle name="Migliaia 47 4 6 5" xfId="25175" xr:uid="{DDAA58D1-6748-450E-9C5E-71AC8E415F49}"/>
    <cellStyle name="Migliaia 47 4 6 6" xfId="47209" xr:uid="{43F33F8B-82EC-4C3F-86E5-45485626CB39}"/>
    <cellStyle name="Migliaia 47 4 6 7" xfId="50590" xr:uid="{24D96710-579D-4661-876B-F940D92799D5}"/>
    <cellStyle name="Migliaia 47 4 6 8" xfId="53606" xr:uid="{F1907221-4F8C-4188-B04D-6A83049B0E47}"/>
    <cellStyle name="Migliaia 47 4 7" xfId="20775" xr:uid="{4616FDF0-D782-40FF-A5E8-D1C66BA71669}"/>
    <cellStyle name="Migliaia 47 4 7 2" xfId="34304" xr:uid="{A087E3AA-FDA1-4EA6-B5C0-660287B4685E}"/>
    <cellStyle name="Migliaia 47 4 7 2 2" xfId="39885" xr:uid="{671790B1-3947-4227-B19B-1F603F32E20F}"/>
    <cellStyle name="Migliaia 47 4 7 2 3" xfId="45187" xr:uid="{88188C6F-E99A-43E7-96C6-E5A5EC2BC9E4}"/>
    <cellStyle name="Migliaia 47 4 7 3" xfId="37268" xr:uid="{56AD5EC4-36C9-4E1C-B176-AF830DE32562}"/>
    <cellStyle name="Migliaia 47 4 7 4" xfId="42536" xr:uid="{9E7E177E-E8F4-4F5C-9FF8-E29EEA43A97A}"/>
    <cellStyle name="Migliaia 47 4 7 5" xfId="25176" xr:uid="{12F6CE44-6CD7-46BF-985F-67F1971FDEE7}"/>
    <cellStyle name="Migliaia 47 4 8" xfId="25172" xr:uid="{D2B142D3-3938-4E33-9FF4-B46043C009D8}"/>
    <cellStyle name="Migliaia 47 4 9" xfId="7540" xr:uid="{7E827C17-BC48-4F00-B021-4FE8A4FC4284}"/>
    <cellStyle name="Migliaia 47 5" xfId="1865" xr:uid="{00000000-0005-0000-0000-000038040000}"/>
    <cellStyle name="Migliaia 47 5 2" xfId="5498" xr:uid="{86B3F866-57F0-48F9-9415-1BB773E959A2}"/>
    <cellStyle name="Migliaia 47 5 2 2" xfId="18487" xr:uid="{59D2F3F2-36CB-4129-A6EE-F0F6705A92BC}"/>
    <cellStyle name="Migliaia 47 5 2 2 2" xfId="39886" xr:uid="{CF54274E-EDFC-4AF8-A992-BD3640DD425C}"/>
    <cellStyle name="Migliaia 47 5 2 2 3" xfId="45188" xr:uid="{02EDE3AB-2AFD-4F51-AA0A-54168F2039E2}"/>
    <cellStyle name="Migliaia 47 5 2 3" xfId="20778" xr:uid="{1ABF89EE-1A7F-45AD-8547-70D4ABF0BB45}"/>
    <cellStyle name="Migliaia 47 5 2 3 2" xfId="37269" xr:uid="{758377C9-09E3-4084-9A9A-5C6202C90F8E}"/>
    <cellStyle name="Migliaia 47 5 2 4" xfId="42537" xr:uid="{331F2717-0913-460E-92F6-D27E3E50AD55}"/>
    <cellStyle name="Migliaia 47 5 2 5" xfId="16662" xr:uid="{8C3BE350-9382-410B-B8E2-BD3C4ED1ABE9}"/>
    <cellStyle name="Migliaia 47 5 2 6" xfId="8731" xr:uid="{5FE614E9-92E4-445D-9D91-CB26BED698DC}"/>
    <cellStyle name="Migliaia 47 5 3" xfId="6680" xr:uid="{56F67C40-C458-4314-8602-2B88CD1860E9}"/>
    <cellStyle name="Migliaia 47 5 3 2" xfId="34305" xr:uid="{EA43E082-69C8-4F23-8B7B-637714CE4750}"/>
    <cellStyle name="Migliaia 47 5 3 2 2" xfId="39887" xr:uid="{00B0DA99-CB9E-4861-AE69-BDB4F2BFEFD2}"/>
    <cellStyle name="Migliaia 47 5 3 2 3" xfId="45189" xr:uid="{0C47D06F-4950-4B04-8219-2BB46FE2034E}"/>
    <cellStyle name="Migliaia 47 5 3 3" xfId="37270" xr:uid="{3EF8FBE0-EBFE-4905-974E-901E35C67FBC}"/>
    <cellStyle name="Migliaia 47 5 3 4" xfId="42538" xr:uid="{B12EFDA5-1456-4BF4-86F2-CA52577DC878}"/>
    <cellStyle name="Migliaia 47 5 3 5" xfId="11403" xr:uid="{4364C444-C7A6-4BD9-A6E2-33A88BA3A637}"/>
    <cellStyle name="Migliaia 47 5 4" xfId="3772" xr:uid="{EBD8CF46-CA09-4524-8FCF-CF63257C73A5}"/>
    <cellStyle name="Migliaia 47 5 4 2" xfId="21577" xr:uid="{2AE5CB77-C7EA-4E12-97AC-1123B35B834B}"/>
    <cellStyle name="Migliaia 47 5 4 2 2" xfId="39888" xr:uid="{100E6193-5BB1-4CCD-BF86-83DF0F6C823F}"/>
    <cellStyle name="Migliaia 47 5 4 2 3" xfId="45190" xr:uid="{207D17CA-B093-4A2F-9EF2-72622D47E5F6}"/>
    <cellStyle name="Migliaia 47 5 4 2 4" xfId="34306" xr:uid="{C75B337F-C82F-4473-93DD-601BDC4E634F}"/>
    <cellStyle name="Migliaia 47 5 4 3" xfId="37271" xr:uid="{A61B6B37-8D15-4FF3-AEA8-F37C933CF1EF}"/>
    <cellStyle name="Migliaia 47 5 4 4" xfId="42539" xr:uid="{82580673-AD6E-4CFF-8A2A-C473FE9D3D8D}"/>
    <cellStyle name="Migliaia 47 5 4 5" xfId="25178" xr:uid="{4B767563-C2BC-4BC3-9143-8F033BDB72C4}"/>
    <cellStyle name="Migliaia 47 5 4 6" xfId="47737" xr:uid="{9C41322F-AE9B-4FB1-8D44-85B711C3AECD}"/>
    <cellStyle name="Migliaia 47 5 4 7" xfId="50592" xr:uid="{D55843E9-3C4B-4D6C-825A-AED52732D35E}"/>
    <cellStyle name="Migliaia 47 5 4 8" xfId="53608" xr:uid="{C0D66378-E7C7-479E-9A92-C7ABB8C252CD}"/>
    <cellStyle name="Migliaia 47 5 4 9" xfId="10942" xr:uid="{10CFED4F-62EE-4880-BFB5-6CAFC949EA8E}"/>
    <cellStyle name="Migliaia 47 5 5" xfId="20777" xr:uid="{8227A77A-7AD5-4723-8D6D-C8A90F6B24E2}"/>
    <cellStyle name="Migliaia 47 5 5 2" xfId="34307" xr:uid="{7315FDD3-FE55-4F1D-A9CE-C7FAA0D15254}"/>
    <cellStyle name="Migliaia 47 5 5 2 2" xfId="39889" xr:uid="{C8BFBA6A-A8D7-4C4F-9927-DA7A036F37F9}"/>
    <cellStyle name="Migliaia 47 5 5 2 3" xfId="45191" xr:uid="{1B4960A9-F45B-4725-8984-76171523E32D}"/>
    <cellStyle name="Migliaia 47 5 5 3" xfId="37272" xr:uid="{1182978B-928C-4D22-A1D8-470D146EB666}"/>
    <cellStyle name="Migliaia 47 5 5 4" xfId="42540" xr:uid="{62531CC6-8D42-410F-B0E0-18531944B9E1}"/>
    <cellStyle name="Migliaia 47 5 5 5" xfId="25179" xr:uid="{57E02871-A959-4410-9F3E-889D5B668263}"/>
    <cellStyle name="Migliaia 47 5 6" xfId="25180" xr:uid="{78EE03AA-A6A4-4E3B-B5EA-FC1C6B6DB158}"/>
    <cellStyle name="Migliaia 47 5 6 2" xfId="34308" xr:uid="{6F666A42-85F3-40E7-AAF3-BBA1A19330C6}"/>
    <cellStyle name="Migliaia 47 5 6 2 2" xfId="39890" xr:uid="{ABB9EB56-9E65-44C1-9B67-AA0D59031097}"/>
    <cellStyle name="Migliaia 47 5 6 2 3" xfId="45192" xr:uid="{E357B4D5-6335-4164-B3D6-38FCAB282288}"/>
    <cellStyle name="Migliaia 47 5 6 3" xfId="37273" xr:uid="{624139EA-C295-4DA2-A89D-4E97E35EBF22}"/>
    <cellStyle name="Migliaia 47 5 6 4" xfId="42541" xr:uid="{795A4C96-086B-4DEF-89EB-E781A2E2CC36}"/>
    <cellStyle name="Migliaia 47 5 7" xfId="25177" xr:uid="{D26D3EB8-69C9-4146-B321-4A667E159B17}"/>
    <cellStyle name="Migliaia 47 5 8" xfId="7541" xr:uid="{FA7C2F83-FDA8-4B1B-A827-E3D238371F9A}"/>
    <cellStyle name="Migliaia 47 6" xfId="3773" xr:uid="{CDE3A044-E971-42C6-8D1A-07950CFB2EB2}"/>
    <cellStyle name="Migliaia 47 6 2" xfId="5499" xr:uid="{F400D2B8-F47C-4AB2-8FDC-7DABD42BFC71}"/>
    <cellStyle name="Migliaia 47 6 2 2" xfId="9963" xr:uid="{9D1CA0E8-F7D1-454F-BF78-469D824252A7}"/>
    <cellStyle name="Migliaia 47 6 2 3" xfId="18639" xr:uid="{D86548C1-0A91-4FAA-A8CD-F2D2D405CDE9}"/>
    <cellStyle name="Migliaia 47 6 2 4" xfId="20780" xr:uid="{ED84726D-0CBA-4C1F-A527-0C1BC533A2DB}"/>
    <cellStyle name="Migliaia 47 6 2 5" xfId="32445" xr:uid="{592FFEE5-BD12-4066-8F4F-01487BC938E4}"/>
    <cellStyle name="Migliaia 47 6 2 6" xfId="16664" xr:uid="{7696FC80-0402-4C3D-8E7A-FF453AF3444D}"/>
    <cellStyle name="Migliaia 47 6 2 7" xfId="8726" xr:uid="{9A0A6848-9991-4287-8B12-F015DFAB7739}"/>
    <cellStyle name="Migliaia 47 6 3" xfId="6681" xr:uid="{EC0021BD-192E-46FE-A9A3-1141A3CE7481}"/>
    <cellStyle name="Migliaia 47 6 3 2" xfId="35414" xr:uid="{B7B71E11-2DD0-450B-A5BF-3D55796950F3}"/>
    <cellStyle name="Migliaia 47 6 3 2 2" xfId="40574" xr:uid="{FF20BB84-2E60-42F2-8542-0A76D4EB8527}"/>
    <cellStyle name="Migliaia 47 6 3 2 3" xfId="45876" xr:uid="{728BFE40-9E0F-42D1-9D55-0A30879D7C26}"/>
    <cellStyle name="Migliaia 47 6 3 3" xfId="37923" xr:uid="{5840C7D0-87D0-4967-8700-93757C891569}"/>
    <cellStyle name="Migliaia 47 6 3 4" xfId="43225" xr:uid="{D143AABD-CA19-4F23-9CD7-5A4B78DDA1D9}"/>
    <cellStyle name="Migliaia 47 6 3 5" xfId="9726" xr:uid="{90164652-F29F-453F-81C0-5B9DCDB426BA}"/>
    <cellStyle name="Migliaia 47 6 4" xfId="20779" xr:uid="{3BD70A28-606D-4D4D-AF8B-5BB007553B83}"/>
    <cellStyle name="Migliaia 47 6 4 2" xfId="39891" xr:uid="{F3785E33-845C-46A8-8D42-2B2F0DA3FF8C}"/>
    <cellStyle name="Migliaia 47 6 4 3" xfId="45193" xr:uid="{92BB3B90-7FE9-4578-ABCB-C9D4A71C02A0}"/>
    <cellStyle name="Migliaia 47 6 4 4" xfId="34309" xr:uid="{07414CA7-5AC4-4FD8-831E-6A4B19178FBF}"/>
    <cellStyle name="Migliaia 47 6 5" xfId="37274" xr:uid="{35F37371-CF47-4DD9-B429-73C8F68AC1CE}"/>
    <cellStyle name="Migliaia 47 6 6" xfId="42542" xr:uid="{3B37100A-D174-4206-93FE-926B3C8AF1BC}"/>
    <cellStyle name="Migliaia 47 6 7" xfId="16663" xr:uid="{7DF49897-3F9B-4076-84B5-83D9EE6A269A}"/>
    <cellStyle name="Migliaia 47 6 8" xfId="7536" xr:uid="{2DAAA1AB-EE8A-4821-BDA5-1E5F20961114}"/>
    <cellStyle name="Migliaia 47 7" xfId="3774" xr:uid="{C7AA7706-B7C6-4C07-9B06-8E7E7687E563}"/>
    <cellStyle name="Migliaia 47 7 2" xfId="5500" xr:uid="{13CEC47B-BA4E-48F9-BB66-B74A36124A94}"/>
    <cellStyle name="Migliaia 47 7 2 2" xfId="35415" xr:uid="{EC4C61D0-3FC3-4C6A-A3CE-8E0088A89C72}"/>
    <cellStyle name="Migliaia 47 7 2 2 2" xfId="40575" xr:uid="{0C2A1DAD-825D-4DA7-A5FD-EAA5C6188E74}"/>
    <cellStyle name="Migliaia 47 7 2 2 3" xfId="45877" xr:uid="{9CB01EAC-A3AA-4D78-A46B-388D1A52372F}"/>
    <cellStyle name="Migliaia 47 7 2 3" xfId="37924" xr:uid="{2F1599AB-9FE8-4010-B695-D0D1C90E4917}"/>
    <cellStyle name="Migliaia 47 7 2 4" xfId="43226" xr:uid="{1477BB95-EC99-4900-BA53-1F49569CD794}"/>
    <cellStyle name="Migliaia 47 7 2 5" xfId="14302" xr:uid="{17A18AEB-4099-454D-9221-DDFD68E631AB}"/>
    <cellStyle name="Migliaia 47 7 3" xfId="6682" xr:uid="{40D4BAE2-4E95-4EB8-9D1E-7B92E5A019F4}"/>
    <cellStyle name="Migliaia 47 7 3 2" xfId="39892" xr:uid="{AC41E8DF-CFA0-4AB9-BB93-1182A9BF0FC5}"/>
    <cellStyle name="Migliaia 47 7 3 3" xfId="45194" xr:uid="{E703F0D0-8088-4F10-BA47-864AFB5A2FAE}"/>
    <cellStyle name="Migliaia 47 7 3 4" xfId="34310" xr:uid="{10353415-06DB-4385-B0D1-CC1B5A37DDB1}"/>
    <cellStyle name="Migliaia 47 7 3 5" xfId="20781" xr:uid="{087F3623-F37C-4AD5-9A63-66C044283945}"/>
    <cellStyle name="Migliaia 47 7 4" xfId="37275" xr:uid="{6FC80417-5590-42A3-A999-4C2A545133F7}"/>
    <cellStyle name="Migliaia 47 7 5" xfId="42543" xr:uid="{129A6DA8-76F9-4C59-A3D8-273ACA19720C}"/>
    <cellStyle name="Migliaia 47 7 6" xfId="16665" xr:uid="{7CB74436-6501-4947-8333-FA0F0FAB89FD}"/>
    <cellStyle name="Migliaia 47 7 7" xfId="8364" xr:uid="{DF1C7B4B-F237-45FB-810B-0D39E0A9133C}"/>
    <cellStyle name="Migliaia 47 8" xfId="3775" xr:uid="{20A380C3-7557-4424-BBD7-E92C1A0DB05F}"/>
    <cellStyle name="Migliaia 47 8 2" xfId="5501" xr:uid="{7F8D32F9-8891-4C85-BD71-A5A12F9C5C85}"/>
    <cellStyle name="Migliaia 47 8 2 2" xfId="35416" xr:uid="{D3400A62-1112-43E9-A3DE-8FDF07051C23}"/>
    <cellStyle name="Migliaia 47 8 2 2 2" xfId="40576" xr:uid="{AA972A2C-6F08-461F-B7EA-F3E02AC52146}"/>
    <cellStyle name="Migliaia 47 8 2 2 3" xfId="45878" xr:uid="{B1C7E997-02BA-4A0F-986E-2ED40AA78322}"/>
    <cellStyle name="Migliaia 47 8 2 3" xfId="37925" xr:uid="{1395AF42-F734-4E91-9FB5-03553DEAEBE9}"/>
    <cellStyle name="Migliaia 47 8 2 4" xfId="43227" xr:uid="{1BC47B1E-5ED4-4B27-AEC3-9E1C6B2D8A5B}"/>
    <cellStyle name="Migliaia 47 8 2 5" xfId="14007" xr:uid="{A0117D08-C797-45F5-91D1-4A6F8F9093D4}"/>
    <cellStyle name="Migliaia 47 8 3" xfId="6683" xr:uid="{DA3599F0-5027-4D8D-9DA6-4F90B5F6B702}"/>
    <cellStyle name="Migliaia 47 8 3 2" xfId="39893" xr:uid="{D8F62528-1756-45A1-8685-536E5D516420}"/>
    <cellStyle name="Migliaia 47 8 3 3" xfId="45195" xr:uid="{75289C44-4E3B-4C66-BDB6-40BBDDF16037}"/>
    <cellStyle name="Migliaia 47 8 3 4" xfId="34311" xr:uid="{9F9B9402-BFBA-4857-B5F9-50649EB10F25}"/>
    <cellStyle name="Migliaia 47 8 3 5" xfId="20782" xr:uid="{DD9EFA82-B360-420C-A338-9BBED71BBC72}"/>
    <cellStyle name="Migliaia 47 8 4" xfId="37276" xr:uid="{0A28D8B8-3F8E-4041-A919-369A6D3867AD}"/>
    <cellStyle name="Migliaia 47 8 5" xfId="42544" xr:uid="{D75A7EDA-84E5-438A-B904-180C6B16BC03}"/>
    <cellStyle name="Migliaia 47 8 6" xfId="16666" xr:uid="{BB79D7FD-D58B-4A29-B3D6-FC7C4113E3F0}"/>
    <cellStyle name="Migliaia 47 8 7" xfId="7986" xr:uid="{C9C6A09E-0C2C-4357-AE41-481088D8B7D6}"/>
    <cellStyle name="Migliaia 47 9" xfId="5486" xr:uid="{57D67CFF-0252-4A5F-A505-D0751A14898B}"/>
    <cellStyle name="Migliaia 47 9 2" xfId="34312" xr:uid="{9D681870-1127-4431-87AD-3B873D64408F}"/>
    <cellStyle name="Migliaia 47 9 2 2" xfId="39894" xr:uid="{2C0D8306-21E2-4EB0-B41A-CAE78B5FC550}"/>
    <cellStyle name="Migliaia 47 9 2 3" xfId="45196" xr:uid="{0768250D-6548-4A89-B97B-DC6C5E85C775}"/>
    <cellStyle name="Migliaia 47 9 3" xfId="37277" xr:uid="{BCD2F151-A845-4802-A396-30304C4EF8BB}"/>
    <cellStyle name="Migliaia 47 9 4" xfId="42545" xr:uid="{785EF9D5-89E2-4638-8563-38FC7DA245E4}"/>
    <cellStyle name="Migliaia 47 9 5" xfId="17217" xr:uid="{681B3650-A6EE-4F22-8494-870E93A3D940}"/>
    <cellStyle name="Migliaia 48" xfId="469" xr:uid="{00000000-0005-0000-0000-000039040000}"/>
    <cellStyle name="Migliaia 48 10" xfId="6684" xr:uid="{3D47937B-DB6C-4AC4-ADF6-63CAEF2DB7F1}"/>
    <cellStyle name="Migliaia 48 10 2" xfId="39895" xr:uid="{71A8DC60-A678-4483-8416-F53F749A5868}"/>
    <cellStyle name="Migliaia 48 10 3" xfId="45197" xr:uid="{5B9D4E74-A503-4283-9274-672D64689E0E}"/>
    <cellStyle name="Migliaia 48 10 4" xfId="34313" xr:uid="{6332E180-C799-49C8-93E4-E91050893A4F}"/>
    <cellStyle name="Migliaia 48 10 5" xfId="20783" xr:uid="{E8FC5488-56D2-407D-B9F6-89AA2340509C}"/>
    <cellStyle name="Migliaia 48 11" xfId="3776" xr:uid="{7DEA1472-11A5-44F9-AB88-6330FB2FE8D6}"/>
    <cellStyle name="Migliaia 48 11 2" xfId="37278" xr:uid="{AABD7D6E-3C3C-440B-97A1-2DDB9B1CC6A8}"/>
    <cellStyle name="Migliaia 48 12" xfId="42546" xr:uid="{29E9E20D-2C51-41FC-A98B-0B747865654A}"/>
    <cellStyle name="Migliaia 48 13" xfId="7168" xr:uid="{511DBFB1-128D-493E-88C7-742167E02EE3}"/>
    <cellStyle name="Migliaia 48 2" xfId="470" xr:uid="{00000000-0005-0000-0000-00003A040000}"/>
    <cellStyle name="Migliaia 48 2 2" xfId="1866" xr:uid="{00000000-0005-0000-0000-00003B040000}"/>
    <cellStyle name="Migliaia 48 2 2 2" xfId="5504" xr:uid="{6389DF05-C1F1-4A24-8A92-26C60F8D97CA}"/>
    <cellStyle name="Migliaia 48 2 2 2 2" xfId="14405" xr:uid="{FFE3E2EA-67AB-4F47-AF2F-A5FFFDF51922}"/>
    <cellStyle name="Migliaia 48 2 2 2 2 2" xfId="39896" xr:uid="{FFB0ADE5-17E7-4241-BC03-CD1EE7B66962}"/>
    <cellStyle name="Migliaia 48 2 2 2 2 3" xfId="45198" xr:uid="{7C106805-BFDA-447F-AF5F-4A333FF41F02}"/>
    <cellStyle name="Migliaia 48 2 2 2 3" xfId="18488" xr:uid="{2E324FD4-BCAE-4801-8262-DA513B0999EE}"/>
    <cellStyle name="Migliaia 48 2 2 2 4" xfId="20786" xr:uid="{E75F2792-84CF-46F4-AFBC-E536A9BD6D04}"/>
    <cellStyle name="Migliaia 48 2 2 2 4 2" xfId="42547" xr:uid="{C5F67810-ACEF-415E-8606-47865B7F6E84}"/>
    <cellStyle name="Migliaia 48 2 2 2 5" xfId="16667" xr:uid="{8CABD6C0-99C8-44CD-9F33-1559F60136FB}"/>
    <cellStyle name="Migliaia 48 2 2 2 6" xfId="8733" xr:uid="{8433486C-2D72-47B0-8A03-D37B40D77ECD}"/>
    <cellStyle name="Migliaia 48 2 2 3" xfId="6686" xr:uid="{1B73C074-83AA-422B-A239-B68041C08319}"/>
    <cellStyle name="Migliaia 48 2 2 3 2" xfId="35417" xr:uid="{B574AF1C-0533-4E3E-ADE0-240947924408}"/>
    <cellStyle name="Migliaia 48 2 2 3 2 2" xfId="40577" xr:uid="{872BE6E3-FB1B-427B-A601-98AB766E3473}"/>
    <cellStyle name="Migliaia 48 2 2 3 2 3" xfId="45879" xr:uid="{2FECBEC7-FE14-4038-86E2-6B539CF36D67}"/>
    <cellStyle name="Migliaia 48 2 2 3 3" xfId="37926" xr:uid="{A7D75EB5-6978-42C0-9AC5-DB6780DCEFB1}"/>
    <cellStyle name="Migliaia 48 2 2 3 4" xfId="43228" xr:uid="{604BB730-8AF9-4332-BC8F-4ACBDCB00B0E}"/>
    <cellStyle name="Migliaia 48 2 2 3 5" xfId="11632" xr:uid="{BC77FAEB-B172-4C10-A5E1-2522EA398BE9}"/>
    <cellStyle name="Migliaia 48 2 2 4" xfId="3778" xr:uid="{8A4CCAC0-0234-4289-9063-52FAA553EA87}"/>
    <cellStyle name="Migliaia 48 2 2 4 2" xfId="21578" xr:uid="{0719EF64-4425-41CF-8B43-7AFFF7FE7546}"/>
    <cellStyle name="Migliaia 48 2 2 4 3" xfId="48432" xr:uid="{01404B25-73BE-4254-928B-96478CA17F00}"/>
    <cellStyle name="Migliaia 48 2 2 4 4" xfId="50593" xr:uid="{A95067B8-835D-45AE-977E-7DFF12B840C6}"/>
    <cellStyle name="Migliaia 48 2 2 4 5" xfId="53609" xr:uid="{436282F3-73CA-45E3-9E8E-D90A3FCA8D35}"/>
    <cellStyle name="Migliaia 48 2 2 4 6" xfId="10943" xr:uid="{7E8FB35A-DFA1-470C-BFE6-DF2C44DBDD6A}"/>
    <cellStyle name="Migliaia 48 2 2 5" xfId="20785" xr:uid="{4742E514-C0B0-4C0A-B06B-7BBF74005212}"/>
    <cellStyle name="Migliaia 48 2 2 6" xfId="25187" xr:uid="{9552922C-5052-45D5-ACCD-1845E92A2A6E}"/>
    <cellStyle name="Migliaia 48 2 2 7" xfId="7543" xr:uid="{2B7FA726-340C-4BCA-B5CA-2A7B6273EDA8}"/>
    <cellStyle name="Migliaia 48 2 3" xfId="3779" xr:uid="{8ECAB38A-695B-4371-9215-6C326D33AF86}"/>
    <cellStyle name="Migliaia 48 2 3 2" xfId="5505" xr:uid="{BA9D5057-023E-4B8F-A2EB-2C343CF56E11}"/>
    <cellStyle name="Migliaia 48 2 3 2 2" xfId="35418" xr:uid="{277C38CA-B840-4D3A-A252-DE14348E6F80}"/>
    <cellStyle name="Migliaia 48 2 3 2 2 2" xfId="40578" xr:uid="{03343EEA-EE2A-4635-BB94-B2F4D79478AE}"/>
    <cellStyle name="Migliaia 48 2 3 2 2 3" xfId="45880" xr:uid="{3B689167-FEF5-463C-9308-4C626784112B}"/>
    <cellStyle name="Migliaia 48 2 3 2 3" xfId="37927" xr:uid="{70933116-8B4D-44E9-BE84-8F8CEBC98763}"/>
    <cellStyle name="Migliaia 48 2 3 2 4" xfId="43229" xr:uid="{CB737483-9D3C-40E5-9FCC-A39D70B4B237}"/>
    <cellStyle name="Migliaia 48 2 3 2 5" xfId="14306" xr:uid="{FE080E35-CD86-4D6B-BA58-7E34E868C666}"/>
    <cellStyle name="Migliaia 48 2 3 3" xfId="6687" xr:uid="{78BB7882-912F-4C9D-9563-DB64300C24F6}"/>
    <cellStyle name="Migliaia 48 2 3 3 2" xfId="39897" xr:uid="{BA340F37-AF87-40EE-A8A9-9CCFE2F0280D}"/>
    <cellStyle name="Migliaia 48 2 3 3 3" xfId="45199" xr:uid="{EEDA2C6D-7EB8-4E7E-8812-FB71E9F2CA1B}"/>
    <cellStyle name="Migliaia 48 2 3 3 4" xfId="34315" xr:uid="{9EB2FD98-0C59-4490-ABB3-12808F80E096}"/>
    <cellStyle name="Migliaia 48 2 3 3 5" xfId="20787" xr:uid="{0CC3DF0D-C426-43A7-9063-2B1B81A43FF8}"/>
    <cellStyle name="Migliaia 48 2 3 4" xfId="37280" xr:uid="{642A6966-1CCB-41C5-94FA-D89F32B034A8}"/>
    <cellStyle name="Migliaia 48 2 3 5" xfId="42548" xr:uid="{BFC69EB1-5F36-41DC-BA24-C8DD98E490F8}"/>
    <cellStyle name="Migliaia 48 2 3 6" xfId="16668" xr:uid="{CD26F154-3AEE-4FAD-A9DE-6ED3423E1C80}"/>
    <cellStyle name="Migliaia 48 2 3 7" xfId="8368" xr:uid="{7060236D-7CAC-4357-B18F-49642F5DFCC0}"/>
    <cellStyle name="Migliaia 48 2 4" xfId="5503" xr:uid="{643AE65E-EC19-4928-AA9D-32E5AA3C1274}"/>
    <cellStyle name="Migliaia 48 2 4 2" xfId="14011" xr:uid="{3B828AE0-063E-43B1-AD7E-E873522F4FFD}"/>
    <cellStyle name="Migliaia 48 2 4 2 2" xfId="39898" xr:uid="{1269C178-C7FD-4D4E-B0C8-3C5A5103D2FF}"/>
    <cellStyle name="Migliaia 48 2 4 2 3" xfId="45200" xr:uid="{E9B56106-79AA-41AB-8609-E41E68FC2929}"/>
    <cellStyle name="Migliaia 48 2 4 3" xfId="18696" xr:uid="{FF69DBD1-9CE1-46AC-8A0D-46326B883C3A}"/>
    <cellStyle name="Migliaia 48 2 4 4" xfId="20788" xr:uid="{E447062E-A0FA-4CCD-BA86-E7E44CB0B438}"/>
    <cellStyle name="Migliaia 48 2 4 4 2" xfId="42549" xr:uid="{897134C2-1BBC-406B-BD43-396150AAE3EC}"/>
    <cellStyle name="Migliaia 48 2 4 5" xfId="16669" xr:uid="{C39EC201-DE2F-4AD6-88E6-09458216FA63}"/>
    <cellStyle name="Migliaia 48 2 4 6" xfId="7991" xr:uid="{EEBFC40C-3E0F-404F-8B85-3A694FE4FF58}"/>
    <cellStyle name="Migliaia 48 2 5" xfId="6685" xr:uid="{DA6EF1CF-B13B-4420-9C74-34694DEDEDB6}"/>
    <cellStyle name="Migliaia 48 2 5 2" xfId="34316" xr:uid="{FD7706BD-F86D-440D-BCD4-C5E45E570B30}"/>
    <cellStyle name="Migliaia 48 2 5 2 2" xfId="39899" xr:uid="{294BD096-831A-40A0-AA7C-0F99B6E590B8}"/>
    <cellStyle name="Migliaia 48 2 5 2 3" xfId="45201" xr:uid="{2F3615CA-4DA4-4C60-BF2F-384FAA552AFF}"/>
    <cellStyle name="Migliaia 48 2 5 3" xfId="37281" xr:uid="{28726015-86E5-4EB5-A505-4C3CCB0CE7E6}"/>
    <cellStyle name="Migliaia 48 2 5 4" xfId="42550" xr:uid="{6D86E9C2-3A0A-486D-9B86-B8A9357CD41E}"/>
    <cellStyle name="Migliaia 48 2 5 5" xfId="13145" xr:uid="{69CECA01-0F72-421B-BFC0-AA85C792C6D8}"/>
    <cellStyle name="Migliaia 48 2 6" xfId="3777" xr:uid="{00EF5211-487E-4A7D-B71D-62B98ED4D1D0}"/>
    <cellStyle name="Migliaia 48 2 6 2" xfId="34317" xr:uid="{499E3DC3-3FE2-4CB4-85A7-E624B3C9021E}"/>
    <cellStyle name="Migliaia 48 2 6 2 2" xfId="39900" xr:uid="{6600DF1C-7D39-4FA8-8B5C-4B8247BF94D8}"/>
    <cellStyle name="Migliaia 48 2 6 2 3" xfId="45202" xr:uid="{CD920690-B4E3-412F-A2F3-A2CFCB9A4329}"/>
    <cellStyle name="Migliaia 48 2 6 3" xfId="37282" xr:uid="{62982527-E09C-4F5D-860B-39DD33F928F4}"/>
    <cellStyle name="Migliaia 48 2 6 4" xfId="42551" xr:uid="{FD675EF6-C570-4315-9F12-89439A3D73A8}"/>
    <cellStyle name="Migliaia 48 2 6 5" xfId="25189" xr:uid="{2BAA33F9-3707-485B-9948-4C9E1DEC371E}"/>
    <cellStyle name="Migliaia 48 2 6 6" xfId="20784" xr:uid="{0C83BD0D-2B53-462D-AC1E-F725EE23E9C1}"/>
    <cellStyle name="Migliaia 48 2 7" xfId="25186" xr:uid="{9A755F64-F5D0-4EA9-B6CA-2F3469117E67}"/>
    <cellStyle name="Migliaia 48 2 8" xfId="7169" xr:uid="{01F9929A-044C-4775-BD7C-16606CA89933}"/>
    <cellStyle name="Migliaia 48 3" xfId="471" xr:uid="{00000000-0005-0000-0000-00003C040000}"/>
    <cellStyle name="Migliaia 48 3 10" xfId="25190" xr:uid="{5E0E0345-9F4A-4BE3-91B0-BDD154688338}"/>
    <cellStyle name="Migliaia 48 3 11" xfId="16670" xr:uid="{CDF0C226-BF04-4097-B1E6-8A02C29E0B61}"/>
    <cellStyle name="Migliaia 48 3 12" xfId="7170" xr:uid="{D9D2E1A3-6172-4540-8D20-9943FCDF0556}"/>
    <cellStyle name="Migliaia 48 3 2" xfId="472" xr:uid="{00000000-0005-0000-0000-00003D040000}"/>
    <cellStyle name="Migliaia 48 3 2 2" xfId="1867" xr:uid="{00000000-0005-0000-0000-00003E040000}"/>
    <cellStyle name="Migliaia 48 3 2 2 2" xfId="5508" xr:uid="{AC7ED50C-0128-4CA4-89E0-F70F4FD41733}"/>
    <cellStyle name="Migliaia 48 3 2 2 2 2" xfId="18489" xr:uid="{0E5CD169-6D0E-41DC-80E4-EB38EEE88461}"/>
    <cellStyle name="Migliaia 48 3 2 2 2 2 2" xfId="21883" xr:uid="{0D069C24-EE1D-4AF7-8BA4-FF6F42322153}"/>
    <cellStyle name="Migliaia 48 3 2 2 2 2 2 2" xfId="39901" xr:uid="{76584A69-7A6C-410A-8BDA-DAE9D5FDAE40}"/>
    <cellStyle name="Migliaia 48 3 2 2 2 2 3" xfId="45203" xr:uid="{E4BF8832-8DE9-4B96-8D40-1E375C975F3C}"/>
    <cellStyle name="Migliaia 48 3 2 2 2 2 4" xfId="34318" xr:uid="{7FB4D5FC-AA7D-4C45-A64A-BB423C0D2927}"/>
    <cellStyle name="Migliaia 48 3 2 2 2 3" xfId="37283" xr:uid="{583A3562-DDC9-4199-8B6D-C08C1601A3C5}"/>
    <cellStyle name="Migliaia 48 3 2 2 2 4" xfId="42552" xr:uid="{C349A94A-C3D0-4756-B8A2-C6AFDD104DBA}"/>
    <cellStyle name="Migliaia 48 3 2 2 2 5" xfId="48578" xr:uid="{7E1E7E45-E117-4EDC-BCC3-DB2289B5DD25}"/>
    <cellStyle name="Migliaia 48 3 2 2 2 6" xfId="50911" xr:uid="{9F4A93F7-D939-46DE-A224-B9B94672153F}"/>
    <cellStyle name="Migliaia 48 3 2 2 2 7" xfId="53927" xr:uid="{9D9E544E-B177-4D6A-B6A6-48DF847C7E26}"/>
    <cellStyle name="Migliaia 48 3 2 2 2 8" xfId="17681" xr:uid="{3FF10A45-A951-4DD8-A4B3-3FAF13C35538}"/>
    <cellStyle name="Migliaia 48 3 2 2 2 9" xfId="12055" xr:uid="{5E4FBE32-05B4-4D07-B182-27D2B23EF3B8}"/>
    <cellStyle name="Migliaia 48 3 2 2 3" xfId="6690" xr:uid="{DC76F674-9FC7-4B44-A8F0-EC3B3B69E631}"/>
    <cellStyle name="Migliaia 48 3 2 2 3 2" xfId="11178" xr:uid="{D92C78ED-84F7-4002-A5A4-DCC4188DEC44}"/>
    <cellStyle name="Migliaia 48 3 2 2 4" xfId="3782" xr:uid="{2F07C70B-EA86-474D-AC16-D8DEF1E3E3B9}"/>
    <cellStyle name="Migliaia 48 3 2 2 4 2" xfId="21579" xr:uid="{61BDC72F-A0AA-459F-8E36-61CE6181858C}"/>
    <cellStyle name="Migliaia 48 3 2 2 4 3" xfId="48530" xr:uid="{60814731-617F-48DF-B2A7-0DCDA7042140}"/>
    <cellStyle name="Migliaia 48 3 2 2 4 4" xfId="50594" xr:uid="{9A0E4ABB-DE2E-4A07-9A3E-B5BE372FAF6C}"/>
    <cellStyle name="Migliaia 48 3 2 2 4 5" xfId="53610" xr:uid="{D46DBC5F-B176-4565-9EF3-1B633BBC35F5}"/>
    <cellStyle name="Migliaia 48 3 2 2 4 6" xfId="10944" xr:uid="{F0102A04-5665-40B3-A5F5-C05956DA3AA6}"/>
    <cellStyle name="Migliaia 48 3 2 2 5" xfId="20791" xr:uid="{BA13CE46-532A-4DBE-AF90-3AA304E18AF1}"/>
    <cellStyle name="Migliaia 48 3 2 2 6" xfId="25192" xr:uid="{18873292-8E9B-452A-829B-321EC01D2481}"/>
    <cellStyle name="Migliaia 48 3 2 2 7" xfId="8735" xr:uid="{246B3C80-3672-424C-B21D-123277BBD91D}"/>
    <cellStyle name="Migliaia 48 3 2 3" xfId="5507" xr:uid="{DB6A0758-D8D0-4739-B8FF-73BC2C69B6A3}"/>
    <cellStyle name="Migliaia 48 3 2 3 2" xfId="11107" xr:uid="{236C2EDF-AA38-41B3-9DE7-455A9A659949}"/>
    <cellStyle name="Migliaia 48 3 2 3 2 2" xfId="39902" xr:uid="{01AA14B7-F6A7-482D-8E21-FE7080AD579B}"/>
    <cellStyle name="Migliaia 48 3 2 3 2 3" xfId="45204" xr:uid="{7D88B59A-9708-43B5-9182-E08437E45BE1}"/>
    <cellStyle name="Migliaia 48 3 2 3 2 4" xfId="34319" xr:uid="{632A7D35-1DA0-4C98-9D29-D96B30611A7C}"/>
    <cellStyle name="Migliaia 48 3 2 3 3" xfId="12056" xr:uid="{3C3F4E35-ACF8-4551-ABCD-D313E2581384}"/>
    <cellStyle name="Migliaia 48 3 2 3 4" xfId="20792" xr:uid="{C6D2A29F-90C3-4591-8097-FCAE9D48B32A}"/>
    <cellStyle name="Migliaia 48 3 2 3 4 2" xfId="42553" xr:uid="{DD6F8419-522F-45FE-BD1A-E3BA4F414EA3}"/>
    <cellStyle name="Migliaia 48 3 2 3 5" xfId="16671" xr:uid="{98795B0B-89D1-4698-9D48-F4A20D316C4D}"/>
    <cellStyle name="Migliaia 48 3 2 3 6" xfId="7993" xr:uid="{EB5362FD-38CC-48FA-A197-7E191016E187}"/>
    <cellStyle name="Migliaia 48 3 2 4" xfId="6689" xr:uid="{450F15B9-738A-4853-9C42-3284AD0A0193}"/>
    <cellStyle name="Migliaia 48 3 2 4 2" xfId="18099" xr:uid="{B81FF524-C3EE-4856-8218-AF62481C2599}"/>
    <cellStyle name="Migliaia 48 3 2 4 2 2" xfId="39903" xr:uid="{6C602E76-B239-4CE6-B838-B1FA2F9AE16D}"/>
    <cellStyle name="Migliaia 48 3 2 4 2 3" xfId="45205" xr:uid="{492EFB8E-343B-43A4-B083-96F8824570F0}"/>
    <cellStyle name="Migliaia 48 3 2 4 3" xfId="37284" xr:uid="{CA7B2C91-7795-4C4D-B12A-D63FDF6B6EB9}"/>
    <cellStyle name="Migliaia 48 3 2 4 4" xfId="42554" xr:uid="{124C4903-977B-4D91-88D7-5080F2F70CFB}"/>
    <cellStyle name="Migliaia 48 3 2 4 5" xfId="17220" xr:uid="{EDE0BACA-B299-471A-AED9-296FCFA073A7}"/>
    <cellStyle name="Migliaia 48 3 2 4 6" xfId="11404" xr:uid="{070EB49D-9A58-40C2-A185-B362F92B7AAD}"/>
    <cellStyle name="Migliaia 48 3 2 5" xfId="3781" xr:uid="{4AA643C6-73FD-4601-BAAF-AB97EA0EE2EE}"/>
    <cellStyle name="Migliaia 48 3 2 5 2" xfId="34320" xr:uid="{CE72EF21-9871-4809-B155-029D4EFA4666}"/>
    <cellStyle name="Migliaia 48 3 2 5 2 2" xfId="39904" xr:uid="{A9645318-0FA7-46CA-97AD-09652CBCEC93}"/>
    <cellStyle name="Migliaia 48 3 2 5 2 3" xfId="45206" xr:uid="{F3D47164-E324-4710-AEDD-8FC717DA8EEB}"/>
    <cellStyle name="Migliaia 48 3 2 5 3" xfId="37285" xr:uid="{C2454A70-BD40-4E33-AD4C-74BC5DDC46F3}"/>
    <cellStyle name="Migliaia 48 3 2 5 4" xfId="42555" xr:uid="{CEECAE3E-401E-4B69-A7AC-2D847D572176}"/>
    <cellStyle name="Migliaia 48 3 2 5 5" xfId="17300" xr:uid="{6CB01F70-1EB9-4755-BEA2-0D6D1A522888}"/>
    <cellStyle name="Migliaia 48 3 2 6" xfId="20790" xr:uid="{FA323745-B210-414A-B862-E3F295FCEF5A}"/>
    <cellStyle name="Migliaia 48 3 2 6 2" xfId="34321" xr:uid="{2EADC999-6AA6-44C3-AD8E-F82A45B4DFC2}"/>
    <cellStyle name="Migliaia 48 3 2 6 2 2" xfId="39905" xr:uid="{D8C1D67C-507B-4FDD-A21B-0C99F7D0880A}"/>
    <cellStyle name="Migliaia 48 3 2 6 2 3" xfId="45207" xr:uid="{E9575110-854D-4A62-9B32-DA004112001D}"/>
    <cellStyle name="Migliaia 48 3 2 6 3" xfId="37286" xr:uid="{42FE3723-E83E-45DB-9BB2-355C86FF82EF}"/>
    <cellStyle name="Migliaia 48 3 2 6 4" xfId="42556" xr:uid="{72F41237-6630-465F-8916-75DAE0CA22F2}"/>
    <cellStyle name="Migliaia 48 3 2 6 5" xfId="25193" xr:uid="{610CDB42-42D9-4135-AA02-82D30DEDFD1F}"/>
    <cellStyle name="Migliaia 48 3 2 7" xfId="25191" xr:uid="{24596585-9359-43EA-A305-191CB990CF6B}"/>
    <cellStyle name="Migliaia 48 3 2 8" xfId="7545" xr:uid="{AA3011A2-974A-4F6F-BEFB-F5FCADDEE849}"/>
    <cellStyle name="Migliaia 48 3 3" xfId="3783" xr:uid="{C74081EA-1D19-46DC-B806-49767859E545}"/>
    <cellStyle name="Migliaia 48 3 3 10" xfId="7544" xr:uid="{BC9920B4-7A72-4FD7-BDEC-9B8E1FBE7118}"/>
    <cellStyle name="Migliaia 48 3 3 2" xfId="5509" xr:uid="{39CFEEF8-C86C-4A81-B443-88762A4AE44B}"/>
    <cellStyle name="Migliaia 48 3 3 2 2" xfId="9966" xr:uid="{75D8A674-C99B-4032-B4BD-339D98FB097D}"/>
    <cellStyle name="Migliaia 48 3 3 2 2 2" xfId="39907" xr:uid="{FABD7A2A-49CC-4CD1-9C3C-9CA82F637BA8}"/>
    <cellStyle name="Migliaia 48 3 3 2 2 3" xfId="45209" xr:uid="{35F16C11-451F-4A9D-9DCA-29933614DD47}"/>
    <cellStyle name="Migliaia 48 3 3 2 3" xfId="18246" xr:uid="{FF3A1DAA-0FEE-4AFA-AE0E-425E28F01EAA}"/>
    <cellStyle name="Migliaia 48 3 3 2 4" xfId="20794" xr:uid="{3B696FF1-518F-4211-ABB1-1D19F8AF3CA2}"/>
    <cellStyle name="Migliaia 48 3 3 2 4 2" xfId="42558" xr:uid="{8C0DBB3B-39D0-4712-887C-228062204B5D}"/>
    <cellStyle name="Migliaia 48 3 3 2 5" xfId="16673" xr:uid="{C706ECD3-296D-4646-A776-B50058FFF1D7}"/>
    <cellStyle name="Migliaia 48 3 3 2 6" xfId="8734" xr:uid="{69AD834F-EA76-4277-99B1-719C49595F90}"/>
    <cellStyle name="Migliaia 48 3 3 3" xfId="6691" xr:uid="{AF1AD14A-AE50-4630-A229-9F0F396F30D8}"/>
    <cellStyle name="Migliaia 48 3 3 3 2" xfId="34323" xr:uid="{44E05175-F8E4-4BC5-A63B-8D0547A06642}"/>
    <cellStyle name="Migliaia 48 3 3 3 2 2" xfId="39908" xr:uid="{617CE376-0C72-43F2-8E83-FCB976D2A1E2}"/>
    <cellStyle name="Migliaia 48 3 3 3 2 3" xfId="45210" xr:uid="{0E1D64CE-92F7-4552-BCCE-595EFE4314E7}"/>
    <cellStyle name="Migliaia 48 3 3 3 3" xfId="37288" xr:uid="{31722E77-AFBD-437A-AD0E-DB6176AC7542}"/>
    <cellStyle name="Migliaia 48 3 3 3 4" xfId="42559" xr:uid="{1FC18113-7F4B-4535-AB0B-1770C5E30F92}"/>
    <cellStyle name="Migliaia 48 3 3 3 5" xfId="9729" xr:uid="{161DF7C3-8068-4DBA-B18E-6CF1BAE5BC9A}"/>
    <cellStyle name="Migliaia 48 3 3 4" xfId="20793" xr:uid="{3A6EB377-C45F-41BC-9F4B-756241C061DD}"/>
    <cellStyle name="Migliaia 48 3 3 4 2" xfId="34324" xr:uid="{2CE57851-2DBE-4075-B490-A8942B28FAD9}"/>
    <cellStyle name="Migliaia 48 3 3 4 2 2" xfId="39909" xr:uid="{FE971DB6-015D-44E9-82F6-1D60DCF9EF74}"/>
    <cellStyle name="Migliaia 48 3 3 4 2 3" xfId="45211" xr:uid="{A217FF19-D124-4056-8E1A-9FB382DA6323}"/>
    <cellStyle name="Migliaia 48 3 3 4 3" xfId="37289" xr:uid="{B2F6E3F0-7224-4825-A855-09769B5D25B3}"/>
    <cellStyle name="Migliaia 48 3 3 4 4" xfId="42560" xr:uid="{1B42A339-08DF-4045-B2E8-51D184500510}"/>
    <cellStyle name="Migliaia 48 3 3 4 5" xfId="25194" xr:uid="{FA85DD8E-A5F6-4555-BB92-6201508A6D2A}"/>
    <cellStyle name="Migliaia 48 3 3 5" xfId="25195" xr:uid="{FF0B154D-775A-414F-9037-B220C2EB6A19}"/>
    <cellStyle name="Migliaia 48 3 3 5 2" xfId="34325" xr:uid="{72B9530E-1771-4635-9A9E-537FE14D912E}"/>
    <cellStyle name="Migliaia 48 3 3 5 2 2" xfId="39910" xr:uid="{4A9C3008-B846-4827-A3A4-D28E56E25A88}"/>
    <cellStyle name="Migliaia 48 3 3 5 2 3" xfId="45212" xr:uid="{C47B872F-039E-4651-B96E-9E902300C914}"/>
    <cellStyle name="Migliaia 48 3 3 5 3" xfId="37290" xr:uid="{125D2236-E651-4D1D-9B54-CD5F899ACA5B}"/>
    <cellStyle name="Migliaia 48 3 3 5 4" xfId="42561" xr:uid="{8F7CC100-7A4E-4E83-905C-6D7268411E30}"/>
    <cellStyle name="Migliaia 48 3 3 6" xfId="34322" xr:uid="{760DE741-BA78-4245-9767-61475F3852F9}"/>
    <cellStyle name="Migliaia 48 3 3 6 2" xfId="39906" xr:uid="{8289D6F9-B2B3-4815-AC71-7F78274CCC79}"/>
    <cellStyle name="Migliaia 48 3 3 6 3" xfId="45208" xr:uid="{514D9855-B6E4-47EE-A755-07ACD6E8A4FF}"/>
    <cellStyle name="Migliaia 48 3 3 7" xfId="37287" xr:uid="{174A627A-6AF6-4531-971A-D0EACB340E36}"/>
    <cellStyle name="Migliaia 48 3 3 8" xfId="42557" xr:uid="{B447DE2D-62B7-4D4D-8D5B-48B7D538217C}"/>
    <cellStyle name="Migliaia 48 3 3 9" xfId="16672" xr:uid="{F40A4708-5635-4D8B-8BDC-320F887468EC}"/>
    <cellStyle name="Migliaia 48 3 4" xfId="3784" xr:uid="{4847FAC4-0631-46AF-ADCD-401C2B28AF6D}"/>
    <cellStyle name="Migliaia 48 3 4 2" xfId="5510" xr:uid="{A8F58F4C-594A-463E-B524-886752F71768}"/>
    <cellStyle name="Migliaia 48 3 4 2 2" xfId="14465" xr:uid="{15CF7C00-4393-4155-802E-34BD2D0499DF}"/>
    <cellStyle name="Migliaia 48 3 4 2 3" xfId="18134" xr:uid="{2F74B57A-FA8A-4026-97CE-53ADC679C103}"/>
    <cellStyle name="Migliaia 48 3 4 2 4" xfId="20796" xr:uid="{CED4C17A-2861-45F5-B826-3E727586295B}"/>
    <cellStyle name="Migliaia 48 3 4 2 5" xfId="32449" xr:uid="{2DA9706A-E65C-4B60-AA88-D0354EC4B77F}"/>
    <cellStyle name="Migliaia 48 3 4 2 6" xfId="16675" xr:uid="{B8269B55-A731-43CE-8B19-07F81E4400AF}"/>
    <cellStyle name="Migliaia 48 3 4 2 7" xfId="8888" xr:uid="{D0C9FE1E-EC44-48BE-A3A9-1F100B4D67E4}"/>
    <cellStyle name="Migliaia 48 3 4 3" xfId="6692" xr:uid="{3087FD74-8AE7-4B3E-8131-DA762FF0E701}"/>
    <cellStyle name="Migliaia 48 3 4 3 2" xfId="35419" xr:uid="{DCD84910-8505-41DA-A8A9-4680E7C79A1B}"/>
    <cellStyle name="Migliaia 48 3 4 3 2 2" xfId="40579" xr:uid="{088FFA95-4A40-43CB-9F33-7C021CA8E1E0}"/>
    <cellStyle name="Migliaia 48 3 4 3 2 3" xfId="45881" xr:uid="{BDA89DE6-C0ED-41B2-9A0C-C3C1689107D6}"/>
    <cellStyle name="Migliaia 48 3 4 3 3" xfId="37928" xr:uid="{CBD58126-B816-45FA-B67F-DBAB66AB68D4}"/>
    <cellStyle name="Migliaia 48 3 4 3 4" xfId="43230" xr:uid="{33F9F1FD-F6F4-46E9-B51F-A9988D0B0ECE}"/>
    <cellStyle name="Migliaia 48 3 4 3 5" xfId="13713" xr:uid="{49E7CC5E-F5F3-459C-B268-89696A7E488F}"/>
    <cellStyle name="Migliaia 48 3 4 4" xfId="20795" xr:uid="{D358C62C-3AC8-4173-9E06-C05F76B781A0}"/>
    <cellStyle name="Migliaia 48 3 4 4 2" xfId="39911" xr:uid="{F212BCA0-90DE-4BD7-9375-16CFEAF425C5}"/>
    <cellStyle name="Migliaia 48 3 4 4 3" xfId="45213" xr:uid="{8A0EFED3-1177-4CA7-863C-1D89F7F1E601}"/>
    <cellStyle name="Migliaia 48 3 4 4 4" xfId="34326" xr:uid="{C0156715-244F-4692-A189-CC612B59E023}"/>
    <cellStyle name="Migliaia 48 3 4 5" xfId="37291" xr:uid="{0552153D-6C99-49CE-8676-4DF871CC59AD}"/>
    <cellStyle name="Migliaia 48 3 4 6" xfId="42562" xr:uid="{BD7E8D36-F717-4BC5-9E1C-8B1DAB1F80F7}"/>
    <cellStyle name="Migliaia 48 3 4 7" xfId="16674" xr:uid="{754A7BA8-F37B-4C68-A198-FEBCC8543644}"/>
    <cellStyle name="Migliaia 48 3 4 8" xfId="7698" xr:uid="{BBAAA4F5-8D61-4CCC-8757-252E12E403E3}"/>
    <cellStyle name="Migliaia 48 3 5" xfId="3785" xr:uid="{68DF3283-8196-4DE0-A23E-0163C178D0FF}"/>
    <cellStyle name="Migliaia 48 3 5 2" xfId="5511" xr:uid="{D15ECDD6-20D1-4F4E-BE84-5B3A9629EA01}"/>
    <cellStyle name="Migliaia 48 3 5 2 2" xfId="35420" xr:uid="{ADA58CE5-825D-466F-9E99-216E85119776}"/>
    <cellStyle name="Migliaia 48 3 5 2 2 2" xfId="40580" xr:uid="{BA3E57FE-77D7-4104-9F91-F3F55F3657DC}"/>
    <cellStyle name="Migliaia 48 3 5 2 2 3" xfId="45882" xr:uid="{8571430C-BEDA-4534-8BB5-31B41B061E37}"/>
    <cellStyle name="Migliaia 48 3 5 2 3" xfId="37929" xr:uid="{8A25C452-69B3-4ED3-B314-95F36A624513}"/>
    <cellStyle name="Migliaia 48 3 5 2 4" xfId="43231" xr:uid="{B967788C-4760-4A3F-8A95-98CC997FC1AB}"/>
    <cellStyle name="Migliaia 48 3 5 2 5" xfId="14307" xr:uid="{8C9FA3BC-0920-430D-9078-4A8653461C0E}"/>
    <cellStyle name="Migliaia 48 3 5 3" xfId="6693" xr:uid="{372D6505-49C2-43C8-8F6B-0E0B786D6CE9}"/>
    <cellStyle name="Migliaia 48 3 5 3 2" xfId="39912" xr:uid="{8D3DAE34-8B16-4FCF-A5B2-D42567E8A342}"/>
    <cellStyle name="Migliaia 48 3 5 3 3" xfId="45214" xr:uid="{CECA242D-7532-434E-9644-5E8103178A00}"/>
    <cellStyle name="Migliaia 48 3 5 3 4" xfId="34327" xr:uid="{978D9292-7FF5-49DB-8822-5E15A0C83357}"/>
    <cellStyle name="Migliaia 48 3 5 3 5" xfId="20797" xr:uid="{A18A5677-CC86-417D-B758-370FB0581260}"/>
    <cellStyle name="Migliaia 48 3 5 4" xfId="37292" xr:uid="{1BE62ADA-8AA2-46AC-80EB-C1AD34BCA2F3}"/>
    <cellStyle name="Migliaia 48 3 5 5" xfId="42563" xr:uid="{14207CC5-1021-410C-AFCD-908DB7BAC271}"/>
    <cellStyle name="Migliaia 48 3 5 6" xfId="16676" xr:uid="{64D614CD-78E4-4225-A0A8-08ABA3FC0E2E}"/>
    <cellStyle name="Migliaia 48 3 5 7" xfId="8369" xr:uid="{2F603D21-7D0B-49EB-BCDB-AA79803E3F9F}"/>
    <cellStyle name="Migliaia 48 3 6" xfId="5506" xr:uid="{AEA81241-B79B-4D67-ACB4-BE74D8BBD72C}"/>
    <cellStyle name="Migliaia 48 3 6 2" xfId="14012" xr:uid="{8AB5A21C-2E1C-4147-901D-D0C8B03325AA}"/>
    <cellStyle name="Migliaia 48 3 6 2 2" xfId="39913" xr:uid="{E0386945-B96D-4882-AADD-C14EB4ACBB44}"/>
    <cellStyle name="Migliaia 48 3 6 2 3" xfId="45215" xr:uid="{8DCE9D0C-BA85-4744-9AE0-0CEA7CD97A96}"/>
    <cellStyle name="Migliaia 48 3 6 3" xfId="18606" xr:uid="{FFB9AA45-7CB3-4B3B-A02A-9E6D7EAE5C3A}"/>
    <cellStyle name="Migliaia 48 3 6 4" xfId="20798" xr:uid="{DD8941A8-DBDF-4083-A027-15250E57762B}"/>
    <cellStyle name="Migliaia 48 3 6 4 2" xfId="42564" xr:uid="{F1620333-B4E6-4F6A-B4A7-9262125A3F1F}"/>
    <cellStyle name="Migliaia 48 3 6 5" xfId="16677" xr:uid="{174314A3-133D-4420-9C73-66616405A0D7}"/>
    <cellStyle name="Migliaia 48 3 6 6" xfId="7992" xr:uid="{C624E57A-CFBB-420C-B8A5-9E6F6B70718B}"/>
    <cellStyle name="Migliaia 48 3 7" xfId="6688" xr:uid="{65A0DD9E-D934-48B0-9E79-7D59EBB52E88}"/>
    <cellStyle name="Migliaia 48 3 7 2" xfId="34328" xr:uid="{D2F1C04C-6214-4A2F-92E2-FFA2F99E95D1}"/>
    <cellStyle name="Migliaia 48 3 7 2 2" xfId="39914" xr:uid="{2ECD03DA-9F45-48BB-8BDB-91CE539FD6AE}"/>
    <cellStyle name="Migliaia 48 3 7 2 3" xfId="45216" xr:uid="{27BFBBC3-F9CD-4062-A0F8-4E5007461437}"/>
    <cellStyle name="Migliaia 48 3 7 3" xfId="37293" xr:uid="{02AC31D0-84EA-4AC0-A0A1-2171F015FECA}"/>
    <cellStyle name="Migliaia 48 3 7 4" xfId="42565" xr:uid="{EBF20BE5-26F0-439A-92C1-FD4C9731B123}"/>
    <cellStyle name="Migliaia 48 3 7 5" xfId="11169" xr:uid="{6F9AB829-C8E6-43A8-BB50-765A8DE0AAD7}"/>
    <cellStyle name="Migliaia 48 3 8" xfId="3780" xr:uid="{54C99EC7-1A21-41CB-B9D2-4922FEB3971F}"/>
    <cellStyle name="Migliaia 48 3 8 2" xfId="34329" xr:uid="{C1183BBB-61E6-4E6F-98C3-F927A98DC901}"/>
    <cellStyle name="Migliaia 48 3 8 2 2" xfId="39915" xr:uid="{08DADE00-D8CB-48C8-8634-6C87CDD8D097}"/>
    <cellStyle name="Migliaia 48 3 8 2 3" xfId="45217" xr:uid="{AC0E0425-A958-43D8-BA94-0A1A96C683E7}"/>
    <cellStyle name="Migliaia 48 3 8 3" xfId="37294" xr:uid="{2C11E3DF-4065-4643-9A31-D17FD24892F9}"/>
    <cellStyle name="Migliaia 48 3 8 4" xfId="42566" xr:uid="{B39EB8BF-6C15-4E04-818D-02BDD3826800}"/>
    <cellStyle name="Migliaia 48 3 8 5" xfId="25196" xr:uid="{D16B441E-F3C5-44E3-AA30-600105453BA3}"/>
    <cellStyle name="Migliaia 48 3 8 6" xfId="17301" xr:uid="{1FEA1972-C098-4A72-8EBB-7B009AE684C1}"/>
    <cellStyle name="Migliaia 48 3 9" xfId="20789" xr:uid="{741130FB-F7BE-4D60-AEFF-0832C5A2F5A0}"/>
    <cellStyle name="Migliaia 48 4" xfId="1868" xr:uid="{00000000-0005-0000-0000-00003F040000}"/>
    <cellStyle name="Migliaia 48 4 2" xfId="1869" xr:uid="{00000000-0005-0000-0000-000040040000}"/>
    <cellStyle name="Migliaia 48 4 2 2" xfId="5513" xr:uid="{AEB9DAD4-3907-46EA-B673-E6C58C2C56CC}"/>
    <cellStyle name="Migliaia 48 4 2 2 2" xfId="34330" xr:uid="{9FA21B63-0641-40A7-A385-F50E1E40CD0F}"/>
    <cellStyle name="Migliaia 48 4 2 2 2 2" xfId="39916" xr:uid="{C6836BE7-19D6-46DC-A707-01D90CCE95DE}"/>
    <cellStyle name="Migliaia 48 4 2 2 2 3" xfId="45218" xr:uid="{9A4F4AFB-6F1B-4BAD-BE39-38E3251732F8}"/>
    <cellStyle name="Migliaia 48 4 2 2 3" xfId="37295" xr:uid="{3E0E5EEF-27CB-4529-85AC-C70A9292491B}"/>
    <cellStyle name="Migliaia 48 4 2 2 4" xfId="42567" xr:uid="{E030154A-678D-4854-92B0-74D164970EB2}"/>
    <cellStyle name="Migliaia 48 4 2 2 5" xfId="9192" xr:uid="{C1726DDD-E37D-488A-8CA9-A7FC90BB46FB}"/>
    <cellStyle name="Migliaia 48 4 2 3" xfId="3787" xr:uid="{21864041-358F-4787-A0D0-CEBF4A88267F}"/>
    <cellStyle name="Migliaia 48 4 2 3 2" xfId="34331" xr:uid="{0F995EC9-B509-4191-A7CF-1099806DC8D2}"/>
    <cellStyle name="Migliaia 48 4 2 3 2 2" xfId="39917" xr:uid="{510F5DD4-783B-4608-BA2F-B585389DC1B3}"/>
    <cellStyle name="Migliaia 48 4 2 3 2 3" xfId="45219" xr:uid="{D55659E3-89A0-4490-A2E6-26B45C1624DE}"/>
    <cellStyle name="Migliaia 48 4 2 3 3" xfId="37296" xr:uid="{BC9221A4-05CD-4741-812C-ABFCB7C695A4}"/>
    <cellStyle name="Migliaia 48 4 2 3 4" xfId="42568" xr:uid="{AB6C5D17-89D0-4B5C-9154-93F9C8A0B7A4}"/>
    <cellStyle name="Migliaia 48 4 2 3 5" xfId="12057" xr:uid="{94E9441E-BFFE-4804-AB86-9EA839B1D236}"/>
    <cellStyle name="Migliaia 48 4 2 4" xfId="11406" xr:uid="{DABAD712-615A-478A-908E-1FDC8702B9DC}"/>
    <cellStyle name="Migliaia 48 4 2 5" xfId="10946" xr:uid="{AA314360-7A50-4110-9DD4-BB8654E57D74}"/>
    <cellStyle name="Migliaia 48 4 2 5 2" xfId="21581" xr:uid="{2DFAB021-3423-48F8-A65E-8CFB867D8FAE}"/>
    <cellStyle name="Migliaia 48 4 2 5 3" xfId="48478" xr:uid="{AC573756-DD3B-4DB6-A1A0-2A5882091D8E}"/>
    <cellStyle name="Migliaia 48 4 2 5 4" xfId="50596" xr:uid="{AE0815AC-7C14-4B64-95B1-89C26C86610C}"/>
    <cellStyle name="Migliaia 48 4 2 5 5" xfId="53612" xr:uid="{DEFCF27B-EB8E-4F48-AF54-91A38C1F6AAC}"/>
    <cellStyle name="Migliaia 48 4 2 6" xfId="20800" xr:uid="{3C02D39B-92BE-4D8F-9C43-0B8866AAFF5F}"/>
    <cellStyle name="Migliaia 48 4 2 7" xfId="25198" xr:uid="{CEC4ED92-5708-41CB-A0FE-0248EE974CD6}"/>
    <cellStyle name="Migliaia 48 4 2 8" xfId="8736" xr:uid="{EF92C7AD-40F8-4993-AF6E-1B87417E2C22}"/>
    <cellStyle name="Migliaia 48 4 3" xfId="5512" xr:uid="{D0DE0E64-6928-447B-BFF8-913E4CB69654}"/>
    <cellStyle name="Migliaia 48 4 3 2" xfId="18247" xr:uid="{7AEB2BF4-181B-4FE4-ABB0-F12DA7BC54F9}"/>
    <cellStyle name="Migliaia 48 4 3 2 2" xfId="39918" xr:uid="{0DC6FF48-6CDE-460C-B53D-C04CF9BD2C99}"/>
    <cellStyle name="Migliaia 48 4 3 2 3" xfId="45220" xr:uid="{1A7FDF82-EF67-4C5A-8604-7B038736E579}"/>
    <cellStyle name="Migliaia 48 4 3 3" xfId="37297" xr:uid="{FA76F945-D140-4F1D-97D2-1502F6D31D71}"/>
    <cellStyle name="Migliaia 48 4 3 4" xfId="42569" xr:uid="{61F3998D-9B5A-48A2-AF52-6A60B0B4FCB3}"/>
    <cellStyle name="Migliaia 48 4 3 5" xfId="17299" xr:uid="{625BCA23-9CE5-456D-9365-EE6BB41AB917}"/>
    <cellStyle name="Migliaia 48 4 3 6" xfId="9193" xr:uid="{687DA09B-6FDE-4F62-BF0B-763B3D21E260}"/>
    <cellStyle name="Migliaia 48 4 4" xfId="6694" xr:uid="{D7A7A348-6AA8-4B1C-985B-206A2DDBF0E5}"/>
    <cellStyle name="Migliaia 48 4 4 2" xfId="34332" xr:uid="{05FCB37E-25F3-4ED3-A46D-BF4D12B7EF9C}"/>
    <cellStyle name="Migliaia 48 4 4 2 2" xfId="39919" xr:uid="{6AE4CFE8-765F-43A4-863B-B528AA1C804F}"/>
    <cellStyle name="Migliaia 48 4 4 2 3" xfId="45221" xr:uid="{87D0BD30-662F-4137-9838-A322223AFF66}"/>
    <cellStyle name="Migliaia 48 4 4 3" xfId="37298" xr:uid="{CA6D168C-4BC8-4CF3-92CA-D7B714D6DD85}"/>
    <cellStyle name="Migliaia 48 4 4 4" xfId="42570" xr:uid="{B36135AA-3725-46EE-BA2A-A6AF820A309C}"/>
    <cellStyle name="Migliaia 48 4 4 5" xfId="12058" xr:uid="{95C5183D-FA0A-411A-AE4E-0EA761C00494}"/>
    <cellStyle name="Migliaia 48 4 5" xfId="3786" xr:uid="{DCB3BB2B-D570-4C4D-9C7D-404AEB09421F}"/>
    <cellStyle name="Migliaia 48 4 5 2" xfId="34333" xr:uid="{F317DB74-3092-4A13-8FCD-1B4754C2DD40}"/>
    <cellStyle name="Migliaia 48 4 5 2 2" xfId="39920" xr:uid="{5B6534C1-4748-449C-B6C1-9C07EA1F984F}"/>
    <cellStyle name="Migliaia 48 4 5 2 3" xfId="45222" xr:uid="{0DC51601-BF63-4BD5-8780-5B5A85C77282}"/>
    <cellStyle name="Migliaia 48 4 5 3" xfId="37299" xr:uid="{E55487DD-57A7-4BC1-B363-878011C8F213}"/>
    <cellStyle name="Migliaia 48 4 5 4" xfId="42571" xr:uid="{B86A2225-5525-4DF9-BAB3-D519C11ADA09}"/>
    <cellStyle name="Migliaia 48 4 5 5" xfId="11405" xr:uid="{DEC180DF-A449-4328-B8C0-9F88E10714CA}"/>
    <cellStyle name="Migliaia 48 4 6" xfId="10945" xr:uid="{D8037709-78B7-46DF-A685-88FC4F1D5044}"/>
    <cellStyle name="Migliaia 48 4 6 2" xfId="21580" xr:uid="{F4792857-B0D1-4641-9C42-D2F87CEBADF0}"/>
    <cellStyle name="Migliaia 48 4 6 2 2" xfId="39921" xr:uid="{EC20A3CB-36CE-4081-8B10-F07D2289254B}"/>
    <cellStyle name="Migliaia 48 4 6 2 3" xfId="45223" xr:uid="{5C90095C-69F9-4617-BE2A-E1F07A629115}"/>
    <cellStyle name="Migliaia 48 4 6 2 4" xfId="34334" xr:uid="{FF24ECAC-7BAF-4377-AAEC-8EC60AFAE592}"/>
    <cellStyle name="Migliaia 48 4 6 3" xfId="37300" xr:uid="{E584B651-4AE2-4382-8B99-87FE4652915A}"/>
    <cellStyle name="Migliaia 48 4 6 4" xfId="42572" xr:uid="{4A5EE25B-0A4A-466A-A3BD-0773DBB886B4}"/>
    <cellStyle name="Migliaia 48 4 6 5" xfId="25199" xr:uid="{353D44A7-803F-4C5C-8D0A-845AE63C33A4}"/>
    <cellStyle name="Migliaia 48 4 6 6" xfId="47087" xr:uid="{1E41E4AC-6CEB-43F6-BFC2-C9FA10D68137}"/>
    <cellStyle name="Migliaia 48 4 6 7" xfId="50595" xr:uid="{DD321EE7-6858-404B-9B40-22666293B95A}"/>
    <cellStyle name="Migliaia 48 4 6 8" xfId="53611" xr:uid="{EB6FDC66-73F3-4794-948F-D52D983DFBE9}"/>
    <cellStyle name="Migliaia 48 4 7" xfId="20799" xr:uid="{31D0549D-4E16-4A01-93D5-15D548E7F235}"/>
    <cellStyle name="Migliaia 48 4 7 2" xfId="34335" xr:uid="{65043A76-4FE1-4F4B-84A1-4A5C844F56EA}"/>
    <cellStyle name="Migliaia 48 4 7 2 2" xfId="39922" xr:uid="{507B0798-0322-437F-BF4A-C16722BBAF22}"/>
    <cellStyle name="Migliaia 48 4 7 2 3" xfId="45224" xr:uid="{4AE6FC8E-C9F1-4E97-8D31-5976758A14C6}"/>
    <cellStyle name="Migliaia 48 4 7 3" xfId="37301" xr:uid="{28A0EF39-6C7E-4A2E-9C5D-6747B92F0A4D}"/>
    <cellStyle name="Migliaia 48 4 7 4" xfId="42573" xr:uid="{9A85AE3B-F616-495A-8792-03BF61FF9490}"/>
    <cellStyle name="Migliaia 48 4 7 5" xfId="25200" xr:uid="{8F24C04A-1255-446D-8925-CDFC862F9C9C}"/>
    <cellStyle name="Migliaia 48 4 8" xfId="25197" xr:uid="{34D4006E-EEE9-4EFC-8EF3-9A04F73AFB04}"/>
    <cellStyle name="Migliaia 48 4 9" xfId="7546" xr:uid="{09CD6FC3-4AAB-4E94-8373-376163F166CE}"/>
    <cellStyle name="Migliaia 48 5" xfId="1870" xr:uid="{00000000-0005-0000-0000-000041040000}"/>
    <cellStyle name="Migliaia 48 5 2" xfId="5514" xr:uid="{87CCBA65-76AE-4546-A10E-067202ABDBCD}"/>
    <cellStyle name="Migliaia 48 5 2 2" xfId="18490" xr:uid="{FE6C9DBE-C4DE-407B-B011-E0F839E767B8}"/>
    <cellStyle name="Migliaia 48 5 2 2 2" xfId="39923" xr:uid="{CFD1D766-A687-4370-B6EF-8E2B51943C0F}"/>
    <cellStyle name="Migliaia 48 5 2 2 3" xfId="45225" xr:uid="{E484F37B-1DDB-4C9E-A941-CD96F7D16B36}"/>
    <cellStyle name="Migliaia 48 5 2 3" xfId="20802" xr:uid="{984A8E86-AF09-4981-9A9F-5CAD17CE70FE}"/>
    <cellStyle name="Migliaia 48 5 2 3 2" xfId="37302" xr:uid="{418B0B65-2F2F-4DA3-9094-669EA7FAC1FE}"/>
    <cellStyle name="Migliaia 48 5 2 4" xfId="42574" xr:uid="{8D947594-45FA-4D9B-9228-859B7B4A4926}"/>
    <cellStyle name="Migliaia 48 5 2 5" xfId="16678" xr:uid="{8122314A-1FA9-45F6-BA3C-94DCC0F43432}"/>
    <cellStyle name="Migliaia 48 5 2 6" xfId="8737" xr:uid="{8DDD49AE-6052-4370-B575-8D7FEA0D1B6B}"/>
    <cellStyle name="Migliaia 48 5 3" xfId="6695" xr:uid="{35ED1B91-CC29-48E0-B959-5DCE55C6E8D4}"/>
    <cellStyle name="Migliaia 48 5 3 2" xfId="34336" xr:uid="{89BAA414-31B2-4E2B-9EA5-099FC398E862}"/>
    <cellStyle name="Migliaia 48 5 3 2 2" xfId="39924" xr:uid="{457939C9-9F36-44C6-A899-3F728B5C7E23}"/>
    <cellStyle name="Migliaia 48 5 3 2 3" xfId="45226" xr:uid="{5CC64CE9-5B84-41F5-B01B-E6474C394B40}"/>
    <cellStyle name="Migliaia 48 5 3 3" xfId="37303" xr:uid="{C667D726-5E5E-4260-9F85-AC34A1D66525}"/>
    <cellStyle name="Migliaia 48 5 3 4" xfId="42575" xr:uid="{15F2FB6D-1895-45AD-8061-37A648FD19A3}"/>
    <cellStyle name="Migliaia 48 5 3 5" xfId="11407" xr:uid="{77646003-CEC8-4F2B-935D-11B3C73D62CB}"/>
    <cellStyle name="Migliaia 48 5 4" xfId="3788" xr:uid="{E7E88798-A9FA-4AB5-BBE1-D8E55D93FAF6}"/>
    <cellStyle name="Migliaia 48 5 4 2" xfId="21582" xr:uid="{FA47319C-17BC-4B0E-9286-5CE3F17D5546}"/>
    <cellStyle name="Migliaia 48 5 4 2 2" xfId="39925" xr:uid="{6C72F2A1-7C6B-4AE2-AD21-1E09494807F3}"/>
    <cellStyle name="Migliaia 48 5 4 2 3" xfId="45227" xr:uid="{8A270DFF-B57F-4801-B304-B7DA132270D6}"/>
    <cellStyle name="Migliaia 48 5 4 2 4" xfId="34337" xr:uid="{3C75A034-9FB2-4488-91BC-AFEAEBF72294}"/>
    <cellStyle name="Migliaia 48 5 4 3" xfId="37304" xr:uid="{473D6342-6714-4A06-A638-91A2C03FB130}"/>
    <cellStyle name="Migliaia 48 5 4 4" xfId="42576" xr:uid="{67634ED4-1E08-49FB-9CA0-F6E676B84A2C}"/>
    <cellStyle name="Migliaia 48 5 4 5" xfId="25202" xr:uid="{0A52C892-79B4-4362-8D61-F7E3120E2226}"/>
    <cellStyle name="Migliaia 48 5 4 6" xfId="46991" xr:uid="{5830593E-994E-4AB2-85F6-AB0B405E5A42}"/>
    <cellStyle name="Migliaia 48 5 4 7" xfId="50597" xr:uid="{79828EE0-3F68-4630-B81C-B79DBEC945D0}"/>
    <cellStyle name="Migliaia 48 5 4 8" xfId="53613" xr:uid="{4464BB53-B1C8-40F3-B099-513A0BDD4831}"/>
    <cellStyle name="Migliaia 48 5 4 9" xfId="10947" xr:uid="{5FFAEDB9-2918-42D5-8A78-9BDF83394ACC}"/>
    <cellStyle name="Migliaia 48 5 5" xfId="20801" xr:uid="{8E1DB324-CCD3-4D01-9E03-E3E4BD2DFE88}"/>
    <cellStyle name="Migliaia 48 5 5 2" xfId="34338" xr:uid="{E40BEA21-ADBE-4670-B13D-B9F2A8E12116}"/>
    <cellStyle name="Migliaia 48 5 5 2 2" xfId="39926" xr:uid="{E1DF89A7-3BED-4774-9CB1-3582C751108B}"/>
    <cellStyle name="Migliaia 48 5 5 2 3" xfId="45228" xr:uid="{2C811034-501D-4A52-A380-9E978CD2902A}"/>
    <cellStyle name="Migliaia 48 5 5 3" xfId="37305" xr:uid="{37B83766-B5C1-4576-B0B3-3F4A9FCB130C}"/>
    <cellStyle name="Migliaia 48 5 5 4" xfId="42577" xr:uid="{4F716E40-D8C2-43F4-AA5C-460B77A72E85}"/>
    <cellStyle name="Migliaia 48 5 5 5" xfId="25203" xr:uid="{697BA2ED-E7A2-4E49-B3DA-83A43B67BF03}"/>
    <cellStyle name="Migliaia 48 5 6" xfId="25204" xr:uid="{14F92297-64A0-4DAC-84C7-30A9167E1020}"/>
    <cellStyle name="Migliaia 48 5 6 2" xfId="34339" xr:uid="{C802D5B7-D1B4-41DA-9622-1DCD37D98C8D}"/>
    <cellStyle name="Migliaia 48 5 6 2 2" xfId="39927" xr:uid="{5AFB58E2-0401-4DD2-A2FA-5AC7343940A3}"/>
    <cellStyle name="Migliaia 48 5 6 2 3" xfId="45229" xr:uid="{A8044929-E903-4568-A09C-D2FFB406CDB0}"/>
    <cellStyle name="Migliaia 48 5 6 3" xfId="37306" xr:uid="{2DA40D9B-0632-4050-8E3C-E28A129BCE51}"/>
    <cellStyle name="Migliaia 48 5 6 4" xfId="42578" xr:uid="{8E963313-8F05-4C74-ADF5-6CFD6A5E4586}"/>
    <cellStyle name="Migliaia 48 5 7" xfId="25201" xr:uid="{96D660CF-4EA6-45E5-8010-651986390126}"/>
    <cellStyle name="Migliaia 48 5 8" xfId="7547" xr:uid="{2679216B-6EE0-497B-AABA-331889F04E2E}"/>
    <cellStyle name="Migliaia 48 6" xfId="3789" xr:uid="{A50335F4-9147-45BE-AFF9-EFB3F1D643B8}"/>
    <cellStyle name="Migliaia 48 6 2" xfId="5515" xr:uid="{953A9F1D-C700-457D-8ED2-D6588F439E22}"/>
    <cellStyle name="Migliaia 48 6 2 2" xfId="9965" xr:uid="{5902E5FB-8E6D-4BA7-8E3A-82C7B8B23B9E}"/>
    <cellStyle name="Migliaia 48 6 2 3" xfId="18638" xr:uid="{8CB9CB36-34BE-4BD4-9AD7-CA6BA18144C9}"/>
    <cellStyle name="Migliaia 48 6 2 4" xfId="20804" xr:uid="{8179E165-825B-4FFA-BABC-842C9919E723}"/>
    <cellStyle name="Migliaia 48 6 2 5" xfId="32450" xr:uid="{829E2618-D3AC-4CFC-AA0D-81662B035F80}"/>
    <cellStyle name="Migliaia 48 6 2 6" xfId="16680" xr:uid="{CDA72F4F-2D5C-408F-981A-AF5F9A20C74C}"/>
    <cellStyle name="Migliaia 48 6 2 7" xfId="8732" xr:uid="{BC18908C-CA04-44EB-AAC6-1BF934FD785E}"/>
    <cellStyle name="Migliaia 48 6 3" xfId="6696" xr:uid="{1A306D7D-4DE1-4F4C-AB24-98A481D733E4}"/>
    <cellStyle name="Migliaia 48 6 3 2" xfId="35421" xr:uid="{F34598B2-AC15-44FE-895C-C5A69AA1DDD9}"/>
    <cellStyle name="Migliaia 48 6 3 2 2" xfId="40581" xr:uid="{4AF51E5A-6EF0-44A0-8298-C7160D1521DE}"/>
    <cellStyle name="Migliaia 48 6 3 2 3" xfId="45883" xr:uid="{32478DB7-F2D8-41D8-A6F9-C35DAAD9932E}"/>
    <cellStyle name="Migliaia 48 6 3 3" xfId="37930" xr:uid="{042A621F-EB58-4C86-BB67-919E051825B2}"/>
    <cellStyle name="Migliaia 48 6 3 4" xfId="43232" xr:uid="{EDA5885C-57F9-4CA8-B771-2C590264978F}"/>
    <cellStyle name="Migliaia 48 6 3 5" xfId="9728" xr:uid="{6BA8E892-7A2E-4065-89F7-F6349A359A30}"/>
    <cellStyle name="Migliaia 48 6 4" xfId="20803" xr:uid="{51BEAC6B-6F5B-4903-8416-B0F26FC636EA}"/>
    <cellStyle name="Migliaia 48 6 4 2" xfId="39928" xr:uid="{0B205A92-25D7-4FD6-BB74-0B38CE706A09}"/>
    <cellStyle name="Migliaia 48 6 4 3" xfId="45230" xr:uid="{C9AFF8C4-2FDC-439E-AF6E-8311FAE07FFA}"/>
    <cellStyle name="Migliaia 48 6 4 4" xfId="34340" xr:uid="{738E1DBF-1178-47C4-BF95-2C77AF9DABAB}"/>
    <cellStyle name="Migliaia 48 6 5" xfId="37307" xr:uid="{2F4D7584-1C26-46ED-9201-7B9DD37038CA}"/>
    <cellStyle name="Migliaia 48 6 6" xfId="42579" xr:uid="{650D3992-5F49-4F8D-B8CF-64978D997860}"/>
    <cellStyle name="Migliaia 48 6 7" xfId="16679" xr:uid="{2D2E5DC2-F4D4-4C13-82BD-885323F2A504}"/>
    <cellStyle name="Migliaia 48 6 8" xfId="7542" xr:uid="{518A33E8-497D-4A42-8CB5-F80CCA1195B4}"/>
    <cellStyle name="Migliaia 48 7" xfId="3790" xr:uid="{2FABA8D4-0C29-44AF-948E-607CD9ADA7C4}"/>
    <cellStyle name="Migliaia 48 7 2" xfId="5516" xr:uid="{25700625-F857-42BC-B736-C3433CD70E9F}"/>
    <cellStyle name="Migliaia 48 7 2 2" xfId="35422" xr:uid="{7B9AE0B4-E022-40ED-A76D-6BEC05259EFF}"/>
    <cellStyle name="Migliaia 48 7 2 2 2" xfId="40582" xr:uid="{A28229E8-1C80-4A9B-88BB-2DFE2A590EAC}"/>
    <cellStyle name="Migliaia 48 7 2 2 3" xfId="45884" xr:uid="{B5CD82C6-BFC0-4EFA-8791-4FDB979955AE}"/>
    <cellStyle name="Migliaia 48 7 2 3" xfId="37931" xr:uid="{CB44EB5A-93E5-4DBE-9B7B-337948ECF353}"/>
    <cellStyle name="Migliaia 48 7 2 4" xfId="43233" xr:uid="{35D04FA2-4637-43D9-B999-C9DF294011B0}"/>
    <cellStyle name="Migliaia 48 7 2 5" xfId="14305" xr:uid="{B3209797-5C04-4FFD-B2D6-9937265017BE}"/>
    <cellStyle name="Migliaia 48 7 3" xfId="6697" xr:uid="{DF904197-D8D6-46AB-8E80-438444B0B648}"/>
    <cellStyle name="Migliaia 48 7 3 2" xfId="39929" xr:uid="{E2286941-6F57-4486-BECA-61591A5E41A9}"/>
    <cellStyle name="Migliaia 48 7 3 3" xfId="45231" xr:uid="{B095B818-F74C-478D-8608-016A92803D89}"/>
    <cellStyle name="Migliaia 48 7 3 4" xfId="34341" xr:uid="{B301E0A7-B10E-42E8-B582-34C464310260}"/>
    <cellStyle name="Migliaia 48 7 3 5" xfId="20805" xr:uid="{97DF1A7A-61DD-4B31-8243-76A05A38A913}"/>
    <cellStyle name="Migliaia 48 7 4" xfId="37308" xr:uid="{F4F3DA02-7E58-40B9-9D14-28BFFD86536C}"/>
    <cellStyle name="Migliaia 48 7 5" xfId="42580" xr:uid="{AC4FB797-996D-4E0C-B09C-CE55C130BB24}"/>
    <cellStyle name="Migliaia 48 7 6" xfId="16681" xr:uid="{3C6ABF8F-9035-4CED-BBE4-4C00ACA878E1}"/>
    <cellStyle name="Migliaia 48 7 7" xfId="8367" xr:uid="{B39F5FE5-EE57-4EB6-9463-E3FAD5A50636}"/>
    <cellStyle name="Migliaia 48 8" xfId="3791" xr:uid="{D5117569-CCF8-4353-9502-AE4FB3C8EBEB}"/>
    <cellStyle name="Migliaia 48 8 2" xfId="5517" xr:uid="{28E51732-AC1C-42BE-9A44-1D5376DAF197}"/>
    <cellStyle name="Migliaia 48 8 2 2" xfId="35423" xr:uid="{7D53F495-C939-457C-8FA7-C30228BCC7BA}"/>
    <cellStyle name="Migliaia 48 8 2 2 2" xfId="40583" xr:uid="{0738E404-47AC-4C16-8C19-9E011150459E}"/>
    <cellStyle name="Migliaia 48 8 2 2 3" xfId="45885" xr:uid="{827E6BCD-8758-4B84-8FC2-A2A70CCCF908}"/>
    <cellStyle name="Migliaia 48 8 2 3" xfId="37932" xr:uid="{59DC1FAD-43E7-4FB4-AAA7-D0A34F22FB33}"/>
    <cellStyle name="Migliaia 48 8 2 4" xfId="43234" xr:uid="{517C7EDC-0B76-4B8B-9D94-17D6CCDDA8C9}"/>
    <cellStyle name="Migliaia 48 8 2 5" xfId="14010" xr:uid="{0E0A4C2D-D56D-4014-BDD2-0CA092B81347}"/>
    <cellStyle name="Migliaia 48 8 3" xfId="6698" xr:uid="{274E9AED-2EAD-42DC-8377-05BA7B016936}"/>
    <cellStyle name="Migliaia 48 8 3 2" xfId="39930" xr:uid="{E22AB9DE-1F58-459B-9CD3-1645AE9E3921}"/>
    <cellStyle name="Migliaia 48 8 3 3" xfId="45232" xr:uid="{55990ED8-5442-4FDA-AD62-509821ED6463}"/>
    <cellStyle name="Migliaia 48 8 3 4" xfId="34342" xr:uid="{843DE820-2338-442C-91DF-6957F19C60B7}"/>
    <cellStyle name="Migliaia 48 8 3 5" xfId="20806" xr:uid="{8920A2D3-43C9-4338-ADCA-1D966A5BC8B4}"/>
    <cellStyle name="Migliaia 48 8 4" xfId="37309" xr:uid="{C3EFB1B0-64E0-436B-9BA6-410323162245}"/>
    <cellStyle name="Migliaia 48 8 5" xfId="42581" xr:uid="{4CDF8C7E-58A9-4C53-8B53-4729D5CE3FFA}"/>
    <cellStyle name="Migliaia 48 8 6" xfId="16682" xr:uid="{6DE8C44C-BFCE-4278-A4AF-0ACCEFB05D5A}"/>
    <cellStyle name="Migliaia 48 8 7" xfId="7990" xr:uid="{C56933F6-53F3-4010-A0B8-A14E96EDB6D3}"/>
    <cellStyle name="Migliaia 48 9" xfId="5502" xr:uid="{48022C8E-27DE-4119-B6ED-6ADBA780E501}"/>
    <cellStyle name="Migliaia 48 9 2" xfId="34343" xr:uid="{E02FBCC4-CE81-45FA-95B0-31032EF87B52}"/>
    <cellStyle name="Migliaia 48 9 2 2" xfId="39931" xr:uid="{C8E5407E-BC02-41BE-AAA5-AB5ACF2EDB0B}"/>
    <cellStyle name="Migliaia 48 9 2 3" xfId="45233" xr:uid="{CBB42CE2-446A-4781-BFA6-684A5C544396}"/>
    <cellStyle name="Migliaia 48 9 3" xfId="37310" xr:uid="{589DE146-7DEB-4835-8C98-88F43B34B18F}"/>
    <cellStyle name="Migliaia 48 9 4" xfId="42582" xr:uid="{8DA75E30-F091-4970-BA4F-9E4C2AC32892}"/>
    <cellStyle name="Migliaia 48 9 5" xfId="17219" xr:uid="{08517867-E1F6-48CD-BC99-C8BA76B19ECB}"/>
    <cellStyle name="Migliaia 49" xfId="473" xr:uid="{00000000-0005-0000-0000-000042040000}"/>
    <cellStyle name="Migliaia 49 10" xfId="6699" xr:uid="{BB4905F9-BC9C-410C-9D22-59AC415F1409}"/>
    <cellStyle name="Migliaia 49 10 2" xfId="39932" xr:uid="{0621F250-F530-4177-B6B8-E80421BDB9E4}"/>
    <cellStyle name="Migliaia 49 10 3" xfId="45234" xr:uid="{A9C9270A-FD5B-41E4-B5EB-CBF726EF84B2}"/>
    <cellStyle name="Migliaia 49 10 4" xfId="34344" xr:uid="{48E11784-BF21-4B1A-A023-FCF22CE2D25D}"/>
    <cellStyle name="Migliaia 49 10 5" xfId="20807" xr:uid="{6525FF28-5FB0-43E3-AB03-A5B90212AFDC}"/>
    <cellStyle name="Migliaia 49 11" xfId="3792" xr:uid="{455D6FC7-1B5F-45F9-B4D2-66FCB40951BE}"/>
    <cellStyle name="Migliaia 49 11 2" xfId="37311" xr:uid="{FD581562-EB0A-45B5-91BE-061E845BF07A}"/>
    <cellStyle name="Migliaia 49 12" xfId="42583" xr:uid="{97F98A30-6192-407E-A48B-488D1BDBDE9E}"/>
    <cellStyle name="Migliaia 49 13" xfId="7171" xr:uid="{67FA0B97-282D-430B-9DE7-E3D9E605FDE6}"/>
    <cellStyle name="Migliaia 49 2" xfId="474" xr:uid="{00000000-0005-0000-0000-000043040000}"/>
    <cellStyle name="Migliaia 49 2 2" xfId="1871" xr:uid="{00000000-0005-0000-0000-000044040000}"/>
    <cellStyle name="Migliaia 49 2 2 2" xfId="5520" xr:uid="{A9AFC466-633B-4806-8ADA-7AAB19C8CACA}"/>
    <cellStyle name="Migliaia 49 2 2 2 2" xfId="14406" xr:uid="{5FFE0A0F-47A0-4F20-99BF-89818ADB8F2C}"/>
    <cellStyle name="Migliaia 49 2 2 2 2 2" xfId="39933" xr:uid="{D26043B3-D55B-4732-B393-F3A7B6A15D67}"/>
    <cellStyle name="Migliaia 49 2 2 2 2 3" xfId="45235" xr:uid="{EB0F07A9-F33F-4E3B-A7AB-572B4248C285}"/>
    <cellStyle name="Migliaia 49 2 2 2 3" xfId="18491" xr:uid="{E7535B19-F6DF-4A97-927D-0A40BC30A678}"/>
    <cellStyle name="Migliaia 49 2 2 2 4" xfId="20810" xr:uid="{24A1883F-EA05-4437-A49A-B6B513930CFD}"/>
    <cellStyle name="Migliaia 49 2 2 2 4 2" xfId="42584" xr:uid="{1137D73D-A6A0-41F8-97C1-B9F42B60DD34}"/>
    <cellStyle name="Migliaia 49 2 2 2 5" xfId="16683" xr:uid="{27767F62-8B22-44DC-B590-F8DA58B2080F}"/>
    <cellStyle name="Migliaia 49 2 2 2 6" xfId="8739" xr:uid="{CA972C93-BE13-4103-BF27-4211B921A5AE}"/>
    <cellStyle name="Migliaia 49 2 2 3" xfId="6701" xr:uid="{CC5D1ECA-727E-42D7-A867-9408DDFD9C67}"/>
    <cellStyle name="Migliaia 49 2 2 3 2" xfId="35424" xr:uid="{8FB962F2-9740-4DEB-9D37-B7D774E2174E}"/>
    <cellStyle name="Migliaia 49 2 2 3 2 2" xfId="40584" xr:uid="{287F4258-C656-48EB-931C-07A1022E7652}"/>
    <cellStyle name="Migliaia 49 2 2 3 2 3" xfId="45886" xr:uid="{1834C121-FB65-4EDA-8E39-8AF9C9761B0D}"/>
    <cellStyle name="Migliaia 49 2 2 3 3" xfId="37933" xr:uid="{E5E60E3A-15C7-4135-A681-6098873A4658}"/>
    <cellStyle name="Migliaia 49 2 2 3 4" xfId="43235" xr:uid="{37CB6F0B-8622-44B4-9964-5C5DCBD86489}"/>
    <cellStyle name="Migliaia 49 2 2 3 5" xfId="11633" xr:uid="{4882BD90-D3DA-4C67-BF22-A8FADA6D9F12}"/>
    <cellStyle name="Migliaia 49 2 2 4" xfId="3794" xr:uid="{073E5CFD-8CB3-4413-ADA5-F0F20FCDE3CD}"/>
    <cellStyle name="Migliaia 49 2 2 4 2" xfId="21583" xr:uid="{240283D5-16CD-45E2-A3D8-68C0985A8962}"/>
    <cellStyle name="Migliaia 49 2 2 4 3" xfId="47801" xr:uid="{5BC7CE32-B981-4ACA-932D-EF06B38A3D79}"/>
    <cellStyle name="Migliaia 49 2 2 4 4" xfId="50598" xr:uid="{3480238A-F0FF-4273-9DF8-C8374F5F88F4}"/>
    <cellStyle name="Migliaia 49 2 2 4 5" xfId="53614" xr:uid="{34DBF262-AE73-42EC-A879-504B94A02C00}"/>
    <cellStyle name="Migliaia 49 2 2 4 6" xfId="10948" xr:uid="{77E05BD6-0239-4C45-AA12-ECC47C7FFEA4}"/>
    <cellStyle name="Migliaia 49 2 2 5" xfId="20809" xr:uid="{E4BD5745-3C46-49A7-B4E1-8584B63C7AC6}"/>
    <cellStyle name="Migliaia 49 2 2 6" xfId="25206" xr:uid="{E79509F3-957F-4BFA-8FAC-ABBF8B209639}"/>
    <cellStyle name="Migliaia 49 2 2 7" xfId="7549" xr:uid="{7ABFE8B6-FB5B-44C3-8518-AA64A214224D}"/>
    <cellStyle name="Migliaia 49 2 3" xfId="3795" xr:uid="{82AA7E3A-8E9D-46B5-9D1D-DB8659C23E61}"/>
    <cellStyle name="Migliaia 49 2 3 2" xfId="5521" xr:uid="{6D41C37A-57FD-4D54-AF99-BFE61157C205}"/>
    <cellStyle name="Migliaia 49 2 3 2 2" xfId="35425" xr:uid="{94CDB2C6-35A8-42E1-AA7C-A6FA7C5757B1}"/>
    <cellStyle name="Migliaia 49 2 3 2 2 2" xfId="40585" xr:uid="{53A0B90E-42C1-46D8-BD3D-56457CFE2385}"/>
    <cellStyle name="Migliaia 49 2 3 2 2 3" xfId="45887" xr:uid="{B68AAC2A-9BED-44E8-9D7A-23FD9FCB0705}"/>
    <cellStyle name="Migliaia 49 2 3 2 3" xfId="37934" xr:uid="{C5BF0CDD-5E88-43B2-895A-F7A0CA882333}"/>
    <cellStyle name="Migliaia 49 2 3 2 4" xfId="43236" xr:uid="{276F4742-5644-42B3-B9CC-F27758E75E69}"/>
    <cellStyle name="Migliaia 49 2 3 2 5" xfId="14309" xr:uid="{534603D9-12D0-4694-985A-2517BC717B9E}"/>
    <cellStyle name="Migliaia 49 2 3 3" xfId="6702" xr:uid="{F57C6B5F-5728-44A0-A22F-54EBF1F7EB8B}"/>
    <cellStyle name="Migliaia 49 2 3 3 2" xfId="39934" xr:uid="{3D725425-F601-4C29-8641-557A10CF50CF}"/>
    <cellStyle name="Migliaia 49 2 3 3 3" xfId="45236" xr:uid="{6491468F-040F-4228-A8EF-9F7AAE747D35}"/>
    <cellStyle name="Migliaia 49 2 3 3 4" xfId="34345" xr:uid="{B7A6640F-DF8A-47E8-9577-6ACC205F9214}"/>
    <cellStyle name="Migliaia 49 2 3 3 5" xfId="20811" xr:uid="{0FF6E212-201A-4A64-8EB3-9F9195EC4304}"/>
    <cellStyle name="Migliaia 49 2 3 4" xfId="37312" xr:uid="{7D95DFF8-EF89-4FDA-8ABF-74CBFA621AD9}"/>
    <cellStyle name="Migliaia 49 2 3 5" xfId="42585" xr:uid="{44BF79CC-AD5C-447F-B283-E78BA83F614B}"/>
    <cellStyle name="Migliaia 49 2 3 6" xfId="16684" xr:uid="{C6613F8D-027E-4E07-9ED1-486C41D9060D}"/>
    <cellStyle name="Migliaia 49 2 3 7" xfId="8371" xr:uid="{AAF06480-BCC2-4385-89F1-DC4552341367}"/>
    <cellStyle name="Migliaia 49 2 4" xfId="5519" xr:uid="{2A9D3D26-29CF-431E-84C9-6DC5DE80668B}"/>
    <cellStyle name="Migliaia 49 2 4 2" xfId="14014" xr:uid="{11B02B8A-7909-4F31-8764-D8B525B4EA92}"/>
    <cellStyle name="Migliaia 49 2 4 2 2" xfId="39935" xr:uid="{4CE4CD9B-1730-42CC-BF84-FE8D107A1E2F}"/>
    <cellStyle name="Migliaia 49 2 4 2 3" xfId="45237" xr:uid="{116E821D-4B62-4369-AB8F-5E006A7C4989}"/>
    <cellStyle name="Migliaia 49 2 4 3" xfId="18695" xr:uid="{A3D42CD5-794E-412F-95BB-538A61E0F986}"/>
    <cellStyle name="Migliaia 49 2 4 4" xfId="20812" xr:uid="{B0047BD2-DEF7-46AE-87B4-2BA0204F017D}"/>
    <cellStyle name="Migliaia 49 2 4 4 2" xfId="42586" xr:uid="{C7DED7FD-57CE-4F16-869A-92CE703ABB7B}"/>
    <cellStyle name="Migliaia 49 2 4 5" xfId="16685" xr:uid="{848EF817-E317-4DE4-8407-44486095934F}"/>
    <cellStyle name="Migliaia 49 2 4 6" xfId="7995" xr:uid="{59FB8A52-0DE1-4CF2-8467-85B04A5EC6BF}"/>
    <cellStyle name="Migliaia 49 2 5" xfId="6700" xr:uid="{DFAC791D-D784-4752-A78A-6620C3EC0010}"/>
    <cellStyle name="Migliaia 49 2 5 2" xfId="34346" xr:uid="{F73FB6CC-6AB4-4934-8AFF-70630DD4F79F}"/>
    <cellStyle name="Migliaia 49 2 5 2 2" xfId="39936" xr:uid="{6B02BCC2-BA3B-488B-B6AD-0A72FC594ECF}"/>
    <cellStyle name="Migliaia 49 2 5 2 3" xfId="45238" xr:uid="{0003B17C-375A-4355-8EDA-65FD993C515E}"/>
    <cellStyle name="Migliaia 49 2 5 3" xfId="37313" xr:uid="{B8FA12B3-53A1-497A-8734-BE17AAF2E003}"/>
    <cellStyle name="Migliaia 49 2 5 4" xfId="42587" xr:uid="{72AD90E8-102F-429D-981A-6B82C691FBD6}"/>
    <cellStyle name="Migliaia 49 2 5 5" xfId="13146" xr:uid="{CB8F51D8-162E-4A44-892C-36C604D362DA}"/>
    <cellStyle name="Migliaia 49 2 6" xfId="3793" xr:uid="{86284552-B9FE-4B43-9A77-42E376C094CB}"/>
    <cellStyle name="Migliaia 49 2 6 2" xfId="34347" xr:uid="{1DDA1424-E9E1-439F-B150-A1E5BACF80BB}"/>
    <cellStyle name="Migliaia 49 2 6 2 2" xfId="39937" xr:uid="{9FB5E43F-6B9F-4D95-81B1-47BD038F6931}"/>
    <cellStyle name="Migliaia 49 2 6 2 3" xfId="45239" xr:uid="{0F330055-7CC5-4783-9C92-826391E29700}"/>
    <cellStyle name="Migliaia 49 2 6 3" xfId="37314" xr:uid="{0AB7936C-7BDC-4B1F-A7B7-9620DD404218}"/>
    <cellStyle name="Migliaia 49 2 6 4" xfId="42588" xr:uid="{A51E9C99-A374-4BAE-B227-ED962C3435A9}"/>
    <cellStyle name="Migliaia 49 2 6 5" xfId="25207" xr:uid="{E96D8C58-1241-49E4-87F6-498AFC0A82CE}"/>
    <cellStyle name="Migliaia 49 2 6 6" xfId="20808" xr:uid="{E561E1DD-3253-4E2E-90A2-579B67227D35}"/>
    <cellStyle name="Migliaia 49 2 7" xfId="25205" xr:uid="{66AA3F06-4221-440B-AAC3-7B49A016A5E4}"/>
    <cellStyle name="Migliaia 49 2 8" xfId="7172" xr:uid="{1EAA41B5-392F-432A-8E1B-B12EA44048F9}"/>
    <cellStyle name="Migliaia 49 3" xfId="475" xr:uid="{00000000-0005-0000-0000-000045040000}"/>
    <cellStyle name="Migliaia 49 3 10" xfId="25208" xr:uid="{20119A23-0B6E-4848-B263-E7CEEF0E2CD9}"/>
    <cellStyle name="Migliaia 49 3 11" xfId="16686" xr:uid="{3F66DD9F-34C6-439B-BD4F-49A6039DC382}"/>
    <cellStyle name="Migliaia 49 3 12" xfId="7173" xr:uid="{68A86F74-9F9C-4232-A238-3219225B99E3}"/>
    <cellStyle name="Migliaia 49 3 2" xfId="476" xr:uid="{00000000-0005-0000-0000-000046040000}"/>
    <cellStyle name="Migliaia 49 3 2 2" xfId="1872" xr:uid="{00000000-0005-0000-0000-000047040000}"/>
    <cellStyle name="Migliaia 49 3 2 2 2" xfId="5524" xr:uid="{53758397-6EC9-40C8-AB81-22EF54A51014}"/>
    <cellStyle name="Migliaia 49 3 2 2 2 2" xfId="18492" xr:uid="{BC0D6987-12E3-4966-83F1-947650E061D9}"/>
    <cellStyle name="Migliaia 49 3 2 2 2 2 2" xfId="21884" xr:uid="{4AA219F3-DB57-4018-927A-8BE9B7A6D924}"/>
    <cellStyle name="Migliaia 49 3 2 2 2 2 2 2" xfId="39938" xr:uid="{6E5AFCC5-2EE1-4C6F-8D84-B43EDE9F2B0E}"/>
    <cellStyle name="Migliaia 49 3 2 2 2 2 3" xfId="45240" xr:uid="{FCE6B103-F0C6-4432-BDAB-4469CCB6AA52}"/>
    <cellStyle name="Migliaia 49 3 2 2 2 2 4" xfId="34348" xr:uid="{D800878D-EDD0-44AC-BD91-52F02A27B0EA}"/>
    <cellStyle name="Migliaia 49 3 2 2 2 3" xfId="37315" xr:uid="{93D92006-0C79-4D2A-B028-8F0CB37A08C2}"/>
    <cellStyle name="Migliaia 49 3 2 2 2 4" xfId="42589" xr:uid="{0D7EC5E7-81BB-4C31-A3B9-E53A810AD757}"/>
    <cellStyle name="Migliaia 49 3 2 2 2 5" xfId="46751" xr:uid="{B2004F73-BDB9-41A3-9864-EF08F6881422}"/>
    <cellStyle name="Migliaia 49 3 2 2 2 6" xfId="50912" xr:uid="{540A96C4-BDFD-4057-96A5-04EC92C885C4}"/>
    <cellStyle name="Migliaia 49 3 2 2 2 7" xfId="53928" xr:uid="{65335514-11EF-48E9-AEA9-B7EF51356F02}"/>
    <cellStyle name="Migliaia 49 3 2 2 2 8" xfId="17682" xr:uid="{6D3711BE-27C7-4BE9-99FB-97F5CDC55420}"/>
    <cellStyle name="Migliaia 49 3 2 2 2 9" xfId="12059" xr:uid="{5328D1E9-091C-4E50-89E0-E62147049CDF}"/>
    <cellStyle name="Migliaia 49 3 2 2 3" xfId="6705" xr:uid="{2B7C1CB5-9EFC-4DDD-8BDB-E5B2D61DF1C3}"/>
    <cellStyle name="Migliaia 49 3 2 2 3 2" xfId="11572" xr:uid="{5B9809BA-0F73-4CBD-8ED8-A692D3444048}"/>
    <cellStyle name="Migliaia 49 3 2 2 4" xfId="3798" xr:uid="{65F40D06-C0BC-4F9F-AF0F-158B383FA004}"/>
    <cellStyle name="Migliaia 49 3 2 2 4 2" xfId="21584" xr:uid="{50E2E2E2-DD45-495A-BAFC-650569464C89}"/>
    <cellStyle name="Migliaia 49 3 2 2 4 3" xfId="46650" xr:uid="{D2150957-75D5-4656-9704-AD1B21D361BD}"/>
    <cellStyle name="Migliaia 49 3 2 2 4 4" xfId="50599" xr:uid="{3F6F96C4-A82A-497B-BACE-458739CE5870}"/>
    <cellStyle name="Migliaia 49 3 2 2 4 5" xfId="53615" xr:uid="{4206B53A-8208-4A9C-B4C3-63E5B8A11467}"/>
    <cellStyle name="Migliaia 49 3 2 2 4 6" xfId="10949" xr:uid="{164C4FD7-8B2A-4918-9361-7CDC6F5F4555}"/>
    <cellStyle name="Migliaia 49 3 2 2 5" xfId="20815" xr:uid="{4D9D48AF-7865-4A01-882A-BFF4F182598B}"/>
    <cellStyle name="Migliaia 49 3 2 2 6" xfId="25210" xr:uid="{9C165F4F-862B-414B-A805-DB41CCC88B4A}"/>
    <cellStyle name="Migliaia 49 3 2 2 7" xfId="8741" xr:uid="{F5809C33-32FB-49D5-9EFA-3C00A9028457}"/>
    <cellStyle name="Migliaia 49 3 2 3" xfId="5523" xr:uid="{364E6C59-73C5-43F2-AB88-9ABC33D57793}"/>
    <cellStyle name="Migliaia 49 3 2 3 2" xfId="12222" xr:uid="{215E15C7-5FD3-4BF1-B6ED-39429237C4D8}"/>
    <cellStyle name="Migliaia 49 3 2 3 2 2" xfId="39939" xr:uid="{A7A42A46-8541-40DE-9B24-B8067D32D615}"/>
    <cellStyle name="Migliaia 49 3 2 3 2 3" xfId="45241" xr:uid="{3174B2EE-08E4-4913-B962-41FA992B183B}"/>
    <cellStyle name="Migliaia 49 3 2 3 2 4" xfId="34349" xr:uid="{7B21E41E-ABDC-413C-BD13-EA09DFD525F6}"/>
    <cellStyle name="Migliaia 49 3 2 3 3" xfId="12060" xr:uid="{00310B22-A3D8-4CB4-8F10-F36DD72EBB56}"/>
    <cellStyle name="Migliaia 49 3 2 3 4" xfId="20816" xr:uid="{02F073D6-72E9-4233-8CE4-F30677264E9A}"/>
    <cellStyle name="Migliaia 49 3 2 3 4 2" xfId="42590" xr:uid="{B6ED6742-C5F2-448D-A052-E16C9E874DF8}"/>
    <cellStyle name="Migliaia 49 3 2 3 5" xfId="16687" xr:uid="{0F95F282-F1CD-443A-9239-7781030A6993}"/>
    <cellStyle name="Migliaia 49 3 2 3 6" xfId="7997" xr:uid="{11E7E425-1F40-4E5B-8D0E-925CF3C51DF1}"/>
    <cellStyle name="Migliaia 49 3 2 4" xfId="6704" xr:uid="{32382014-9CC0-49BF-86D7-0DAA61B06E25}"/>
    <cellStyle name="Migliaia 49 3 2 4 2" xfId="18100" xr:uid="{DA5E8925-1463-4E51-A163-F0B3EFC7B972}"/>
    <cellStyle name="Migliaia 49 3 2 4 2 2" xfId="39940" xr:uid="{F50D2ACF-E580-445C-80CB-61CE60906F86}"/>
    <cellStyle name="Migliaia 49 3 2 4 2 3" xfId="45242" xr:uid="{7907890E-F7A6-493B-9F87-A538E10174D2}"/>
    <cellStyle name="Migliaia 49 3 2 4 3" xfId="37316" xr:uid="{B9FD3CED-5F9D-477D-BD9F-1C93B6B84D65}"/>
    <cellStyle name="Migliaia 49 3 2 4 4" xfId="42591" xr:uid="{188CE17C-1A0F-48BA-9B59-9759671BF30D}"/>
    <cellStyle name="Migliaia 49 3 2 4 5" xfId="17222" xr:uid="{9A2CD6B7-E13E-4B1C-A01F-B37D0430A2CD}"/>
    <cellStyle name="Migliaia 49 3 2 4 6" xfId="11408" xr:uid="{ADB06FE1-DA7D-400D-8B2B-5CF559706643}"/>
    <cellStyle name="Migliaia 49 3 2 5" xfId="3797" xr:uid="{AD7C1244-45FB-49F7-A444-523100B82F2F}"/>
    <cellStyle name="Migliaia 49 3 2 5 2" xfId="34350" xr:uid="{77C078D3-E1B7-4A78-B295-202B28E1F883}"/>
    <cellStyle name="Migliaia 49 3 2 5 2 2" xfId="39941" xr:uid="{B27B7400-2AE4-4CE0-9921-4970FD263194}"/>
    <cellStyle name="Migliaia 49 3 2 5 2 3" xfId="45243" xr:uid="{0B820653-ACB7-44C3-9534-9A9B2A9997DB}"/>
    <cellStyle name="Migliaia 49 3 2 5 3" xfId="37317" xr:uid="{5004F6E1-7308-4EBC-A3DF-587B00B68DC0}"/>
    <cellStyle name="Migliaia 49 3 2 5 4" xfId="42592" xr:uid="{8F615E9B-DC6B-4BA4-89A4-BB76B7107903}"/>
    <cellStyle name="Migliaia 49 3 2 5 5" xfId="17297" xr:uid="{D69A9E37-CDDA-4A0D-B2A1-6D4548BA0CD1}"/>
    <cellStyle name="Migliaia 49 3 2 6" xfId="20814" xr:uid="{58606D3D-1928-46B3-BF5B-1176985FAD54}"/>
    <cellStyle name="Migliaia 49 3 2 6 2" xfId="34351" xr:uid="{9E519003-6420-4A24-8E07-99EFF5856060}"/>
    <cellStyle name="Migliaia 49 3 2 6 2 2" xfId="39942" xr:uid="{A577D995-6F6A-48F3-8371-ACA33A0FDF67}"/>
    <cellStyle name="Migliaia 49 3 2 6 2 3" xfId="45244" xr:uid="{3803E024-9D9F-4F2E-902A-55A6D2FBE4C0}"/>
    <cellStyle name="Migliaia 49 3 2 6 3" xfId="37318" xr:uid="{035A40D2-BD29-454F-9D39-F3AEA768D736}"/>
    <cellStyle name="Migliaia 49 3 2 6 4" xfId="42593" xr:uid="{17B8F123-D435-4190-B9A8-E69A4DC54A1B}"/>
    <cellStyle name="Migliaia 49 3 2 6 5" xfId="25211" xr:uid="{6820A460-4C99-4884-8793-E2C26EAB537D}"/>
    <cellStyle name="Migliaia 49 3 2 7" xfId="25209" xr:uid="{A3D49C2A-1898-4BEF-9456-716AB7BF15FF}"/>
    <cellStyle name="Migliaia 49 3 2 8" xfId="7551" xr:uid="{D75EF8EC-2C14-4038-BED7-33A040CD4625}"/>
    <cellStyle name="Migliaia 49 3 3" xfId="3799" xr:uid="{7AF4B83D-4624-45C3-8BC8-E5A5F5607F71}"/>
    <cellStyle name="Migliaia 49 3 3 10" xfId="7550" xr:uid="{E434C3CD-09A2-48DE-BA41-9700DAB01D06}"/>
    <cellStyle name="Migliaia 49 3 3 2" xfId="5525" xr:uid="{65782560-CC9E-4D0A-B4F9-E2F178134124}"/>
    <cellStyle name="Migliaia 49 3 3 2 2" xfId="9968" xr:uid="{B9993EA6-A6AF-45D1-A4AB-2D5727E121F7}"/>
    <cellStyle name="Migliaia 49 3 3 2 2 2" xfId="39944" xr:uid="{EC4389C2-7D9A-44F6-9538-D2CED40D6F40}"/>
    <cellStyle name="Migliaia 49 3 3 2 2 3" xfId="45246" xr:uid="{BADFFB08-1291-41F0-93E2-B9A0A5B3F824}"/>
    <cellStyle name="Migliaia 49 3 3 2 3" xfId="18248" xr:uid="{1BB47877-DBF7-4D0B-B1F4-E112C6E03620}"/>
    <cellStyle name="Migliaia 49 3 3 2 4" xfId="20818" xr:uid="{0FDB4BF1-1D0C-4D2E-9FD3-D97D05988DE6}"/>
    <cellStyle name="Migliaia 49 3 3 2 4 2" xfId="42595" xr:uid="{593737AD-2396-45CB-82A6-AEEBB1D65E51}"/>
    <cellStyle name="Migliaia 49 3 3 2 5" xfId="16689" xr:uid="{91F1598F-1554-406A-8AD4-318ACEE6E07C}"/>
    <cellStyle name="Migliaia 49 3 3 2 6" xfId="8740" xr:uid="{F48D2F51-8AEC-4BC1-BFF6-581E0935F821}"/>
    <cellStyle name="Migliaia 49 3 3 3" xfId="6706" xr:uid="{51C20236-45A2-4441-9922-39746BBFB2D1}"/>
    <cellStyle name="Migliaia 49 3 3 3 2" xfId="34353" xr:uid="{E82905CD-BECB-44F5-8EBD-905737A20926}"/>
    <cellStyle name="Migliaia 49 3 3 3 2 2" xfId="39945" xr:uid="{580C2FAB-D69E-4398-B60E-96783ECD8D5A}"/>
    <cellStyle name="Migliaia 49 3 3 3 2 3" xfId="45247" xr:uid="{C3F5C5DC-67C1-452A-AFC5-3CD668948828}"/>
    <cellStyle name="Migliaia 49 3 3 3 3" xfId="37320" xr:uid="{B1D4F15A-D2EE-4EB0-8570-DF814508F824}"/>
    <cellStyle name="Migliaia 49 3 3 3 4" xfId="42596" xr:uid="{8713D2E3-EB4D-47AA-A69D-E2806EC5B196}"/>
    <cellStyle name="Migliaia 49 3 3 3 5" xfId="9731" xr:uid="{2B7B4338-5D25-4F20-BDCA-14BE3F47FA88}"/>
    <cellStyle name="Migliaia 49 3 3 4" xfId="20817" xr:uid="{5F88DA5D-6742-4D45-90ED-1F1C2B269AA9}"/>
    <cellStyle name="Migliaia 49 3 3 4 2" xfId="34354" xr:uid="{0A583ED5-5EA2-46D8-A1A7-27FDED12A712}"/>
    <cellStyle name="Migliaia 49 3 3 4 2 2" xfId="39946" xr:uid="{278707B6-B462-4013-9C60-DFB98C79EDEC}"/>
    <cellStyle name="Migliaia 49 3 3 4 2 3" xfId="45248" xr:uid="{0D1EE59E-8905-417E-8B49-E922F05EF942}"/>
    <cellStyle name="Migliaia 49 3 3 4 3" xfId="37321" xr:uid="{F516277F-2304-423D-B0C9-0695507F0080}"/>
    <cellStyle name="Migliaia 49 3 3 4 4" xfId="42597" xr:uid="{CBFFDDDD-178E-41A8-B9D0-F16272BB443A}"/>
    <cellStyle name="Migliaia 49 3 3 4 5" xfId="25212" xr:uid="{51367531-7F03-4B8F-8730-DD526EA7A310}"/>
    <cellStyle name="Migliaia 49 3 3 5" xfId="25213" xr:uid="{3E4258BE-B8A5-4B7A-8BF3-FA3AE5AFBC0B}"/>
    <cellStyle name="Migliaia 49 3 3 5 2" xfId="34355" xr:uid="{A3139647-B060-4E59-8287-18A6459CDE76}"/>
    <cellStyle name="Migliaia 49 3 3 5 2 2" xfId="39947" xr:uid="{F5ADCA0A-DEE3-4910-B2BE-E80B21F09A69}"/>
    <cellStyle name="Migliaia 49 3 3 5 2 3" xfId="45249" xr:uid="{9D4AB652-C01D-4BA4-8D4D-180C28897160}"/>
    <cellStyle name="Migliaia 49 3 3 5 3" xfId="37322" xr:uid="{DE622A37-91B4-4BB9-B7DA-2117DA56C824}"/>
    <cellStyle name="Migliaia 49 3 3 5 4" xfId="42598" xr:uid="{0BB6EEBD-4158-4F41-ACD8-D8455C2F9B09}"/>
    <cellStyle name="Migliaia 49 3 3 6" xfId="34352" xr:uid="{80C79BD6-9F1D-4720-B4B2-8AB0C84A2EEC}"/>
    <cellStyle name="Migliaia 49 3 3 6 2" xfId="39943" xr:uid="{46540B2E-5D98-4B24-833D-CC3298148A6B}"/>
    <cellStyle name="Migliaia 49 3 3 6 3" xfId="45245" xr:uid="{B89EFCDD-4981-4EF6-BFE1-496106F18DE6}"/>
    <cellStyle name="Migliaia 49 3 3 7" xfId="37319" xr:uid="{230379F9-7E4E-4FAD-AE9E-4D3A7A037B1C}"/>
    <cellStyle name="Migliaia 49 3 3 8" xfId="42594" xr:uid="{D7566574-E86E-4C35-B28C-1741458B3CC8}"/>
    <cellStyle name="Migliaia 49 3 3 9" xfId="16688" xr:uid="{B1DB312A-FB3E-4F58-A22C-0FD1FA782C9C}"/>
    <cellStyle name="Migliaia 49 3 4" xfId="3800" xr:uid="{2419BAEE-6AA4-4408-8921-F67F4F8BC873}"/>
    <cellStyle name="Migliaia 49 3 4 2" xfId="5526" xr:uid="{FD40C6F9-764D-428D-AE27-32D22A2295DC}"/>
    <cellStyle name="Migliaia 49 3 4 2 2" xfId="14466" xr:uid="{3D976F6C-644F-402D-9973-2BCE14A219FF}"/>
    <cellStyle name="Migliaia 49 3 4 2 3" xfId="18577" xr:uid="{83B2C32E-F09F-400E-A3B4-EE696A60DBD9}"/>
    <cellStyle name="Migliaia 49 3 4 2 4" xfId="20820" xr:uid="{A3E72D26-05EF-4DAD-9A17-4A41D194B5BD}"/>
    <cellStyle name="Migliaia 49 3 4 2 5" xfId="32451" xr:uid="{A7E6AA0E-C3FD-4116-843D-69ECA64D2CB0}"/>
    <cellStyle name="Migliaia 49 3 4 2 6" xfId="16691" xr:uid="{BD67D7EA-E358-445E-86A2-9BBE9A26627E}"/>
    <cellStyle name="Migliaia 49 3 4 2 7" xfId="8889" xr:uid="{78CCE7EF-4B8B-4339-A3E2-72B4C60A47F9}"/>
    <cellStyle name="Migliaia 49 3 4 3" xfId="6707" xr:uid="{B2628B23-C69E-4C31-A457-D4E0049F509D}"/>
    <cellStyle name="Migliaia 49 3 4 3 2" xfId="35426" xr:uid="{8BD6942F-2A5A-4A7C-853C-EC633D161891}"/>
    <cellStyle name="Migliaia 49 3 4 3 2 2" xfId="40586" xr:uid="{4EB59ABE-3CF2-403A-9239-54E561B0CE6C}"/>
    <cellStyle name="Migliaia 49 3 4 3 2 3" xfId="45888" xr:uid="{F794DB72-0711-45FF-A285-56AF1BCC2795}"/>
    <cellStyle name="Migliaia 49 3 4 3 3" xfId="37935" xr:uid="{B9E2AB07-EC5E-4D8D-906D-17433B77968F}"/>
    <cellStyle name="Migliaia 49 3 4 3 4" xfId="43237" xr:uid="{90358C09-53C7-4F99-8977-0C0D1FE4E042}"/>
    <cellStyle name="Migliaia 49 3 4 3 5" xfId="13714" xr:uid="{121D5C05-A5D9-4CB8-9F65-C6F1BB8568B1}"/>
    <cellStyle name="Migliaia 49 3 4 4" xfId="20819" xr:uid="{B764DCDB-1FBF-4E0B-B54B-96B63C456ED6}"/>
    <cellStyle name="Migliaia 49 3 4 4 2" xfId="39948" xr:uid="{513E1883-6268-422F-BB2C-E33A42A25E8A}"/>
    <cellStyle name="Migliaia 49 3 4 4 3" xfId="45250" xr:uid="{F0381070-81CA-4A19-8280-4CFEDE65FA97}"/>
    <cellStyle name="Migliaia 49 3 4 4 4" xfId="34356" xr:uid="{DD395AFC-A83D-40B1-8E6D-670A0428A671}"/>
    <cellStyle name="Migliaia 49 3 4 5" xfId="37323" xr:uid="{A9206D91-E698-481F-8695-FC9F063C288A}"/>
    <cellStyle name="Migliaia 49 3 4 6" xfId="42599" xr:uid="{1EE727FD-FE68-42A4-B91C-BDA40B03A533}"/>
    <cellStyle name="Migliaia 49 3 4 7" xfId="16690" xr:uid="{37AE9535-25BC-4BFC-915A-9A2B35AA2BC8}"/>
    <cellStyle name="Migliaia 49 3 4 8" xfId="7699" xr:uid="{1C0800BF-C456-42C3-A6A8-C84B132937B4}"/>
    <cellStyle name="Migliaia 49 3 5" xfId="3801" xr:uid="{F10C7564-55D1-4C39-80E8-F25E2C4297C0}"/>
    <cellStyle name="Migliaia 49 3 5 2" xfId="5527" xr:uid="{272B0ACC-07E9-4FD7-B12E-BF70C17BA4FD}"/>
    <cellStyle name="Migliaia 49 3 5 2 2" xfId="35427" xr:uid="{965BE2A1-0C92-49F4-A284-8EF42238B561}"/>
    <cellStyle name="Migliaia 49 3 5 2 2 2" xfId="40587" xr:uid="{292C4D1D-D3C5-4F87-9EFA-57A05C66D011}"/>
    <cellStyle name="Migliaia 49 3 5 2 2 3" xfId="45889" xr:uid="{037C7ABB-B567-450B-B6B6-DE66EB280A28}"/>
    <cellStyle name="Migliaia 49 3 5 2 3" xfId="37936" xr:uid="{5549A7AF-9568-4A91-BAAF-3B4442320A6F}"/>
    <cellStyle name="Migliaia 49 3 5 2 4" xfId="43238" xr:uid="{21E64167-F671-48C7-B1B8-73710E53C765}"/>
    <cellStyle name="Migliaia 49 3 5 2 5" xfId="14310" xr:uid="{E6A06C6F-2E77-4A61-9A41-343B6E98EC28}"/>
    <cellStyle name="Migliaia 49 3 5 3" xfId="6708" xr:uid="{E225E5D1-0F5B-44E5-A872-01E2777A0BC3}"/>
    <cellStyle name="Migliaia 49 3 5 3 2" xfId="39949" xr:uid="{BA269DD7-03BD-481B-9EB8-9402437524CB}"/>
    <cellStyle name="Migliaia 49 3 5 3 3" xfId="45251" xr:uid="{31FED7B3-A2A2-4F49-8013-901D47780E3E}"/>
    <cellStyle name="Migliaia 49 3 5 3 4" xfId="34357" xr:uid="{CE753C4C-26C3-4CFD-8F7B-BB96154BA32A}"/>
    <cellStyle name="Migliaia 49 3 5 3 5" xfId="20821" xr:uid="{650824E1-FCAD-4B3F-9152-465F01B1D7C1}"/>
    <cellStyle name="Migliaia 49 3 5 4" xfId="37324" xr:uid="{BBF97F13-DF01-4FE1-B47F-1EB04B0B9A87}"/>
    <cellStyle name="Migliaia 49 3 5 5" xfId="42600" xr:uid="{662D909C-5CDD-4BCA-94B7-1D0964807E40}"/>
    <cellStyle name="Migliaia 49 3 5 6" xfId="16692" xr:uid="{C948BE45-E410-498E-A550-CC6E72958DB1}"/>
    <cellStyle name="Migliaia 49 3 5 7" xfId="8372" xr:uid="{3903FDEE-7A1A-4702-BD24-200A1EE7DAA4}"/>
    <cellStyle name="Migliaia 49 3 6" xfId="5522" xr:uid="{C48D5032-6783-4B8B-9597-5B4E97349912}"/>
    <cellStyle name="Migliaia 49 3 6 2" xfId="14015" xr:uid="{7F998BD3-DDD1-4868-8FDE-722BA2B1B79D}"/>
    <cellStyle name="Migliaia 49 3 6 2 2" xfId="39950" xr:uid="{65B1C6FD-8275-46DB-8E91-919FBDD3F670}"/>
    <cellStyle name="Migliaia 49 3 6 2 3" xfId="45252" xr:uid="{B59422B4-406E-44D7-852F-FA4085D2604E}"/>
    <cellStyle name="Migliaia 49 3 6 3" xfId="18605" xr:uid="{F1198EB4-7AA5-4B15-9018-3A031E58EDF9}"/>
    <cellStyle name="Migliaia 49 3 6 4" xfId="20822" xr:uid="{21BDD228-B052-4AB2-BA01-0FE309B55CE1}"/>
    <cellStyle name="Migliaia 49 3 6 4 2" xfId="42601" xr:uid="{6D9E445D-ECC4-44B1-93B8-35664B97FFA5}"/>
    <cellStyle name="Migliaia 49 3 6 5" xfId="16693" xr:uid="{C49FCF6F-6106-431D-9250-F9C26A9E075E}"/>
    <cellStyle name="Migliaia 49 3 6 6" xfId="7996" xr:uid="{CE15FFF0-DAD6-4701-85E1-48F3F6658222}"/>
    <cellStyle name="Migliaia 49 3 7" xfId="6703" xr:uid="{7973CA98-CB3B-467E-A87E-692BAB0588FC}"/>
    <cellStyle name="Migliaia 49 3 7 2" xfId="34358" xr:uid="{4245ED38-A26D-49C7-BFEB-C70A9A3C8EF0}"/>
    <cellStyle name="Migliaia 49 3 7 2 2" xfId="39951" xr:uid="{6B276974-CDE1-4566-82F8-DB72487718E2}"/>
    <cellStyle name="Migliaia 49 3 7 2 3" xfId="45253" xr:uid="{12BB941A-7DF4-44B6-B4E1-E4F496272883}"/>
    <cellStyle name="Migliaia 49 3 7 3" xfId="37325" xr:uid="{57406720-F5B9-43DA-991D-6E36CA2C18B9}"/>
    <cellStyle name="Migliaia 49 3 7 4" xfId="42602" xr:uid="{794844A6-9233-4609-856C-9E9B04A94FB0}"/>
    <cellStyle name="Migliaia 49 3 7 5" xfId="12285" xr:uid="{9DCF7D2B-5234-42E5-8165-B5FBB7A89B15}"/>
    <cellStyle name="Migliaia 49 3 8" xfId="3796" xr:uid="{2F000C90-CEB5-4F4B-8E44-567F74616F2F}"/>
    <cellStyle name="Migliaia 49 3 8 2" xfId="34359" xr:uid="{0AB7F2D8-D62F-4319-8A68-B47E6546AFBE}"/>
    <cellStyle name="Migliaia 49 3 8 2 2" xfId="39952" xr:uid="{4A0ABF8E-8B58-4B6F-B357-9620288166FA}"/>
    <cellStyle name="Migliaia 49 3 8 2 3" xfId="45254" xr:uid="{A9C0FF43-42E0-41F4-A406-DE5C0EB2F7C5}"/>
    <cellStyle name="Migliaia 49 3 8 3" xfId="37326" xr:uid="{06147FD2-EB57-431D-A249-7640588F1FBA}"/>
    <cellStyle name="Migliaia 49 3 8 4" xfId="42603" xr:uid="{FB65CE88-E5CA-4D0F-80A6-B8CFE4A1BF49}"/>
    <cellStyle name="Migliaia 49 3 8 5" xfId="25214" xr:uid="{6B8D4FBB-4639-4CCB-8C79-A16D75276F68}"/>
    <cellStyle name="Migliaia 49 3 8 6" xfId="17298" xr:uid="{183262DC-1CE5-4C3A-BFE9-F299A903F083}"/>
    <cellStyle name="Migliaia 49 3 9" xfId="20813" xr:uid="{CD4063EF-66F4-4E3E-81E4-D595B3144D3C}"/>
    <cellStyle name="Migliaia 49 4" xfId="1873" xr:uid="{00000000-0005-0000-0000-000048040000}"/>
    <cellStyle name="Migliaia 49 4 2" xfId="1874" xr:uid="{00000000-0005-0000-0000-000049040000}"/>
    <cellStyle name="Migliaia 49 4 2 2" xfId="5529" xr:uid="{F9996BD8-A53B-4290-93E2-927AE598AE0C}"/>
    <cellStyle name="Migliaia 49 4 2 2 2" xfId="34360" xr:uid="{A82EC071-646C-4DD7-8DD0-C8583207167E}"/>
    <cellStyle name="Migliaia 49 4 2 2 2 2" xfId="39953" xr:uid="{3C7D765C-6DF6-487E-91C1-051C85DECC4F}"/>
    <cellStyle name="Migliaia 49 4 2 2 2 3" xfId="45255" xr:uid="{8769744B-748F-45E8-8CC9-E70EF950F22E}"/>
    <cellStyle name="Migliaia 49 4 2 2 3" xfId="37327" xr:uid="{32C56CE8-E0C8-46EE-A884-54A1975053BE}"/>
    <cellStyle name="Migliaia 49 4 2 2 4" xfId="42604" xr:uid="{41773E7F-5F2F-4905-8E6B-9667436EAAB5}"/>
    <cellStyle name="Migliaia 49 4 2 2 5" xfId="9194" xr:uid="{4789B4E1-0375-484C-A244-CA06A6A24A92}"/>
    <cellStyle name="Migliaia 49 4 2 3" xfId="3803" xr:uid="{FFDF6696-8266-4CE5-9FC3-8E64F86A77A6}"/>
    <cellStyle name="Migliaia 49 4 2 3 2" xfId="34361" xr:uid="{AB13785A-F0CE-4605-AA1E-9903E8C32106}"/>
    <cellStyle name="Migliaia 49 4 2 3 2 2" xfId="39954" xr:uid="{D4046969-2EEF-4AB1-89D9-608AD0B1C023}"/>
    <cellStyle name="Migliaia 49 4 2 3 2 3" xfId="45256" xr:uid="{6BD10AFE-CEEB-420C-AE18-46458DD0D4D0}"/>
    <cellStyle name="Migliaia 49 4 2 3 3" xfId="37328" xr:uid="{E0FB99FB-7F3D-48A6-BCFC-13957ADD2B77}"/>
    <cellStyle name="Migliaia 49 4 2 3 4" xfId="42605" xr:uid="{142C026E-0AD9-49F0-BF0B-DCFE3FBC3C41}"/>
    <cellStyle name="Migliaia 49 4 2 3 5" xfId="12061" xr:uid="{ADD75B58-70E2-4B66-86D2-CFF8B1E375EA}"/>
    <cellStyle name="Migliaia 49 4 2 4" xfId="11410" xr:uid="{E6C16E55-1F6E-46F4-A757-77E028B42C6B}"/>
    <cellStyle name="Migliaia 49 4 2 5" xfId="10951" xr:uid="{8C7E385A-C053-4B3E-BAFC-1E0B8AAF4B1A}"/>
    <cellStyle name="Migliaia 49 4 2 5 2" xfId="21586" xr:uid="{D5C971B9-01D0-4E88-B733-ABB40705A00B}"/>
    <cellStyle name="Migliaia 49 4 2 5 3" xfId="47561" xr:uid="{DE8F904F-BF21-4E1B-B7D1-F8713A552960}"/>
    <cellStyle name="Migliaia 49 4 2 5 4" xfId="50601" xr:uid="{25A295F8-3DB7-458B-BF58-A91C6FF26234}"/>
    <cellStyle name="Migliaia 49 4 2 5 5" xfId="53617" xr:uid="{1DB6146F-BB68-462E-9DC2-166EDD1092E3}"/>
    <cellStyle name="Migliaia 49 4 2 6" xfId="20824" xr:uid="{CFBCD37E-79AC-46BD-A530-20213A99D3E1}"/>
    <cellStyle name="Migliaia 49 4 2 7" xfId="25216" xr:uid="{BE3304DA-C243-4C14-AC67-64D2EE81AC2B}"/>
    <cellStyle name="Migliaia 49 4 2 8" xfId="8742" xr:uid="{70B779AA-FF92-463A-8645-2322357F237C}"/>
    <cellStyle name="Migliaia 49 4 3" xfId="5528" xr:uid="{B10BF2AF-AA1A-4DA4-8E4D-8D3686E3DCE0}"/>
    <cellStyle name="Migliaia 49 4 3 2" xfId="18249" xr:uid="{67052E38-F889-4AA7-A54D-242F86FCAEE0}"/>
    <cellStyle name="Migliaia 49 4 3 2 2" xfId="39955" xr:uid="{2DED0EF3-E3DB-44E1-BADB-061FC1E5355C}"/>
    <cellStyle name="Migliaia 49 4 3 2 3" xfId="45257" xr:uid="{AB7622A6-3627-47D4-8082-4624038C73AE}"/>
    <cellStyle name="Migliaia 49 4 3 3" xfId="37329" xr:uid="{4BF95C18-A83F-49A4-8E4C-EB1324AF34CC}"/>
    <cellStyle name="Migliaia 49 4 3 4" xfId="42606" xr:uid="{040D5019-6CAD-4A88-9C8D-FE36B48A67F2}"/>
    <cellStyle name="Migliaia 49 4 3 5" xfId="17296" xr:uid="{6EB644B1-C360-401D-BD39-C9F4A1524908}"/>
    <cellStyle name="Migliaia 49 4 3 6" xfId="9195" xr:uid="{7CFE715D-9971-4D03-BE0C-0539B4F69153}"/>
    <cellStyle name="Migliaia 49 4 4" xfId="6709" xr:uid="{3D5412EF-D26C-4138-952C-1400769C8EA8}"/>
    <cellStyle name="Migliaia 49 4 4 2" xfId="34362" xr:uid="{1B2209B3-0969-4C71-B711-E2ED6787C110}"/>
    <cellStyle name="Migliaia 49 4 4 2 2" xfId="39956" xr:uid="{A28EC7C7-ED98-42B4-8078-F315A91D6786}"/>
    <cellStyle name="Migliaia 49 4 4 2 3" xfId="45258" xr:uid="{10A6F7D1-BFAB-4B01-85AC-F659A2DC6179}"/>
    <cellStyle name="Migliaia 49 4 4 3" xfId="37330" xr:uid="{07FFB0FB-9E79-4F17-98F6-F63250F1B974}"/>
    <cellStyle name="Migliaia 49 4 4 4" xfId="42607" xr:uid="{2421AC7F-7CD7-4082-8A99-2E6094209766}"/>
    <cellStyle name="Migliaia 49 4 4 5" xfId="12062" xr:uid="{B4E1E724-31E3-4DFB-8109-292877A954D5}"/>
    <cellStyle name="Migliaia 49 4 5" xfId="3802" xr:uid="{B0141B7E-E089-433A-A74E-041688EC4FC1}"/>
    <cellStyle name="Migliaia 49 4 5 2" xfId="34363" xr:uid="{2E740C68-4CC0-4593-9F0C-D023601F4F82}"/>
    <cellStyle name="Migliaia 49 4 5 2 2" xfId="39957" xr:uid="{4570C411-3D1F-485B-B5C4-6EA95E5650FF}"/>
    <cellStyle name="Migliaia 49 4 5 2 3" xfId="45259" xr:uid="{532B47B2-8C70-4C38-AE24-E93DCFD9A60A}"/>
    <cellStyle name="Migliaia 49 4 5 3" xfId="37331" xr:uid="{9294CCD0-C0AD-4771-AE2C-093DF22C80AF}"/>
    <cellStyle name="Migliaia 49 4 5 4" xfId="42608" xr:uid="{BE49DFFF-0F19-456B-ABBF-6691C96B98C5}"/>
    <cellStyle name="Migliaia 49 4 5 5" xfId="11409" xr:uid="{3E8654E1-AD78-4885-BBB9-A387A9C02C86}"/>
    <cellStyle name="Migliaia 49 4 6" xfId="10950" xr:uid="{4F963629-5286-4516-9A23-973659940D95}"/>
    <cellStyle name="Migliaia 49 4 6 2" xfId="21585" xr:uid="{0356BA29-0DE7-4BCC-8527-AD58133D8523}"/>
    <cellStyle name="Migliaia 49 4 6 2 2" xfId="39958" xr:uid="{B2E72253-D9DC-4692-8CAF-E42C9438EB10}"/>
    <cellStyle name="Migliaia 49 4 6 2 3" xfId="45260" xr:uid="{40154F22-BC45-4F70-9903-A5B0AABC14A2}"/>
    <cellStyle name="Migliaia 49 4 6 2 4" xfId="34364" xr:uid="{BE8578C9-B48A-4460-8CF4-E73F25E77223}"/>
    <cellStyle name="Migliaia 49 4 6 3" xfId="37332" xr:uid="{0D1DB539-DE88-492E-85EE-AC418C688B37}"/>
    <cellStyle name="Migliaia 49 4 6 4" xfId="42609" xr:uid="{FBC34268-5C7E-4511-8D8A-56F11CA9748D}"/>
    <cellStyle name="Migliaia 49 4 6 5" xfId="25217" xr:uid="{E84F4399-3262-4B22-8722-CF7155CBD52A}"/>
    <cellStyle name="Migliaia 49 4 6 6" xfId="48316" xr:uid="{BF658470-5496-4899-8290-2B436710BDA4}"/>
    <cellStyle name="Migliaia 49 4 6 7" xfId="50600" xr:uid="{13EAD483-E066-44AB-8C75-6B98922EBAF9}"/>
    <cellStyle name="Migliaia 49 4 6 8" xfId="53616" xr:uid="{591F9972-4181-4D62-8DAA-ECC105C93B52}"/>
    <cellStyle name="Migliaia 49 4 7" xfId="20823" xr:uid="{AE69C6C0-4E01-4647-9711-C5978E1633C0}"/>
    <cellStyle name="Migliaia 49 4 7 2" xfId="34365" xr:uid="{5B9E7730-3364-4394-9F5F-741E1545B30A}"/>
    <cellStyle name="Migliaia 49 4 7 2 2" xfId="39959" xr:uid="{D6124AC5-8664-47E2-8528-D80557A739C0}"/>
    <cellStyle name="Migliaia 49 4 7 2 3" xfId="45261" xr:uid="{AF485867-A230-4B29-ACCE-C0A60437CA94}"/>
    <cellStyle name="Migliaia 49 4 7 3" xfId="37333" xr:uid="{6C40A20C-A324-4154-A97D-16F52978E24A}"/>
    <cellStyle name="Migliaia 49 4 7 4" xfId="42610" xr:uid="{8A8358C4-010D-41F9-850D-34EBD7A0E084}"/>
    <cellStyle name="Migliaia 49 4 7 5" xfId="25218" xr:uid="{431E5C9C-B661-4066-B45F-709C2FE033FC}"/>
    <cellStyle name="Migliaia 49 4 8" xfId="25215" xr:uid="{825858C3-7C39-4D9A-94A3-3BF3637E449F}"/>
    <cellStyle name="Migliaia 49 4 9" xfId="7552" xr:uid="{9A4DF914-F8B7-4DD3-8642-DB9C048B78EA}"/>
    <cellStyle name="Migliaia 49 5" xfId="1875" xr:uid="{00000000-0005-0000-0000-00004A040000}"/>
    <cellStyle name="Migliaia 49 5 2" xfId="5530" xr:uid="{B6CB7350-2973-4FB9-97CE-9B28427B98FC}"/>
    <cellStyle name="Migliaia 49 5 2 2" xfId="18493" xr:uid="{F8EE2B24-4B81-4C07-919A-E291C58F364A}"/>
    <cellStyle name="Migliaia 49 5 2 2 2" xfId="39960" xr:uid="{F40A9B29-A160-45AD-992E-EEE05DB6804F}"/>
    <cellStyle name="Migliaia 49 5 2 2 3" xfId="45262" xr:uid="{66DF4524-4FB7-4776-A6CA-6CDD5F34F775}"/>
    <cellStyle name="Migliaia 49 5 2 3" xfId="20826" xr:uid="{4238E2EE-18E1-4E9E-9FA4-64E76BF42621}"/>
    <cellStyle name="Migliaia 49 5 2 3 2" xfId="37334" xr:uid="{4925C123-1726-4E0D-94CC-05C90B8E26C8}"/>
    <cellStyle name="Migliaia 49 5 2 4" xfId="42611" xr:uid="{10518E4E-5449-4F8E-90C0-CB8AC8C4602A}"/>
    <cellStyle name="Migliaia 49 5 2 5" xfId="16694" xr:uid="{AD14315D-8CF3-40C2-93D9-6577F50630EC}"/>
    <cellStyle name="Migliaia 49 5 2 6" xfId="8743" xr:uid="{46FDFBF2-302B-4E47-BA7A-AB38AA800D0B}"/>
    <cellStyle name="Migliaia 49 5 3" xfId="6710" xr:uid="{F3A212A5-079C-4642-8B6B-EFD2F3CF4D01}"/>
    <cellStyle name="Migliaia 49 5 3 2" xfId="34366" xr:uid="{92631D94-8052-4F72-B314-D3F460342BC4}"/>
    <cellStyle name="Migliaia 49 5 3 2 2" xfId="39961" xr:uid="{F56B7FC8-9063-40B1-8637-1C594797EEBF}"/>
    <cellStyle name="Migliaia 49 5 3 2 3" xfId="45263" xr:uid="{5A5A76D7-3646-4BA3-A62A-DAB5B61D7D6D}"/>
    <cellStyle name="Migliaia 49 5 3 3" xfId="37335" xr:uid="{90B35019-6D72-436D-8403-0184320ECD99}"/>
    <cellStyle name="Migliaia 49 5 3 4" xfId="42612" xr:uid="{1C1CFEA0-E2F4-4BFC-B6F4-AFA9C2AB34A8}"/>
    <cellStyle name="Migliaia 49 5 3 5" xfId="11411" xr:uid="{5A1A483E-49AA-4D0C-87C1-CDF98B855F9B}"/>
    <cellStyle name="Migliaia 49 5 4" xfId="3804" xr:uid="{A6C57765-AC11-4650-96E8-5A6A76385E51}"/>
    <cellStyle name="Migliaia 49 5 4 2" xfId="21587" xr:uid="{F2EB6C35-56B9-4573-A9AB-EA26E8C61798}"/>
    <cellStyle name="Migliaia 49 5 4 2 2" xfId="39962" xr:uid="{21D3BD32-169B-487C-BD98-6DE5EB1F46F0}"/>
    <cellStyle name="Migliaia 49 5 4 2 3" xfId="45264" xr:uid="{E40538B2-D374-4BF9-B142-2C1A051CFE72}"/>
    <cellStyle name="Migliaia 49 5 4 2 4" xfId="34367" xr:uid="{700E10D4-17C0-4E5B-BCC7-4D6F6C083248}"/>
    <cellStyle name="Migliaia 49 5 4 3" xfId="37336" xr:uid="{703DBE2B-1090-423D-BDDA-497991CDD6EA}"/>
    <cellStyle name="Migliaia 49 5 4 4" xfId="42613" xr:uid="{4402E863-4167-4513-8D00-9D5D9B148875}"/>
    <cellStyle name="Migliaia 49 5 4 5" xfId="25220" xr:uid="{6E8BC534-1680-4E7C-9A72-33D71403A823}"/>
    <cellStyle name="Migliaia 49 5 4 6" xfId="47659" xr:uid="{D27BC162-F949-4E50-B749-E6DC6F286B52}"/>
    <cellStyle name="Migliaia 49 5 4 7" xfId="50602" xr:uid="{E131B8B3-28C7-4CEB-8DCA-39AA330CAD33}"/>
    <cellStyle name="Migliaia 49 5 4 8" xfId="53618" xr:uid="{1330B9FA-A4BF-4828-B78C-1C9D92B35380}"/>
    <cellStyle name="Migliaia 49 5 4 9" xfId="10952" xr:uid="{7E05C852-7A10-4D72-8E95-8DFD4442A55B}"/>
    <cellStyle name="Migliaia 49 5 5" xfId="20825" xr:uid="{144F44E1-D763-40AA-933D-F0435EC12039}"/>
    <cellStyle name="Migliaia 49 5 5 2" xfId="34368" xr:uid="{7A38394B-77AF-4D24-971C-D1D9635F3C4B}"/>
    <cellStyle name="Migliaia 49 5 5 2 2" xfId="39963" xr:uid="{4BD508F5-32FC-4F26-AA57-69AF12CDAD99}"/>
    <cellStyle name="Migliaia 49 5 5 2 3" xfId="45265" xr:uid="{083F83FD-8C8E-424E-8A5A-796F10585421}"/>
    <cellStyle name="Migliaia 49 5 5 3" xfId="37337" xr:uid="{251FE6C4-3C86-4E35-AE2B-BE59B560F4B5}"/>
    <cellStyle name="Migliaia 49 5 5 4" xfId="42614" xr:uid="{53CE3AB8-91EF-441B-AA7E-A4A3657C1923}"/>
    <cellStyle name="Migliaia 49 5 5 5" xfId="25221" xr:uid="{38D9BB12-9928-40D5-BD68-33D8BF5A64F6}"/>
    <cellStyle name="Migliaia 49 5 6" xfId="25222" xr:uid="{4F0ECC35-1D39-497C-A581-E909202C97B3}"/>
    <cellStyle name="Migliaia 49 5 6 2" xfId="34369" xr:uid="{9C61613B-9225-48DA-B75E-EC6C389175A5}"/>
    <cellStyle name="Migliaia 49 5 6 2 2" xfId="39964" xr:uid="{7EDBA784-9C38-4B4A-9AFF-F75D791D3EFB}"/>
    <cellStyle name="Migliaia 49 5 6 2 3" xfId="45266" xr:uid="{22D5F2FE-A5A4-41B0-B9D9-D0B4A43343C1}"/>
    <cellStyle name="Migliaia 49 5 6 3" xfId="37338" xr:uid="{440887DA-4D95-4848-B7CA-F94D867C0B9D}"/>
    <cellStyle name="Migliaia 49 5 6 4" xfId="42615" xr:uid="{F42C0B24-CFAE-44D5-987F-73DC2CCC6DC1}"/>
    <cellStyle name="Migliaia 49 5 7" xfId="25219" xr:uid="{74C7B017-FAEC-498B-9793-B01E06E434B9}"/>
    <cellStyle name="Migliaia 49 5 8" xfId="7553" xr:uid="{48E6E08A-1C74-4545-8B78-8301DB44A1F6}"/>
    <cellStyle name="Migliaia 49 6" xfId="3805" xr:uid="{B9BB8B28-43C5-42BD-BEF7-9E02554CA7D5}"/>
    <cellStyle name="Migliaia 49 6 2" xfId="5531" xr:uid="{4EE0CC1A-957A-4392-9115-1B6FFA41EA5D}"/>
    <cellStyle name="Migliaia 49 6 2 2" xfId="9967" xr:uid="{84B1643E-FD6E-4B9B-AC03-70CBC6E91426}"/>
    <cellStyle name="Migliaia 49 6 2 3" xfId="18637" xr:uid="{5609E90B-0CEF-4610-9E6C-C2B47F8C8749}"/>
    <cellStyle name="Migliaia 49 6 2 4" xfId="20828" xr:uid="{624FA6EF-C158-4329-B350-4884AFA2A106}"/>
    <cellStyle name="Migliaia 49 6 2 5" xfId="32452" xr:uid="{7D0CCCE9-FC0E-49E2-9447-46E16FF566CE}"/>
    <cellStyle name="Migliaia 49 6 2 6" xfId="16696" xr:uid="{1F39030E-145A-4BC5-8964-BCD3C9AA1462}"/>
    <cellStyle name="Migliaia 49 6 2 7" xfId="8738" xr:uid="{D254C046-6078-4658-AA72-9523BE2EBD36}"/>
    <cellStyle name="Migliaia 49 6 3" xfId="6711" xr:uid="{DAE40A19-7B96-4B23-9981-5DC2BAC010A2}"/>
    <cellStyle name="Migliaia 49 6 3 2" xfId="35428" xr:uid="{A64481C8-EB01-4988-8729-8B10E449DC46}"/>
    <cellStyle name="Migliaia 49 6 3 2 2" xfId="40588" xr:uid="{D5F9A19A-6E2E-4FC2-8F6C-4A492E8CB089}"/>
    <cellStyle name="Migliaia 49 6 3 2 3" xfId="45890" xr:uid="{46986C50-B832-4461-9624-6626AF7F4A79}"/>
    <cellStyle name="Migliaia 49 6 3 3" xfId="37937" xr:uid="{C57BC79A-8B8C-48CE-9079-8D703281764B}"/>
    <cellStyle name="Migliaia 49 6 3 4" xfId="43239" xr:uid="{AAE49C26-3804-41AE-ADA9-B24BCD9720BF}"/>
    <cellStyle name="Migliaia 49 6 3 5" xfId="9730" xr:uid="{C4A10B8C-8B9B-474D-B7DD-80EAD7DCAF8A}"/>
    <cellStyle name="Migliaia 49 6 4" xfId="20827" xr:uid="{74989444-9FCE-4857-B3CA-25D749CC0B0D}"/>
    <cellStyle name="Migliaia 49 6 4 2" xfId="39965" xr:uid="{337FCE58-2174-469D-95E2-C605992C1FD3}"/>
    <cellStyle name="Migliaia 49 6 4 3" xfId="45267" xr:uid="{009CACF6-3A79-4F48-9F23-32C58BE5586A}"/>
    <cellStyle name="Migliaia 49 6 4 4" xfId="34370" xr:uid="{6B3F6C6E-57D3-47D9-8023-596C792B7989}"/>
    <cellStyle name="Migliaia 49 6 5" xfId="37339" xr:uid="{A8981C4D-3E11-490F-80CB-83A8FA75AD48}"/>
    <cellStyle name="Migliaia 49 6 6" xfId="42616" xr:uid="{2788790B-3BA0-4FEB-BB33-7F70C0ADE368}"/>
    <cellStyle name="Migliaia 49 6 7" xfId="16695" xr:uid="{FA5FC75C-826D-46C9-B0D1-92DCE8567FBF}"/>
    <cellStyle name="Migliaia 49 6 8" xfId="7548" xr:uid="{750EE6F5-3A97-421C-A2B1-F046E9D136CF}"/>
    <cellStyle name="Migliaia 49 7" xfId="3806" xr:uid="{4468C6DB-D02F-4EC8-B05F-A095D13287AB}"/>
    <cellStyle name="Migliaia 49 7 2" xfId="5532" xr:uid="{8AA45AA5-A8ED-4DD6-A8F9-D8A947B656CB}"/>
    <cellStyle name="Migliaia 49 7 2 2" xfId="35429" xr:uid="{8EB57E97-85D5-42E5-82F6-0E78291AC33D}"/>
    <cellStyle name="Migliaia 49 7 2 2 2" xfId="40589" xr:uid="{A6F7A93C-C2D1-45D4-A28E-C41528C5B1F2}"/>
    <cellStyle name="Migliaia 49 7 2 2 3" xfId="45891" xr:uid="{3C99B8DD-599F-4E28-A2A3-E0D3EE6E851A}"/>
    <cellStyle name="Migliaia 49 7 2 3" xfId="37938" xr:uid="{A4265A6B-488A-4900-BF35-FD0AE81D5335}"/>
    <cellStyle name="Migliaia 49 7 2 4" xfId="43240" xr:uid="{886566B4-2D00-46A3-8FE8-3E926B94FF1C}"/>
    <cellStyle name="Migliaia 49 7 2 5" xfId="14308" xr:uid="{33C08B17-AA2B-4D86-9630-AAA3B1F75B16}"/>
    <cellStyle name="Migliaia 49 7 3" xfId="6712" xr:uid="{74DD8914-0605-4D98-A487-594388E11F9F}"/>
    <cellStyle name="Migliaia 49 7 3 2" xfId="39966" xr:uid="{378871E8-9A15-4087-B5AD-1E53C157588C}"/>
    <cellStyle name="Migliaia 49 7 3 3" xfId="45268" xr:uid="{C900FEEC-E26D-4910-BFA2-AD91ECD2439E}"/>
    <cellStyle name="Migliaia 49 7 3 4" xfId="34371" xr:uid="{70411F6D-CFD2-4202-A884-43B254CF78D9}"/>
    <cellStyle name="Migliaia 49 7 3 5" xfId="20829" xr:uid="{5E926F79-CA1B-4184-8820-95AC22FB152E}"/>
    <cellStyle name="Migliaia 49 7 4" xfId="37340" xr:uid="{158EB44F-789F-4096-B71C-8913C390B5BB}"/>
    <cellStyle name="Migliaia 49 7 5" xfId="42617" xr:uid="{12742B14-966E-4A11-886E-A9C87C0B7582}"/>
    <cellStyle name="Migliaia 49 7 6" xfId="16697" xr:uid="{0E663EB8-5507-4C19-918F-77B598843C21}"/>
    <cellStyle name="Migliaia 49 7 7" xfId="8370" xr:uid="{7EC6756B-B4EC-4EEC-9DB9-D8412077D59C}"/>
    <cellStyle name="Migliaia 49 8" xfId="3807" xr:uid="{15EE6375-2F2F-421D-AD09-C145716C4224}"/>
    <cellStyle name="Migliaia 49 8 2" xfId="5533" xr:uid="{F593E36D-F2A4-4812-B195-6A107445F818}"/>
    <cellStyle name="Migliaia 49 8 2 2" xfId="35430" xr:uid="{B4A634ED-FD30-4A96-8FF1-91AA855F6811}"/>
    <cellStyle name="Migliaia 49 8 2 2 2" xfId="40590" xr:uid="{72FF7194-9342-45B7-89A6-7B126CF6B55B}"/>
    <cellStyle name="Migliaia 49 8 2 2 3" xfId="45892" xr:uid="{32E98AAE-DF13-4955-95AD-530C7FA6FAA4}"/>
    <cellStyle name="Migliaia 49 8 2 3" xfId="37939" xr:uid="{B5DA0B8A-1F12-47A1-A598-D88E87294732}"/>
    <cellStyle name="Migliaia 49 8 2 4" xfId="43241" xr:uid="{16A02600-EE1F-47B8-8E61-6775A04623A4}"/>
    <cellStyle name="Migliaia 49 8 2 5" xfId="14013" xr:uid="{339582FA-1751-4B8F-B4D1-142AAFBB8770}"/>
    <cellStyle name="Migliaia 49 8 3" xfId="6713" xr:uid="{A5782382-01E0-4985-879F-9D32FD4005F7}"/>
    <cellStyle name="Migliaia 49 8 3 2" xfId="39967" xr:uid="{C3286191-499A-4913-98D4-B6574264BD68}"/>
    <cellStyle name="Migliaia 49 8 3 3" xfId="45269" xr:uid="{441055F7-F106-4A94-9593-41E27FA8986C}"/>
    <cellStyle name="Migliaia 49 8 3 4" xfId="34372" xr:uid="{364CCEAD-D0E8-4BFA-9AE0-ED1D60CB4779}"/>
    <cellStyle name="Migliaia 49 8 3 5" xfId="20830" xr:uid="{A655277A-3015-4A37-B6DD-36E539D09C0B}"/>
    <cellStyle name="Migliaia 49 8 4" xfId="37341" xr:uid="{6D81E529-9FE6-40BB-A170-98A53FC18A9F}"/>
    <cellStyle name="Migliaia 49 8 5" xfId="42618" xr:uid="{CE011F40-3754-485E-88BD-2705F7974573}"/>
    <cellStyle name="Migliaia 49 8 6" xfId="16698" xr:uid="{FEB10960-7A0D-4C37-9245-C8D6B53AEEEE}"/>
    <cellStyle name="Migliaia 49 8 7" xfId="7994" xr:uid="{7DE35DC5-24DC-4A73-AFFE-20AAF7FB1F99}"/>
    <cellStyle name="Migliaia 49 9" xfId="5518" xr:uid="{D3569D0B-9FB4-4FF5-9949-3F597449754D}"/>
    <cellStyle name="Migliaia 49 9 2" xfId="34373" xr:uid="{0226F961-2D8D-4132-8095-072E35F84EF0}"/>
    <cellStyle name="Migliaia 49 9 2 2" xfId="39968" xr:uid="{683D286B-5143-4E73-B009-716DA4F060CC}"/>
    <cellStyle name="Migliaia 49 9 2 3" xfId="45270" xr:uid="{7F3D9293-D491-4156-88E6-66AF52A2DFA4}"/>
    <cellStyle name="Migliaia 49 9 3" xfId="37342" xr:uid="{262C0256-C600-45DC-9C06-535C6EDA99E0}"/>
    <cellStyle name="Migliaia 49 9 4" xfId="42619" xr:uid="{2FAA6383-0C1B-450A-906B-7D1EF6D329EB}"/>
    <cellStyle name="Migliaia 49 9 5" xfId="17221" xr:uid="{C58A0DAE-1F5E-4AC7-82A4-59FF43457DEE}"/>
    <cellStyle name="Migliaia 5" xfId="477" xr:uid="{00000000-0005-0000-0000-00004B040000}"/>
    <cellStyle name="Migliaia 5 10" xfId="6714" xr:uid="{AD76C527-5B80-44C2-BDBE-5491B84CC103}"/>
    <cellStyle name="Migliaia 5 10 2" xfId="39969" xr:uid="{6D431D0A-2707-4D14-A3C2-581B90F4F13D}"/>
    <cellStyle name="Migliaia 5 10 3" xfId="45271" xr:uid="{B393370F-E238-4861-B3C0-49C94B0110A6}"/>
    <cellStyle name="Migliaia 5 10 4" xfId="34374" xr:uid="{6A31253D-4923-463C-8D9B-58248B2446E0}"/>
    <cellStyle name="Migliaia 5 10 5" xfId="20831" xr:uid="{90A35A41-66C1-4567-ADC4-A331D1108646}"/>
    <cellStyle name="Migliaia 5 11" xfId="3808" xr:uid="{924B5315-42D7-4D27-B17E-B9EA06A9402D}"/>
    <cellStyle name="Migliaia 5 11 2" xfId="37343" xr:uid="{4DF9F833-5CE7-45CF-895E-F0066636F81D}"/>
    <cellStyle name="Migliaia 5 12" xfId="42620" xr:uid="{ABB96B24-9A86-46FB-8983-90EA037ACA69}"/>
    <cellStyle name="Migliaia 5 13" xfId="7174" xr:uid="{5542979C-B66B-4FF6-A815-40DBE50433F7}"/>
    <cellStyle name="Migliaia 5 2" xfId="478" xr:uid="{00000000-0005-0000-0000-00004C040000}"/>
    <cellStyle name="Migliaia 5 2 2" xfId="1876" xr:uid="{00000000-0005-0000-0000-00004D040000}"/>
    <cellStyle name="Migliaia 5 2 2 2" xfId="5536" xr:uid="{4E97F7C5-F444-4F14-9BCE-B34A6DA47276}"/>
    <cellStyle name="Migliaia 5 2 2 2 2" xfId="14407" xr:uid="{0F7E492A-57CE-4D2A-B73F-AE565D809AC4}"/>
    <cellStyle name="Migliaia 5 2 2 2 2 2" xfId="39970" xr:uid="{A7EF3CD3-D77E-4C5D-B43B-FE3D7B53D6A8}"/>
    <cellStyle name="Migliaia 5 2 2 2 2 3" xfId="45272" xr:uid="{07DF6311-3973-4093-98DA-A56D2C602D23}"/>
    <cellStyle name="Migliaia 5 2 2 2 3" xfId="18494" xr:uid="{F11986A8-E86B-4799-8FA1-1A04EA52BEBE}"/>
    <cellStyle name="Migliaia 5 2 2 2 4" xfId="20834" xr:uid="{3788D300-5D23-4BF8-BF81-9252F4E84B22}"/>
    <cellStyle name="Migliaia 5 2 2 2 4 2" xfId="42621" xr:uid="{BD81DD65-2A51-4153-ACFE-8EC700AD69EE}"/>
    <cellStyle name="Migliaia 5 2 2 2 5" xfId="16699" xr:uid="{CEF93F96-3D33-496D-B14D-CF976BCB2A3D}"/>
    <cellStyle name="Migliaia 5 2 2 2 6" xfId="8745" xr:uid="{FC42CAC9-86CC-400B-B7F3-209B5D7A4D62}"/>
    <cellStyle name="Migliaia 5 2 2 3" xfId="6716" xr:uid="{7DAE6998-7C0B-408C-B682-F2CF68CF32F2}"/>
    <cellStyle name="Migliaia 5 2 2 3 2" xfId="35431" xr:uid="{ED75E14E-7248-4CB7-8E7F-6BDCE31E2668}"/>
    <cellStyle name="Migliaia 5 2 2 3 2 2" xfId="40591" xr:uid="{5F5A3940-70A7-4861-853E-648B149626B3}"/>
    <cellStyle name="Migliaia 5 2 2 3 2 3" xfId="45893" xr:uid="{59534CE2-3C96-43D4-8320-DBF6B0E823E7}"/>
    <cellStyle name="Migliaia 5 2 2 3 3" xfId="37940" xr:uid="{8923F737-E6AC-4049-9C1D-82E00EF31FE2}"/>
    <cellStyle name="Migliaia 5 2 2 3 4" xfId="43242" xr:uid="{2866AF06-7AB2-476A-BC14-E096B2B1E9EA}"/>
    <cellStyle name="Migliaia 5 2 2 3 5" xfId="11634" xr:uid="{71E3D1B2-BB78-44EE-AFF6-D562785B5BC7}"/>
    <cellStyle name="Migliaia 5 2 2 4" xfId="3810" xr:uid="{6FDE6C22-9DCC-432E-A8A6-DC85EF377E28}"/>
    <cellStyle name="Migliaia 5 2 2 4 2" xfId="21588" xr:uid="{0AB4F50C-06E4-490E-9412-BF935112CFA9}"/>
    <cellStyle name="Migliaia 5 2 2 4 3" xfId="47422" xr:uid="{F6BB5EEE-E539-4D38-8373-9D0141D08695}"/>
    <cellStyle name="Migliaia 5 2 2 4 4" xfId="50603" xr:uid="{153F8CC1-39AF-4D1D-8BB2-5B0D19EBCD4E}"/>
    <cellStyle name="Migliaia 5 2 2 4 5" xfId="53619" xr:uid="{F6E7133C-C904-453B-8552-0293F9844907}"/>
    <cellStyle name="Migliaia 5 2 2 4 6" xfId="10953" xr:uid="{2F7D58F3-7341-4515-AB2E-DCA68DEB3B34}"/>
    <cellStyle name="Migliaia 5 2 2 5" xfId="20833" xr:uid="{46557730-3EE5-40A8-85C0-8B54F0D746B7}"/>
    <cellStyle name="Migliaia 5 2 2 6" xfId="25224" xr:uid="{E068FBBE-9AA1-41CC-AFB4-4B094B212555}"/>
    <cellStyle name="Migliaia 5 2 2 7" xfId="7555" xr:uid="{70C9B004-795A-4980-9AD4-D9B97FA4C2F2}"/>
    <cellStyle name="Migliaia 5 2 3" xfId="3811" xr:uid="{43E0B9DF-A9D3-4004-9992-B3196A6235F3}"/>
    <cellStyle name="Migliaia 5 2 3 2" xfId="5537" xr:uid="{B8164968-F388-4E2C-9992-F9D8CA4716A1}"/>
    <cellStyle name="Migliaia 5 2 3 2 2" xfId="35432" xr:uid="{D9113759-6BA7-44D5-8D6F-DB343413B588}"/>
    <cellStyle name="Migliaia 5 2 3 2 2 2" xfId="40592" xr:uid="{5A74B0B1-75E6-4C21-B195-5A82C9E04D73}"/>
    <cellStyle name="Migliaia 5 2 3 2 2 3" xfId="45894" xr:uid="{397006BF-3395-41B3-9D12-BCAB2D5C1A1D}"/>
    <cellStyle name="Migliaia 5 2 3 2 3" xfId="37941" xr:uid="{879C7591-E9EB-48F2-ADDE-850D16858541}"/>
    <cellStyle name="Migliaia 5 2 3 2 4" xfId="43243" xr:uid="{8EE4DB11-3B91-43D0-AC27-A24B2DD05AE4}"/>
    <cellStyle name="Migliaia 5 2 3 2 5" xfId="14312" xr:uid="{84A7E241-18E2-431B-93FF-768F113BDA39}"/>
    <cellStyle name="Migliaia 5 2 3 3" xfId="6717" xr:uid="{477FA175-A307-4D31-A839-E2818BBCD462}"/>
    <cellStyle name="Migliaia 5 2 3 3 2" xfId="39971" xr:uid="{CED6FCBA-870C-40DE-98AC-98204DFE22FC}"/>
    <cellStyle name="Migliaia 5 2 3 3 3" xfId="45273" xr:uid="{1A0BA50C-FD08-49D2-AA6F-64F36828A922}"/>
    <cellStyle name="Migliaia 5 2 3 3 4" xfId="34375" xr:uid="{5F88D68D-302C-4102-8F9B-0884E6B06C1C}"/>
    <cellStyle name="Migliaia 5 2 3 3 5" xfId="20835" xr:uid="{DC4A81C7-AF12-426D-A1E5-96A2C4335761}"/>
    <cellStyle name="Migliaia 5 2 3 4" xfId="37344" xr:uid="{CCF0DCA3-EC86-4A61-91F2-9DE1ADA9A723}"/>
    <cellStyle name="Migliaia 5 2 3 5" xfId="42622" xr:uid="{38798073-4355-4D6D-B4EA-3685BF98642E}"/>
    <cellStyle name="Migliaia 5 2 3 6" xfId="16700" xr:uid="{886A7120-99A6-4226-89C7-462D9FC48CF9}"/>
    <cellStyle name="Migliaia 5 2 3 7" xfId="8374" xr:uid="{DEB4A818-CAE0-4E06-8DF5-4CF63BAE9473}"/>
    <cellStyle name="Migliaia 5 2 4" xfId="5535" xr:uid="{13C3A97E-146A-4D56-8169-AA12BA64623E}"/>
    <cellStyle name="Migliaia 5 2 4 2" xfId="14017" xr:uid="{4D576873-E408-464B-B70B-5B8EA932BFA2}"/>
    <cellStyle name="Migliaia 5 2 4 2 2" xfId="39972" xr:uid="{388054B0-94C5-4816-B568-B24C6F937A37}"/>
    <cellStyle name="Migliaia 5 2 4 2 3" xfId="45274" xr:uid="{EB2E59FC-2D0F-40FE-A842-6731DF727F27}"/>
    <cellStyle name="Migliaia 5 2 4 3" xfId="18694" xr:uid="{3684B295-F1C2-4FA6-AAB4-53E8DC52E348}"/>
    <cellStyle name="Migliaia 5 2 4 4" xfId="20836" xr:uid="{116E082C-CDCF-4645-8BA5-42ADC1016748}"/>
    <cellStyle name="Migliaia 5 2 4 4 2" xfId="42623" xr:uid="{207BAA72-77D9-4201-86B6-44D049DCD82A}"/>
    <cellStyle name="Migliaia 5 2 4 5" xfId="16701" xr:uid="{C99CC78C-BA4E-439C-99D9-EAEDD0608C60}"/>
    <cellStyle name="Migliaia 5 2 4 6" xfId="7999" xr:uid="{349C2A82-5950-4D81-BFA9-818C850E92A0}"/>
    <cellStyle name="Migliaia 5 2 5" xfId="6715" xr:uid="{42BA3A54-2731-47E2-A3E6-AA8C47E35474}"/>
    <cellStyle name="Migliaia 5 2 5 2" xfId="34376" xr:uid="{7BD49FB9-E01A-4582-BEB2-33B41C4F1F90}"/>
    <cellStyle name="Migliaia 5 2 5 2 2" xfId="39973" xr:uid="{89735AB6-6151-4EDF-B70B-88158D6C8FA1}"/>
    <cellStyle name="Migliaia 5 2 5 2 3" xfId="45275" xr:uid="{097FA977-3F0A-4341-8DFD-2E2BC35CAFC1}"/>
    <cellStyle name="Migliaia 5 2 5 3" xfId="37345" xr:uid="{F319D1A6-896C-4506-810D-86E496F5B0D0}"/>
    <cellStyle name="Migliaia 5 2 5 4" xfId="42624" xr:uid="{B8B6243A-361F-430B-A4C6-F8182F6E398C}"/>
    <cellStyle name="Migliaia 5 2 5 5" xfId="13147" xr:uid="{54EFDD34-4FFB-4DE7-B357-90BD383061BE}"/>
    <cellStyle name="Migliaia 5 2 6" xfId="3809" xr:uid="{FB04150B-0427-440A-9E74-3ADCAA9301F2}"/>
    <cellStyle name="Migliaia 5 2 6 2" xfId="34377" xr:uid="{1615F987-28E4-460B-9F26-CD7F991B878E}"/>
    <cellStyle name="Migliaia 5 2 6 2 2" xfId="39974" xr:uid="{8B5D6C45-FC73-4A20-A709-9D2CB1EFEB14}"/>
    <cellStyle name="Migliaia 5 2 6 2 3" xfId="45276" xr:uid="{7F1B6CF0-DFD4-40CB-BB5C-CDD94A0E5D22}"/>
    <cellStyle name="Migliaia 5 2 6 3" xfId="37346" xr:uid="{02448FD7-3D59-416F-8D94-231754969DEB}"/>
    <cellStyle name="Migliaia 5 2 6 4" xfId="42625" xr:uid="{98F6EC0A-E7AA-452F-8163-E64565BEA9D0}"/>
    <cellStyle name="Migliaia 5 2 6 5" xfId="25225" xr:uid="{81F8F3B2-3EC3-4767-B4A5-993243A41884}"/>
    <cellStyle name="Migliaia 5 2 6 6" xfId="20832" xr:uid="{A0E492A2-6BF3-435F-AC60-B1123249B2AB}"/>
    <cellStyle name="Migliaia 5 2 7" xfId="25223" xr:uid="{E8D4D1F6-A9C1-4471-9905-B664E9A89C80}"/>
    <cellStyle name="Migliaia 5 2 8" xfId="7175" xr:uid="{B4A8F99C-1D21-4C23-8001-FBB2F25ED3FF}"/>
    <cellStyle name="Migliaia 5 3" xfId="479" xr:uid="{00000000-0005-0000-0000-00004E040000}"/>
    <cellStyle name="Migliaia 5 3 10" xfId="25226" xr:uid="{AFDD52B9-1282-4A50-BBF4-2221FCB95ECF}"/>
    <cellStyle name="Migliaia 5 3 11" xfId="16702" xr:uid="{07E78668-7CF0-433B-B5DE-7693E04DED91}"/>
    <cellStyle name="Migliaia 5 3 12" xfId="7176" xr:uid="{0DC1A3DF-75C0-4B62-BF61-BDBD1319D113}"/>
    <cellStyle name="Migliaia 5 3 2" xfId="480" xr:uid="{00000000-0005-0000-0000-00004F040000}"/>
    <cellStyle name="Migliaia 5 3 2 2" xfId="1877" xr:uid="{00000000-0005-0000-0000-000050040000}"/>
    <cellStyle name="Migliaia 5 3 2 2 2" xfId="5540" xr:uid="{E18F2D7E-A3AB-4817-9DDE-AB43A7E66C96}"/>
    <cellStyle name="Migliaia 5 3 2 2 2 2" xfId="18495" xr:uid="{2C6E57C5-EA6F-4021-AE43-A10885EE89DA}"/>
    <cellStyle name="Migliaia 5 3 2 2 2 2 2" xfId="21885" xr:uid="{8D0FD38C-21BE-4139-829F-1409C8E18014}"/>
    <cellStyle name="Migliaia 5 3 2 2 2 2 2 2" xfId="39975" xr:uid="{FA226767-3C7E-4076-882C-F706CDA95312}"/>
    <cellStyle name="Migliaia 5 3 2 2 2 2 3" xfId="45277" xr:uid="{DB17B2DF-F37E-43F5-AC89-633379F9020D}"/>
    <cellStyle name="Migliaia 5 3 2 2 2 2 4" xfId="34378" xr:uid="{A097FB4C-3E60-49AD-A0AC-E32B74522D2F}"/>
    <cellStyle name="Migliaia 5 3 2 2 2 3" xfId="37347" xr:uid="{DC20CB6B-12DC-45CF-893F-F1F8737D351D}"/>
    <cellStyle name="Migliaia 5 3 2 2 2 4" xfId="42626" xr:uid="{CD0BF98E-DA0E-43E9-A4F9-BCD7384AD12E}"/>
    <cellStyle name="Migliaia 5 3 2 2 2 5" xfId="37176" xr:uid="{AA939278-141F-497A-994C-95C522A2FC51}"/>
    <cellStyle name="Migliaia 5 3 2 2 2 6" xfId="50913" xr:uid="{FE55B360-4EE2-4DD6-B262-47D56156D8EE}"/>
    <cellStyle name="Migliaia 5 3 2 2 2 7" xfId="53929" xr:uid="{BA541F78-2E44-45C8-9368-C793BCC2B331}"/>
    <cellStyle name="Migliaia 5 3 2 2 2 8" xfId="17683" xr:uid="{C1717170-6254-4953-84AB-EB554EC5AE81}"/>
    <cellStyle name="Migliaia 5 3 2 2 2 9" xfId="12063" xr:uid="{9F840DBA-42ED-48FF-954A-4AA683588B6F}"/>
    <cellStyle name="Migliaia 5 3 2 2 3" xfId="6720" xr:uid="{D644B5D6-12A5-499A-96C0-9609CECB7DFE}"/>
    <cellStyle name="Migliaia 5 3 2 2 3 2" xfId="11573" xr:uid="{28E90548-33FA-438F-A92D-16AFB3002093}"/>
    <cellStyle name="Migliaia 5 3 2 2 4" xfId="3814" xr:uid="{8674B428-DF2D-4E98-AB27-52A9F087ED95}"/>
    <cellStyle name="Migliaia 5 3 2 2 4 2" xfId="21589" xr:uid="{5B9C5761-F184-441C-825D-0675D0508D03}"/>
    <cellStyle name="Migliaia 5 3 2 2 4 3" xfId="37279" xr:uid="{FBB8C965-F23B-4315-958A-F7B68F79E837}"/>
    <cellStyle name="Migliaia 5 3 2 2 4 4" xfId="50604" xr:uid="{5EAE280C-E575-4A0F-A365-A0B34C4EE200}"/>
    <cellStyle name="Migliaia 5 3 2 2 4 5" xfId="53620" xr:uid="{A96247EB-6E5D-4BAF-B492-452DC341C3F1}"/>
    <cellStyle name="Migliaia 5 3 2 2 4 6" xfId="10954" xr:uid="{E22E41D2-C224-4066-AC34-772BCC2D0466}"/>
    <cellStyle name="Migliaia 5 3 2 2 5" xfId="20839" xr:uid="{E5FD0E3C-1FF9-4239-9CE2-647ED13A1AF9}"/>
    <cellStyle name="Migliaia 5 3 2 2 6" xfId="25228" xr:uid="{26CA53EC-FEFF-4B41-84D8-73AB0F682556}"/>
    <cellStyle name="Migliaia 5 3 2 2 7" xfId="8747" xr:uid="{766F9CD5-43B0-4839-90D8-4C246AF2259E}"/>
    <cellStyle name="Migliaia 5 3 2 3" xfId="5539" xr:uid="{E405FDFE-4BAD-4A22-B470-6A60EB205CA7}"/>
    <cellStyle name="Migliaia 5 3 2 3 2" xfId="11659" xr:uid="{C20B43D3-036E-42B2-830E-FA3C2217D35B}"/>
    <cellStyle name="Migliaia 5 3 2 3 2 2" xfId="39976" xr:uid="{A0A54590-D91A-4DE2-94C6-B493AA598CCC}"/>
    <cellStyle name="Migliaia 5 3 2 3 2 3" xfId="45278" xr:uid="{0BD3DF8D-CAC2-4046-8DE8-40F3EC113234}"/>
    <cellStyle name="Migliaia 5 3 2 3 2 4" xfId="34379" xr:uid="{D5074D0A-0D18-4DAD-9C78-CB1729D7C3EB}"/>
    <cellStyle name="Migliaia 5 3 2 3 3" xfId="12064" xr:uid="{E901DB05-7518-4930-8431-A946706F5C21}"/>
    <cellStyle name="Migliaia 5 3 2 3 4" xfId="20840" xr:uid="{236AEC3A-7ED0-4D0D-8BEF-AF9267FFE10F}"/>
    <cellStyle name="Migliaia 5 3 2 3 4 2" xfId="42627" xr:uid="{E4C6EC45-EA71-46A4-98BE-3E172E4B8CC2}"/>
    <cellStyle name="Migliaia 5 3 2 3 5" xfId="16703" xr:uid="{40B81D6E-F0C3-42F7-8BF5-6BDFDF3BC084}"/>
    <cellStyle name="Migliaia 5 3 2 3 6" xfId="8001" xr:uid="{E3DFFBE5-3996-46DD-8804-196A31FCA031}"/>
    <cellStyle name="Migliaia 5 3 2 4" xfId="6719" xr:uid="{6F839173-E108-484A-B421-E1833EBC154B}"/>
    <cellStyle name="Migliaia 5 3 2 4 2" xfId="18101" xr:uid="{6BB4160A-2259-4C5B-8D7F-41D9C7C8F302}"/>
    <cellStyle name="Migliaia 5 3 2 4 2 2" xfId="39977" xr:uid="{D35ABC43-D0C6-4AAF-9EF3-4CFA7B949B48}"/>
    <cellStyle name="Migliaia 5 3 2 4 2 3" xfId="45279" xr:uid="{BEE65CB1-61F6-4AE3-B84A-C2D2EB97103A}"/>
    <cellStyle name="Migliaia 5 3 2 4 3" xfId="37348" xr:uid="{5D1F0EA9-F26D-4F74-A58A-971DB4156890}"/>
    <cellStyle name="Migliaia 5 3 2 4 4" xfId="42628" xr:uid="{B3733FE5-9A9E-4873-9D0E-AB74C109672B}"/>
    <cellStyle name="Migliaia 5 3 2 4 5" xfId="17224" xr:uid="{B74EE711-0C86-4C13-8F9C-DD8AB7DA52CB}"/>
    <cellStyle name="Migliaia 5 3 2 4 6" xfId="11412" xr:uid="{76893237-5221-4CB1-97E5-A4A86EFEBB02}"/>
    <cellStyle name="Migliaia 5 3 2 5" xfId="3813" xr:uid="{FC0D35F5-FB78-4338-8C42-628CF3F20AB3}"/>
    <cellStyle name="Migliaia 5 3 2 5 2" xfId="34380" xr:uid="{645C5C25-0028-4FFE-948F-AF1254B1CC21}"/>
    <cellStyle name="Migliaia 5 3 2 5 2 2" xfId="39978" xr:uid="{4E1E3595-1F58-4998-8880-A1B39165050F}"/>
    <cellStyle name="Migliaia 5 3 2 5 2 3" xfId="45280" xr:uid="{A6C0AFD2-8FB8-4F96-BFFA-6A8EB8D0829B}"/>
    <cellStyle name="Migliaia 5 3 2 5 3" xfId="37349" xr:uid="{AA6B67EC-541D-41E7-AA27-C13995633ADD}"/>
    <cellStyle name="Migliaia 5 3 2 5 4" xfId="42629" xr:uid="{915A7D28-62ED-476C-A593-6C0A02F88E6D}"/>
    <cellStyle name="Migliaia 5 3 2 5 5" xfId="17294" xr:uid="{E266EEFA-9868-4C0C-AFC4-4736E58AD185}"/>
    <cellStyle name="Migliaia 5 3 2 6" xfId="20838" xr:uid="{4E612781-3151-4351-BD73-A119A77E79EA}"/>
    <cellStyle name="Migliaia 5 3 2 6 2" xfId="34381" xr:uid="{E6848BC5-3BB7-4356-A126-A793F03732E5}"/>
    <cellStyle name="Migliaia 5 3 2 6 2 2" xfId="39979" xr:uid="{EEFCF862-732E-4AD7-984E-44BEA92B2C50}"/>
    <cellStyle name="Migliaia 5 3 2 6 2 3" xfId="45281" xr:uid="{2C1725EB-B282-4947-A5E3-4C483E86FF7C}"/>
    <cellStyle name="Migliaia 5 3 2 6 3" xfId="37350" xr:uid="{A729CC55-41F2-4E22-B131-7E8343237E99}"/>
    <cellStyle name="Migliaia 5 3 2 6 4" xfId="42630" xr:uid="{829A85CC-1364-4B8A-9047-AEE11F52310D}"/>
    <cellStyle name="Migliaia 5 3 2 6 5" xfId="25229" xr:uid="{2A4A2867-C3F4-4465-8DD3-B60157A4325E}"/>
    <cellStyle name="Migliaia 5 3 2 7" xfId="25227" xr:uid="{F2005047-4DC0-45F8-9C65-EDEA5564D07C}"/>
    <cellStyle name="Migliaia 5 3 2 8" xfId="7557" xr:uid="{A970B618-52DF-4ABD-9D7B-9713D51323B1}"/>
    <cellStyle name="Migliaia 5 3 3" xfId="3815" xr:uid="{A9FDEA38-5F1E-48CB-8E30-67560893E707}"/>
    <cellStyle name="Migliaia 5 3 3 10" xfId="7556" xr:uid="{35C9B468-E6ED-4F34-B129-8A5A97BC0160}"/>
    <cellStyle name="Migliaia 5 3 3 2" xfId="5541" xr:uid="{8F0CE5DE-B6FF-4335-B0B8-66728B524739}"/>
    <cellStyle name="Migliaia 5 3 3 2 2" xfId="9970" xr:uid="{C763AF1A-3A99-4FA5-A700-0133BCE4FAEB}"/>
    <cellStyle name="Migliaia 5 3 3 2 2 2" xfId="39981" xr:uid="{10337CE8-63D4-4ACD-A9D3-5D8F62CC6D63}"/>
    <cellStyle name="Migliaia 5 3 3 2 2 3" xfId="45283" xr:uid="{DBF6AA5D-7054-4452-BC7D-9C1A52D4B485}"/>
    <cellStyle name="Migliaia 5 3 3 2 3" xfId="18250" xr:uid="{6011E2BB-6E28-4680-B133-DD378131F11E}"/>
    <cellStyle name="Migliaia 5 3 3 2 4" xfId="20842" xr:uid="{8EDE2DEA-F092-4D85-B7D2-3C7B9604E9DE}"/>
    <cellStyle name="Migliaia 5 3 3 2 4 2" xfId="42632" xr:uid="{1698D657-F994-4912-A637-BF604150CEFD}"/>
    <cellStyle name="Migliaia 5 3 3 2 5" xfId="16705" xr:uid="{35866AF7-686A-4E4A-AE6A-EC3594D15259}"/>
    <cellStyle name="Migliaia 5 3 3 2 6" xfId="8746" xr:uid="{A042BA7A-D873-4BEF-A336-A675E4391ABA}"/>
    <cellStyle name="Migliaia 5 3 3 3" xfId="6721" xr:uid="{6A95519A-173B-4A08-8225-AE2E136C0D06}"/>
    <cellStyle name="Migliaia 5 3 3 3 2" xfId="34383" xr:uid="{380A34E1-AD02-4248-B7C2-25B7A5275075}"/>
    <cellStyle name="Migliaia 5 3 3 3 2 2" xfId="39982" xr:uid="{1B899A12-5921-4B6E-AD72-BB337C779620}"/>
    <cellStyle name="Migliaia 5 3 3 3 2 3" xfId="45284" xr:uid="{A0079ADC-38A1-430C-BE57-4D838F5A1DE6}"/>
    <cellStyle name="Migliaia 5 3 3 3 3" xfId="37352" xr:uid="{1202E9F8-FFF8-40C4-97A3-AA5D490FC548}"/>
    <cellStyle name="Migliaia 5 3 3 3 4" xfId="42633" xr:uid="{40924B42-B8CF-424E-A4F5-6FC00ECD7C7E}"/>
    <cellStyle name="Migliaia 5 3 3 3 5" xfId="9733" xr:uid="{0055499E-7635-4A68-9EDB-7A5CC8880053}"/>
    <cellStyle name="Migliaia 5 3 3 4" xfId="20841" xr:uid="{E15FD984-2884-460A-8E1A-8C50909E3EAE}"/>
    <cellStyle name="Migliaia 5 3 3 4 2" xfId="34384" xr:uid="{DCA0A4B7-4BFB-41EC-B904-0931825EE319}"/>
    <cellStyle name="Migliaia 5 3 3 4 2 2" xfId="39983" xr:uid="{9DC7C347-13E8-407E-B3FD-6AC07C01B6D9}"/>
    <cellStyle name="Migliaia 5 3 3 4 2 3" xfId="45285" xr:uid="{7C5A9593-F8B2-450A-AE7B-81858C9005CB}"/>
    <cellStyle name="Migliaia 5 3 3 4 3" xfId="37353" xr:uid="{68F84BA1-C9A5-40C6-AE99-9049969C418C}"/>
    <cellStyle name="Migliaia 5 3 3 4 4" xfId="42634" xr:uid="{FE4C4054-E7F7-4466-97D4-127AAF2918F1}"/>
    <cellStyle name="Migliaia 5 3 3 4 5" xfId="25230" xr:uid="{11F0C8EE-A2B4-4503-86D1-EA4B865727C4}"/>
    <cellStyle name="Migliaia 5 3 3 5" xfId="25231" xr:uid="{2EF01E62-51D5-4D37-B529-D2CE3C05A540}"/>
    <cellStyle name="Migliaia 5 3 3 5 2" xfId="34385" xr:uid="{AD17F659-88AF-4807-95AF-7AF7D35230FA}"/>
    <cellStyle name="Migliaia 5 3 3 5 2 2" xfId="39984" xr:uid="{5DD769AD-1AF2-4815-9506-D501FC53DD35}"/>
    <cellStyle name="Migliaia 5 3 3 5 2 3" xfId="45286" xr:uid="{FF83A8A9-47AA-480B-961F-C3E119F77A18}"/>
    <cellStyle name="Migliaia 5 3 3 5 3" xfId="37354" xr:uid="{7C4B29C4-9B0A-4D19-808D-FA4BBB684ED6}"/>
    <cellStyle name="Migliaia 5 3 3 5 4" xfId="42635" xr:uid="{2B751C55-B07C-40AB-9182-06B0ECFE9EF4}"/>
    <cellStyle name="Migliaia 5 3 3 6" xfId="34382" xr:uid="{B968364D-572F-4A6A-9D88-984B1B9B53A9}"/>
    <cellStyle name="Migliaia 5 3 3 6 2" xfId="39980" xr:uid="{E8D453A7-57F6-4889-8B24-08EF77F36F37}"/>
    <cellStyle name="Migliaia 5 3 3 6 3" xfId="45282" xr:uid="{F6197027-5316-42C6-9122-FDFE410A5E10}"/>
    <cellStyle name="Migliaia 5 3 3 7" xfId="37351" xr:uid="{64833410-4957-476E-936E-E529AE8FD3DC}"/>
    <cellStyle name="Migliaia 5 3 3 8" xfId="42631" xr:uid="{801D8C58-F537-47D1-80C0-80029A85EBCB}"/>
    <cellStyle name="Migliaia 5 3 3 9" xfId="16704" xr:uid="{E3DE884D-AFA9-4DF3-9CF8-A60572FD1AEC}"/>
    <cellStyle name="Migliaia 5 3 4" xfId="3816" xr:uid="{93244E45-3500-4C7A-A1AA-A88B4B364CBB}"/>
    <cellStyle name="Migliaia 5 3 4 2" xfId="5542" xr:uid="{4554231B-24DA-42FA-9CE7-0BA3CE539CD8}"/>
    <cellStyle name="Migliaia 5 3 4 2 2" xfId="14467" xr:uid="{D3FB3AD3-7AC0-424A-9286-1FF360A6E695}"/>
    <cellStyle name="Migliaia 5 3 4 2 3" xfId="18578" xr:uid="{E912D3BB-54C5-4E31-B76F-FEC44E9E333B}"/>
    <cellStyle name="Migliaia 5 3 4 2 4" xfId="20844" xr:uid="{043DA093-2D35-42E7-BD82-CADEDDF6CF5E}"/>
    <cellStyle name="Migliaia 5 3 4 2 5" xfId="32453" xr:uid="{9EEED1F4-3105-4F34-8780-19AF91ADECD2}"/>
    <cellStyle name="Migliaia 5 3 4 2 6" xfId="16707" xr:uid="{83D21728-0AC6-4AF9-88E6-3A1853E4600B}"/>
    <cellStyle name="Migliaia 5 3 4 2 7" xfId="8890" xr:uid="{A8DBF91B-FFC0-478D-ABDF-E90AC23A4540}"/>
    <cellStyle name="Migliaia 5 3 4 3" xfId="6722" xr:uid="{A909F13F-5F56-46DF-9EE4-58FC9D6497AF}"/>
    <cellStyle name="Migliaia 5 3 4 3 2" xfId="35433" xr:uid="{D2002148-F157-4A03-8269-9816E64B4478}"/>
    <cellStyle name="Migliaia 5 3 4 3 2 2" xfId="40593" xr:uid="{32A8A377-2294-4E42-930F-407AFC842B85}"/>
    <cellStyle name="Migliaia 5 3 4 3 2 3" xfId="45895" xr:uid="{C7F60DC3-1C49-402B-B93B-CDE7E56F8278}"/>
    <cellStyle name="Migliaia 5 3 4 3 3" xfId="37942" xr:uid="{B3725BA8-682B-4B56-AA52-354A03B910C0}"/>
    <cellStyle name="Migliaia 5 3 4 3 4" xfId="43244" xr:uid="{D317B7F6-3ECD-482C-B024-86CEA1912DB7}"/>
    <cellStyle name="Migliaia 5 3 4 3 5" xfId="13715" xr:uid="{437C1773-3BC7-4BF0-ADA4-AB27BB9641ED}"/>
    <cellStyle name="Migliaia 5 3 4 4" xfId="20843" xr:uid="{AA9EDCB8-C0B7-46FD-8B30-D919B4F33EF0}"/>
    <cellStyle name="Migliaia 5 3 4 4 2" xfId="39985" xr:uid="{ED6BADD6-A72C-47B5-ABB6-7F52EF44D147}"/>
    <cellStyle name="Migliaia 5 3 4 4 3" xfId="45287" xr:uid="{D7DC664E-4D4D-4C53-BE78-D2E2058F0BC5}"/>
    <cellStyle name="Migliaia 5 3 4 4 4" xfId="34386" xr:uid="{D8C328CD-3143-46AE-8623-C9A559CC95A0}"/>
    <cellStyle name="Migliaia 5 3 4 5" xfId="37355" xr:uid="{C4A04745-8DFA-4BC2-837E-6DCCBFB227D8}"/>
    <cellStyle name="Migliaia 5 3 4 6" xfId="42636" xr:uid="{414455FC-3236-4795-84F0-05AE75B7F3E0}"/>
    <cellStyle name="Migliaia 5 3 4 7" xfId="16706" xr:uid="{F45A944F-1D3D-4F9B-BA06-71BD3AC753DD}"/>
    <cellStyle name="Migliaia 5 3 4 8" xfId="7700" xr:uid="{2A60E96F-82E5-4D4D-9CB3-E8EE7B3D91C1}"/>
    <cellStyle name="Migliaia 5 3 5" xfId="3817" xr:uid="{E1B9C5C9-706F-4AB4-93DD-6EBF8D7F9DBF}"/>
    <cellStyle name="Migliaia 5 3 5 2" xfId="5543" xr:uid="{8781A64A-5D57-48B3-8371-3A6873440D32}"/>
    <cellStyle name="Migliaia 5 3 5 2 2" xfId="35434" xr:uid="{9A0B664D-6AB2-415E-8D31-E01B223B9CD8}"/>
    <cellStyle name="Migliaia 5 3 5 2 2 2" xfId="40594" xr:uid="{867563CE-D6A1-40D7-ACE0-ABCEEBBC420E}"/>
    <cellStyle name="Migliaia 5 3 5 2 2 3" xfId="45896" xr:uid="{968B0DD7-F93D-4EAE-AE9F-ADB7FBC9B99B}"/>
    <cellStyle name="Migliaia 5 3 5 2 3" xfId="37943" xr:uid="{7B34CAF9-6792-44CE-BE5B-0F4334A16B85}"/>
    <cellStyle name="Migliaia 5 3 5 2 4" xfId="43245" xr:uid="{DF45E102-1577-420A-AA63-1572CEF2C929}"/>
    <cellStyle name="Migliaia 5 3 5 2 5" xfId="14313" xr:uid="{01219714-8FD0-4A7E-BFF8-8EA09E01EC0D}"/>
    <cellStyle name="Migliaia 5 3 5 3" xfId="6723" xr:uid="{C78D0715-5A68-4C8E-98F0-10A95C27698E}"/>
    <cellStyle name="Migliaia 5 3 5 3 2" xfId="39986" xr:uid="{85721612-344E-4741-9842-6C486268AB25}"/>
    <cellStyle name="Migliaia 5 3 5 3 3" xfId="45288" xr:uid="{4743FB08-313F-4BB2-91DC-7EF295812E98}"/>
    <cellStyle name="Migliaia 5 3 5 3 4" xfId="34387" xr:uid="{1379D653-B1B3-4ACF-9F5D-FF8AC9253026}"/>
    <cellStyle name="Migliaia 5 3 5 3 5" xfId="20845" xr:uid="{BD537CF5-5D9D-4D22-BA27-C4CCCAFA8ACE}"/>
    <cellStyle name="Migliaia 5 3 5 4" xfId="37356" xr:uid="{86C36E48-33D1-4533-BAF4-CCA0F33BFF9B}"/>
    <cellStyle name="Migliaia 5 3 5 5" xfId="42637" xr:uid="{D51A9E7C-EFCD-4DEA-AE3D-9BB44BC4F626}"/>
    <cellStyle name="Migliaia 5 3 5 6" xfId="16708" xr:uid="{BE2F908F-10F1-458F-A4CE-9EEFA0C79316}"/>
    <cellStyle name="Migliaia 5 3 5 7" xfId="8375" xr:uid="{899F3870-9944-4651-8312-B3806558CFB1}"/>
    <cellStyle name="Migliaia 5 3 6" xfId="5538" xr:uid="{702EAA1D-238A-4614-8CDF-00AFA46C4C2E}"/>
    <cellStyle name="Migliaia 5 3 6 2" xfId="14018" xr:uid="{3FBD0180-4633-488D-8896-2919E82DA646}"/>
    <cellStyle name="Migliaia 5 3 6 2 2" xfId="39987" xr:uid="{34E649B3-80EF-4DB1-9571-184C91E75F85}"/>
    <cellStyle name="Migliaia 5 3 6 2 3" xfId="45289" xr:uid="{EEFD76F9-E741-4925-AD03-5CFCD2349D79}"/>
    <cellStyle name="Migliaia 5 3 6 3" xfId="18693" xr:uid="{09E92D59-17CC-437C-A0D9-C13DD4006C5E}"/>
    <cellStyle name="Migliaia 5 3 6 4" xfId="20846" xr:uid="{121EDB3E-F92B-4A4F-82BC-FDCBCD9DC946}"/>
    <cellStyle name="Migliaia 5 3 6 4 2" xfId="42638" xr:uid="{A3DE28F3-D213-47A6-B2A8-8308427B88BA}"/>
    <cellStyle name="Migliaia 5 3 6 5" xfId="16709" xr:uid="{54B94E31-6852-4F68-9134-721B941464E3}"/>
    <cellStyle name="Migliaia 5 3 6 6" xfId="8000" xr:uid="{47BC419A-391F-417E-AC51-CBAB1232C07D}"/>
    <cellStyle name="Migliaia 5 3 7" xfId="6718" xr:uid="{7504247B-5B92-4CCB-AE5E-075C4006CEDE}"/>
    <cellStyle name="Migliaia 5 3 7 2" xfId="34388" xr:uid="{11E470B6-87AD-42D8-A3FE-03BC5E65F590}"/>
    <cellStyle name="Migliaia 5 3 7 2 2" xfId="39988" xr:uid="{4695E8D0-76A3-4FD7-970F-F088FAD80CFF}"/>
    <cellStyle name="Migliaia 5 3 7 2 3" xfId="45290" xr:uid="{D082A99D-C64D-4080-BA5D-B55470BCF423}"/>
    <cellStyle name="Migliaia 5 3 7 3" xfId="37357" xr:uid="{1DD1373E-2C0C-47E7-BB56-795A91FB2CE8}"/>
    <cellStyle name="Migliaia 5 3 7 4" xfId="42639" xr:uid="{11C4A42D-83AD-4C15-9B45-4185FA3568D9}"/>
    <cellStyle name="Migliaia 5 3 7 5" xfId="12249" xr:uid="{A8EDA127-8CA2-434D-9087-BFF7AF8F9353}"/>
    <cellStyle name="Migliaia 5 3 8" xfId="3812" xr:uid="{023F59AE-9885-4B4C-9EFD-1579A61659BF}"/>
    <cellStyle name="Migliaia 5 3 8 2" xfId="34389" xr:uid="{4AD50FE4-ED5A-46C3-B810-C9B3832ACBAB}"/>
    <cellStyle name="Migliaia 5 3 8 2 2" xfId="39989" xr:uid="{335B1855-99AF-40E1-A301-097ED62C104C}"/>
    <cellStyle name="Migliaia 5 3 8 2 3" xfId="45291" xr:uid="{E58316D1-D936-4B2F-92F8-C34D73A14B20}"/>
    <cellStyle name="Migliaia 5 3 8 3" xfId="37358" xr:uid="{CCF79119-3237-4F80-B480-D6C501C3C54A}"/>
    <cellStyle name="Migliaia 5 3 8 4" xfId="42640" xr:uid="{F890EA81-BD02-4126-8660-CCE493D89064}"/>
    <cellStyle name="Migliaia 5 3 8 5" xfId="25232" xr:uid="{E6902332-AC9E-4B7F-9809-CD3D32CC20DE}"/>
    <cellStyle name="Migliaia 5 3 8 6" xfId="17295" xr:uid="{7DD6E700-AA44-47B9-B625-D1A30133A946}"/>
    <cellStyle name="Migliaia 5 3 9" xfId="20837" xr:uid="{56651DDE-B982-42A0-B50C-888E8B4C99C0}"/>
    <cellStyle name="Migliaia 5 4" xfId="1878" xr:uid="{00000000-0005-0000-0000-000051040000}"/>
    <cellStyle name="Migliaia 5 4 2" xfId="1879" xr:uid="{00000000-0005-0000-0000-000052040000}"/>
    <cellStyle name="Migliaia 5 4 2 2" xfId="5545" xr:uid="{0167749C-44DC-4E9D-A530-BD9B865A70E1}"/>
    <cellStyle name="Migliaia 5 4 2 2 2" xfId="34390" xr:uid="{4D302760-FAFF-4975-A015-F8D4055AFAC8}"/>
    <cellStyle name="Migliaia 5 4 2 2 2 2" xfId="39990" xr:uid="{73ACB4F5-1D02-4714-B15C-76DDF157F83B}"/>
    <cellStyle name="Migliaia 5 4 2 2 2 3" xfId="45292" xr:uid="{A20D45B2-FFBE-449D-AEAC-635782A144D0}"/>
    <cellStyle name="Migliaia 5 4 2 2 3" xfId="37359" xr:uid="{98861604-BEB3-4FEA-80E1-9583264BA7D6}"/>
    <cellStyle name="Migliaia 5 4 2 2 4" xfId="42641" xr:uid="{6D5D52FA-2B06-4846-977D-7C8DC029A18C}"/>
    <cellStyle name="Migliaia 5 4 2 2 5" xfId="9196" xr:uid="{E03837E7-87C5-48D2-BC18-79174DE5280F}"/>
    <cellStyle name="Migliaia 5 4 2 3" xfId="3819" xr:uid="{2055642A-EE01-41F6-9ACF-9B57EA4C314C}"/>
    <cellStyle name="Migliaia 5 4 2 3 2" xfId="34391" xr:uid="{CB05F654-947C-4607-9412-B11B0E8B1AB2}"/>
    <cellStyle name="Migliaia 5 4 2 3 2 2" xfId="39991" xr:uid="{AED8BF23-23FC-4DCF-A813-BF632186213C}"/>
    <cellStyle name="Migliaia 5 4 2 3 2 3" xfId="45293" xr:uid="{66D2348D-42BC-436F-B4F5-4D7E22DC2FC4}"/>
    <cellStyle name="Migliaia 5 4 2 3 3" xfId="37360" xr:uid="{E853A31F-8D5A-4569-91A8-BF7481B59E60}"/>
    <cellStyle name="Migliaia 5 4 2 3 4" xfId="42642" xr:uid="{81CC9E79-B683-47F6-870F-DCB4B3E46CB8}"/>
    <cellStyle name="Migliaia 5 4 2 3 5" xfId="12065" xr:uid="{864F6DF3-D955-42E9-9850-B49DBAF53682}"/>
    <cellStyle name="Migliaia 5 4 2 4" xfId="11414" xr:uid="{97DA3E19-551F-4A1C-9171-203C1E0789DF}"/>
    <cellStyle name="Migliaia 5 4 2 5" xfId="10956" xr:uid="{CDDA48D2-6472-42F8-B096-3E8CBCC7875D}"/>
    <cellStyle name="Migliaia 5 4 2 5 2" xfId="21591" xr:uid="{101BA41A-6A52-48BE-A6BD-6CB3EA228F31}"/>
    <cellStyle name="Migliaia 5 4 2 5 3" xfId="46705" xr:uid="{B0F5DDD7-7C38-46A0-9A14-81DB0E3B865B}"/>
    <cellStyle name="Migliaia 5 4 2 5 4" xfId="50606" xr:uid="{259D383B-F8D2-477D-BCA3-27A51D360C40}"/>
    <cellStyle name="Migliaia 5 4 2 5 5" xfId="53622" xr:uid="{3B7A5051-1C5F-4277-A663-039CB56CBD42}"/>
    <cellStyle name="Migliaia 5 4 2 6" xfId="20848" xr:uid="{CB1749F2-EDAF-44D2-B005-00BEBF0E29E8}"/>
    <cellStyle name="Migliaia 5 4 2 7" xfId="25234" xr:uid="{192B4A80-B1D1-45B9-AF84-C6E3BF99B53C}"/>
    <cellStyle name="Migliaia 5 4 2 8" xfId="8748" xr:uid="{415E45E2-1779-48E5-A6AC-BCE1A9163AA0}"/>
    <cellStyle name="Migliaia 5 4 3" xfId="5544" xr:uid="{28873FEF-A138-476C-8494-7DB887C20B08}"/>
    <cellStyle name="Migliaia 5 4 3 2" xfId="18251" xr:uid="{040DFB7A-A652-4E5A-BAB1-881B48515041}"/>
    <cellStyle name="Migliaia 5 4 3 2 2" xfId="39992" xr:uid="{CBE34F32-3406-4D99-91B7-1A29C34ACFD4}"/>
    <cellStyle name="Migliaia 5 4 3 2 3" xfId="45294" xr:uid="{CFB8CD0B-2A26-48AB-8D1F-44BA13EFED68}"/>
    <cellStyle name="Migliaia 5 4 3 3" xfId="37361" xr:uid="{1EAD98AF-55A6-4189-BC34-5CC3819261C8}"/>
    <cellStyle name="Migliaia 5 4 3 4" xfId="42643" xr:uid="{84FAC2D1-08BD-4EF2-8954-B9DBECF15423}"/>
    <cellStyle name="Migliaia 5 4 3 5" xfId="17293" xr:uid="{7AF3824B-F760-4877-A00F-E0F91D91A531}"/>
    <cellStyle name="Migliaia 5 4 3 6" xfId="9197" xr:uid="{511EC98D-B990-48D2-938D-A5475237BEE7}"/>
    <cellStyle name="Migliaia 5 4 4" xfId="6724" xr:uid="{0530E6AF-86F4-4AB3-ADE1-8ABC895C8FE0}"/>
    <cellStyle name="Migliaia 5 4 4 2" xfId="34392" xr:uid="{B8B70A72-E42D-4D46-B47D-AE8BA0FF2CA8}"/>
    <cellStyle name="Migliaia 5 4 4 2 2" xfId="39993" xr:uid="{3CCF1475-8427-4D6F-A658-01A14B385CB5}"/>
    <cellStyle name="Migliaia 5 4 4 2 3" xfId="45295" xr:uid="{479E1E45-DBC3-423A-8461-B7FE84EC3DBE}"/>
    <cellStyle name="Migliaia 5 4 4 3" xfId="37362" xr:uid="{516F19B9-AF0C-4C02-B423-E1C11BCF3FAE}"/>
    <cellStyle name="Migliaia 5 4 4 4" xfId="42644" xr:uid="{B6B88C94-508B-4F55-8E0D-6C5E02484426}"/>
    <cellStyle name="Migliaia 5 4 4 5" xfId="12066" xr:uid="{C9C389FE-AB70-4624-9947-98159CFE757C}"/>
    <cellStyle name="Migliaia 5 4 5" xfId="3818" xr:uid="{DE259583-13F6-4785-B48D-3749074649A2}"/>
    <cellStyle name="Migliaia 5 4 5 2" xfId="34393" xr:uid="{B37F7491-3643-4B88-B4EA-DDE6880545A1}"/>
    <cellStyle name="Migliaia 5 4 5 2 2" xfId="39994" xr:uid="{69B88B55-D856-42DB-979A-BE382312031F}"/>
    <cellStyle name="Migliaia 5 4 5 2 3" xfId="45296" xr:uid="{C9D7E25B-2E3E-44D2-8F9A-1356C7F6AAC2}"/>
    <cellStyle name="Migliaia 5 4 5 3" xfId="37363" xr:uid="{C6E72AB7-3AD6-42B9-82BF-CB2634F7D8A7}"/>
    <cellStyle name="Migliaia 5 4 5 4" xfId="42645" xr:uid="{59492B96-DBAA-4776-A429-2D07D4160274}"/>
    <cellStyle name="Migliaia 5 4 5 5" xfId="11413" xr:uid="{D98686CD-B6B3-4F07-92D1-E57798FEF481}"/>
    <cellStyle name="Migliaia 5 4 6" xfId="10955" xr:uid="{5CEC437A-4D0E-4CC2-BAAE-A17F4B37CE77}"/>
    <cellStyle name="Migliaia 5 4 6 2" xfId="21590" xr:uid="{9FB3D63B-626E-487C-B309-EDA766E52E97}"/>
    <cellStyle name="Migliaia 5 4 6 2 2" xfId="39995" xr:uid="{45DE9CD7-26E3-49B9-B6F6-5CC430D7DB8A}"/>
    <cellStyle name="Migliaia 5 4 6 2 3" xfId="45297" xr:uid="{3DCABF03-E813-4461-983E-7CAB4203B59D}"/>
    <cellStyle name="Migliaia 5 4 6 2 4" xfId="34394" xr:uid="{3ED083B2-B7F0-45C3-9523-26D9FF818969}"/>
    <cellStyle name="Migliaia 5 4 6 3" xfId="37364" xr:uid="{5DDD3DA0-0F8D-43AC-A633-7E55D1036086}"/>
    <cellStyle name="Migliaia 5 4 6 4" xfId="42646" xr:uid="{E60B1573-BA96-429D-BDEC-F2B24EC012FB}"/>
    <cellStyle name="Migliaia 5 4 6 5" xfId="25235" xr:uid="{FB428DBF-AF6B-4170-AA24-AD88BF27E55B}"/>
    <cellStyle name="Migliaia 5 4 6 6" xfId="32341" xr:uid="{2D7A637A-5137-48AA-8F76-76546A14EC87}"/>
    <cellStyle name="Migliaia 5 4 6 7" xfId="50605" xr:uid="{2331F716-C5FE-4B94-A7B9-BB7624BD7385}"/>
    <cellStyle name="Migliaia 5 4 6 8" xfId="53621" xr:uid="{F9186532-A44D-4461-B71A-E5D9F6C07FCA}"/>
    <cellStyle name="Migliaia 5 4 7" xfId="20847" xr:uid="{C90433A2-AD75-43C1-9DFC-6DE0280CC508}"/>
    <cellStyle name="Migliaia 5 4 7 2" xfId="34395" xr:uid="{399B778F-673A-4A62-BAB9-6A1DA02F3EC7}"/>
    <cellStyle name="Migliaia 5 4 7 2 2" xfId="39996" xr:uid="{6F823FB7-9BFF-45C7-B99B-CFF611AC5C7A}"/>
    <cellStyle name="Migliaia 5 4 7 2 3" xfId="45298" xr:uid="{438486FA-B574-43AA-9165-C9E79CAE8A37}"/>
    <cellStyle name="Migliaia 5 4 7 3" xfId="37365" xr:uid="{3A2A5118-D885-4AD0-B542-E49FB7EE2C3C}"/>
    <cellStyle name="Migliaia 5 4 7 4" xfId="42647" xr:uid="{E2064950-280A-43D3-899A-CD1A1DCACA0B}"/>
    <cellStyle name="Migliaia 5 4 7 5" xfId="25236" xr:uid="{34B8FEB9-71C7-4697-AB8D-3AFFBC02AA04}"/>
    <cellStyle name="Migliaia 5 4 8" xfId="25233" xr:uid="{D140ED66-ED85-4FA9-B3B8-2C505A38B038}"/>
    <cellStyle name="Migliaia 5 4 9" xfId="7558" xr:uid="{02627831-237D-4427-B0E9-353A77BFE80C}"/>
    <cellStyle name="Migliaia 5 5" xfId="1880" xr:uid="{00000000-0005-0000-0000-000053040000}"/>
    <cellStyle name="Migliaia 5 5 2" xfId="5546" xr:uid="{A3C92435-0753-4229-86D3-D003802E8B94}"/>
    <cellStyle name="Migliaia 5 5 2 2" xfId="18496" xr:uid="{7DC56B8E-1375-4107-AB26-AA95686C4E9C}"/>
    <cellStyle name="Migliaia 5 5 2 2 2" xfId="39997" xr:uid="{40DB36E5-59CB-481C-80BC-29A34A8CDD79}"/>
    <cellStyle name="Migliaia 5 5 2 2 3" xfId="45299" xr:uid="{887290FC-D176-4475-8898-66D6CE70DD98}"/>
    <cellStyle name="Migliaia 5 5 2 3" xfId="20850" xr:uid="{C7BE6731-3A2E-48A0-A2CE-715DFF59FB54}"/>
    <cellStyle name="Migliaia 5 5 2 3 2" xfId="37366" xr:uid="{58C49BFB-1916-427C-B1D2-8B74C54881A6}"/>
    <cellStyle name="Migliaia 5 5 2 4" xfId="42648" xr:uid="{2CEEC880-595A-446B-AE64-003FDF103D0F}"/>
    <cellStyle name="Migliaia 5 5 2 5" xfId="16710" xr:uid="{3F2F71AF-D59C-4264-BE8E-0A1429AF50B7}"/>
    <cellStyle name="Migliaia 5 5 2 6" xfId="8749" xr:uid="{21E394A2-28B8-4537-BB17-D35CFDCA8030}"/>
    <cellStyle name="Migliaia 5 5 3" xfId="6725" xr:uid="{73ED6986-017D-4A07-9812-B2DBF10FE10F}"/>
    <cellStyle name="Migliaia 5 5 3 2" xfId="34396" xr:uid="{D9D9C407-7291-4655-ABE1-FC2D2AC3A6C0}"/>
    <cellStyle name="Migliaia 5 5 3 2 2" xfId="39998" xr:uid="{625358CA-DCA0-4A25-8548-ACE6C4D6DF34}"/>
    <cellStyle name="Migliaia 5 5 3 2 3" xfId="45300" xr:uid="{2A888EFC-7A14-4555-BAF0-222CC6C89F2B}"/>
    <cellStyle name="Migliaia 5 5 3 3" xfId="37367" xr:uid="{16370075-90DB-4DE7-BA5D-3DEEDDF04984}"/>
    <cellStyle name="Migliaia 5 5 3 4" xfId="42649" xr:uid="{DC06D464-1485-45EA-B5BC-ABAE3784D97E}"/>
    <cellStyle name="Migliaia 5 5 3 5" xfId="11415" xr:uid="{84CF682F-5905-4C00-97E1-D29E04278DE8}"/>
    <cellStyle name="Migliaia 5 5 4" xfId="3820" xr:uid="{AD3C3143-4292-4071-8393-832E4CA01768}"/>
    <cellStyle name="Migliaia 5 5 4 2" xfId="21592" xr:uid="{80F2279E-38AC-47B5-B930-7780C3749E73}"/>
    <cellStyle name="Migliaia 5 5 4 2 2" xfId="39999" xr:uid="{DFEFE25E-FEF3-4159-8744-E60C5545B472}"/>
    <cellStyle name="Migliaia 5 5 4 2 3" xfId="45301" xr:uid="{6D66741F-4578-4E6C-B321-94D5B55F2D86}"/>
    <cellStyle name="Migliaia 5 5 4 2 4" xfId="34397" xr:uid="{8084E36D-EF1C-461E-8A78-2700AED9B154}"/>
    <cellStyle name="Migliaia 5 5 4 3" xfId="37368" xr:uid="{6F6F64D1-7F27-44E8-9E7C-7253FF5130D7}"/>
    <cellStyle name="Migliaia 5 5 4 4" xfId="42650" xr:uid="{17A66FB8-588B-4EA2-B87F-5E2910787F84}"/>
    <cellStyle name="Migliaia 5 5 4 5" xfId="25238" xr:uid="{12FB3F15-9601-4A27-BCFE-08B70BDFB7BE}"/>
    <cellStyle name="Migliaia 5 5 4 6" xfId="24720" xr:uid="{C6E927F1-55B6-44AA-944A-0D2FD49EEEE7}"/>
    <cellStyle name="Migliaia 5 5 4 7" xfId="50607" xr:uid="{16803708-6338-4CB0-B287-26DC05916DA2}"/>
    <cellStyle name="Migliaia 5 5 4 8" xfId="53623" xr:uid="{104EEF92-DEE2-4293-8152-3DD2399DD20B}"/>
    <cellStyle name="Migliaia 5 5 4 9" xfId="10957" xr:uid="{9723EBAD-DF7F-490E-937D-72FB026EEDE0}"/>
    <cellStyle name="Migliaia 5 5 5" xfId="20849" xr:uid="{F4DD48A7-8F75-4FE5-962E-60B49FB44C4C}"/>
    <cellStyle name="Migliaia 5 5 5 2" xfId="34398" xr:uid="{0824283E-8527-4431-8754-BB56D5A41B78}"/>
    <cellStyle name="Migliaia 5 5 5 2 2" xfId="40000" xr:uid="{9866A127-D811-4A52-B783-1F679667820F}"/>
    <cellStyle name="Migliaia 5 5 5 2 3" xfId="45302" xr:uid="{E9CB339F-0D5C-44F6-BBC0-9378CF097445}"/>
    <cellStyle name="Migliaia 5 5 5 3" xfId="37369" xr:uid="{D24E9E4C-2103-4148-9D51-656D6263F0BF}"/>
    <cellStyle name="Migliaia 5 5 5 4" xfId="42651" xr:uid="{5E3E9EDD-2A24-403F-8495-6FC693DFC137}"/>
    <cellStyle name="Migliaia 5 5 5 5" xfId="25239" xr:uid="{C9505F00-100E-42E0-BB8C-F985FC23DCEB}"/>
    <cellStyle name="Migliaia 5 5 6" xfId="25240" xr:uid="{0B608196-142E-4F4C-90CB-6CB25B083754}"/>
    <cellStyle name="Migliaia 5 5 6 2" xfId="34399" xr:uid="{EC29A917-7A5F-4DF2-A5D3-DD2CC8AF3085}"/>
    <cellStyle name="Migliaia 5 5 6 2 2" xfId="40001" xr:uid="{0AADB28E-9A13-40D6-B970-3C36C74DABE0}"/>
    <cellStyle name="Migliaia 5 5 6 2 3" xfId="45303" xr:uid="{59F74441-DBDF-4860-B35E-6F189E57704E}"/>
    <cellStyle name="Migliaia 5 5 6 3" xfId="37370" xr:uid="{AACED6E4-F6DA-45B7-B4C7-77FB6E7800EC}"/>
    <cellStyle name="Migliaia 5 5 6 4" xfId="42652" xr:uid="{94BD8A15-0EAA-4907-9712-C6A5B3B2649D}"/>
    <cellStyle name="Migliaia 5 5 7" xfId="25237" xr:uid="{8F3470F1-020A-47B6-8CA4-619BF1B6565F}"/>
    <cellStyle name="Migliaia 5 5 8" xfId="7559" xr:uid="{3A1BFA5F-F976-46BD-943B-CC3C7BAAB7B7}"/>
    <cellStyle name="Migliaia 5 6" xfId="3821" xr:uid="{CE1128FF-0D85-442E-9973-298B89165B4A}"/>
    <cellStyle name="Migliaia 5 6 2" xfId="5547" xr:uid="{81AC2B4E-3750-4111-B38B-86D77C12DFB3}"/>
    <cellStyle name="Migliaia 5 6 2 2" xfId="9969" xr:uid="{5AA4D4C8-8C6A-4E05-B243-BA7A6546B66B}"/>
    <cellStyle name="Migliaia 5 6 2 3" xfId="18636" xr:uid="{259D02E7-4BAA-42EF-A7D5-1E2D1D952133}"/>
    <cellStyle name="Migliaia 5 6 2 4" xfId="20852" xr:uid="{B04FBF2D-F2B0-48E8-AF95-52B24425EFC3}"/>
    <cellStyle name="Migliaia 5 6 2 5" xfId="32454" xr:uid="{A1B5C696-3AF5-4508-A11E-70F0313BA00A}"/>
    <cellStyle name="Migliaia 5 6 2 6" xfId="16712" xr:uid="{459166F9-E681-4F4C-9A08-9210031F53CB}"/>
    <cellStyle name="Migliaia 5 6 2 7" xfId="8744" xr:uid="{56F4F906-B522-459F-80B3-0CCA5D65F1DA}"/>
    <cellStyle name="Migliaia 5 6 3" xfId="6726" xr:uid="{99C53AF2-D058-4BA6-94FE-4145134FB039}"/>
    <cellStyle name="Migliaia 5 6 3 2" xfId="35435" xr:uid="{6E0EDDAA-3FEA-49F0-B448-6DA3DD9E645B}"/>
    <cellStyle name="Migliaia 5 6 3 2 2" xfId="40595" xr:uid="{3280987E-8AEF-4384-8A02-DC1A6E4D4B0E}"/>
    <cellStyle name="Migliaia 5 6 3 2 3" xfId="45897" xr:uid="{8A714A0F-D449-467D-8D99-EF5EA7D633AF}"/>
    <cellStyle name="Migliaia 5 6 3 3" xfId="37944" xr:uid="{A3619829-F755-43B8-B64A-CD2BF42C7000}"/>
    <cellStyle name="Migliaia 5 6 3 4" xfId="43246" xr:uid="{F68173D9-0E4F-4595-8091-16DC09DC9EC9}"/>
    <cellStyle name="Migliaia 5 6 3 5" xfId="9732" xr:uid="{96DF2FF4-4AB9-4B07-9941-37D25839CEE4}"/>
    <cellStyle name="Migliaia 5 6 4" xfId="20851" xr:uid="{B63AD8F5-1D3E-456D-8D69-F40C7B748F6A}"/>
    <cellStyle name="Migliaia 5 6 4 2" xfId="40002" xr:uid="{45E28E8D-C37A-438A-B3DD-D6074104A209}"/>
    <cellStyle name="Migliaia 5 6 4 3" xfId="45304" xr:uid="{B5B42F05-D118-4B80-9821-1681D37EB0FE}"/>
    <cellStyle name="Migliaia 5 6 4 4" xfId="34400" xr:uid="{9F2296D6-75F5-40D3-B8FE-D6CB252319B9}"/>
    <cellStyle name="Migliaia 5 6 5" xfId="37371" xr:uid="{C0ABD0AC-5293-4897-8B23-BACE357E5B89}"/>
    <cellStyle name="Migliaia 5 6 6" xfId="42653" xr:uid="{5D86956E-C24F-4599-A451-689C150228FE}"/>
    <cellStyle name="Migliaia 5 6 7" xfId="16711" xr:uid="{96939378-E89E-4B18-BD36-22032515F21D}"/>
    <cellStyle name="Migliaia 5 6 8" xfId="7554" xr:uid="{324D7363-9171-48C0-9E7E-AA26A3F0696E}"/>
    <cellStyle name="Migliaia 5 7" xfId="3822" xr:uid="{7961EA66-A6B4-405A-B106-2843D4B1AD3F}"/>
    <cellStyle name="Migliaia 5 7 2" xfId="5548" xr:uid="{5691E667-E1E9-4312-9C77-50F4CAE58B42}"/>
    <cellStyle name="Migliaia 5 7 2 2" xfId="35436" xr:uid="{503ACAA0-7FDD-4494-89FD-4BB359BFD361}"/>
    <cellStyle name="Migliaia 5 7 2 2 2" xfId="40596" xr:uid="{D2F14187-EDD0-4083-8029-DF5A7A6926A3}"/>
    <cellStyle name="Migliaia 5 7 2 2 3" xfId="45898" xr:uid="{D1C1A21F-B03B-4F91-B0FB-C033529DD6F7}"/>
    <cellStyle name="Migliaia 5 7 2 3" xfId="37945" xr:uid="{1AE235EA-B501-47AB-853F-86FBFA750E5D}"/>
    <cellStyle name="Migliaia 5 7 2 4" xfId="43247" xr:uid="{9D7E0107-5F24-4321-853F-3BA50DBDCDB6}"/>
    <cellStyle name="Migliaia 5 7 2 5" xfId="14311" xr:uid="{CCC8C58A-81AF-4BA8-BF41-A04F1E8EEDEC}"/>
    <cellStyle name="Migliaia 5 7 3" xfId="6727" xr:uid="{129E5703-D28C-4465-A944-AEBF33E8C04D}"/>
    <cellStyle name="Migliaia 5 7 3 2" xfId="40003" xr:uid="{3095C999-8E97-44F9-85B3-5478BA02BE3C}"/>
    <cellStyle name="Migliaia 5 7 3 3" xfId="45305" xr:uid="{95C45DFD-5C5E-47C0-A088-272BEAFBF1EB}"/>
    <cellStyle name="Migliaia 5 7 3 4" xfId="34401" xr:uid="{A63E9FC5-C363-4D82-9138-62C77B5CAF88}"/>
    <cellStyle name="Migliaia 5 7 3 5" xfId="20853" xr:uid="{4BC26CAF-E727-410C-8B2A-B1BBF811DF29}"/>
    <cellStyle name="Migliaia 5 7 4" xfId="37372" xr:uid="{9AD99234-96BA-47C0-A737-5E9A6E329681}"/>
    <cellStyle name="Migliaia 5 7 5" xfId="42654" xr:uid="{D48BE7D7-AD80-429F-96B8-E344C15E53FB}"/>
    <cellStyle name="Migliaia 5 7 6" xfId="16713" xr:uid="{63844465-9BF4-4F3D-B7A5-49C3D61FDF28}"/>
    <cellStyle name="Migliaia 5 7 7" xfId="8373" xr:uid="{7B710853-8D52-43E6-938C-1B2D174BF63B}"/>
    <cellStyle name="Migliaia 5 8" xfId="3823" xr:uid="{D0A3D77F-4B84-4DB4-AA41-9B697CA2AE02}"/>
    <cellStyle name="Migliaia 5 8 2" xfId="5549" xr:uid="{62E944AA-BF42-482D-AE25-7B56A058083A}"/>
    <cellStyle name="Migliaia 5 8 2 2" xfId="35437" xr:uid="{5BFF006F-53CD-493A-A0F5-36D356D6D0D9}"/>
    <cellStyle name="Migliaia 5 8 2 2 2" xfId="40597" xr:uid="{FAFA651A-3B41-472E-A4B7-3959D7FC37B4}"/>
    <cellStyle name="Migliaia 5 8 2 2 3" xfId="45899" xr:uid="{1909C446-5678-4007-8E81-D4AF1057E25D}"/>
    <cellStyle name="Migliaia 5 8 2 3" xfId="37946" xr:uid="{19D8B3AC-75AD-44C5-8AAF-F89D3AF78B58}"/>
    <cellStyle name="Migliaia 5 8 2 4" xfId="43248" xr:uid="{55FC7461-8E95-4414-B378-92B3EB37CE80}"/>
    <cellStyle name="Migliaia 5 8 2 5" xfId="14016" xr:uid="{EBF96282-B9C0-48A6-B9AD-924314456721}"/>
    <cellStyle name="Migliaia 5 8 3" xfId="6728" xr:uid="{EE294F82-CD30-4E58-B51B-7CCD2E6991F4}"/>
    <cellStyle name="Migliaia 5 8 3 2" xfId="40004" xr:uid="{EC915E49-99B8-46F2-A89E-08C4CD7774BC}"/>
    <cellStyle name="Migliaia 5 8 3 3" xfId="45306" xr:uid="{9F33AE13-AB85-4DFE-91BF-66DC410A7F1C}"/>
    <cellStyle name="Migliaia 5 8 3 4" xfId="34402" xr:uid="{AC785B4A-4358-4CC4-B942-CBA2CAE64B1C}"/>
    <cellStyle name="Migliaia 5 8 3 5" xfId="20854" xr:uid="{EA35FEE5-76CA-4486-8C03-EB55071DB776}"/>
    <cellStyle name="Migliaia 5 8 4" xfId="37373" xr:uid="{1E3F65BD-5F85-40A4-AE85-9F55F1E1D403}"/>
    <cellStyle name="Migliaia 5 8 5" xfId="42655" xr:uid="{F071FA07-2AC3-457A-A583-0A7AAA54B866}"/>
    <cellStyle name="Migliaia 5 8 6" xfId="16714" xr:uid="{B4C9966D-226D-4A5D-9B8C-04CA19B8B4C4}"/>
    <cellStyle name="Migliaia 5 8 7" xfId="7998" xr:uid="{A21C0FCE-9160-48F8-9462-EAAC5AD6BA13}"/>
    <cellStyle name="Migliaia 5 9" xfId="5534" xr:uid="{12662844-185E-4B71-B45E-27291F21D528}"/>
    <cellStyle name="Migliaia 5 9 2" xfId="34403" xr:uid="{528F1F59-C13D-4A82-96C8-73120A137573}"/>
    <cellStyle name="Migliaia 5 9 2 2" xfId="40005" xr:uid="{32039327-E66E-4A6D-BA77-75E89415D71B}"/>
    <cellStyle name="Migliaia 5 9 2 3" xfId="45307" xr:uid="{A0606472-F143-4A5C-B852-042338BAC561}"/>
    <cellStyle name="Migliaia 5 9 3" xfId="37374" xr:uid="{664EE7C0-6DBC-422B-A3E7-880782847963}"/>
    <cellStyle name="Migliaia 5 9 4" xfId="42656" xr:uid="{C5950AEB-7F98-43D4-963D-692BCD665326}"/>
    <cellStyle name="Migliaia 5 9 5" xfId="17223" xr:uid="{ABE4999F-39F0-487B-9F05-FA5EF0F7A444}"/>
    <cellStyle name="Migliaia 50" xfId="481" xr:uid="{00000000-0005-0000-0000-000054040000}"/>
    <cellStyle name="Migliaia 50 10" xfId="6729" xr:uid="{052FC603-D84D-4F4D-BE55-B5DD14B44695}"/>
    <cellStyle name="Migliaia 50 10 2" xfId="40006" xr:uid="{8DE0F05C-FC88-415D-89F7-98D79F06AE3D}"/>
    <cellStyle name="Migliaia 50 10 3" xfId="45308" xr:uid="{DC010A7E-E8C1-4529-AC3D-926F9800C5B9}"/>
    <cellStyle name="Migliaia 50 10 4" xfId="34404" xr:uid="{AAA5F5D7-C4DA-447E-ACE1-695B40BEFDF1}"/>
    <cellStyle name="Migliaia 50 10 5" xfId="20855" xr:uid="{C56F879A-8CFF-4511-991B-6312F17F1254}"/>
    <cellStyle name="Migliaia 50 11" xfId="3824" xr:uid="{9194D318-F10F-4F49-BABD-EB9451D83A6C}"/>
    <cellStyle name="Migliaia 50 11 2" xfId="37375" xr:uid="{4B57BE20-A10E-44B4-9F6D-05EAC78EB5E6}"/>
    <cellStyle name="Migliaia 50 12" xfId="42657" xr:uid="{38752330-E883-489E-8911-4EE3C37A02F3}"/>
    <cellStyle name="Migliaia 50 13" xfId="7177" xr:uid="{846E15DE-CD52-4814-9188-01275CA1ADCE}"/>
    <cellStyle name="Migliaia 50 2" xfId="482" xr:uid="{00000000-0005-0000-0000-000055040000}"/>
    <cellStyle name="Migliaia 50 2 2" xfId="1881" xr:uid="{00000000-0005-0000-0000-000056040000}"/>
    <cellStyle name="Migliaia 50 2 2 2" xfId="5552" xr:uid="{B83964E4-AD91-47C3-A227-E66AA3CB4163}"/>
    <cellStyle name="Migliaia 50 2 2 2 2" xfId="14408" xr:uid="{990E9C72-8FB2-4415-9C3A-55456FA7E9A1}"/>
    <cellStyle name="Migliaia 50 2 2 2 2 2" xfId="40007" xr:uid="{B8C214E9-AA2C-4B0D-B903-1DDF2ECCEA14}"/>
    <cellStyle name="Migliaia 50 2 2 2 2 3" xfId="45309" xr:uid="{0D2061AC-C3AB-4B03-B93C-4F8DC5C080B9}"/>
    <cellStyle name="Migliaia 50 2 2 2 3" xfId="18497" xr:uid="{7D82A9E7-A0BC-4035-8702-4E25AE330730}"/>
    <cellStyle name="Migliaia 50 2 2 2 4" xfId="20858" xr:uid="{349E0C03-4FC1-44E5-B234-C0EF29A73F54}"/>
    <cellStyle name="Migliaia 50 2 2 2 4 2" xfId="42658" xr:uid="{CFCE3053-2FFD-4746-8DF2-46611AE05C2F}"/>
    <cellStyle name="Migliaia 50 2 2 2 5" xfId="16715" xr:uid="{C3EA8A6D-C6B9-43D7-951F-BA700F4E7C69}"/>
    <cellStyle name="Migliaia 50 2 2 2 6" xfId="8751" xr:uid="{4C46C00E-9759-457B-928D-544FDFE1F92D}"/>
    <cellStyle name="Migliaia 50 2 2 3" xfId="6731" xr:uid="{21659E38-682F-4D1A-9EEE-0E257D2179BF}"/>
    <cellStyle name="Migliaia 50 2 2 3 2" xfId="35438" xr:uid="{F778906A-7820-4991-91AE-D9199633A315}"/>
    <cellStyle name="Migliaia 50 2 2 3 2 2" xfId="40598" xr:uid="{D921909B-7B61-4348-BA98-604117D2CB56}"/>
    <cellStyle name="Migliaia 50 2 2 3 2 3" xfId="45900" xr:uid="{4E1CF54A-1D56-4C23-A9B7-95B8E54B8E34}"/>
    <cellStyle name="Migliaia 50 2 2 3 3" xfId="37947" xr:uid="{5A28089C-C52E-4FF2-98ED-85F189A0BC5B}"/>
    <cellStyle name="Migliaia 50 2 2 3 4" xfId="43249" xr:uid="{2DF63C92-570E-45D0-92C1-BA943ED5DCD5}"/>
    <cellStyle name="Migliaia 50 2 2 3 5" xfId="11635" xr:uid="{36FA4622-82E3-4B94-A9A9-8104F5B4D3C2}"/>
    <cellStyle name="Migliaia 50 2 2 4" xfId="3826" xr:uid="{AC041363-C6D6-4287-8909-82CF016A2150}"/>
    <cellStyle name="Migliaia 50 2 2 4 2" xfId="21593" xr:uid="{70E8AB08-A926-4F58-98A0-12E3EBEC026C}"/>
    <cellStyle name="Migliaia 50 2 2 4 3" xfId="47605" xr:uid="{FFDBA0B5-CF03-4213-81FB-AA7878F3BCB0}"/>
    <cellStyle name="Migliaia 50 2 2 4 4" xfId="50608" xr:uid="{93370C5A-5443-4F2D-8A81-8A682DECFA2E}"/>
    <cellStyle name="Migliaia 50 2 2 4 5" xfId="53624" xr:uid="{11862F70-9AD3-4545-B637-8B2BCD50FB26}"/>
    <cellStyle name="Migliaia 50 2 2 4 6" xfId="10958" xr:uid="{B1F77770-B5B9-47FE-A9BD-649967423EB9}"/>
    <cellStyle name="Migliaia 50 2 2 5" xfId="20857" xr:uid="{DB0F6EF0-197C-487E-9530-22E400CA014B}"/>
    <cellStyle name="Migliaia 50 2 2 6" xfId="25242" xr:uid="{2ABC4743-3C39-4B05-9081-9E05F8B8F7EC}"/>
    <cellStyle name="Migliaia 50 2 2 7" xfId="7561" xr:uid="{A32AB292-30EA-44B8-B0C1-4C7E29432C0A}"/>
    <cellStyle name="Migliaia 50 2 3" xfId="3827" xr:uid="{02174822-0FCF-479A-B155-C55555097B84}"/>
    <cellStyle name="Migliaia 50 2 3 2" xfId="5553" xr:uid="{78A044AF-D18F-4777-A6D3-95AA7EF59786}"/>
    <cellStyle name="Migliaia 50 2 3 2 2" xfId="35439" xr:uid="{C2A17D68-FC05-40A9-B550-FD895F5B3AFD}"/>
    <cellStyle name="Migliaia 50 2 3 2 2 2" xfId="40599" xr:uid="{24AA418D-8301-4700-AE61-BD76E5EBA054}"/>
    <cellStyle name="Migliaia 50 2 3 2 2 3" xfId="45901" xr:uid="{681B12E2-538D-4A01-BB83-C86A10BA3C44}"/>
    <cellStyle name="Migliaia 50 2 3 2 3" xfId="37948" xr:uid="{F7F51AC0-2BDD-4253-8E17-B125679DE720}"/>
    <cellStyle name="Migliaia 50 2 3 2 4" xfId="43250" xr:uid="{BBD18F84-078E-48DA-8715-E478B11E5227}"/>
    <cellStyle name="Migliaia 50 2 3 2 5" xfId="14315" xr:uid="{937CF1EC-4811-4B40-8840-9ECEB9529305}"/>
    <cellStyle name="Migliaia 50 2 3 3" xfId="6732" xr:uid="{8B83B2CE-6689-4747-8B42-969BB066F1F8}"/>
    <cellStyle name="Migliaia 50 2 3 3 2" xfId="40008" xr:uid="{ACBCFE2E-E7D7-48DD-85AC-2E7342F75B57}"/>
    <cellStyle name="Migliaia 50 2 3 3 3" xfId="45310" xr:uid="{A0092A32-3ACF-45AF-B22E-CD6B87B178D4}"/>
    <cellStyle name="Migliaia 50 2 3 3 4" xfId="34405" xr:uid="{7055C6B1-0BC3-48C1-9190-234CBE000DF0}"/>
    <cellStyle name="Migliaia 50 2 3 3 5" xfId="20859" xr:uid="{C7EE88AA-1448-4EFE-8DB1-AFD09EFB27FD}"/>
    <cellStyle name="Migliaia 50 2 3 4" xfId="37376" xr:uid="{91C6C635-3E23-4971-9B57-40680279760E}"/>
    <cellStyle name="Migliaia 50 2 3 5" xfId="42659" xr:uid="{A2964E7F-74A3-4B46-A10B-36079B5B6030}"/>
    <cellStyle name="Migliaia 50 2 3 6" xfId="16716" xr:uid="{86B4763C-295C-40E9-9005-037EFADCD760}"/>
    <cellStyle name="Migliaia 50 2 3 7" xfId="8377" xr:uid="{DD630E3C-E427-494D-8A3F-2E1A9C9FD693}"/>
    <cellStyle name="Migliaia 50 2 4" xfId="5551" xr:uid="{F2C26353-A5B3-447F-945E-395C4FB3BF14}"/>
    <cellStyle name="Migliaia 50 2 4 2" xfId="14020" xr:uid="{B9389293-AE01-4F00-BED3-EE8C7B2199F1}"/>
    <cellStyle name="Migliaia 50 2 4 2 2" xfId="40009" xr:uid="{098DACEC-4993-4D08-9333-3FDE4198C15F}"/>
    <cellStyle name="Migliaia 50 2 4 2 3" xfId="45311" xr:uid="{6FC3A7DE-6CB4-4C0F-9717-72126EFE8FBD}"/>
    <cellStyle name="Migliaia 50 2 4 3" xfId="18692" xr:uid="{EA4916CB-8DD0-4042-8BA6-2DC033F6C66F}"/>
    <cellStyle name="Migliaia 50 2 4 4" xfId="20860" xr:uid="{2080AB20-54AA-43E6-A582-5C4F6386FF2C}"/>
    <cellStyle name="Migliaia 50 2 4 4 2" xfId="42660" xr:uid="{43641815-1FC0-4F30-B8D3-A60016A1D9D1}"/>
    <cellStyle name="Migliaia 50 2 4 5" xfId="16717" xr:uid="{971C4747-BEAA-43DD-B650-E70BE07CC025}"/>
    <cellStyle name="Migliaia 50 2 4 6" xfId="8003" xr:uid="{6600C3EF-5850-45BD-91A0-A6C877F5CEE8}"/>
    <cellStyle name="Migliaia 50 2 5" xfId="6730" xr:uid="{2F450306-4C8D-4EA9-9E55-98CD6E7D5AC1}"/>
    <cellStyle name="Migliaia 50 2 5 2" xfId="34406" xr:uid="{33B620DB-FC65-4C35-BE6C-64694E2E24C3}"/>
    <cellStyle name="Migliaia 50 2 5 2 2" xfId="40010" xr:uid="{9BF78AF5-D6A4-402D-AFAA-42841807DC05}"/>
    <cellStyle name="Migliaia 50 2 5 2 3" xfId="45312" xr:uid="{A9EE93D9-45BC-4C0E-BA1E-186E93A25EAD}"/>
    <cellStyle name="Migliaia 50 2 5 3" xfId="37377" xr:uid="{32D02DBF-7DCB-4211-8BBD-13EBEB602260}"/>
    <cellStyle name="Migliaia 50 2 5 4" xfId="42661" xr:uid="{4DB940D1-3721-4EBA-AB7C-E93761001662}"/>
    <cellStyle name="Migliaia 50 2 5 5" xfId="13148" xr:uid="{749C0734-B8BC-4804-B0EF-FCF07E422E16}"/>
    <cellStyle name="Migliaia 50 2 6" xfId="3825" xr:uid="{0786225E-232F-42B6-93C1-8F1439FE2E8B}"/>
    <cellStyle name="Migliaia 50 2 6 2" xfId="34407" xr:uid="{71C8A3B7-D653-4225-A623-309B9A53D6D5}"/>
    <cellStyle name="Migliaia 50 2 6 2 2" xfId="40011" xr:uid="{A2A75A44-CDF1-4E1A-B851-AA1787469570}"/>
    <cellStyle name="Migliaia 50 2 6 2 3" xfId="45313" xr:uid="{6F4AE9F9-2744-4B27-9765-9B1474A83757}"/>
    <cellStyle name="Migliaia 50 2 6 3" xfId="37378" xr:uid="{019C5821-737F-45AD-957E-C7674B9D73F1}"/>
    <cellStyle name="Migliaia 50 2 6 4" xfId="42662" xr:uid="{72BA8E35-2F36-4F2F-A039-F899BCFCE2DF}"/>
    <cellStyle name="Migliaia 50 2 6 5" xfId="25243" xr:uid="{62D775BF-9F3D-480C-953D-A1CD4CF9D9A6}"/>
    <cellStyle name="Migliaia 50 2 6 6" xfId="20856" xr:uid="{10B85188-0580-4286-A669-50D13537899A}"/>
    <cellStyle name="Migliaia 50 2 7" xfId="25241" xr:uid="{0DAC3987-D2A5-4940-8B98-63485FDB2126}"/>
    <cellStyle name="Migliaia 50 2 8" xfId="7178" xr:uid="{FEEC5733-DE57-4B73-A53B-652E87F9F18D}"/>
    <cellStyle name="Migliaia 50 3" xfId="483" xr:uid="{00000000-0005-0000-0000-000057040000}"/>
    <cellStyle name="Migliaia 50 3 10" xfId="25244" xr:uid="{7AA51D1C-9110-4321-8140-1C682DD59042}"/>
    <cellStyle name="Migliaia 50 3 11" xfId="16718" xr:uid="{612F560F-BCFE-476B-BC20-A5483AD310A4}"/>
    <cellStyle name="Migliaia 50 3 12" xfId="7179" xr:uid="{F27AC40C-F8A5-4B86-93E6-914F9CD6E667}"/>
    <cellStyle name="Migliaia 50 3 2" xfId="484" xr:uid="{00000000-0005-0000-0000-000058040000}"/>
    <cellStyle name="Migliaia 50 3 2 2" xfId="1882" xr:uid="{00000000-0005-0000-0000-000059040000}"/>
    <cellStyle name="Migliaia 50 3 2 2 2" xfId="5556" xr:uid="{0A4540D2-E20A-4B29-A1DB-F1542F602C60}"/>
    <cellStyle name="Migliaia 50 3 2 2 2 2" xfId="18498" xr:uid="{840E4419-61DD-4240-BE3E-4C7E96F00038}"/>
    <cellStyle name="Migliaia 50 3 2 2 2 2 2" xfId="21886" xr:uid="{1752DB52-310E-402E-A1CA-7458A90AB0D9}"/>
    <cellStyle name="Migliaia 50 3 2 2 2 2 2 2" xfId="40012" xr:uid="{CEE7B235-A0D0-43DF-AE64-E711B1D62C04}"/>
    <cellStyle name="Migliaia 50 3 2 2 2 2 3" xfId="45314" xr:uid="{06055586-85F1-4BE2-8C66-6F8BA61A86D0}"/>
    <cellStyle name="Migliaia 50 3 2 2 2 2 4" xfId="34408" xr:uid="{E62CC96A-D6A6-4A45-AAA9-54B206D99692}"/>
    <cellStyle name="Migliaia 50 3 2 2 2 3" xfId="37379" xr:uid="{CDF31619-8594-4976-934A-E4B3F19C9C23}"/>
    <cellStyle name="Migliaia 50 3 2 2 2 4" xfId="42663" xr:uid="{632F9474-DFD6-4B71-BB92-0D2A78B18F52}"/>
    <cellStyle name="Migliaia 50 3 2 2 2 5" xfId="48291" xr:uid="{87ABC971-A3A5-4D73-BBAC-67154D739A5C}"/>
    <cellStyle name="Migliaia 50 3 2 2 2 6" xfId="50914" xr:uid="{E1AFEF5E-0E3D-462E-8127-388D13D4DD50}"/>
    <cellStyle name="Migliaia 50 3 2 2 2 7" xfId="53930" xr:uid="{A26696EB-59C0-4921-8C69-036D4FB6BB45}"/>
    <cellStyle name="Migliaia 50 3 2 2 2 8" xfId="17684" xr:uid="{C3A61839-DEED-4DCF-A222-8B36911F9E15}"/>
    <cellStyle name="Migliaia 50 3 2 2 2 9" xfId="12067" xr:uid="{50C95D4D-FB44-451F-83CE-9F8811616788}"/>
    <cellStyle name="Migliaia 50 3 2 2 3" xfId="6735" xr:uid="{8ABF46CF-7632-4D0D-9971-1D223D1A690C}"/>
    <cellStyle name="Migliaia 50 3 2 2 3 2" xfId="12319" xr:uid="{9C4E5B12-C09F-4D2A-ABCF-4C82F610CC0F}"/>
    <cellStyle name="Migliaia 50 3 2 2 4" xfId="3830" xr:uid="{6784C0D1-43B7-47C0-B8D5-6AD9D843F429}"/>
    <cellStyle name="Migliaia 50 3 2 2 4 2" xfId="21594" xr:uid="{1D3A4B34-4627-458E-81EE-1CD887F0B3FB}"/>
    <cellStyle name="Migliaia 50 3 2 2 4 3" xfId="46992" xr:uid="{BFDDCC21-7103-42A1-B137-411798789BF0}"/>
    <cellStyle name="Migliaia 50 3 2 2 4 4" xfId="50609" xr:uid="{10C11D24-8593-41EF-A857-4EDBA35B5C0A}"/>
    <cellStyle name="Migliaia 50 3 2 2 4 5" xfId="53625" xr:uid="{C7FE0DE7-C5B4-4365-8689-A29CDC1495D1}"/>
    <cellStyle name="Migliaia 50 3 2 2 4 6" xfId="10959" xr:uid="{D57D4D1F-7D7C-4C32-BEE8-E9DC09A7C3D7}"/>
    <cellStyle name="Migliaia 50 3 2 2 5" xfId="20863" xr:uid="{69AA2A1E-7491-47CA-BB0F-F105E08082B6}"/>
    <cellStyle name="Migliaia 50 3 2 2 6" xfId="25246" xr:uid="{AB0FFE76-531A-4989-BD74-3CDD3FF7340D}"/>
    <cellStyle name="Migliaia 50 3 2 2 7" xfId="8753" xr:uid="{5E235178-F0B7-4117-8C62-302DD0FD8545}"/>
    <cellStyle name="Migliaia 50 3 2 3" xfId="5555" xr:uid="{051B4B79-92B7-448B-974A-27AD6318645F}"/>
    <cellStyle name="Migliaia 50 3 2 3 2" xfId="12221" xr:uid="{D29904D8-17EA-43B8-8798-375CFDFAC526}"/>
    <cellStyle name="Migliaia 50 3 2 3 2 2" xfId="40013" xr:uid="{B4338932-F5BD-4A56-A24D-A03880123DA4}"/>
    <cellStyle name="Migliaia 50 3 2 3 2 3" xfId="45315" xr:uid="{0940D85A-F6A2-4EBA-98B5-007B37817BB4}"/>
    <cellStyle name="Migliaia 50 3 2 3 2 4" xfId="34409" xr:uid="{9EBDA1E5-7773-4FFC-A6AC-987EDE732B2B}"/>
    <cellStyle name="Migliaia 50 3 2 3 3" xfId="12068" xr:uid="{05477171-2F1A-4407-A473-27C8B37176E8}"/>
    <cellStyle name="Migliaia 50 3 2 3 4" xfId="20864" xr:uid="{14FC43B2-4821-457E-BCE0-1D4E51A05B97}"/>
    <cellStyle name="Migliaia 50 3 2 3 4 2" xfId="42664" xr:uid="{FF0E40A8-4A6D-4DDB-8B5A-03E420EEC340}"/>
    <cellStyle name="Migliaia 50 3 2 3 5" xfId="16719" xr:uid="{58FA6253-16B3-47D3-8984-A3C635D9E567}"/>
    <cellStyle name="Migliaia 50 3 2 3 6" xfId="8005" xr:uid="{B19E753F-6622-4DE2-99A8-3CEEE07DFA4C}"/>
    <cellStyle name="Migliaia 50 3 2 4" xfId="6734" xr:uid="{4E6208E2-3F4D-4BE5-9F5F-29FCA93B8E56}"/>
    <cellStyle name="Migliaia 50 3 2 4 2" xfId="18102" xr:uid="{96A37241-5595-4533-8304-A777FF754BAE}"/>
    <cellStyle name="Migliaia 50 3 2 4 2 2" xfId="40014" xr:uid="{A4B57781-A432-4868-BC71-3D6CB06AA5A6}"/>
    <cellStyle name="Migliaia 50 3 2 4 2 3" xfId="45316" xr:uid="{57D66660-F40A-4FA3-8ECB-86314128C0BB}"/>
    <cellStyle name="Migliaia 50 3 2 4 3" xfId="37380" xr:uid="{2CC7C0A6-7B63-4CD9-B450-D7956B0C8242}"/>
    <cellStyle name="Migliaia 50 3 2 4 4" xfId="42665" xr:uid="{1CD562FD-B31E-4CB5-9F85-97BEF0555ED2}"/>
    <cellStyle name="Migliaia 50 3 2 4 5" xfId="17226" xr:uid="{70BAF5D7-D580-4A27-94D8-EBB5D7B056D2}"/>
    <cellStyle name="Migliaia 50 3 2 4 6" xfId="11417" xr:uid="{B26E8D09-6FA7-4A4F-B1EA-DAF85342CCDF}"/>
    <cellStyle name="Migliaia 50 3 2 5" xfId="3829" xr:uid="{CA51B2F2-2E1B-4253-BB52-F1E5AEE21BE5}"/>
    <cellStyle name="Migliaia 50 3 2 5 2" xfId="34410" xr:uid="{55314B21-1385-4800-AD67-1136331BBF10}"/>
    <cellStyle name="Migliaia 50 3 2 5 2 2" xfId="40015" xr:uid="{00302D75-E1A6-4435-8DF3-B96EEB91B0C9}"/>
    <cellStyle name="Migliaia 50 3 2 5 2 3" xfId="45317" xr:uid="{A0B0AF3D-3A17-44B7-8439-F8CB10E634BB}"/>
    <cellStyle name="Migliaia 50 3 2 5 3" xfId="37381" xr:uid="{90D966B7-A0E7-4FBA-86E7-B73ABCCC0409}"/>
    <cellStyle name="Migliaia 50 3 2 5 4" xfId="42666" xr:uid="{5D6079B2-2C76-4944-9541-C9A1C67CA9FF}"/>
    <cellStyle name="Migliaia 50 3 2 5 5" xfId="17291" xr:uid="{6AC89117-4104-4EDF-82D0-91015E6303DF}"/>
    <cellStyle name="Migliaia 50 3 2 6" xfId="20862" xr:uid="{0B4622A0-9E12-4D56-B893-66ABBDD9F26E}"/>
    <cellStyle name="Migliaia 50 3 2 6 2" xfId="34411" xr:uid="{1E6D3447-9CAC-44B9-BB04-C4E0C8BA494D}"/>
    <cellStyle name="Migliaia 50 3 2 6 2 2" xfId="40016" xr:uid="{DB906F23-E691-47BE-91B4-D9A6BCAD994D}"/>
    <cellStyle name="Migliaia 50 3 2 6 2 3" xfId="45318" xr:uid="{5DB878DB-6AF8-48BA-AED2-66DD5F9EC787}"/>
    <cellStyle name="Migliaia 50 3 2 6 3" xfId="37382" xr:uid="{C1C094DB-F9C8-4846-A0A6-1D603486252E}"/>
    <cellStyle name="Migliaia 50 3 2 6 4" xfId="42667" xr:uid="{35A6ECD5-A129-487B-BBED-3A24DBEDC891}"/>
    <cellStyle name="Migliaia 50 3 2 6 5" xfId="25247" xr:uid="{B23E410D-DFDD-4C5D-BEBB-28FAB7274651}"/>
    <cellStyle name="Migliaia 50 3 2 7" xfId="25245" xr:uid="{1A67AD63-67FB-4A9A-8CA5-B3B709945D31}"/>
    <cellStyle name="Migliaia 50 3 2 8" xfId="7563" xr:uid="{13F5E939-742E-4D6B-B59D-FBF84046C4C3}"/>
    <cellStyle name="Migliaia 50 3 3" xfId="3831" xr:uid="{4C8B61BA-D09D-42D3-9679-536B38FB3434}"/>
    <cellStyle name="Migliaia 50 3 3 10" xfId="7562" xr:uid="{B019C4F3-6B18-433D-8AD5-693D751890E5}"/>
    <cellStyle name="Migliaia 50 3 3 2" xfId="5557" xr:uid="{76CD6033-7917-4A32-ABB4-D12E3F0AF4CA}"/>
    <cellStyle name="Migliaia 50 3 3 2 2" xfId="9972" xr:uid="{430591B0-366C-4478-90BC-242273ABE5E4}"/>
    <cellStyle name="Migliaia 50 3 3 2 2 2" xfId="40018" xr:uid="{1E0E97BA-388F-4CF8-A548-7732F12565AB}"/>
    <cellStyle name="Migliaia 50 3 3 2 2 3" xfId="45320" xr:uid="{09D8314F-D226-4350-B067-59D40E230666}"/>
    <cellStyle name="Migliaia 50 3 3 2 3" xfId="18252" xr:uid="{B63BE917-6EF8-4C00-9023-058E79242754}"/>
    <cellStyle name="Migliaia 50 3 3 2 4" xfId="20866" xr:uid="{FD909920-C930-4215-8A59-468EB8C565B7}"/>
    <cellStyle name="Migliaia 50 3 3 2 4 2" xfId="42669" xr:uid="{0BF57F68-978B-41EB-A9A0-A5B7F3436FA6}"/>
    <cellStyle name="Migliaia 50 3 3 2 5" xfId="16721" xr:uid="{8776DA89-2444-498E-BCE3-8D23ECADFEFC}"/>
    <cellStyle name="Migliaia 50 3 3 2 6" xfId="8752" xr:uid="{6257F485-8A62-4863-9A7B-708D6FC28F5D}"/>
    <cellStyle name="Migliaia 50 3 3 3" xfId="6736" xr:uid="{16AAEDFD-5899-48D1-BF2C-C3F8A611EBC4}"/>
    <cellStyle name="Migliaia 50 3 3 3 2" xfId="34413" xr:uid="{F3FBAFFF-F662-4451-941D-E6197BE85BB8}"/>
    <cellStyle name="Migliaia 50 3 3 3 2 2" xfId="40019" xr:uid="{36BE54BF-7579-4D99-A3F3-2CDCC865A8EF}"/>
    <cellStyle name="Migliaia 50 3 3 3 2 3" xfId="45321" xr:uid="{9BAD1555-6976-4000-87D3-B2D9E9DA749F}"/>
    <cellStyle name="Migliaia 50 3 3 3 3" xfId="37384" xr:uid="{7C4F557D-C23A-4989-A777-1A62EED44073}"/>
    <cellStyle name="Migliaia 50 3 3 3 4" xfId="42670" xr:uid="{B6F3C448-4CCE-4271-814B-D71850BF5C9A}"/>
    <cellStyle name="Migliaia 50 3 3 3 5" xfId="9735" xr:uid="{F08D21F5-9E72-4A73-933B-54D1FEF8E350}"/>
    <cellStyle name="Migliaia 50 3 3 4" xfId="20865" xr:uid="{3FC1D1F2-655B-4646-A6F1-7259CE2D636A}"/>
    <cellStyle name="Migliaia 50 3 3 4 2" xfId="34414" xr:uid="{456C6DFE-87E7-49FD-8530-1A5F929E4E01}"/>
    <cellStyle name="Migliaia 50 3 3 4 2 2" xfId="40020" xr:uid="{7243BC1B-0D18-44A7-A28A-FD83A537DCF7}"/>
    <cellStyle name="Migliaia 50 3 3 4 2 3" xfId="45322" xr:uid="{699FD857-4108-4AC4-8A6B-895013D7E73F}"/>
    <cellStyle name="Migliaia 50 3 3 4 3" xfId="37385" xr:uid="{0BEE1EE5-A8BE-4445-82D4-096A5B64E600}"/>
    <cellStyle name="Migliaia 50 3 3 4 4" xfId="42671" xr:uid="{59DBD5CB-39D5-4FF5-BFE9-B1DCC06DF8C9}"/>
    <cellStyle name="Migliaia 50 3 3 4 5" xfId="25248" xr:uid="{49E76E14-8436-4544-93F7-6E9187031119}"/>
    <cellStyle name="Migliaia 50 3 3 5" xfId="25249" xr:uid="{8A134E60-C11F-4BC7-8F2D-52FD5DE22191}"/>
    <cellStyle name="Migliaia 50 3 3 5 2" xfId="34415" xr:uid="{9C0CD4E1-5509-4888-ACEE-600C2C37D2A0}"/>
    <cellStyle name="Migliaia 50 3 3 5 2 2" xfId="40021" xr:uid="{9B2FA0C0-7222-40DA-8206-5CA87BDECC76}"/>
    <cellStyle name="Migliaia 50 3 3 5 2 3" xfId="45323" xr:uid="{41C13B79-F570-4BA5-BB90-68C10D187572}"/>
    <cellStyle name="Migliaia 50 3 3 5 3" xfId="37386" xr:uid="{9D29E668-EE1E-48A2-B3F1-C5492D8956B0}"/>
    <cellStyle name="Migliaia 50 3 3 5 4" xfId="42672" xr:uid="{C36549E9-4C99-4E67-8D89-6378270E4508}"/>
    <cellStyle name="Migliaia 50 3 3 6" xfId="34412" xr:uid="{DA66CC26-9C5F-4963-87BC-218F158E1775}"/>
    <cellStyle name="Migliaia 50 3 3 6 2" xfId="40017" xr:uid="{0EB87DCC-183C-43AD-83C7-092311CBE083}"/>
    <cellStyle name="Migliaia 50 3 3 6 3" xfId="45319" xr:uid="{B938DC2B-A419-4226-84E9-86CF2D27D2DE}"/>
    <cellStyle name="Migliaia 50 3 3 7" xfId="37383" xr:uid="{FFD6927A-31AC-498C-B150-D1DEA1FE2D3B}"/>
    <cellStyle name="Migliaia 50 3 3 8" xfId="42668" xr:uid="{16BE99D8-886D-4458-BE36-4D80B636213E}"/>
    <cellStyle name="Migliaia 50 3 3 9" xfId="16720" xr:uid="{36A218DC-5623-41E1-B6E2-D73086C9F4BD}"/>
    <cellStyle name="Migliaia 50 3 4" xfId="3832" xr:uid="{61630A4C-D7F4-4D6D-AC7E-AF5000F1BD89}"/>
    <cellStyle name="Migliaia 50 3 4 2" xfId="5558" xr:uid="{6DF363F7-F0A6-4676-A7B2-757510CAED98}"/>
    <cellStyle name="Migliaia 50 3 4 2 2" xfId="14468" xr:uid="{D483DFF9-8A86-46C8-AB10-D70C325880E9}"/>
    <cellStyle name="Migliaia 50 3 4 2 3" xfId="18035" xr:uid="{9923B95D-69D8-4CB1-BB2A-042708FD75B5}"/>
    <cellStyle name="Migliaia 50 3 4 2 4" xfId="20868" xr:uid="{929C209F-92F5-4091-98AC-3DCE5EE10147}"/>
    <cellStyle name="Migliaia 50 3 4 2 5" xfId="32455" xr:uid="{024253E1-BB1C-4C86-914C-7F56CF760490}"/>
    <cellStyle name="Migliaia 50 3 4 2 6" xfId="16723" xr:uid="{285AF51F-8B77-4D93-B81D-893EEAB05865}"/>
    <cellStyle name="Migliaia 50 3 4 2 7" xfId="8891" xr:uid="{B782A703-25BF-4B47-8CDB-15620DC8B5DC}"/>
    <cellStyle name="Migliaia 50 3 4 3" xfId="6737" xr:uid="{432D1E88-4C6B-4ADB-B6B1-C8BABA3DBF19}"/>
    <cellStyle name="Migliaia 50 3 4 3 2" xfId="35440" xr:uid="{D1163DA4-7B27-45FA-B09F-05E670737B6F}"/>
    <cellStyle name="Migliaia 50 3 4 3 2 2" xfId="40600" xr:uid="{98E41D11-D753-4B05-9E90-9A9F5D1EAE0A}"/>
    <cellStyle name="Migliaia 50 3 4 3 2 3" xfId="45902" xr:uid="{6CB12196-6785-4519-AE7F-D61A167883B3}"/>
    <cellStyle name="Migliaia 50 3 4 3 3" xfId="37949" xr:uid="{2F957922-1569-498F-A92B-0798F61CEF23}"/>
    <cellStyle name="Migliaia 50 3 4 3 4" xfId="43251" xr:uid="{09138BC2-F774-46ED-AAFF-01983763E8E4}"/>
    <cellStyle name="Migliaia 50 3 4 3 5" xfId="13716" xr:uid="{063A9384-1343-40A3-8943-7BB95A07B9DE}"/>
    <cellStyle name="Migliaia 50 3 4 4" xfId="20867" xr:uid="{8A04E806-D706-40AF-8F10-B3E6E5923EAB}"/>
    <cellStyle name="Migliaia 50 3 4 4 2" xfId="40022" xr:uid="{957A5024-BCF2-466C-A4F7-B61A25A399EC}"/>
    <cellStyle name="Migliaia 50 3 4 4 3" xfId="45324" xr:uid="{43472862-9445-42C8-B2A7-40B15B571A36}"/>
    <cellStyle name="Migliaia 50 3 4 4 4" xfId="34416" xr:uid="{1630074B-9A9A-4515-A87E-A21D9A3185F4}"/>
    <cellStyle name="Migliaia 50 3 4 5" xfId="37387" xr:uid="{E67747CF-3A7A-4D7E-82E8-5750F6F9503E}"/>
    <cellStyle name="Migliaia 50 3 4 6" xfId="42673" xr:uid="{888133BF-0F0A-465F-AD19-88FD4858951F}"/>
    <cellStyle name="Migliaia 50 3 4 7" xfId="16722" xr:uid="{A4E8537C-F587-48AC-AC52-CA099E3BE0CE}"/>
    <cellStyle name="Migliaia 50 3 4 8" xfId="7701" xr:uid="{46FBBD16-8F53-4BA8-AE0C-FF0FB12BC25A}"/>
    <cellStyle name="Migliaia 50 3 5" xfId="3833" xr:uid="{53F95984-E938-4B29-B1BB-A0351A3403EC}"/>
    <cellStyle name="Migliaia 50 3 5 2" xfId="5559" xr:uid="{5E29E62A-A1BF-4A0A-BDFD-18F65BFA4552}"/>
    <cellStyle name="Migliaia 50 3 5 2 2" xfId="35441" xr:uid="{CAE9C389-EF08-4DBA-A93E-CF35059F16F7}"/>
    <cellStyle name="Migliaia 50 3 5 2 2 2" xfId="40601" xr:uid="{1A318973-DB6B-46C4-BEF8-62F6F3940B04}"/>
    <cellStyle name="Migliaia 50 3 5 2 2 3" xfId="45903" xr:uid="{FD0801F0-AD95-4F45-B252-CE7B435010C8}"/>
    <cellStyle name="Migliaia 50 3 5 2 3" xfId="37950" xr:uid="{8A49365B-600A-4CA0-9DEC-0C0EE7729318}"/>
    <cellStyle name="Migliaia 50 3 5 2 4" xfId="43252" xr:uid="{FD9226D6-8C1E-4118-B4C6-26096A33F5E5}"/>
    <cellStyle name="Migliaia 50 3 5 2 5" xfId="14316" xr:uid="{13FD90CA-32CD-45FC-9F78-71F7BCAA8AC8}"/>
    <cellStyle name="Migliaia 50 3 5 3" xfId="6738" xr:uid="{6E33159D-382B-47EE-9213-7FD76751C414}"/>
    <cellStyle name="Migliaia 50 3 5 3 2" xfId="40023" xr:uid="{33A34D20-8FD0-4469-9FCE-62631B854991}"/>
    <cellStyle name="Migliaia 50 3 5 3 3" xfId="45325" xr:uid="{BF2BD010-5BAF-4FA6-A923-0FA86B1E065E}"/>
    <cellStyle name="Migliaia 50 3 5 3 4" xfId="34417" xr:uid="{A95494CA-182B-438C-8A98-C4A87B92026A}"/>
    <cellStyle name="Migliaia 50 3 5 3 5" xfId="20869" xr:uid="{C2782E65-7958-4B05-B9EA-85B9F97843C9}"/>
    <cellStyle name="Migliaia 50 3 5 4" xfId="37388" xr:uid="{0A403AB0-DE8C-4B18-A7D9-34767045164C}"/>
    <cellStyle name="Migliaia 50 3 5 5" xfId="42674" xr:uid="{B652030B-B8B8-4DB0-BB96-537DC8177240}"/>
    <cellStyle name="Migliaia 50 3 5 6" xfId="16724" xr:uid="{0FD06F96-9205-4E05-AF75-23951DF26866}"/>
    <cellStyle name="Migliaia 50 3 5 7" xfId="8378" xr:uid="{DD4DD320-35CD-476F-B377-3E5557521C3D}"/>
    <cellStyle name="Migliaia 50 3 6" xfId="5554" xr:uid="{A382329F-F97D-49FC-8327-772E5B22ED8C}"/>
    <cellStyle name="Migliaia 50 3 6 2" xfId="14021" xr:uid="{F6CACADC-DBB0-4F09-B834-B9A2BAC110FF}"/>
    <cellStyle name="Migliaia 50 3 6 2 2" xfId="40024" xr:uid="{947B546E-D04E-4273-876C-64CCC357B9C5}"/>
    <cellStyle name="Migliaia 50 3 6 2 3" xfId="45326" xr:uid="{6496153B-10D6-4AE6-B85B-6826111D049B}"/>
    <cellStyle name="Migliaia 50 3 6 3" xfId="18691" xr:uid="{5B5A8ED7-1EEA-48CD-A790-A809E305CABA}"/>
    <cellStyle name="Migliaia 50 3 6 4" xfId="20870" xr:uid="{3D062D95-DC7B-4E58-9B6F-7F6BB3E49277}"/>
    <cellStyle name="Migliaia 50 3 6 4 2" xfId="42675" xr:uid="{0973CBE6-395A-4011-931E-FD67CF23D32F}"/>
    <cellStyle name="Migliaia 50 3 6 5" xfId="16725" xr:uid="{49E7B17F-7938-46A1-B875-FDEFD9C62D84}"/>
    <cellStyle name="Migliaia 50 3 6 6" xfId="8004" xr:uid="{6702DDE9-7E84-4287-91E0-649EA573514A}"/>
    <cellStyle name="Migliaia 50 3 7" xfId="6733" xr:uid="{62BD617F-CDE4-42C2-982B-57BE0EB632B4}"/>
    <cellStyle name="Migliaia 50 3 7 2" xfId="34418" xr:uid="{C3E8B5D1-6D50-4E3C-B2AD-73A9465E8D2D}"/>
    <cellStyle name="Migliaia 50 3 7 2 2" xfId="40025" xr:uid="{EC6094E0-8B2B-4C6D-AF37-C7FC15EFFBF8}"/>
    <cellStyle name="Migliaia 50 3 7 2 3" xfId="45327" xr:uid="{A8EC0085-F99B-439F-B133-8D3B39B8EFCD}"/>
    <cellStyle name="Migliaia 50 3 7 3" xfId="37389" xr:uid="{3771AF21-F5DB-4305-B8B8-DE0E2D7895B5}"/>
    <cellStyle name="Migliaia 50 3 7 4" xfId="42676" xr:uid="{17967532-4222-47CE-8344-9409967AE6B3}"/>
    <cellStyle name="Migliaia 50 3 7 5" xfId="11217" xr:uid="{EF5D6F80-CD72-4D5E-A98B-F887CCD69912}"/>
    <cellStyle name="Migliaia 50 3 8" xfId="3828" xr:uid="{171A1F20-4986-4F0F-89D7-ED14B0C5F035}"/>
    <cellStyle name="Migliaia 50 3 8 2" xfId="34419" xr:uid="{C6637934-A3C8-49DD-BE25-861DA2C81E71}"/>
    <cellStyle name="Migliaia 50 3 8 2 2" xfId="40026" xr:uid="{B9B6A5E4-C4F3-45A9-B1E8-D410534AD88B}"/>
    <cellStyle name="Migliaia 50 3 8 2 3" xfId="45328" xr:uid="{B554AC55-111A-47CA-AF48-D48ABC3DE62F}"/>
    <cellStyle name="Migliaia 50 3 8 3" xfId="37390" xr:uid="{E66D1E3D-8642-4166-8A4D-F87AC49AD70F}"/>
    <cellStyle name="Migliaia 50 3 8 4" xfId="42677" xr:uid="{911DF65D-AE62-4151-B726-7B610F6C681E}"/>
    <cellStyle name="Migliaia 50 3 8 5" xfId="25250" xr:uid="{762A0DC1-1DD2-4484-8869-DE6B6D399777}"/>
    <cellStyle name="Migliaia 50 3 8 6" xfId="17292" xr:uid="{A788A283-BECB-42CA-BB02-CECB8465A29A}"/>
    <cellStyle name="Migliaia 50 3 9" xfId="20861" xr:uid="{CF490FAF-4BCD-497E-BA06-94C5D23759FE}"/>
    <cellStyle name="Migliaia 50 4" xfId="1883" xr:uid="{00000000-0005-0000-0000-00005A040000}"/>
    <cellStyle name="Migliaia 50 4 2" xfId="1884" xr:uid="{00000000-0005-0000-0000-00005B040000}"/>
    <cellStyle name="Migliaia 50 4 2 2" xfId="5561" xr:uid="{0F6E3954-129E-48FB-8B7B-2A818B143147}"/>
    <cellStyle name="Migliaia 50 4 2 2 2" xfId="34420" xr:uid="{AFB64BA1-E2E3-461D-B970-9667DDDFB18D}"/>
    <cellStyle name="Migliaia 50 4 2 2 2 2" xfId="40027" xr:uid="{1EA62ADC-63DD-489E-BBFC-D1D831D5E574}"/>
    <cellStyle name="Migliaia 50 4 2 2 2 3" xfId="45329" xr:uid="{F63EBBB9-FCCF-4E3F-B917-DC9D53B3EF41}"/>
    <cellStyle name="Migliaia 50 4 2 2 3" xfId="37391" xr:uid="{EC7B84A3-F791-46A3-9314-E3BE5B80CF2B}"/>
    <cellStyle name="Migliaia 50 4 2 2 4" xfId="42678" xr:uid="{B5E90EBF-9CA3-4889-8B4B-46C07A41B1CE}"/>
    <cellStyle name="Migliaia 50 4 2 2 5" xfId="9198" xr:uid="{7BEA8429-9AA1-4B1C-9037-1F043577A156}"/>
    <cellStyle name="Migliaia 50 4 2 3" xfId="3835" xr:uid="{9B14D4BA-0C34-4CC9-BBCD-3D4DD522230C}"/>
    <cellStyle name="Migliaia 50 4 2 3 2" xfId="34421" xr:uid="{B3EDCFC7-AB42-4DF0-A096-805C65946814}"/>
    <cellStyle name="Migliaia 50 4 2 3 2 2" xfId="40028" xr:uid="{FE68063E-8AA2-4FE2-9A05-A4BF0223E7B4}"/>
    <cellStyle name="Migliaia 50 4 2 3 2 3" xfId="45330" xr:uid="{2B3742F0-AAD4-4CD7-A030-C8229328BF6F}"/>
    <cellStyle name="Migliaia 50 4 2 3 3" xfId="37392" xr:uid="{84FDFEC1-9506-448E-9B0B-2FA0A48D85FD}"/>
    <cellStyle name="Migliaia 50 4 2 3 4" xfId="42679" xr:uid="{2EE19DB6-F342-4B4B-8458-62C83B9F4763}"/>
    <cellStyle name="Migliaia 50 4 2 3 5" xfId="12069" xr:uid="{7DD22326-E203-4BBD-BB2E-848BC19B5307}"/>
    <cellStyle name="Migliaia 50 4 2 4" xfId="11419" xr:uid="{38556269-D6D9-4F03-B0F6-6585830EB8C4}"/>
    <cellStyle name="Migliaia 50 4 2 5" xfId="10961" xr:uid="{1B6E731C-12F8-495A-B57B-D2F7198823DF}"/>
    <cellStyle name="Migliaia 50 4 2 5 2" xfId="21596" xr:uid="{2C1DE2A8-7821-4292-89A9-4B12A0A1560F}"/>
    <cellStyle name="Migliaia 50 4 2 5 3" xfId="32552" xr:uid="{9995B144-55B5-48F0-B2FF-BBF4AC8C0F6F}"/>
    <cellStyle name="Migliaia 50 4 2 5 4" xfId="50611" xr:uid="{F1F094E6-7392-41F2-961A-5D10D0DF8737}"/>
    <cellStyle name="Migliaia 50 4 2 5 5" xfId="53627" xr:uid="{8442B180-41E4-48B8-B626-BABA407D35F6}"/>
    <cellStyle name="Migliaia 50 4 2 6" xfId="20872" xr:uid="{3DCC104B-BC23-4AB6-8DB7-91CFA94B6F00}"/>
    <cellStyle name="Migliaia 50 4 2 7" xfId="25252" xr:uid="{BFED9F1F-A020-4892-87EA-ED6151D3835E}"/>
    <cellStyle name="Migliaia 50 4 2 8" xfId="8754" xr:uid="{1EC3AACB-4610-49DF-AB5D-AC1C87391055}"/>
    <cellStyle name="Migliaia 50 4 3" xfId="5560" xr:uid="{C4AD7F81-7CA9-41B1-93BF-C5AD3BE44A35}"/>
    <cellStyle name="Migliaia 50 4 3 2" xfId="18253" xr:uid="{F1A54598-A539-4132-BAC4-BC4D5DCE6310}"/>
    <cellStyle name="Migliaia 50 4 3 2 2" xfId="40029" xr:uid="{AF659390-F0C7-4D1B-955D-E9EABE5347F1}"/>
    <cellStyle name="Migliaia 50 4 3 2 3" xfId="45331" xr:uid="{8BCC61F0-25C5-46B0-84FD-4B9E4EBD3DFB}"/>
    <cellStyle name="Migliaia 50 4 3 3" xfId="37393" xr:uid="{4D5EC592-5569-481F-A4B1-84D6EFB4C7EF}"/>
    <cellStyle name="Migliaia 50 4 3 4" xfId="42680" xr:uid="{5280886C-B230-43E4-8CA2-0151577C463C}"/>
    <cellStyle name="Migliaia 50 4 3 5" xfId="17290" xr:uid="{A6AAD607-C51F-4A4C-9388-2D247701AA03}"/>
    <cellStyle name="Migliaia 50 4 3 6" xfId="9199" xr:uid="{5D170BFE-06C4-4D50-ADBE-719B76C97852}"/>
    <cellStyle name="Migliaia 50 4 4" xfId="6739" xr:uid="{C0B22001-1E00-4F3B-B4F5-9E832502C432}"/>
    <cellStyle name="Migliaia 50 4 4 2" xfId="34422" xr:uid="{A8EF4161-11D3-4B84-AE48-8EEA94616F7D}"/>
    <cellStyle name="Migliaia 50 4 4 2 2" xfId="40030" xr:uid="{F89E9FC1-6D02-4E2A-A9DF-1B8F180577AD}"/>
    <cellStyle name="Migliaia 50 4 4 2 3" xfId="45332" xr:uid="{C404073A-514E-425D-93C7-17871B79ED56}"/>
    <cellStyle name="Migliaia 50 4 4 3" xfId="37394" xr:uid="{9662D92C-E105-4F81-A086-DD2108C43979}"/>
    <cellStyle name="Migliaia 50 4 4 4" xfId="42681" xr:uid="{091C22E1-CBD9-427B-8BD3-C703BD7023BF}"/>
    <cellStyle name="Migliaia 50 4 4 5" xfId="12070" xr:uid="{FBD360F7-1C71-4799-90E8-9992CEF4D643}"/>
    <cellStyle name="Migliaia 50 4 5" xfId="3834" xr:uid="{BBCE4333-9F34-4C47-8868-73E9F07581E4}"/>
    <cellStyle name="Migliaia 50 4 5 2" xfId="34423" xr:uid="{6B3FBD43-71D2-4158-8696-D101D7FA346E}"/>
    <cellStyle name="Migliaia 50 4 5 2 2" xfId="40031" xr:uid="{D8CF23E1-841B-4D6E-B65A-5BCFA95DA772}"/>
    <cellStyle name="Migliaia 50 4 5 2 3" xfId="45333" xr:uid="{DE83266F-482B-46B9-971C-FE3097FF3B46}"/>
    <cellStyle name="Migliaia 50 4 5 3" xfId="37395" xr:uid="{28435843-DA22-4970-91C4-0D6AF0C4B112}"/>
    <cellStyle name="Migliaia 50 4 5 4" xfId="42682" xr:uid="{5D4F1B5D-171F-4F8A-A248-9C301478053C}"/>
    <cellStyle name="Migliaia 50 4 5 5" xfId="11418" xr:uid="{6A374242-B3AF-46C2-A721-7F172D23EB5B}"/>
    <cellStyle name="Migliaia 50 4 6" xfId="10960" xr:uid="{BFD2D1D8-366B-417D-8D01-F90EB62DF495}"/>
    <cellStyle name="Migliaia 50 4 6 2" xfId="21595" xr:uid="{5ABF18D8-0A58-4AA6-8A59-1F20C8C7B68C}"/>
    <cellStyle name="Migliaia 50 4 6 2 2" xfId="40032" xr:uid="{731A747E-F619-49CD-8273-5D1963A75726}"/>
    <cellStyle name="Migliaia 50 4 6 2 3" xfId="45334" xr:uid="{F98026B0-C535-4EEA-8CF8-A95C2C38C3C1}"/>
    <cellStyle name="Migliaia 50 4 6 2 4" xfId="34424" xr:uid="{E1F20F50-416E-4CD9-8F90-BCE773B2212A}"/>
    <cellStyle name="Migliaia 50 4 6 3" xfId="37396" xr:uid="{F740C9C2-C9A8-4C7D-A275-EE2CE8791895}"/>
    <cellStyle name="Migliaia 50 4 6 4" xfId="42683" xr:uid="{0BA92DCF-9620-4E55-BF85-10B85F0AE712}"/>
    <cellStyle name="Migliaia 50 4 6 5" xfId="25253" xr:uid="{CFF56FAF-C9A8-4D3C-872C-1A1F42AC859A}"/>
    <cellStyle name="Migliaia 50 4 6 6" xfId="48379" xr:uid="{AE5F4688-CADB-496D-860C-7ED05A6F4452}"/>
    <cellStyle name="Migliaia 50 4 6 7" xfId="50610" xr:uid="{CBDB5A90-4CCE-4147-892F-4C351B847F93}"/>
    <cellStyle name="Migliaia 50 4 6 8" xfId="53626" xr:uid="{C685FDA2-65CF-41B2-8E05-78A46BF1EEE0}"/>
    <cellStyle name="Migliaia 50 4 7" xfId="20871" xr:uid="{1A2E3136-7D70-4A85-914B-896A2F92C02E}"/>
    <cellStyle name="Migliaia 50 4 7 2" xfId="34425" xr:uid="{EB0A8083-15B9-4DD8-B3CF-F21D1D3C6712}"/>
    <cellStyle name="Migliaia 50 4 7 2 2" xfId="40033" xr:uid="{1B591B1E-ED03-441B-B0B2-D39D7CB70951}"/>
    <cellStyle name="Migliaia 50 4 7 2 3" xfId="45335" xr:uid="{CFADBEA1-AC29-44DC-91B4-35F1B38C0458}"/>
    <cellStyle name="Migliaia 50 4 7 3" xfId="37397" xr:uid="{8E4436CB-A91E-42D7-A0E9-A9C8B6B213BE}"/>
    <cellStyle name="Migliaia 50 4 7 4" xfId="42684" xr:uid="{78168EE4-E40F-485A-8FC7-B5E84855C1AF}"/>
    <cellStyle name="Migliaia 50 4 7 5" xfId="25254" xr:uid="{0BDBBD68-E11A-4137-AAF4-1A2BF79A6075}"/>
    <cellStyle name="Migliaia 50 4 8" xfId="25251" xr:uid="{324C1786-9104-4590-B34B-0484F500892B}"/>
    <cellStyle name="Migliaia 50 4 9" xfId="7564" xr:uid="{49F1EA18-217B-4C73-8A0A-619A3014CB05}"/>
    <cellStyle name="Migliaia 50 5" xfId="1885" xr:uid="{00000000-0005-0000-0000-00005C040000}"/>
    <cellStyle name="Migliaia 50 5 2" xfId="5562" xr:uid="{9CE24454-31A6-4FA8-9C79-DEBD9FE6E401}"/>
    <cellStyle name="Migliaia 50 5 2 2" xfId="18499" xr:uid="{CC3A4395-69CB-4902-9256-1D13687D0B18}"/>
    <cellStyle name="Migliaia 50 5 2 2 2" xfId="40034" xr:uid="{D1854D54-B5F0-4E61-A410-C614022AE187}"/>
    <cellStyle name="Migliaia 50 5 2 2 3" xfId="45336" xr:uid="{55D88310-B6B2-4FA7-9CDC-E9CCD7EBC499}"/>
    <cellStyle name="Migliaia 50 5 2 3" xfId="20874" xr:uid="{32C3E295-32BA-4498-8788-799F5C3A558C}"/>
    <cellStyle name="Migliaia 50 5 2 3 2" xfId="37398" xr:uid="{F5FADE19-4C6E-4D3C-A538-191012BB7749}"/>
    <cellStyle name="Migliaia 50 5 2 4" xfId="42685" xr:uid="{0F444594-6669-4D98-BD03-DA62F084ADE6}"/>
    <cellStyle name="Migliaia 50 5 2 5" xfId="16726" xr:uid="{9A72C99E-FC3D-4D5D-A697-69FFE790F6FB}"/>
    <cellStyle name="Migliaia 50 5 2 6" xfId="8755" xr:uid="{9E50D41C-7671-4D65-89C2-1E7FB8DF943E}"/>
    <cellStyle name="Migliaia 50 5 3" xfId="6740" xr:uid="{D6DDAC44-3120-4FA6-8DCA-9EEBC15692D7}"/>
    <cellStyle name="Migliaia 50 5 3 2" xfId="34426" xr:uid="{CE233141-A51F-46BD-A867-A6FB07CFCA1A}"/>
    <cellStyle name="Migliaia 50 5 3 2 2" xfId="40035" xr:uid="{B8AE8195-5ABF-46FC-9772-F483890169F9}"/>
    <cellStyle name="Migliaia 50 5 3 2 3" xfId="45337" xr:uid="{7786A742-C8C9-4F90-9AAE-ECBCDA64692C}"/>
    <cellStyle name="Migliaia 50 5 3 3" xfId="37399" xr:uid="{4A90F83E-B88C-4A7A-9F7C-C07C50B84FA2}"/>
    <cellStyle name="Migliaia 50 5 3 4" xfId="42686" xr:uid="{5096A808-7149-469E-B262-651C0CAD5B50}"/>
    <cellStyle name="Migliaia 50 5 3 5" xfId="11420" xr:uid="{DD8AFE02-E369-4858-82B6-B0BCEA10D89B}"/>
    <cellStyle name="Migliaia 50 5 4" xfId="3836" xr:uid="{C7B93756-9009-454D-8D86-9D6E1C5E426D}"/>
    <cellStyle name="Migliaia 50 5 4 2" xfId="21597" xr:uid="{394008A0-8A76-45CE-8C55-1F739521531C}"/>
    <cellStyle name="Migliaia 50 5 4 2 2" xfId="40036" xr:uid="{98DC2976-DE9A-4505-9B3B-DE329D042D83}"/>
    <cellStyle name="Migliaia 50 5 4 2 3" xfId="45338" xr:uid="{060F05BD-0A19-4534-98EC-A02407435C45}"/>
    <cellStyle name="Migliaia 50 5 4 2 4" xfId="34427" xr:uid="{DFF677F9-B492-48D0-BB07-CCECD8F9DED9}"/>
    <cellStyle name="Migliaia 50 5 4 3" xfId="37400" xr:uid="{457E10BB-DAFF-46FA-B405-9D44326E3B08}"/>
    <cellStyle name="Migliaia 50 5 4 4" xfId="42687" xr:uid="{FD1D2184-E995-4D24-8915-785C2E3197E0}"/>
    <cellStyle name="Migliaia 50 5 4 5" xfId="25256" xr:uid="{040A6CC9-35ED-4E18-B00D-A3C45BAB5D27}"/>
    <cellStyle name="Migliaia 50 5 4 6" xfId="47448" xr:uid="{41AF6218-C8CE-47A5-AFCC-78D0BF869490}"/>
    <cellStyle name="Migliaia 50 5 4 7" xfId="50612" xr:uid="{8A166FFB-BFAE-4E3F-9A4E-1835F924CEA7}"/>
    <cellStyle name="Migliaia 50 5 4 8" xfId="53628" xr:uid="{A92E14EE-67DA-49D1-BA6A-DC5D1EBA9FEF}"/>
    <cellStyle name="Migliaia 50 5 4 9" xfId="10962" xr:uid="{0598AA28-2D61-4F78-BD45-03F7961EE94E}"/>
    <cellStyle name="Migliaia 50 5 5" xfId="20873" xr:uid="{80994DF5-3556-4AE2-AD3D-A0BE0578F085}"/>
    <cellStyle name="Migliaia 50 5 5 2" xfId="34428" xr:uid="{3FC35BAC-1D20-4CE9-B91A-FEBC5D272CC1}"/>
    <cellStyle name="Migliaia 50 5 5 2 2" xfId="40037" xr:uid="{75FC6697-D41D-458C-A83A-3873603B6613}"/>
    <cellStyle name="Migliaia 50 5 5 2 3" xfId="45339" xr:uid="{1C09D3A0-5D73-41EC-A0E7-C4D59847E2C6}"/>
    <cellStyle name="Migliaia 50 5 5 3" xfId="37401" xr:uid="{8E5EE701-AF06-4784-9653-4F5CD911F8EA}"/>
    <cellStyle name="Migliaia 50 5 5 4" xfId="42688" xr:uid="{B59C962F-273D-4B3B-B529-95AA5B779EFE}"/>
    <cellStyle name="Migliaia 50 5 5 5" xfId="25257" xr:uid="{00ED1456-3A4C-48A6-AA56-993067DC03CF}"/>
    <cellStyle name="Migliaia 50 5 6" xfId="25258" xr:uid="{F7CF910E-40A5-4F4A-98D3-86D86B60D843}"/>
    <cellStyle name="Migliaia 50 5 6 2" xfId="34429" xr:uid="{8068F662-D734-4AE7-9B08-00531F20E4F1}"/>
    <cellStyle name="Migliaia 50 5 6 2 2" xfId="40038" xr:uid="{56AE709A-5D1E-424B-9187-6E55E0CB8517}"/>
    <cellStyle name="Migliaia 50 5 6 2 3" xfId="45340" xr:uid="{A9EDBAB6-6F36-44E0-9F91-24B83EAB9863}"/>
    <cellStyle name="Migliaia 50 5 6 3" xfId="37402" xr:uid="{DBBF02B1-8472-49BF-9A6F-C91FA3DF6CF0}"/>
    <cellStyle name="Migliaia 50 5 6 4" xfId="42689" xr:uid="{879C00AC-11B6-48EA-9B37-CEAEBF9A04D6}"/>
    <cellStyle name="Migliaia 50 5 7" xfId="25255" xr:uid="{5B073FA8-83BA-4EAD-A393-D83C7CD38698}"/>
    <cellStyle name="Migliaia 50 5 8" xfId="7565" xr:uid="{3EBED094-B62C-42F4-BA30-900EB80E2804}"/>
    <cellStyle name="Migliaia 50 6" xfId="3837" xr:uid="{A371CFB9-2028-437F-B4EA-9C7804A49ED6}"/>
    <cellStyle name="Migliaia 50 6 2" xfId="5563" xr:uid="{20BA3BFE-3478-41C1-BD2B-2EB4B64F64F5}"/>
    <cellStyle name="Migliaia 50 6 2 2" xfId="9971" xr:uid="{86513CED-F266-489D-A8FC-D54147ECC04A}"/>
    <cellStyle name="Migliaia 50 6 2 3" xfId="18635" xr:uid="{9C3FAEAB-D0F2-42E5-AF5F-0052470305B5}"/>
    <cellStyle name="Migliaia 50 6 2 4" xfId="20876" xr:uid="{4F8DA746-4109-41E0-928C-DD96C10CDC74}"/>
    <cellStyle name="Migliaia 50 6 2 5" xfId="32456" xr:uid="{596E16D8-9107-4BE6-B4C8-FB2E79FEC034}"/>
    <cellStyle name="Migliaia 50 6 2 6" xfId="16728" xr:uid="{DF129FDB-6A08-4C0D-8058-2BCCC01F1D13}"/>
    <cellStyle name="Migliaia 50 6 2 7" xfId="8750" xr:uid="{BA6BE6C2-FD11-475B-968C-5A33AEDF0AE7}"/>
    <cellStyle name="Migliaia 50 6 3" xfId="6741" xr:uid="{821DA7F8-1DB0-439C-8CE9-6A0DC2D46436}"/>
    <cellStyle name="Migliaia 50 6 3 2" xfId="35442" xr:uid="{092DB4FC-3F60-47F4-806F-B1FEFFD2CF03}"/>
    <cellStyle name="Migliaia 50 6 3 2 2" xfId="40602" xr:uid="{7843EA1D-4B51-4023-B148-8D60751E7F5F}"/>
    <cellStyle name="Migliaia 50 6 3 2 3" xfId="45904" xr:uid="{14B61ECD-E6F2-45D3-8906-BCF01F6FBA00}"/>
    <cellStyle name="Migliaia 50 6 3 3" xfId="37951" xr:uid="{2C733FBC-C985-4054-AD21-7ADAE1517F6E}"/>
    <cellStyle name="Migliaia 50 6 3 4" xfId="43253" xr:uid="{C145806D-A57A-49F5-B546-9ADA63CF1736}"/>
    <cellStyle name="Migliaia 50 6 3 5" xfId="9734" xr:uid="{DEC5C49D-3B1D-4ADE-A162-DBA153813ACB}"/>
    <cellStyle name="Migliaia 50 6 4" xfId="20875" xr:uid="{92E347F4-9726-42B7-8DC3-95E4A372C4D2}"/>
    <cellStyle name="Migliaia 50 6 4 2" xfId="40039" xr:uid="{789DC33B-DBD1-4955-8FA6-11F9BB443358}"/>
    <cellStyle name="Migliaia 50 6 4 3" xfId="45341" xr:uid="{F300C7CD-C809-4FD8-B7C3-803C9C32B992}"/>
    <cellStyle name="Migliaia 50 6 4 4" xfId="34430" xr:uid="{1B26F56B-E7D8-4112-83F0-C9C2E5CC61E4}"/>
    <cellStyle name="Migliaia 50 6 5" xfId="37403" xr:uid="{A6FC72C6-A384-4B73-B3A2-817E99FE8C2B}"/>
    <cellStyle name="Migliaia 50 6 6" xfId="42690" xr:uid="{E90E7432-8D99-4CAC-A2BA-2A9DBF7F715E}"/>
    <cellStyle name="Migliaia 50 6 7" xfId="16727" xr:uid="{F3523076-0081-4C61-8D3A-3C2202B86910}"/>
    <cellStyle name="Migliaia 50 6 8" xfId="7560" xr:uid="{1A22BF61-C624-4E2A-B68E-607E1955695A}"/>
    <cellStyle name="Migliaia 50 7" xfId="3838" xr:uid="{80CD9E38-1608-4D63-AF43-9629E0C03EEE}"/>
    <cellStyle name="Migliaia 50 7 2" xfId="5564" xr:uid="{4BECC92C-1125-4FF3-BAAB-7520683DCD9B}"/>
    <cellStyle name="Migliaia 50 7 2 2" xfId="35443" xr:uid="{85FBE9B1-C588-4CAD-BE74-47E1FE63A112}"/>
    <cellStyle name="Migliaia 50 7 2 2 2" xfId="40603" xr:uid="{040FBA71-1142-4435-84AD-D932979A0E7A}"/>
    <cellStyle name="Migliaia 50 7 2 2 3" xfId="45905" xr:uid="{4E1664F7-EA90-456E-A00D-62F5A9AE59AC}"/>
    <cellStyle name="Migliaia 50 7 2 3" xfId="37952" xr:uid="{D3E52A8A-1829-4C0D-BA3D-D6F328254057}"/>
    <cellStyle name="Migliaia 50 7 2 4" xfId="43254" xr:uid="{D5EB6A54-C3AF-4428-ACBC-3A147F3A4236}"/>
    <cellStyle name="Migliaia 50 7 2 5" xfId="14314" xr:uid="{26BF982B-45E3-4550-8371-C1CF37CF99F5}"/>
    <cellStyle name="Migliaia 50 7 3" xfId="6742" xr:uid="{2DDFB624-42A8-4612-BD61-45F774755535}"/>
    <cellStyle name="Migliaia 50 7 3 2" xfId="40040" xr:uid="{9BC92768-F193-4406-83BA-1B11B004233F}"/>
    <cellStyle name="Migliaia 50 7 3 3" xfId="45342" xr:uid="{96DEDF34-AE49-4037-98AA-E484F1205FA3}"/>
    <cellStyle name="Migliaia 50 7 3 4" xfId="34431" xr:uid="{F1E26382-12D2-4A48-BAD2-53C3A7BC8763}"/>
    <cellStyle name="Migliaia 50 7 3 5" xfId="20877" xr:uid="{0DB37FDE-EC78-4056-8099-DC247568E64F}"/>
    <cellStyle name="Migliaia 50 7 4" xfId="37404" xr:uid="{F1761FFD-6F0F-4C08-BE8E-C36565B3C3E5}"/>
    <cellStyle name="Migliaia 50 7 5" xfId="42691" xr:uid="{5C301C0C-6FC0-4222-8698-53D792AAEE20}"/>
    <cellStyle name="Migliaia 50 7 6" xfId="16729" xr:uid="{7D04BC87-F80E-4943-9614-73442EC1D748}"/>
    <cellStyle name="Migliaia 50 7 7" xfId="8376" xr:uid="{293E46F2-B24F-4CE6-B6CB-6BD281501D9B}"/>
    <cellStyle name="Migliaia 50 8" xfId="3839" xr:uid="{33E97BBD-C1BF-45AD-89BB-CB5D003145DC}"/>
    <cellStyle name="Migliaia 50 8 2" xfId="5565" xr:uid="{F2200D22-0E42-4820-8404-E386BE09584B}"/>
    <cellStyle name="Migliaia 50 8 2 2" xfId="35444" xr:uid="{8668F01C-123B-4F40-B43F-E739EC5A4411}"/>
    <cellStyle name="Migliaia 50 8 2 2 2" xfId="40604" xr:uid="{7A4EC703-E9D1-4EF6-B77A-5716F607993F}"/>
    <cellStyle name="Migliaia 50 8 2 2 3" xfId="45906" xr:uid="{246DA7D4-D053-469C-A593-3D32D35A0924}"/>
    <cellStyle name="Migliaia 50 8 2 3" xfId="37953" xr:uid="{2FF763D6-7FED-40D9-A511-7BF1286EC985}"/>
    <cellStyle name="Migliaia 50 8 2 4" xfId="43255" xr:uid="{5C34F352-BBAE-4C46-99D9-A3CAC92F05EA}"/>
    <cellStyle name="Migliaia 50 8 2 5" xfId="14019" xr:uid="{DF9DF165-9D41-48A7-A921-CFDA00F1E0FB}"/>
    <cellStyle name="Migliaia 50 8 3" xfId="6743" xr:uid="{E4ED31A0-E29E-4DE4-9054-37DE1F282765}"/>
    <cellStyle name="Migliaia 50 8 3 2" xfId="40041" xr:uid="{EE27D4FB-EE34-4789-9885-79A49AA62861}"/>
    <cellStyle name="Migliaia 50 8 3 3" xfId="45343" xr:uid="{DA4A3227-8AE7-45B5-809B-0487118BC58E}"/>
    <cellStyle name="Migliaia 50 8 3 4" xfId="34432" xr:uid="{3250E0C0-C9F4-4043-9200-622CCF7B7A6D}"/>
    <cellStyle name="Migliaia 50 8 3 5" xfId="20878" xr:uid="{08751F4B-27AA-4B66-A3E2-E9D39F34B4D1}"/>
    <cellStyle name="Migliaia 50 8 4" xfId="37405" xr:uid="{EA7C8A04-8464-4404-B673-B89B708EFE49}"/>
    <cellStyle name="Migliaia 50 8 5" xfId="42692" xr:uid="{11D6B600-8008-49D4-BE9A-AD5ECF209B45}"/>
    <cellStyle name="Migliaia 50 8 6" xfId="16730" xr:uid="{A6CF562F-178B-48C0-AD4D-A7640726E606}"/>
    <cellStyle name="Migliaia 50 8 7" xfId="8002" xr:uid="{9B5A864A-D266-4652-AFE1-CF9F219B80FA}"/>
    <cellStyle name="Migliaia 50 9" xfId="5550" xr:uid="{DBDDFA74-FB76-4FFA-A808-B56318FDC025}"/>
    <cellStyle name="Migliaia 50 9 2" xfId="34433" xr:uid="{0587CA73-C33F-43EF-A5FF-50A33FB88CE3}"/>
    <cellStyle name="Migliaia 50 9 2 2" xfId="40042" xr:uid="{7B506BBB-C23D-400C-B139-EC41E1BE69D5}"/>
    <cellStyle name="Migliaia 50 9 2 3" xfId="45344" xr:uid="{D9C8AA83-9B16-453B-9830-4869D75B5D93}"/>
    <cellStyle name="Migliaia 50 9 3" xfId="37406" xr:uid="{990C7E2E-53A8-4EC9-9DF2-257F244A4FFD}"/>
    <cellStyle name="Migliaia 50 9 4" xfId="42693" xr:uid="{85F0C84F-56E4-4899-A194-52F712655D98}"/>
    <cellStyle name="Migliaia 50 9 5" xfId="17225" xr:uid="{06A9AC49-1E56-4BEA-96B9-B05E22E57BB0}"/>
    <cellStyle name="Migliaia 51" xfId="485" xr:uid="{00000000-0005-0000-0000-00005D040000}"/>
    <cellStyle name="Migliaia 51 10" xfId="6744" xr:uid="{AACC4D75-CF7A-4BE3-A08B-DACE5A0D9604}"/>
    <cellStyle name="Migliaia 51 10 2" xfId="40043" xr:uid="{1EF780A5-F325-4A7E-AE97-FA0769C6D1F3}"/>
    <cellStyle name="Migliaia 51 10 3" xfId="45345" xr:uid="{6AD7590D-42D9-452E-96A6-58261B2D778A}"/>
    <cellStyle name="Migliaia 51 10 4" xfId="34434" xr:uid="{59050920-9216-4691-8CDC-AFF6481CAE91}"/>
    <cellStyle name="Migliaia 51 10 5" xfId="20879" xr:uid="{254E9BDB-9B00-4985-A5FC-60EEB03DC101}"/>
    <cellStyle name="Migliaia 51 11" xfId="3840" xr:uid="{618DEF42-A21C-46FC-A76E-9C41CAE26608}"/>
    <cellStyle name="Migliaia 51 11 2" xfId="37407" xr:uid="{3722AAC4-DAA7-4000-8FC8-0BF67B3DED44}"/>
    <cellStyle name="Migliaia 51 12" xfId="42694" xr:uid="{82ACA318-E8D4-4E6A-8A33-F3C5571BE058}"/>
    <cellStyle name="Migliaia 51 13" xfId="7180" xr:uid="{22C88A87-D20D-4C82-BE78-94808A0EFA79}"/>
    <cellStyle name="Migliaia 51 2" xfId="486" xr:uid="{00000000-0005-0000-0000-00005E040000}"/>
    <cellStyle name="Migliaia 51 2 2" xfId="1886" xr:uid="{00000000-0005-0000-0000-00005F040000}"/>
    <cellStyle name="Migliaia 51 2 2 2" xfId="5568" xr:uid="{65A01FB0-C034-4D03-ADF2-21145A5E0CF0}"/>
    <cellStyle name="Migliaia 51 2 2 2 2" xfId="14409" xr:uid="{69DB1BDD-BEB0-4744-AD0A-23CA87385493}"/>
    <cellStyle name="Migliaia 51 2 2 2 2 2" xfId="40044" xr:uid="{24689146-7358-4F92-911C-834AA2BD0885}"/>
    <cellStyle name="Migliaia 51 2 2 2 2 3" xfId="45346" xr:uid="{0FC407F0-ED00-47D1-AC6D-F4717C35D7CD}"/>
    <cellStyle name="Migliaia 51 2 2 2 3" xfId="18500" xr:uid="{C92E5990-62E8-49A4-849C-438E87FC724B}"/>
    <cellStyle name="Migliaia 51 2 2 2 4" xfId="20882" xr:uid="{0B7D5AD5-0359-49AF-B2AB-5941ECFA51AD}"/>
    <cellStyle name="Migliaia 51 2 2 2 4 2" xfId="42695" xr:uid="{CFAB48F8-48C4-4684-A947-46031C345DA6}"/>
    <cellStyle name="Migliaia 51 2 2 2 5" xfId="16731" xr:uid="{86205CAD-5BA1-42A1-A48A-BA9174A0A2A4}"/>
    <cellStyle name="Migliaia 51 2 2 2 6" xfId="8757" xr:uid="{07D13B81-A7F2-4C84-AFA9-1F037EB96902}"/>
    <cellStyle name="Migliaia 51 2 2 3" xfId="6746" xr:uid="{5139F08B-47AA-4BAE-B41F-1DE4436E5FA6}"/>
    <cellStyle name="Migliaia 51 2 2 3 2" xfId="35445" xr:uid="{5FD6A422-0C61-4116-B809-0862DF381233}"/>
    <cellStyle name="Migliaia 51 2 2 3 2 2" xfId="40605" xr:uid="{9520FD4E-C6E0-4EB9-B6FB-4F9440EB7C01}"/>
    <cellStyle name="Migliaia 51 2 2 3 2 3" xfId="45907" xr:uid="{C6C66F1C-7072-4746-84AB-41729478D2AB}"/>
    <cellStyle name="Migliaia 51 2 2 3 3" xfId="37954" xr:uid="{B052A76E-4EE0-4B59-B081-ADA3227A8C76}"/>
    <cellStyle name="Migliaia 51 2 2 3 4" xfId="43256" xr:uid="{D42D326E-1E48-4896-ACF8-37ABF7A96474}"/>
    <cellStyle name="Migliaia 51 2 2 3 5" xfId="11636" xr:uid="{C53200DC-5476-48A6-B023-53C690DBFAA6}"/>
    <cellStyle name="Migliaia 51 2 2 4" xfId="3842" xr:uid="{4C940DD2-A32A-4052-A1A9-0B7253505CA9}"/>
    <cellStyle name="Migliaia 51 2 2 4 2" xfId="21598" xr:uid="{FB192CAF-31AB-4948-B955-62F01114D52F}"/>
    <cellStyle name="Migliaia 51 2 2 4 3" xfId="48140" xr:uid="{76C23F74-E6C9-4345-B9D8-FD1E53E88889}"/>
    <cellStyle name="Migliaia 51 2 2 4 4" xfId="50613" xr:uid="{E8DAFA30-80CE-4BC0-9BE2-4F34B16D270D}"/>
    <cellStyle name="Migliaia 51 2 2 4 5" xfId="53629" xr:uid="{FCE007CF-03F8-454F-BCC1-9CFF4108ED6B}"/>
    <cellStyle name="Migliaia 51 2 2 4 6" xfId="10963" xr:uid="{AD68A98C-7AF1-41D2-B3ED-E66ECF59A477}"/>
    <cellStyle name="Migliaia 51 2 2 5" xfId="20881" xr:uid="{0D2232D7-97D7-4756-82EC-6710A0349DB8}"/>
    <cellStyle name="Migliaia 51 2 2 6" xfId="25260" xr:uid="{57CB82AB-C1E5-4662-AF6C-627240B38E1C}"/>
    <cellStyle name="Migliaia 51 2 2 7" xfId="7567" xr:uid="{A5B15680-4B9D-4258-B4D3-BA9E24EE479D}"/>
    <cellStyle name="Migliaia 51 2 3" xfId="3843" xr:uid="{AAC52EA7-8BB9-440D-8EDA-BFF1B24C4178}"/>
    <cellStyle name="Migliaia 51 2 3 2" xfId="5569" xr:uid="{4411E18C-E0C7-4640-A93E-348004503912}"/>
    <cellStyle name="Migliaia 51 2 3 2 2" xfId="35446" xr:uid="{82D1C8E7-73D3-461C-851D-2A19E7A3DA2C}"/>
    <cellStyle name="Migliaia 51 2 3 2 2 2" xfId="40606" xr:uid="{6588AA90-3916-4E56-8934-EDD88A61ED83}"/>
    <cellStyle name="Migliaia 51 2 3 2 2 3" xfId="45908" xr:uid="{40694EDC-04B3-4F5E-AD9C-DA28D3DB9EF1}"/>
    <cellStyle name="Migliaia 51 2 3 2 3" xfId="37955" xr:uid="{BC0E9C44-C373-4A67-9B20-9755D6EFADE3}"/>
    <cellStyle name="Migliaia 51 2 3 2 4" xfId="43257" xr:uid="{9548DA8F-F331-46FB-A3AD-D5D314468D0F}"/>
    <cellStyle name="Migliaia 51 2 3 2 5" xfId="14318" xr:uid="{B640F0F4-1AA8-4F42-BBE2-818BEE8B28E9}"/>
    <cellStyle name="Migliaia 51 2 3 3" xfId="6747" xr:uid="{AD2512A3-CBC3-4EB8-B80F-1B1F365D37AD}"/>
    <cellStyle name="Migliaia 51 2 3 3 2" xfId="40045" xr:uid="{BC3B61EC-4871-4779-9A49-9AAE4654823F}"/>
    <cellStyle name="Migliaia 51 2 3 3 3" xfId="45347" xr:uid="{563BF86E-D805-4135-B57E-C6EC182278A7}"/>
    <cellStyle name="Migliaia 51 2 3 3 4" xfId="34435" xr:uid="{B1FFA2BB-342A-435B-89CE-A42827132B34}"/>
    <cellStyle name="Migliaia 51 2 3 3 5" xfId="20883" xr:uid="{B568ED2E-6263-4A8A-B0C3-0153C53CB3BD}"/>
    <cellStyle name="Migliaia 51 2 3 4" xfId="37408" xr:uid="{161FAD11-D0B7-4F96-A86B-2E3BA7B4191D}"/>
    <cellStyle name="Migliaia 51 2 3 5" xfId="42696" xr:uid="{BDFD5DB0-0AAE-4537-9FAB-BBCE411547A8}"/>
    <cellStyle name="Migliaia 51 2 3 6" xfId="16732" xr:uid="{C43B715A-610E-4C3B-8EBA-3FB2ACA46602}"/>
    <cellStyle name="Migliaia 51 2 3 7" xfId="8380" xr:uid="{20A2D898-9504-4A01-88A1-694A3D7EB60F}"/>
    <cellStyle name="Migliaia 51 2 4" xfId="5567" xr:uid="{B72E00B5-6BEA-423C-9227-B50B9B1E3B60}"/>
    <cellStyle name="Migliaia 51 2 4 2" xfId="14023" xr:uid="{455C510C-93AA-4419-86DA-9080F34A509C}"/>
    <cellStyle name="Migliaia 51 2 4 2 2" xfId="40046" xr:uid="{59423B34-4491-4AEB-A716-23BEFD2D0820}"/>
    <cellStyle name="Migliaia 51 2 4 2 3" xfId="45348" xr:uid="{F29A2ADB-BB82-4906-AD60-20733309B431}"/>
    <cellStyle name="Migliaia 51 2 4 3" xfId="18154" xr:uid="{DE9F55B6-A3D5-4AC9-B5B0-AB611EB16DC5}"/>
    <cellStyle name="Migliaia 51 2 4 4" xfId="20884" xr:uid="{42A4B7E8-57E8-4692-9155-356D86C33605}"/>
    <cellStyle name="Migliaia 51 2 4 4 2" xfId="42697" xr:uid="{A01CE82E-BA96-4564-B5A8-F5C4F97EBFFE}"/>
    <cellStyle name="Migliaia 51 2 4 5" xfId="16733" xr:uid="{3FA41C99-A7F2-4A54-B64A-62ABA58DBFBA}"/>
    <cellStyle name="Migliaia 51 2 4 6" xfId="8007" xr:uid="{5B222FFC-F39D-42E7-9496-82D46C6F0357}"/>
    <cellStyle name="Migliaia 51 2 5" xfId="6745" xr:uid="{5832C5BB-A2D4-40C7-A2E6-1A664E518E31}"/>
    <cellStyle name="Migliaia 51 2 5 2" xfId="34436" xr:uid="{35468F6C-6746-4AE4-BAEB-69A905956468}"/>
    <cellStyle name="Migliaia 51 2 5 2 2" xfId="40047" xr:uid="{E4BC34E5-B83F-41B0-8989-57CBAA19CFF9}"/>
    <cellStyle name="Migliaia 51 2 5 2 3" xfId="45349" xr:uid="{9D4BD845-1A6C-48AC-8149-4CED7A628C92}"/>
    <cellStyle name="Migliaia 51 2 5 3" xfId="37409" xr:uid="{F1054420-687B-41DE-B5ED-163218E98361}"/>
    <cellStyle name="Migliaia 51 2 5 4" xfId="42698" xr:uid="{5ED2A68B-88B8-4DA2-B789-F85EE736D844}"/>
    <cellStyle name="Migliaia 51 2 5 5" xfId="13149" xr:uid="{91F5B867-F141-4C4A-90E0-3985F2CDF0F9}"/>
    <cellStyle name="Migliaia 51 2 6" xfId="3841" xr:uid="{A475D162-7F50-45B2-B159-C5966420D600}"/>
    <cellStyle name="Migliaia 51 2 6 2" xfId="34437" xr:uid="{F474D48A-9787-4F03-A598-75FF96E481D3}"/>
    <cellStyle name="Migliaia 51 2 6 2 2" xfId="40048" xr:uid="{07AA8A4C-AB5C-4C77-8FC3-3F84A4D002A2}"/>
    <cellStyle name="Migliaia 51 2 6 2 3" xfId="45350" xr:uid="{6DA26545-4F20-4403-824D-1EEB95FEBE3E}"/>
    <cellStyle name="Migliaia 51 2 6 3" xfId="37410" xr:uid="{EF878B43-946F-4544-8F7A-B21588240A0B}"/>
    <cellStyle name="Migliaia 51 2 6 4" xfId="42699" xr:uid="{362532A7-264B-4478-AD55-C38954B17F04}"/>
    <cellStyle name="Migliaia 51 2 6 5" xfId="25261" xr:uid="{3BEC76DE-485C-4DCE-81EF-364D22794B3A}"/>
    <cellStyle name="Migliaia 51 2 6 6" xfId="20880" xr:uid="{4A78F5FF-6746-49A8-851A-3B0C11F717BC}"/>
    <cellStyle name="Migliaia 51 2 7" xfId="25259" xr:uid="{1C3519EC-B9B7-4063-9644-1673E3F32B7F}"/>
    <cellStyle name="Migliaia 51 2 8" xfId="7181" xr:uid="{B940C770-D136-4054-A129-E4AE430D5FDD}"/>
    <cellStyle name="Migliaia 51 3" xfId="487" xr:uid="{00000000-0005-0000-0000-000060040000}"/>
    <cellStyle name="Migliaia 51 3 10" xfId="25262" xr:uid="{EEDC3129-394C-4C8F-B82A-72A3AE915476}"/>
    <cellStyle name="Migliaia 51 3 11" xfId="16734" xr:uid="{C7418672-13A8-45E4-8EBC-C554E7C276F1}"/>
    <cellStyle name="Migliaia 51 3 12" xfId="7182" xr:uid="{1CA8BB4B-4493-4B2C-9F78-E0AC57562393}"/>
    <cellStyle name="Migliaia 51 3 2" xfId="488" xr:uid="{00000000-0005-0000-0000-000061040000}"/>
    <cellStyle name="Migliaia 51 3 2 2" xfId="1887" xr:uid="{00000000-0005-0000-0000-000062040000}"/>
    <cellStyle name="Migliaia 51 3 2 2 2" xfId="5572" xr:uid="{C9D4FC38-94E1-4E0F-8E01-E7394383E78D}"/>
    <cellStyle name="Migliaia 51 3 2 2 2 2" xfId="18501" xr:uid="{3E99B817-AC86-4930-A33E-5F45D1DAEF8A}"/>
    <cellStyle name="Migliaia 51 3 2 2 2 2 2" xfId="21887" xr:uid="{07EECA38-15F0-42F5-9016-01AD1E9271A4}"/>
    <cellStyle name="Migliaia 51 3 2 2 2 2 2 2" xfId="40049" xr:uid="{691522FC-F8E2-4A87-B71A-2903820C3B50}"/>
    <cellStyle name="Migliaia 51 3 2 2 2 2 3" xfId="45351" xr:uid="{95EC84FB-9C65-4A4A-9303-5B59EAC1891E}"/>
    <cellStyle name="Migliaia 51 3 2 2 2 2 4" xfId="34438" xr:uid="{A3C2E95D-3F04-48D2-9AC9-C6B0986799AD}"/>
    <cellStyle name="Migliaia 51 3 2 2 2 3" xfId="37411" xr:uid="{5A480581-D15C-42A0-BB25-63FB7FC3E03D}"/>
    <cellStyle name="Migliaia 51 3 2 2 2 4" xfId="42700" xr:uid="{9493302E-068F-4EE4-988A-996ECB3F1342}"/>
    <cellStyle name="Migliaia 51 3 2 2 2 5" xfId="46752" xr:uid="{F9E0791B-5C38-414B-8D10-2099A5D33426}"/>
    <cellStyle name="Migliaia 51 3 2 2 2 6" xfId="50915" xr:uid="{5BD0DD3F-D77B-4267-8A41-1E7B746D5685}"/>
    <cellStyle name="Migliaia 51 3 2 2 2 7" xfId="53931" xr:uid="{D7BFE94D-E09B-46D5-B733-6A2E025F8AB2}"/>
    <cellStyle name="Migliaia 51 3 2 2 2 8" xfId="17686" xr:uid="{4E3DE057-91F8-4A3C-9B55-67844EF58F36}"/>
    <cellStyle name="Migliaia 51 3 2 2 2 9" xfId="12071" xr:uid="{E6ED9A02-7B18-47E9-BC15-F76043316D65}"/>
    <cellStyle name="Migliaia 51 3 2 2 3" xfId="6750" xr:uid="{ABFC92A4-0C1C-4C8E-AE41-1EE37D87AF60}"/>
    <cellStyle name="Migliaia 51 3 2 2 3 2" xfId="12204" xr:uid="{D618D4D8-5F86-4200-8D1B-C7BC6BDF6AF1}"/>
    <cellStyle name="Migliaia 51 3 2 2 4" xfId="3846" xr:uid="{E0D450B9-DAF9-49E0-9A5E-93CCC4970CF0}"/>
    <cellStyle name="Migliaia 51 3 2 2 4 2" xfId="21599" xr:uid="{F5C0F943-C8B6-4B16-8BA7-7DAA736B8708}"/>
    <cellStyle name="Migliaia 51 3 2 2 4 3" xfId="48239" xr:uid="{F4951285-5602-4204-B5B2-6CF73A029478}"/>
    <cellStyle name="Migliaia 51 3 2 2 4 4" xfId="50614" xr:uid="{F4F450B9-7554-40CA-9468-5691F68A44B5}"/>
    <cellStyle name="Migliaia 51 3 2 2 4 5" xfId="53630" xr:uid="{53740DCB-A24E-4F67-8FCB-59D328F70C2B}"/>
    <cellStyle name="Migliaia 51 3 2 2 4 6" xfId="10964" xr:uid="{156D548C-2EAC-45D8-8F46-AAAFCA1ACFA9}"/>
    <cellStyle name="Migliaia 51 3 2 2 5" xfId="20887" xr:uid="{1B51F9F3-AD78-4CCD-B5E0-14BB69863916}"/>
    <cellStyle name="Migliaia 51 3 2 2 6" xfId="25264" xr:uid="{C1028061-A3B7-4CAD-A14E-BD1488644DDD}"/>
    <cellStyle name="Migliaia 51 3 2 2 7" xfId="8759" xr:uid="{3FA7D0EF-22A8-4199-BAA9-15ED7719BE3B}"/>
    <cellStyle name="Migliaia 51 3 2 3" xfId="5571" xr:uid="{5468F957-723F-49C9-8B21-5319CD9B3813}"/>
    <cellStyle name="Migliaia 51 3 2 3 2" xfId="12401" xr:uid="{6EA0C870-FA82-412A-B451-94755D43CEE5}"/>
    <cellStyle name="Migliaia 51 3 2 3 2 2" xfId="40050" xr:uid="{8EC45305-4E62-4DA5-BE68-2A68C662AED6}"/>
    <cellStyle name="Migliaia 51 3 2 3 2 3" xfId="45352" xr:uid="{48F39C2A-9DBD-4775-AD4B-D82173C24CB0}"/>
    <cellStyle name="Migliaia 51 3 2 3 2 4" xfId="34439" xr:uid="{BECE0C31-A4E9-4E85-AA26-00E24E7E98CB}"/>
    <cellStyle name="Migliaia 51 3 2 3 3" xfId="12072" xr:uid="{E112498B-D88D-42B1-9CA1-A245B91011B3}"/>
    <cellStyle name="Migliaia 51 3 2 3 4" xfId="20888" xr:uid="{B56A6D99-F1CB-48E4-A83E-825B3B1CD1BC}"/>
    <cellStyle name="Migliaia 51 3 2 3 4 2" xfId="42701" xr:uid="{3CAF63F1-E192-43E1-93C7-D83703C51BF9}"/>
    <cellStyle name="Migliaia 51 3 2 3 5" xfId="16735" xr:uid="{DC632837-F083-4A43-B8FD-E9A933A4D795}"/>
    <cellStyle name="Migliaia 51 3 2 3 6" xfId="8009" xr:uid="{14FA5821-2A7B-4C9C-853C-A454634513C2}"/>
    <cellStyle name="Migliaia 51 3 2 4" xfId="6749" xr:uid="{3FB4E0F9-19D5-422A-9F28-9D61ED2A5680}"/>
    <cellStyle name="Migliaia 51 3 2 4 2" xfId="18103" xr:uid="{59C9D4C9-4E15-4388-B880-A3F1932698B1}"/>
    <cellStyle name="Migliaia 51 3 2 4 2 2" xfId="40051" xr:uid="{62435F1B-A157-4E42-A30D-3465B43E33F7}"/>
    <cellStyle name="Migliaia 51 3 2 4 2 3" xfId="45353" xr:uid="{DB873B2E-24D7-4EA9-BC34-89AE62F12236}"/>
    <cellStyle name="Migliaia 51 3 2 4 3" xfId="37412" xr:uid="{2C2F662F-39E1-4656-822A-1FCAC7416398}"/>
    <cellStyle name="Migliaia 51 3 2 4 4" xfId="42702" xr:uid="{9B0EA5E5-A488-4D1D-B4FC-660C343ABBBA}"/>
    <cellStyle name="Migliaia 51 3 2 4 5" xfId="17228" xr:uid="{D261A442-C004-465D-9A9A-3906D00C815B}"/>
    <cellStyle name="Migliaia 51 3 2 4 6" xfId="11422" xr:uid="{222EF433-29F1-46AA-A4E6-5BFEC88396E0}"/>
    <cellStyle name="Migliaia 51 3 2 5" xfId="3845" xr:uid="{6AF79E83-0B69-48F2-877E-233B9CB08D66}"/>
    <cellStyle name="Migliaia 51 3 2 5 2" xfId="34440" xr:uid="{8DC49DEC-3616-4F1E-8996-53CF8BB16A77}"/>
    <cellStyle name="Migliaia 51 3 2 5 2 2" xfId="40052" xr:uid="{4D2C19A3-ED0F-44F0-84DD-65EA297E1766}"/>
    <cellStyle name="Migliaia 51 3 2 5 2 3" xfId="45354" xr:uid="{30F437CE-63B1-4C38-8018-57AA45A7C6B6}"/>
    <cellStyle name="Migliaia 51 3 2 5 3" xfId="37413" xr:uid="{6390DD11-07E1-40C2-8E59-213DDFA3F7CC}"/>
    <cellStyle name="Migliaia 51 3 2 5 4" xfId="42703" xr:uid="{5342C061-CB2F-4705-AB25-7CBE9E6D0BFC}"/>
    <cellStyle name="Migliaia 51 3 2 5 5" xfId="17288" xr:uid="{2DAD68B4-FF1E-46FF-BF9C-EE31B74B01F1}"/>
    <cellStyle name="Migliaia 51 3 2 6" xfId="20886" xr:uid="{B6A128D0-F5AB-480C-A135-A8877C69E2AB}"/>
    <cellStyle name="Migliaia 51 3 2 6 2" xfId="34441" xr:uid="{1B393B5B-C029-47DB-846F-22A1A7DD7193}"/>
    <cellStyle name="Migliaia 51 3 2 6 2 2" xfId="40053" xr:uid="{8DCC4DF8-B170-4953-B39E-832DE9A4DC9D}"/>
    <cellStyle name="Migliaia 51 3 2 6 2 3" xfId="45355" xr:uid="{373DF620-FC77-4F31-A7C6-A9F69580C115}"/>
    <cellStyle name="Migliaia 51 3 2 6 3" xfId="37414" xr:uid="{19E4A576-8ACE-4648-B821-9E0ACE5CC882}"/>
    <cellStyle name="Migliaia 51 3 2 6 4" xfId="42704" xr:uid="{098BFA88-A937-43F0-ABE8-04380B89604C}"/>
    <cellStyle name="Migliaia 51 3 2 6 5" xfId="25265" xr:uid="{ADCBB565-B2F5-41B5-99B2-14B2E2E8BA03}"/>
    <cellStyle name="Migliaia 51 3 2 7" xfId="25263" xr:uid="{83C7EA8C-5152-4D07-86CA-129101B42445}"/>
    <cellStyle name="Migliaia 51 3 2 8" xfId="7569" xr:uid="{AA2332FD-4B25-4183-B416-B72D80CD07C6}"/>
    <cellStyle name="Migliaia 51 3 3" xfId="3847" xr:uid="{F95EDA76-92EB-45F1-95CF-B369510ED1A3}"/>
    <cellStyle name="Migliaia 51 3 3 10" xfId="7568" xr:uid="{FEDA4A63-A000-4F2D-B71D-6C54F953F1B5}"/>
    <cellStyle name="Migliaia 51 3 3 2" xfId="5573" xr:uid="{8832C0C3-B99F-4792-90F1-44F323CACD69}"/>
    <cellStyle name="Migliaia 51 3 3 2 2" xfId="9974" xr:uid="{2806FCCC-5917-4DB9-8D93-A94D6FB7F492}"/>
    <cellStyle name="Migliaia 51 3 3 2 2 2" xfId="40055" xr:uid="{75EF6C1E-3B8E-4825-857B-A57FDCAA50F3}"/>
    <cellStyle name="Migliaia 51 3 3 2 2 3" xfId="45357" xr:uid="{7A2D9311-7E6A-4A29-B672-01D79EC7F38A}"/>
    <cellStyle name="Migliaia 51 3 3 2 3" xfId="18254" xr:uid="{CC3B53B7-EBA5-4F3A-83ED-FEFB4249AA7F}"/>
    <cellStyle name="Migliaia 51 3 3 2 4" xfId="20890" xr:uid="{4388B202-5B12-450D-92A6-82786117DA0D}"/>
    <cellStyle name="Migliaia 51 3 3 2 4 2" xfId="42706" xr:uid="{5CF73747-6EA1-42FE-B336-547019361A38}"/>
    <cellStyle name="Migliaia 51 3 3 2 5" xfId="16737" xr:uid="{7127C657-A3AC-4ADB-A12F-213FB6AA4390}"/>
    <cellStyle name="Migliaia 51 3 3 2 6" xfId="8758" xr:uid="{E41BB661-E489-4C3C-A8AB-05B5BC821226}"/>
    <cellStyle name="Migliaia 51 3 3 3" xfId="6751" xr:uid="{A24C6DE4-2606-4764-8B70-6D906A498FD6}"/>
    <cellStyle name="Migliaia 51 3 3 3 2" xfId="34443" xr:uid="{BB22CD5B-0574-4FFF-8DA0-C3C8091BC89F}"/>
    <cellStyle name="Migliaia 51 3 3 3 2 2" xfId="40056" xr:uid="{0872971B-C691-4D3F-9E6C-F3A182842416}"/>
    <cellStyle name="Migliaia 51 3 3 3 2 3" xfId="45358" xr:uid="{5291D30E-DF86-4B4F-978A-B43D84906B9B}"/>
    <cellStyle name="Migliaia 51 3 3 3 3" xfId="37416" xr:uid="{AA7C3D4B-2C8A-436C-9C63-04BEBAF5656E}"/>
    <cellStyle name="Migliaia 51 3 3 3 4" xfId="42707" xr:uid="{C80D93B2-0560-4DF3-9A9D-8433A9377A62}"/>
    <cellStyle name="Migliaia 51 3 3 3 5" xfId="9737" xr:uid="{A3F0E2AE-F6B2-45BC-8023-FF45B8DE96B9}"/>
    <cellStyle name="Migliaia 51 3 3 4" xfId="20889" xr:uid="{7C7DC3F9-D14E-4780-8261-D7CCC83475A2}"/>
    <cellStyle name="Migliaia 51 3 3 4 2" xfId="34444" xr:uid="{DC0F437F-B127-4A13-B38B-01E23E16EEE9}"/>
    <cellStyle name="Migliaia 51 3 3 4 2 2" xfId="40057" xr:uid="{E1FB3E29-4772-421A-869C-A66EB53077D4}"/>
    <cellStyle name="Migliaia 51 3 3 4 2 3" xfId="45359" xr:uid="{00C20CDF-A8CC-4342-9F22-0F6A97BED62C}"/>
    <cellStyle name="Migliaia 51 3 3 4 3" xfId="37417" xr:uid="{8A62CD0C-BF1E-46FD-AFA0-A61AF66E42B7}"/>
    <cellStyle name="Migliaia 51 3 3 4 4" xfId="42708" xr:uid="{799CAB45-19A0-4631-A6D6-96969EC872B9}"/>
    <cellStyle name="Migliaia 51 3 3 4 5" xfId="25266" xr:uid="{E1F87FDA-262B-4162-87AF-B87E2846CE37}"/>
    <cellStyle name="Migliaia 51 3 3 5" xfId="25267" xr:uid="{2321537E-8128-4A92-8C4F-CA5534354602}"/>
    <cellStyle name="Migliaia 51 3 3 5 2" xfId="34445" xr:uid="{2D35A12A-E098-46BE-9D01-E2F6F02E9F6A}"/>
    <cellStyle name="Migliaia 51 3 3 5 2 2" xfId="40058" xr:uid="{B5C77B17-6536-4037-A439-1E7A29BDDB6C}"/>
    <cellStyle name="Migliaia 51 3 3 5 2 3" xfId="45360" xr:uid="{B80CA341-72AA-40AE-A36D-6ECDABB8057D}"/>
    <cellStyle name="Migliaia 51 3 3 5 3" xfId="37418" xr:uid="{2CFEB244-04F3-4D28-93E7-3EEA2690FC1B}"/>
    <cellStyle name="Migliaia 51 3 3 5 4" xfId="42709" xr:uid="{EC8C7066-0E7E-4BEF-B060-1369FFF0E3E7}"/>
    <cellStyle name="Migliaia 51 3 3 6" xfId="34442" xr:uid="{815078C5-8494-4CE1-A0A6-E82E13681697}"/>
    <cellStyle name="Migliaia 51 3 3 6 2" xfId="40054" xr:uid="{4DC94106-94AA-4C5D-BC1D-4DDD23E9E8FE}"/>
    <cellStyle name="Migliaia 51 3 3 6 3" xfId="45356" xr:uid="{AB9FDC4F-6BC1-421F-BB29-FAA1408D3604}"/>
    <cellStyle name="Migliaia 51 3 3 7" xfId="37415" xr:uid="{890B3C1B-6821-46E6-BD71-9CD792F64667}"/>
    <cellStyle name="Migliaia 51 3 3 8" xfId="42705" xr:uid="{3B7D3152-B04A-4078-8AB9-D2A833D6DEA0}"/>
    <cellStyle name="Migliaia 51 3 3 9" xfId="16736" xr:uid="{D8DAB506-0BB9-43DD-8C94-4E367C28D26A}"/>
    <cellStyle name="Migliaia 51 3 4" xfId="3848" xr:uid="{EE0B44F8-EB5A-44B9-A26F-5F0B1B85E61A}"/>
    <cellStyle name="Migliaia 51 3 4 2" xfId="5574" xr:uid="{35A4ACEE-D015-4CB5-B468-D5B5696FFDCF}"/>
    <cellStyle name="Migliaia 51 3 4 2 2" xfId="14469" xr:uid="{F0D5F85F-5814-4DAA-BE57-89F034534F4A}"/>
    <cellStyle name="Migliaia 51 3 4 2 3" xfId="18046" xr:uid="{B3FAACBC-D301-4D03-91B8-6094C24090C8}"/>
    <cellStyle name="Migliaia 51 3 4 2 4" xfId="20892" xr:uid="{A9F91AB3-DCAA-4D61-A227-9464C5E08BA6}"/>
    <cellStyle name="Migliaia 51 3 4 2 5" xfId="32457" xr:uid="{B86287A1-A96A-48C8-87A9-C685566E5C8D}"/>
    <cellStyle name="Migliaia 51 3 4 2 6" xfId="16739" xr:uid="{D9E93EFD-E2C5-4FD4-A1A8-0B15B7D4BA34}"/>
    <cellStyle name="Migliaia 51 3 4 2 7" xfId="8892" xr:uid="{A3595935-2301-4528-BF91-993FC143F85E}"/>
    <cellStyle name="Migliaia 51 3 4 3" xfId="6752" xr:uid="{53D5B2D1-6A78-4314-A5DC-BE623023CB11}"/>
    <cellStyle name="Migliaia 51 3 4 3 2" xfId="35447" xr:uid="{2C873F54-9E66-482A-90B2-B66833DB3B10}"/>
    <cellStyle name="Migliaia 51 3 4 3 2 2" xfId="40607" xr:uid="{1B5BEAFE-E855-4507-A4CE-DA70E98D0D7F}"/>
    <cellStyle name="Migliaia 51 3 4 3 2 3" xfId="45909" xr:uid="{7F456736-133C-4648-BAAD-94803E170A81}"/>
    <cellStyle name="Migliaia 51 3 4 3 3" xfId="37956" xr:uid="{9B805263-5059-4695-8392-F83FDD15D95B}"/>
    <cellStyle name="Migliaia 51 3 4 3 4" xfId="43258" xr:uid="{0DDBB22E-9066-4D42-B960-CCCE0EF85B9B}"/>
    <cellStyle name="Migliaia 51 3 4 3 5" xfId="13717" xr:uid="{B8D8ECE5-894E-4091-BAA2-4BF1E3D9C940}"/>
    <cellStyle name="Migliaia 51 3 4 4" xfId="20891" xr:uid="{17C72E51-720D-4100-A989-772D1472D77C}"/>
    <cellStyle name="Migliaia 51 3 4 4 2" xfId="40059" xr:uid="{86E460EE-8E3D-499C-90DA-2283A03FCDD1}"/>
    <cellStyle name="Migliaia 51 3 4 4 3" xfId="45361" xr:uid="{4F73B98F-9B47-436A-80FA-E1A27649B8E7}"/>
    <cellStyle name="Migliaia 51 3 4 4 4" xfId="34446" xr:uid="{1C70B74F-C1E9-4CA9-A4CB-B98EC4866501}"/>
    <cellStyle name="Migliaia 51 3 4 5" xfId="37419" xr:uid="{E7B85C02-FF11-4474-8F39-814B5B2E6C1E}"/>
    <cellStyle name="Migliaia 51 3 4 6" xfId="42710" xr:uid="{8B6554D2-D404-45EB-827A-E5629DEE1417}"/>
    <cellStyle name="Migliaia 51 3 4 7" xfId="16738" xr:uid="{6D2861F1-9150-499F-9BB2-5723DB569E7D}"/>
    <cellStyle name="Migliaia 51 3 4 8" xfId="7702" xr:uid="{55222F6A-454B-4E36-AC8D-09260AA81642}"/>
    <cellStyle name="Migliaia 51 3 5" xfId="3849" xr:uid="{5ADA7F42-8A78-40BE-9AF7-D55388D481CE}"/>
    <cellStyle name="Migliaia 51 3 5 2" xfId="5575" xr:uid="{8E840EBA-D277-4909-9E47-C263F89822F2}"/>
    <cellStyle name="Migliaia 51 3 5 2 2" xfId="35448" xr:uid="{332A61DA-DEE0-46E3-B891-D08670C9BECE}"/>
    <cellStyle name="Migliaia 51 3 5 2 2 2" xfId="40608" xr:uid="{9C2A628E-B51C-44A0-89BC-6747A0877996}"/>
    <cellStyle name="Migliaia 51 3 5 2 2 3" xfId="45910" xr:uid="{686646C1-274B-44CE-A289-5BB6838A6CBF}"/>
    <cellStyle name="Migliaia 51 3 5 2 3" xfId="37957" xr:uid="{B9F42A48-97F2-4E36-87CB-1FE40C6ED432}"/>
    <cellStyle name="Migliaia 51 3 5 2 4" xfId="43259" xr:uid="{4065EE2D-7034-4438-9F08-C8045EFF23B9}"/>
    <cellStyle name="Migliaia 51 3 5 2 5" xfId="14319" xr:uid="{32D17BE1-DFE4-4E63-9D07-329DC420C1EF}"/>
    <cellStyle name="Migliaia 51 3 5 3" xfId="6753" xr:uid="{D1B0A480-40D4-46B1-B85D-4A6267E8401E}"/>
    <cellStyle name="Migliaia 51 3 5 3 2" xfId="40060" xr:uid="{3D27DEDF-EF41-49AD-8E4D-1AFD09EA1EE7}"/>
    <cellStyle name="Migliaia 51 3 5 3 3" xfId="45362" xr:uid="{37F70042-DF34-4EEC-89A6-DD1C2C6AC18A}"/>
    <cellStyle name="Migliaia 51 3 5 3 4" xfId="34447" xr:uid="{9CB4D862-8FE4-4CAF-8284-147B7887FCE3}"/>
    <cellStyle name="Migliaia 51 3 5 3 5" xfId="20893" xr:uid="{D44E1B07-1C0C-40CC-A6AD-19656488944C}"/>
    <cellStyle name="Migliaia 51 3 5 4" xfId="37420" xr:uid="{AD6CB6F0-81CE-41F4-ACB0-658075D97DB4}"/>
    <cellStyle name="Migliaia 51 3 5 5" xfId="42711" xr:uid="{CB216156-A5C3-4C7D-B031-B4EB39AE8A58}"/>
    <cellStyle name="Migliaia 51 3 5 6" xfId="16740" xr:uid="{43B103A6-8101-449E-A24D-DCDF11A5F2EA}"/>
    <cellStyle name="Migliaia 51 3 5 7" xfId="8381" xr:uid="{4B1A62C7-1498-4C4C-BBC9-00F570470006}"/>
    <cellStyle name="Migliaia 51 3 6" xfId="5570" xr:uid="{625C77C9-166B-497C-B063-E8F85BB936DC}"/>
    <cellStyle name="Migliaia 51 3 6 2" xfId="14024" xr:uid="{E81096C7-E17B-4C22-ACB8-283C27741704}"/>
    <cellStyle name="Migliaia 51 3 6 2 2" xfId="40061" xr:uid="{3ADC097F-D49F-4A2A-8158-5537DA3C192B}"/>
    <cellStyle name="Migliaia 51 3 6 2 3" xfId="45363" xr:uid="{38ACA782-8A97-42B1-A856-C0E681F00D9D}"/>
    <cellStyle name="Migliaia 51 3 6 3" xfId="18690" xr:uid="{68C06613-F26B-40B2-9275-96531CF461BD}"/>
    <cellStyle name="Migliaia 51 3 6 4" xfId="20894" xr:uid="{C2E2EA3E-AB1B-4C13-BAC7-89C9627B00E2}"/>
    <cellStyle name="Migliaia 51 3 6 4 2" xfId="42712" xr:uid="{5A6CAD93-B5DA-4690-BEE1-816C5BD58412}"/>
    <cellStyle name="Migliaia 51 3 6 5" xfId="16741" xr:uid="{1427EA86-6BE4-40D6-AA55-3EBFCA655BD5}"/>
    <cellStyle name="Migliaia 51 3 6 6" xfId="8008" xr:uid="{A8645A47-4767-4A59-9933-B1C8E83BD337}"/>
    <cellStyle name="Migliaia 51 3 7" xfId="6748" xr:uid="{393AFC89-CFB9-4C48-A486-C73E49E36684}"/>
    <cellStyle name="Migliaia 51 3 7 2" xfId="34448" xr:uid="{D1F0EE13-0DD6-444F-A898-13593E0F92B9}"/>
    <cellStyle name="Migliaia 51 3 7 2 2" xfId="40062" xr:uid="{B54A7294-BE4F-418C-862D-A039DE8D22C2}"/>
    <cellStyle name="Migliaia 51 3 7 2 3" xfId="45364" xr:uid="{F5AE59BD-A879-4975-9974-516F67887B80}"/>
    <cellStyle name="Migliaia 51 3 7 3" xfId="37421" xr:uid="{9D3B119E-8388-44C0-84A6-5F3E84737A44}"/>
    <cellStyle name="Migliaia 51 3 7 4" xfId="42713" xr:uid="{B1310912-1607-49B3-8470-D125C7033BB1}"/>
    <cellStyle name="Migliaia 51 3 7 5" xfId="11128" xr:uid="{CB04B241-FF8C-471B-91CB-52AF0A69CF6A}"/>
    <cellStyle name="Migliaia 51 3 8" xfId="3844" xr:uid="{1C60F52E-5FBF-4613-94A9-48448D399308}"/>
    <cellStyle name="Migliaia 51 3 8 2" xfId="34449" xr:uid="{CD1BCB7F-8DA7-4B9D-A73B-B8B4BCC5F37A}"/>
    <cellStyle name="Migliaia 51 3 8 2 2" xfId="40063" xr:uid="{6D8B5CF2-FF35-44E1-838E-345ACC3B8BE7}"/>
    <cellStyle name="Migliaia 51 3 8 2 3" xfId="45365" xr:uid="{4D9203A5-06D9-4999-9A09-A8324FEF2DBE}"/>
    <cellStyle name="Migliaia 51 3 8 3" xfId="37422" xr:uid="{15AFDBC7-DD08-42C4-ABC1-690A06AC296F}"/>
    <cellStyle name="Migliaia 51 3 8 4" xfId="42714" xr:uid="{14485DC0-32CA-4335-8B14-1E18C4AB6F81}"/>
    <cellStyle name="Migliaia 51 3 8 5" xfId="25268" xr:uid="{975B8F5C-7EAA-4D6D-8DDC-AEC69B412F9C}"/>
    <cellStyle name="Migliaia 51 3 8 6" xfId="17289" xr:uid="{D0964318-79F3-477E-84E8-0E6203B22C14}"/>
    <cellStyle name="Migliaia 51 3 9" xfId="20885" xr:uid="{92D0026A-58AB-4B80-A32A-0231F1703454}"/>
    <cellStyle name="Migliaia 51 4" xfId="1888" xr:uid="{00000000-0005-0000-0000-000063040000}"/>
    <cellStyle name="Migliaia 51 4 2" xfId="1889" xr:uid="{00000000-0005-0000-0000-000064040000}"/>
    <cellStyle name="Migliaia 51 4 2 2" xfId="5577" xr:uid="{75FA0004-DE90-407B-93B6-2F250AF634BD}"/>
    <cellStyle name="Migliaia 51 4 2 2 2" xfId="34450" xr:uid="{B8BDB6AD-F367-429C-BE99-54BD290F619C}"/>
    <cellStyle name="Migliaia 51 4 2 2 2 2" xfId="40064" xr:uid="{0B3E15DF-CCB0-453D-A563-D51C67D7245F}"/>
    <cellStyle name="Migliaia 51 4 2 2 2 3" xfId="45366" xr:uid="{F356C5FC-5FC1-4662-BDDC-9C136C3BF7A9}"/>
    <cellStyle name="Migliaia 51 4 2 2 3" xfId="37423" xr:uid="{B4746189-D759-45D4-824B-C27C5990C982}"/>
    <cellStyle name="Migliaia 51 4 2 2 4" xfId="42715" xr:uid="{8FC4D0F8-5B41-437F-96B8-7B10CF76B467}"/>
    <cellStyle name="Migliaia 51 4 2 2 5" xfId="9200" xr:uid="{115C23CA-3C5F-47A5-B159-3ACC7A9BFCDB}"/>
    <cellStyle name="Migliaia 51 4 2 3" xfId="3851" xr:uid="{8C651A77-98CE-488E-A6D9-8D4AF767DA35}"/>
    <cellStyle name="Migliaia 51 4 2 3 2" xfId="34451" xr:uid="{5635B184-E56D-4CA0-895D-DBB8F5E5F112}"/>
    <cellStyle name="Migliaia 51 4 2 3 2 2" xfId="40065" xr:uid="{D315C9BC-01F7-454F-9337-515FDD35E565}"/>
    <cellStyle name="Migliaia 51 4 2 3 2 3" xfId="45367" xr:uid="{18944AA0-CCBB-4049-8828-0265A0E58F60}"/>
    <cellStyle name="Migliaia 51 4 2 3 3" xfId="37424" xr:uid="{F01280DB-55AE-44F0-9E61-26073D75C68C}"/>
    <cellStyle name="Migliaia 51 4 2 3 4" xfId="42716" xr:uid="{1C2BA31E-50E7-469B-8E66-319525C29D04}"/>
    <cellStyle name="Migliaia 51 4 2 3 5" xfId="12073" xr:uid="{17E120F5-094C-4557-A12A-C18214B97E40}"/>
    <cellStyle name="Migliaia 51 4 2 4" xfId="11424" xr:uid="{12163FAA-EE00-40BC-9622-AAF588F2AC82}"/>
    <cellStyle name="Migliaia 51 4 2 5" xfId="10966" xr:uid="{D0032F20-B0DD-463F-A1C5-70A72536977F}"/>
    <cellStyle name="Migliaia 51 4 2 5 2" xfId="21601" xr:uid="{2A14B30D-2971-469E-819A-AA848A14E8FD}"/>
    <cellStyle name="Migliaia 51 4 2 5 3" xfId="46261" xr:uid="{3B5038CE-ECC3-408F-B443-036F5CA02075}"/>
    <cellStyle name="Migliaia 51 4 2 5 4" xfId="50616" xr:uid="{A0528E47-4775-454A-9CCB-6B3C89781E03}"/>
    <cellStyle name="Migliaia 51 4 2 5 5" xfId="53632" xr:uid="{9AD12CCB-F4FA-4A9D-88A7-99FFD49E30B5}"/>
    <cellStyle name="Migliaia 51 4 2 6" xfId="20896" xr:uid="{3A07A07D-330C-4E95-8FB3-843EED434E74}"/>
    <cellStyle name="Migliaia 51 4 2 7" xfId="25270" xr:uid="{39DBA420-2028-4330-8949-DAA2B02867FE}"/>
    <cellStyle name="Migliaia 51 4 2 8" xfId="8760" xr:uid="{15C170DE-2F8F-4649-BC6B-A3AB6E14F272}"/>
    <cellStyle name="Migliaia 51 4 3" xfId="5576" xr:uid="{AC0D6A30-F049-43FB-8C5C-60674D8A342A}"/>
    <cellStyle name="Migliaia 51 4 3 2" xfId="18255" xr:uid="{5E8E0270-9DB0-460C-B895-0FE105B92A42}"/>
    <cellStyle name="Migliaia 51 4 3 2 2" xfId="40066" xr:uid="{DC3A2861-FA35-475B-BCDE-613305061311}"/>
    <cellStyle name="Migliaia 51 4 3 2 3" xfId="45368" xr:uid="{FB98ED08-6512-4DEC-8299-CDEDE76ECE03}"/>
    <cellStyle name="Migliaia 51 4 3 3" xfId="37425" xr:uid="{835F1C73-13EF-464B-B2B8-AC28F07FB4DF}"/>
    <cellStyle name="Migliaia 51 4 3 4" xfId="42717" xr:uid="{3906885B-674B-4E1C-BCA0-09B90CFCEDB4}"/>
    <cellStyle name="Migliaia 51 4 3 5" xfId="17287" xr:uid="{51B83CF4-6C4B-44B7-9181-C7F6405C3216}"/>
    <cellStyle name="Migliaia 51 4 3 6" xfId="9201" xr:uid="{FB431797-EDC1-4B86-92CA-41EBAE6EC05E}"/>
    <cellStyle name="Migliaia 51 4 4" xfId="6754" xr:uid="{8627033C-CEA5-4BE9-8875-4B6C1A37899A}"/>
    <cellStyle name="Migliaia 51 4 4 2" xfId="34452" xr:uid="{1461472C-A835-49FB-9D9F-7458888E96A9}"/>
    <cellStyle name="Migliaia 51 4 4 2 2" xfId="40067" xr:uid="{9220C2AC-A756-4721-AA30-3E7F466EAF86}"/>
    <cellStyle name="Migliaia 51 4 4 2 3" xfId="45369" xr:uid="{18EA6514-5159-45AD-892D-56E7D243B076}"/>
    <cellStyle name="Migliaia 51 4 4 3" xfId="37426" xr:uid="{CA5CE187-BA68-4935-B207-5F5C2246AE8F}"/>
    <cellStyle name="Migliaia 51 4 4 4" xfId="42718" xr:uid="{2F3C1089-2551-4D7B-9732-65C0B3875245}"/>
    <cellStyle name="Migliaia 51 4 4 5" xfId="12074" xr:uid="{7B81C56B-1710-4454-BCE5-FFCC196B1EEB}"/>
    <cellStyle name="Migliaia 51 4 5" xfId="3850" xr:uid="{F8755A77-E664-4A3A-91F3-384017DD3BBA}"/>
    <cellStyle name="Migliaia 51 4 5 2" xfId="34453" xr:uid="{BD49CE2A-E4F1-4D64-AB11-6B7F762C6C67}"/>
    <cellStyle name="Migliaia 51 4 5 2 2" xfId="40068" xr:uid="{3295057F-1103-4F97-A54C-3616155E8586}"/>
    <cellStyle name="Migliaia 51 4 5 2 3" xfId="45370" xr:uid="{FA8EE575-1876-4684-9DA5-2A9953F89C31}"/>
    <cellStyle name="Migliaia 51 4 5 3" xfId="37427" xr:uid="{6944435E-A98A-4101-BDE6-438F21292A5A}"/>
    <cellStyle name="Migliaia 51 4 5 4" xfId="42719" xr:uid="{E6ABB800-ADD4-4C1F-AD48-B68211DF89B4}"/>
    <cellStyle name="Migliaia 51 4 5 5" xfId="11423" xr:uid="{146CD7D9-D4AD-4EAE-8461-43FED7F4A71E}"/>
    <cellStyle name="Migliaia 51 4 6" xfId="10965" xr:uid="{BDA2B445-5E3A-4A93-8D34-E027A38DEBBC}"/>
    <cellStyle name="Migliaia 51 4 6 2" xfId="21600" xr:uid="{A583FBCC-2079-4C75-B8B2-4AEAA9BA8198}"/>
    <cellStyle name="Migliaia 51 4 6 2 2" xfId="40069" xr:uid="{37309D4F-589F-40D3-8336-612D8C8DCABB}"/>
    <cellStyle name="Migliaia 51 4 6 2 3" xfId="45371" xr:uid="{A7EE51B7-AAE4-4C65-8133-1301C1D311F3}"/>
    <cellStyle name="Migliaia 51 4 6 2 4" xfId="34454" xr:uid="{CB61338F-8D8F-4A7F-A9E6-36F1E419A793}"/>
    <cellStyle name="Migliaia 51 4 6 3" xfId="37428" xr:uid="{56CBA54C-894D-493C-BDD9-EC63D34BD5AC}"/>
    <cellStyle name="Migliaia 51 4 6 4" xfId="42720" xr:uid="{BBECB8EF-D25F-4099-8673-0D81272181C4}"/>
    <cellStyle name="Migliaia 51 4 6 5" xfId="25271" xr:uid="{7B5513FC-E8E5-4A26-9298-365CC5F22DEE}"/>
    <cellStyle name="Migliaia 51 4 6 6" xfId="23992" xr:uid="{76FF9638-25B9-4B4D-A77F-A556F83180C2}"/>
    <cellStyle name="Migliaia 51 4 6 7" xfId="50615" xr:uid="{D864E286-94F6-4BCE-AA43-7AB87D6B9F30}"/>
    <cellStyle name="Migliaia 51 4 6 8" xfId="53631" xr:uid="{27FE056F-CAB2-49F6-B331-4CAB1E73D360}"/>
    <cellStyle name="Migliaia 51 4 7" xfId="20895" xr:uid="{BB66D15A-2065-472A-9FB7-7B0B006CF08E}"/>
    <cellStyle name="Migliaia 51 4 7 2" xfId="34455" xr:uid="{AD9BFAF1-D590-4902-B092-6F8D66197D5E}"/>
    <cellStyle name="Migliaia 51 4 7 2 2" xfId="40070" xr:uid="{2408A1D4-F658-412C-917F-8181DC58C39A}"/>
    <cellStyle name="Migliaia 51 4 7 2 3" xfId="45372" xr:uid="{B960DD17-D2D8-4592-8CCF-40278948E7C0}"/>
    <cellStyle name="Migliaia 51 4 7 3" xfId="37429" xr:uid="{04C7728D-488B-468D-82E6-B456E7C229D3}"/>
    <cellStyle name="Migliaia 51 4 7 4" xfId="42721" xr:uid="{AC204B21-3BF4-49E9-8485-04B16B489C01}"/>
    <cellStyle name="Migliaia 51 4 7 5" xfId="25272" xr:uid="{A63762C1-E0FD-49AF-BEC2-AFD6E6CC0304}"/>
    <cellStyle name="Migliaia 51 4 8" xfId="25269" xr:uid="{D23B320B-0316-4F7A-A956-D77460EDF12B}"/>
    <cellStyle name="Migliaia 51 4 9" xfId="7570" xr:uid="{447B5022-8019-409A-99C4-088164EF8368}"/>
    <cellStyle name="Migliaia 51 5" xfId="1890" xr:uid="{00000000-0005-0000-0000-000065040000}"/>
    <cellStyle name="Migliaia 51 5 2" xfId="5578" xr:uid="{1EAF9CB0-5795-4A4C-AD74-6A03A80E7E52}"/>
    <cellStyle name="Migliaia 51 5 2 2" xfId="18502" xr:uid="{AF1BF1C5-A10E-44DD-9DBC-65519C55E9F0}"/>
    <cellStyle name="Migliaia 51 5 2 2 2" xfId="40071" xr:uid="{27FB7BBD-549D-42BA-98AD-12D503C036D1}"/>
    <cellStyle name="Migliaia 51 5 2 2 3" xfId="45373" xr:uid="{C0BBD35B-EA73-4401-AF0D-E034EE4289B6}"/>
    <cellStyle name="Migliaia 51 5 2 3" xfId="20898" xr:uid="{EE905997-9338-45B5-A672-1C79F837666D}"/>
    <cellStyle name="Migliaia 51 5 2 3 2" xfId="37430" xr:uid="{6A88741F-7009-4E9C-BE84-EE5C431344E9}"/>
    <cellStyle name="Migliaia 51 5 2 4" xfId="42722" xr:uid="{DE6980F6-6205-42A3-854B-C1B3DB43E021}"/>
    <cellStyle name="Migliaia 51 5 2 5" xfId="16742" xr:uid="{38C9ABBD-69F8-48E6-BDAB-A98797A333CF}"/>
    <cellStyle name="Migliaia 51 5 2 6" xfId="8761" xr:uid="{CE1345BA-5E1F-4BFA-980A-6852A741C8E8}"/>
    <cellStyle name="Migliaia 51 5 3" xfId="6755" xr:uid="{4F366AE7-23DC-4EC1-A0B8-35CBDDF39021}"/>
    <cellStyle name="Migliaia 51 5 3 2" xfId="34456" xr:uid="{96A89A2C-9DD5-438C-86FE-41422063ED37}"/>
    <cellStyle name="Migliaia 51 5 3 2 2" xfId="40072" xr:uid="{91A6618C-6CFB-42F2-8F51-064A31D6406C}"/>
    <cellStyle name="Migliaia 51 5 3 2 3" xfId="45374" xr:uid="{509F17CF-2FD6-4D35-BE19-D12CCF34851A}"/>
    <cellStyle name="Migliaia 51 5 3 3" xfId="37431" xr:uid="{4AFD9C1F-C422-4D45-85B6-1EA5753109C4}"/>
    <cellStyle name="Migliaia 51 5 3 4" xfId="42723" xr:uid="{84DC89C2-9C9F-427E-AB8A-6003C4814ADE}"/>
    <cellStyle name="Migliaia 51 5 3 5" xfId="11425" xr:uid="{26F70FDD-DE7E-490E-B53D-ECEE89891C85}"/>
    <cellStyle name="Migliaia 51 5 4" xfId="3852" xr:uid="{F3CED710-64AB-43B8-AB4E-32D7E1BE0406}"/>
    <cellStyle name="Migliaia 51 5 4 2" xfId="21602" xr:uid="{435F0E4D-A72F-4343-B4A7-60CA68E40C01}"/>
    <cellStyle name="Migliaia 51 5 4 2 2" xfId="40073" xr:uid="{45FC7206-41B6-45D3-8A04-E3DDC90BDB0C}"/>
    <cellStyle name="Migliaia 51 5 4 2 3" xfId="45375" xr:uid="{894916C3-424C-4E11-9288-183A26173FED}"/>
    <cellStyle name="Migliaia 51 5 4 2 4" xfId="34457" xr:uid="{0B20D239-B686-417E-9031-E210A5041545}"/>
    <cellStyle name="Migliaia 51 5 4 3" xfId="37432" xr:uid="{765EFE4B-9E90-47C3-B428-783D145C2120}"/>
    <cellStyle name="Migliaia 51 5 4 4" xfId="42724" xr:uid="{5B7799AD-1042-4D02-AED2-B0234E4F966A}"/>
    <cellStyle name="Migliaia 51 5 4 5" xfId="25274" xr:uid="{3C52EA0E-5B2F-4372-8734-262FDB20584E}"/>
    <cellStyle name="Migliaia 51 5 4 6" xfId="34314" xr:uid="{EEDEFE40-1148-4612-8F57-7ED97F474E9D}"/>
    <cellStyle name="Migliaia 51 5 4 7" xfId="50617" xr:uid="{A4782DA7-B60C-4641-8B51-B51D6ACBE882}"/>
    <cellStyle name="Migliaia 51 5 4 8" xfId="53633" xr:uid="{49A5FD92-33E5-4506-9A1E-0DE3DB391C66}"/>
    <cellStyle name="Migliaia 51 5 4 9" xfId="10967" xr:uid="{B6B68598-9E36-449A-8DFC-BF458DF52D63}"/>
    <cellStyle name="Migliaia 51 5 5" xfId="20897" xr:uid="{0D725F8B-3C83-4A95-8548-C57B40F7910C}"/>
    <cellStyle name="Migliaia 51 5 5 2" xfId="34458" xr:uid="{75068530-2C74-45FD-BD90-472A56656A37}"/>
    <cellStyle name="Migliaia 51 5 5 2 2" xfId="40074" xr:uid="{A5753DB2-FBC8-4B70-B311-87FE2DD02F02}"/>
    <cellStyle name="Migliaia 51 5 5 2 3" xfId="45376" xr:uid="{D0B9DA37-399D-4B98-9B23-33AAE46A620F}"/>
    <cellStyle name="Migliaia 51 5 5 3" xfId="37433" xr:uid="{C480CE0D-3CBD-46A9-BD02-E9EE41E268E4}"/>
    <cellStyle name="Migliaia 51 5 5 4" xfId="42725" xr:uid="{61A9CB4C-5F53-4CBD-B61D-C6A11A735EC0}"/>
    <cellStyle name="Migliaia 51 5 5 5" xfId="25275" xr:uid="{CBA37AB2-8529-4D7A-BBC4-B051B28BC462}"/>
    <cellStyle name="Migliaia 51 5 6" xfId="25276" xr:uid="{972A74D9-6197-47C8-BE9A-604416B56509}"/>
    <cellStyle name="Migliaia 51 5 6 2" xfId="34459" xr:uid="{DE692C07-42F5-4A58-B8CB-ABB68A8B810F}"/>
    <cellStyle name="Migliaia 51 5 6 2 2" xfId="40075" xr:uid="{DEF83C61-458C-4B77-8026-56C019D1DD05}"/>
    <cellStyle name="Migliaia 51 5 6 2 3" xfId="45377" xr:uid="{E048E1AF-1ACD-4B75-8E77-E9455E21282A}"/>
    <cellStyle name="Migliaia 51 5 6 3" xfId="37434" xr:uid="{DB93C7D6-5F5C-42F1-B33B-18D8B2DDF919}"/>
    <cellStyle name="Migliaia 51 5 6 4" xfId="42726" xr:uid="{FFB6F940-A6B1-4DD3-8D74-20F1B37D9748}"/>
    <cellStyle name="Migliaia 51 5 7" xfId="25273" xr:uid="{93A2C678-6D40-49DC-81C1-051E7BFA7DAA}"/>
    <cellStyle name="Migliaia 51 5 8" xfId="7571" xr:uid="{DC48D016-8AC3-40DE-86CA-D978441A6F3F}"/>
    <cellStyle name="Migliaia 51 6" xfId="3853" xr:uid="{1E301903-4C53-4992-902D-1F017D8456EA}"/>
    <cellStyle name="Migliaia 51 6 2" xfId="5579" xr:uid="{DBD49CC6-48A0-43EA-9527-003717943D06}"/>
    <cellStyle name="Migliaia 51 6 2 2" xfId="9973" xr:uid="{A668CB6B-AD53-43C8-A02E-BB53BCC83127}"/>
    <cellStyle name="Migliaia 51 6 2 3" xfId="18634" xr:uid="{6552C497-8975-441E-88B4-EBFBE3DF0EE3}"/>
    <cellStyle name="Migliaia 51 6 2 4" xfId="20900" xr:uid="{445F8FCC-98E2-4291-8CC8-8B0AB4E27033}"/>
    <cellStyle name="Migliaia 51 6 2 5" xfId="32458" xr:uid="{A3CB650B-1227-4936-9D6C-037EA749FA7E}"/>
    <cellStyle name="Migliaia 51 6 2 6" xfId="16744" xr:uid="{70296184-38B1-4340-99A3-F47CF39BDC85}"/>
    <cellStyle name="Migliaia 51 6 2 7" xfId="8756" xr:uid="{62D9F80B-5182-4B44-8D45-2439700B8864}"/>
    <cellStyle name="Migliaia 51 6 3" xfId="6756" xr:uid="{C5903F44-3F9D-4364-BA79-928A1B73295E}"/>
    <cellStyle name="Migliaia 51 6 3 2" xfId="35449" xr:uid="{3DAFF199-5E40-43B7-AD99-279D31AAD946}"/>
    <cellStyle name="Migliaia 51 6 3 2 2" xfId="40609" xr:uid="{72014B06-7D89-4ECA-BA01-DD740AF99F04}"/>
    <cellStyle name="Migliaia 51 6 3 2 3" xfId="45911" xr:uid="{4CD8D439-B14F-457E-852E-3DBEC526EF06}"/>
    <cellStyle name="Migliaia 51 6 3 3" xfId="37958" xr:uid="{4A44B2E4-1B69-48EE-809B-6CC633846791}"/>
    <cellStyle name="Migliaia 51 6 3 4" xfId="43260" xr:uid="{6B9FD06C-3103-41D3-807C-DDA34D324E63}"/>
    <cellStyle name="Migliaia 51 6 3 5" xfId="9736" xr:uid="{97E2CB9A-108B-4A21-823B-392E69943B4E}"/>
    <cellStyle name="Migliaia 51 6 4" xfId="20899" xr:uid="{79C60B0D-F6DB-431D-B0C3-2625CDB5A185}"/>
    <cellStyle name="Migliaia 51 6 4 2" xfId="40076" xr:uid="{AE29A181-CF47-4F1D-9FF9-878F7483324D}"/>
    <cellStyle name="Migliaia 51 6 4 3" xfId="45378" xr:uid="{4BAF136A-AC08-4C8E-BD93-6546803A4E5D}"/>
    <cellStyle name="Migliaia 51 6 4 4" xfId="34460" xr:uid="{4C8CE7FC-219A-4DD7-B650-ADF50E455EA4}"/>
    <cellStyle name="Migliaia 51 6 5" xfId="37435" xr:uid="{0E1CF819-93DD-44BC-9CEF-FF59024F3752}"/>
    <cellStyle name="Migliaia 51 6 6" xfId="42727" xr:uid="{E4CC239F-01D3-4456-B4EB-41F2DB695E50}"/>
    <cellStyle name="Migliaia 51 6 7" xfId="16743" xr:uid="{3E7707AA-8923-4493-93DE-6AD3966E9E13}"/>
    <cellStyle name="Migliaia 51 6 8" xfId="7566" xr:uid="{44F9C4C3-80E0-4990-BC67-F12F2AE0ABF8}"/>
    <cellStyle name="Migliaia 51 7" xfId="3854" xr:uid="{520D5A07-1EFC-479D-A533-1AC2ED4B7D25}"/>
    <cellStyle name="Migliaia 51 7 2" xfId="5580" xr:uid="{C4D596D4-D510-4FD7-814C-BA6103B678ED}"/>
    <cellStyle name="Migliaia 51 7 2 2" xfId="35450" xr:uid="{CE50D21F-62E4-47B2-A7D0-A3AEEB81A99D}"/>
    <cellStyle name="Migliaia 51 7 2 2 2" xfId="40610" xr:uid="{CFEB15EF-DAE1-4D9F-B532-7232826BAE8C}"/>
    <cellStyle name="Migliaia 51 7 2 2 3" xfId="45912" xr:uid="{6CE6D76C-43A7-4303-9161-3B6E32845B71}"/>
    <cellStyle name="Migliaia 51 7 2 3" xfId="37959" xr:uid="{E3378A33-5101-4718-B058-ED1ADCD73A37}"/>
    <cellStyle name="Migliaia 51 7 2 4" xfId="43261" xr:uid="{EFFCA04E-BC73-44C8-BD16-26ABF55A975E}"/>
    <cellStyle name="Migliaia 51 7 2 5" xfId="14317" xr:uid="{59590874-3B62-4609-89FC-7A15B5C15AEF}"/>
    <cellStyle name="Migliaia 51 7 3" xfId="6757" xr:uid="{7B4EE3F6-4C65-4210-8D52-D1EB6F83B1CC}"/>
    <cellStyle name="Migliaia 51 7 3 2" xfId="40077" xr:uid="{298F0AEE-763F-4F70-B816-96DB48B35173}"/>
    <cellStyle name="Migliaia 51 7 3 3" xfId="45379" xr:uid="{A86EABF6-AFAD-4068-BD74-10377AC77296}"/>
    <cellStyle name="Migliaia 51 7 3 4" xfId="34461" xr:uid="{E6F60063-F98F-4A23-BF27-1FD9A2A15F32}"/>
    <cellStyle name="Migliaia 51 7 3 5" xfId="20901" xr:uid="{B376339B-FC0D-4D0F-A3F6-6A2C186AD59B}"/>
    <cellStyle name="Migliaia 51 7 4" xfId="37436" xr:uid="{896F5C82-F841-43ED-BEE0-3E44AAA931B5}"/>
    <cellStyle name="Migliaia 51 7 5" xfId="42728" xr:uid="{A817FFFD-54D0-4857-9C2E-CFA659E7A115}"/>
    <cellStyle name="Migliaia 51 7 6" xfId="16745" xr:uid="{39699297-716A-4DA1-A78F-0B5A2D4E415C}"/>
    <cellStyle name="Migliaia 51 7 7" xfId="8379" xr:uid="{FFF12317-D66F-4A0E-ABE0-3FAFE01217D6}"/>
    <cellStyle name="Migliaia 51 8" xfId="3855" xr:uid="{C31A8808-7EAB-4B89-9D5F-2BF47CE2C33E}"/>
    <cellStyle name="Migliaia 51 8 2" xfId="5581" xr:uid="{9381D578-0D5D-4059-9F47-B5136990127D}"/>
    <cellStyle name="Migliaia 51 8 2 2" xfId="35451" xr:uid="{ECA07493-038C-4694-B788-E3F2C05F32D1}"/>
    <cellStyle name="Migliaia 51 8 2 2 2" xfId="40611" xr:uid="{60CFB20D-FA29-4086-8E46-C2B7D342D671}"/>
    <cellStyle name="Migliaia 51 8 2 2 3" xfId="45913" xr:uid="{B4598F00-DB1B-4564-9B0D-5C675066BD0B}"/>
    <cellStyle name="Migliaia 51 8 2 3" xfId="37960" xr:uid="{09AE2394-9E09-470D-87EB-16F731B38D3E}"/>
    <cellStyle name="Migliaia 51 8 2 4" xfId="43262" xr:uid="{9C7EC12E-6E80-4D2B-9055-6692B2B93283}"/>
    <cellStyle name="Migliaia 51 8 2 5" xfId="14022" xr:uid="{E6E5BE84-2AFF-422B-81E2-EF699E9A534A}"/>
    <cellStyle name="Migliaia 51 8 3" xfId="6758" xr:uid="{0BBBB5C8-EE7A-4F1F-B5D7-39DD60FB227B}"/>
    <cellStyle name="Migliaia 51 8 3 2" xfId="40078" xr:uid="{B976829B-048D-4452-A04A-D7D0D726345E}"/>
    <cellStyle name="Migliaia 51 8 3 3" xfId="45380" xr:uid="{690EF684-151D-4240-8970-62789606D30D}"/>
    <cellStyle name="Migliaia 51 8 3 4" xfId="34462" xr:uid="{45BD5A13-B984-4BF0-B9ED-560E27648103}"/>
    <cellStyle name="Migliaia 51 8 3 5" xfId="20902" xr:uid="{B547F4BD-00DD-4B86-B02F-FBE6C9B5096E}"/>
    <cellStyle name="Migliaia 51 8 4" xfId="37437" xr:uid="{712719B4-2D76-4192-9A72-B505BA1FFA65}"/>
    <cellStyle name="Migliaia 51 8 5" xfId="42729" xr:uid="{333A5DDA-E53D-433A-96E6-3F60E37BFD42}"/>
    <cellStyle name="Migliaia 51 8 6" xfId="16746" xr:uid="{9593E764-AE0B-4045-8D77-62904582825D}"/>
    <cellStyle name="Migliaia 51 8 7" xfId="8006" xr:uid="{915AD889-95F9-438E-84B1-0D75F8098DD0}"/>
    <cellStyle name="Migliaia 51 9" xfId="5566" xr:uid="{AF09C562-BEDB-48C3-9A46-E255101142D0}"/>
    <cellStyle name="Migliaia 51 9 2" xfId="34463" xr:uid="{1EB28A87-226C-4AC5-937B-0C32E6938BDD}"/>
    <cellStyle name="Migliaia 51 9 2 2" xfId="40079" xr:uid="{3F8C161B-17A3-458E-9A30-EDD83324BB79}"/>
    <cellStyle name="Migliaia 51 9 2 3" xfId="45381" xr:uid="{A9B1F215-F24D-413B-805F-5E2B4F64C649}"/>
    <cellStyle name="Migliaia 51 9 3" xfId="37438" xr:uid="{CC3A0B9B-7A63-490B-9F4C-0C81344731A4}"/>
    <cellStyle name="Migliaia 51 9 4" xfId="42730" xr:uid="{40725B83-BF1F-4590-B669-D8B21C007494}"/>
    <cellStyle name="Migliaia 51 9 5" xfId="17227" xr:uid="{DF85ABE7-65EB-42DE-9959-5449372F97F5}"/>
    <cellStyle name="Migliaia 52" xfId="489" xr:uid="{00000000-0005-0000-0000-000066040000}"/>
    <cellStyle name="Migliaia 52 10" xfId="6759" xr:uid="{4F8F202B-9165-4708-81AA-0BA46E17474D}"/>
    <cellStyle name="Migliaia 52 10 2" xfId="40080" xr:uid="{DD4B7682-D5EC-43B2-B129-69B03C9B9109}"/>
    <cellStyle name="Migliaia 52 10 3" xfId="45382" xr:uid="{49395E3C-8600-4E25-8926-E497233A6ADD}"/>
    <cellStyle name="Migliaia 52 10 4" xfId="34464" xr:uid="{92E02E5B-FB72-4A4E-83BD-6A7DC539F6BB}"/>
    <cellStyle name="Migliaia 52 10 5" xfId="20903" xr:uid="{2792D51C-877F-4E42-A2DD-C945C098A090}"/>
    <cellStyle name="Migliaia 52 11" xfId="3856" xr:uid="{4A3D0EA7-7816-471C-8713-4FB2392E468B}"/>
    <cellStyle name="Migliaia 52 11 2" xfId="37439" xr:uid="{08BAFBFF-2833-4033-8A75-8730DB7DBF57}"/>
    <cellStyle name="Migliaia 52 12" xfId="42731" xr:uid="{E83667D6-595A-4736-96ED-3ED690F61147}"/>
    <cellStyle name="Migliaia 52 13" xfId="7183" xr:uid="{59C19A5D-07D0-4A08-8742-EA95DBDD92AA}"/>
    <cellStyle name="Migliaia 52 2" xfId="490" xr:uid="{00000000-0005-0000-0000-000067040000}"/>
    <cellStyle name="Migliaia 52 2 2" xfId="1891" xr:uid="{00000000-0005-0000-0000-000068040000}"/>
    <cellStyle name="Migliaia 52 2 2 2" xfId="5584" xr:uid="{496893FF-52B0-4DD3-AF8D-FA52BCEF7B15}"/>
    <cellStyle name="Migliaia 52 2 2 2 2" xfId="14410" xr:uid="{FE482378-F50A-462A-A176-3DEC1AA9ABAB}"/>
    <cellStyle name="Migliaia 52 2 2 2 2 2" xfId="40081" xr:uid="{48BDEB37-2C0D-4A1A-BC7B-FDE68D801F1B}"/>
    <cellStyle name="Migliaia 52 2 2 2 2 3" xfId="45383" xr:uid="{4D084817-4C36-4F57-94C3-3CAAE92A99E5}"/>
    <cellStyle name="Migliaia 52 2 2 2 3" xfId="18503" xr:uid="{63555CFA-3387-40A0-8686-F65E2762107E}"/>
    <cellStyle name="Migliaia 52 2 2 2 4" xfId="20906" xr:uid="{FDE724FE-B3A7-40F3-979C-847EF4C38E09}"/>
    <cellStyle name="Migliaia 52 2 2 2 4 2" xfId="42732" xr:uid="{7B24CB9A-35A9-4C17-AF95-35601A473A39}"/>
    <cellStyle name="Migliaia 52 2 2 2 5" xfId="16747" xr:uid="{8825A2E2-EE96-41A9-BB9F-D977FFB8AE63}"/>
    <cellStyle name="Migliaia 52 2 2 2 6" xfId="8763" xr:uid="{1906F9EC-D617-4D60-9AC0-880F0F9E3FFA}"/>
    <cellStyle name="Migliaia 52 2 2 3" xfId="6761" xr:uid="{357F043A-58EB-4BD6-A784-71A66B55E9A5}"/>
    <cellStyle name="Migliaia 52 2 2 3 2" xfId="35452" xr:uid="{705485B1-24A4-4847-B4C4-8B60B4B97C19}"/>
    <cellStyle name="Migliaia 52 2 2 3 2 2" xfId="40612" xr:uid="{0B0DE430-4AD5-4754-9C49-1C6337185B5B}"/>
    <cellStyle name="Migliaia 52 2 2 3 2 3" xfId="45914" xr:uid="{F913362D-A837-4862-8537-D315CEA012CA}"/>
    <cellStyle name="Migliaia 52 2 2 3 3" xfId="37961" xr:uid="{D6832986-719F-4C69-AD3F-3B6FC9FC7A59}"/>
    <cellStyle name="Migliaia 52 2 2 3 4" xfId="43263" xr:uid="{91E9CE30-D1D6-4A38-8C82-CE05A95D40A4}"/>
    <cellStyle name="Migliaia 52 2 2 3 5" xfId="11637" xr:uid="{D0249C56-2494-4849-A255-066B30027D4E}"/>
    <cellStyle name="Migliaia 52 2 2 4" xfId="3858" xr:uid="{0A121CDE-6712-404B-A7CF-7CD3DC628249}"/>
    <cellStyle name="Migliaia 52 2 2 4 2" xfId="21603" xr:uid="{28BD8EF6-EC68-4670-B951-91FE368BC019}"/>
    <cellStyle name="Migliaia 52 2 2 4 3" xfId="47219" xr:uid="{4B85C1C2-D076-4F98-B8AA-3D0E850D57FF}"/>
    <cellStyle name="Migliaia 52 2 2 4 4" xfId="50618" xr:uid="{CC11CA3F-59D2-4C66-8CC4-B9DDFCED5819}"/>
    <cellStyle name="Migliaia 52 2 2 4 5" xfId="53634" xr:uid="{408C3D6D-D17F-4895-BF6B-CCED69286145}"/>
    <cellStyle name="Migliaia 52 2 2 4 6" xfId="10968" xr:uid="{A648E520-B959-4852-B32C-75BB76FAD26F}"/>
    <cellStyle name="Migliaia 52 2 2 5" xfId="20905" xr:uid="{365AA7A5-6CDD-407B-810E-0C730FD80191}"/>
    <cellStyle name="Migliaia 52 2 2 6" xfId="25278" xr:uid="{A8BBED11-1B5E-48EC-91EB-0E6F5A9AC12B}"/>
    <cellStyle name="Migliaia 52 2 2 7" xfId="7573" xr:uid="{382E9D5C-1040-4275-A6D7-780DAA9A9A7A}"/>
    <cellStyle name="Migliaia 52 2 3" xfId="3859" xr:uid="{9E30C25D-FD46-45E8-BE3C-727C55A3E0DC}"/>
    <cellStyle name="Migliaia 52 2 3 2" xfId="5585" xr:uid="{FFA8988A-63A5-480D-A2AB-5CDAED2487C8}"/>
    <cellStyle name="Migliaia 52 2 3 2 2" xfId="35453" xr:uid="{DF793D2A-B3AB-43F9-8EEE-C63D85CCC5BF}"/>
    <cellStyle name="Migliaia 52 2 3 2 2 2" xfId="40613" xr:uid="{BA6C526A-79BF-4A62-B9E1-EE62E0457902}"/>
    <cellStyle name="Migliaia 52 2 3 2 2 3" xfId="45915" xr:uid="{DE3071DB-9917-4D5B-AF9E-D3C945086836}"/>
    <cellStyle name="Migliaia 52 2 3 2 3" xfId="37962" xr:uid="{2983DC93-9363-452B-91BC-B4C68DE93741}"/>
    <cellStyle name="Migliaia 52 2 3 2 4" xfId="43264" xr:uid="{76BDD764-29BA-4664-9590-EB513C092D55}"/>
    <cellStyle name="Migliaia 52 2 3 2 5" xfId="14321" xr:uid="{5B323E89-4B1E-43D9-8B9E-2E0FC824B552}"/>
    <cellStyle name="Migliaia 52 2 3 3" xfId="6762" xr:uid="{29C53278-71B7-4716-8049-33E239F57BCC}"/>
    <cellStyle name="Migliaia 52 2 3 3 2" xfId="40082" xr:uid="{C1150ADD-F4E8-45DB-B44F-5042B40A9D8D}"/>
    <cellStyle name="Migliaia 52 2 3 3 3" xfId="45384" xr:uid="{1E8901B6-9EEB-49B4-9633-38E8BD1E6B9D}"/>
    <cellStyle name="Migliaia 52 2 3 3 4" xfId="34465" xr:uid="{77FBCE07-54F1-4500-BEDE-B05F4671E553}"/>
    <cellStyle name="Migliaia 52 2 3 3 5" xfId="20907" xr:uid="{3CD2E9FF-3388-47BF-A641-F96BD54030F4}"/>
    <cellStyle name="Migliaia 52 2 3 4" xfId="37440" xr:uid="{AC5C2EA6-832E-475C-85CE-B24B996AB1DD}"/>
    <cellStyle name="Migliaia 52 2 3 5" xfId="42733" xr:uid="{B3281B5A-E62F-443C-8BE7-CD6C05B3181C}"/>
    <cellStyle name="Migliaia 52 2 3 6" xfId="16748" xr:uid="{CD503C6B-D61E-42E1-A939-EDF7C3060738}"/>
    <cellStyle name="Migliaia 52 2 3 7" xfId="8383" xr:uid="{5BACCCB6-7B5D-413E-8D4F-10CEEF56A924}"/>
    <cellStyle name="Migliaia 52 2 4" xfId="5583" xr:uid="{9C7978A9-07A9-4F15-BEC7-964F570630A6}"/>
    <cellStyle name="Migliaia 52 2 4 2" xfId="14026" xr:uid="{9999147E-136E-416B-9F89-C47D5F10001B}"/>
    <cellStyle name="Migliaia 52 2 4 2 2" xfId="40083" xr:uid="{AE2A443A-4499-461D-856C-2C43EEAD3E42}"/>
    <cellStyle name="Migliaia 52 2 4 2 3" xfId="45385" xr:uid="{D8BF0D52-DA60-4B4A-9069-CFFC432376C5}"/>
    <cellStyle name="Migliaia 52 2 4 3" xfId="18689" xr:uid="{D617FBD9-8725-4635-9FA4-3966C5A8858A}"/>
    <cellStyle name="Migliaia 52 2 4 4" xfId="20908" xr:uid="{05BA3906-79F6-4A6E-8804-B0912875805F}"/>
    <cellStyle name="Migliaia 52 2 4 4 2" xfId="42734" xr:uid="{630EFC42-17B1-4541-9E63-46DFC7207FF0}"/>
    <cellStyle name="Migliaia 52 2 4 5" xfId="16749" xr:uid="{6C0E7CAD-B5A6-4DB8-BE97-0F0A588CB9D0}"/>
    <cellStyle name="Migliaia 52 2 4 6" xfId="8011" xr:uid="{61DD02FB-B8A3-4C4B-99CE-C1A5D33E3AB7}"/>
    <cellStyle name="Migliaia 52 2 5" xfId="6760" xr:uid="{34F150B4-839B-47A1-A13F-D074B998E071}"/>
    <cellStyle name="Migliaia 52 2 5 2" xfId="34467" xr:uid="{795A349B-9957-4C10-A66D-CBD112A36A18}"/>
    <cellStyle name="Migliaia 52 2 5 2 2" xfId="40084" xr:uid="{34DC806E-B5AC-412E-A51D-737D94CAB17C}"/>
    <cellStyle name="Migliaia 52 2 5 2 3" xfId="45386" xr:uid="{B311D395-D064-4775-ADCD-F23D21DE10A8}"/>
    <cellStyle name="Migliaia 52 2 5 3" xfId="37442" xr:uid="{9F0E86E8-3354-46C6-A5AB-B072C0802311}"/>
    <cellStyle name="Migliaia 52 2 5 4" xfId="42735" xr:uid="{72A959FE-3071-4284-A8C4-2574FA2D37B0}"/>
    <cellStyle name="Migliaia 52 2 5 5" xfId="13150" xr:uid="{9642D034-219F-40FB-A524-B532E939604B}"/>
    <cellStyle name="Migliaia 52 2 6" xfId="3857" xr:uid="{3A93DF82-25CE-4B62-ABB2-82D59B213E19}"/>
    <cellStyle name="Migliaia 52 2 6 2" xfId="34468" xr:uid="{9315C6F0-6316-4DF4-AD39-94FA044A2A5D}"/>
    <cellStyle name="Migliaia 52 2 6 2 2" xfId="40085" xr:uid="{697205E3-CA6A-4C59-87B0-AF687828C107}"/>
    <cellStyle name="Migliaia 52 2 6 2 3" xfId="45387" xr:uid="{88C5FA42-2BA8-477D-818A-9DED7BEACF71}"/>
    <cellStyle name="Migliaia 52 2 6 3" xfId="37443" xr:uid="{3E73FAAD-B693-44A5-BEB4-CBF67FEF63DE}"/>
    <cellStyle name="Migliaia 52 2 6 4" xfId="42736" xr:uid="{7594106D-2038-4189-8EB3-84320232569B}"/>
    <cellStyle name="Migliaia 52 2 6 5" xfId="25280" xr:uid="{B0218A58-493B-4988-B6DD-63C232D67A0D}"/>
    <cellStyle name="Migliaia 52 2 6 6" xfId="20904" xr:uid="{86057555-6002-40D8-86AA-F3AA8A402EBE}"/>
    <cellStyle name="Migliaia 52 2 7" xfId="25277" xr:uid="{0A1F0CB9-FECB-4F10-BBAC-CCD499A5E787}"/>
    <cellStyle name="Migliaia 52 2 8" xfId="7184" xr:uid="{F0C2C01E-1D52-4239-BD0E-999970269E3D}"/>
    <cellStyle name="Migliaia 52 3" xfId="491" xr:uid="{00000000-0005-0000-0000-000069040000}"/>
    <cellStyle name="Migliaia 52 3 10" xfId="25281" xr:uid="{EF9D84CC-4F42-4C44-97F4-F31311185DBE}"/>
    <cellStyle name="Migliaia 52 3 11" xfId="16750" xr:uid="{06FEDC48-E9CD-4195-8D7B-EC2162BB8238}"/>
    <cellStyle name="Migliaia 52 3 12" xfId="7185" xr:uid="{4B338166-B6EB-4CCD-A29B-DB4A308CFA8F}"/>
    <cellStyle name="Migliaia 52 3 2" xfId="492" xr:uid="{00000000-0005-0000-0000-00006A040000}"/>
    <cellStyle name="Migliaia 52 3 2 2" xfId="1892" xr:uid="{00000000-0005-0000-0000-00006B040000}"/>
    <cellStyle name="Migliaia 52 3 2 2 2" xfId="5588" xr:uid="{E353D501-58C2-4D0F-AE81-27D244064494}"/>
    <cellStyle name="Migliaia 52 3 2 2 2 2" xfId="18504" xr:uid="{75B3E397-CC7A-4861-8B35-D4F0DB345655}"/>
    <cellStyle name="Migliaia 52 3 2 2 2 2 2" xfId="21888" xr:uid="{87E55329-77F3-48F9-87B5-6A0DC09439E0}"/>
    <cellStyle name="Migliaia 52 3 2 2 2 2 2 2" xfId="40086" xr:uid="{1240D396-C1A3-465E-84D3-3A0D56771CC5}"/>
    <cellStyle name="Migliaia 52 3 2 2 2 2 3" xfId="45388" xr:uid="{1923E168-F302-4E8E-835C-2C1031FFD18C}"/>
    <cellStyle name="Migliaia 52 3 2 2 2 2 4" xfId="34469" xr:uid="{B5AE65B3-400E-48E8-9C41-8B864E941352}"/>
    <cellStyle name="Migliaia 52 3 2 2 2 3" xfId="37444" xr:uid="{6DD6BC4B-BE65-45FE-802E-07003F758B44}"/>
    <cellStyle name="Migliaia 52 3 2 2 2 4" xfId="42737" xr:uid="{FED23D97-80BF-44CA-9CF1-2F374312D1BC}"/>
    <cellStyle name="Migliaia 52 3 2 2 2 5" xfId="46302" xr:uid="{6E9CBB5E-D185-4A59-B7E9-AB92EE8F28D0}"/>
    <cellStyle name="Migliaia 52 3 2 2 2 6" xfId="50916" xr:uid="{29C56F5B-18C0-4257-A4B0-40F3DFC9C33F}"/>
    <cellStyle name="Migliaia 52 3 2 2 2 7" xfId="53932" xr:uid="{93FDC060-A69F-4C5B-B8B3-7148864B4B96}"/>
    <cellStyle name="Migliaia 52 3 2 2 2 8" xfId="17687" xr:uid="{9CF6635D-5D40-4A01-A342-35A6804490F5}"/>
    <cellStyle name="Migliaia 52 3 2 2 2 9" xfId="12075" xr:uid="{11B015FF-B089-49FD-927A-61E0275594F5}"/>
    <cellStyle name="Migliaia 52 3 2 2 3" xfId="6765" xr:uid="{4561DE48-8E04-45C2-8DE5-AE858B53D6F1}"/>
    <cellStyle name="Migliaia 52 3 2 2 3 2" xfId="12152" xr:uid="{41BBE2CD-1C8B-45A4-86A1-085AD984A3E2}"/>
    <cellStyle name="Migliaia 52 3 2 2 4" xfId="3862" xr:uid="{041F1779-E0A9-456C-8B6E-57005D93D80C}"/>
    <cellStyle name="Migliaia 52 3 2 2 4 2" xfId="21604" xr:uid="{3BCB6D21-01CD-4E8C-BC4D-CC9125F9D6C3}"/>
    <cellStyle name="Migliaia 52 3 2 2 4 3" xfId="46706" xr:uid="{5C6C41E0-A13F-4C5C-B3E3-94856E874DD3}"/>
    <cellStyle name="Migliaia 52 3 2 2 4 4" xfId="50619" xr:uid="{E0E97EBE-BAD6-468F-969D-586450314143}"/>
    <cellStyle name="Migliaia 52 3 2 2 4 5" xfId="53635" xr:uid="{F2516521-FD12-4D37-BC4C-768C91AD2E78}"/>
    <cellStyle name="Migliaia 52 3 2 2 4 6" xfId="10969" xr:uid="{A2B825C4-F150-480F-8454-FF6225C62F01}"/>
    <cellStyle name="Migliaia 52 3 2 2 5" xfId="20911" xr:uid="{3210B0CB-FD81-43D6-B336-646B624E6F4F}"/>
    <cellStyle name="Migliaia 52 3 2 2 6" xfId="25283" xr:uid="{9915ED60-489B-4948-8E9B-6123827FB7F4}"/>
    <cellStyle name="Migliaia 52 3 2 2 7" xfId="8765" xr:uid="{02131332-E60E-421A-9497-76DDAF149062}"/>
    <cellStyle name="Migliaia 52 3 2 3" xfId="5587" xr:uid="{081C7DD0-E4A1-47A2-B1BD-493DD876A11E}"/>
    <cellStyle name="Migliaia 52 3 2 3 2" xfId="12400" xr:uid="{1E66D971-4A32-4EF0-8B91-994AE0FD98A0}"/>
    <cellStyle name="Migliaia 52 3 2 3 2 2" xfId="40087" xr:uid="{B1989659-25CD-4500-9FDE-C8862DEED4DB}"/>
    <cellStyle name="Migliaia 52 3 2 3 2 3" xfId="45389" xr:uid="{F436AC3C-BFCA-4394-BE58-C9BCFC7D20CD}"/>
    <cellStyle name="Migliaia 52 3 2 3 2 4" xfId="34470" xr:uid="{40572E2B-5C9D-4B10-AA99-9923B9B9CD1F}"/>
    <cellStyle name="Migliaia 52 3 2 3 3" xfId="12076" xr:uid="{FA33AEF2-57D0-4CAC-B8BF-EBCA43A17943}"/>
    <cellStyle name="Migliaia 52 3 2 3 4" xfId="20912" xr:uid="{A7527244-9410-4D61-8BBC-A2D16EF6A3D7}"/>
    <cellStyle name="Migliaia 52 3 2 3 4 2" xfId="42738" xr:uid="{826AFE04-D90A-443E-B933-09A1324B5604}"/>
    <cellStyle name="Migliaia 52 3 2 3 5" xfId="16751" xr:uid="{D7DF1612-1729-417E-BF2D-E21D90D25E3E}"/>
    <cellStyle name="Migliaia 52 3 2 3 6" xfId="8013" xr:uid="{93DBA02D-6307-4E54-A7B3-3BF67E637481}"/>
    <cellStyle name="Migliaia 52 3 2 4" xfId="6764" xr:uid="{A2E23FA7-B29F-4317-ADFB-33E97CBC492D}"/>
    <cellStyle name="Migliaia 52 3 2 4 2" xfId="18104" xr:uid="{1DD14655-90FA-4F87-B433-C9279421DFDB}"/>
    <cellStyle name="Migliaia 52 3 2 4 2 2" xfId="40088" xr:uid="{18985526-E7E6-4595-81F0-13C15604AFA7}"/>
    <cellStyle name="Migliaia 52 3 2 4 2 3" xfId="45390" xr:uid="{09F6A664-1760-4092-BB22-6DA5DC0BA30C}"/>
    <cellStyle name="Migliaia 52 3 2 4 3" xfId="37446" xr:uid="{F6A9C736-2096-4500-8B75-4FA1267D94E8}"/>
    <cellStyle name="Migliaia 52 3 2 4 4" xfId="42739" xr:uid="{D8A98BAF-4E6B-4FED-8265-11081C5D0F80}"/>
    <cellStyle name="Migliaia 52 3 2 4 5" xfId="17230" xr:uid="{3CBB6E76-1181-4FEA-8BB1-65BBB232C396}"/>
    <cellStyle name="Migliaia 52 3 2 4 6" xfId="11427" xr:uid="{DABA883D-92A5-4FD8-8812-F72873607536}"/>
    <cellStyle name="Migliaia 52 3 2 5" xfId="3861" xr:uid="{8B9B85AC-6B53-42A1-82F7-7C6DFB633BC7}"/>
    <cellStyle name="Migliaia 52 3 2 5 2" xfId="34472" xr:uid="{4707BDEF-21C9-404E-8DC7-1A6F00E108B5}"/>
    <cellStyle name="Migliaia 52 3 2 5 2 2" xfId="40089" xr:uid="{4CAC9709-72DB-4C63-BA67-1047AB5E28A2}"/>
    <cellStyle name="Migliaia 52 3 2 5 2 3" xfId="45391" xr:uid="{ECEE4ED4-01E1-489E-B888-01475FD3AFDC}"/>
    <cellStyle name="Migliaia 52 3 2 5 3" xfId="37447" xr:uid="{0B9382E2-0FDD-4A1C-B818-6BB76739EE19}"/>
    <cellStyle name="Migliaia 52 3 2 5 4" xfId="42740" xr:uid="{12FFFBDE-B43D-428D-A4BF-3D4127981026}"/>
    <cellStyle name="Migliaia 52 3 2 5 5" xfId="17285" xr:uid="{29D8ED71-7E74-402E-9AC5-67DE31376B65}"/>
    <cellStyle name="Migliaia 52 3 2 6" xfId="20910" xr:uid="{7FF7EF32-E781-4C81-94E0-B294B6BDB85A}"/>
    <cellStyle name="Migliaia 52 3 2 6 2" xfId="34473" xr:uid="{AEF10072-3198-4C74-A396-CDCB09ADFE14}"/>
    <cellStyle name="Migliaia 52 3 2 6 2 2" xfId="40090" xr:uid="{57EB6AF6-A075-41DB-B66C-7F454A117EED}"/>
    <cellStyle name="Migliaia 52 3 2 6 2 3" xfId="45392" xr:uid="{F3057FF4-BC3C-47DF-8BB0-F37A7E8D8224}"/>
    <cellStyle name="Migliaia 52 3 2 6 3" xfId="37448" xr:uid="{C98157F3-9860-4C35-B059-DEB4B7E41D4E}"/>
    <cellStyle name="Migliaia 52 3 2 6 4" xfId="42741" xr:uid="{E21BA281-62FB-48C3-A46A-AC1E64CE8190}"/>
    <cellStyle name="Migliaia 52 3 2 6 5" xfId="25287" xr:uid="{B2BA8B90-BD59-4676-B997-8FEACF6C32FB}"/>
    <cellStyle name="Migliaia 52 3 2 7" xfId="25282" xr:uid="{16D11D1B-7EE9-4C58-A60F-51A900B41BC1}"/>
    <cellStyle name="Migliaia 52 3 2 8" xfId="7575" xr:uid="{E2D44709-F7AD-4A68-86CB-3134A769D81A}"/>
    <cellStyle name="Migliaia 52 3 3" xfId="3863" xr:uid="{6B2BD9B4-5E99-4599-95CB-CA486B0886D7}"/>
    <cellStyle name="Migliaia 52 3 3 10" xfId="7574" xr:uid="{D49A5C3D-AFBB-45E1-BF8B-C208A23D1148}"/>
    <cellStyle name="Migliaia 52 3 3 2" xfId="5589" xr:uid="{D553F11B-0000-44DC-9547-B349460B67F1}"/>
    <cellStyle name="Migliaia 52 3 3 2 2" xfId="9976" xr:uid="{B10258E5-BE59-4DB6-BE58-5C62C9ACE36B}"/>
    <cellStyle name="Migliaia 52 3 3 2 2 2" xfId="40092" xr:uid="{9D72EA4D-D167-4A70-8E87-0BB0090A8192}"/>
    <cellStyle name="Migliaia 52 3 3 2 2 3" xfId="45394" xr:uid="{6E8567CB-D868-4A0D-972A-7096A0B5D9C2}"/>
    <cellStyle name="Migliaia 52 3 3 2 3" xfId="18256" xr:uid="{31DA658E-AD7E-4219-A239-50F924F03953}"/>
    <cellStyle name="Migliaia 52 3 3 2 4" xfId="20914" xr:uid="{8EC8EC8B-DFD6-47CA-96A0-88AA58C3494D}"/>
    <cellStyle name="Migliaia 52 3 3 2 4 2" xfId="42743" xr:uid="{582A4F2F-0EDA-420C-9676-39F6247BDC5D}"/>
    <cellStyle name="Migliaia 52 3 3 2 5" xfId="16753" xr:uid="{9EF1DE5D-7D6C-4766-A1D4-2D7A5B5A29F7}"/>
    <cellStyle name="Migliaia 52 3 3 2 6" xfId="8764" xr:uid="{4CD271A0-BCEA-44BF-92F5-2BD3342F4DCE}"/>
    <cellStyle name="Migliaia 52 3 3 3" xfId="6766" xr:uid="{1AAAE1AC-8E92-4BBE-B3E3-E069B500621D}"/>
    <cellStyle name="Migliaia 52 3 3 3 2" xfId="34476" xr:uid="{FAA51A20-3780-4CF6-A997-11065E0FB27C}"/>
    <cellStyle name="Migliaia 52 3 3 3 2 2" xfId="40093" xr:uid="{56396A24-1D3B-4078-BEB2-4FA860BB4BB1}"/>
    <cellStyle name="Migliaia 52 3 3 3 2 3" xfId="45395" xr:uid="{D598200E-736E-4F54-AF0D-06AE9BFB243B}"/>
    <cellStyle name="Migliaia 52 3 3 3 3" xfId="37451" xr:uid="{77540F22-E6BF-491A-9D67-A10DAF284CA3}"/>
    <cellStyle name="Migliaia 52 3 3 3 4" xfId="42744" xr:uid="{4AB7C1F1-7A57-4BF9-ACA3-715CA6DADF85}"/>
    <cellStyle name="Migliaia 52 3 3 3 5" xfId="9739" xr:uid="{40D563C8-B31D-4B83-A842-D333CF747133}"/>
    <cellStyle name="Migliaia 52 3 3 4" xfId="20913" xr:uid="{F4ED40FB-F578-468B-A505-9FD47C4D7030}"/>
    <cellStyle name="Migliaia 52 3 3 4 2" xfId="34477" xr:uid="{8CE97C58-B403-49D6-AC15-C37138682C47}"/>
    <cellStyle name="Migliaia 52 3 3 4 2 2" xfId="40094" xr:uid="{E13522CC-D629-47EC-A497-DFDDF52D27E0}"/>
    <cellStyle name="Migliaia 52 3 3 4 2 3" xfId="45396" xr:uid="{AFC9BE03-17F2-4E18-9C67-4CFE1046F0BC}"/>
    <cellStyle name="Migliaia 52 3 3 4 3" xfId="37452" xr:uid="{BBEC9BE2-8092-4F0B-A757-97F893944D4B}"/>
    <cellStyle name="Migliaia 52 3 3 4 4" xfId="42745" xr:uid="{3B6894AA-5BAC-459D-8E59-94AECEC2C3B7}"/>
    <cellStyle name="Migliaia 52 3 3 4 5" xfId="25291" xr:uid="{ACD9EBC4-1911-43AE-A1F8-7AF8B7190D8C}"/>
    <cellStyle name="Migliaia 52 3 3 5" xfId="25292" xr:uid="{DD7084E0-FA48-47D9-93B7-62366E347411}"/>
    <cellStyle name="Migliaia 52 3 3 5 2" xfId="34478" xr:uid="{58E50518-90D2-405D-8AE2-44D6B86E21BD}"/>
    <cellStyle name="Migliaia 52 3 3 5 2 2" xfId="40095" xr:uid="{062669E9-C233-4523-B836-182AEA1FBC66}"/>
    <cellStyle name="Migliaia 52 3 3 5 2 3" xfId="45397" xr:uid="{F5207A50-E446-460F-95AB-2D45BF0D93EC}"/>
    <cellStyle name="Migliaia 52 3 3 5 3" xfId="37453" xr:uid="{B012418D-3C55-430D-B0EE-71D11726708F}"/>
    <cellStyle name="Migliaia 52 3 3 5 4" xfId="42746" xr:uid="{3AC360A5-40A6-4F9A-B9D8-9621152D8A71}"/>
    <cellStyle name="Migliaia 52 3 3 6" xfId="34474" xr:uid="{00EB2C96-EB21-4269-871F-0F37FCAB90D6}"/>
    <cellStyle name="Migliaia 52 3 3 6 2" xfId="40091" xr:uid="{C932BB32-64F0-4F22-AD45-0CF66A9A5A07}"/>
    <cellStyle name="Migliaia 52 3 3 6 3" xfId="45393" xr:uid="{D9C2C59F-35B0-42A5-84D4-72F2009FCC8F}"/>
    <cellStyle name="Migliaia 52 3 3 7" xfId="37449" xr:uid="{42A59037-7A11-4262-AA1F-F9F738ACBDE2}"/>
    <cellStyle name="Migliaia 52 3 3 8" xfId="42742" xr:uid="{23103C57-2ED8-42D9-B2E5-F9DB6005DCCF}"/>
    <cellStyle name="Migliaia 52 3 3 9" xfId="16752" xr:uid="{B2E85D5C-6684-443A-9F5D-EC8877E34AB4}"/>
    <cellStyle name="Migliaia 52 3 4" xfId="3864" xr:uid="{2E8FC73C-531C-4FC1-BBA3-B040D56697A6}"/>
    <cellStyle name="Migliaia 52 3 4 2" xfId="5590" xr:uid="{1C43779B-969B-4779-B238-F1DA6CCDAE8F}"/>
    <cellStyle name="Migliaia 52 3 4 2 2" xfId="14470" xr:uid="{359262AE-EFDE-4C1D-A899-3DA46D36A54F}"/>
    <cellStyle name="Migliaia 52 3 4 2 3" xfId="18575" xr:uid="{A065EA94-A123-40DB-9D90-6AC1024AEF65}"/>
    <cellStyle name="Migliaia 52 3 4 2 4" xfId="20916" xr:uid="{49CE0EA3-A586-4B19-8B8F-2903E8570163}"/>
    <cellStyle name="Migliaia 52 3 4 2 5" xfId="32459" xr:uid="{4B17B102-21EF-4CC3-88F9-90092F400E64}"/>
    <cellStyle name="Migliaia 52 3 4 2 6" xfId="16755" xr:uid="{5C98E542-8A6A-49F1-88EF-AF20F5DBD59A}"/>
    <cellStyle name="Migliaia 52 3 4 2 7" xfId="8893" xr:uid="{F56C1946-368E-479E-9C58-E5A9B1051F5E}"/>
    <cellStyle name="Migliaia 52 3 4 3" xfId="6767" xr:uid="{1506BA68-84DB-49CE-9E0A-EA4D121F0F0A}"/>
    <cellStyle name="Migliaia 52 3 4 3 2" xfId="35454" xr:uid="{66E58E63-CAE8-4B0E-A2C3-6FBAF234D100}"/>
    <cellStyle name="Migliaia 52 3 4 3 2 2" xfId="40614" xr:uid="{B7481B22-BB5A-4CF1-B2EA-152F43E36B71}"/>
    <cellStyle name="Migliaia 52 3 4 3 2 3" xfId="45916" xr:uid="{76A5F88A-D3D8-4D68-9B93-CFBBED55E69C}"/>
    <cellStyle name="Migliaia 52 3 4 3 3" xfId="37963" xr:uid="{00378C28-4EF3-4463-BB74-E58CF6B83A30}"/>
    <cellStyle name="Migliaia 52 3 4 3 4" xfId="43265" xr:uid="{4EFDA222-20E2-4FF9-A777-14B9EE61D6F8}"/>
    <cellStyle name="Migliaia 52 3 4 3 5" xfId="13718" xr:uid="{B4F2CBE0-FB75-4C5D-912A-258C59843444}"/>
    <cellStyle name="Migliaia 52 3 4 4" xfId="20915" xr:uid="{834772EB-12C7-41C9-869A-6BA1B14DA93A}"/>
    <cellStyle name="Migliaia 52 3 4 4 2" xfId="40096" xr:uid="{76E52C94-A2A1-4A4C-94FF-7099E206801D}"/>
    <cellStyle name="Migliaia 52 3 4 4 3" xfId="45398" xr:uid="{8C3D7400-6181-4453-9729-6B3B9041C0AD}"/>
    <cellStyle name="Migliaia 52 3 4 4 4" xfId="34479" xr:uid="{C398FEEF-0AC6-4C16-BDB4-7E7A285184D2}"/>
    <cellStyle name="Migliaia 52 3 4 5" xfId="37454" xr:uid="{E919CBB7-912E-4B27-86F9-CE5225BF0C93}"/>
    <cellStyle name="Migliaia 52 3 4 6" xfId="42747" xr:uid="{B76977ED-185C-448E-832B-A47685613F93}"/>
    <cellStyle name="Migliaia 52 3 4 7" xfId="16754" xr:uid="{7C992133-BE2B-442C-8797-1A35CB1B1BC9}"/>
    <cellStyle name="Migliaia 52 3 4 8" xfId="7703" xr:uid="{993CDA90-4DC4-4D4C-AB2A-D812C3E34F12}"/>
    <cellStyle name="Migliaia 52 3 5" xfId="3865" xr:uid="{DB680883-2EC2-4686-BE19-C23065AADDCE}"/>
    <cellStyle name="Migliaia 52 3 5 2" xfId="5591" xr:uid="{6AE6EE50-DFBA-46EC-A7EE-1A995FA5BCEC}"/>
    <cellStyle name="Migliaia 52 3 5 2 2" xfId="35455" xr:uid="{F06561A0-FB3F-4761-BAC7-29C420EAC14F}"/>
    <cellStyle name="Migliaia 52 3 5 2 2 2" xfId="40615" xr:uid="{7D13AF6A-07B2-41DF-A598-9D52D0218882}"/>
    <cellStyle name="Migliaia 52 3 5 2 2 3" xfId="45917" xr:uid="{52CA3616-410F-4317-9A7C-D961A946A2C1}"/>
    <cellStyle name="Migliaia 52 3 5 2 3" xfId="37964" xr:uid="{CFC09230-FB2E-4795-AB9F-DD6FDC42E01F}"/>
    <cellStyle name="Migliaia 52 3 5 2 4" xfId="43266" xr:uid="{CA4E16B0-AF73-435D-AE3F-6817CF65536C}"/>
    <cellStyle name="Migliaia 52 3 5 2 5" xfId="14322" xr:uid="{F4AA2C6C-2E24-4E60-90E6-094E89CA5038}"/>
    <cellStyle name="Migliaia 52 3 5 3" xfId="6768" xr:uid="{4BD6F40A-F44E-472A-9394-BEF1AAC42170}"/>
    <cellStyle name="Migliaia 52 3 5 3 2" xfId="40097" xr:uid="{82687147-35BC-469B-AF50-0A1911397AE6}"/>
    <cellStyle name="Migliaia 52 3 5 3 3" xfId="45399" xr:uid="{0839D27B-0709-461B-B304-0755DBD22447}"/>
    <cellStyle name="Migliaia 52 3 5 3 4" xfId="34480" xr:uid="{AB3B4CB6-D1A9-4A7E-8B5C-BB43396EE692}"/>
    <cellStyle name="Migliaia 52 3 5 3 5" xfId="20917" xr:uid="{1EA4376B-E2FE-45C1-BBF7-CBA5EBA92AC1}"/>
    <cellStyle name="Migliaia 52 3 5 4" xfId="37455" xr:uid="{402B6E9F-E729-4E25-B143-5D18BA98A5BA}"/>
    <cellStyle name="Migliaia 52 3 5 5" xfId="42748" xr:uid="{51C18E53-5426-47C9-B253-9B89EAB19626}"/>
    <cellStyle name="Migliaia 52 3 5 6" xfId="16756" xr:uid="{9A347C4E-D59B-4437-8BD6-46030688CE14}"/>
    <cellStyle name="Migliaia 52 3 5 7" xfId="8384" xr:uid="{118129B6-D6B4-4F90-B0F8-769259EC554A}"/>
    <cellStyle name="Migliaia 52 3 6" xfId="5586" xr:uid="{ACDC8639-7892-4486-9A58-DF50016D9B40}"/>
    <cellStyle name="Migliaia 52 3 6 2" xfId="14027" xr:uid="{C4D8078A-1E5D-4694-9BC9-F0944E07ADA2}"/>
    <cellStyle name="Migliaia 52 3 6 2 2" xfId="40098" xr:uid="{4D430BEF-73DE-4B94-87E3-0080F267125B}"/>
    <cellStyle name="Migliaia 52 3 6 2 3" xfId="45400" xr:uid="{F8786604-A520-4610-8815-E297B11C4C99}"/>
    <cellStyle name="Migliaia 52 3 6 3" xfId="18604" xr:uid="{31E6EB27-686E-4069-867C-CAFA54E9C57C}"/>
    <cellStyle name="Migliaia 52 3 6 4" xfId="20918" xr:uid="{3830BC25-AF21-47CD-BD88-09BFD0340B78}"/>
    <cellStyle name="Migliaia 52 3 6 4 2" xfId="42749" xr:uid="{F838EACA-1FCF-4BF2-B2CE-D33C12D10BFA}"/>
    <cellStyle name="Migliaia 52 3 6 5" xfId="16757" xr:uid="{20E46270-BB27-4B6B-8ADF-330A41AA6713}"/>
    <cellStyle name="Migliaia 52 3 6 6" xfId="8012" xr:uid="{AAD5AAB0-EF11-4616-9905-A6A25A216097}"/>
    <cellStyle name="Migliaia 52 3 7" xfId="6763" xr:uid="{67C174ED-B3F8-420F-A73F-4702FAE67348}"/>
    <cellStyle name="Migliaia 52 3 7 2" xfId="34482" xr:uid="{A9D58451-BCFC-48E1-9D33-059DF9C101CA}"/>
    <cellStyle name="Migliaia 52 3 7 2 2" xfId="40099" xr:uid="{8E180FC2-2696-4254-83D1-2CDF8900A27F}"/>
    <cellStyle name="Migliaia 52 3 7 2 3" xfId="45401" xr:uid="{8653C0D4-81D6-49D6-9B6F-B3794DFE2BBD}"/>
    <cellStyle name="Migliaia 52 3 7 3" xfId="37457" xr:uid="{7ADD9581-B28F-4264-A9A1-1F7064000C6C}"/>
    <cellStyle name="Migliaia 52 3 7 4" xfId="42750" xr:uid="{4AF8C8E3-00BD-4A9A-80F6-27064B2EE678}"/>
    <cellStyle name="Migliaia 52 3 7 5" xfId="11152" xr:uid="{A62FC08F-4CA8-4B0C-AB89-7EE0B2B5AE80}"/>
    <cellStyle name="Migliaia 52 3 8" xfId="3860" xr:uid="{B2A29D56-E03C-42FA-9B73-33F1C6701030}"/>
    <cellStyle name="Migliaia 52 3 8 2" xfId="34483" xr:uid="{73A7D4FD-6BDB-43C2-897D-DF55EB87C1A6}"/>
    <cellStyle name="Migliaia 52 3 8 2 2" xfId="40100" xr:uid="{7696C3B0-433B-4863-AAC1-4C5748D058BF}"/>
    <cellStyle name="Migliaia 52 3 8 2 3" xfId="45402" xr:uid="{E22C64E8-A3FA-4908-BC77-FDFDEDC90397}"/>
    <cellStyle name="Migliaia 52 3 8 3" xfId="37458" xr:uid="{8B6D9ECF-2B20-4B39-905E-A12C78318ADD}"/>
    <cellStyle name="Migliaia 52 3 8 4" xfId="42751" xr:uid="{0C8C0D2B-0BDB-495D-ACCE-A543A1223B27}"/>
    <cellStyle name="Migliaia 52 3 8 5" xfId="25297" xr:uid="{CDA06C63-31ED-4193-B5C2-1233BC68274D}"/>
    <cellStyle name="Migliaia 52 3 8 6" xfId="17286" xr:uid="{BACAC2DC-4F8E-4A97-892A-94D7635CB4D6}"/>
    <cellStyle name="Migliaia 52 3 9" xfId="20909" xr:uid="{6248A8EA-28D8-405E-A4AE-3F61FFC223FC}"/>
    <cellStyle name="Migliaia 52 4" xfId="1893" xr:uid="{00000000-0005-0000-0000-00006C040000}"/>
    <cellStyle name="Migliaia 52 4 2" xfId="1894" xr:uid="{00000000-0005-0000-0000-00006D040000}"/>
    <cellStyle name="Migliaia 52 4 2 2" xfId="5593" xr:uid="{6C6C9FDF-B115-493C-8708-6F2DB120344D}"/>
    <cellStyle name="Migliaia 52 4 2 2 2" xfId="34484" xr:uid="{DCB69A0E-D8E8-4E1A-BBF9-C8F7A9B8465E}"/>
    <cellStyle name="Migliaia 52 4 2 2 2 2" xfId="40101" xr:uid="{EA907EAE-56FB-4AAE-BD59-23E7FF93EC6A}"/>
    <cellStyle name="Migliaia 52 4 2 2 2 3" xfId="45403" xr:uid="{7D8A0BC3-DB8C-479D-ACBD-8A515C0057F6}"/>
    <cellStyle name="Migliaia 52 4 2 2 3" xfId="37459" xr:uid="{B815DBF7-2808-4EE3-94F3-C0B04095E000}"/>
    <cellStyle name="Migliaia 52 4 2 2 4" xfId="42752" xr:uid="{CC2E43FB-7F91-4FE1-9F9A-C17EF1459670}"/>
    <cellStyle name="Migliaia 52 4 2 2 5" xfId="9202" xr:uid="{7A2ABE97-3F6A-42C7-BC90-6FAD59FD8B1F}"/>
    <cellStyle name="Migliaia 52 4 2 3" xfId="3867" xr:uid="{E74A678A-13CD-4343-9ACA-8FC9ABCE00FF}"/>
    <cellStyle name="Migliaia 52 4 2 3 2" xfId="34485" xr:uid="{2037FF60-C250-4455-8541-98EEDE9A4E96}"/>
    <cellStyle name="Migliaia 52 4 2 3 2 2" xfId="40102" xr:uid="{AAC133C3-EFB9-4255-B55D-434FD2C291D1}"/>
    <cellStyle name="Migliaia 52 4 2 3 2 3" xfId="45404" xr:uid="{51AE35DC-DB25-4DAF-ABBC-394089F560A6}"/>
    <cellStyle name="Migliaia 52 4 2 3 3" xfId="37460" xr:uid="{EF42153C-32EB-45AF-9319-B074D0BF3212}"/>
    <cellStyle name="Migliaia 52 4 2 3 4" xfId="42753" xr:uid="{ECA733F6-186D-4CA0-A8EA-421757425979}"/>
    <cellStyle name="Migliaia 52 4 2 3 5" xfId="12077" xr:uid="{EABA6CD1-EFE0-43D3-A0E3-8FAE74D166B8}"/>
    <cellStyle name="Migliaia 52 4 2 4" xfId="11429" xr:uid="{EF0D5C0E-E5A2-47A0-A66B-13FC302104EE}"/>
    <cellStyle name="Migliaia 52 4 2 5" xfId="10971" xr:uid="{E7AC3F9D-5A14-47D1-8F0B-2244EC3AF680}"/>
    <cellStyle name="Migliaia 52 4 2 5 2" xfId="21606" xr:uid="{926DE819-B191-4980-99DC-A3CE5E2C9761}"/>
    <cellStyle name="Migliaia 52 4 2 5 3" xfId="48182" xr:uid="{57275AE9-3861-44F1-A35B-9FAC9ED5CAFD}"/>
    <cellStyle name="Migliaia 52 4 2 5 4" xfId="50621" xr:uid="{107A9C82-0EB7-4F8C-9A60-F404C53E51FE}"/>
    <cellStyle name="Migliaia 52 4 2 5 5" xfId="53637" xr:uid="{27AFB66D-A9EC-48F7-834E-495C2A858AC4}"/>
    <cellStyle name="Migliaia 52 4 2 6" xfId="20920" xr:uid="{B630B3FD-A18F-4A33-983C-F1585107D214}"/>
    <cellStyle name="Migliaia 52 4 2 7" xfId="25299" xr:uid="{71724C61-E14D-4326-A900-615040556700}"/>
    <cellStyle name="Migliaia 52 4 2 8" xfId="8766" xr:uid="{3760C6AD-12D6-41FF-9F84-A9004D7569E9}"/>
    <cellStyle name="Migliaia 52 4 3" xfId="5592" xr:uid="{64069470-4AF6-4A31-8FD4-9CA09ED15DC0}"/>
    <cellStyle name="Migliaia 52 4 3 2" xfId="18257" xr:uid="{2C8E4C43-24A8-483A-A1F7-3ED2069BA521}"/>
    <cellStyle name="Migliaia 52 4 3 2 2" xfId="40103" xr:uid="{EC1C22DA-5C5B-4CF2-80D0-4DD8D5B70B85}"/>
    <cellStyle name="Migliaia 52 4 3 2 3" xfId="45405" xr:uid="{4C0E371B-2658-4DE7-AAC8-6B5D0F4A5D07}"/>
    <cellStyle name="Migliaia 52 4 3 3" xfId="37461" xr:uid="{59EC9AA6-3325-48A0-B633-5B85621E272E}"/>
    <cellStyle name="Migliaia 52 4 3 4" xfId="42754" xr:uid="{1931A714-385C-4C07-B1F5-CB5E805890CD}"/>
    <cellStyle name="Migliaia 52 4 3 5" xfId="17284" xr:uid="{A22A5A09-5F6F-42B5-905A-1E99BE44B0F0}"/>
    <cellStyle name="Migliaia 52 4 3 6" xfId="9203" xr:uid="{45A2015E-C191-4A93-AA76-E4C61C581186}"/>
    <cellStyle name="Migliaia 52 4 4" xfId="6769" xr:uid="{81E0A9BA-6FA1-4775-8D03-0CA461993283}"/>
    <cellStyle name="Migliaia 52 4 4 2" xfId="34487" xr:uid="{4D47D7F1-85D1-4C7D-8506-F516B7B6D12C}"/>
    <cellStyle name="Migliaia 52 4 4 2 2" xfId="40104" xr:uid="{9D77ED31-7DD0-4669-A9DD-0DC0BE75C4C2}"/>
    <cellStyle name="Migliaia 52 4 4 2 3" xfId="45406" xr:uid="{23325BAF-C197-4647-B357-C9081310E94E}"/>
    <cellStyle name="Migliaia 52 4 4 3" xfId="37462" xr:uid="{5F1D9F91-B5E0-4F3B-82CE-2AA08327F9C9}"/>
    <cellStyle name="Migliaia 52 4 4 4" xfId="42755" xr:uid="{F9C1B8B0-D377-4716-A79B-0BC803671D75}"/>
    <cellStyle name="Migliaia 52 4 4 5" xfId="12078" xr:uid="{8246FDBB-9B8B-46C1-9461-303714066159}"/>
    <cellStyle name="Migliaia 52 4 5" xfId="3866" xr:uid="{0DAE8909-C240-44F2-8D5A-84163F08E9F6}"/>
    <cellStyle name="Migliaia 52 4 5 2" xfId="34488" xr:uid="{3B40439E-846C-46F0-9661-7CC3A9068292}"/>
    <cellStyle name="Migliaia 52 4 5 2 2" xfId="40105" xr:uid="{DBB82B8A-7DA6-4049-9997-63A4E56022DD}"/>
    <cellStyle name="Migliaia 52 4 5 2 3" xfId="45407" xr:uid="{9496EA6F-FA87-4105-876A-9CEC37C3F011}"/>
    <cellStyle name="Migliaia 52 4 5 3" xfId="37463" xr:uid="{4B1971DA-F7C8-41EE-8882-60C5BED0E8B7}"/>
    <cellStyle name="Migliaia 52 4 5 4" xfId="42756" xr:uid="{4489BDF7-A911-46F9-81C2-1B3842C9C36C}"/>
    <cellStyle name="Migliaia 52 4 5 5" xfId="11428" xr:uid="{887B0743-2BFE-476F-8935-45F3BED4F785}"/>
    <cellStyle name="Migliaia 52 4 6" xfId="10970" xr:uid="{0DA4E5D1-385A-4AFA-B10F-0A46E2AC3240}"/>
    <cellStyle name="Migliaia 52 4 6 2" xfId="21605" xr:uid="{8401A9DD-F7D1-4FFF-BBF5-7318FFBF6DCD}"/>
    <cellStyle name="Migliaia 52 4 6 2 2" xfId="40106" xr:uid="{50077E0C-A4D9-44BB-8D4A-465907E5D9AC}"/>
    <cellStyle name="Migliaia 52 4 6 2 3" xfId="45408" xr:uid="{8E9808CF-9B82-4311-B283-71E0B62A1169}"/>
    <cellStyle name="Migliaia 52 4 6 2 4" xfId="34489" xr:uid="{5D3330F6-D5EB-4348-B008-1B544FEF44AF}"/>
    <cellStyle name="Migliaia 52 4 6 3" xfId="37464" xr:uid="{C308A041-9FAB-48A7-BC5E-D57A3C38CE86}"/>
    <cellStyle name="Migliaia 52 4 6 4" xfId="42757" xr:uid="{045D23F3-3C5A-4A9B-9A8F-F71FB0242A55}"/>
    <cellStyle name="Migliaia 52 4 6 5" xfId="25305" xr:uid="{F14357D8-F2BE-4560-A3C2-804A0189E419}"/>
    <cellStyle name="Migliaia 52 4 6 6" xfId="47155" xr:uid="{E8ED9E8F-7BC4-4613-9471-803F9072B62E}"/>
    <cellStyle name="Migliaia 52 4 6 7" xfId="50620" xr:uid="{446B4ABA-6782-43A9-8C13-5323E720EF05}"/>
    <cellStyle name="Migliaia 52 4 6 8" xfId="53636" xr:uid="{B7176474-7F86-46EF-9B61-38C5317678AE}"/>
    <cellStyle name="Migliaia 52 4 7" xfId="20919" xr:uid="{FBD8AB7F-A155-443C-8050-6026BE2C098C}"/>
    <cellStyle name="Migliaia 52 4 7 2" xfId="34490" xr:uid="{66A25C07-2BF1-4962-977E-1897E4F0C1C4}"/>
    <cellStyle name="Migliaia 52 4 7 2 2" xfId="40107" xr:uid="{4ED589DA-C48A-4AB1-B440-64FAC903F83F}"/>
    <cellStyle name="Migliaia 52 4 7 2 3" xfId="45409" xr:uid="{FD03058B-D96C-41E2-85AB-F77E42EF1637}"/>
    <cellStyle name="Migliaia 52 4 7 3" xfId="37465" xr:uid="{86BDB19B-9E84-4327-BEA9-2919A02326C2}"/>
    <cellStyle name="Migliaia 52 4 7 4" xfId="42758" xr:uid="{74E4D4ED-EF29-43A5-AC4C-7E18B5441A84}"/>
    <cellStyle name="Migliaia 52 4 7 5" xfId="25306" xr:uid="{BA6202D3-D733-4267-B23A-141AA9CAF552}"/>
    <cellStyle name="Migliaia 52 4 8" xfId="25298" xr:uid="{D99A7F94-22E9-44A3-9014-706A1A3642DD}"/>
    <cellStyle name="Migliaia 52 4 9" xfId="7576" xr:uid="{94378A50-55E6-4D1E-B878-59F6FA30C9B8}"/>
    <cellStyle name="Migliaia 52 5" xfId="1895" xr:uid="{00000000-0005-0000-0000-00006E040000}"/>
    <cellStyle name="Migliaia 52 5 2" xfId="5594" xr:uid="{AB4021E3-902E-452A-AE4C-E93BF6E94F71}"/>
    <cellStyle name="Migliaia 52 5 2 2" xfId="18505" xr:uid="{0403CB42-7E6E-4845-B725-E14935ACFE6A}"/>
    <cellStyle name="Migliaia 52 5 2 2 2" xfId="40108" xr:uid="{067FB697-8433-49F7-8921-523C04D2669C}"/>
    <cellStyle name="Migliaia 52 5 2 2 3" xfId="45410" xr:uid="{9211C936-B5AC-4825-A3B9-8DDFAF1E7E36}"/>
    <cellStyle name="Migliaia 52 5 2 3" xfId="20922" xr:uid="{081095CD-ED95-4E9C-B637-0371D851B12C}"/>
    <cellStyle name="Migliaia 52 5 2 3 2" xfId="37466" xr:uid="{81EEA23C-4ED4-4AA5-8EF1-6AF414EAB49B}"/>
    <cellStyle name="Migliaia 52 5 2 4" xfId="42759" xr:uid="{65059C37-3C1C-4197-8A09-D38FB7907BED}"/>
    <cellStyle name="Migliaia 52 5 2 5" xfId="16758" xr:uid="{ADF50805-1B6B-441D-B351-02C8DA2EB9BF}"/>
    <cellStyle name="Migliaia 52 5 2 6" xfId="8767" xr:uid="{E602548B-3CE5-4400-BFB6-8C3F4A169840}"/>
    <cellStyle name="Migliaia 52 5 3" xfId="6770" xr:uid="{D943F761-B4C9-4444-97F5-3399F4390E6E}"/>
    <cellStyle name="Migliaia 52 5 3 2" xfId="34492" xr:uid="{8255E299-0375-45A4-90A4-769E3FA90F83}"/>
    <cellStyle name="Migliaia 52 5 3 2 2" xfId="40109" xr:uid="{E0DBD1E8-7A58-4503-BA00-C3B3C5CC3139}"/>
    <cellStyle name="Migliaia 52 5 3 2 3" xfId="45411" xr:uid="{AB3AE8AA-E19D-46B4-B46C-062D6E2D8FC6}"/>
    <cellStyle name="Migliaia 52 5 3 3" xfId="37467" xr:uid="{32AC2BD5-894C-4D4D-8F79-CA5B9AE8EFDA}"/>
    <cellStyle name="Migliaia 52 5 3 4" xfId="42760" xr:uid="{3AD7CCA2-869D-4D3C-A9F8-25834164221D}"/>
    <cellStyle name="Migliaia 52 5 3 5" xfId="11430" xr:uid="{4DE5A99C-D6BD-4339-880F-EDC440B09ED3}"/>
    <cellStyle name="Migliaia 52 5 4" xfId="3868" xr:uid="{65FE5126-4CBF-4510-9CD4-D12C4C8C3A2A}"/>
    <cellStyle name="Migliaia 52 5 4 2" xfId="21607" xr:uid="{F661CFCA-0085-4C94-A129-1392C61D29C9}"/>
    <cellStyle name="Migliaia 52 5 4 2 2" xfId="40110" xr:uid="{FC967B61-E5BF-4B09-9E03-6FB797DB260A}"/>
    <cellStyle name="Migliaia 52 5 4 2 3" xfId="45412" xr:uid="{5EC44E48-31DE-491F-8953-49F4EE39CC76}"/>
    <cellStyle name="Migliaia 52 5 4 2 4" xfId="34493" xr:uid="{E82FDBEA-9622-40E9-990F-ABD63C8F6689}"/>
    <cellStyle name="Migliaia 52 5 4 3" xfId="37468" xr:uid="{E19A0AA2-1F48-41AA-A55B-34531D6FDD79}"/>
    <cellStyle name="Migliaia 52 5 4 4" xfId="42761" xr:uid="{FEA7B719-FBA4-42F0-B3A7-3F9308AE66B1}"/>
    <cellStyle name="Migliaia 52 5 4 5" xfId="25309" xr:uid="{CC3A75B1-91E7-4212-8891-C342DDBEBA99}"/>
    <cellStyle name="Migliaia 52 5 4 6" xfId="47121" xr:uid="{887CAD51-931E-468F-AE3A-FE482B23E946}"/>
    <cellStyle name="Migliaia 52 5 4 7" xfId="50622" xr:uid="{88A26878-8BEC-4B92-A59D-7D6A9685A3A9}"/>
    <cellStyle name="Migliaia 52 5 4 8" xfId="53638" xr:uid="{5BF1A407-2900-42E3-9FEE-73CE38DFDDBE}"/>
    <cellStyle name="Migliaia 52 5 4 9" xfId="10972" xr:uid="{22A8DA6F-F84D-4D31-B948-98403C1F94B7}"/>
    <cellStyle name="Migliaia 52 5 5" xfId="20921" xr:uid="{3172C189-4B3A-4C34-B806-08537166D632}"/>
    <cellStyle name="Migliaia 52 5 5 2" xfId="34494" xr:uid="{621E43E3-EF83-4AEF-B554-7C488D330177}"/>
    <cellStyle name="Migliaia 52 5 5 2 2" xfId="40111" xr:uid="{8466CF7A-4DD1-4A5E-A5DA-FADBD04783BF}"/>
    <cellStyle name="Migliaia 52 5 5 2 3" xfId="45413" xr:uid="{BC791FDC-13B0-4302-B5A4-C373B61D3496}"/>
    <cellStyle name="Migliaia 52 5 5 3" xfId="37469" xr:uid="{71B2856C-BF9F-46CF-85F9-5A80E4EFF92B}"/>
    <cellStyle name="Migliaia 52 5 5 4" xfId="42762" xr:uid="{23FBD2A9-53D4-4495-B52F-9A74FCC91816}"/>
    <cellStyle name="Migliaia 52 5 5 5" xfId="25310" xr:uid="{9634A7E6-E25D-4AF0-B800-D3FC3F5F4396}"/>
    <cellStyle name="Migliaia 52 5 6" xfId="25311" xr:uid="{3DA91E98-CADE-4892-B3F0-3C18614EB2BD}"/>
    <cellStyle name="Migliaia 52 5 6 2" xfId="34495" xr:uid="{F72222A9-64E0-4B6C-8081-6521CE331A10}"/>
    <cellStyle name="Migliaia 52 5 6 2 2" xfId="40112" xr:uid="{511ABE39-0B9A-4412-BD67-E62730881F7F}"/>
    <cellStyle name="Migliaia 52 5 6 2 3" xfId="45414" xr:uid="{93B165D2-FD27-42D3-99EE-090C127315C0}"/>
    <cellStyle name="Migliaia 52 5 6 3" xfId="37470" xr:uid="{619C28D0-8AC0-4651-B96C-BFEAB6CBE9D1}"/>
    <cellStyle name="Migliaia 52 5 6 4" xfId="42763" xr:uid="{8484B464-99B5-4F7E-8EA3-7ECE1E68B267}"/>
    <cellStyle name="Migliaia 52 5 7" xfId="25307" xr:uid="{95D6A30E-13BC-44DF-8C7A-089EB2CFAECD}"/>
    <cellStyle name="Migliaia 52 5 8" xfId="7577" xr:uid="{6CBFB9A1-AEAE-4358-BF2A-94754C47565B}"/>
    <cellStyle name="Migliaia 52 6" xfId="3869" xr:uid="{4D3AF9B1-0040-4E20-94C8-D18B5F0D3743}"/>
    <cellStyle name="Migliaia 52 6 2" xfId="5595" xr:uid="{8A2C2F60-7FB5-4288-8CCB-6835811F5EBB}"/>
    <cellStyle name="Migliaia 52 6 2 2" xfId="9975" xr:uid="{145CB101-03AE-4A42-9376-3CD8BBD5CCE2}"/>
    <cellStyle name="Migliaia 52 6 2 3" xfId="18556" xr:uid="{5C82466E-9F9F-47DD-819A-6205DE74B079}"/>
    <cellStyle name="Migliaia 52 6 2 4" xfId="20924" xr:uid="{A9461552-D429-491B-BF1A-BA46F431F4CC}"/>
    <cellStyle name="Migliaia 52 6 2 5" xfId="32462" xr:uid="{B23D06C0-572F-4E25-8AFF-C6DCAE305520}"/>
    <cellStyle name="Migliaia 52 6 2 6" xfId="16760" xr:uid="{8114613F-D44B-45C3-A8B2-5292FA9B8C75}"/>
    <cellStyle name="Migliaia 52 6 2 7" xfId="8762" xr:uid="{68B0579E-A6D3-4335-90BF-9B4763E2FC71}"/>
    <cellStyle name="Migliaia 52 6 3" xfId="6771" xr:uid="{686B1AA2-4A21-4FCA-9846-5C701B54893D}"/>
    <cellStyle name="Migliaia 52 6 3 2" xfId="35456" xr:uid="{40524F0C-EE41-4931-B90E-6310C274A567}"/>
    <cellStyle name="Migliaia 52 6 3 2 2" xfId="40616" xr:uid="{83FC8110-BCC1-410A-8EBA-58B377D03FC4}"/>
    <cellStyle name="Migliaia 52 6 3 2 3" xfId="45918" xr:uid="{DAE68052-7ED6-4EFF-92EF-B2B27147016E}"/>
    <cellStyle name="Migliaia 52 6 3 3" xfId="37965" xr:uid="{E01BF68C-D07F-4CEF-AC8D-F3C81095A52A}"/>
    <cellStyle name="Migliaia 52 6 3 4" xfId="43267" xr:uid="{7228D3E3-13AD-4846-9758-92EE31FB43A6}"/>
    <cellStyle name="Migliaia 52 6 3 5" xfId="9738" xr:uid="{CD672A70-1889-4858-A657-D06F235D750C}"/>
    <cellStyle name="Migliaia 52 6 4" xfId="20923" xr:uid="{F330EE6C-0F30-4D67-8224-21807F717651}"/>
    <cellStyle name="Migliaia 52 6 4 2" xfId="40113" xr:uid="{7B32C215-9A5F-4104-B80E-1491598DB2E2}"/>
    <cellStyle name="Migliaia 52 6 4 3" xfId="45415" xr:uid="{D9D6555B-61D4-491F-910E-816D32055B1E}"/>
    <cellStyle name="Migliaia 52 6 4 4" xfId="34496" xr:uid="{6F20A766-A1CA-4032-A130-B3B5AC989608}"/>
    <cellStyle name="Migliaia 52 6 5" xfId="37471" xr:uid="{B8C139A2-86F6-4C7C-8327-C9C452C5AF76}"/>
    <cellStyle name="Migliaia 52 6 6" xfId="42764" xr:uid="{DFDEFDEB-B95A-460A-A097-7A64E66EBA8D}"/>
    <cellStyle name="Migliaia 52 6 7" xfId="16759" xr:uid="{1EDF86B1-D418-4C1B-8E5B-B9477CD1B442}"/>
    <cellStyle name="Migliaia 52 6 8" xfId="7572" xr:uid="{C2D17991-9E01-4B6C-9CBF-BA9365257057}"/>
    <cellStyle name="Migliaia 52 7" xfId="3870" xr:uid="{A9376C20-2A9D-48BF-A68E-D3155CE143D7}"/>
    <cellStyle name="Migliaia 52 7 2" xfId="5596" xr:uid="{2D8E491C-E4DA-4296-B25E-E55173329DA6}"/>
    <cellStyle name="Migliaia 52 7 2 2" xfId="35457" xr:uid="{A81E620E-0F1E-4455-88B0-EC2F3AD5437A}"/>
    <cellStyle name="Migliaia 52 7 2 2 2" xfId="40617" xr:uid="{EA2E9628-10EF-4388-9742-D5A1ED30DB82}"/>
    <cellStyle name="Migliaia 52 7 2 2 3" xfId="45919" xr:uid="{9813CB05-798D-4D09-8199-2B43B0DA8855}"/>
    <cellStyle name="Migliaia 52 7 2 3" xfId="37966" xr:uid="{E8CC10F4-DBAB-4DFB-B9A5-3460202F3EDF}"/>
    <cellStyle name="Migliaia 52 7 2 4" xfId="43268" xr:uid="{0939B40D-56C2-4AFC-B0BF-8A89420D625F}"/>
    <cellStyle name="Migliaia 52 7 2 5" xfId="14320" xr:uid="{8DC0C7E4-4EBB-4E48-ABE5-B6C2093B7175}"/>
    <cellStyle name="Migliaia 52 7 3" xfId="6772" xr:uid="{EDE04637-5F84-48CE-A355-DB60D39184ED}"/>
    <cellStyle name="Migliaia 52 7 3 2" xfId="40114" xr:uid="{582DB7F1-2367-48FE-8FED-08C169B1F9F3}"/>
    <cellStyle name="Migliaia 52 7 3 3" xfId="45416" xr:uid="{3014C438-201E-437B-ACB0-2CF79CAA2E32}"/>
    <cellStyle name="Migliaia 52 7 3 4" xfId="34497" xr:uid="{F82E0A89-4761-41B6-80B5-317D6D370357}"/>
    <cellStyle name="Migliaia 52 7 3 5" xfId="20925" xr:uid="{E2BE290D-FC60-4EFD-BC4C-C88F88E974BA}"/>
    <cellStyle name="Migliaia 52 7 4" xfId="37472" xr:uid="{A413E715-D20A-48E3-99EC-5416A5CC0A3C}"/>
    <cellStyle name="Migliaia 52 7 5" xfId="42765" xr:uid="{5B86EAAB-8F11-4994-BB03-EC39D96F488F}"/>
    <cellStyle name="Migliaia 52 7 6" xfId="16761" xr:uid="{8B610CB3-F262-4A16-83D9-EC9FDB982EB1}"/>
    <cellStyle name="Migliaia 52 7 7" xfId="8382" xr:uid="{94CBED37-1FF3-4DCA-8623-59D74F468BBD}"/>
    <cellStyle name="Migliaia 52 8" xfId="3871" xr:uid="{CDF16066-9FBF-400C-9E0C-859C512F7701}"/>
    <cellStyle name="Migliaia 52 8 2" xfId="5597" xr:uid="{BC0CC8ED-5DC5-431E-910D-D4B8094900F4}"/>
    <cellStyle name="Migliaia 52 8 2 2" xfId="35458" xr:uid="{939B3396-5D74-4B35-9EDD-AF661B394BA7}"/>
    <cellStyle name="Migliaia 52 8 2 2 2" xfId="40618" xr:uid="{9386B7D0-5B69-4A71-9EF6-98AFE13E5FC2}"/>
    <cellStyle name="Migliaia 52 8 2 2 3" xfId="45920" xr:uid="{ACC828B2-33CD-42C5-A2FE-F4596E7D1AF9}"/>
    <cellStyle name="Migliaia 52 8 2 3" xfId="37967" xr:uid="{32FED97A-0B8F-4F62-9F54-EE72ABCE122D}"/>
    <cellStyle name="Migliaia 52 8 2 4" xfId="43269" xr:uid="{FCAA7955-C6EE-4C68-BB30-EB72ACEE0F35}"/>
    <cellStyle name="Migliaia 52 8 2 5" xfId="14025" xr:uid="{F6EA8BF4-27CB-4C48-BC11-11FABC9C534A}"/>
    <cellStyle name="Migliaia 52 8 3" xfId="6773" xr:uid="{0B01831D-C060-432E-8770-8AEA844FBDFE}"/>
    <cellStyle name="Migliaia 52 8 3 2" xfId="40115" xr:uid="{CEB5481D-1031-4D8E-9A71-7F0DFFECD6C6}"/>
    <cellStyle name="Migliaia 52 8 3 3" xfId="45417" xr:uid="{29B1CBCE-BF0B-4CA3-B8DD-5D4C8DBBA598}"/>
    <cellStyle name="Migliaia 52 8 3 4" xfId="34498" xr:uid="{6A4252B9-37B7-44F9-BE6A-0AC473525629}"/>
    <cellStyle name="Migliaia 52 8 3 5" xfId="20926" xr:uid="{E00DD43E-2264-4644-B39F-1C761F8BD224}"/>
    <cellStyle name="Migliaia 52 8 4" xfId="37473" xr:uid="{CD15873E-7345-4BCD-8060-B3FEA7E513F6}"/>
    <cellStyle name="Migliaia 52 8 5" xfId="42766" xr:uid="{B9E9B37F-2CC4-4AC0-9E69-DE9F15DF77F7}"/>
    <cellStyle name="Migliaia 52 8 6" xfId="16762" xr:uid="{53009083-FA9E-4864-AB4D-BA63EA22E32A}"/>
    <cellStyle name="Migliaia 52 8 7" xfId="8010" xr:uid="{4195D993-7E3D-4167-BD67-32D14A21BAAE}"/>
    <cellStyle name="Migliaia 52 9" xfId="5582" xr:uid="{A9201CA5-F61B-4D5F-84CF-DA5CDC670C37}"/>
    <cellStyle name="Migliaia 52 9 2" xfId="34499" xr:uid="{DB9009F8-5D1A-4070-BAD9-66B663CD9A04}"/>
    <cellStyle name="Migliaia 52 9 2 2" xfId="40116" xr:uid="{6845DAFF-C406-48DC-A2E2-762B5146AC2B}"/>
    <cellStyle name="Migliaia 52 9 2 3" xfId="45418" xr:uid="{B2C14F51-22B0-4E9E-8C8A-F92844589DB0}"/>
    <cellStyle name="Migliaia 52 9 3" xfId="37474" xr:uid="{036D0835-FA2A-44BC-B37C-8E2A2364923B}"/>
    <cellStyle name="Migliaia 52 9 4" xfId="42767" xr:uid="{6D8EC918-CD1E-48B8-B7E5-67F78A3E5489}"/>
    <cellStyle name="Migliaia 52 9 5" xfId="17229" xr:uid="{42BB29D1-5BF7-451F-9F44-BF57AE98E20F}"/>
    <cellStyle name="Migliaia 53" xfId="493" xr:uid="{00000000-0005-0000-0000-00006F040000}"/>
    <cellStyle name="Migliaia 53 10" xfId="6774" xr:uid="{DAABB730-F358-454D-B24E-C6CA17D60C38}"/>
    <cellStyle name="Migliaia 53 10 2" xfId="40117" xr:uid="{0FE4BD0D-770F-467B-976A-56144C8591F0}"/>
    <cellStyle name="Migliaia 53 10 3" xfId="45419" xr:uid="{ADACED73-6983-4C20-BE5A-286FD5703F8B}"/>
    <cellStyle name="Migliaia 53 10 4" xfId="34500" xr:uid="{0A4A96FC-E6CD-4BA0-9443-8EAB8C76FC08}"/>
    <cellStyle name="Migliaia 53 10 5" xfId="20927" xr:uid="{79ABB330-18EF-4D70-8E67-CD7911E58666}"/>
    <cellStyle name="Migliaia 53 11" xfId="3872" xr:uid="{F577A5FA-201D-4BAD-BE16-3B8538AADD32}"/>
    <cellStyle name="Migliaia 53 11 2" xfId="37475" xr:uid="{4F72C184-67D0-40BB-B8E4-E4C77A1EBCA2}"/>
    <cellStyle name="Migliaia 53 12" xfId="42768" xr:uid="{EEF49269-F9B0-425A-97A1-B04495D00325}"/>
    <cellStyle name="Migliaia 53 13" xfId="7186" xr:uid="{3C832AD8-90DA-4F00-A340-3598D37DDAEC}"/>
    <cellStyle name="Migliaia 53 2" xfId="494" xr:uid="{00000000-0005-0000-0000-000070040000}"/>
    <cellStyle name="Migliaia 53 2 2" xfId="1896" xr:uid="{00000000-0005-0000-0000-000071040000}"/>
    <cellStyle name="Migliaia 53 2 2 2" xfId="5600" xr:uid="{9FCDC712-8F29-4C62-9DB0-A380AFDE55B0}"/>
    <cellStyle name="Migliaia 53 2 2 2 2" xfId="14411" xr:uid="{4B84363E-DFA7-493B-AB26-8F03F7BF09E8}"/>
    <cellStyle name="Migliaia 53 2 2 2 2 2" xfId="40118" xr:uid="{518A7B55-EEEB-4462-B3E8-361D0E5DF805}"/>
    <cellStyle name="Migliaia 53 2 2 2 2 3" xfId="45420" xr:uid="{C8E98B56-FCFF-4D73-8307-A7C3FB9B1D35}"/>
    <cellStyle name="Migliaia 53 2 2 2 3" xfId="18506" xr:uid="{F2D59A02-B7DB-4925-8A4B-C2F60E1C96B7}"/>
    <cellStyle name="Migliaia 53 2 2 2 4" xfId="20930" xr:uid="{EF679286-5D46-4E4D-8C5E-D2ABE6DBF0CB}"/>
    <cellStyle name="Migliaia 53 2 2 2 4 2" xfId="42769" xr:uid="{E673FC0B-4036-447D-80AA-3AC31A02C29C}"/>
    <cellStyle name="Migliaia 53 2 2 2 5" xfId="16763" xr:uid="{B7DE8435-FC2F-48EF-953B-58BEDA7836A8}"/>
    <cellStyle name="Migliaia 53 2 2 2 6" xfId="8769" xr:uid="{4DE672F9-B7EC-4FB7-B4B7-98802F136259}"/>
    <cellStyle name="Migliaia 53 2 2 3" xfId="6776" xr:uid="{C294BC7A-BAAF-4BDD-B838-9C2DA801907C}"/>
    <cellStyle name="Migliaia 53 2 2 3 2" xfId="35459" xr:uid="{19913BAD-259C-408E-BA80-BDC6FFB6C3F1}"/>
    <cellStyle name="Migliaia 53 2 2 3 2 2" xfId="40619" xr:uid="{731DAB54-97CD-47EB-AB01-755D02D228DA}"/>
    <cellStyle name="Migliaia 53 2 2 3 2 3" xfId="45921" xr:uid="{B149FE83-3745-425F-920F-CEEC0E685453}"/>
    <cellStyle name="Migliaia 53 2 2 3 3" xfId="37968" xr:uid="{B1F37DF2-E788-4BB1-AA40-02869DD597A1}"/>
    <cellStyle name="Migliaia 53 2 2 3 4" xfId="43270" xr:uid="{E5CC4404-61D1-469B-8B7C-5DCDB32772FE}"/>
    <cellStyle name="Migliaia 53 2 2 3 5" xfId="11638" xr:uid="{8BFA8DCC-4CF9-4CDF-B89B-9435675C594B}"/>
    <cellStyle name="Migliaia 53 2 2 4" xfId="3874" xr:uid="{42DBEE27-4BB5-48A7-81B7-579439AEA7ED}"/>
    <cellStyle name="Migliaia 53 2 2 4 2" xfId="21608" xr:uid="{24D53240-732F-4603-83AE-12677809F87F}"/>
    <cellStyle name="Migliaia 53 2 2 4 3" xfId="47004" xr:uid="{271A898E-89A1-4224-8A7C-4693DEB035AF}"/>
    <cellStyle name="Migliaia 53 2 2 4 4" xfId="50623" xr:uid="{34E1736C-CBE5-4C5D-AAEB-CBA86FF1CE19}"/>
    <cellStyle name="Migliaia 53 2 2 4 5" xfId="53639" xr:uid="{6AC004E3-E42F-40DB-9B58-560E22C90573}"/>
    <cellStyle name="Migliaia 53 2 2 4 6" xfId="10973" xr:uid="{AA163C25-3F78-48B1-A49C-E35752CAE3DE}"/>
    <cellStyle name="Migliaia 53 2 2 5" xfId="20929" xr:uid="{381C68C2-2C4C-4B63-9EDD-6E736E7303A1}"/>
    <cellStyle name="Migliaia 53 2 2 6" xfId="25313" xr:uid="{80BE1379-98BF-4C89-A1F6-21E7419ACCA3}"/>
    <cellStyle name="Migliaia 53 2 2 7" xfId="7579" xr:uid="{74C177FF-1317-44CE-A7F8-2D02BDADF53B}"/>
    <cellStyle name="Migliaia 53 2 3" xfId="3875" xr:uid="{02500575-C6FA-402E-8599-0AD31427F0FE}"/>
    <cellStyle name="Migliaia 53 2 3 2" xfId="5601" xr:uid="{BE3AF0C6-4A27-4615-BD5A-C9651DD44D92}"/>
    <cellStyle name="Migliaia 53 2 3 2 2" xfId="35460" xr:uid="{0D6646B1-885C-4D57-9CFE-ED342677BBA3}"/>
    <cellStyle name="Migliaia 53 2 3 2 2 2" xfId="40620" xr:uid="{D55A694D-0A79-4B78-9937-EF334BADF10F}"/>
    <cellStyle name="Migliaia 53 2 3 2 2 3" xfId="45922" xr:uid="{B252B674-5242-47DE-BEFF-979F4920A7A8}"/>
    <cellStyle name="Migliaia 53 2 3 2 3" xfId="37969" xr:uid="{474291A0-A7D4-4EE2-A81E-4C99A4D2C97F}"/>
    <cellStyle name="Migliaia 53 2 3 2 4" xfId="43271" xr:uid="{C609BFED-EAC0-4FCC-B313-AF9E95526600}"/>
    <cellStyle name="Migliaia 53 2 3 2 5" xfId="14324" xr:uid="{98FBCA2B-A324-46F9-9BD8-BD7BFB57DFC4}"/>
    <cellStyle name="Migliaia 53 2 3 3" xfId="6777" xr:uid="{B19315B1-1D0B-4601-8142-E9662F818A16}"/>
    <cellStyle name="Migliaia 53 2 3 3 2" xfId="40119" xr:uid="{BC26D025-3792-45EE-8B22-A329010F3DD8}"/>
    <cellStyle name="Migliaia 53 2 3 3 3" xfId="45421" xr:uid="{36591EB2-F826-496F-BD86-0C0367C549D7}"/>
    <cellStyle name="Migliaia 53 2 3 3 4" xfId="34501" xr:uid="{B1B52BD4-92BF-4708-BAD8-7CAD8F191D32}"/>
    <cellStyle name="Migliaia 53 2 3 3 5" xfId="20931" xr:uid="{EA2ABCE7-718F-4701-91ED-5A130692A239}"/>
    <cellStyle name="Migliaia 53 2 3 4" xfId="37476" xr:uid="{2A8A748F-BFB5-4E19-BE63-7C21B611C297}"/>
    <cellStyle name="Migliaia 53 2 3 5" xfId="42770" xr:uid="{440839F4-9CA6-466A-BF89-A03C4D718560}"/>
    <cellStyle name="Migliaia 53 2 3 6" xfId="16764" xr:uid="{6B59ABAB-3BCC-4200-8FD9-D1BA0DF92160}"/>
    <cellStyle name="Migliaia 53 2 3 7" xfId="8386" xr:uid="{F0B9F7CB-4D49-4874-A91B-B11F478AC16E}"/>
    <cellStyle name="Migliaia 53 2 4" xfId="5599" xr:uid="{79285C30-7E19-4A06-879C-5D9E17637B45}"/>
    <cellStyle name="Migliaia 53 2 4 2" xfId="14029" xr:uid="{D9F053E3-E423-4B69-A052-1BEE3DE4A142}"/>
    <cellStyle name="Migliaia 53 2 4 2 2" xfId="40120" xr:uid="{763DB3D6-0320-4134-A312-AB06D4359652}"/>
    <cellStyle name="Migliaia 53 2 4 2 3" xfId="45422" xr:uid="{CFF69C43-3B97-493F-8A31-F896E4F7718F}"/>
    <cellStyle name="Migliaia 53 2 4 3" xfId="18026" xr:uid="{F467BF2D-172C-4D92-9BD0-A11310B03469}"/>
    <cellStyle name="Migliaia 53 2 4 4" xfId="20932" xr:uid="{AAEBE5F2-F774-4914-85DF-D0131E10A05B}"/>
    <cellStyle name="Migliaia 53 2 4 4 2" xfId="42771" xr:uid="{53A2390F-45E7-4A74-B202-487B894E7ED8}"/>
    <cellStyle name="Migliaia 53 2 4 5" xfId="16765" xr:uid="{5FF110A9-E6C5-4B1C-BDD3-E1BD5D88264F}"/>
    <cellStyle name="Migliaia 53 2 4 6" xfId="8015" xr:uid="{CEB0B378-1627-4AA5-AB83-86A4A5B59023}"/>
    <cellStyle name="Migliaia 53 2 5" xfId="6775" xr:uid="{3C67B881-3AA1-4800-8D4B-647D0E92CC67}"/>
    <cellStyle name="Migliaia 53 2 5 2" xfId="34502" xr:uid="{BEA95D4A-F6DC-4AAA-B3E3-887EE52C3FFE}"/>
    <cellStyle name="Migliaia 53 2 5 2 2" xfId="40121" xr:uid="{A04A44C7-D455-4A01-85D7-114A31A21D5D}"/>
    <cellStyle name="Migliaia 53 2 5 2 3" xfId="45423" xr:uid="{74B0AE18-E8AF-4777-927A-8A69595AE826}"/>
    <cellStyle name="Migliaia 53 2 5 3" xfId="37477" xr:uid="{08F27FA0-BAC5-4A2E-B352-9A06C7C3A0B2}"/>
    <cellStyle name="Migliaia 53 2 5 4" xfId="42772" xr:uid="{A2042EF7-471D-4D8E-8C39-CDBF29662775}"/>
    <cellStyle name="Migliaia 53 2 5 5" xfId="13151" xr:uid="{A4CE940D-29F7-4705-89DF-0E7F2CCFCA62}"/>
    <cellStyle name="Migliaia 53 2 6" xfId="3873" xr:uid="{62C1B83E-D9A4-4B18-B4B9-F32F2D39B531}"/>
    <cellStyle name="Migliaia 53 2 6 2" xfId="34503" xr:uid="{748F2B30-EFB8-4895-9346-53D27D6B5EF8}"/>
    <cellStyle name="Migliaia 53 2 6 2 2" xfId="40122" xr:uid="{494F19D6-291D-41E5-AF8B-A68766B866C8}"/>
    <cellStyle name="Migliaia 53 2 6 2 3" xfId="45424" xr:uid="{3B723AF3-36A4-4700-A8BF-9A4C6776E45B}"/>
    <cellStyle name="Migliaia 53 2 6 3" xfId="37478" xr:uid="{9C55549B-15B2-48B6-BB5A-1A80D95B9F79}"/>
    <cellStyle name="Migliaia 53 2 6 4" xfId="42773" xr:uid="{1BFA6BF0-5457-4C86-A27D-8F66C551E7BA}"/>
    <cellStyle name="Migliaia 53 2 6 5" xfId="25314" xr:uid="{C2E9312F-7348-497B-88EA-B4AE4760160C}"/>
    <cellStyle name="Migliaia 53 2 6 6" xfId="20928" xr:uid="{07027D43-78C2-4090-A3FC-B5F00E6B0B42}"/>
    <cellStyle name="Migliaia 53 2 7" xfId="25312" xr:uid="{DCFEBD8A-3B85-44D0-92BD-E236D37FBFFB}"/>
    <cellStyle name="Migliaia 53 2 8" xfId="7187" xr:uid="{8897B37C-5540-4F20-AD41-409DE92A66D5}"/>
    <cellStyle name="Migliaia 53 3" xfId="495" xr:uid="{00000000-0005-0000-0000-000072040000}"/>
    <cellStyle name="Migliaia 53 3 10" xfId="25315" xr:uid="{53FB93DE-5461-4F5F-9725-8417D327EF47}"/>
    <cellStyle name="Migliaia 53 3 11" xfId="16766" xr:uid="{498AA1A2-2E36-4C44-9EBB-CC646B6D1BB1}"/>
    <cellStyle name="Migliaia 53 3 12" xfId="7188" xr:uid="{C35CFB18-A7CD-43B9-BC91-C55E2D686A2F}"/>
    <cellStyle name="Migliaia 53 3 2" xfId="496" xr:uid="{00000000-0005-0000-0000-000073040000}"/>
    <cellStyle name="Migliaia 53 3 2 2" xfId="1897" xr:uid="{00000000-0005-0000-0000-000074040000}"/>
    <cellStyle name="Migliaia 53 3 2 2 2" xfId="5604" xr:uid="{75C72B14-29FD-4EDC-A5AA-21C320D99EBB}"/>
    <cellStyle name="Migliaia 53 3 2 2 2 2" xfId="18507" xr:uid="{F32E3ADC-01C7-4C06-B5C3-C7282D315A35}"/>
    <cellStyle name="Migliaia 53 3 2 2 2 2 2" xfId="21889" xr:uid="{CB7FA5FB-8923-4C8C-8045-AEB1633033EB}"/>
    <cellStyle name="Migliaia 53 3 2 2 2 2 2 2" xfId="40123" xr:uid="{36F3380F-A258-4AD4-9CD9-82D3D636942B}"/>
    <cellStyle name="Migliaia 53 3 2 2 2 2 3" xfId="45425" xr:uid="{00D4B525-07B0-4A1C-A768-D140136B80BF}"/>
    <cellStyle name="Migliaia 53 3 2 2 2 2 4" xfId="34504" xr:uid="{96C55D7F-D47D-43DD-8259-5432A5A00E22}"/>
    <cellStyle name="Migliaia 53 3 2 2 2 3" xfId="37479" xr:uid="{25AC9A29-5C55-44FB-825C-A8742AF98251}"/>
    <cellStyle name="Migliaia 53 3 2 2 2 4" xfId="42774" xr:uid="{F44039D4-50BA-4FF6-92E0-0EE747C288BB}"/>
    <cellStyle name="Migliaia 53 3 2 2 2 5" xfId="48333" xr:uid="{9B5E1508-640B-49CF-B5A9-2EC0A361F0A1}"/>
    <cellStyle name="Migliaia 53 3 2 2 2 6" xfId="50917" xr:uid="{54CDBE45-7BD1-44B3-AC8F-CCBB30881DDC}"/>
    <cellStyle name="Migliaia 53 3 2 2 2 7" xfId="53933" xr:uid="{BB624C03-70A5-43D6-9DFA-20DEFD4B08AE}"/>
    <cellStyle name="Migliaia 53 3 2 2 2 8" xfId="17688" xr:uid="{4D7DE55E-2E3C-41C6-A3E0-4DD400534FAB}"/>
    <cellStyle name="Migliaia 53 3 2 2 2 9" xfId="12079" xr:uid="{9AE5FCBC-5EE5-427B-9323-E702CB91F751}"/>
    <cellStyle name="Migliaia 53 3 2 2 3" xfId="6780" xr:uid="{7FA9ABE1-7B77-45A7-BF60-319609DC99D0}"/>
    <cellStyle name="Migliaia 53 3 2 2 3 2" xfId="12153" xr:uid="{52456DBC-E612-4744-93CA-43E3734456CA}"/>
    <cellStyle name="Migliaia 53 3 2 2 4" xfId="3878" xr:uid="{CB917C84-8DF1-469D-924F-DA2073ED0507}"/>
    <cellStyle name="Migliaia 53 3 2 2 4 2" xfId="21609" xr:uid="{982856C9-FE88-4672-BA72-40E991E63578}"/>
    <cellStyle name="Migliaia 53 3 2 2 4 3" xfId="47809" xr:uid="{1C884AAE-1A37-4345-8041-A8A55C8F4993}"/>
    <cellStyle name="Migliaia 53 3 2 2 4 4" xfId="50624" xr:uid="{4771FCB7-6FAE-4C17-85A0-991494530E1B}"/>
    <cellStyle name="Migliaia 53 3 2 2 4 5" xfId="53640" xr:uid="{30CDFEC2-A365-4289-A0BB-73EDC9B761B2}"/>
    <cellStyle name="Migliaia 53 3 2 2 4 6" xfId="10974" xr:uid="{73964F8D-1700-4E95-A04B-CA5EFE923DE9}"/>
    <cellStyle name="Migliaia 53 3 2 2 5" xfId="20935" xr:uid="{08346BCD-7CAA-461B-ADB8-6F9BFA02BF92}"/>
    <cellStyle name="Migliaia 53 3 2 2 6" xfId="25317" xr:uid="{82ABCA99-8CD6-4BAB-99F0-001AD75C295A}"/>
    <cellStyle name="Migliaia 53 3 2 2 7" xfId="8771" xr:uid="{1A93341A-6525-431C-8119-3E3F53C7C5A1}"/>
    <cellStyle name="Migliaia 53 3 2 3" xfId="5603" xr:uid="{85C60C5D-9849-414D-924D-2290AF049499}"/>
    <cellStyle name="Migliaia 53 3 2 3 2" xfId="12399" xr:uid="{196FBDD8-E903-4D1E-A231-90F125C965D7}"/>
    <cellStyle name="Migliaia 53 3 2 3 2 2" xfId="40124" xr:uid="{96934E05-BA6A-4751-A02D-81B67135708D}"/>
    <cellStyle name="Migliaia 53 3 2 3 2 3" xfId="45426" xr:uid="{EA873047-F6EF-4CD7-B63F-F214D14739A5}"/>
    <cellStyle name="Migliaia 53 3 2 3 2 4" xfId="34505" xr:uid="{91C7C2BD-7ADC-4D31-8CBA-18EF2917FAE5}"/>
    <cellStyle name="Migliaia 53 3 2 3 3" xfId="12080" xr:uid="{136BCC7E-2194-44A6-B2F0-669DDA103A74}"/>
    <cellStyle name="Migliaia 53 3 2 3 4" xfId="20936" xr:uid="{E424271F-804E-4130-A9D9-ECCF3858EFF6}"/>
    <cellStyle name="Migliaia 53 3 2 3 4 2" xfId="42775" xr:uid="{1C51F291-9422-46AD-B427-9EB5B0151AE1}"/>
    <cellStyle name="Migliaia 53 3 2 3 5" xfId="16767" xr:uid="{D92CD7E1-1EA4-44C1-8C2F-CFFED851A7A2}"/>
    <cellStyle name="Migliaia 53 3 2 3 6" xfId="8017" xr:uid="{03A1DA71-E6A1-4674-86AB-406D876C69C1}"/>
    <cellStyle name="Migliaia 53 3 2 4" xfId="6779" xr:uid="{7D14AFBB-177D-4DDF-A911-649763AF1ECE}"/>
    <cellStyle name="Migliaia 53 3 2 4 2" xfId="18105" xr:uid="{CFED6966-8774-471F-AB4A-49DCE3FFCFBE}"/>
    <cellStyle name="Migliaia 53 3 2 4 2 2" xfId="40125" xr:uid="{8EFFD414-34A0-40A1-97A5-CD4476B025B1}"/>
    <cellStyle name="Migliaia 53 3 2 4 2 3" xfId="45427" xr:uid="{ED9BC48C-4FE3-4B5F-9FFE-A315762E5FA7}"/>
    <cellStyle name="Migliaia 53 3 2 4 3" xfId="37480" xr:uid="{4B1039F4-66E8-4847-87A1-2CF66F960A85}"/>
    <cellStyle name="Migliaia 53 3 2 4 4" xfId="42776" xr:uid="{1398E508-E79A-43EB-B2CA-303B18F4E2CE}"/>
    <cellStyle name="Migliaia 53 3 2 4 5" xfId="17232" xr:uid="{D50F1EAC-3704-46AC-A6D6-FCFC766FFAB8}"/>
    <cellStyle name="Migliaia 53 3 2 4 6" xfId="11432" xr:uid="{D095B24D-DF0E-4EAE-8CD9-337B774C65F6}"/>
    <cellStyle name="Migliaia 53 3 2 5" xfId="3877" xr:uid="{6775C2D6-273D-4242-8F25-D8BD483F35CC}"/>
    <cellStyle name="Migliaia 53 3 2 5 2" xfId="34506" xr:uid="{C733B251-C549-41DC-A3E0-264322F55042}"/>
    <cellStyle name="Migliaia 53 3 2 5 2 2" xfId="40126" xr:uid="{4D97DDA7-C854-4482-908F-B93F69B5E7EF}"/>
    <cellStyle name="Migliaia 53 3 2 5 2 3" xfId="45428" xr:uid="{09537322-5D15-4568-B17F-E452D616FBEB}"/>
    <cellStyle name="Migliaia 53 3 2 5 3" xfId="37481" xr:uid="{3E64E9C1-A209-4493-A1BD-0E1CA7BC4976}"/>
    <cellStyle name="Migliaia 53 3 2 5 4" xfId="42777" xr:uid="{8AD69CE8-F1A2-4C6A-9EB1-90E2D4F5AC1F}"/>
    <cellStyle name="Migliaia 53 3 2 5 5" xfId="17282" xr:uid="{5CA28D9A-834B-447C-BF8C-D5CEE85425E3}"/>
    <cellStyle name="Migliaia 53 3 2 6" xfId="20934" xr:uid="{093C2B74-1AA7-4DD4-9E06-297107A326CA}"/>
    <cellStyle name="Migliaia 53 3 2 6 2" xfId="34507" xr:uid="{93C4F193-3F5F-4A20-935E-E7B09109579C}"/>
    <cellStyle name="Migliaia 53 3 2 6 2 2" xfId="40127" xr:uid="{F5B29F03-6071-46CD-817E-C60A93C26DAF}"/>
    <cellStyle name="Migliaia 53 3 2 6 2 3" xfId="45429" xr:uid="{C1CB4BDF-6DBD-4049-8DFE-AD237FC7038A}"/>
    <cellStyle name="Migliaia 53 3 2 6 3" xfId="37482" xr:uid="{85FDFC39-B926-4439-AC5F-F874316A693B}"/>
    <cellStyle name="Migliaia 53 3 2 6 4" xfId="42778" xr:uid="{337175A1-61EC-45F0-94F7-4556230F927A}"/>
    <cellStyle name="Migliaia 53 3 2 6 5" xfId="25318" xr:uid="{E8FB1664-C642-49A2-A556-1EA04F7A4955}"/>
    <cellStyle name="Migliaia 53 3 2 7" xfId="25316" xr:uid="{43520FCA-58B4-4857-A079-CB81BE85C858}"/>
    <cellStyle name="Migliaia 53 3 2 8" xfId="7581" xr:uid="{0FBC3842-DD2F-4586-A989-0B48D694D027}"/>
    <cellStyle name="Migliaia 53 3 3" xfId="3879" xr:uid="{B007EE73-7F64-4378-82D1-D8E8338F4576}"/>
    <cellStyle name="Migliaia 53 3 3 10" xfId="7580" xr:uid="{50D69143-C5C7-4044-B501-96EEAA162531}"/>
    <cellStyle name="Migliaia 53 3 3 2" xfId="5605" xr:uid="{81E03943-2F26-4427-9C81-124D02491819}"/>
    <cellStyle name="Migliaia 53 3 3 2 2" xfId="9978" xr:uid="{C6FFA2BC-D3CE-4790-BB8E-78DA81E6CFB9}"/>
    <cellStyle name="Migliaia 53 3 3 2 2 2" xfId="40129" xr:uid="{84A2D34B-8741-4E36-9832-549748154DB9}"/>
    <cellStyle name="Migliaia 53 3 3 2 2 3" xfId="45431" xr:uid="{298C2086-C134-4479-813E-150CE60BF680}"/>
    <cellStyle name="Migliaia 53 3 3 2 3" xfId="18258" xr:uid="{343568EC-1893-41B4-9B17-016180CBA48A}"/>
    <cellStyle name="Migliaia 53 3 3 2 4" xfId="20938" xr:uid="{B0DA4036-4E58-45F0-9771-BFB8C8CBAC22}"/>
    <cellStyle name="Migliaia 53 3 3 2 4 2" xfId="42780" xr:uid="{518F1903-EDE5-48C5-BFE6-7306A6F297FE}"/>
    <cellStyle name="Migliaia 53 3 3 2 5" xfId="16769" xr:uid="{50115D6C-DE98-4243-A5EF-8E33F9044BE0}"/>
    <cellStyle name="Migliaia 53 3 3 2 6" xfId="8770" xr:uid="{40A1985C-3A9A-482E-84A8-3B05BBE9A41C}"/>
    <cellStyle name="Migliaia 53 3 3 3" xfId="6781" xr:uid="{F340A5EC-D3CF-4110-8DC4-288ECD06B4F7}"/>
    <cellStyle name="Migliaia 53 3 3 3 2" xfId="34509" xr:uid="{EA1943DD-D68D-4632-8DE1-BB76389370D9}"/>
    <cellStyle name="Migliaia 53 3 3 3 2 2" xfId="40130" xr:uid="{5EC09AE2-C699-4EAE-8249-0AA0E0B0E2AB}"/>
    <cellStyle name="Migliaia 53 3 3 3 2 3" xfId="45432" xr:uid="{5FA4B8C0-AAFC-4C3C-9BC3-BA21A2A1656B}"/>
    <cellStyle name="Migliaia 53 3 3 3 3" xfId="37484" xr:uid="{1DCB395A-800E-45F8-B8CD-2CC00FA6E939}"/>
    <cellStyle name="Migliaia 53 3 3 3 4" xfId="42781" xr:uid="{29BCCA6C-BD85-46A2-B28D-22ED036E3085}"/>
    <cellStyle name="Migliaia 53 3 3 3 5" xfId="9741" xr:uid="{883153AC-00DD-457E-9477-BC707677C8A5}"/>
    <cellStyle name="Migliaia 53 3 3 4" xfId="20937" xr:uid="{F92BE089-020D-47D7-92A1-014C27675A58}"/>
    <cellStyle name="Migliaia 53 3 3 4 2" xfId="34510" xr:uid="{304EE081-CCB5-409F-B30D-0E8BD6AD368C}"/>
    <cellStyle name="Migliaia 53 3 3 4 2 2" xfId="40131" xr:uid="{017761F3-6E7B-4D0B-9926-C93740345B5D}"/>
    <cellStyle name="Migliaia 53 3 3 4 2 3" xfId="45433" xr:uid="{7D7791B2-7BD3-42B1-8C6C-AAC080A8E04A}"/>
    <cellStyle name="Migliaia 53 3 3 4 3" xfId="37485" xr:uid="{122A7394-2E5E-4177-8381-BEC35B26FB14}"/>
    <cellStyle name="Migliaia 53 3 3 4 4" xfId="42782" xr:uid="{15757778-AD4E-4AE1-94DC-3644BE77831D}"/>
    <cellStyle name="Migliaia 53 3 3 4 5" xfId="25320" xr:uid="{ED582B15-8F76-4578-A5B4-24FEA6030F4A}"/>
    <cellStyle name="Migliaia 53 3 3 5" xfId="25321" xr:uid="{981C8891-F07B-494E-8D39-C621B2AF8EEC}"/>
    <cellStyle name="Migliaia 53 3 3 5 2" xfId="34511" xr:uid="{CCE49F4E-D1EF-40D6-AE1A-CA985917B6CA}"/>
    <cellStyle name="Migliaia 53 3 3 5 2 2" xfId="40132" xr:uid="{E96FC7E6-4A41-4C6F-A975-D8BEE62449FB}"/>
    <cellStyle name="Migliaia 53 3 3 5 2 3" xfId="45434" xr:uid="{BC6C21A0-72A9-47D6-8D18-9A3C7DDB85D1}"/>
    <cellStyle name="Migliaia 53 3 3 5 3" xfId="37486" xr:uid="{19959284-FB0B-44AE-9E4B-13DE374779BF}"/>
    <cellStyle name="Migliaia 53 3 3 5 4" xfId="42783" xr:uid="{E8B03C19-2C1B-463F-9FBB-FAD0C83BF8A9}"/>
    <cellStyle name="Migliaia 53 3 3 6" xfId="34508" xr:uid="{E436513D-9FBD-4F52-B653-42045F39F0C0}"/>
    <cellStyle name="Migliaia 53 3 3 6 2" xfId="40128" xr:uid="{23D6672A-6E6A-4E5E-A7C2-1BA089E01501}"/>
    <cellStyle name="Migliaia 53 3 3 6 3" xfId="45430" xr:uid="{F861D6A5-063F-4E09-A154-58146DE27F28}"/>
    <cellStyle name="Migliaia 53 3 3 7" xfId="37483" xr:uid="{24864F3F-13E7-4CAB-A203-BF3EFB29B697}"/>
    <cellStyle name="Migliaia 53 3 3 8" xfId="42779" xr:uid="{F484C95B-77B3-41D9-BBA0-EDCC48013BCC}"/>
    <cellStyle name="Migliaia 53 3 3 9" xfId="16768" xr:uid="{2725B595-2AD2-405B-A590-525A20A4659F}"/>
    <cellStyle name="Migliaia 53 3 4" xfId="3880" xr:uid="{C5224267-4214-4399-91CF-09B0D892940C}"/>
    <cellStyle name="Migliaia 53 3 4 2" xfId="5606" xr:uid="{04C6FA9A-47A6-4F06-9B3B-063D426021AE}"/>
    <cellStyle name="Migliaia 53 3 4 2 2" xfId="14471" xr:uid="{24EF8A2D-09CE-48D6-9F00-C4653E38BEAC}"/>
    <cellStyle name="Migliaia 53 3 4 2 3" xfId="18576" xr:uid="{7BDBD987-FD8C-4F7D-AD60-8B40C0DEE560}"/>
    <cellStyle name="Migliaia 53 3 4 2 4" xfId="20940" xr:uid="{7E6C2926-B54A-46D1-9966-EA7FA69275AF}"/>
    <cellStyle name="Migliaia 53 3 4 2 5" xfId="32463" xr:uid="{D9862B42-2AF9-456B-A49F-5E7C6127712C}"/>
    <cellStyle name="Migliaia 53 3 4 2 6" xfId="16771" xr:uid="{8FC00584-1638-4E42-939B-72BD8DB19F5B}"/>
    <cellStyle name="Migliaia 53 3 4 2 7" xfId="8894" xr:uid="{3AF61F36-4ED6-44A9-AE74-7D61FC9D5CD6}"/>
    <cellStyle name="Migliaia 53 3 4 3" xfId="6782" xr:uid="{CE780606-F8E7-486D-B8D1-10B836AD182D}"/>
    <cellStyle name="Migliaia 53 3 4 3 2" xfId="35461" xr:uid="{781C5492-853F-4A13-84FF-41DAB63B9E58}"/>
    <cellStyle name="Migliaia 53 3 4 3 2 2" xfId="40621" xr:uid="{B07E9743-0E5B-494D-801C-7BDA93282B6E}"/>
    <cellStyle name="Migliaia 53 3 4 3 2 3" xfId="45923" xr:uid="{B91CD9A0-CBE0-40A8-807E-6284EF66657F}"/>
    <cellStyle name="Migliaia 53 3 4 3 3" xfId="37970" xr:uid="{D925FF8C-9645-4FB8-9B8C-8906C534BE2B}"/>
    <cellStyle name="Migliaia 53 3 4 3 4" xfId="43272" xr:uid="{EC46ABBE-75EE-4F71-A89D-2402B56F91F2}"/>
    <cellStyle name="Migliaia 53 3 4 3 5" xfId="13719" xr:uid="{8472C7C2-6A41-419D-B4ED-8E38CFB4048C}"/>
    <cellStyle name="Migliaia 53 3 4 4" xfId="20939" xr:uid="{12C92993-27A1-416E-8AE9-2FAB2BA3A9C6}"/>
    <cellStyle name="Migliaia 53 3 4 4 2" xfId="40133" xr:uid="{20629B5F-8D27-49D2-8897-08F2BDA2C853}"/>
    <cellStyle name="Migliaia 53 3 4 4 3" xfId="45435" xr:uid="{692A0CB0-CA61-4CBF-9F0D-01F6A93BAE7E}"/>
    <cellStyle name="Migliaia 53 3 4 4 4" xfId="34512" xr:uid="{FA073A32-AE5D-428A-9D4A-F83F3E40C2F9}"/>
    <cellStyle name="Migliaia 53 3 4 5" xfId="37487" xr:uid="{B3D98050-F609-449D-93EA-421D222D25D8}"/>
    <cellStyle name="Migliaia 53 3 4 6" xfId="42784" xr:uid="{EE935C47-A666-4E44-9704-F369883820C3}"/>
    <cellStyle name="Migliaia 53 3 4 7" xfId="16770" xr:uid="{BA3F4118-5E0A-44EE-A895-CDA92307EEFD}"/>
    <cellStyle name="Migliaia 53 3 4 8" xfId="7704" xr:uid="{44340128-4640-40DA-95FE-56B012925E9D}"/>
    <cellStyle name="Migliaia 53 3 5" xfId="3881" xr:uid="{47DD4609-1775-4409-9240-CAE6AD7E56FD}"/>
    <cellStyle name="Migliaia 53 3 5 2" xfId="5607" xr:uid="{38571950-1E44-46D7-AB1D-07A0003FCA8D}"/>
    <cellStyle name="Migliaia 53 3 5 2 2" xfId="35462" xr:uid="{2738E10B-687C-4D9C-B421-F77173FF2560}"/>
    <cellStyle name="Migliaia 53 3 5 2 2 2" xfId="40622" xr:uid="{AD9479AF-7D0D-4808-8AA3-CAF85E1E0DAC}"/>
    <cellStyle name="Migliaia 53 3 5 2 2 3" xfId="45924" xr:uid="{F12B93B3-7B3B-46E7-855A-959F24609C95}"/>
    <cellStyle name="Migliaia 53 3 5 2 3" xfId="37971" xr:uid="{11DC63C9-C219-4ABC-AD76-60CD7435189F}"/>
    <cellStyle name="Migliaia 53 3 5 2 4" xfId="43273" xr:uid="{B78E98AF-1F06-4E6B-BED8-F420762F235F}"/>
    <cellStyle name="Migliaia 53 3 5 2 5" xfId="14325" xr:uid="{A2D465BF-B6EF-4F10-A55E-07DA2803CFB9}"/>
    <cellStyle name="Migliaia 53 3 5 3" xfId="6783" xr:uid="{14CE2A3B-5540-4BC3-B3D9-787823D44F6B}"/>
    <cellStyle name="Migliaia 53 3 5 3 2" xfId="40134" xr:uid="{831580BE-9278-4C90-8957-7DB54E1A1DB6}"/>
    <cellStyle name="Migliaia 53 3 5 3 3" xfId="45436" xr:uid="{D29C4103-4015-4E20-AD43-749BA3911F0B}"/>
    <cellStyle name="Migliaia 53 3 5 3 4" xfId="34513" xr:uid="{95B7B8BB-9BD5-4C7F-9273-04686A7F1114}"/>
    <cellStyle name="Migliaia 53 3 5 3 5" xfId="20941" xr:uid="{BC354B74-929F-4C6D-844D-8A1BFF4A6968}"/>
    <cellStyle name="Migliaia 53 3 5 4" xfId="37488" xr:uid="{8C2C9E5A-991B-4124-9D8B-D0568645C98B}"/>
    <cellStyle name="Migliaia 53 3 5 5" xfId="42785" xr:uid="{EA0C357B-CBD4-4BF3-AC78-53049CF38F44}"/>
    <cellStyle name="Migliaia 53 3 5 6" xfId="16772" xr:uid="{544AEA06-A292-4797-A155-A0679C01DE44}"/>
    <cellStyle name="Migliaia 53 3 5 7" xfId="8387" xr:uid="{B1B95D03-3731-46CC-8E42-0D0AED17AEA0}"/>
    <cellStyle name="Migliaia 53 3 6" xfId="5602" xr:uid="{A952BE88-463A-49B6-9098-9BAD5C9E3C5C}"/>
    <cellStyle name="Migliaia 53 3 6 2" xfId="14030" xr:uid="{A93AE73D-6CF5-46D1-B604-1FC7BD56AD6B}"/>
    <cellStyle name="Migliaia 53 3 6 2 2" xfId="40135" xr:uid="{5AAB9944-D8C9-40B2-B3A1-315D99DEAF9B}"/>
    <cellStyle name="Migliaia 53 3 6 2 3" xfId="45437" xr:uid="{6177C0EC-3371-4A2D-BA4A-39A8D68B9EEA}"/>
    <cellStyle name="Migliaia 53 3 6 3" xfId="18292" xr:uid="{16BD652D-A0D2-4C71-9C4E-97E55D589AF8}"/>
    <cellStyle name="Migliaia 53 3 6 4" xfId="20942" xr:uid="{EC93C129-BB4A-4227-8F45-83CD4BAEBC21}"/>
    <cellStyle name="Migliaia 53 3 6 4 2" xfId="42786" xr:uid="{8A271878-CB73-4FD3-83A9-24DFFA68B488}"/>
    <cellStyle name="Migliaia 53 3 6 5" xfId="16773" xr:uid="{A61DE816-4CD2-4B75-A4D7-550973239EFB}"/>
    <cellStyle name="Migliaia 53 3 6 6" xfId="8016" xr:uid="{921D80D5-9E58-4F7B-86D6-75305B4EB232}"/>
    <cellStyle name="Migliaia 53 3 7" xfId="6778" xr:uid="{A31DDD86-40AC-4241-AF89-473E11805479}"/>
    <cellStyle name="Migliaia 53 3 7 2" xfId="34515" xr:uid="{F91A84FF-F200-4FDB-96B4-47E1A10AAE7F}"/>
    <cellStyle name="Migliaia 53 3 7 2 2" xfId="40136" xr:uid="{3106ED73-0D01-4A34-9EB2-23D971EF8BC5}"/>
    <cellStyle name="Migliaia 53 3 7 2 3" xfId="45438" xr:uid="{99A5FE9D-646E-46B8-9643-177F1B12EB6F}"/>
    <cellStyle name="Migliaia 53 3 7 3" xfId="37490" xr:uid="{CB3E35A5-A45E-41C5-8853-E80595A4126C}"/>
    <cellStyle name="Migliaia 53 3 7 4" xfId="42787" xr:uid="{1391EE95-AA6B-4EC4-902B-12B0A83CAA38}"/>
    <cellStyle name="Migliaia 53 3 7 5" xfId="12440" xr:uid="{665EEAB6-4F49-4A53-8664-14485827453C}"/>
    <cellStyle name="Migliaia 53 3 8" xfId="3876" xr:uid="{AE4B4BFC-96FE-46F7-BE5F-ED640FD1D2D3}"/>
    <cellStyle name="Migliaia 53 3 8 2" xfId="34516" xr:uid="{2537EE4D-B415-4CC6-B2D4-6AC00D260758}"/>
    <cellStyle name="Migliaia 53 3 8 2 2" xfId="40137" xr:uid="{9FD2188D-74DE-47B4-8DAE-4FDDD2B9E6D3}"/>
    <cellStyle name="Migliaia 53 3 8 2 3" xfId="45439" xr:uid="{F7135A16-B512-4665-8E2F-BD5967317FC3}"/>
    <cellStyle name="Migliaia 53 3 8 3" xfId="37491" xr:uid="{27935345-40FD-4DAC-AEC2-2BA0C0187FFC}"/>
    <cellStyle name="Migliaia 53 3 8 4" xfId="42788" xr:uid="{A79F3639-5DE0-4AE9-89EF-22FA59E0A4F5}"/>
    <cellStyle name="Migliaia 53 3 8 5" xfId="25326" xr:uid="{FD028DB7-0946-4E68-9821-602EA6BFCA35}"/>
    <cellStyle name="Migliaia 53 3 8 6" xfId="17283" xr:uid="{A49392BA-E5EC-4E7F-8423-841D2BD3AC3E}"/>
    <cellStyle name="Migliaia 53 3 9" xfId="20933" xr:uid="{A98BDFD2-56DC-4D10-A9EA-4A8E6EAA90C3}"/>
    <cellStyle name="Migliaia 53 4" xfId="1898" xr:uid="{00000000-0005-0000-0000-000075040000}"/>
    <cellStyle name="Migliaia 53 4 2" xfId="1899" xr:uid="{00000000-0005-0000-0000-000076040000}"/>
    <cellStyle name="Migliaia 53 4 2 2" xfId="5609" xr:uid="{CA9FDED3-63DD-401A-BDA2-4B46F6FDB28A}"/>
    <cellStyle name="Migliaia 53 4 2 2 2" xfId="34517" xr:uid="{92E25EF3-9AA3-483D-82FB-DAF631B2FDB1}"/>
    <cellStyle name="Migliaia 53 4 2 2 2 2" xfId="40138" xr:uid="{AD7D05AB-6F08-4879-BFCF-779C6C8E1148}"/>
    <cellStyle name="Migliaia 53 4 2 2 2 3" xfId="45440" xr:uid="{744DA050-BB08-44D8-A9B3-8010CCD5FD4C}"/>
    <cellStyle name="Migliaia 53 4 2 2 3" xfId="37492" xr:uid="{FC644771-DDD5-4156-AFE4-0D0C83BDE282}"/>
    <cellStyle name="Migliaia 53 4 2 2 4" xfId="42789" xr:uid="{CE196D08-9DD6-487F-B9D1-53702CE56B3B}"/>
    <cellStyle name="Migliaia 53 4 2 2 5" xfId="9204" xr:uid="{8452E297-2682-424C-8222-C6DF205B012E}"/>
    <cellStyle name="Migliaia 53 4 2 3" xfId="3883" xr:uid="{06F9AAF4-12C0-4749-8F15-1CFA81ED7146}"/>
    <cellStyle name="Migliaia 53 4 2 3 2" xfId="34518" xr:uid="{D3C2163E-83C0-4917-9716-6516EDE022E8}"/>
    <cellStyle name="Migliaia 53 4 2 3 2 2" xfId="40139" xr:uid="{49677573-3759-4877-8FFD-33D063FCA85B}"/>
    <cellStyle name="Migliaia 53 4 2 3 2 3" xfId="45441" xr:uid="{8C049B84-9E98-4C61-BB65-B3B43B74678C}"/>
    <cellStyle name="Migliaia 53 4 2 3 3" xfId="37493" xr:uid="{3C66C8BE-F20F-4A34-B172-8EACE08A8061}"/>
    <cellStyle name="Migliaia 53 4 2 3 4" xfId="42790" xr:uid="{0667466D-F8D2-4FE9-AA2F-DCE49E661ED2}"/>
    <cellStyle name="Migliaia 53 4 2 3 5" xfId="12081" xr:uid="{1E014C3C-9184-4E6F-9162-ACD1A05F4F58}"/>
    <cellStyle name="Migliaia 53 4 2 4" xfId="11434" xr:uid="{CD8BD1D9-5A4A-4433-8C0D-B048FA3ABCC2}"/>
    <cellStyle name="Migliaia 53 4 2 5" xfId="10976" xr:uid="{A2D67BF1-775F-46A5-B42F-93ADA2E44626}"/>
    <cellStyle name="Migliaia 53 4 2 5 2" xfId="21611" xr:uid="{DF2E7D00-0894-4D65-ACAC-4F041139E01C}"/>
    <cellStyle name="Migliaia 53 4 2 5 3" xfId="47748" xr:uid="{4D189118-744F-4E25-99B5-D08760BAE1B2}"/>
    <cellStyle name="Migliaia 53 4 2 5 4" xfId="50626" xr:uid="{5B502AB1-6922-4837-BA3E-E2B582D27896}"/>
    <cellStyle name="Migliaia 53 4 2 5 5" xfId="53642" xr:uid="{84829E21-CB02-46B8-B52E-09146CDA9C45}"/>
    <cellStyle name="Migliaia 53 4 2 6" xfId="20944" xr:uid="{852AFF3F-351A-4410-8BAE-D4BAEC159966}"/>
    <cellStyle name="Migliaia 53 4 2 7" xfId="25328" xr:uid="{ABCD2E4C-C892-427A-9079-640506C8C109}"/>
    <cellStyle name="Migliaia 53 4 2 8" xfId="8772" xr:uid="{0326788B-B3A1-4D3F-B76A-6644F665F152}"/>
    <cellStyle name="Migliaia 53 4 3" xfId="5608" xr:uid="{92383D3C-A1EB-42E3-850E-B67392493D18}"/>
    <cellStyle name="Migliaia 53 4 3 2" xfId="18259" xr:uid="{0DCA89ED-3BF7-459A-B65A-6BEC738DEC19}"/>
    <cellStyle name="Migliaia 53 4 3 2 2" xfId="40140" xr:uid="{4C3E9180-BCAC-4B05-B247-226481702AFF}"/>
    <cellStyle name="Migliaia 53 4 3 2 3" xfId="45442" xr:uid="{8FB35D23-1852-46A4-B6A6-8F11C714E0E3}"/>
    <cellStyle name="Migliaia 53 4 3 3" xfId="37494" xr:uid="{A7CB69FE-75E5-4FE2-8397-21FBF1303953}"/>
    <cellStyle name="Migliaia 53 4 3 4" xfId="42791" xr:uid="{D3B89598-399A-4096-8D16-9515E8237081}"/>
    <cellStyle name="Migliaia 53 4 3 5" xfId="17281" xr:uid="{A87F829E-31F8-475A-8DA0-A2174AE8F6DD}"/>
    <cellStyle name="Migliaia 53 4 3 6" xfId="9205" xr:uid="{C8FC8BF8-89E5-4434-BA53-D3AE77EA5E6B}"/>
    <cellStyle name="Migliaia 53 4 4" xfId="6784" xr:uid="{CD53CDE4-C9C0-46D6-AC1F-C476952F526A}"/>
    <cellStyle name="Migliaia 53 4 4 2" xfId="34520" xr:uid="{2073E4E3-F6E0-485C-9CA2-46BB25CE9005}"/>
    <cellStyle name="Migliaia 53 4 4 2 2" xfId="40141" xr:uid="{94A998E9-2BE2-4067-A503-A7E5035171A0}"/>
    <cellStyle name="Migliaia 53 4 4 2 3" xfId="45443" xr:uid="{93729489-EBD9-45CB-8A64-61035881AAD2}"/>
    <cellStyle name="Migliaia 53 4 4 3" xfId="37495" xr:uid="{861FF8B7-952A-4439-8D3E-6B20441766D1}"/>
    <cellStyle name="Migliaia 53 4 4 4" xfId="42792" xr:uid="{DE166FE3-5692-4246-8365-17F8B8A936A3}"/>
    <cellStyle name="Migliaia 53 4 4 5" xfId="12082" xr:uid="{B7178DCB-C5CE-4A69-B64A-93B1ABA8F2A4}"/>
    <cellStyle name="Migliaia 53 4 5" xfId="3882" xr:uid="{787DC4BA-F088-4A0C-AC33-159BA68A0B8F}"/>
    <cellStyle name="Migliaia 53 4 5 2" xfId="34521" xr:uid="{E0DB27DE-0C87-4AAE-80C7-F47E428902C9}"/>
    <cellStyle name="Migliaia 53 4 5 2 2" xfId="40142" xr:uid="{20713422-C3CB-47EB-8016-2A97088AF4AE}"/>
    <cellStyle name="Migliaia 53 4 5 2 3" xfId="45444" xr:uid="{D18C890A-4476-4B61-84CE-E320D95BD777}"/>
    <cellStyle name="Migliaia 53 4 5 3" xfId="37496" xr:uid="{693D9FA6-9110-4C87-98BC-3191A1B9A3BD}"/>
    <cellStyle name="Migliaia 53 4 5 4" xfId="42793" xr:uid="{894056D8-7B09-424A-9136-02F47AAF24F6}"/>
    <cellStyle name="Migliaia 53 4 5 5" xfId="11433" xr:uid="{9A532BD3-D99A-4D4C-9E83-2774DF55FA92}"/>
    <cellStyle name="Migliaia 53 4 6" xfId="10975" xr:uid="{35713EC8-B6B0-49F3-AC7B-B66084EEBB16}"/>
    <cellStyle name="Migliaia 53 4 6 2" xfId="21610" xr:uid="{35CB88D7-C88C-420B-85D3-31FD8C468F5B}"/>
    <cellStyle name="Migliaia 53 4 6 2 2" xfId="40143" xr:uid="{6F1DF0F0-FEDB-4E03-9582-2F24FD7BF465}"/>
    <cellStyle name="Migliaia 53 4 6 2 3" xfId="45445" xr:uid="{61EF5E0C-E49B-4BFC-BB0F-24F460479E89}"/>
    <cellStyle name="Migliaia 53 4 6 2 4" xfId="34522" xr:uid="{34A62193-F6C0-41E0-ABD1-09586FD2F21D}"/>
    <cellStyle name="Migliaia 53 4 6 3" xfId="37497" xr:uid="{2F194CBF-F26F-4431-B9F3-E1D39BEE6E5E}"/>
    <cellStyle name="Migliaia 53 4 6 4" xfId="42794" xr:uid="{C81EB210-90EC-458D-A579-32C791D54AF1}"/>
    <cellStyle name="Migliaia 53 4 6 5" xfId="25332" xr:uid="{DD06C696-B068-405D-AC3F-F620F130D977}"/>
    <cellStyle name="Migliaia 53 4 6 6" xfId="46707" xr:uid="{428178AB-7336-4214-9B18-020B4672F105}"/>
    <cellStyle name="Migliaia 53 4 6 7" xfId="50625" xr:uid="{86B4ABFE-8A7F-4ABC-BFF3-4401A05DCFF2}"/>
    <cellStyle name="Migliaia 53 4 6 8" xfId="53641" xr:uid="{6698A1B0-E8B5-4F82-B836-37BFB17525D2}"/>
    <cellStyle name="Migliaia 53 4 7" xfId="20943" xr:uid="{7D8DE2B5-250D-4A1C-B952-363957FFCF49}"/>
    <cellStyle name="Migliaia 53 4 7 2" xfId="34523" xr:uid="{C8C386E7-57F5-498B-BCFB-FB32AF54254E}"/>
    <cellStyle name="Migliaia 53 4 7 2 2" xfId="40144" xr:uid="{1D60949A-C055-4AB4-B873-73C9CFC73008}"/>
    <cellStyle name="Migliaia 53 4 7 2 3" xfId="45446" xr:uid="{2A9830E8-E61D-478D-A180-B5C12B8FDA36}"/>
    <cellStyle name="Migliaia 53 4 7 3" xfId="37498" xr:uid="{F29AFE59-87CB-41CF-8B2E-4407D1604719}"/>
    <cellStyle name="Migliaia 53 4 7 4" xfId="42795" xr:uid="{BBDBB793-D1C9-450B-B7EF-3ED7759A49B8}"/>
    <cellStyle name="Migliaia 53 4 7 5" xfId="25333" xr:uid="{2CC26EFE-FFA1-49AC-8A0B-CBCD7CDD9159}"/>
    <cellStyle name="Migliaia 53 4 8" xfId="25327" xr:uid="{7CF6E369-D682-4BF0-9CA6-9B1154DDFD27}"/>
    <cellStyle name="Migliaia 53 4 9" xfId="7582" xr:uid="{D48FFDC0-6EF9-41DF-BB70-BF47EF4788CD}"/>
    <cellStyle name="Migliaia 53 5" xfId="1900" xr:uid="{00000000-0005-0000-0000-000077040000}"/>
    <cellStyle name="Migliaia 53 5 2" xfId="5610" xr:uid="{5C04D5DE-F19D-4619-B40E-4A384003069C}"/>
    <cellStyle name="Migliaia 53 5 2 2" xfId="18508" xr:uid="{0B2D31D6-922A-44FD-AEC1-4A890C54947C}"/>
    <cellStyle name="Migliaia 53 5 2 2 2" xfId="40145" xr:uid="{9C2E1EFF-2AF3-42E6-BD1E-4A715F22D2A9}"/>
    <cellStyle name="Migliaia 53 5 2 2 3" xfId="45447" xr:uid="{B431A5CF-263B-41C8-9AFB-991432A974D7}"/>
    <cellStyle name="Migliaia 53 5 2 3" xfId="20946" xr:uid="{43FA8968-BC9B-425C-A5AB-91C42BC7BD81}"/>
    <cellStyle name="Migliaia 53 5 2 3 2" xfId="37499" xr:uid="{69A54E4B-DFC8-4E6D-85D5-64DB816AA75D}"/>
    <cellStyle name="Migliaia 53 5 2 4" xfId="42796" xr:uid="{75DD1851-8842-412A-8D8B-539CFB836F1D}"/>
    <cellStyle name="Migliaia 53 5 2 5" xfId="16774" xr:uid="{C3128043-69C6-4CAE-A77C-AD6E3A2BDDB2}"/>
    <cellStyle name="Migliaia 53 5 2 6" xfId="8773" xr:uid="{EF5D1FE2-D90C-4537-B64C-28A4E8897DD0}"/>
    <cellStyle name="Migliaia 53 5 3" xfId="6785" xr:uid="{B23C12AC-6BD8-4385-9DA9-3D97653EE38E}"/>
    <cellStyle name="Migliaia 53 5 3 2" xfId="34524" xr:uid="{3A7376E1-7CC9-4860-AF41-98906D0ED26E}"/>
    <cellStyle name="Migliaia 53 5 3 2 2" xfId="40146" xr:uid="{4307CB9D-7962-4C4C-9BB7-03E80D39494A}"/>
    <cellStyle name="Migliaia 53 5 3 2 3" xfId="45448" xr:uid="{CF7A9C5B-8286-461E-BDF8-CBDF1F979D17}"/>
    <cellStyle name="Migliaia 53 5 3 3" xfId="37500" xr:uid="{BEF9BD5A-FF4E-4A02-B9F3-664B2AD2F428}"/>
    <cellStyle name="Migliaia 53 5 3 4" xfId="42797" xr:uid="{047DE23F-D4E5-483B-A4AD-A919FB72F750}"/>
    <cellStyle name="Migliaia 53 5 3 5" xfId="11435" xr:uid="{E1F9FBD9-D32A-4B07-B45D-A0D9092C8143}"/>
    <cellStyle name="Migliaia 53 5 4" xfId="3884" xr:uid="{47509DBD-3D1D-451E-AE22-136B72219474}"/>
    <cellStyle name="Migliaia 53 5 4 2" xfId="21612" xr:uid="{2D231BA6-83B2-4729-848E-6500BC6B3360}"/>
    <cellStyle name="Migliaia 53 5 4 2 2" xfId="40147" xr:uid="{736420D9-247F-41E4-8DA4-FD3807401CFB}"/>
    <cellStyle name="Migliaia 53 5 4 2 3" xfId="45449" xr:uid="{C83B53EB-DB27-4F82-936C-EDBD7DF46D70}"/>
    <cellStyle name="Migliaia 53 5 4 2 4" xfId="34525" xr:uid="{AC492B97-BD5A-406E-B0E1-7891CFE70A80}"/>
    <cellStyle name="Migliaia 53 5 4 3" xfId="37501" xr:uid="{CF94E49B-CCCB-4A43-A021-E619E22F4BCE}"/>
    <cellStyle name="Migliaia 53 5 4 4" xfId="42798" xr:uid="{FB2B03ED-A520-4100-B414-0E1FB857694C}"/>
    <cellStyle name="Migliaia 53 5 4 5" xfId="25335" xr:uid="{3BBB1780-92B1-4D6A-94B8-399E985A9EB2}"/>
    <cellStyle name="Migliaia 53 5 4 6" xfId="32295" xr:uid="{9CEAD480-9DED-4856-B213-44E83DA5C2C8}"/>
    <cellStyle name="Migliaia 53 5 4 7" xfId="50627" xr:uid="{90A785B0-5189-48ED-8075-482563C1EA39}"/>
    <cellStyle name="Migliaia 53 5 4 8" xfId="53643" xr:uid="{4D3CED3C-15B1-4E9B-9183-83E54375762E}"/>
    <cellStyle name="Migliaia 53 5 4 9" xfId="10977" xr:uid="{77098E9B-AF45-4E4B-A5F9-7384346ACF0A}"/>
    <cellStyle name="Migliaia 53 5 5" xfId="20945" xr:uid="{B4560FD0-0A5D-4AD2-AF83-9E76AA8A20BE}"/>
    <cellStyle name="Migliaia 53 5 5 2" xfId="34526" xr:uid="{506A9F19-888C-4A1F-B8A0-EDD2136C49A8}"/>
    <cellStyle name="Migliaia 53 5 5 2 2" xfId="40148" xr:uid="{A53F8264-3340-4F6F-AEA3-B3455F139D48}"/>
    <cellStyle name="Migliaia 53 5 5 2 3" xfId="45450" xr:uid="{5FD4D54A-A9C3-45B2-AA04-BCAA7D2883A1}"/>
    <cellStyle name="Migliaia 53 5 5 3" xfId="37502" xr:uid="{2D29ABB3-19C3-4799-A381-728C5527E849}"/>
    <cellStyle name="Migliaia 53 5 5 4" xfId="42799" xr:uid="{CCCF70C2-EFC8-422B-8CFD-8F5FD0CBD999}"/>
    <cellStyle name="Migliaia 53 5 5 5" xfId="25336" xr:uid="{10539B39-D599-41A2-AB47-B2773E58875E}"/>
    <cellStyle name="Migliaia 53 5 6" xfId="25337" xr:uid="{DDFBCDB5-C481-4253-B657-EC98E642E381}"/>
    <cellStyle name="Migliaia 53 5 6 2" xfId="34527" xr:uid="{B95F8F93-1C78-449F-A4BA-DE2886348493}"/>
    <cellStyle name="Migliaia 53 5 6 2 2" xfId="40149" xr:uid="{46B99C81-263D-4A7A-90A2-22B0FA92322D}"/>
    <cellStyle name="Migliaia 53 5 6 2 3" xfId="45451" xr:uid="{52A16E63-E678-439A-B082-B7D799F33A9A}"/>
    <cellStyle name="Migliaia 53 5 6 3" xfId="37503" xr:uid="{2F886F04-9F5E-486B-9C8B-41BD3B293C04}"/>
    <cellStyle name="Migliaia 53 5 6 4" xfId="42800" xr:uid="{773CCE7E-639C-4D11-9E9E-D6BED1653E73}"/>
    <cellStyle name="Migliaia 53 5 7" xfId="25334" xr:uid="{95D4D68F-C781-43F2-B574-B343523DCE3F}"/>
    <cellStyle name="Migliaia 53 5 8" xfId="7583" xr:uid="{F0B7EAF4-D21F-4CBD-B983-86A7A86108B8}"/>
    <cellStyle name="Migliaia 53 6" xfId="3885" xr:uid="{5C9FD073-83AB-492E-A719-B8DED83D4A5C}"/>
    <cellStyle name="Migliaia 53 6 2" xfId="5611" xr:uid="{25D4EA56-8B20-4A08-9C39-D329B4D28484}"/>
    <cellStyle name="Migliaia 53 6 2 2" xfId="9977" xr:uid="{9B9C3B4E-F35A-4413-96D7-D368C4107AF7}"/>
    <cellStyle name="Migliaia 53 6 2 3" xfId="18557" xr:uid="{CAD4D88B-F2A3-4043-88A7-D4E576380A8A}"/>
    <cellStyle name="Migliaia 53 6 2 4" xfId="20948" xr:uid="{04898B43-3FA6-417E-8F44-DC08AEAA1093}"/>
    <cellStyle name="Migliaia 53 6 2 5" xfId="32466" xr:uid="{A21812B4-11AA-4A77-A593-405F8985B576}"/>
    <cellStyle name="Migliaia 53 6 2 6" xfId="16776" xr:uid="{57384FB6-6110-4D0D-BD51-F2C9DE5B01C2}"/>
    <cellStyle name="Migliaia 53 6 2 7" xfId="8768" xr:uid="{2F71E5B3-EA54-4DE3-835A-D0AEEA7F589C}"/>
    <cellStyle name="Migliaia 53 6 3" xfId="6786" xr:uid="{52D57E89-6984-43E4-9ADE-342F7AAD18F7}"/>
    <cellStyle name="Migliaia 53 6 3 2" xfId="35463" xr:uid="{C02F07A6-71E1-4E3B-97BD-3717212E98FB}"/>
    <cellStyle name="Migliaia 53 6 3 2 2" xfId="40623" xr:uid="{2E0E75DF-F536-47EF-B5DF-C43640FC5C64}"/>
    <cellStyle name="Migliaia 53 6 3 2 3" xfId="45925" xr:uid="{3DBC9068-17C8-4C82-9A51-BD8EAEFDE320}"/>
    <cellStyle name="Migliaia 53 6 3 3" xfId="37972" xr:uid="{60C85345-7B89-4986-9628-03ACC27C82D0}"/>
    <cellStyle name="Migliaia 53 6 3 4" xfId="43274" xr:uid="{44C94523-9C38-4AE1-BB7E-9AFD3E75FA61}"/>
    <cellStyle name="Migliaia 53 6 3 5" xfId="9740" xr:uid="{20DBDC6D-77D6-4220-BC95-E8E233033869}"/>
    <cellStyle name="Migliaia 53 6 4" xfId="20947" xr:uid="{6DF35B6F-2EE4-4521-8A77-E0716F0ADB74}"/>
    <cellStyle name="Migliaia 53 6 4 2" xfId="40150" xr:uid="{33222EF1-3BA8-4ADF-A93F-02E13002F64F}"/>
    <cellStyle name="Migliaia 53 6 4 3" xfId="45452" xr:uid="{FFAD456D-0CC3-4DF7-B43D-76C57FB11D48}"/>
    <cellStyle name="Migliaia 53 6 4 4" xfId="34528" xr:uid="{35773197-E6DA-4BCE-AB01-F43D920436FB}"/>
    <cellStyle name="Migliaia 53 6 5" xfId="37504" xr:uid="{DF906295-B0A7-4747-8B53-BAAB6EABCB61}"/>
    <cellStyle name="Migliaia 53 6 6" xfId="42801" xr:uid="{F50D1532-17A2-4EBA-9D85-0C8ED2035A07}"/>
    <cellStyle name="Migliaia 53 6 7" xfId="16775" xr:uid="{677D05B8-789C-40B1-848E-B3B92BAB0396}"/>
    <cellStyle name="Migliaia 53 6 8" xfId="7578" xr:uid="{21747055-6B16-4CF9-843B-326906616A6D}"/>
    <cellStyle name="Migliaia 53 7" xfId="3886" xr:uid="{70E68BE1-DC05-4D07-9B9D-3BD84C43AE9B}"/>
    <cellStyle name="Migliaia 53 7 2" xfId="5612" xr:uid="{CF88FE01-EA63-4EEA-A9CB-E3BDCC086337}"/>
    <cellStyle name="Migliaia 53 7 2 2" xfId="35464" xr:uid="{AA093696-A470-4175-9165-7C71D5D4881B}"/>
    <cellStyle name="Migliaia 53 7 2 2 2" xfId="40624" xr:uid="{E03B9E6D-CE2F-4533-BBB2-FE03D5B01947}"/>
    <cellStyle name="Migliaia 53 7 2 2 3" xfId="45926" xr:uid="{D7BCC61C-1E1B-4F18-AA09-6759D0DBC8E1}"/>
    <cellStyle name="Migliaia 53 7 2 3" xfId="37973" xr:uid="{D262FECD-09F0-4CE2-B246-095C8EE78A1D}"/>
    <cellStyle name="Migliaia 53 7 2 4" xfId="43275" xr:uid="{2E80932A-2956-4789-8399-EECC41C57BDE}"/>
    <cellStyle name="Migliaia 53 7 2 5" xfId="14323" xr:uid="{981EB1C1-E609-48D7-9873-996D0D725A6D}"/>
    <cellStyle name="Migliaia 53 7 3" xfId="6787" xr:uid="{48E6106B-95FD-4672-B5EB-0A65BEEC2C19}"/>
    <cellStyle name="Migliaia 53 7 3 2" xfId="40151" xr:uid="{E952B0AF-BE45-48B6-8A9F-81D6CF77801D}"/>
    <cellStyle name="Migliaia 53 7 3 3" xfId="45453" xr:uid="{44A10C0B-F4DB-4F28-BE49-EED9465F1825}"/>
    <cellStyle name="Migliaia 53 7 3 4" xfId="34529" xr:uid="{7B5BDA90-F419-47FC-A9A9-F706875EB3F2}"/>
    <cellStyle name="Migliaia 53 7 3 5" xfId="20949" xr:uid="{1FE41992-CEB4-4DBF-8AF4-380891D0A023}"/>
    <cellStyle name="Migliaia 53 7 4" xfId="37505" xr:uid="{CDE16D51-6C20-410D-9117-C701D331B96F}"/>
    <cellStyle name="Migliaia 53 7 5" xfId="42802" xr:uid="{F4904A8D-1874-42F6-89A9-85C3B9462125}"/>
    <cellStyle name="Migliaia 53 7 6" xfId="16777" xr:uid="{37E20742-BD2D-4CE9-9FD6-3F2D6D9D2E05}"/>
    <cellStyle name="Migliaia 53 7 7" xfId="8385" xr:uid="{22B12744-CFD3-48B4-9CE6-CCB74870FDDE}"/>
    <cellStyle name="Migliaia 53 8" xfId="3887" xr:uid="{0B0BDC8D-2324-43D5-A4D7-2B25317E1EB9}"/>
    <cellStyle name="Migliaia 53 8 2" xfId="5613" xr:uid="{4DD31888-8092-4F16-8E5F-747D536714AE}"/>
    <cellStyle name="Migliaia 53 8 2 2" xfId="35465" xr:uid="{4675654E-79CD-4DA7-818F-F7E9D0EEE863}"/>
    <cellStyle name="Migliaia 53 8 2 2 2" xfId="40625" xr:uid="{BB06DB45-1675-466C-B3D5-3CD503D0FD32}"/>
    <cellStyle name="Migliaia 53 8 2 2 3" xfId="45927" xr:uid="{5571C459-59FB-46A1-BFA6-B45E98BB1CE3}"/>
    <cellStyle name="Migliaia 53 8 2 3" xfId="37974" xr:uid="{A754FD9B-0A7D-4016-8DDB-484A615ED28E}"/>
    <cellStyle name="Migliaia 53 8 2 4" xfId="43276" xr:uid="{1BEA1DA1-04CB-4388-95E4-C41F08628195}"/>
    <cellStyle name="Migliaia 53 8 2 5" xfId="14028" xr:uid="{38DDBB0D-56DC-4AF3-8D3A-4A58C820B6C0}"/>
    <cellStyle name="Migliaia 53 8 3" xfId="6788" xr:uid="{C9535630-BD64-4B75-9277-F76A5D03542D}"/>
    <cellStyle name="Migliaia 53 8 3 2" xfId="40152" xr:uid="{CCC07F45-FE4A-4EC2-9416-A547621DF78F}"/>
    <cellStyle name="Migliaia 53 8 3 3" xfId="45454" xr:uid="{E44D532A-BD88-440C-BF84-C7A030989D1C}"/>
    <cellStyle name="Migliaia 53 8 3 4" xfId="34530" xr:uid="{52D25390-8202-4264-9472-E6C6CFB78B19}"/>
    <cellStyle name="Migliaia 53 8 3 5" xfId="20950" xr:uid="{65B7B4A3-BD0A-4FF0-A195-5CE7C452349D}"/>
    <cellStyle name="Migliaia 53 8 4" xfId="37506" xr:uid="{8BD0CAC5-D91E-403E-9566-BF87A82528BE}"/>
    <cellStyle name="Migliaia 53 8 5" xfId="42803" xr:uid="{CF6A8523-C7EE-42BE-9705-9AD10D3DB77F}"/>
    <cellStyle name="Migliaia 53 8 6" xfId="16778" xr:uid="{8C640410-7DDC-44A3-80C2-B10A2B611F9B}"/>
    <cellStyle name="Migliaia 53 8 7" xfId="8014" xr:uid="{60FFCE6D-A5B9-492E-9BD5-5AF9ADCFF2E9}"/>
    <cellStyle name="Migliaia 53 9" xfId="5598" xr:uid="{05C21FDF-6308-485A-A7EA-B51E0C017029}"/>
    <cellStyle name="Migliaia 53 9 2" xfId="34531" xr:uid="{6D23DF12-77B5-4663-9CBC-AECB74DF0F10}"/>
    <cellStyle name="Migliaia 53 9 2 2" xfId="40153" xr:uid="{149F1371-2E1B-4883-8E38-A72D81FC8D91}"/>
    <cellStyle name="Migliaia 53 9 2 3" xfId="45455" xr:uid="{CB1B0001-3ACD-4806-AFB6-436BFBEDDF71}"/>
    <cellStyle name="Migliaia 53 9 3" xfId="37507" xr:uid="{4BB1D22D-43AF-4BC6-80D4-A06A999C907D}"/>
    <cellStyle name="Migliaia 53 9 4" xfId="42804" xr:uid="{FE2DCBB3-C250-467A-9A94-FB66D29C5D73}"/>
    <cellStyle name="Migliaia 53 9 5" xfId="17231" xr:uid="{80974EAE-6625-4055-8035-72545AA6DCE1}"/>
    <cellStyle name="Migliaia 54" xfId="497" xr:uid="{00000000-0005-0000-0000-000078040000}"/>
    <cellStyle name="Migliaia 54 10" xfId="6789" xr:uid="{29E2D201-844F-419E-8397-878EB832E861}"/>
    <cellStyle name="Migliaia 54 10 2" xfId="40154" xr:uid="{CDA27A1D-5267-49BB-970B-E7274EEF67A1}"/>
    <cellStyle name="Migliaia 54 10 3" xfId="45456" xr:uid="{21D9428A-E5A3-4105-A40E-F037582C610C}"/>
    <cellStyle name="Migliaia 54 10 4" xfId="34532" xr:uid="{8261FD95-051E-4951-AB00-BB569256D7B6}"/>
    <cellStyle name="Migliaia 54 10 5" xfId="20951" xr:uid="{1DBBB4D4-B77D-4072-AB68-96BDA4999FA9}"/>
    <cellStyle name="Migliaia 54 11" xfId="3888" xr:uid="{A406B706-863B-4438-99BF-EC8C477204ED}"/>
    <cellStyle name="Migliaia 54 11 2" xfId="37508" xr:uid="{8E8014E9-EF68-4F23-8694-6657F49F14D7}"/>
    <cellStyle name="Migliaia 54 12" xfId="42805" xr:uid="{3F99CA1C-2B4A-4355-B0C6-86AC9307E104}"/>
    <cellStyle name="Migliaia 54 13" xfId="7189" xr:uid="{B69C79BD-77E8-4826-AAB2-6926CB0401E9}"/>
    <cellStyle name="Migliaia 54 2" xfId="498" xr:uid="{00000000-0005-0000-0000-000079040000}"/>
    <cellStyle name="Migliaia 54 2 2" xfId="1901" xr:uid="{00000000-0005-0000-0000-00007A040000}"/>
    <cellStyle name="Migliaia 54 2 2 2" xfId="5616" xr:uid="{1E2B8EB1-7F5B-4C7E-ACBF-C6D64F2F9CD9}"/>
    <cellStyle name="Migliaia 54 2 2 2 2" xfId="14412" xr:uid="{25D58D7C-0000-4671-956B-78FF1AAEE30D}"/>
    <cellStyle name="Migliaia 54 2 2 2 2 2" xfId="40155" xr:uid="{BBC54067-619C-4FF8-A738-769BC2FF5186}"/>
    <cellStyle name="Migliaia 54 2 2 2 2 3" xfId="45457" xr:uid="{BB890453-E97E-4129-945F-4387ED144A05}"/>
    <cellStyle name="Migliaia 54 2 2 2 3" xfId="18509" xr:uid="{4B8760D3-B257-4E6B-8287-31000BA19524}"/>
    <cellStyle name="Migliaia 54 2 2 2 4" xfId="20954" xr:uid="{051895EB-54FB-4374-9E3B-280530F87E5C}"/>
    <cellStyle name="Migliaia 54 2 2 2 4 2" xfId="42806" xr:uid="{A4B3217A-7D28-4FF7-86A3-BFE2B37334B3}"/>
    <cellStyle name="Migliaia 54 2 2 2 5" xfId="16779" xr:uid="{179C1734-B8B6-4FE2-B918-72E676880A2A}"/>
    <cellStyle name="Migliaia 54 2 2 2 6" xfId="8775" xr:uid="{9A8BDD6D-E6E1-406D-B4C1-D720E7591B93}"/>
    <cellStyle name="Migliaia 54 2 2 3" xfId="6791" xr:uid="{5EE7A8E0-AAD6-43F4-A63A-C8D236DE6C54}"/>
    <cellStyle name="Migliaia 54 2 2 3 2" xfId="35466" xr:uid="{4A8D903D-6C81-46D5-9666-B8BD504A9C98}"/>
    <cellStyle name="Migliaia 54 2 2 3 2 2" xfId="40626" xr:uid="{F6CB9690-3E92-4BC6-A5B4-9E2E1891A3C9}"/>
    <cellStyle name="Migliaia 54 2 2 3 2 3" xfId="45928" xr:uid="{0A649BD1-59E2-4B1F-87A2-1B2A786FB817}"/>
    <cellStyle name="Migliaia 54 2 2 3 3" xfId="37975" xr:uid="{1781FCB6-526B-4073-9F3E-32DBB79FB1FD}"/>
    <cellStyle name="Migliaia 54 2 2 3 4" xfId="43277" xr:uid="{D4C5BC04-813A-4B80-B379-860025A11DD0}"/>
    <cellStyle name="Migliaia 54 2 2 3 5" xfId="11639" xr:uid="{AA347221-9184-4D8F-9C70-A75781A6F887}"/>
    <cellStyle name="Migliaia 54 2 2 4" xfId="3890" xr:uid="{A08667BC-F5EB-4A36-A045-94D93ACFDA11}"/>
    <cellStyle name="Migliaia 54 2 2 4 2" xfId="21613" xr:uid="{5C0B6C84-4893-4EAF-8124-B0E1BF856C93}"/>
    <cellStyle name="Migliaia 54 2 2 4 3" xfId="47428" xr:uid="{04F58C5A-156B-41A2-AE9E-601F6E3DC16D}"/>
    <cellStyle name="Migliaia 54 2 2 4 4" xfId="50628" xr:uid="{CE049798-3960-46A5-B994-C7ECDCC2A43E}"/>
    <cellStyle name="Migliaia 54 2 2 4 5" xfId="53644" xr:uid="{4381C2E6-3FFC-459A-8BE2-62380D49A313}"/>
    <cellStyle name="Migliaia 54 2 2 4 6" xfId="10978" xr:uid="{C06F534E-05A7-4581-AB97-B779680E6336}"/>
    <cellStyle name="Migliaia 54 2 2 5" xfId="20953" xr:uid="{673734F4-1933-4C1D-9C7A-05B72A8A539C}"/>
    <cellStyle name="Migliaia 54 2 2 6" xfId="25339" xr:uid="{FDCE7E4A-492E-4C9F-960F-E6A325964E56}"/>
    <cellStyle name="Migliaia 54 2 2 7" xfId="7585" xr:uid="{4049568C-BFEA-4DDD-BFA0-E4914DEC5B28}"/>
    <cellStyle name="Migliaia 54 2 3" xfId="3891" xr:uid="{0F52A02A-1EB1-4DA5-938E-5EF19D7E75BD}"/>
    <cellStyle name="Migliaia 54 2 3 2" xfId="5617" xr:uid="{1F8DB1B4-5E47-4FED-86D9-C17130741652}"/>
    <cellStyle name="Migliaia 54 2 3 2 2" xfId="35467" xr:uid="{05D69C0F-FBBC-4D55-B489-8FE49B1DDD5E}"/>
    <cellStyle name="Migliaia 54 2 3 2 2 2" xfId="40627" xr:uid="{218C7F36-8B01-410F-90CC-0808652169DD}"/>
    <cellStyle name="Migliaia 54 2 3 2 2 3" xfId="45929" xr:uid="{29F49E20-255F-4E98-A55A-9DA09F4203CC}"/>
    <cellStyle name="Migliaia 54 2 3 2 3" xfId="37976" xr:uid="{4B03DB8B-3AB6-43A5-B71D-648B1B557A82}"/>
    <cellStyle name="Migliaia 54 2 3 2 4" xfId="43278" xr:uid="{1E994805-822A-43E1-A725-8F31D95957AE}"/>
    <cellStyle name="Migliaia 54 2 3 2 5" xfId="14327" xr:uid="{E8D6CA28-B703-49A5-815F-8C74417B77F5}"/>
    <cellStyle name="Migliaia 54 2 3 3" xfId="6792" xr:uid="{322EB5E0-6A70-4508-B49A-111898FFC848}"/>
    <cellStyle name="Migliaia 54 2 3 3 2" xfId="40156" xr:uid="{19C6FBAE-9602-490D-B7BD-D698B22B58DB}"/>
    <cellStyle name="Migliaia 54 2 3 3 3" xfId="45458" xr:uid="{6AFC7455-14E0-4A6C-96A7-45F9E9B825A3}"/>
    <cellStyle name="Migliaia 54 2 3 3 4" xfId="34534" xr:uid="{D5A177BA-1BB4-4F43-97F6-F6DC54A203D1}"/>
    <cellStyle name="Migliaia 54 2 3 3 5" xfId="20955" xr:uid="{6DDBC2BC-F79B-4156-A161-B6FD974C0FF3}"/>
    <cellStyle name="Migliaia 54 2 3 4" xfId="37510" xr:uid="{779B39D9-581A-4431-922B-A15F47B7DA30}"/>
    <cellStyle name="Migliaia 54 2 3 5" xfId="42807" xr:uid="{B1839CFF-3AD6-45EA-8FC0-294D82138EB2}"/>
    <cellStyle name="Migliaia 54 2 3 6" xfId="16780" xr:uid="{17737D49-6660-4873-A8AE-CC629ECE5FB5}"/>
    <cellStyle name="Migliaia 54 2 3 7" xfId="8389" xr:uid="{3042CB81-F617-4350-98B8-C3154D28B06B}"/>
    <cellStyle name="Migliaia 54 2 4" xfId="5615" xr:uid="{021C4E47-12A3-443B-B853-1EA4424E945E}"/>
    <cellStyle name="Migliaia 54 2 4 2" xfId="14032" xr:uid="{E327461E-6FA9-4A6F-9B29-F40DE1191182}"/>
    <cellStyle name="Migliaia 54 2 4 2 2" xfId="40157" xr:uid="{08B1731F-AAA8-4539-9547-E83AB261F69B}"/>
    <cellStyle name="Migliaia 54 2 4 2 3" xfId="45459" xr:uid="{D50AA3A7-6BC2-48AA-82EC-417A14F010C6}"/>
    <cellStyle name="Migliaia 54 2 4 3" xfId="18603" xr:uid="{E76961FA-2A03-4F67-AC69-DB4F567980CB}"/>
    <cellStyle name="Migliaia 54 2 4 4" xfId="20956" xr:uid="{6324F46F-0F9D-4E78-A0D4-FB4901F6098D}"/>
    <cellStyle name="Migliaia 54 2 4 4 2" xfId="42808" xr:uid="{F04B209C-F5E2-4D61-9ECB-E8F80848DC4C}"/>
    <cellStyle name="Migliaia 54 2 4 5" xfId="16781" xr:uid="{BE5A815C-B18C-479C-B966-ADB5B9013674}"/>
    <cellStyle name="Migliaia 54 2 4 6" xfId="8019" xr:uid="{0B344533-9087-4335-B179-7462152F3019}"/>
    <cellStyle name="Migliaia 54 2 5" xfId="6790" xr:uid="{D659F3B8-07E4-4E59-A069-EA3A6564622A}"/>
    <cellStyle name="Migliaia 54 2 5 2" xfId="34535" xr:uid="{1DBC4605-B08B-402D-8095-AA62DC0DFDDF}"/>
    <cellStyle name="Migliaia 54 2 5 2 2" xfId="40158" xr:uid="{6AC812BE-8DDB-48A7-89A7-5214354934EC}"/>
    <cellStyle name="Migliaia 54 2 5 2 3" xfId="45460" xr:uid="{FE200328-7716-47B8-855A-F1AD01FE75B4}"/>
    <cellStyle name="Migliaia 54 2 5 3" xfId="37511" xr:uid="{9B8A3899-0929-4A46-91FF-DDB1B77E4A4E}"/>
    <cellStyle name="Migliaia 54 2 5 4" xfId="42809" xr:uid="{42D493DF-6F9F-4FFE-A8B5-698049C17D85}"/>
    <cellStyle name="Migliaia 54 2 5 5" xfId="13152" xr:uid="{4E8E7274-FF24-45E3-90F6-CE159DA8CDE0}"/>
    <cellStyle name="Migliaia 54 2 6" xfId="3889" xr:uid="{39FA281F-3ED5-41C5-8605-077420AF120F}"/>
    <cellStyle name="Migliaia 54 2 6 2" xfId="34536" xr:uid="{B4C52D17-35B1-405C-A369-DCDD61D43DDC}"/>
    <cellStyle name="Migliaia 54 2 6 2 2" xfId="40159" xr:uid="{F8A0EC7B-B128-4F41-A9B7-1A9DD94555F5}"/>
    <cellStyle name="Migliaia 54 2 6 2 3" xfId="45461" xr:uid="{939B5E94-2D5E-4E59-A169-0E79F8B88322}"/>
    <cellStyle name="Migliaia 54 2 6 3" xfId="37512" xr:uid="{3946FEB3-A0D5-4F13-911B-032876F3DE58}"/>
    <cellStyle name="Migliaia 54 2 6 4" xfId="42810" xr:uid="{9D425E6F-C4D5-4107-B55B-11E67CDAF7D5}"/>
    <cellStyle name="Migliaia 54 2 6 5" xfId="25341" xr:uid="{9AE9F591-5780-4B6F-89DB-CB62EC96F818}"/>
    <cellStyle name="Migliaia 54 2 6 6" xfId="20952" xr:uid="{39545DEF-8C6F-493B-8B65-AEDC0C9D5310}"/>
    <cellStyle name="Migliaia 54 2 7" xfId="25338" xr:uid="{A8F5E1FF-2D61-4530-A535-8291016BF991}"/>
    <cellStyle name="Migliaia 54 2 8" xfId="7190" xr:uid="{CE938A4C-99AD-4E84-B5A5-8E7478D85C65}"/>
    <cellStyle name="Migliaia 54 3" xfId="499" xr:uid="{00000000-0005-0000-0000-00007B040000}"/>
    <cellStyle name="Migliaia 54 3 10" xfId="25342" xr:uid="{3B9FE3BD-B3DB-4C46-A633-224ECC5B8A17}"/>
    <cellStyle name="Migliaia 54 3 11" xfId="16782" xr:uid="{C30BACC1-0678-4712-8211-0B1F4D09BCF7}"/>
    <cellStyle name="Migliaia 54 3 12" xfId="7191" xr:uid="{205241EF-13A3-4E4D-958D-5A7E451C450E}"/>
    <cellStyle name="Migliaia 54 3 2" xfId="500" xr:uid="{00000000-0005-0000-0000-00007C040000}"/>
    <cellStyle name="Migliaia 54 3 2 2" xfId="1902" xr:uid="{00000000-0005-0000-0000-00007D040000}"/>
    <cellStyle name="Migliaia 54 3 2 2 2" xfId="5620" xr:uid="{34487C83-14F3-4C66-95FB-221A974E49F3}"/>
    <cellStyle name="Migliaia 54 3 2 2 2 2" xfId="18510" xr:uid="{354673E0-69BD-4B32-8E7E-15560A7C8958}"/>
    <cellStyle name="Migliaia 54 3 2 2 2 2 2" xfId="21890" xr:uid="{87BA186B-BC3D-40EC-8240-CB47ADC61A3F}"/>
    <cellStyle name="Migliaia 54 3 2 2 2 2 2 2" xfId="40160" xr:uid="{B2DBB543-8E4D-49CD-ABDB-2F44D913EF4B}"/>
    <cellStyle name="Migliaia 54 3 2 2 2 2 3" xfId="45462" xr:uid="{0928A606-67F5-4280-8DAB-45755F1BE11C}"/>
    <cellStyle name="Migliaia 54 3 2 2 2 2 4" xfId="34537" xr:uid="{04756837-DA18-4EDB-A748-6774DA1A90E1}"/>
    <cellStyle name="Migliaia 54 3 2 2 2 3" xfId="37513" xr:uid="{ED4D065A-8EB3-461E-B5DE-950D32D028D6}"/>
    <cellStyle name="Migliaia 54 3 2 2 2 4" xfId="42811" xr:uid="{03EFE10A-5A21-46B3-A78B-03E10B58D5D6}"/>
    <cellStyle name="Migliaia 54 3 2 2 2 5" xfId="47816" xr:uid="{2F5EF880-2561-4C51-ADA4-0B0099C3B58B}"/>
    <cellStyle name="Migliaia 54 3 2 2 2 6" xfId="50918" xr:uid="{D8506F35-0962-43D9-AA82-081F43B63D7F}"/>
    <cellStyle name="Migliaia 54 3 2 2 2 7" xfId="53934" xr:uid="{E18D0C05-4C19-4885-8534-92FAA7EDA8E0}"/>
    <cellStyle name="Migliaia 54 3 2 2 2 8" xfId="17689" xr:uid="{BF1FA7F9-4564-4122-8CE6-68F10F98645D}"/>
    <cellStyle name="Migliaia 54 3 2 2 2 9" xfId="12083" xr:uid="{F1C1C982-111E-4A33-8C51-49AA269A58A7}"/>
    <cellStyle name="Migliaia 54 3 2 2 3" xfId="6795" xr:uid="{72E798C2-34BB-4A7F-AE46-AC32A70D22CA}"/>
    <cellStyle name="Migliaia 54 3 2 2 3 2" xfId="11120" xr:uid="{39200F69-CB58-47A1-A515-96A491E40F69}"/>
    <cellStyle name="Migliaia 54 3 2 2 4" xfId="3894" xr:uid="{AE482941-0D8B-4774-9A58-036662BF809B}"/>
    <cellStyle name="Migliaia 54 3 2 2 4 2" xfId="21614" xr:uid="{21A20B04-F59A-4E89-9422-3014661030EF}"/>
    <cellStyle name="Migliaia 54 3 2 2 4 3" xfId="25188" xr:uid="{DD3BAB02-0DCB-467A-AC2F-88AFBA30B923}"/>
    <cellStyle name="Migliaia 54 3 2 2 4 4" xfId="50629" xr:uid="{8452536E-1FB1-4224-82C9-3770F004F6DD}"/>
    <cellStyle name="Migliaia 54 3 2 2 4 5" xfId="53645" xr:uid="{8F7FC828-DFC2-41AB-8DAC-CC41D1D7CA14}"/>
    <cellStyle name="Migliaia 54 3 2 2 4 6" xfId="10979" xr:uid="{CE9E9804-B31F-4D67-AE08-6F3AC0001C1F}"/>
    <cellStyle name="Migliaia 54 3 2 2 5" xfId="20959" xr:uid="{C0E1F3B2-E727-4DEF-A46C-3A919F7A6E0C}"/>
    <cellStyle name="Migliaia 54 3 2 2 6" xfId="25344" xr:uid="{473EDDDA-5A4F-477A-9D7F-50466F5FFDD1}"/>
    <cellStyle name="Migliaia 54 3 2 2 7" xfId="8777" xr:uid="{F545CAF9-1328-48F2-81E7-AD7CC372F14B}"/>
    <cellStyle name="Migliaia 54 3 2 3" xfId="5619" xr:uid="{6E2759E1-F77C-485A-AD20-ED2CFBB2707B}"/>
    <cellStyle name="Migliaia 54 3 2 3 2" xfId="12398" xr:uid="{5877880F-C41A-421B-90DC-A045020B32FE}"/>
    <cellStyle name="Migliaia 54 3 2 3 2 2" xfId="40161" xr:uid="{988A4C2D-DAA0-46B4-B3BA-E89AD63AB80F}"/>
    <cellStyle name="Migliaia 54 3 2 3 2 3" xfId="45463" xr:uid="{95BBB139-7903-4228-82E1-FFB4ED56C852}"/>
    <cellStyle name="Migliaia 54 3 2 3 2 4" xfId="34538" xr:uid="{FC32F406-C478-4C1A-B285-1E11BFBD4C19}"/>
    <cellStyle name="Migliaia 54 3 2 3 3" xfId="12084" xr:uid="{F6E96692-1FEE-466F-A34B-A0E59E442BB0}"/>
    <cellStyle name="Migliaia 54 3 2 3 4" xfId="20960" xr:uid="{53700C18-8ADD-4E53-885E-0E6FD0AEC43F}"/>
    <cellStyle name="Migliaia 54 3 2 3 4 2" xfId="42812" xr:uid="{6327BE66-89DD-4704-B097-99E3991B8DFD}"/>
    <cellStyle name="Migliaia 54 3 2 3 5" xfId="16783" xr:uid="{A64EBE3B-DF26-4729-B0E5-B261906E8994}"/>
    <cellStyle name="Migliaia 54 3 2 3 6" xfId="8021" xr:uid="{E7D40B61-C7A2-48FE-8A84-95BC31362605}"/>
    <cellStyle name="Migliaia 54 3 2 4" xfId="6794" xr:uid="{06005A2B-294B-442B-BBFC-B031E12CFAE8}"/>
    <cellStyle name="Migliaia 54 3 2 4 2" xfId="18106" xr:uid="{575C602A-DF27-4188-B07A-15AD97406EDE}"/>
    <cellStyle name="Migliaia 54 3 2 4 2 2" xfId="40162" xr:uid="{59BE9163-D1B5-40A0-B240-6310D0471425}"/>
    <cellStyle name="Migliaia 54 3 2 4 2 3" xfId="45464" xr:uid="{B363389D-8D55-4E67-86DB-5DC4B5556EB4}"/>
    <cellStyle name="Migliaia 54 3 2 4 3" xfId="37514" xr:uid="{D5D8AF76-5BB1-4553-A85C-FD6ED863370F}"/>
    <cellStyle name="Migliaia 54 3 2 4 4" xfId="42813" xr:uid="{7A6578F7-9AA9-4B90-9819-77C098A45517}"/>
    <cellStyle name="Migliaia 54 3 2 4 5" xfId="17234" xr:uid="{D3058889-5FCD-440F-94FC-89582B8D8C61}"/>
    <cellStyle name="Migliaia 54 3 2 4 6" xfId="11436" xr:uid="{8609095F-AE18-4717-ADA4-DA0F0F24D140}"/>
    <cellStyle name="Migliaia 54 3 2 5" xfId="3893" xr:uid="{E5F482F6-E013-4D57-8246-19B1B469C6EC}"/>
    <cellStyle name="Migliaia 54 3 2 5 2" xfId="34539" xr:uid="{F568EF24-2935-42AE-8AD5-4742C690D8BC}"/>
    <cellStyle name="Migliaia 54 3 2 5 2 2" xfId="40163" xr:uid="{20B061D9-E00A-4393-945B-E39025873B90}"/>
    <cellStyle name="Migliaia 54 3 2 5 2 3" xfId="45465" xr:uid="{B5470423-0D22-4A43-A51F-F3F981F24420}"/>
    <cellStyle name="Migliaia 54 3 2 5 3" xfId="37515" xr:uid="{28E7FBEE-70DB-46A9-8815-10528A41395F}"/>
    <cellStyle name="Migliaia 54 3 2 5 4" xfId="42814" xr:uid="{4F67823C-7807-43EA-9145-423B53BC1713}"/>
    <cellStyle name="Migliaia 54 3 2 5 5" xfId="17279" xr:uid="{41299EC5-22F8-4E42-98A3-5C0FFCFCC093}"/>
    <cellStyle name="Migliaia 54 3 2 6" xfId="20958" xr:uid="{411E3D0F-2F1A-4C8B-B8CD-D38DE8AE2D32}"/>
    <cellStyle name="Migliaia 54 3 2 6 2" xfId="34540" xr:uid="{2877B620-4BAC-4E0F-82B7-376D44CFD22E}"/>
    <cellStyle name="Migliaia 54 3 2 6 2 2" xfId="40164" xr:uid="{6ABDA12E-EDF7-43D5-9236-35BE67B55F0F}"/>
    <cellStyle name="Migliaia 54 3 2 6 2 3" xfId="45466" xr:uid="{688AB824-58FA-432A-BAEF-B94F4FDDBAA3}"/>
    <cellStyle name="Migliaia 54 3 2 6 3" xfId="37516" xr:uid="{856945A2-2759-4BE9-BE2C-81D0527282CF}"/>
    <cellStyle name="Migliaia 54 3 2 6 4" xfId="42815" xr:uid="{763B5B34-3639-48CD-8570-7CF75D84D814}"/>
    <cellStyle name="Migliaia 54 3 2 6 5" xfId="25345" xr:uid="{EA497115-228B-4FE6-8129-87518C93398C}"/>
    <cellStyle name="Migliaia 54 3 2 7" xfId="25343" xr:uid="{1EE9395D-B0C3-484D-977A-5DBE59322C36}"/>
    <cellStyle name="Migliaia 54 3 2 8" xfId="7587" xr:uid="{81625012-B74C-430E-BFD1-B5DA9C5D666E}"/>
    <cellStyle name="Migliaia 54 3 3" xfId="3895" xr:uid="{E8707CFD-BDCA-439B-8398-0F537546007A}"/>
    <cellStyle name="Migliaia 54 3 3 10" xfId="7586" xr:uid="{0169C52E-5578-4E8B-BD7F-EEEFD0D7DF83}"/>
    <cellStyle name="Migliaia 54 3 3 2" xfId="5621" xr:uid="{20B7B2A1-78A3-4653-B9CF-70A9E97E5AC1}"/>
    <cellStyle name="Migliaia 54 3 3 2 2" xfId="9980" xr:uid="{FCDF6335-4D1F-44D6-AD27-C8E36CE9CF4C}"/>
    <cellStyle name="Migliaia 54 3 3 2 2 2" xfId="40166" xr:uid="{3C03998A-7FA3-40A1-9EF4-B9CBE3EBD319}"/>
    <cellStyle name="Migliaia 54 3 3 2 2 3" xfId="45468" xr:uid="{A81EC7A1-DC63-48F6-B909-DE488069649B}"/>
    <cellStyle name="Migliaia 54 3 3 2 3" xfId="18260" xr:uid="{D647A842-A247-49A1-BAC1-A803FFA10DD2}"/>
    <cellStyle name="Migliaia 54 3 3 2 4" xfId="20962" xr:uid="{3467C5E5-87F1-4C69-8C8E-5B853EC8C828}"/>
    <cellStyle name="Migliaia 54 3 3 2 4 2" xfId="42817" xr:uid="{C8612538-6437-4520-B571-1B229C83325E}"/>
    <cellStyle name="Migliaia 54 3 3 2 5" xfId="16785" xr:uid="{2A228371-63B1-4625-BBC6-6EDD8EE0ABEA}"/>
    <cellStyle name="Migliaia 54 3 3 2 6" xfId="8776" xr:uid="{EEA0486D-AEF1-4D9A-83AD-93CD490E8B4B}"/>
    <cellStyle name="Migliaia 54 3 3 3" xfId="6796" xr:uid="{79B4DB88-845E-4961-A3AF-F5F82A8FDBE4}"/>
    <cellStyle name="Migliaia 54 3 3 3 2" xfId="34543" xr:uid="{60887DD3-B47E-4990-8114-C4DD3B9FB228}"/>
    <cellStyle name="Migliaia 54 3 3 3 2 2" xfId="40167" xr:uid="{CD0F1E86-E54C-4810-867C-A3661E3A922C}"/>
    <cellStyle name="Migliaia 54 3 3 3 2 3" xfId="45469" xr:uid="{F406B137-6001-4677-AACA-8E3AC767D037}"/>
    <cellStyle name="Migliaia 54 3 3 3 3" xfId="37519" xr:uid="{89627C87-68F8-4C7E-98E9-D58C58E426AD}"/>
    <cellStyle name="Migliaia 54 3 3 3 4" xfId="42818" xr:uid="{B2ABECCC-8D27-4D80-B6B1-DD2437BD81FA}"/>
    <cellStyle name="Migliaia 54 3 3 3 5" xfId="9743" xr:uid="{1A25C2A8-EE06-4ECD-94F9-A03FA5352B97}"/>
    <cellStyle name="Migliaia 54 3 3 4" xfId="20961" xr:uid="{8555DB1A-BECC-4976-8CF3-B1ECD63251D8}"/>
    <cellStyle name="Migliaia 54 3 3 4 2" xfId="34544" xr:uid="{D89951CF-1F21-43C8-ADA2-0C743884F651}"/>
    <cellStyle name="Migliaia 54 3 3 4 2 2" xfId="40168" xr:uid="{B85D0FE4-8218-4E8C-9151-7DC3A7BB4D5E}"/>
    <cellStyle name="Migliaia 54 3 3 4 2 3" xfId="45470" xr:uid="{146299BA-B5EC-4856-805B-316F706FE400}"/>
    <cellStyle name="Migliaia 54 3 3 4 3" xfId="37520" xr:uid="{78A975E7-9889-4C32-BAE6-BB1914898898}"/>
    <cellStyle name="Migliaia 54 3 3 4 4" xfId="42819" xr:uid="{ABB1F0FE-F20D-43C2-8457-FAF07CC674BD}"/>
    <cellStyle name="Migliaia 54 3 3 4 5" xfId="25347" xr:uid="{21CA2963-6677-4B16-AE74-4F76BCA50AD6}"/>
    <cellStyle name="Migliaia 54 3 3 5" xfId="25348" xr:uid="{520A35CA-71AF-43D0-A367-94C56596E1F3}"/>
    <cellStyle name="Migliaia 54 3 3 5 2" xfId="34545" xr:uid="{E20626E8-3E7D-435C-9BAE-F313521177AC}"/>
    <cellStyle name="Migliaia 54 3 3 5 2 2" xfId="40169" xr:uid="{ADDC1A90-BC44-4F7F-BBCE-46F456A70FCE}"/>
    <cellStyle name="Migliaia 54 3 3 5 2 3" xfId="45471" xr:uid="{A3C098ED-E527-49C6-916F-32FF1855D690}"/>
    <cellStyle name="Migliaia 54 3 3 5 3" xfId="37521" xr:uid="{77CB0A81-0372-4836-B550-4D540E357F58}"/>
    <cellStyle name="Migliaia 54 3 3 5 4" xfId="42820" xr:uid="{DA7C1E51-B3B5-473E-831B-3759EF3BC59F}"/>
    <cellStyle name="Migliaia 54 3 3 6" xfId="34541" xr:uid="{3531C5CF-8388-49E1-B91A-1F964E1F4C45}"/>
    <cellStyle name="Migliaia 54 3 3 6 2" xfId="40165" xr:uid="{03132AD6-8122-41E5-820C-89B9318A13EC}"/>
    <cellStyle name="Migliaia 54 3 3 6 3" xfId="45467" xr:uid="{0B7F4537-C704-4BAA-B984-45ECDB51B2CC}"/>
    <cellStyle name="Migliaia 54 3 3 7" xfId="37517" xr:uid="{8878E658-28B0-4217-AD12-FD124DCE88EC}"/>
    <cellStyle name="Migliaia 54 3 3 8" xfId="42816" xr:uid="{1FAD045A-9467-4906-A466-0CDD72920ECB}"/>
    <cellStyle name="Migliaia 54 3 3 9" xfId="16784" xr:uid="{255D99FC-F9CC-4716-A512-4C48C70BE550}"/>
    <cellStyle name="Migliaia 54 3 4" xfId="3896" xr:uid="{12333AE5-B3C3-44F7-9A8A-576D7C8A6313}"/>
    <cellStyle name="Migliaia 54 3 4 2" xfId="5622" xr:uid="{70EE280B-D1E8-4127-9069-0F969FA948B9}"/>
    <cellStyle name="Migliaia 54 3 4 2 2" xfId="14472" xr:uid="{7409A618-9559-48B9-AD61-616C815FE3FD}"/>
    <cellStyle name="Migliaia 54 3 4 2 3" xfId="18135" xr:uid="{7C04A69F-81F9-45D9-BB81-8DDDBE386250}"/>
    <cellStyle name="Migliaia 54 3 4 2 4" xfId="20964" xr:uid="{82B1E1A6-57A2-4907-86FE-1934843A5E4F}"/>
    <cellStyle name="Migliaia 54 3 4 2 5" xfId="32468" xr:uid="{ABCCA9D7-47BB-4089-99D9-C6CEB5FA96F9}"/>
    <cellStyle name="Migliaia 54 3 4 2 6" xfId="16787" xr:uid="{4BBBAD11-2DFB-4AE2-B293-D482ED02D501}"/>
    <cellStyle name="Migliaia 54 3 4 2 7" xfId="8895" xr:uid="{D0708DAD-5155-411D-A971-51B04EDAD3E3}"/>
    <cellStyle name="Migliaia 54 3 4 3" xfId="6797" xr:uid="{D07C26F9-0E80-46F3-9B8A-6E9959EB834B}"/>
    <cellStyle name="Migliaia 54 3 4 3 2" xfId="35468" xr:uid="{73F849E2-F4E6-44FA-88F4-FE3DE8794C3F}"/>
    <cellStyle name="Migliaia 54 3 4 3 2 2" xfId="40628" xr:uid="{8E418A6A-1AF7-44B6-9DCD-5A2EA851565A}"/>
    <cellStyle name="Migliaia 54 3 4 3 2 3" xfId="45930" xr:uid="{43FD40BB-FD19-45BF-B25D-1D2902592C8E}"/>
    <cellStyle name="Migliaia 54 3 4 3 3" xfId="37977" xr:uid="{001D3DC5-4170-4439-8D6C-6788C603A40F}"/>
    <cellStyle name="Migliaia 54 3 4 3 4" xfId="43279" xr:uid="{9BFD4DA3-5039-478B-8D61-B490B0691E21}"/>
    <cellStyle name="Migliaia 54 3 4 3 5" xfId="13720" xr:uid="{9E9863B5-0114-4830-9D28-81654B260A34}"/>
    <cellStyle name="Migliaia 54 3 4 4" xfId="20963" xr:uid="{17A734C7-1435-408C-9756-2A715AD530C5}"/>
    <cellStyle name="Migliaia 54 3 4 4 2" xfId="40170" xr:uid="{B2428AD5-3A76-44A3-BB52-4939D639AB0D}"/>
    <cellStyle name="Migliaia 54 3 4 4 3" xfId="45472" xr:uid="{47E094AE-AF3E-4BF5-A32A-48A9E7C2FB24}"/>
    <cellStyle name="Migliaia 54 3 4 4 4" xfId="34546" xr:uid="{7C763507-47F4-40FF-BD83-823DA6B52F3F}"/>
    <cellStyle name="Migliaia 54 3 4 5" xfId="37522" xr:uid="{4E80AB16-239A-46DA-B7B3-4F0145019A5E}"/>
    <cellStyle name="Migliaia 54 3 4 6" xfId="42821" xr:uid="{8323A9D1-960C-432B-9301-9A57D81C5E39}"/>
    <cellStyle name="Migliaia 54 3 4 7" xfId="16786" xr:uid="{684F5757-64A4-4E6A-BC0F-F0A1B0ACD885}"/>
    <cellStyle name="Migliaia 54 3 4 8" xfId="7705" xr:uid="{CC0BCF55-8822-4720-AC99-11EF63ED559D}"/>
    <cellStyle name="Migliaia 54 3 5" xfId="3897" xr:uid="{69D3EF5A-6021-4B69-8184-7F316D4B4A34}"/>
    <cellStyle name="Migliaia 54 3 5 2" xfId="5623" xr:uid="{F543C407-A716-4014-8282-6CE86883F0A6}"/>
    <cellStyle name="Migliaia 54 3 5 2 2" xfId="35469" xr:uid="{BAC2829F-8B59-4F35-A928-AC575D1B380F}"/>
    <cellStyle name="Migliaia 54 3 5 2 2 2" xfId="40629" xr:uid="{B6BE04DE-DA60-4598-A4D3-77FF0C3EA01F}"/>
    <cellStyle name="Migliaia 54 3 5 2 2 3" xfId="45931" xr:uid="{8F33FE26-DD39-472E-B3C0-B358D4C09867}"/>
    <cellStyle name="Migliaia 54 3 5 2 3" xfId="37978" xr:uid="{A7801BC0-80A8-4C93-B845-4E27C61F9C90}"/>
    <cellStyle name="Migliaia 54 3 5 2 4" xfId="43280" xr:uid="{7D6F2F7D-47AB-4DE6-86AC-A0EED24A3CD9}"/>
    <cellStyle name="Migliaia 54 3 5 2 5" xfId="14328" xr:uid="{711ED660-244D-46CF-82EF-2945977F349E}"/>
    <cellStyle name="Migliaia 54 3 5 3" xfId="6798" xr:uid="{43905B95-04D1-4EC2-857F-9FA06B82B7C4}"/>
    <cellStyle name="Migliaia 54 3 5 3 2" xfId="40171" xr:uid="{2F5E6D9E-205A-4F27-8002-6AEDE6E38895}"/>
    <cellStyle name="Migliaia 54 3 5 3 3" xfId="45473" xr:uid="{DB734DFD-9476-4139-9EF3-75EC0EB6285F}"/>
    <cellStyle name="Migliaia 54 3 5 3 4" xfId="34547" xr:uid="{877CB8B4-381E-4B8B-A449-33C6E9F6AE53}"/>
    <cellStyle name="Migliaia 54 3 5 3 5" xfId="20965" xr:uid="{445FCF77-3994-4E12-91E7-962D9D029B15}"/>
    <cellStyle name="Migliaia 54 3 5 4" xfId="37523" xr:uid="{64CAEED4-4B0E-4408-9AF5-20C987F81EB6}"/>
    <cellStyle name="Migliaia 54 3 5 5" xfId="42822" xr:uid="{DE4F8EF6-A05D-46C7-8E0E-2854FA1421E6}"/>
    <cellStyle name="Migliaia 54 3 5 6" xfId="16788" xr:uid="{14CE178E-47ED-4210-9D9B-31A7071D6FEB}"/>
    <cellStyle name="Migliaia 54 3 5 7" xfId="8390" xr:uid="{A76C7CB8-C181-409F-B3A1-F8BBF33C889E}"/>
    <cellStyle name="Migliaia 54 3 6" xfId="5618" xr:uid="{F12F2385-5A2B-47D9-A8BE-358B3553570C}"/>
    <cellStyle name="Migliaia 54 3 6 2" xfId="14033" xr:uid="{182782B4-A9E0-4949-966C-9E5A05D916E7}"/>
    <cellStyle name="Migliaia 54 3 6 2 2" xfId="40172" xr:uid="{B6B95ACE-220A-4F87-BB04-395676049C4C}"/>
    <cellStyle name="Migliaia 54 3 6 2 3" xfId="45474" xr:uid="{C7F87A28-920D-4657-81F1-8931D4DF091C}"/>
    <cellStyle name="Migliaia 54 3 6 3" xfId="18027" xr:uid="{2F509B8D-545A-4522-9BC1-9350E623310C}"/>
    <cellStyle name="Migliaia 54 3 6 4" xfId="20966" xr:uid="{1E9273BE-4D6F-4A0D-B2EB-06A269602D63}"/>
    <cellStyle name="Migliaia 54 3 6 4 2" xfId="42823" xr:uid="{0D47EB97-DE4C-41D0-A48B-0D2048ECD0A6}"/>
    <cellStyle name="Migliaia 54 3 6 5" xfId="16789" xr:uid="{362ED2CB-41F1-496D-98AD-AECC47E9F2FA}"/>
    <cellStyle name="Migliaia 54 3 6 6" xfId="8020" xr:uid="{B540267F-BBC5-4FEA-AF0D-503FEA9AA00E}"/>
    <cellStyle name="Migliaia 54 3 7" xfId="6793" xr:uid="{8358025A-587C-42DA-9297-E767BA20C6E5}"/>
    <cellStyle name="Migliaia 54 3 7 2" xfId="34549" xr:uid="{372ADF58-B000-4917-9F86-143D74CBFDCE}"/>
    <cellStyle name="Migliaia 54 3 7 2 2" xfId="40173" xr:uid="{7C26EE32-92C0-49A5-8CE9-7C37044E1479}"/>
    <cellStyle name="Migliaia 54 3 7 2 3" xfId="45475" xr:uid="{54A72C3B-C4E5-44F4-A8E6-80013A7FE988}"/>
    <cellStyle name="Migliaia 54 3 7 3" xfId="37525" xr:uid="{55D5B9CB-9D60-49F9-B312-D4B09D683E4A}"/>
    <cellStyle name="Migliaia 54 3 7 4" xfId="42824" xr:uid="{A6E2A954-5968-4E5F-8C09-4F439D2C49FC}"/>
    <cellStyle name="Migliaia 54 3 7 5" xfId="11529" xr:uid="{4E2397DF-D8A5-4665-A294-C7592E7A3BB1}"/>
    <cellStyle name="Migliaia 54 3 8" xfId="3892" xr:uid="{EC5ACF4E-8899-4780-8353-9DB72EDA0423}"/>
    <cellStyle name="Migliaia 54 3 8 2" xfId="34550" xr:uid="{6A2992A3-8172-4762-82DD-DB3DE4DDD14F}"/>
    <cellStyle name="Migliaia 54 3 8 2 2" xfId="40174" xr:uid="{F69669AC-5441-4B4E-9F74-8256A73E79A2}"/>
    <cellStyle name="Migliaia 54 3 8 2 3" xfId="45476" xr:uid="{CA397230-35CB-42B6-8345-BEC948805373}"/>
    <cellStyle name="Migliaia 54 3 8 3" xfId="37526" xr:uid="{3BA29F3C-2162-4E13-8CD3-C831029DB250}"/>
    <cellStyle name="Migliaia 54 3 8 4" xfId="42825" xr:uid="{D942AD41-7FF5-47AF-BCBC-0628F58AE57A}"/>
    <cellStyle name="Migliaia 54 3 8 5" xfId="25353" xr:uid="{2D4D9D2F-A189-4912-89E8-5E0CE9112FCD}"/>
    <cellStyle name="Migliaia 54 3 8 6" xfId="17280" xr:uid="{C125BC4A-E9A3-49E6-A533-0BCEFD0E7421}"/>
    <cellStyle name="Migliaia 54 3 9" xfId="20957" xr:uid="{B370E34C-69D8-4FA2-AB95-F692D31875EE}"/>
    <cellStyle name="Migliaia 54 4" xfId="1903" xr:uid="{00000000-0005-0000-0000-00007E040000}"/>
    <cellStyle name="Migliaia 54 4 2" xfId="1904" xr:uid="{00000000-0005-0000-0000-00007F040000}"/>
    <cellStyle name="Migliaia 54 4 2 2" xfId="5625" xr:uid="{2E71CD10-6D64-46BE-BB51-2D719789528C}"/>
    <cellStyle name="Migliaia 54 4 2 2 2" xfId="34551" xr:uid="{67BCA534-929D-461D-99AE-0D94D8D39B3C}"/>
    <cellStyle name="Migliaia 54 4 2 2 2 2" xfId="40175" xr:uid="{A73BB807-EBC1-4A9D-9C70-D0873EE19D1F}"/>
    <cellStyle name="Migliaia 54 4 2 2 2 3" xfId="45477" xr:uid="{EC7EEAD1-881F-46A1-A426-CDAABE080505}"/>
    <cellStyle name="Migliaia 54 4 2 2 3" xfId="37527" xr:uid="{A1DCB07E-BB62-4CAA-9CAC-4E5666C12FB2}"/>
    <cellStyle name="Migliaia 54 4 2 2 4" xfId="42826" xr:uid="{60D728A2-2E2B-483D-8081-48D6F8A0C645}"/>
    <cellStyle name="Migliaia 54 4 2 2 5" xfId="9206" xr:uid="{123E50C7-923C-4062-BDC7-6CCE1ABFEAA7}"/>
    <cellStyle name="Migliaia 54 4 2 3" xfId="3899" xr:uid="{3847DD73-BBF6-44DB-B699-5468F0EA4E68}"/>
    <cellStyle name="Migliaia 54 4 2 3 2" xfId="34552" xr:uid="{4ADC263D-9AB1-42EB-8237-AD3C067CD4CA}"/>
    <cellStyle name="Migliaia 54 4 2 3 2 2" xfId="40176" xr:uid="{BD40E59C-169E-4702-948F-65A5849B6AD7}"/>
    <cellStyle name="Migliaia 54 4 2 3 2 3" xfId="45478" xr:uid="{6B1A0ED2-C560-4858-A20F-F7C426DEC368}"/>
    <cellStyle name="Migliaia 54 4 2 3 3" xfId="37528" xr:uid="{4CEF4D7D-9D67-4C41-97DE-71F461C3DC64}"/>
    <cellStyle name="Migliaia 54 4 2 3 4" xfId="42827" xr:uid="{2643CDF5-833F-47CD-B7E5-2E1F51180386}"/>
    <cellStyle name="Migliaia 54 4 2 3 5" xfId="12085" xr:uid="{DF56E66B-2743-4B86-B5DF-583C5BD339E0}"/>
    <cellStyle name="Migliaia 54 4 2 4" xfId="11438" xr:uid="{FD6B9CFB-859D-46A1-81A9-5964C366F495}"/>
    <cellStyle name="Migliaia 54 4 2 5" xfId="10981" xr:uid="{376D1912-C57A-46E1-A21B-645E50138957}"/>
    <cellStyle name="Migliaia 54 4 2 5 2" xfId="21616" xr:uid="{354E6B65-DB99-47D5-A646-409460C0BA78}"/>
    <cellStyle name="Migliaia 54 4 2 5 3" xfId="32542" xr:uid="{7C87612F-564C-4429-8839-F8662C7A070E}"/>
    <cellStyle name="Migliaia 54 4 2 5 4" xfId="50631" xr:uid="{454C13B0-3BC8-4F89-8733-7DDB481468DE}"/>
    <cellStyle name="Migliaia 54 4 2 5 5" xfId="53647" xr:uid="{F745974F-AA35-45CD-A673-5DB453597478}"/>
    <cellStyle name="Migliaia 54 4 2 6" xfId="20968" xr:uid="{9E547098-0AFF-4104-87C7-2362522254E3}"/>
    <cellStyle name="Migliaia 54 4 2 7" xfId="25355" xr:uid="{30EAD6F2-7D44-46B6-959E-7D73346C6BEC}"/>
    <cellStyle name="Migliaia 54 4 2 8" xfId="8778" xr:uid="{1AED777E-A3D1-4D1D-A584-0FBB6C449091}"/>
    <cellStyle name="Migliaia 54 4 3" xfId="5624" xr:uid="{F7E79B6F-32EA-4B25-9FB0-F38C3C63835E}"/>
    <cellStyle name="Migliaia 54 4 3 2" xfId="18261" xr:uid="{8DFACF91-70AB-4549-BBF4-53985DB21389}"/>
    <cellStyle name="Migliaia 54 4 3 2 2" xfId="40177" xr:uid="{32A8326C-9EA7-4225-AF8B-3EC31DAAB54E}"/>
    <cellStyle name="Migliaia 54 4 3 2 3" xfId="45479" xr:uid="{5B55F596-269A-41EB-B101-4B366111BE1F}"/>
    <cellStyle name="Migliaia 54 4 3 3" xfId="37529" xr:uid="{D44DDD9F-F72E-4AF0-8C5A-AD574044B30D}"/>
    <cellStyle name="Migliaia 54 4 3 4" xfId="42828" xr:uid="{0174AEC9-121F-4CB0-A7C1-377A3A4D5B8E}"/>
    <cellStyle name="Migliaia 54 4 3 5" xfId="17278" xr:uid="{3B61B77C-F351-454D-BD0F-169BCDCA4F95}"/>
    <cellStyle name="Migliaia 54 4 3 6" xfId="9207" xr:uid="{D9764B0E-F972-4F2E-AC93-6329B7151AB7}"/>
    <cellStyle name="Migliaia 54 4 4" xfId="6799" xr:uid="{7AA01473-6AEB-4D1E-A677-156A15E5DB12}"/>
    <cellStyle name="Migliaia 54 4 4 2" xfId="34554" xr:uid="{64CDCB19-146A-45FA-8918-C72765EED734}"/>
    <cellStyle name="Migliaia 54 4 4 2 2" xfId="40178" xr:uid="{4F5B8DB9-A382-4FDA-AC92-06F575EE2090}"/>
    <cellStyle name="Migliaia 54 4 4 2 3" xfId="45480" xr:uid="{F8A6653A-E885-4D1E-8414-AD82111F3723}"/>
    <cellStyle name="Migliaia 54 4 4 3" xfId="37530" xr:uid="{5282271C-A032-4F74-A7DF-135D1EC5B51C}"/>
    <cellStyle name="Migliaia 54 4 4 4" xfId="42829" xr:uid="{A64F5C6F-01FB-4A6C-9D5B-CE5653675017}"/>
    <cellStyle name="Migliaia 54 4 4 5" xfId="12086" xr:uid="{3DCDF75A-9143-4036-AC15-52C8E8616303}"/>
    <cellStyle name="Migliaia 54 4 5" xfId="3898" xr:uid="{51327D9F-F041-4628-AA50-162FDF7A4575}"/>
    <cellStyle name="Migliaia 54 4 5 2" xfId="34555" xr:uid="{D0AF5F20-2CD2-42B4-B4AF-D3A8F9E945E6}"/>
    <cellStyle name="Migliaia 54 4 5 2 2" xfId="40179" xr:uid="{63C6AC68-BC20-40CE-92B3-973ED264B7F9}"/>
    <cellStyle name="Migliaia 54 4 5 2 3" xfId="45481" xr:uid="{24D32A59-05AC-4249-81CA-89A9B37B4981}"/>
    <cellStyle name="Migliaia 54 4 5 3" xfId="37531" xr:uid="{84F2827A-715C-4415-8B72-65A58F48E0A4}"/>
    <cellStyle name="Migliaia 54 4 5 4" xfId="42830" xr:uid="{14F107FE-92DA-455B-AFF5-19AA5E4EDDF9}"/>
    <cellStyle name="Migliaia 54 4 5 5" xfId="11437" xr:uid="{4C4391B9-37A2-4B45-88DF-ABE4765DA3CE}"/>
    <cellStyle name="Migliaia 54 4 6" xfId="10980" xr:uid="{DB0E3480-35AA-460D-8328-5CE982FFB135}"/>
    <cellStyle name="Migliaia 54 4 6 2" xfId="21615" xr:uid="{C69A0D55-3374-4182-9E8D-607850D0A12D}"/>
    <cellStyle name="Migliaia 54 4 6 2 2" xfId="40180" xr:uid="{1F34D83D-6A2C-4EF2-ABD1-B992216E2586}"/>
    <cellStyle name="Migliaia 54 4 6 2 3" xfId="45482" xr:uid="{BD7AEB4D-8888-42F7-9545-71F24DC8DC95}"/>
    <cellStyle name="Migliaia 54 4 6 2 4" xfId="34556" xr:uid="{101D8073-C7F8-4D23-8746-4ED9A08AA5CB}"/>
    <cellStyle name="Migliaia 54 4 6 3" xfId="37532" xr:uid="{9B953B8B-6B74-4F8D-9773-42716B18B6E4}"/>
    <cellStyle name="Migliaia 54 4 6 4" xfId="42831" xr:uid="{4B4058DF-D3BF-43D6-97A9-B67D177FD97A}"/>
    <cellStyle name="Migliaia 54 4 6 5" xfId="25361" xr:uid="{1D3A4235-63F5-4D38-9765-5692D7D5355D}"/>
    <cellStyle name="Migliaia 54 4 6 6" xfId="48386" xr:uid="{F5E2EF45-BF1F-4B1D-AD49-5F6E39EA9370}"/>
    <cellStyle name="Migliaia 54 4 6 7" xfId="50630" xr:uid="{C8ADF6E8-B642-4CB0-8AA9-F2F57E61EE1C}"/>
    <cellStyle name="Migliaia 54 4 6 8" xfId="53646" xr:uid="{AEDDF016-DF1A-4EAF-9FFE-DBABF097BEAE}"/>
    <cellStyle name="Migliaia 54 4 7" xfId="20967" xr:uid="{CE6D1110-75A3-4AA3-9719-CCE1FB764CFB}"/>
    <cellStyle name="Migliaia 54 4 7 2" xfId="34557" xr:uid="{85B20FBF-502B-41C8-AA2D-F9AC6A407FC6}"/>
    <cellStyle name="Migliaia 54 4 7 2 2" xfId="40181" xr:uid="{91D8E87D-7355-41F9-9948-43493F8236CB}"/>
    <cellStyle name="Migliaia 54 4 7 2 3" xfId="45483" xr:uid="{F872814F-E410-4D32-953E-C1095E6AFF81}"/>
    <cellStyle name="Migliaia 54 4 7 3" xfId="37533" xr:uid="{09A9FC50-3C02-41FE-A4C6-4ED69BD0A920}"/>
    <cellStyle name="Migliaia 54 4 7 4" xfId="42832" xr:uid="{F66D6080-4AB1-4AFE-ABE3-564A3E959C73}"/>
    <cellStyle name="Migliaia 54 4 7 5" xfId="25362" xr:uid="{01D1DC2B-6F2E-4F90-8D87-9E71E167A138}"/>
    <cellStyle name="Migliaia 54 4 8" xfId="25354" xr:uid="{BB93B268-C280-4F04-8F6C-CBF048AF736B}"/>
    <cellStyle name="Migliaia 54 4 9" xfId="7588" xr:uid="{E7FE30B2-EC15-4ACE-A033-01310EF4FD5F}"/>
    <cellStyle name="Migliaia 54 5" xfId="1905" xr:uid="{00000000-0005-0000-0000-000080040000}"/>
    <cellStyle name="Migliaia 54 5 2" xfId="5626" xr:uid="{EE75512C-20D5-40AD-933C-15A8343E2B8C}"/>
    <cellStyle name="Migliaia 54 5 2 2" xfId="18511" xr:uid="{072F4990-0DBA-4D1C-B508-4132C81ACDD0}"/>
    <cellStyle name="Migliaia 54 5 2 2 2" xfId="40182" xr:uid="{7F74CD1F-89EE-42E9-88B9-D78DF7A30B36}"/>
    <cellStyle name="Migliaia 54 5 2 2 3" xfId="45484" xr:uid="{6EF00E39-2676-49D9-ABE6-005BD72E706C}"/>
    <cellStyle name="Migliaia 54 5 2 3" xfId="20970" xr:uid="{5B8F579E-EAB2-4AF2-B18C-A79D91CC6371}"/>
    <cellStyle name="Migliaia 54 5 2 3 2" xfId="37534" xr:uid="{F3D2BD7C-880A-4324-B658-36D3561E5C51}"/>
    <cellStyle name="Migliaia 54 5 2 4" xfId="42833" xr:uid="{BDA4483E-2B96-4123-ABA9-2796B79E298A}"/>
    <cellStyle name="Migliaia 54 5 2 5" xfId="16790" xr:uid="{A5AF946C-7BD5-43BA-9991-234C0A4AB1B0}"/>
    <cellStyle name="Migliaia 54 5 2 6" xfId="8779" xr:uid="{C6063716-42BA-45BC-8236-43CF9EA48490}"/>
    <cellStyle name="Migliaia 54 5 3" xfId="6800" xr:uid="{7B453BC3-A201-479E-B5F4-E3DEE4C48847}"/>
    <cellStyle name="Migliaia 54 5 3 2" xfId="34558" xr:uid="{95BDB26E-02B0-4B8F-B4D7-E4C5E48D31E6}"/>
    <cellStyle name="Migliaia 54 5 3 2 2" xfId="40183" xr:uid="{1BCA496D-EBA7-40D4-A5C4-A2381CB92DCB}"/>
    <cellStyle name="Migliaia 54 5 3 2 3" xfId="45485" xr:uid="{2585A476-FBA6-40AC-9553-4467AB85CC66}"/>
    <cellStyle name="Migliaia 54 5 3 3" xfId="37535" xr:uid="{EECC469F-01F4-48A3-99BD-86E44EE231D9}"/>
    <cellStyle name="Migliaia 54 5 3 4" xfId="42834" xr:uid="{80007CBA-C881-4632-AA83-B2DFE5ED614F}"/>
    <cellStyle name="Migliaia 54 5 3 5" xfId="11439" xr:uid="{B901E919-B937-41DE-A1B8-EEC7097A3389}"/>
    <cellStyle name="Migliaia 54 5 4" xfId="3900" xr:uid="{D6BE16EF-8FEE-40FE-BF6C-B0F30A16F76C}"/>
    <cellStyle name="Migliaia 54 5 4 2" xfId="21617" xr:uid="{59D30164-28E2-484E-952F-B788769F63AE}"/>
    <cellStyle name="Migliaia 54 5 4 2 2" xfId="40184" xr:uid="{FE6C991B-8D4E-4ED9-9664-0C34BAA74895}"/>
    <cellStyle name="Migliaia 54 5 4 2 3" xfId="45486" xr:uid="{E80F324A-9112-4DE3-9491-DD4D7B664786}"/>
    <cellStyle name="Migliaia 54 5 4 2 4" xfId="34559" xr:uid="{0E8854D5-4CDB-4AD9-8EF0-A2455382B09D}"/>
    <cellStyle name="Migliaia 54 5 4 3" xfId="37536" xr:uid="{42EC531D-006F-4C70-9C0E-AAEE35CD9CAC}"/>
    <cellStyle name="Migliaia 54 5 4 4" xfId="42835" xr:uid="{457AE786-E0E4-4BEA-BC59-4164FE69E704}"/>
    <cellStyle name="Migliaia 54 5 4 5" xfId="25364" xr:uid="{B10236EA-1C65-447A-B25E-CE2C0B853F91}"/>
    <cellStyle name="Migliaia 54 5 4 6" xfId="48326" xr:uid="{6268A96D-F5AE-482F-9361-0B9C10FCF178}"/>
    <cellStyle name="Migliaia 54 5 4 7" xfId="50632" xr:uid="{B32FE456-1DD5-4545-8CB3-E410DC74313F}"/>
    <cellStyle name="Migliaia 54 5 4 8" xfId="53648" xr:uid="{4952820D-036F-4A6C-9BD4-1EAD5ECF8256}"/>
    <cellStyle name="Migliaia 54 5 4 9" xfId="10982" xr:uid="{1E4A65B0-9742-4E4C-A6B7-DA8C891C554B}"/>
    <cellStyle name="Migliaia 54 5 5" xfId="20969" xr:uid="{999E4818-D97B-4D84-8B10-11E5E4B41505}"/>
    <cellStyle name="Migliaia 54 5 5 2" xfId="34560" xr:uid="{852FA839-C347-45F0-93A4-74B119CE152C}"/>
    <cellStyle name="Migliaia 54 5 5 2 2" xfId="40185" xr:uid="{DDC81F7A-C562-4DA5-9F31-70E218B10792}"/>
    <cellStyle name="Migliaia 54 5 5 2 3" xfId="45487" xr:uid="{A8330BCB-E311-42D6-AF2D-E5D428CC5333}"/>
    <cellStyle name="Migliaia 54 5 5 3" xfId="37537" xr:uid="{E306F149-42CF-425C-87BC-53F8B3076148}"/>
    <cellStyle name="Migliaia 54 5 5 4" xfId="42836" xr:uid="{2AD9725F-1DF8-4732-B623-D56C6934AB3E}"/>
    <cellStyle name="Migliaia 54 5 5 5" xfId="25365" xr:uid="{8B6906FD-4418-4DD3-AF86-3289AA9B9FC8}"/>
    <cellStyle name="Migliaia 54 5 6" xfId="25366" xr:uid="{5BD1A609-074A-45F0-8F7B-31FB4A9229E6}"/>
    <cellStyle name="Migliaia 54 5 6 2" xfId="34561" xr:uid="{A74BF239-7F92-490D-A72F-A16E51A057CD}"/>
    <cellStyle name="Migliaia 54 5 6 2 2" xfId="40186" xr:uid="{51BE24E0-D3BB-475A-B8D8-2DE35F192B43}"/>
    <cellStyle name="Migliaia 54 5 6 2 3" xfId="45488" xr:uid="{DB6F99ED-D842-4630-8A5D-1C97AAF8EF08}"/>
    <cellStyle name="Migliaia 54 5 6 3" xfId="37538" xr:uid="{7C2F89F5-6198-458C-8AFD-94E8423DD277}"/>
    <cellStyle name="Migliaia 54 5 6 4" xfId="42837" xr:uid="{B0D84789-0DC3-41B8-8063-0D1697DC36F4}"/>
    <cellStyle name="Migliaia 54 5 7" xfId="25363" xr:uid="{5B0B4B58-1A71-4429-9976-92ABEFA82967}"/>
    <cellStyle name="Migliaia 54 5 8" xfId="7589" xr:uid="{40C47C47-3A78-4399-99E8-50CD6300399E}"/>
    <cellStyle name="Migliaia 54 6" xfId="3901" xr:uid="{3DA98C7A-D5FA-4A16-BC65-4E8768B409C8}"/>
    <cellStyle name="Migliaia 54 6 2" xfId="5627" xr:uid="{023EDC9D-C211-48AD-8ECF-3218346D0F01}"/>
    <cellStyle name="Migliaia 54 6 2 2" xfId="9979" xr:uid="{60DD57EA-FE0F-4196-A646-910A988D92C9}"/>
    <cellStyle name="Migliaia 54 6 2 3" xfId="18633" xr:uid="{E14AFB5D-F1D3-47CA-A37B-548861080901}"/>
    <cellStyle name="Migliaia 54 6 2 4" xfId="20972" xr:uid="{11752072-3A0B-4751-981C-C72F9A41AA95}"/>
    <cellStyle name="Migliaia 54 6 2 5" xfId="32471" xr:uid="{55A71BD9-7D56-4C47-ADE1-E7A7488CF724}"/>
    <cellStyle name="Migliaia 54 6 2 6" xfId="16792" xr:uid="{65CCCE23-58EB-4577-AFF8-D3BFCD6C2409}"/>
    <cellStyle name="Migliaia 54 6 2 7" xfId="8774" xr:uid="{DC07600E-9AD6-46EE-AE51-B2D1AA6B6704}"/>
    <cellStyle name="Migliaia 54 6 3" xfId="6801" xr:uid="{18E147B5-1E02-4AB3-A5CF-89BD4CFFB87A}"/>
    <cellStyle name="Migliaia 54 6 3 2" xfId="35470" xr:uid="{7E25C101-E88F-409F-9428-790F627E723E}"/>
    <cellStyle name="Migliaia 54 6 3 2 2" xfId="40630" xr:uid="{76418265-6F5F-4FE9-962E-17040DFC0774}"/>
    <cellStyle name="Migliaia 54 6 3 2 3" xfId="45932" xr:uid="{32233185-12ED-4AC3-BC80-66EDD2486D1F}"/>
    <cellStyle name="Migliaia 54 6 3 3" xfId="37979" xr:uid="{B45E2130-DC64-4A80-93EE-2B4B1F6D1055}"/>
    <cellStyle name="Migliaia 54 6 3 4" xfId="43281" xr:uid="{4A3A197C-396D-4F55-9A79-81CEB5FBD516}"/>
    <cellStyle name="Migliaia 54 6 3 5" xfId="9742" xr:uid="{7DF6A874-763B-436C-9CCD-D6BB99014201}"/>
    <cellStyle name="Migliaia 54 6 4" xfId="20971" xr:uid="{38E1B379-1246-48D2-8F5C-10DEE9D5F6AC}"/>
    <cellStyle name="Migliaia 54 6 4 2" xfId="40187" xr:uid="{8D26D1D8-A0C7-41D9-A356-CD0685AA293B}"/>
    <cellStyle name="Migliaia 54 6 4 3" xfId="45489" xr:uid="{7966C7A4-59C8-47AD-A6A4-74A9B41A6B63}"/>
    <cellStyle name="Migliaia 54 6 4 4" xfId="34562" xr:uid="{DF76555D-A8B0-4426-9D2D-A6172DC2EEB3}"/>
    <cellStyle name="Migliaia 54 6 5" xfId="37539" xr:uid="{DC5BACD4-3030-4C3B-83A1-D361C8369E61}"/>
    <cellStyle name="Migliaia 54 6 6" xfId="42838" xr:uid="{46BFC47F-7B3E-4EBB-A160-1B1A82264D53}"/>
    <cellStyle name="Migliaia 54 6 7" xfId="16791" xr:uid="{6835BCAC-CAF1-41F2-81FC-5A175226150D}"/>
    <cellStyle name="Migliaia 54 6 8" xfId="7584" xr:uid="{8D872746-0875-4717-9DA9-FD3B0EE588F1}"/>
    <cellStyle name="Migliaia 54 7" xfId="3902" xr:uid="{4426B53A-057C-442B-9495-FCF499FF1426}"/>
    <cellStyle name="Migliaia 54 7 2" xfId="5628" xr:uid="{C92B0CB2-F3AD-41A0-A555-5CEC7A81421F}"/>
    <cellStyle name="Migliaia 54 7 2 2" xfId="35471" xr:uid="{99D64439-1EB7-46B7-BC04-41321E1E8990}"/>
    <cellStyle name="Migliaia 54 7 2 2 2" xfId="40631" xr:uid="{03F44486-1D0B-4053-9CDF-09A6F727079A}"/>
    <cellStyle name="Migliaia 54 7 2 2 3" xfId="45933" xr:uid="{B1054109-20E9-4299-8855-EF2EA41C575B}"/>
    <cellStyle name="Migliaia 54 7 2 3" xfId="37980" xr:uid="{9DC2AB5A-93EC-4C1D-8501-5034D8EEE3F4}"/>
    <cellStyle name="Migliaia 54 7 2 4" xfId="43282" xr:uid="{23543991-18CC-4815-B105-DA12C4D12D9A}"/>
    <cellStyle name="Migliaia 54 7 2 5" xfId="14326" xr:uid="{E321749C-EC9D-4AD9-A915-997296829F8F}"/>
    <cellStyle name="Migliaia 54 7 3" xfId="6802" xr:uid="{E34355DC-D4A6-4E70-9849-C08D783D784F}"/>
    <cellStyle name="Migliaia 54 7 3 2" xfId="40188" xr:uid="{6430799C-C2E9-4541-ADB9-9FB81AF5AD37}"/>
    <cellStyle name="Migliaia 54 7 3 3" xfId="45490" xr:uid="{CB6BA2CE-0DAF-4BEB-BDDF-EDF4619D814F}"/>
    <cellStyle name="Migliaia 54 7 3 4" xfId="34563" xr:uid="{7457568F-3759-4F6C-BD47-6DCA26813CF8}"/>
    <cellStyle name="Migliaia 54 7 3 5" xfId="20973" xr:uid="{79D5921E-6CA8-4923-A007-F200A6514032}"/>
    <cellStyle name="Migliaia 54 7 4" xfId="37540" xr:uid="{7B9039BA-589F-4C2D-B955-2B60FAE01592}"/>
    <cellStyle name="Migliaia 54 7 5" xfId="42839" xr:uid="{491EB9BC-7A61-4812-984C-BB04059BBF28}"/>
    <cellStyle name="Migliaia 54 7 6" xfId="16793" xr:uid="{3D879971-7EB4-4E4E-B98E-915320A3185C}"/>
    <cellStyle name="Migliaia 54 7 7" xfId="8388" xr:uid="{C5DEA403-20D9-4E15-9534-9A183318713A}"/>
    <cellStyle name="Migliaia 54 8" xfId="3903" xr:uid="{DED0693B-5703-44F9-9821-E307648457A0}"/>
    <cellStyle name="Migliaia 54 8 2" xfId="5629" xr:uid="{21664644-04A8-490D-96C4-6E7971D46CF9}"/>
    <cellStyle name="Migliaia 54 8 2 2" xfId="35472" xr:uid="{C3937A78-B3EC-4BC3-B4AC-BEDE819FFE33}"/>
    <cellStyle name="Migliaia 54 8 2 2 2" xfId="40632" xr:uid="{05413366-063B-401A-BAE1-4A0885CD9C38}"/>
    <cellStyle name="Migliaia 54 8 2 2 3" xfId="45934" xr:uid="{289A064C-D277-4524-AD99-9AC0DC70F524}"/>
    <cellStyle name="Migliaia 54 8 2 3" xfId="37981" xr:uid="{BC54D004-DEBB-4149-9911-9F7546474DA2}"/>
    <cellStyle name="Migliaia 54 8 2 4" xfId="43283" xr:uid="{12BA1F61-B329-4D7A-B569-87FF145E5E15}"/>
    <cellStyle name="Migliaia 54 8 2 5" xfId="14031" xr:uid="{0DB257A9-9C79-4F06-A514-619086121B50}"/>
    <cellStyle name="Migliaia 54 8 3" xfId="6803" xr:uid="{1C04C348-3293-4301-8243-7955B15AF2C2}"/>
    <cellStyle name="Migliaia 54 8 3 2" xfId="40189" xr:uid="{13CBFB61-5ACF-430A-ABF2-2EE6066C636F}"/>
    <cellStyle name="Migliaia 54 8 3 3" xfId="45491" xr:uid="{381B38A9-7BAF-4343-BCAD-BA02AB2DBA59}"/>
    <cellStyle name="Migliaia 54 8 3 4" xfId="34564" xr:uid="{1675E453-A6D3-4313-A305-B3E86B1E67D2}"/>
    <cellStyle name="Migliaia 54 8 3 5" xfId="20974" xr:uid="{79C8D878-B281-4450-B31B-EE9FE9C8383B}"/>
    <cellStyle name="Migliaia 54 8 4" xfId="37541" xr:uid="{C00C4C1F-0165-485B-BC35-CEE9EDB738FE}"/>
    <cellStyle name="Migliaia 54 8 5" xfId="42840" xr:uid="{2A79CB2B-7CAC-4C0A-9BA5-31D192FDB343}"/>
    <cellStyle name="Migliaia 54 8 6" xfId="16794" xr:uid="{87E4543B-4185-4F3F-9255-66E01A32BC1A}"/>
    <cellStyle name="Migliaia 54 8 7" xfId="8018" xr:uid="{D20EABD7-0F83-4149-B2A0-C6E05280CEF8}"/>
    <cellStyle name="Migliaia 54 9" xfId="5614" xr:uid="{C50A4D05-FCFD-4B3A-B060-CBA53189FDDF}"/>
    <cellStyle name="Migliaia 54 9 2" xfId="34565" xr:uid="{BCF5D03E-E813-47DF-B36B-68D0A3269466}"/>
    <cellStyle name="Migliaia 54 9 2 2" xfId="40190" xr:uid="{35566D4E-9B9B-497E-BDB3-2D20153E198E}"/>
    <cellStyle name="Migliaia 54 9 2 3" xfId="45492" xr:uid="{F3B58DE0-5449-4732-A0C0-F4B01325A46D}"/>
    <cellStyle name="Migliaia 54 9 3" xfId="37542" xr:uid="{F863F451-CD05-4321-B982-CA8D122509FA}"/>
    <cellStyle name="Migliaia 54 9 4" xfId="42841" xr:uid="{4268F3FC-78EC-4E60-92F8-DFC70E4B2FFD}"/>
    <cellStyle name="Migliaia 54 9 5" xfId="17233" xr:uid="{282A51AB-6D9E-44C7-91AD-BCA09361662F}"/>
    <cellStyle name="Migliaia 55" xfId="501" xr:uid="{00000000-0005-0000-0000-000081040000}"/>
    <cellStyle name="Migliaia 55 10" xfId="6804" xr:uid="{E3940A7E-CADE-4CA4-BDB2-F2E6CEE202DD}"/>
    <cellStyle name="Migliaia 55 10 2" xfId="40191" xr:uid="{2EB1B0F3-D552-4C88-82C4-598C74544DB1}"/>
    <cellStyle name="Migliaia 55 10 3" xfId="45493" xr:uid="{5B82A805-5ABC-4323-B7B2-DE2E6632CC95}"/>
    <cellStyle name="Migliaia 55 10 4" xfId="34566" xr:uid="{CAEEFDED-527E-4B7D-BCBC-BA8A6099279B}"/>
    <cellStyle name="Migliaia 55 10 5" xfId="20975" xr:uid="{3EC5AD9F-F0A1-40C1-8971-1C07B1039BB7}"/>
    <cellStyle name="Migliaia 55 11" xfId="3904" xr:uid="{22FA0594-8774-4F02-BB76-7784F640A209}"/>
    <cellStyle name="Migliaia 55 11 2" xfId="37543" xr:uid="{643B16ED-FE35-4A5E-9CE4-5678AF61859B}"/>
    <cellStyle name="Migliaia 55 12" xfId="42842" xr:uid="{EDCAECCC-D56E-4C0C-A44E-53EBA31538CC}"/>
    <cellStyle name="Migliaia 55 13" xfId="7192" xr:uid="{F5D78D60-B2F8-4F13-BC2B-9736B5BA143B}"/>
    <cellStyle name="Migliaia 55 2" xfId="502" xr:uid="{00000000-0005-0000-0000-000082040000}"/>
    <cellStyle name="Migliaia 55 2 2" xfId="1906" xr:uid="{00000000-0005-0000-0000-000083040000}"/>
    <cellStyle name="Migliaia 55 2 2 2" xfId="5632" xr:uid="{4C766987-9155-4427-AF94-CAEDAEF78613}"/>
    <cellStyle name="Migliaia 55 2 2 2 2" xfId="14413" xr:uid="{93D862B1-274D-4298-AEC6-5F80F87A7226}"/>
    <cellStyle name="Migliaia 55 2 2 2 2 2" xfId="40192" xr:uid="{9C72B7DA-DFCA-4C3F-A9C8-2918635AF961}"/>
    <cellStyle name="Migliaia 55 2 2 2 2 3" xfId="45494" xr:uid="{E9D65B37-E3E3-497B-99C3-655FFD127F28}"/>
    <cellStyle name="Migliaia 55 2 2 2 3" xfId="18512" xr:uid="{3AE9DCF5-0627-4678-A412-9D411BC0E9F6}"/>
    <cellStyle name="Migliaia 55 2 2 2 4" xfId="20978" xr:uid="{F481EEC0-0817-4DFB-9FE2-8CDD051B7A1C}"/>
    <cellStyle name="Migliaia 55 2 2 2 4 2" xfId="42843" xr:uid="{63B19B28-1F5D-44A9-84D0-73944FCF7662}"/>
    <cellStyle name="Migliaia 55 2 2 2 5" xfId="16795" xr:uid="{CBB16365-96AD-417F-82E8-0EF3B31D2A8F}"/>
    <cellStyle name="Migliaia 55 2 2 2 6" xfId="8781" xr:uid="{58B63780-C13F-4740-B770-76123575383C}"/>
    <cellStyle name="Migliaia 55 2 2 3" xfId="6806" xr:uid="{FCD8F3C3-0AF8-4403-9CE3-63AAFD3CF806}"/>
    <cellStyle name="Migliaia 55 2 2 3 2" xfId="35473" xr:uid="{695D70A3-D55A-47F0-AD45-341241F06F7E}"/>
    <cellStyle name="Migliaia 55 2 2 3 2 2" xfId="40633" xr:uid="{B6C24BE3-0275-4F18-9269-674398CA7327}"/>
    <cellStyle name="Migliaia 55 2 2 3 2 3" xfId="45935" xr:uid="{4D33DBCF-CBF6-4410-A608-ECE1E97B68A1}"/>
    <cellStyle name="Migliaia 55 2 2 3 3" xfId="37982" xr:uid="{8360C039-66CD-4E43-82A8-CCAA949A4AC6}"/>
    <cellStyle name="Migliaia 55 2 2 3 4" xfId="43284" xr:uid="{14F5FC64-49C6-421D-968B-427C4989A725}"/>
    <cellStyle name="Migliaia 55 2 2 3 5" xfId="11640" xr:uid="{B2F353CB-BD3E-4B60-A081-ABA12A6B4656}"/>
    <cellStyle name="Migliaia 55 2 2 4" xfId="3906" xr:uid="{507618F7-D66C-4693-8432-DC1414862180}"/>
    <cellStyle name="Migliaia 55 2 2 4 2" xfId="21618" xr:uid="{9C76D5E0-901C-4A20-93D6-6C85326EA846}"/>
    <cellStyle name="Migliaia 55 2 2 4 3" xfId="47311" xr:uid="{DCEF5511-1E7C-4779-9995-74B9CFE57BB2}"/>
    <cellStyle name="Migliaia 55 2 2 4 4" xfId="50633" xr:uid="{1604B671-43F4-4FBE-96EC-7839EB1A86A1}"/>
    <cellStyle name="Migliaia 55 2 2 4 5" xfId="53649" xr:uid="{ECB871A5-0FE5-4A13-80D5-9C6D2DCC2403}"/>
    <cellStyle name="Migliaia 55 2 2 4 6" xfId="10983" xr:uid="{BA9129A8-08EE-43C4-940C-8CB8E380029E}"/>
    <cellStyle name="Migliaia 55 2 2 5" xfId="20977" xr:uid="{A35BF604-AF08-4CD3-AD18-CF14522D53E5}"/>
    <cellStyle name="Migliaia 55 2 2 6" xfId="25370" xr:uid="{0F54313D-064B-4515-A4A5-1027581E712A}"/>
    <cellStyle name="Migliaia 55 2 2 7" xfId="7591" xr:uid="{E92420E9-49AF-4EEF-8E00-72A5FA99323C}"/>
    <cellStyle name="Migliaia 55 2 3" xfId="3907" xr:uid="{848F5F82-1027-4A77-82CE-98FDBE24628B}"/>
    <cellStyle name="Migliaia 55 2 3 2" xfId="5633" xr:uid="{C083E76F-99BB-41F4-82ED-B377FB2748ED}"/>
    <cellStyle name="Migliaia 55 2 3 2 2" xfId="35474" xr:uid="{522E0B27-E91C-4DC9-ABDD-FD04561EAB49}"/>
    <cellStyle name="Migliaia 55 2 3 2 2 2" xfId="40634" xr:uid="{1559D353-C9B8-4576-9748-BBB7C507EAA5}"/>
    <cellStyle name="Migliaia 55 2 3 2 2 3" xfId="45936" xr:uid="{56A5E6EF-3AE0-4260-817C-B9F14FF49A66}"/>
    <cellStyle name="Migliaia 55 2 3 2 3" xfId="37983" xr:uid="{961ECCD8-434B-41C9-AD07-8A3938D996D6}"/>
    <cellStyle name="Migliaia 55 2 3 2 4" xfId="43285" xr:uid="{313F6D76-324C-4B9B-9EF3-80A7D6FEEE73}"/>
    <cellStyle name="Migliaia 55 2 3 2 5" xfId="14330" xr:uid="{2B90A39B-3B36-4A3B-B984-C1BB3AA6DA2B}"/>
    <cellStyle name="Migliaia 55 2 3 3" xfId="6807" xr:uid="{173B1FCF-431A-465A-A9CF-80D5AC8FA804}"/>
    <cellStyle name="Migliaia 55 2 3 3 2" xfId="40193" xr:uid="{5232CCC9-2C22-423D-9AB4-2F0C8E97E2FB}"/>
    <cellStyle name="Migliaia 55 2 3 3 3" xfId="45495" xr:uid="{D2F05B46-20C3-4C94-9E58-4E844207BD52}"/>
    <cellStyle name="Migliaia 55 2 3 3 4" xfId="34568" xr:uid="{58BAAD28-9831-4EA2-9A5D-4FBBD9FB3ED4}"/>
    <cellStyle name="Migliaia 55 2 3 3 5" xfId="20979" xr:uid="{73A969B7-7700-46FB-8CAB-D30181D24299}"/>
    <cellStyle name="Migliaia 55 2 3 4" xfId="37544" xr:uid="{A7D6E797-9F9B-4822-A7C0-953A0306CAC2}"/>
    <cellStyle name="Migliaia 55 2 3 5" xfId="42844" xr:uid="{EF2B1FC2-772A-46B8-9E80-4FE60524394B}"/>
    <cellStyle name="Migliaia 55 2 3 6" xfId="16796" xr:uid="{DD494CD0-0B73-4DAD-ACDD-E5AD2ACFC8A3}"/>
    <cellStyle name="Migliaia 55 2 3 7" xfId="8392" xr:uid="{7F2421CA-874D-464E-B3A0-E8965346FBBD}"/>
    <cellStyle name="Migliaia 55 2 4" xfId="5631" xr:uid="{2EC4E3CB-C3D0-4BDF-B4F8-DE3D88878DA1}"/>
    <cellStyle name="Migliaia 55 2 4 2" xfId="14035" xr:uid="{AD8CD3F4-9A2A-430F-BA1F-7C3E555CEAA9}"/>
    <cellStyle name="Migliaia 55 2 4 2 2" xfId="40194" xr:uid="{86C39661-39AA-4DB2-A67D-FFCE23D6CE80}"/>
    <cellStyle name="Migliaia 55 2 4 2 3" xfId="45496" xr:uid="{7E4EF1C0-20D2-4CA6-85C0-4BC1986AEA23}"/>
    <cellStyle name="Migliaia 55 2 4 3" xfId="18293" xr:uid="{F8D7E3DB-CD11-4363-BCFC-96B81FDEC24C}"/>
    <cellStyle name="Migliaia 55 2 4 4" xfId="20980" xr:uid="{F04E92C1-DAB5-42A7-802A-A295DB93E85A}"/>
    <cellStyle name="Migliaia 55 2 4 4 2" xfId="42845" xr:uid="{A7B7BD88-0C2E-4B2C-941E-A1A7FBC44F05}"/>
    <cellStyle name="Migliaia 55 2 4 5" xfId="16797" xr:uid="{8EDEE769-D3F6-4471-8F6F-9BC7F54CD609}"/>
    <cellStyle name="Migliaia 55 2 4 6" xfId="8023" xr:uid="{D97D9655-4FBB-44A6-8D38-64C7D3DEC85F}"/>
    <cellStyle name="Migliaia 55 2 5" xfId="6805" xr:uid="{AE568A93-6F72-46F1-8614-D38A7AB05C37}"/>
    <cellStyle name="Migliaia 55 2 5 2" xfId="34570" xr:uid="{6A79FF8E-E657-4786-ADED-12B7F7E0A970}"/>
    <cellStyle name="Migliaia 55 2 5 2 2" xfId="40195" xr:uid="{9AC389E4-46CD-408C-BE36-D12E13911A1A}"/>
    <cellStyle name="Migliaia 55 2 5 2 3" xfId="45497" xr:uid="{A2325837-15CC-48C3-9CFC-4B30B4A68F4D}"/>
    <cellStyle name="Migliaia 55 2 5 3" xfId="37546" xr:uid="{67EC1073-2ED3-473E-A751-EF945DBE9B1A}"/>
    <cellStyle name="Migliaia 55 2 5 4" xfId="42846" xr:uid="{FF904C41-5A10-461C-B2BC-4A45E920D46E}"/>
    <cellStyle name="Migliaia 55 2 5 5" xfId="13153" xr:uid="{C7BB8B47-0204-47FE-9A32-8B08B7430D90}"/>
    <cellStyle name="Migliaia 55 2 6" xfId="3905" xr:uid="{919169A5-6FC2-45A7-A963-F38FF65420B4}"/>
    <cellStyle name="Migliaia 55 2 6 2" xfId="34571" xr:uid="{F6007E9D-5BC8-4E2C-992E-8887F8F4C34E}"/>
    <cellStyle name="Migliaia 55 2 6 2 2" xfId="40196" xr:uid="{6103F003-69E2-4BE8-B572-AC7A554D8FE3}"/>
    <cellStyle name="Migliaia 55 2 6 2 3" xfId="45498" xr:uid="{1DB09E36-4753-4E4A-8B29-3430939D3E87}"/>
    <cellStyle name="Migliaia 55 2 6 3" xfId="37547" xr:uid="{3E25053D-DB1D-455A-95B7-FFBE4B2CD2C5}"/>
    <cellStyle name="Migliaia 55 2 6 4" xfId="42847" xr:uid="{C3661C26-DB81-433A-A7D3-D9E3D389BB35}"/>
    <cellStyle name="Migliaia 55 2 6 5" xfId="25374" xr:uid="{DD21DBC7-9DBC-4C6E-AE6C-4D24743F7825}"/>
    <cellStyle name="Migliaia 55 2 6 6" xfId="20976" xr:uid="{F7D5876B-987B-4DC0-B67C-D38767ABD674}"/>
    <cellStyle name="Migliaia 55 2 7" xfId="25369" xr:uid="{FCCC4686-7854-431C-BB57-F01CA546AF29}"/>
    <cellStyle name="Migliaia 55 2 8" xfId="7193" xr:uid="{A70A4F56-3C9B-4C3D-B342-E38F34926C39}"/>
    <cellStyle name="Migliaia 55 3" xfId="503" xr:uid="{00000000-0005-0000-0000-000084040000}"/>
    <cellStyle name="Migliaia 55 3 10" xfId="25375" xr:uid="{0646606F-E08C-42BE-9BD7-E1EC58A2249A}"/>
    <cellStyle name="Migliaia 55 3 11" xfId="16798" xr:uid="{45EE3A7D-A519-47C9-8736-E71E7450946F}"/>
    <cellStyle name="Migliaia 55 3 12" xfId="7194" xr:uid="{6EBA4699-0D5A-469F-AC74-736E5D604DBA}"/>
    <cellStyle name="Migliaia 55 3 2" xfId="504" xr:uid="{00000000-0005-0000-0000-000085040000}"/>
    <cellStyle name="Migliaia 55 3 2 2" xfId="1907" xr:uid="{00000000-0005-0000-0000-000086040000}"/>
    <cellStyle name="Migliaia 55 3 2 2 2" xfId="5636" xr:uid="{6A841434-B074-4C06-A730-2ADB165F28D8}"/>
    <cellStyle name="Migliaia 55 3 2 2 2 2" xfId="18513" xr:uid="{EEC5068B-DB4B-4FF0-A120-F6C5462D22EE}"/>
    <cellStyle name="Migliaia 55 3 2 2 2 2 2" xfId="21891" xr:uid="{298B10F1-142D-43AC-B896-7227DE15B0D7}"/>
    <cellStyle name="Migliaia 55 3 2 2 2 2 2 2" xfId="40197" xr:uid="{2B45219A-8250-4477-B0DD-43F4047C253F}"/>
    <cellStyle name="Migliaia 55 3 2 2 2 2 3" xfId="45499" xr:uid="{898EEF21-AD26-421C-9E11-D4E02D102F43}"/>
    <cellStyle name="Migliaia 55 3 2 2 2 2 4" xfId="34572" xr:uid="{12409069-EBAA-4087-8028-19521E8D9820}"/>
    <cellStyle name="Migliaia 55 3 2 2 2 3" xfId="37548" xr:uid="{7988B6D5-D53B-4512-B55B-64D20A8957FF}"/>
    <cellStyle name="Migliaia 55 3 2 2 2 4" xfId="42848" xr:uid="{14E6E797-8A04-42FC-8938-DAF5A4474227}"/>
    <cellStyle name="Migliaia 55 3 2 2 2 5" xfId="46303" xr:uid="{7CE81974-2906-42CE-AE0F-DF95C1138EBC}"/>
    <cellStyle name="Migliaia 55 3 2 2 2 6" xfId="50919" xr:uid="{09D2FEAB-5BB2-4240-9490-03428FC308D4}"/>
    <cellStyle name="Migliaia 55 3 2 2 2 7" xfId="53935" xr:uid="{1DF49E30-B5F7-4AE4-BEE1-DD842CE03630}"/>
    <cellStyle name="Migliaia 55 3 2 2 2 8" xfId="17690" xr:uid="{303DDD4B-21C0-485A-9D15-578EFD0748CD}"/>
    <cellStyle name="Migliaia 55 3 2 2 2 9" xfId="12087" xr:uid="{31439D85-39BF-436E-8412-FCAD2B957A7C}"/>
    <cellStyle name="Migliaia 55 3 2 2 3" xfId="6810" xr:uid="{0A8D8CF9-0ABF-4A0F-84AF-37DB7E454446}"/>
    <cellStyle name="Migliaia 55 3 2 2 3 2" xfId="11160" xr:uid="{41A08041-2C60-4525-B1DA-F66933CC3E39}"/>
    <cellStyle name="Migliaia 55 3 2 2 4" xfId="3910" xr:uid="{E1947028-A1A6-46AB-B84E-BE4A8E66602A}"/>
    <cellStyle name="Migliaia 55 3 2 2 4 2" xfId="21619" xr:uid="{D74678A5-A1C8-4F6A-9859-03FFE548A14F}"/>
    <cellStyle name="Migliaia 55 3 2 2 4 3" xfId="46262" xr:uid="{E2AC118C-A55B-4A0E-9945-92BF437DDDA5}"/>
    <cellStyle name="Migliaia 55 3 2 2 4 4" xfId="50634" xr:uid="{AF85A9AB-2FB2-4DA5-84AB-D85134215286}"/>
    <cellStyle name="Migliaia 55 3 2 2 4 5" xfId="53650" xr:uid="{696D45D8-73C8-4701-9AA2-4DA328C573AF}"/>
    <cellStyle name="Migliaia 55 3 2 2 4 6" xfId="10984" xr:uid="{C5EDB4A3-E503-4D15-852B-1E8CBC39289F}"/>
    <cellStyle name="Migliaia 55 3 2 2 5" xfId="20983" xr:uid="{C2E2C896-24A0-4208-91C2-908CF67A588D}"/>
    <cellStyle name="Migliaia 55 3 2 2 6" xfId="25377" xr:uid="{9C06707D-A845-4F7F-A888-93F1E48A8E82}"/>
    <cellStyle name="Migliaia 55 3 2 2 7" xfId="8783" xr:uid="{BBCD92A8-92E5-4C18-B60D-4D839171512F}"/>
    <cellStyle name="Migliaia 55 3 2 3" xfId="5635" xr:uid="{77F56CB2-C01B-4315-9C4A-3DF0652ED184}"/>
    <cellStyle name="Migliaia 55 3 2 3 2" xfId="12397" xr:uid="{3ABBBF6D-6303-4145-8E12-2EB95CC564B2}"/>
    <cellStyle name="Migliaia 55 3 2 3 2 2" xfId="40198" xr:uid="{B0F8F8B2-9F00-48BB-AC81-4D3D4FCC0173}"/>
    <cellStyle name="Migliaia 55 3 2 3 2 3" xfId="45500" xr:uid="{B40C2EAE-DA3A-4AD6-8E8C-3147F33B05AF}"/>
    <cellStyle name="Migliaia 55 3 2 3 2 4" xfId="34573" xr:uid="{9445C6C0-48A0-410A-B230-71F2C2AD7D4F}"/>
    <cellStyle name="Migliaia 55 3 2 3 3" xfId="12088" xr:uid="{556F2D03-8B45-40A7-9612-80696D6F192C}"/>
    <cellStyle name="Migliaia 55 3 2 3 4" xfId="20984" xr:uid="{68E8301B-EADC-48CB-B4A5-0D74339F86FF}"/>
    <cellStyle name="Migliaia 55 3 2 3 4 2" xfId="42849" xr:uid="{047E71F4-AB51-480D-9CB0-4D9E95809211}"/>
    <cellStyle name="Migliaia 55 3 2 3 5" xfId="16799" xr:uid="{381B881C-B250-427D-B248-ADD2E8D9D5F2}"/>
    <cellStyle name="Migliaia 55 3 2 3 6" xfId="8025" xr:uid="{A6FA3C20-6FF4-4F78-8DFB-20340843A120}"/>
    <cellStyle name="Migliaia 55 3 2 4" xfId="6809" xr:uid="{1FF26294-F428-471E-9B1A-42ADE5D787D7}"/>
    <cellStyle name="Migliaia 55 3 2 4 2" xfId="18107" xr:uid="{F279D268-AE90-4E12-BE56-0B71DA264B40}"/>
    <cellStyle name="Migliaia 55 3 2 4 2 2" xfId="40199" xr:uid="{853B8F2F-9CA4-49FA-9933-108417C703CB}"/>
    <cellStyle name="Migliaia 55 3 2 4 2 3" xfId="45501" xr:uid="{8EF1FD63-E27A-4E90-A7D5-A6FBC403F71B}"/>
    <cellStyle name="Migliaia 55 3 2 4 3" xfId="37550" xr:uid="{49449D1B-C3BF-40E3-8D26-663DB534C6F7}"/>
    <cellStyle name="Migliaia 55 3 2 4 4" xfId="42850" xr:uid="{1A0290AE-56D7-4A22-BD6C-DE4BC16BAD70}"/>
    <cellStyle name="Migliaia 55 3 2 4 5" xfId="17236" xr:uid="{BF4C4CF7-549A-4437-A2CA-31D7AC9468CE}"/>
    <cellStyle name="Migliaia 55 3 2 4 6" xfId="11440" xr:uid="{C9D1F8A7-C854-4754-9CA9-21C4F11B7C46}"/>
    <cellStyle name="Migliaia 55 3 2 5" xfId="3909" xr:uid="{B0EA70C2-9255-4EBA-8126-61DDE8A4B67F}"/>
    <cellStyle name="Migliaia 55 3 2 5 2" xfId="34575" xr:uid="{6F8F4325-A66A-4ADA-A7DA-0DA178F9FED5}"/>
    <cellStyle name="Migliaia 55 3 2 5 2 2" xfId="40200" xr:uid="{7C06E378-5AFE-4D94-B13A-EFA4FD305575}"/>
    <cellStyle name="Migliaia 55 3 2 5 2 3" xfId="45502" xr:uid="{CE317586-2AEC-444F-A316-AEFAEAEF67A5}"/>
    <cellStyle name="Migliaia 55 3 2 5 3" xfId="37551" xr:uid="{0C98FF5B-F272-4731-B4C9-FCD396DD8509}"/>
    <cellStyle name="Migliaia 55 3 2 5 4" xfId="42851" xr:uid="{99F18999-C35D-4AFA-8737-25F41B330384}"/>
    <cellStyle name="Migliaia 55 3 2 5 5" xfId="17276" xr:uid="{BBBF5C0B-2D30-4598-9DA0-8EE794892A32}"/>
    <cellStyle name="Migliaia 55 3 2 6" xfId="20982" xr:uid="{E50D25EF-BDB1-4617-8C24-B4F5E434D980}"/>
    <cellStyle name="Migliaia 55 3 2 6 2" xfId="34576" xr:uid="{BFF76A9B-98B8-41D1-A213-6CF59EFF87F7}"/>
    <cellStyle name="Migliaia 55 3 2 6 2 2" xfId="40201" xr:uid="{57B893BF-D37F-44DE-89FF-5AFFA5BA16C3}"/>
    <cellStyle name="Migliaia 55 3 2 6 2 3" xfId="45503" xr:uid="{EEE387A2-DC7D-455D-86BF-13E9E32DFE23}"/>
    <cellStyle name="Migliaia 55 3 2 6 3" xfId="37552" xr:uid="{E446CB16-F3BE-41D5-B952-22A92ABA5803}"/>
    <cellStyle name="Migliaia 55 3 2 6 4" xfId="42852" xr:uid="{8C57507E-37ED-45BA-BC3D-BE6202903317}"/>
    <cellStyle name="Migliaia 55 3 2 6 5" xfId="25381" xr:uid="{71D39C39-A835-4514-AD0B-1724807CF351}"/>
    <cellStyle name="Migliaia 55 3 2 7" xfId="25376" xr:uid="{3483A1FE-C1D1-4141-BD98-11406D9DE80C}"/>
    <cellStyle name="Migliaia 55 3 2 8" xfId="7593" xr:uid="{076F621F-45AC-41A7-A91A-10A35A849201}"/>
    <cellStyle name="Migliaia 55 3 3" xfId="3911" xr:uid="{9255E58F-4468-4263-ABB8-33C46546CA74}"/>
    <cellStyle name="Migliaia 55 3 3 10" xfId="7592" xr:uid="{116C633F-62B6-400C-BD31-B0656F6993CB}"/>
    <cellStyle name="Migliaia 55 3 3 2" xfId="5637" xr:uid="{196578B0-4A88-4F2A-B83D-1F6C15965A26}"/>
    <cellStyle name="Migliaia 55 3 3 2 2" xfId="9982" xr:uid="{A362FCF2-B8E1-4825-97A5-63292B03FF11}"/>
    <cellStyle name="Migliaia 55 3 3 2 2 2" xfId="40203" xr:uid="{A6A472EA-3943-4317-BB99-A97EF4115BC8}"/>
    <cellStyle name="Migliaia 55 3 3 2 2 3" xfId="45505" xr:uid="{2EAC5980-304A-4C9F-8A08-6E4194578595}"/>
    <cellStyle name="Migliaia 55 3 3 2 3" xfId="18262" xr:uid="{ADE6016B-3CC2-4628-8016-BF0607AB0D8E}"/>
    <cellStyle name="Migliaia 55 3 3 2 4" xfId="20986" xr:uid="{B723CF73-5FA3-4D60-9F18-A3A7FFEE655A}"/>
    <cellStyle name="Migliaia 55 3 3 2 4 2" xfId="42854" xr:uid="{A1FABF22-1726-48C5-9ABC-E533B1D1EE92}"/>
    <cellStyle name="Migliaia 55 3 3 2 5" xfId="16801" xr:uid="{0B86F84A-23DD-48AF-8784-1EB2D1DA6497}"/>
    <cellStyle name="Migliaia 55 3 3 2 6" xfId="8782" xr:uid="{061861A5-7B76-441E-88CE-7C3133A04A79}"/>
    <cellStyle name="Migliaia 55 3 3 3" xfId="6811" xr:uid="{3C135A71-9572-44B6-BE3A-224908A75108}"/>
    <cellStyle name="Migliaia 55 3 3 3 2" xfId="34578" xr:uid="{2EC135D4-A679-4912-9E6D-75082448607A}"/>
    <cellStyle name="Migliaia 55 3 3 3 2 2" xfId="40204" xr:uid="{75FE121F-4315-48FF-B4B0-26CBDB23A48F}"/>
    <cellStyle name="Migliaia 55 3 3 3 2 3" xfId="45506" xr:uid="{EB640B28-2924-4A28-9F81-FEA58BD6D8CD}"/>
    <cellStyle name="Migliaia 55 3 3 3 3" xfId="37554" xr:uid="{B462CF39-1233-48CD-8AC9-DE205A648FC4}"/>
    <cellStyle name="Migliaia 55 3 3 3 4" xfId="42855" xr:uid="{0416076A-C639-4CB1-BD47-E41DBE36A2C3}"/>
    <cellStyle name="Migliaia 55 3 3 3 5" xfId="9745" xr:uid="{8E3FD908-8FF4-4581-AE91-4ACEC8692623}"/>
    <cellStyle name="Migliaia 55 3 3 4" xfId="20985" xr:uid="{D7C9F462-807F-4CAD-B864-8BB3AC3D9832}"/>
    <cellStyle name="Migliaia 55 3 3 4 2" xfId="34579" xr:uid="{55CFD539-8C27-4CEB-BF29-849D9F727BE7}"/>
    <cellStyle name="Migliaia 55 3 3 4 2 2" xfId="40205" xr:uid="{5BFC5EB5-E49A-42B1-BB4A-C4F4D3F8FBDA}"/>
    <cellStyle name="Migliaia 55 3 3 4 2 3" xfId="45507" xr:uid="{A9DC0788-7584-489E-8495-2C0E8BE0A95B}"/>
    <cellStyle name="Migliaia 55 3 3 4 3" xfId="37555" xr:uid="{B2DBF20B-AD8A-4405-A1CA-9FF364298C87}"/>
    <cellStyle name="Migliaia 55 3 3 4 4" xfId="42856" xr:uid="{0BBFF184-5987-42F0-BFB7-B26B40745363}"/>
    <cellStyle name="Migliaia 55 3 3 4 5" xfId="25384" xr:uid="{CB6FF33C-227E-4DA1-9E6F-48FFFD9141D6}"/>
    <cellStyle name="Migliaia 55 3 3 5" xfId="25385" xr:uid="{D1872521-5A77-47CF-830F-DB137E2038D2}"/>
    <cellStyle name="Migliaia 55 3 3 5 2" xfId="34580" xr:uid="{A6CC42B7-1056-445C-B721-2AFE4E12F231}"/>
    <cellStyle name="Migliaia 55 3 3 5 2 2" xfId="40206" xr:uid="{24CB43C5-5C27-4A51-8637-8FE19898277E}"/>
    <cellStyle name="Migliaia 55 3 3 5 2 3" xfId="45508" xr:uid="{7BED2E48-A8EA-497F-BDB7-5565D054AFB6}"/>
    <cellStyle name="Migliaia 55 3 3 5 3" xfId="37556" xr:uid="{7AC437FE-4F3F-44AB-AE9C-0694959C8D8A}"/>
    <cellStyle name="Migliaia 55 3 3 5 4" xfId="42857" xr:uid="{16346721-9140-4338-BB03-0F117481A1D2}"/>
    <cellStyle name="Migliaia 55 3 3 6" xfId="34577" xr:uid="{56EBC3F5-77C7-453E-8516-13399DA45F49}"/>
    <cellStyle name="Migliaia 55 3 3 6 2" xfId="40202" xr:uid="{7C43D8D3-807E-48AB-A76B-3839F83BD6B9}"/>
    <cellStyle name="Migliaia 55 3 3 6 3" xfId="45504" xr:uid="{333AECEF-0A6A-454D-9283-E67A4E7DB596}"/>
    <cellStyle name="Migliaia 55 3 3 7" xfId="37553" xr:uid="{CDE8E310-0072-4F6C-9BF6-05C413E3B3A4}"/>
    <cellStyle name="Migliaia 55 3 3 8" xfId="42853" xr:uid="{BC72A8EB-832B-4BB2-AB7E-DAF21CF7C173}"/>
    <cellStyle name="Migliaia 55 3 3 9" xfId="16800" xr:uid="{099EE925-8BBA-464D-8519-78BEAA5C5766}"/>
    <cellStyle name="Migliaia 55 3 4" xfId="3912" xr:uid="{99B7466E-CA48-4801-8D3D-2F0DD77935DD}"/>
    <cellStyle name="Migliaia 55 3 4 2" xfId="5638" xr:uid="{367D349C-ADD5-4BC6-BB2A-D5D841ED5B36}"/>
    <cellStyle name="Migliaia 55 3 4 2 2" xfId="14473" xr:uid="{5CE0C87F-07DA-4980-9437-489F97FD94FC}"/>
    <cellStyle name="Migliaia 55 3 4 2 3" xfId="18627" xr:uid="{293954EF-66F9-4392-BD95-95E8F2EFFEAD}"/>
    <cellStyle name="Migliaia 55 3 4 2 4" xfId="20988" xr:uid="{ACCF6EAD-A8F8-4493-ACB2-9A77CDDFC385}"/>
    <cellStyle name="Migliaia 55 3 4 2 5" xfId="32475" xr:uid="{27EBAEA7-C21C-49DE-836F-0C72615F48B7}"/>
    <cellStyle name="Migliaia 55 3 4 2 6" xfId="16803" xr:uid="{BFD8819A-1D07-4AA9-B224-F4205F4F8072}"/>
    <cellStyle name="Migliaia 55 3 4 2 7" xfId="8896" xr:uid="{0978A180-270C-4BED-BB25-F8E020B8DA7F}"/>
    <cellStyle name="Migliaia 55 3 4 3" xfId="6812" xr:uid="{60643042-20DF-49D9-A654-B46FCCDBE2E7}"/>
    <cellStyle name="Migliaia 55 3 4 3 2" xfId="35475" xr:uid="{27EE0903-B4D3-4E5B-8C2D-DCB060115872}"/>
    <cellStyle name="Migliaia 55 3 4 3 2 2" xfId="40635" xr:uid="{B9B0446E-A98C-4F97-8706-DA97F194E029}"/>
    <cellStyle name="Migliaia 55 3 4 3 2 3" xfId="45937" xr:uid="{5FBFC90C-E47A-457C-8745-DBA2311C2C13}"/>
    <cellStyle name="Migliaia 55 3 4 3 3" xfId="37984" xr:uid="{3AF3D6E4-675B-41B4-B67E-EC281BBF4999}"/>
    <cellStyle name="Migliaia 55 3 4 3 4" xfId="43286" xr:uid="{DEF39060-53B4-4B0F-BA01-52D516E773EC}"/>
    <cellStyle name="Migliaia 55 3 4 3 5" xfId="13721" xr:uid="{4483FD7E-FB53-46C3-969E-274FE53EA5E7}"/>
    <cellStyle name="Migliaia 55 3 4 4" xfId="20987" xr:uid="{DA0F97CB-1DC2-44F3-B656-9D4DBF4390C0}"/>
    <cellStyle name="Migliaia 55 3 4 4 2" xfId="40207" xr:uid="{87BE6592-90C5-434A-BA7F-94A99531A1DF}"/>
    <cellStyle name="Migliaia 55 3 4 4 3" xfId="45509" xr:uid="{5857B4F6-FA29-48A7-93EE-ADFD04BB75EB}"/>
    <cellStyle name="Migliaia 55 3 4 4 4" xfId="34581" xr:uid="{C846795F-1846-4E32-93E7-C80645D19AAF}"/>
    <cellStyle name="Migliaia 55 3 4 5" xfId="37557" xr:uid="{2EFFE3C7-1951-45C8-B0A9-42452F770D9F}"/>
    <cellStyle name="Migliaia 55 3 4 6" xfId="42858" xr:uid="{FC638A2C-3855-4A69-A991-B4ADC1EBCC08}"/>
    <cellStyle name="Migliaia 55 3 4 7" xfId="16802" xr:uid="{9A1B3F7F-5851-41EE-AD06-DA24D5A13B3F}"/>
    <cellStyle name="Migliaia 55 3 4 8" xfId="7706" xr:uid="{9C5F6942-498A-44C3-936F-445D33CFB96B}"/>
    <cellStyle name="Migliaia 55 3 5" xfId="3913" xr:uid="{6922E324-EAB3-4F4C-936F-5622583A8794}"/>
    <cellStyle name="Migliaia 55 3 5 2" xfId="5639" xr:uid="{34BED136-306C-487F-A9DA-8C987BE2A58C}"/>
    <cellStyle name="Migliaia 55 3 5 2 2" xfId="35476" xr:uid="{77737E18-4FC2-475C-ABBF-29E8D7C0141E}"/>
    <cellStyle name="Migliaia 55 3 5 2 2 2" xfId="40636" xr:uid="{B511CD8D-50B1-4233-9B99-F907487DAA74}"/>
    <cellStyle name="Migliaia 55 3 5 2 2 3" xfId="45938" xr:uid="{56B5AF23-0402-42FD-A283-BAD993BD019F}"/>
    <cellStyle name="Migliaia 55 3 5 2 3" xfId="37985" xr:uid="{51E33E9A-66D0-4DCE-944C-4184BBB9A8A1}"/>
    <cellStyle name="Migliaia 55 3 5 2 4" xfId="43287" xr:uid="{D5EDAD78-0380-47E9-B5B1-6280E2A6C93D}"/>
    <cellStyle name="Migliaia 55 3 5 2 5" xfId="14331" xr:uid="{808EC9A3-3E2C-4A38-9B93-F87EC477C920}"/>
    <cellStyle name="Migliaia 55 3 5 3" xfId="6813" xr:uid="{4E8DB34B-DCF4-4E01-B408-FA2998C794FD}"/>
    <cellStyle name="Migliaia 55 3 5 3 2" xfId="40208" xr:uid="{7E3BE2E4-7117-490E-BB48-A3BB4262440A}"/>
    <cellStyle name="Migliaia 55 3 5 3 3" xfId="45510" xr:uid="{81C84D87-E883-4FF9-9DE7-54C22E3745B6}"/>
    <cellStyle name="Migliaia 55 3 5 3 4" xfId="34582" xr:uid="{6F850F61-DA03-4E42-BB7C-64A28870EE99}"/>
    <cellStyle name="Migliaia 55 3 5 3 5" xfId="20989" xr:uid="{E6062D97-CD87-4C51-A2F5-39E21F2CB430}"/>
    <cellStyle name="Migliaia 55 3 5 4" xfId="37558" xr:uid="{2DE5CDD9-8D35-4DE2-8C5E-D480400E19C6}"/>
    <cellStyle name="Migliaia 55 3 5 5" xfId="42859" xr:uid="{8266CE64-B85E-4A2C-A141-34BC541D201B}"/>
    <cellStyle name="Migliaia 55 3 5 6" xfId="16804" xr:uid="{D95E44C5-6713-4AB2-965C-67A85A775C93}"/>
    <cellStyle name="Migliaia 55 3 5 7" xfId="8393" xr:uid="{7536B452-D3C3-43D9-8695-03D08D5214ED}"/>
    <cellStyle name="Migliaia 55 3 6" xfId="5634" xr:uid="{67953C8A-CF09-4BBE-A47E-F64B3C941433}"/>
    <cellStyle name="Migliaia 55 3 6 2" xfId="14036" xr:uid="{01B29F5B-E6A5-4481-BD13-E77345D21B49}"/>
    <cellStyle name="Migliaia 55 3 6 2 2" xfId="40209" xr:uid="{A05DFD81-FFDC-4D2E-B97C-D053577B9AE7}"/>
    <cellStyle name="Migliaia 55 3 6 2 3" xfId="45511" xr:uid="{BC9AC502-77BF-4CF5-AA86-CC7D1ADD3DC3}"/>
    <cellStyle name="Migliaia 55 3 6 3" xfId="18028" xr:uid="{6A2CCA05-1589-4236-B6E0-16962A77C92F}"/>
    <cellStyle name="Migliaia 55 3 6 4" xfId="20990" xr:uid="{128F828A-3C5E-46CB-837F-D46B4C60F895}"/>
    <cellStyle name="Migliaia 55 3 6 4 2" xfId="42860" xr:uid="{3C860434-0BF7-4569-80F3-4B6E7217434C}"/>
    <cellStyle name="Migliaia 55 3 6 5" xfId="16805" xr:uid="{7BF990E5-6177-4B0D-9EBC-C2CD03379B91}"/>
    <cellStyle name="Migliaia 55 3 6 6" xfId="8024" xr:uid="{EDFE1031-73F6-4E9C-9D44-7D9707E0E536}"/>
    <cellStyle name="Migliaia 55 3 7" xfId="6808" xr:uid="{A531D3A5-2A36-47F0-8F32-756A4A55D6CB}"/>
    <cellStyle name="Migliaia 55 3 7 2" xfId="34583" xr:uid="{958DBD64-D1ED-406B-BAB8-86664BD32BAB}"/>
    <cellStyle name="Migliaia 55 3 7 2 2" xfId="40210" xr:uid="{C797C2DD-C76A-45C1-B8EF-B9EB03087274}"/>
    <cellStyle name="Migliaia 55 3 7 2 3" xfId="45512" xr:uid="{0F5FA8B1-57E6-4A7C-99F2-2A9B5C0759DA}"/>
    <cellStyle name="Migliaia 55 3 7 3" xfId="37559" xr:uid="{F381E36D-0795-4385-A49B-083EA3AE06DA}"/>
    <cellStyle name="Migliaia 55 3 7 4" xfId="42861" xr:uid="{8F9DE9CE-0CBC-4B10-A557-56CDCCA1C7E1}"/>
    <cellStyle name="Migliaia 55 3 7 5" xfId="11530" xr:uid="{C256E8FF-7DF3-47D5-8A65-C0A7EC80705E}"/>
    <cellStyle name="Migliaia 55 3 8" xfId="3908" xr:uid="{3311BBE6-AC94-499B-8C8C-9D03E2301C52}"/>
    <cellStyle name="Migliaia 55 3 8 2" xfId="34584" xr:uid="{83D5296F-7DB7-4C4B-AD90-1F9527DB5B00}"/>
    <cellStyle name="Migliaia 55 3 8 2 2" xfId="40211" xr:uid="{772C71BD-8190-48D6-8C6D-999C64F19DEF}"/>
    <cellStyle name="Migliaia 55 3 8 2 3" xfId="45513" xr:uid="{63584658-3501-4A96-92F6-8277EE6E8C70}"/>
    <cellStyle name="Migliaia 55 3 8 3" xfId="37560" xr:uid="{89995513-02CD-4F08-B7BB-A6F814A53B75}"/>
    <cellStyle name="Migliaia 55 3 8 4" xfId="42862" xr:uid="{4E20C3AB-CFA1-4D64-AD4C-F36E44FEE706}"/>
    <cellStyle name="Migliaia 55 3 8 5" xfId="25386" xr:uid="{F2F5976A-A0DD-4868-BE68-99E6ADE00007}"/>
    <cellStyle name="Migliaia 55 3 8 6" xfId="17277" xr:uid="{3F57A1C6-1873-4FD0-A0F5-04845C710ADE}"/>
    <cellStyle name="Migliaia 55 3 9" xfId="20981" xr:uid="{07235F05-AA66-42B5-9A28-4868D807DC71}"/>
    <cellStyle name="Migliaia 55 4" xfId="1908" xr:uid="{00000000-0005-0000-0000-000087040000}"/>
    <cellStyle name="Migliaia 55 4 2" xfId="1909" xr:uid="{00000000-0005-0000-0000-000088040000}"/>
    <cellStyle name="Migliaia 55 4 2 2" xfId="5641" xr:uid="{B2DBABBD-237A-42C9-849C-9D06A93D1754}"/>
    <cellStyle name="Migliaia 55 4 2 2 2" xfId="34585" xr:uid="{13537B7D-2FF2-4C47-9767-F71FE85BAFF1}"/>
    <cellStyle name="Migliaia 55 4 2 2 2 2" xfId="40212" xr:uid="{4D802685-43B5-4B6C-8A5C-170CD26FA49C}"/>
    <cellStyle name="Migliaia 55 4 2 2 2 3" xfId="45514" xr:uid="{692F76F4-9E42-415A-9FBD-5EA0920744C0}"/>
    <cellStyle name="Migliaia 55 4 2 2 3" xfId="37561" xr:uid="{00C4F504-1795-4426-85DF-DC73D6C061A9}"/>
    <cellStyle name="Migliaia 55 4 2 2 4" xfId="42863" xr:uid="{66CF423F-476D-4F2D-85F4-2EA29D69C513}"/>
    <cellStyle name="Migliaia 55 4 2 2 5" xfId="9208" xr:uid="{120E18D5-D6A0-42A9-AF88-B33644A984FE}"/>
    <cellStyle name="Migliaia 55 4 2 3" xfId="3915" xr:uid="{300E1853-4EF6-4F8B-BC06-29D0137C1369}"/>
    <cellStyle name="Migliaia 55 4 2 3 2" xfId="34586" xr:uid="{621A8FF5-8AC5-41F8-B794-4892E0C71F30}"/>
    <cellStyle name="Migliaia 55 4 2 3 2 2" xfId="40213" xr:uid="{3C2EC94C-3465-4041-97FE-F7DC63A57D3D}"/>
    <cellStyle name="Migliaia 55 4 2 3 2 3" xfId="45515" xr:uid="{56268BA8-21C9-4860-B3C5-71A7219C667F}"/>
    <cellStyle name="Migliaia 55 4 2 3 3" xfId="37562" xr:uid="{38151F45-9318-4E7F-8FBA-7AA78D103A20}"/>
    <cellStyle name="Migliaia 55 4 2 3 4" xfId="42864" xr:uid="{CBC6475B-0A76-4C40-B2C2-36AD7DF813B1}"/>
    <cellStyle name="Migliaia 55 4 2 3 5" xfId="12089" xr:uid="{E70FCFB4-1ABC-4DAD-9C5B-BC5C4A293C24}"/>
    <cellStyle name="Migliaia 55 4 2 4" xfId="11442" xr:uid="{527FD100-D1DA-4A3E-BDDC-7481B3BCC28E}"/>
    <cellStyle name="Migliaia 55 4 2 5" xfId="10986" xr:uid="{DD6C642E-628F-43CC-87F9-9A331DCE794E}"/>
    <cellStyle name="Migliaia 55 4 2 5 2" xfId="21621" xr:uid="{2F5D1590-6F07-41FA-8508-AD0ED22EC4F7}"/>
    <cellStyle name="Migliaia 55 4 2 5 3" xfId="47515" xr:uid="{67D383AB-A265-425D-9574-9AB44306FE5C}"/>
    <cellStyle name="Migliaia 55 4 2 5 4" xfId="50636" xr:uid="{FF233458-F1E2-4D1F-8C40-FB9E47DB0E02}"/>
    <cellStyle name="Migliaia 55 4 2 5 5" xfId="53652" xr:uid="{7DB18688-2759-46D9-ABEC-FDC5AEF395D7}"/>
    <cellStyle name="Migliaia 55 4 2 6" xfId="20992" xr:uid="{5E8A747A-FB81-457B-AE9B-C3D528A340B6}"/>
    <cellStyle name="Migliaia 55 4 2 7" xfId="25388" xr:uid="{50176683-6D10-430F-B26F-EADD5F25589A}"/>
    <cellStyle name="Migliaia 55 4 2 8" xfId="8784" xr:uid="{18F7D71E-D8D8-4E07-B2A2-EA2CB35F7F59}"/>
    <cellStyle name="Migliaia 55 4 3" xfId="5640" xr:uid="{D8D0371E-B806-4BF9-AAA6-05C3A0636ED8}"/>
    <cellStyle name="Migliaia 55 4 3 2" xfId="18263" xr:uid="{583C1CB7-F9A0-4AF8-8457-0847056B365B}"/>
    <cellStyle name="Migliaia 55 4 3 2 2" xfId="40214" xr:uid="{1637DC40-34F0-489A-8ADB-433AAEB7AE04}"/>
    <cellStyle name="Migliaia 55 4 3 2 3" xfId="45516" xr:uid="{40B05D1E-D334-4C86-AB02-8FC30196F470}"/>
    <cellStyle name="Migliaia 55 4 3 3" xfId="37563" xr:uid="{7E854FBC-9C4A-4447-A2BF-D0C273667F8C}"/>
    <cellStyle name="Migliaia 55 4 3 4" xfId="42865" xr:uid="{01FCA6E8-458D-47B6-ABB7-D3BCE165890E}"/>
    <cellStyle name="Migliaia 55 4 3 5" xfId="17275" xr:uid="{FE170FDE-1E1C-42DE-851B-19EF93EFC82E}"/>
    <cellStyle name="Migliaia 55 4 3 6" xfId="9209" xr:uid="{49DD08A5-30A0-4FDE-B851-0DF51156DFCA}"/>
    <cellStyle name="Migliaia 55 4 4" xfId="6814" xr:uid="{8F162600-032E-4AE7-997D-1C97B07E2631}"/>
    <cellStyle name="Migliaia 55 4 4 2" xfId="34587" xr:uid="{CCF227ED-22B8-439B-BE40-1040396B3A6E}"/>
    <cellStyle name="Migliaia 55 4 4 2 2" xfId="40215" xr:uid="{210E8531-37AC-4178-92F4-3A012EF8E62E}"/>
    <cellStyle name="Migliaia 55 4 4 2 3" xfId="45517" xr:uid="{F0F5004A-9F2A-4862-964A-56F725CE4415}"/>
    <cellStyle name="Migliaia 55 4 4 3" xfId="37564" xr:uid="{212E82A0-8BF2-42DE-B833-5FBA547F130C}"/>
    <cellStyle name="Migliaia 55 4 4 4" xfId="42866" xr:uid="{CC9E4539-728C-41B7-A84D-0E3254A0C35D}"/>
    <cellStyle name="Migliaia 55 4 4 5" xfId="12090" xr:uid="{BB90AA75-7950-4E89-A6CF-3B783D6A8ADA}"/>
    <cellStyle name="Migliaia 55 4 5" xfId="3914" xr:uid="{FF3B42B4-38DF-43D1-96EA-D2F2164EC081}"/>
    <cellStyle name="Migliaia 55 4 5 2" xfId="34588" xr:uid="{87F0582C-9F61-409B-B89F-D8EEF8057F74}"/>
    <cellStyle name="Migliaia 55 4 5 2 2" xfId="40216" xr:uid="{522D9703-0B11-4682-BD62-7AC92385FBFD}"/>
    <cellStyle name="Migliaia 55 4 5 2 3" xfId="45518" xr:uid="{984EF318-DD43-48AF-968E-B1173BFCF9FA}"/>
    <cellStyle name="Migliaia 55 4 5 3" xfId="37565" xr:uid="{0DD48EE3-8E7E-4CB6-B808-B3DFF4646E23}"/>
    <cellStyle name="Migliaia 55 4 5 4" xfId="42867" xr:uid="{03BFF65F-7A70-4CFA-8619-433D2C8D9751}"/>
    <cellStyle name="Migliaia 55 4 5 5" xfId="11441" xr:uid="{2EBBA71D-3793-46B6-B503-495A289C8DFC}"/>
    <cellStyle name="Migliaia 55 4 6" xfId="10985" xr:uid="{0C6CC8E8-1387-4A04-9777-4FAA4171F169}"/>
    <cellStyle name="Migliaia 55 4 6 2" xfId="21620" xr:uid="{D2F30A69-E4D6-40BA-A05A-3E741196E71A}"/>
    <cellStyle name="Migliaia 55 4 6 2 2" xfId="40217" xr:uid="{A214F3AB-6720-4813-8D84-4BE6D42EBF81}"/>
    <cellStyle name="Migliaia 55 4 6 2 3" xfId="45519" xr:uid="{DAC1A188-4F07-4270-94DC-C60C531ADAD8}"/>
    <cellStyle name="Migliaia 55 4 6 2 4" xfId="34589" xr:uid="{2B514874-A06A-47A2-A3D4-A9045283F509}"/>
    <cellStyle name="Migliaia 55 4 6 3" xfId="37566" xr:uid="{A0961F77-9CA1-4512-9C9B-978D5479D5F8}"/>
    <cellStyle name="Migliaia 55 4 6 4" xfId="42868" xr:uid="{D8BB8A16-6D1F-432A-9F2D-AC40D02FDACD}"/>
    <cellStyle name="Migliaia 55 4 6 5" xfId="25389" xr:uid="{D66F7395-CBBB-4926-B168-29C4A6934087}"/>
    <cellStyle name="Migliaia 55 4 6 6" xfId="25185" xr:uid="{072725CE-346A-48FC-855B-CF1432A49386}"/>
    <cellStyle name="Migliaia 55 4 6 7" xfId="50635" xr:uid="{0DD2EB9C-4763-4CF2-A8C9-206F772C2DF7}"/>
    <cellStyle name="Migliaia 55 4 6 8" xfId="53651" xr:uid="{3950B002-B474-498B-A0BA-8FCCEA308212}"/>
    <cellStyle name="Migliaia 55 4 7" xfId="20991" xr:uid="{5FC27DCA-FCCB-46A1-81D8-CEC0C8E4391C}"/>
    <cellStyle name="Migliaia 55 4 7 2" xfId="34590" xr:uid="{73087F4C-25D2-454F-B1C2-2F7C3253D0D9}"/>
    <cellStyle name="Migliaia 55 4 7 2 2" xfId="40218" xr:uid="{C1142F89-CD4D-4E9F-B853-2E606DD356BC}"/>
    <cellStyle name="Migliaia 55 4 7 2 3" xfId="45520" xr:uid="{CC870D2C-F6A2-43BD-ABDE-5B059C5E77AD}"/>
    <cellStyle name="Migliaia 55 4 7 3" xfId="37567" xr:uid="{2FE68E1C-201C-4019-B27B-703255B9574A}"/>
    <cellStyle name="Migliaia 55 4 7 4" xfId="42869" xr:uid="{54888D82-52CD-4EE9-AD35-6BA6A146C768}"/>
    <cellStyle name="Migliaia 55 4 7 5" xfId="25390" xr:uid="{189A3B53-AA71-4D86-80D5-ED945D882873}"/>
    <cellStyle name="Migliaia 55 4 8" xfId="25387" xr:uid="{AD4308D9-460B-4C20-88F7-BC2F6809B1D8}"/>
    <cellStyle name="Migliaia 55 4 9" xfId="7594" xr:uid="{C8324971-C30A-4E75-9623-51A263539B4C}"/>
    <cellStyle name="Migliaia 55 5" xfId="1910" xr:uid="{00000000-0005-0000-0000-000089040000}"/>
    <cellStyle name="Migliaia 55 5 2" xfId="5642" xr:uid="{F66A2613-42F4-4475-B082-2DF45771890C}"/>
    <cellStyle name="Migliaia 55 5 2 2" xfId="18514" xr:uid="{47A0B3EE-474D-4D71-AE80-F061886DDC9C}"/>
    <cellStyle name="Migliaia 55 5 2 2 2" xfId="40219" xr:uid="{A2E22633-D117-42A1-A019-0A5E0490EBA9}"/>
    <cellStyle name="Migliaia 55 5 2 2 3" xfId="45521" xr:uid="{92D876AC-F3D4-40EA-8CE4-27CC0920D838}"/>
    <cellStyle name="Migliaia 55 5 2 3" xfId="20994" xr:uid="{B4F24C9F-454D-47CA-95ED-AC070C531DA8}"/>
    <cellStyle name="Migliaia 55 5 2 3 2" xfId="37568" xr:uid="{86EA21B2-C32E-407C-93EF-7D3577711FB8}"/>
    <cellStyle name="Migliaia 55 5 2 4" xfId="42870" xr:uid="{CD915511-B18A-4FE9-8CB1-E6C30038D003}"/>
    <cellStyle name="Migliaia 55 5 2 5" xfId="16806" xr:uid="{C3751E12-4BB3-4B9A-A6D7-0BA49F23303C}"/>
    <cellStyle name="Migliaia 55 5 2 6" xfId="8785" xr:uid="{7BD6388E-7406-432F-8CD3-A7940FE9A0EA}"/>
    <cellStyle name="Migliaia 55 5 3" xfId="6815" xr:uid="{8448FABC-C628-46B2-A137-5D159A71520A}"/>
    <cellStyle name="Migliaia 55 5 3 2" xfId="34591" xr:uid="{B36CFF62-EF73-42FC-B98E-ECD6E4653D48}"/>
    <cellStyle name="Migliaia 55 5 3 2 2" xfId="40220" xr:uid="{84F84C8A-85D5-4178-AF95-3EA3168D06F8}"/>
    <cellStyle name="Migliaia 55 5 3 2 3" xfId="45522" xr:uid="{B844A463-2078-42DA-8A11-E92B5D84A756}"/>
    <cellStyle name="Migliaia 55 5 3 3" xfId="37569" xr:uid="{AEA1E1ED-CC85-4684-9156-54B4879149F9}"/>
    <cellStyle name="Migliaia 55 5 3 4" xfId="42871" xr:uid="{1A2CD10A-9AD6-47EE-841B-A71965EFC774}"/>
    <cellStyle name="Migliaia 55 5 3 5" xfId="11443" xr:uid="{99C029F3-EF7A-40D0-AC99-1310DDD0139A}"/>
    <cellStyle name="Migliaia 55 5 4" xfId="3916" xr:uid="{1AB7B9BD-B505-47F6-9164-2421549AD519}"/>
    <cellStyle name="Migliaia 55 5 4 2" xfId="21622" xr:uid="{37C7890B-2891-4080-A9DB-A309F9A38F16}"/>
    <cellStyle name="Migliaia 55 5 4 2 2" xfId="40221" xr:uid="{2EBB8D8B-2624-4108-916A-8FA38391CFAF}"/>
    <cellStyle name="Migliaia 55 5 4 2 3" xfId="45523" xr:uid="{8477B0F8-D8DB-47C6-9C60-0442BF3FDA06}"/>
    <cellStyle name="Migliaia 55 5 4 2 4" xfId="34592" xr:uid="{262B8297-44BA-4F31-ABE4-BB74CAC41BDA}"/>
    <cellStyle name="Migliaia 55 5 4 3" xfId="37570" xr:uid="{FD8589A2-7D7B-485B-B59F-E39DFD22D9BA}"/>
    <cellStyle name="Migliaia 55 5 4 4" xfId="42872" xr:uid="{0785B2B9-D013-449E-B1C5-865A683653DE}"/>
    <cellStyle name="Migliaia 55 5 4 5" xfId="25392" xr:uid="{9E3C7B1D-68B9-4CD6-8E38-8807981A8FAA}"/>
    <cellStyle name="Migliaia 55 5 4 6" xfId="32541" xr:uid="{1DC3CBBD-5286-4AA0-AB34-C1D8036B9B20}"/>
    <cellStyle name="Migliaia 55 5 4 7" xfId="50637" xr:uid="{BC864E12-7CFA-44D4-AAA9-AE4D0483BF75}"/>
    <cellStyle name="Migliaia 55 5 4 8" xfId="53653" xr:uid="{1F6C4DC5-7D9F-46C0-A99D-91388314EB7E}"/>
    <cellStyle name="Migliaia 55 5 4 9" xfId="10987" xr:uid="{51CE9B1C-FD87-4B03-90A1-29C2A50C9B2F}"/>
    <cellStyle name="Migliaia 55 5 5" xfId="20993" xr:uid="{04EE3969-C7CD-4688-B81F-E27FDA8DA8BC}"/>
    <cellStyle name="Migliaia 55 5 5 2" xfId="34593" xr:uid="{82C5159E-B139-4057-AF7E-8B42BDB02EBA}"/>
    <cellStyle name="Migliaia 55 5 5 2 2" xfId="40222" xr:uid="{283866C8-76D1-4A5B-B3E5-56582C3F6AD2}"/>
    <cellStyle name="Migliaia 55 5 5 2 3" xfId="45524" xr:uid="{1A53876E-E93D-4533-8094-F168A3FA6C4A}"/>
    <cellStyle name="Migliaia 55 5 5 3" xfId="37571" xr:uid="{AC629AAE-0686-48C4-985B-FBC19D17A914}"/>
    <cellStyle name="Migliaia 55 5 5 4" xfId="42873" xr:uid="{8B4C6CB9-485A-4C9C-8CBB-C32B3C06344F}"/>
    <cellStyle name="Migliaia 55 5 5 5" xfId="25393" xr:uid="{579AEDD9-2E0D-415F-861E-20E62FC15E5E}"/>
    <cellStyle name="Migliaia 55 5 6" xfId="25394" xr:uid="{FDD50A7C-7058-4895-80D7-7841A69E356B}"/>
    <cellStyle name="Migliaia 55 5 6 2" xfId="34594" xr:uid="{5C25CF4F-C270-425B-B953-E89CF8C69EED}"/>
    <cellStyle name="Migliaia 55 5 6 2 2" xfId="40223" xr:uid="{09358F74-E1CE-405B-BA8E-5F1B6EBC3FEB}"/>
    <cellStyle name="Migliaia 55 5 6 2 3" xfId="45525" xr:uid="{DD4A0EBB-1788-4F1F-B41E-9FDFDA19B769}"/>
    <cellStyle name="Migliaia 55 5 6 3" xfId="37572" xr:uid="{2B11B1EC-AEA7-44D1-A609-C2379FD8009E}"/>
    <cellStyle name="Migliaia 55 5 6 4" xfId="42874" xr:uid="{CDDD3547-0583-417F-A0E9-68A28E75CF66}"/>
    <cellStyle name="Migliaia 55 5 7" xfId="25391" xr:uid="{A3CACD0B-A434-4F93-BD1F-A74AD21BFA5B}"/>
    <cellStyle name="Migliaia 55 5 8" xfId="7595" xr:uid="{CCB926B5-E1E4-4FF7-8F18-F20CB17D28D7}"/>
    <cellStyle name="Migliaia 55 6" xfId="3917" xr:uid="{13C952F4-5711-4D0F-A42F-31949C3A5E02}"/>
    <cellStyle name="Migliaia 55 6 2" xfId="5643" xr:uid="{E2BCE070-5F4D-45AB-B247-03D4D3951DB1}"/>
    <cellStyle name="Migliaia 55 6 2 2" xfId="9981" xr:uid="{EAD5286C-FAB9-4D3F-A68B-CD773FD3C9C9}"/>
    <cellStyle name="Migliaia 55 6 2 3" xfId="18031" xr:uid="{6FE60AC7-E4A5-483A-B231-DB8DCCD8D866}"/>
    <cellStyle name="Migliaia 55 6 2 4" xfId="20996" xr:uid="{FB49B747-1633-4EE7-9DE2-10A420AF8C8F}"/>
    <cellStyle name="Migliaia 55 6 2 5" xfId="32476" xr:uid="{AD2482CF-0CF3-48CD-927D-CDB4384265F4}"/>
    <cellStyle name="Migliaia 55 6 2 6" xfId="16808" xr:uid="{13E48056-EB59-4F2B-B11F-7A6AF51BA47D}"/>
    <cellStyle name="Migliaia 55 6 2 7" xfId="8780" xr:uid="{AF4C5EF5-D51C-434C-B0B6-8F6D9A03CC2C}"/>
    <cellStyle name="Migliaia 55 6 3" xfId="6816" xr:uid="{65F9CCB4-A9B4-4BD3-AE5C-9EAC849E2FFD}"/>
    <cellStyle name="Migliaia 55 6 3 2" xfId="35477" xr:uid="{38C5A351-9072-49AC-8020-19750CA504E6}"/>
    <cellStyle name="Migliaia 55 6 3 2 2" xfId="40637" xr:uid="{C4A26F6E-B132-4624-8A26-B28618DFDBDA}"/>
    <cellStyle name="Migliaia 55 6 3 2 3" xfId="45939" xr:uid="{1F3FC421-41D8-49B7-9D63-0E698B34358C}"/>
    <cellStyle name="Migliaia 55 6 3 3" xfId="37986" xr:uid="{F39614D1-6E71-43EA-B54D-CA259EAD889D}"/>
    <cellStyle name="Migliaia 55 6 3 4" xfId="43288" xr:uid="{BBCFFE31-2170-47B5-96A0-FB103FB26CBA}"/>
    <cellStyle name="Migliaia 55 6 3 5" xfId="9744" xr:uid="{EFADC81C-654A-40B9-AE57-A5FD8ACDBE1B}"/>
    <cellStyle name="Migliaia 55 6 4" xfId="20995" xr:uid="{C136102E-E71C-4128-894C-C507FD974C16}"/>
    <cellStyle name="Migliaia 55 6 4 2" xfId="40224" xr:uid="{62E7491C-71BE-4F6D-8403-88BBB6332B03}"/>
    <cellStyle name="Migliaia 55 6 4 3" xfId="45526" xr:uid="{F679A7AA-AEC5-4AA7-9D06-2874AA10114C}"/>
    <cellStyle name="Migliaia 55 6 4 4" xfId="34595" xr:uid="{1FEC60F4-6F2B-4B72-9D02-F765E1CABD4D}"/>
    <cellStyle name="Migliaia 55 6 5" xfId="37573" xr:uid="{27DA8AD9-14A4-40B2-AE49-F6E611BD186A}"/>
    <cellStyle name="Migliaia 55 6 6" xfId="42875" xr:uid="{C6EB28D9-2425-403A-9050-E64E97F22EC0}"/>
    <cellStyle name="Migliaia 55 6 7" xfId="16807" xr:uid="{25A702A7-5774-4F67-B319-CC3B8E3BF9EC}"/>
    <cellStyle name="Migliaia 55 6 8" xfId="7590" xr:uid="{74BC0489-73B1-4E2C-A176-1DDA0B01FBE9}"/>
    <cellStyle name="Migliaia 55 7" xfId="3918" xr:uid="{B25D1C03-AD86-490A-88F7-DA95A00FA578}"/>
    <cellStyle name="Migliaia 55 7 2" xfId="5644" xr:uid="{87E545E2-2E40-4235-B30A-AB90C7C36DFA}"/>
    <cellStyle name="Migliaia 55 7 2 2" xfId="35478" xr:uid="{2FC47999-03E5-463A-9F3C-4B176D1B4335}"/>
    <cellStyle name="Migliaia 55 7 2 2 2" xfId="40638" xr:uid="{DD0E778E-1581-4268-B1A8-5A0EBE660815}"/>
    <cellStyle name="Migliaia 55 7 2 2 3" xfId="45940" xr:uid="{6BFB3431-F1F8-4031-8A62-75957C717843}"/>
    <cellStyle name="Migliaia 55 7 2 3" xfId="37987" xr:uid="{941896D3-A30A-4B2D-B8E4-18E50F85271D}"/>
    <cellStyle name="Migliaia 55 7 2 4" xfId="43289" xr:uid="{9D427763-16B5-4B54-9D1F-83A0BDB6C850}"/>
    <cellStyle name="Migliaia 55 7 2 5" xfId="14329" xr:uid="{48CE6021-EC97-4919-9751-BB07D2919572}"/>
    <cellStyle name="Migliaia 55 7 3" xfId="6817" xr:uid="{986AB476-AED1-4ACF-9E07-92034153E2E8}"/>
    <cellStyle name="Migliaia 55 7 3 2" xfId="34596" xr:uid="{C46A1405-01DD-4FF5-BCD0-041F81E91A16}"/>
    <cellStyle name="Migliaia 55 7 3 3" xfId="20997" xr:uid="{D052EC89-DEB8-46AC-8B68-D8FF19F4C39C}"/>
    <cellStyle name="Migliaia 55 7 4" xfId="25395" xr:uid="{774C3319-DFC6-4EEA-AE78-098744D40715}"/>
    <cellStyle name="Migliaia 55 7 5" xfId="16809" xr:uid="{E3C0B918-42D5-4726-ABD6-6940DD9DB1E3}"/>
    <cellStyle name="Migliaia 55 7 6" xfId="8391" xr:uid="{9E8F4908-8C39-4E32-A911-6BD804A35D72}"/>
    <cellStyle name="Migliaia 55 8" xfId="3919" xr:uid="{7A1E14B0-A6DA-4600-A540-7ADCAF5071BB}"/>
    <cellStyle name="Migliaia 55 8 2" xfId="5645" xr:uid="{B18726B1-0B0B-4184-BD1C-ED6B846CCC02}"/>
    <cellStyle name="Migliaia 55 8 2 2" xfId="35479" xr:uid="{6A1B3FD2-7912-40DE-8C07-163A4FCA1334}"/>
    <cellStyle name="Migliaia 55 8 2 2 2" xfId="40639" xr:uid="{A59BCDDD-BDFE-4687-86D9-6D3BBC9EA955}"/>
    <cellStyle name="Migliaia 55 8 2 2 3" xfId="45941" xr:uid="{079C2A56-BB20-4CE9-BF5B-989F4B89D387}"/>
    <cellStyle name="Migliaia 55 8 2 3" xfId="37988" xr:uid="{F93F4269-DC07-420E-B884-7A57EF3D17F7}"/>
    <cellStyle name="Migliaia 55 8 2 4" xfId="43290" xr:uid="{888EBCB9-F244-44CC-9419-3396D4BA42CD}"/>
    <cellStyle name="Migliaia 55 8 2 5" xfId="14034" xr:uid="{BD165335-0039-4E3D-9A98-6A82E7CBAA61}"/>
    <cellStyle name="Migliaia 55 8 3" xfId="6818" xr:uid="{557C50E7-6ECA-4156-B7AD-7FF5A8732A4F}"/>
    <cellStyle name="Migliaia 55 8 3 2" xfId="34597" xr:uid="{4F408FF2-EB4F-4393-A12D-CC72E89C3CF5}"/>
    <cellStyle name="Migliaia 55 8 3 3" xfId="20998" xr:uid="{9CDB0F22-6B2B-4D14-8703-904D742ED60A}"/>
    <cellStyle name="Migliaia 55 8 4" xfId="25396" xr:uid="{7C12D5C0-886B-4B75-8E52-EFD90F7D40CB}"/>
    <cellStyle name="Migliaia 55 8 5" xfId="16810" xr:uid="{E19A5F1E-2A79-4A4D-925F-F67FD70E7016}"/>
    <cellStyle name="Migliaia 55 8 6" xfId="8022" xr:uid="{6DADF86F-800F-4B66-873F-EBA6B0806B00}"/>
    <cellStyle name="Migliaia 55 9" xfId="5630" xr:uid="{A0DCC808-DEBA-4C91-9EB9-3DA1463ED197}"/>
    <cellStyle name="Migliaia 55 9 2" xfId="34598" xr:uid="{7734D132-4BA3-4EA0-BF18-FA79BEE9D3A2}"/>
    <cellStyle name="Migliaia 55 9 3" xfId="25397" xr:uid="{6AF40E4E-BCED-4606-83C2-3E50856154C9}"/>
    <cellStyle name="Migliaia 55 9 4" xfId="17235" xr:uid="{3540FC3A-B9F4-41C9-80B4-2701A2C09ED9}"/>
    <cellStyle name="Migliaia 56" xfId="505" xr:uid="{00000000-0005-0000-0000-00008A040000}"/>
    <cellStyle name="Migliaia 56 10" xfId="6819" xr:uid="{7B9824B5-BAB3-4347-B67A-E1435A3FCCA2}"/>
    <cellStyle name="Migliaia 56 10 2" xfId="34599" xr:uid="{8C62817C-2366-4177-814D-A6FE55FFB1FB}"/>
    <cellStyle name="Migliaia 56 10 3" xfId="20999" xr:uid="{5F779E1C-512D-44CF-8811-5659C9B1ADAB}"/>
    <cellStyle name="Migliaia 56 11" xfId="3920" xr:uid="{779DF0DA-0195-42B2-B60E-0C13086BB6F2}"/>
    <cellStyle name="Migliaia 56 11 2" xfId="25398" xr:uid="{FCB6BDEC-D2F4-4331-9EDD-90006CF1168B}"/>
    <cellStyle name="Migliaia 56 12" xfId="7195" xr:uid="{B1438701-1A60-4B3E-AF1F-308549266431}"/>
    <cellStyle name="Migliaia 56 2" xfId="506" xr:uid="{00000000-0005-0000-0000-00008B040000}"/>
    <cellStyle name="Migliaia 56 2 2" xfId="1911" xr:uid="{00000000-0005-0000-0000-00008C040000}"/>
    <cellStyle name="Migliaia 56 2 2 2" xfId="5648" xr:uid="{B7B48E49-4801-4A91-AB4D-BB158492FC7B}"/>
    <cellStyle name="Migliaia 56 2 2 2 2" xfId="14414" xr:uid="{5574CD08-6A25-46A0-BC8E-29762B3C067E}"/>
    <cellStyle name="Migliaia 56 2 2 2 2 2" xfId="34602" xr:uid="{6BE7FB36-F442-4FD4-AC52-B0ED21AA5708}"/>
    <cellStyle name="Migliaia 56 2 2 2 3" xfId="18515" xr:uid="{5FB0D38A-6269-4256-A09E-B8F1BF7C42C1}"/>
    <cellStyle name="Migliaia 56 2 2 2 4" xfId="21002" xr:uid="{83BC9278-D37B-4C54-9051-1B4DED759865}"/>
    <cellStyle name="Migliaia 56 2 2 2 5" xfId="25401" xr:uid="{58D0CE9E-524E-4541-AC09-E59357FB259C}"/>
    <cellStyle name="Migliaia 56 2 2 2 6" xfId="16811" xr:uid="{3F924023-4888-483A-9B57-763F4EBA22D3}"/>
    <cellStyle name="Migliaia 56 2 2 2 7" xfId="8787" xr:uid="{53157654-0219-40AE-8201-9606F35F2EB9}"/>
    <cellStyle name="Migliaia 56 2 2 3" xfId="6821" xr:uid="{32616EB8-562B-48C1-98AF-60FC73911A8F}"/>
    <cellStyle name="Migliaia 56 2 2 3 2" xfId="35480" xr:uid="{DF4D3162-7D0F-4D13-ACBB-45168563AD6E}"/>
    <cellStyle name="Migliaia 56 2 2 3 2 2" xfId="40640" xr:uid="{4FA10BE8-6794-44A6-8D85-E2D8674D708D}"/>
    <cellStyle name="Migliaia 56 2 2 3 2 3" xfId="45942" xr:uid="{DBB70A10-243D-48B8-B83E-04EEAEB655C1}"/>
    <cellStyle name="Migliaia 56 2 2 3 3" xfId="37989" xr:uid="{0B44B61F-FE74-429B-B7FE-113122B39DA2}"/>
    <cellStyle name="Migliaia 56 2 2 3 4" xfId="43291" xr:uid="{7842F4A2-2C3E-4FAD-ACFB-152C0E7BF868}"/>
    <cellStyle name="Migliaia 56 2 2 3 5" xfId="11641" xr:uid="{39B54E7E-5BAE-4677-BCFB-B06F91141B17}"/>
    <cellStyle name="Migliaia 56 2 2 4" xfId="3922" xr:uid="{A224740C-6A80-498D-AF39-56C5ACF1E14D}"/>
    <cellStyle name="Migliaia 56 2 2 4 2" xfId="21623" xr:uid="{E258CB08-D0A2-444E-93EC-7D57F635E1F4}"/>
    <cellStyle name="Migliaia 56 2 2 4 3" xfId="34601" xr:uid="{D5D0D88F-E5F6-49A4-B2A4-85CF0468A610}"/>
    <cellStyle name="Migliaia 56 2 2 4 4" xfId="47458" xr:uid="{95F7D1CC-B418-460F-991F-DBDF4FF46887}"/>
    <cellStyle name="Migliaia 56 2 2 4 5" xfId="50638" xr:uid="{A9EB4FA5-D38F-4B6A-8AC8-95385EE7CE82}"/>
    <cellStyle name="Migliaia 56 2 2 4 6" xfId="53654" xr:uid="{05B369D8-E792-465A-90D2-0FA1F8236C20}"/>
    <cellStyle name="Migliaia 56 2 2 4 7" xfId="10988" xr:uid="{80D2C6B9-9C24-4859-BD49-27AF58A9372B}"/>
    <cellStyle name="Migliaia 56 2 2 5" xfId="21001" xr:uid="{B98A3BFA-136D-49CA-83E5-4394E518C876}"/>
    <cellStyle name="Migliaia 56 2 2 6" xfId="25400" xr:uid="{EF86A198-CD01-409C-AB1B-329CABB3CDEE}"/>
    <cellStyle name="Migliaia 56 2 2 7" xfId="7597" xr:uid="{2C2E983F-3A59-43ED-86FC-FA508D2E3D14}"/>
    <cellStyle name="Migliaia 56 2 3" xfId="3923" xr:uid="{BC9062F7-A2AA-46DC-BC74-55FD0E1826E9}"/>
    <cellStyle name="Migliaia 56 2 3 2" xfId="5649" xr:uid="{90DD5F5C-1568-4D0C-9418-735883A9F84D}"/>
    <cellStyle name="Migliaia 56 2 3 2 2" xfId="35481" xr:uid="{920F8A8F-F24E-4E65-AAC7-8A9E5E6DAFEE}"/>
    <cellStyle name="Migliaia 56 2 3 2 2 2" xfId="40641" xr:uid="{071312CF-1C65-4DFA-8AD5-B5AE13A673CD}"/>
    <cellStyle name="Migliaia 56 2 3 2 2 3" xfId="45943" xr:uid="{54395679-A6F5-4DA0-8989-A855E95AAC8E}"/>
    <cellStyle name="Migliaia 56 2 3 2 3" xfId="37990" xr:uid="{5614D2CE-4F21-4CF0-A94F-283D0BD087CC}"/>
    <cellStyle name="Migliaia 56 2 3 2 4" xfId="43292" xr:uid="{08A10F84-5655-424C-9D18-62955A7584C4}"/>
    <cellStyle name="Migliaia 56 2 3 2 5" xfId="14333" xr:uid="{9FA4FACE-1043-4E38-92E0-0449A3E1E4ED}"/>
    <cellStyle name="Migliaia 56 2 3 3" xfId="6822" xr:uid="{25AC26C2-17F8-4F9C-941F-D9EADFA72C14}"/>
    <cellStyle name="Migliaia 56 2 3 3 2" xfId="34603" xr:uid="{5D9D1F48-6A38-4129-A71E-0D05BFBCA686}"/>
    <cellStyle name="Migliaia 56 2 3 3 3" xfId="21003" xr:uid="{6107836D-A1E4-4979-A1FD-5E4796C7A827}"/>
    <cellStyle name="Migliaia 56 2 3 4" xfId="25402" xr:uid="{4C26691D-0A3D-4EFB-817D-B6F43A439320}"/>
    <cellStyle name="Migliaia 56 2 3 5" xfId="16812" xr:uid="{5E018513-9B81-47F7-BE53-D91845654887}"/>
    <cellStyle name="Migliaia 56 2 3 6" xfId="8395" xr:uid="{FDED0E0C-44E7-4FE3-8334-4762BBFE6267}"/>
    <cellStyle name="Migliaia 56 2 4" xfId="5647" xr:uid="{71F9CD5F-308F-4DC5-AFFF-0FB4F5684498}"/>
    <cellStyle name="Migliaia 56 2 4 2" xfId="14038" xr:uid="{7E49DCE3-049C-4374-BEDD-C2B915A1732C}"/>
    <cellStyle name="Migliaia 56 2 4 2 2" xfId="34604" xr:uid="{290A79A1-96E0-4430-9EB7-97EC6FBC21B5}"/>
    <cellStyle name="Migliaia 56 2 4 3" xfId="18602" xr:uid="{935AA738-C37A-4706-8A39-785B15ADBDB7}"/>
    <cellStyle name="Migliaia 56 2 4 4" xfId="21004" xr:uid="{23C9129B-D800-44A4-9287-8666A00ECDF1}"/>
    <cellStyle name="Migliaia 56 2 4 5" xfId="25403" xr:uid="{1027FE2D-37E1-4CDF-BB9C-EE94B4017210}"/>
    <cellStyle name="Migliaia 56 2 4 6" xfId="16813" xr:uid="{FEAE069D-EB3F-4E08-A4B5-EF3FC6897B84}"/>
    <cellStyle name="Migliaia 56 2 4 7" xfId="8027" xr:uid="{E44A7A13-C30F-4336-92D5-78F02A037ABD}"/>
    <cellStyle name="Migliaia 56 2 5" xfId="6820" xr:uid="{C21140F0-739B-4A24-A02C-2CD49457E7BB}"/>
    <cellStyle name="Migliaia 56 2 5 2" xfId="34605" xr:uid="{B8B39C4E-8D75-4727-87EE-0D4FD0686D92}"/>
    <cellStyle name="Migliaia 56 2 5 3" xfId="25404" xr:uid="{7EC5EA37-7355-4F16-B220-347B0201C610}"/>
    <cellStyle name="Migliaia 56 2 5 4" xfId="13154" xr:uid="{96F08A30-BB90-4C9E-93B6-7C0C8F424D30}"/>
    <cellStyle name="Migliaia 56 2 6" xfId="3921" xr:uid="{99BFC918-9F63-41C7-9BDD-B6CB7F05CAFC}"/>
    <cellStyle name="Migliaia 56 2 6 2" xfId="34606" xr:uid="{9068A3B4-C8DE-44C8-9138-C67EF2AB7284}"/>
    <cellStyle name="Migliaia 56 2 6 3" xfId="25405" xr:uid="{9F4CDFE7-DA7C-4EB4-A152-BD8788F8DC44}"/>
    <cellStyle name="Migliaia 56 2 6 4" xfId="21000" xr:uid="{99F72ECB-E3F0-4EDC-A70B-BCE9DB318804}"/>
    <cellStyle name="Migliaia 56 2 7" xfId="34600" xr:uid="{D76ADB1E-CAE7-42E5-9547-B3C939F2BB6A}"/>
    <cellStyle name="Migliaia 56 2 8" xfId="25399" xr:uid="{F221537C-B8C2-4C72-8FC5-667FD995428E}"/>
    <cellStyle name="Migliaia 56 2 9" xfId="7196" xr:uid="{8CBBE02B-DA4D-4F09-907C-15836F16503D}"/>
    <cellStyle name="Migliaia 56 3" xfId="507" xr:uid="{00000000-0005-0000-0000-00008D040000}"/>
    <cellStyle name="Migliaia 56 3 10" xfId="25406" xr:uid="{66F48A02-75AD-4EE6-9CDA-1777BCC1F3CC}"/>
    <cellStyle name="Migliaia 56 3 11" xfId="16814" xr:uid="{AB355EF9-FC8B-4438-8E97-C23C9A2824BF}"/>
    <cellStyle name="Migliaia 56 3 12" xfId="7197" xr:uid="{C11DE876-F5DB-4F59-9829-79652DD301D6}"/>
    <cellStyle name="Migliaia 56 3 2" xfId="508" xr:uid="{00000000-0005-0000-0000-00008E040000}"/>
    <cellStyle name="Migliaia 56 3 2 2" xfId="1912" xr:uid="{00000000-0005-0000-0000-00008F040000}"/>
    <cellStyle name="Migliaia 56 3 2 2 2" xfId="5652" xr:uid="{A0058D04-B87E-41FF-925A-359FFFFD1809}"/>
    <cellStyle name="Migliaia 56 3 2 2 2 2" xfId="18516" xr:uid="{72F0AFF6-8176-4693-ABB9-5C6456290777}"/>
    <cellStyle name="Migliaia 56 3 2 2 2 2 2" xfId="21892" xr:uid="{C0058D6D-D42C-4E69-BC71-D9A95A7F52AA}"/>
    <cellStyle name="Migliaia 56 3 2 2 2 2 3" xfId="34610" xr:uid="{FA7ACE76-8B0A-4E0D-946F-B37346F0B410}"/>
    <cellStyle name="Migliaia 56 3 2 2 2 3" xfId="25409" xr:uid="{B30A9650-553E-44CF-A84E-7DC9E8A89894}"/>
    <cellStyle name="Migliaia 56 3 2 2 2 4" xfId="48045" xr:uid="{70AB69CF-B92E-4958-8C7A-ED3CB8B79682}"/>
    <cellStyle name="Migliaia 56 3 2 2 2 5" xfId="50920" xr:uid="{C8F0ADFF-0338-4080-A944-63909C1BA4D6}"/>
    <cellStyle name="Migliaia 56 3 2 2 2 6" xfId="53936" xr:uid="{8E310A27-01C6-492C-B9E8-5969351BD5EF}"/>
    <cellStyle name="Migliaia 56 3 2 2 2 7" xfId="17691" xr:uid="{28439EA4-4F42-4C40-9937-9CD1502F1C92}"/>
    <cellStyle name="Migliaia 56 3 2 2 2 8" xfId="12091" xr:uid="{66C75F8C-1074-4D2F-99ED-ED8BCDB670EB}"/>
    <cellStyle name="Migliaia 56 3 2 2 3" xfId="6825" xr:uid="{76115F34-921D-42FD-9650-550B6DB245A3}"/>
    <cellStyle name="Migliaia 56 3 2 2 3 2" xfId="34609" xr:uid="{A88108B3-D983-4BC1-8A9B-60BD76798B96}"/>
    <cellStyle name="Migliaia 56 3 2 2 3 3" xfId="12154" xr:uid="{C2005356-2788-4FD6-92E1-87996B57DF92}"/>
    <cellStyle name="Migliaia 56 3 2 2 4" xfId="3926" xr:uid="{E9F77C00-317D-4570-A387-98CB76029B43}"/>
    <cellStyle name="Migliaia 56 3 2 2 4 2" xfId="21624" xr:uid="{252AA159-9D35-4D31-A7E1-FDF876907A5D}"/>
    <cellStyle name="Migliaia 56 3 2 2 4 3" xfId="47905" xr:uid="{6B6CFE81-6A38-4677-A48A-3D0D5A109159}"/>
    <cellStyle name="Migliaia 56 3 2 2 4 4" xfId="50639" xr:uid="{1480A475-A63D-4A95-9E56-00BFBB9DC5ED}"/>
    <cellStyle name="Migliaia 56 3 2 2 4 5" xfId="53655" xr:uid="{B71C6181-82E9-443F-A0D1-3A15D07351B8}"/>
    <cellStyle name="Migliaia 56 3 2 2 4 6" xfId="10989" xr:uid="{C6075D9A-D593-489B-A63B-A6C1612A95D6}"/>
    <cellStyle name="Migliaia 56 3 2 2 5" xfId="21007" xr:uid="{DF8FC36A-8CC1-4FA2-B434-61750D14D96A}"/>
    <cellStyle name="Migliaia 56 3 2 2 6" xfId="25408" xr:uid="{A2F79B5D-62A8-4A47-88C2-888D06C91288}"/>
    <cellStyle name="Migliaia 56 3 2 2 7" xfId="8789" xr:uid="{D76A422E-DE5A-45B0-A572-A3AB222E155E}"/>
    <cellStyle name="Migliaia 56 3 2 3" xfId="5651" xr:uid="{B029BE73-B964-4964-A78A-52466D53A398}"/>
    <cellStyle name="Migliaia 56 3 2 3 2" xfId="11546" xr:uid="{D671C74E-7431-4071-A358-C93042CF4278}"/>
    <cellStyle name="Migliaia 56 3 2 3 2 2" xfId="34611" xr:uid="{6362EB0D-95CF-463B-9963-E46107B02817}"/>
    <cellStyle name="Migliaia 56 3 2 3 3" xfId="12092" xr:uid="{31D902B1-83A7-467F-A462-2B4C66171917}"/>
    <cellStyle name="Migliaia 56 3 2 3 4" xfId="21008" xr:uid="{EA06FC61-316B-4EEA-9A38-F73E5BE80280}"/>
    <cellStyle name="Migliaia 56 3 2 3 5" xfId="25410" xr:uid="{6D62F43F-3254-49B6-A829-FCEB7384777F}"/>
    <cellStyle name="Migliaia 56 3 2 3 6" xfId="16815" xr:uid="{DE9ABB96-638E-492E-98B1-12C4E9BF767C}"/>
    <cellStyle name="Migliaia 56 3 2 3 7" xfId="8029" xr:uid="{3E8ACFFB-4410-45BE-B430-1FCD28AC86E3}"/>
    <cellStyle name="Migliaia 56 3 2 4" xfId="6824" xr:uid="{21C3A369-903F-4679-9B80-D20F4CCC93B5}"/>
    <cellStyle name="Migliaia 56 3 2 4 2" xfId="18108" xr:uid="{F5E42203-3A8E-4A90-A2E2-74386C7FA733}"/>
    <cellStyle name="Migliaia 56 3 2 4 2 2" xfId="34612" xr:uid="{A0492945-52D0-451B-B4BA-CDE517F75C59}"/>
    <cellStyle name="Migliaia 56 3 2 4 3" xfId="25411" xr:uid="{02FE5E93-7579-4604-ABEE-294072859505}"/>
    <cellStyle name="Migliaia 56 3 2 4 4" xfId="17238" xr:uid="{818D255B-023E-45F6-9731-D3518DED82A6}"/>
    <cellStyle name="Migliaia 56 3 2 4 5" xfId="11444" xr:uid="{5C0F4619-04A6-42E1-A4B8-D6DD72C7E23F}"/>
    <cellStyle name="Migliaia 56 3 2 5" xfId="3925" xr:uid="{70E8FD7B-ACB4-4DBC-8769-E07850401820}"/>
    <cellStyle name="Migliaia 56 3 2 5 2" xfId="34613" xr:uid="{8F44C1BF-EB62-491A-974C-1798322B4853}"/>
    <cellStyle name="Migliaia 56 3 2 5 3" xfId="25412" xr:uid="{8CA4C700-5D96-48A1-A600-B8D4B61205AE}"/>
    <cellStyle name="Migliaia 56 3 2 5 4" xfId="17273" xr:uid="{01765071-A6DB-45C1-A35D-C97805771732}"/>
    <cellStyle name="Migliaia 56 3 2 6" xfId="21006" xr:uid="{FBD0E09C-407F-4282-A998-6F0C3576E53C}"/>
    <cellStyle name="Migliaia 56 3 2 6 2" xfId="34614" xr:uid="{E9905D43-EEB8-4597-AD4B-67AFA8EAD9C9}"/>
    <cellStyle name="Migliaia 56 3 2 6 3" xfId="25413" xr:uid="{2840EFF4-D975-41BF-9FA2-75BF7F32D92A}"/>
    <cellStyle name="Migliaia 56 3 2 7" xfId="34608" xr:uid="{91B4A7CD-E213-4DB6-A4E4-178B42B184A0}"/>
    <cellStyle name="Migliaia 56 3 2 8" xfId="25407" xr:uid="{44F5C803-BE56-4F9D-A98F-C77C02C0D1D4}"/>
    <cellStyle name="Migliaia 56 3 2 9" xfId="7599" xr:uid="{B3D7C9C9-27BE-4273-9052-255EE76A6744}"/>
    <cellStyle name="Migliaia 56 3 3" xfId="3927" xr:uid="{F52C3B89-D58E-45C2-80E0-B810378303DF}"/>
    <cellStyle name="Migliaia 56 3 3 2" xfId="5653" xr:uid="{749B7FBA-DAE6-4C10-A29C-37E9F511C6E9}"/>
    <cellStyle name="Migliaia 56 3 3 2 2" xfId="9984" xr:uid="{722BC24E-2AD0-47C5-8297-AD03DD0E0C5B}"/>
    <cellStyle name="Migliaia 56 3 3 2 2 2" xfId="34616" xr:uid="{3DF87D99-E505-4BBD-A811-73191E677F21}"/>
    <cellStyle name="Migliaia 56 3 3 2 3" xfId="18264" xr:uid="{A9F38B55-04AC-45EB-B3C9-1F3BCCB9A5CE}"/>
    <cellStyle name="Migliaia 56 3 3 2 4" xfId="21010" xr:uid="{CB302784-2999-40D6-9BA3-9205D1534C12}"/>
    <cellStyle name="Migliaia 56 3 3 2 5" xfId="25415" xr:uid="{B20F23EF-10AD-445B-B9BB-BD48B0905E43}"/>
    <cellStyle name="Migliaia 56 3 3 2 6" xfId="16817" xr:uid="{8F2D7E4F-6086-4062-807D-85BB11158441}"/>
    <cellStyle name="Migliaia 56 3 3 2 7" xfId="8788" xr:uid="{996B7D6E-255D-47EE-8487-2147A5DDE294}"/>
    <cellStyle name="Migliaia 56 3 3 3" xfId="6826" xr:uid="{B04EFE3F-79EE-428D-9800-E8097A6F73E5}"/>
    <cellStyle name="Migliaia 56 3 3 3 2" xfId="34617" xr:uid="{0782CEB8-2F47-4E66-839A-B24AAF73B681}"/>
    <cellStyle name="Migliaia 56 3 3 3 3" xfId="25416" xr:uid="{C8186634-86BB-4F42-A968-495052A6F455}"/>
    <cellStyle name="Migliaia 56 3 3 3 4" xfId="9747" xr:uid="{34A4ED37-E06F-47FF-94E2-0FF5357796E7}"/>
    <cellStyle name="Migliaia 56 3 3 4" xfId="21009" xr:uid="{D3447E67-209B-4336-83E7-43A8B3604302}"/>
    <cellStyle name="Migliaia 56 3 3 4 2" xfId="34618" xr:uid="{C40E36B2-DEC4-4738-89DA-3449E5C56196}"/>
    <cellStyle name="Migliaia 56 3 3 4 3" xfId="25417" xr:uid="{8756E98D-1425-4628-ACC0-939F3986F370}"/>
    <cellStyle name="Migliaia 56 3 3 4 4" xfId="48881" xr:uid="{83F4560F-6DEE-45D4-8F85-EB7CB60999B0}"/>
    <cellStyle name="Migliaia 56 3 3 5" xfId="25418" xr:uid="{B5A041BC-DE22-4932-8B7F-090F17D74489}"/>
    <cellStyle name="Migliaia 56 3 3 5 2" xfId="34619" xr:uid="{D21E3C32-B70D-4570-B3CF-5EBC193DFECD}"/>
    <cellStyle name="Migliaia 56 3 3 5 3" xfId="48882" xr:uid="{E18F51AD-557B-49D7-9A1A-7BE5003DF6E3}"/>
    <cellStyle name="Migliaia 56 3 3 6" xfId="34615" xr:uid="{D167AAE7-A488-4F5A-B7F3-A7E3770B120F}"/>
    <cellStyle name="Migliaia 56 3 3 7" xfId="25414" xr:uid="{562EC96E-6DA6-435E-9685-824D7E959446}"/>
    <cellStyle name="Migliaia 56 3 3 8" xfId="16816" xr:uid="{C534954E-DDD2-4D70-90B1-3500E38E042A}"/>
    <cellStyle name="Migliaia 56 3 3 9" xfId="7598" xr:uid="{C70696E1-2E10-4F3C-BEB6-936B618E3E25}"/>
    <cellStyle name="Migliaia 56 3 4" xfId="3928" xr:uid="{6F1F2548-4C7A-4DF9-A13A-B27F07E034E3}"/>
    <cellStyle name="Migliaia 56 3 4 2" xfId="5654" xr:uid="{B4417D29-F0C2-464C-B376-E5607649A165}"/>
    <cellStyle name="Migliaia 56 3 4 2 2" xfId="14474" xr:uid="{8E4F0D43-7BE2-46E0-AE01-E96DAF99B0AD}"/>
    <cellStyle name="Migliaia 56 3 4 2 3" xfId="18136" xr:uid="{4DB92283-EB79-42CE-8BA4-9A529F80662D}"/>
    <cellStyle name="Migliaia 56 3 4 2 4" xfId="21012" xr:uid="{62382275-DAB2-4598-AC14-159732E5A3FB}"/>
    <cellStyle name="Migliaia 56 3 4 2 5" xfId="32477" xr:uid="{45DB43A1-919A-4394-925F-0C20D29D851B}"/>
    <cellStyle name="Migliaia 56 3 4 2 6" xfId="16819" xr:uid="{12503698-052B-4B9B-9DCD-1F5F4D8A42C6}"/>
    <cellStyle name="Migliaia 56 3 4 2 7" xfId="8897" xr:uid="{EE33F04A-6EE9-4290-8753-E9A918DA7BF6}"/>
    <cellStyle name="Migliaia 56 3 4 3" xfId="6827" xr:uid="{0E899DFF-6D70-462F-B758-72EE34AF912D}"/>
    <cellStyle name="Migliaia 56 3 4 3 2" xfId="35482" xr:uid="{EC711E09-FDE3-41B0-B5EC-53F6CD7FECC0}"/>
    <cellStyle name="Migliaia 56 3 4 3 2 2" xfId="40642" xr:uid="{F8897008-E830-4ACF-B596-EA54C2C6B351}"/>
    <cellStyle name="Migliaia 56 3 4 3 2 3" xfId="45944" xr:uid="{B8266972-7AF6-43CF-8ADF-F7AD0B199C8D}"/>
    <cellStyle name="Migliaia 56 3 4 3 3" xfId="37991" xr:uid="{BC5146AC-8293-4BB2-AEAE-2E0FEF298829}"/>
    <cellStyle name="Migliaia 56 3 4 3 4" xfId="43293" xr:uid="{0F8D1981-338D-41E3-ACE1-028ABBF8B28B}"/>
    <cellStyle name="Migliaia 56 3 4 3 5" xfId="13722" xr:uid="{D634E500-76F5-4573-A4C5-9546DA99C975}"/>
    <cellStyle name="Migliaia 56 3 4 4" xfId="21011" xr:uid="{D5CA63A3-DF78-4D2B-B63E-25CB93893CDF}"/>
    <cellStyle name="Migliaia 56 3 4 4 2" xfId="34620" xr:uid="{04859529-0F8F-475D-98F0-68243C5AC091}"/>
    <cellStyle name="Migliaia 56 3 4 5" xfId="25419" xr:uid="{A24F1235-AAC5-4C7A-A33E-D5F5D39137CC}"/>
    <cellStyle name="Migliaia 56 3 4 6" xfId="16818" xr:uid="{198F8504-DF9B-4837-98E1-1B8561162E56}"/>
    <cellStyle name="Migliaia 56 3 4 7" xfId="7707" xr:uid="{F0F367A8-B5A4-479B-9EF8-AE3C86943D87}"/>
    <cellStyle name="Migliaia 56 3 5" xfId="3929" xr:uid="{52C8CA67-BC2C-4E60-B758-B27F75781DC9}"/>
    <cellStyle name="Migliaia 56 3 5 2" xfId="5655" xr:uid="{422E643C-F1A4-4CCE-A219-A30A895F5D90}"/>
    <cellStyle name="Migliaia 56 3 5 2 2" xfId="35483" xr:uid="{4B976DDD-402A-456A-92E6-92A3B8B3F817}"/>
    <cellStyle name="Migliaia 56 3 5 2 2 2" xfId="40643" xr:uid="{5BB1774F-B667-4407-A33D-D0564FFF0D41}"/>
    <cellStyle name="Migliaia 56 3 5 2 2 3" xfId="45945" xr:uid="{E4F8EE60-8A97-4379-9BE2-B80968AD0551}"/>
    <cellStyle name="Migliaia 56 3 5 2 3" xfId="37992" xr:uid="{6E0BB51A-2C7D-4131-A6B5-4198E79BF31C}"/>
    <cellStyle name="Migliaia 56 3 5 2 4" xfId="43294" xr:uid="{381FAB51-66BA-499B-BFA4-B3BDB90F60D0}"/>
    <cellStyle name="Migliaia 56 3 5 2 5" xfId="14334" xr:uid="{D837F3B5-F490-450F-90EC-A8CDA6689F0F}"/>
    <cellStyle name="Migliaia 56 3 5 3" xfId="6828" xr:uid="{04B65902-1F4D-41B4-8B8A-737831198C5A}"/>
    <cellStyle name="Migliaia 56 3 5 3 2" xfId="34621" xr:uid="{5CBEA1D8-29CC-404A-B772-2AD136E8DFBF}"/>
    <cellStyle name="Migliaia 56 3 5 3 3" xfId="21013" xr:uid="{ACD9C0F3-1979-4097-81A7-3DDD8B1D62C4}"/>
    <cellStyle name="Migliaia 56 3 5 4" xfId="25420" xr:uid="{63852A4A-8CA7-4D78-8C27-8959CB2013A2}"/>
    <cellStyle name="Migliaia 56 3 5 5" xfId="16820" xr:uid="{2F885496-477D-44BD-A896-441CAC682BDF}"/>
    <cellStyle name="Migliaia 56 3 5 6" xfId="8396" xr:uid="{0B32A2EC-4488-41B7-9C86-A0FDF5D3F14F}"/>
    <cellStyle name="Migliaia 56 3 6" xfId="5650" xr:uid="{C6A68D28-EC7F-4F07-A74D-AC1B756557C0}"/>
    <cellStyle name="Migliaia 56 3 6 2" xfId="14039" xr:uid="{E54412FB-2CC4-464A-8E18-EE7937D96178}"/>
    <cellStyle name="Migliaia 56 3 6 2 2" xfId="34622" xr:uid="{BF20BE70-342E-406F-9020-748F30BAE232}"/>
    <cellStyle name="Migliaia 56 3 6 3" xfId="18038" xr:uid="{1D21B6BA-81DB-4FC7-90D7-838334D02A32}"/>
    <cellStyle name="Migliaia 56 3 6 4" xfId="21014" xr:uid="{76001AA4-5EFE-4EA8-9648-FEADD2201A8C}"/>
    <cellStyle name="Migliaia 56 3 6 5" xfId="25421" xr:uid="{D830D695-1C18-403E-A91C-9CD3AEA269EA}"/>
    <cellStyle name="Migliaia 56 3 6 6" xfId="16821" xr:uid="{C02BF20B-972A-4BF2-95EA-6D8CFB294C20}"/>
    <cellStyle name="Migliaia 56 3 6 7" xfId="8028" xr:uid="{7E8CBE4D-67FE-4F37-8B70-72FF3A10CEB7}"/>
    <cellStyle name="Migliaia 56 3 7" xfId="6823" xr:uid="{6AB6FEC5-8357-49BC-9262-503A211AE607}"/>
    <cellStyle name="Migliaia 56 3 7 2" xfId="34623" xr:uid="{6406ECBD-AD3F-4CD2-8C89-B4918C987E16}"/>
    <cellStyle name="Migliaia 56 3 7 3" xfId="25422" xr:uid="{A4A9EF2E-BECB-4C6B-8974-5785E9D2838B}"/>
    <cellStyle name="Migliaia 56 3 7 4" xfId="11094" xr:uid="{867B1FB8-FD18-43DE-BF82-FB4E68A8A766}"/>
    <cellStyle name="Migliaia 56 3 8" xfId="3924" xr:uid="{19CFA78E-1034-4266-9FD8-BB7B8819262F}"/>
    <cellStyle name="Migliaia 56 3 8 2" xfId="34624" xr:uid="{7E5F53D0-6EE0-441D-B51F-0CCD04CE2F5B}"/>
    <cellStyle name="Migliaia 56 3 8 3" xfId="25423" xr:uid="{2D64BEC1-33A6-48EA-ADDF-C9A76C7B40BA}"/>
    <cellStyle name="Migliaia 56 3 8 4" xfId="17274" xr:uid="{A6F8A898-900A-466E-9FD8-E46251C7CF16}"/>
    <cellStyle name="Migliaia 56 3 9" xfId="21005" xr:uid="{738C9F3B-BA06-4575-9627-DA1D7C1992CF}"/>
    <cellStyle name="Migliaia 56 3 9 2" xfId="34607" xr:uid="{102B5201-4142-4719-95A3-FD601AEF8B9A}"/>
    <cellStyle name="Migliaia 56 4" xfId="1913" xr:uid="{00000000-0005-0000-0000-000090040000}"/>
    <cellStyle name="Migliaia 56 4 10" xfId="7600" xr:uid="{E17D7564-25A3-4338-A02E-A6645B4CDB18}"/>
    <cellStyle name="Migliaia 56 4 2" xfId="1914" xr:uid="{00000000-0005-0000-0000-000091040000}"/>
    <cellStyle name="Migliaia 56 4 2 2" xfId="5657" xr:uid="{A8A97463-5354-4766-8004-EE79AF967DDE}"/>
    <cellStyle name="Migliaia 56 4 2 2 2" xfId="34627" xr:uid="{09721606-30A3-492A-A5CD-7285A916E43E}"/>
    <cellStyle name="Migliaia 56 4 2 2 3" xfId="25426" xr:uid="{22159FA2-7377-4225-92BC-A9148875615B}"/>
    <cellStyle name="Migliaia 56 4 2 2 4" xfId="9210" xr:uid="{015D1089-BFBC-4343-8171-6BE01B2763EB}"/>
    <cellStyle name="Migliaia 56 4 2 3" xfId="3931" xr:uid="{63DA9050-030A-4F0B-A01F-E2B0332E52BE}"/>
    <cellStyle name="Migliaia 56 4 2 3 2" xfId="34628" xr:uid="{18CABEBD-E54F-4280-B644-C2F46ECE9947}"/>
    <cellStyle name="Migliaia 56 4 2 3 3" xfId="25427" xr:uid="{302236B2-3E0C-4688-BD42-DFE0BD36FA1A}"/>
    <cellStyle name="Migliaia 56 4 2 3 4" xfId="12093" xr:uid="{E2B736F9-93D7-45C9-AAF4-FB25768780A3}"/>
    <cellStyle name="Migliaia 56 4 2 4" xfId="11446" xr:uid="{C79A123A-1789-4E09-8CFE-B962BD58A26C}"/>
    <cellStyle name="Migliaia 56 4 2 4 2" xfId="34626" xr:uid="{948B7848-3AAB-47CF-BC34-5F78F6CF075B}"/>
    <cellStyle name="Migliaia 56 4 2 5" xfId="10991" xr:uid="{3BCAA596-EA90-4F33-9537-397BB151EB92}"/>
    <cellStyle name="Migliaia 56 4 2 5 2" xfId="21626" xr:uid="{810C2C9B-E86E-4F97-8F66-C7389C7B171E}"/>
    <cellStyle name="Migliaia 56 4 2 5 3" xfId="25184" xr:uid="{8DA9A535-BF8B-4CBB-897E-F208E0978EE9}"/>
    <cellStyle name="Migliaia 56 4 2 5 4" xfId="50641" xr:uid="{7867C53D-FAD9-4C47-8176-FDBEA066EB1C}"/>
    <cellStyle name="Migliaia 56 4 2 5 5" xfId="53657" xr:uid="{A1A83E49-2E4C-459A-A69D-C7DE8B777ADA}"/>
    <cellStyle name="Migliaia 56 4 2 6" xfId="21016" xr:uid="{1B8B50D4-AA6D-41FA-9BD2-03FBE3F29E81}"/>
    <cellStyle name="Migliaia 56 4 2 7" xfId="25425" xr:uid="{856B50EC-85A0-4DB6-914F-50CCC66BCFE6}"/>
    <cellStyle name="Migliaia 56 4 2 8" xfId="8790" xr:uid="{2CE70262-9C9B-4883-A43F-E1A566F8E251}"/>
    <cellStyle name="Migliaia 56 4 3" xfId="5656" xr:uid="{3E393823-581A-467F-A5EC-89F606FB253B}"/>
    <cellStyle name="Migliaia 56 4 3 2" xfId="18265" xr:uid="{EAEB170C-8A88-4E52-AD25-4657023CDACE}"/>
    <cellStyle name="Migliaia 56 4 3 2 2" xfId="34629" xr:uid="{2FC5E745-D52D-4999-8923-264498C807B6}"/>
    <cellStyle name="Migliaia 56 4 3 3" xfId="25428" xr:uid="{D013A6B1-491C-49E3-9890-5E37ADA26FB1}"/>
    <cellStyle name="Migliaia 56 4 3 4" xfId="17272" xr:uid="{D7194C91-43F2-454B-9E08-9C528F71AD36}"/>
    <cellStyle name="Migliaia 56 4 3 5" xfId="9211" xr:uid="{95C0CC28-C3E0-4777-AF55-0A6BB0B42F67}"/>
    <cellStyle name="Migliaia 56 4 4" xfId="6829" xr:uid="{75BD60C2-CB7B-4E9E-AA6E-D94F8A76C9C0}"/>
    <cellStyle name="Migliaia 56 4 4 2" xfId="34630" xr:uid="{EC349ED8-9973-4BCC-AE93-4C2AF7D8E13A}"/>
    <cellStyle name="Migliaia 56 4 4 3" xfId="25429" xr:uid="{A3E495D9-65F9-4D63-8795-7FECEDB5898D}"/>
    <cellStyle name="Migliaia 56 4 4 4" xfId="12094" xr:uid="{69E82EF4-6E67-46DE-B11E-663A66E176EB}"/>
    <cellStyle name="Migliaia 56 4 5" xfId="3930" xr:uid="{6A125E69-73AA-47C3-85F3-6EA3F106C8F5}"/>
    <cellStyle name="Migliaia 56 4 5 2" xfId="34631" xr:uid="{078D189B-8736-4845-ADB7-B2AF2EE9D9F6}"/>
    <cellStyle name="Migliaia 56 4 5 3" xfId="25430" xr:uid="{6C10DFEF-B959-4255-97B0-6014ABAE4E80}"/>
    <cellStyle name="Migliaia 56 4 5 4" xfId="11445" xr:uid="{4C68CEBD-9B9A-4B34-AB11-CC6F02815F48}"/>
    <cellStyle name="Migliaia 56 4 6" xfId="10990" xr:uid="{5793C17A-CF73-4AF3-813B-51A3427AD67B}"/>
    <cellStyle name="Migliaia 56 4 6 2" xfId="21625" xr:uid="{EBAB3CE5-1154-48F2-A17B-32A1C96E8647}"/>
    <cellStyle name="Migliaia 56 4 6 2 2" xfId="34632" xr:uid="{4B409C4E-D1E6-42B4-BBB6-12AF659354C9}"/>
    <cellStyle name="Migliaia 56 4 6 3" xfId="25431" xr:uid="{D241F1AF-D085-46A4-9107-15F00B1E1DD1}"/>
    <cellStyle name="Migliaia 56 4 6 4" xfId="47122" xr:uid="{E15E630B-3CA7-4950-B386-746835BE247D}"/>
    <cellStyle name="Migliaia 56 4 6 5" xfId="48883" xr:uid="{2842E22A-891B-4E47-8817-6D2FA5894B09}"/>
    <cellStyle name="Migliaia 56 4 6 6" xfId="50640" xr:uid="{C0CAE542-F672-4211-A706-B6563BF12600}"/>
    <cellStyle name="Migliaia 56 4 6 7" xfId="53656" xr:uid="{437DA487-7745-405C-8A69-BA282C3D0C84}"/>
    <cellStyle name="Migliaia 56 4 7" xfId="21015" xr:uid="{5A9E27B2-9C62-4423-94C7-39103AC26038}"/>
    <cellStyle name="Migliaia 56 4 7 2" xfId="34633" xr:uid="{85AE873F-ECB2-4555-85A3-28562F341F7E}"/>
    <cellStyle name="Migliaia 56 4 7 3" xfId="25432" xr:uid="{30BAA7DB-6161-434C-AB52-4A9530758CD7}"/>
    <cellStyle name="Migliaia 56 4 8" xfId="34625" xr:uid="{8EBA590F-9385-4BB3-B330-C308DE5746B1}"/>
    <cellStyle name="Migliaia 56 4 9" xfId="25424" xr:uid="{E4727F0F-CB72-4C42-9693-BA88B5F8A464}"/>
    <cellStyle name="Migliaia 56 5" xfId="1915" xr:uid="{00000000-0005-0000-0000-000092040000}"/>
    <cellStyle name="Migliaia 56 5 2" xfId="5658" xr:uid="{48095C67-20EA-40D1-B5BE-A0851C125E71}"/>
    <cellStyle name="Migliaia 56 5 2 2" xfId="18517" xr:uid="{FDE40644-A584-4762-85F9-3F805D88FAE7}"/>
    <cellStyle name="Migliaia 56 5 2 2 2" xfId="34635" xr:uid="{6C07DDB6-D66F-429C-ABDB-C38D01D34AA1}"/>
    <cellStyle name="Migliaia 56 5 2 3" xfId="21018" xr:uid="{BE550EB0-DF22-4C6B-9B16-D44A307CCC28}"/>
    <cellStyle name="Migliaia 56 5 2 4" xfId="25434" xr:uid="{E6560472-F82D-494C-A916-E7B2DAC57F0B}"/>
    <cellStyle name="Migliaia 56 5 2 5" xfId="16822" xr:uid="{021BD6F7-7FFC-4336-BEB5-B9154D002E77}"/>
    <cellStyle name="Migliaia 56 5 2 6" xfId="8791" xr:uid="{BB250489-27F4-4A36-9DC1-657D3A2CBE26}"/>
    <cellStyle name="Migliaia 56 5 3" xfId="6830" xr:uid="{B5077DDD-6FA5-4800-A6E2-E52FA1B78F14}"/>
    <cellStyle name="Migliaia 56 5 3 2" xfId="34636" xr:uid="{8B1BD818-3A09-4FE7-B94C-07C01192F513}"/>
    <cellStyle name="Migliaia 56 5 3 3" xfId="25435" xr:uid="{5317E8E7-BD17-4C91-B6DD-4882C416D145}"/>
    <cellStyle name="Migliaia 56 5 3 4" xfId="11447" xr:uid="{7FDF1DAF-6385-4A7A-B52E-B2D135C4964E}"/>
    <cellStyle name="Migliaia 56 5 4" xfId="3932" xr:uid="{AE09B1E3-7C6B-40A9-ADFA-6020A359E012}"/>
    <cellStyle name="Migliaia 56 5 4 2" xfId="21627" xr:uid="{8F667A7D-95D5-480C-8D47-EFF8DD9310E4}"/>
    <cellStyle name="Migliaia 56 5 4 2 2" xfId="34637" xr:uid="{92B7303E-AA60-481F-BDDD-AB512D6DF1DB}"/>
    <cellStyle name="Migliaia 56 5 4 3" xfId="25436" xr:uid="{DC30048E-E449-44F9-8E9C-8945956700AA}"/>
    <cellStyle name="Migliaia 56 5 4 4" xfId="48098" xr:uid="{F882F345-7DF8-47A5-A58E-391B59C2C6F3}"/>
    <cellStyle name="Migliaia 56 5 4 5" xfId="48884" xr:uid="{6CA29599-3D64-42F8-8295-10A056B5FE13}"/>
    <cellStyle name="Migliaia 56 5 4 6" xfId="50642" xr:uid="{00BE1D02-CE0F-4EC9-B9AA-6FC5A710EFEB}"/>
    <cellStyle name="Migliaia 56 5 4 7" xfId="53658" xr:uid="{E074150E-D489-441D-981B-98F7B53592FA}"/>
    <cellStyle name="Migliaia 56 5 4 8" xfId="10992" xr:uid="{83E05B08-AD2D-4BFE-BC89-CB96DF488886}"/>
    <cellStyle name="Migliaia 56 5 5" xfId="21017" xr:uid="{3A9A99B4-01BF-46C9-932F-18E429153F26}"/>
    <cellStyle name="Migliaia 56 5 5 2" xfId="34638" xr:uid="{32EC4B75-7D10-4581-9102-756F9E511470}"/>
    <cellStyle name="Migliaia 56 5 5 3" xfId="25437" xr:uid="{6438B605-FAE9-4FDD-8F2A-1910E1C46E71}"/>
    <cellStyle name="Migliaia 56 5 5 4" xfId="48885" xr:uid="{5208213F-031C-40E4-A0D3-1A3507AAF4E7}"/>
    <cellStyle name="Migliaia 56 5 6" xfId="25438" xr:uid="{01EDBF04-8259-4966-913D-CB345B149C9B}"/>
    <cellStyle name="Migliaia 56 5 6 2" xfId="34639" xr:uid="{7E0D0439-8100-4455-865D-9C1434E7C7C6}"/>
    <cellStyle name="Migliaia 56 5 7" xfId="34634" xr:uid="{B94261DE-55C8-425B-9672-F12B227650D0}"/>
    <cellStyle name="Migliaia 56 5 8" xfId="25433" xr:uid="{706D6172-6222-46A8-B937-AA0710299814}"/>
    <cellStyle name="Migliaia 56 5 9" xfId="7601" xr:uid="{46A49361-995B-4863-8840-E07C85AA3A08}"/>
    <cellStyle name="Migliaia 56 6" xfId="3933" xr:uid="{B041CAF5-79E4-4C40-AF37-1EFF835A1A14}"/>
    <cellStyle name="Migliaia 56 6 2" xfId="5659" xr:uid="{313DD077-D8AF-4DB6-8E8F-5E81B25ACA03}"/>
    <cellStyle name="Migliaia 56 6 2 2" xfId="9983" xr:uid="{D06B1151-35CD-44BF-AF80-97272EEC7729}"/>
    <cellStyle name="Migliaia 56 6 2 3" xfId="18597" xr:uid="{2C511821-99CD-4F63-9E39-26634A9886A6}"/>
    <cellStyle name="Migliaia 56 6 2 4" xfId="21020" xr:uid="{A9A98EF3-4FA9-433D-94B1-E374FC064C0A}"/>
    <cellStyle name="Migliaia 56 6 2 5" xfId="32478" xr:uid="{141514C4-D270-4659-A53E-8E19B7AAEB2C}"/>
    <cellStyle name="Migliaia 56 6 2 6" xfId="16824" xr:uid="{DB549CE9-102F-4481-A0B7-8E65EFFB9614}"/>
    <cellStyle name="Migliaia 56 6 2 7" xfId="8786" xr:uid="{00C358FD-3071-4168-B1A6-A59C1C4423B8}"/>
    <cellStyle name="Migliaia 56 6 3" xfId="6831" xr:uid="{EEA92A1F-3532-4F3C-8E5C-BC97C2A2E2D4}"/>
    <cellStyle name="Migliaia 56 6 3 2" xfId="35484" xr:uid="{E769CF35-86B5-4736-A94D-5FDB0F54E302}"/>
    <cellStyle name="Migliaia 56 6 3 2 2" xfId="40644" xr:uid="{F55918C4-CC92-454D-9962-8126A533F200}"/>
    <cellStyle name="Migliaia 56 6 3 2 3" xfId="45946" xr:uid="{7167E8AF-1CE6-483B-8D08-95D5DFCF6868}"/>
    <cellStyle name="Migliaia 56 6 3 3" xfId="37993" xr:uid="{C46A4CFB-4F93-40D9-AE91-B41433303E6D}"/>
    <cellStyle name="Migliaia 56 6 3 4" xfId="43295" xr:uid="{51BFDE2A-5297-42BA-A529-1BBAA50115F4}"/>
    <cellStyle name="Migliaia 56 6 3 5" xfId="9746" xr:uid="{4C304DAD-D623-4D9B-B7D5-98E28827CF67}"/>
    <cellStyle name="Migliaia 56 6 4" xfId="21019" xr:uid="{D8847057-5591-4431-8545-CA4A81D861EB}"/>
    <cellStyle name="Migliaia 56 6 4 2" xfId="34640" xr:uid="{5D2D2543-A050-4EC7-9CCD-8777A3E1AF3B}"/>
    <cellStyle name="Migliaia 56 6 5" xfId="25439" xr:uid="{24E328FD-956B-4505-9E54-B8FEE68BA05B}"/>
    <cellStyle name="Migliaia 56 6 6" xfId="16823" xr:uid="{0DE45EF5-0CF5-4447-9B61-650496EEBE49}"/>
    <cellStyle name="Migliaia 56 6 7" xfId="7596" xr:uid="{7FB8AAD5-01D4-4386-A562-D7822AC0CF34}"/>
    <cellStyle name="Migliaia 56 7" xfId="3934" xr:uid="{0061D3CF-4F2F-4EEA-9157-395A6D91E819}"/>
    <cellStyle name="Migliaia 56 7 2" xfId="5660" xr:uid="{2BBD2C37-B3CF-4164-A539-DB80FF1E9737}"/>
    <cellStyle name="Migliaia 56 7 2 2" xfId="35485" xr:uid="{19B60564-B0FA-40E0-9C91-5D382AAF46E8}"/>
    <cellStyle name="Migliaia 56 7 2 2 2" xfId="40645" xr:uid="{AFB4D4BA-EFF9-4293-8270-91A9D8E76670}"/>
    <cellStyle name="Migliaia 56 7 2 2 3" xfId="45947" xr:uid="{D910F033-DF69-411E-BBC1-52ED10D51B14}"/>
    <cellStyle name="Migliaia 56 7 2 3" xfId="37994" xr:uid="{706EE4C6-A770-457E-AB42-028EF995BA08}"/>
    <cellStyle name="Migliaia 56 7 2 4" xfId="43296" xr:uid="{104FAA5D-6C08-4D1E-B77E-35C8AE0E87EC}"/>
    <cellStyle name="Migliaia 56 7 2 5" xfId="14332" xr:uid="{25F9A2D8-9675-4F00-8CEB-F2DA9D733762}"/>
    <cellStyle name="Migliaia 56 7 3" xfId="6832" xr:uid="{CB42C656-21FB-4F76-90D6-A1E514BFCDB1}"/>
    <cellStyle name="Migliaia 56 7 3 2" xfId="34641" xr:uid="{4E9179A1-BBDA-419B-AC0A-7C2868A20F6B}"/>
    <cellStyle name="Migliaia 56 7 3 3" xfId="21021" xr:uid="{71CA0BDF-8A7C-46ED-91EA-9E571406646A}"/>
    <cellStyle name="Migliaia 56 7 4" xfId="25440" xr:uid="{82CF2D6E-A832-4325-ADBD-506F24E42F9D}"/>
    <cellStyle name="Migliaia 56 7 5" xfId="16825" xr:uid="{43DE8800-5168-4A8F-985B-2F0E8AE0234F}"/>
    <cellStyle name="Migliaia 56 7 6" xfId="8394" xr:uid="{ABC2BFFE-76B0-4D76-978C-E4AD603EDCDB}"/>
    <cellStyle name="Migliaia 56 8" xfId="3935" xr:uid="{F7E9E5FA-6142-40A6-B5D3-AA016D6BED87}"/>
    <cellStyle name="Migliaia 56 8 2" xfId="5661" xr:uid="{C1E7168A-AB92-4EED-BBFB-F5F6B9D4A487}"/>
    <cellStyle name="Migliaia 56 8 2 2" xfId="35486" xr:uid="{0236AE24-26D8-4BAB-B548-FF9FF627B2AE}"/>
    <cellStyle name="Migliaia 56 8 2 2 2" xfId="40646" xr:uid="{E1BAF61D-9AEE-4252-92D5-DC7F59D77EA1}"/>
    <cellStyle name="Migliaia 56 8 2 2 3" xfId="45948" xr:uid="{785F89AA-3332-4585-AEFD-E91BD835911B}"/>
    <cellStyle name="Migliaia 56 8 2 3" xfId="37995" xr:uid="{12616BAA-3EF2-4B1F-9DDC-FBD2794870BC}"/>
    <cellStyle name="Migliaia 56 8 2 4" xfId="43297" xr:uid="{F3C29DD8-F259-4A1A-9E5E-62B513B424E6}"/>
    <cellStyle name="Migliaia 56 8 2 5" xfId="14037" xr:uid="{AB1B1C17-B3FF-4BD5-A077-A34070553DCD}"/>
    <cellStyle name="Migliaia 56 8 3" xfId="6833" xr:uid="{B8B83507-9E10-4F61-8763-D53533D27157}"/>
    <cellStyle name="Migliaia 56 8 3 2" xfId="34642" xr:uid="{A6F97471-A7C3-430C-BBFD-E0062E77D8E9}"/>
    <cellStyle name="Migliaia 56 8 3 3" xfId="21022" xr:uid="{CE79C05B-9D45-4000-A384-45E1ABF88E53}"/>
    <cellStyle name="Migliaia 56 8 4" xfId="25441" xr:uid="{5A5EAAA4-278C-4A15-BC39-D399DF4E2C07}"/>
    <cellStyle name="Migliaia 56 8 5" xfId="16826" xr:uid="{35FA27B4-FEB7-423E-967A-1628111C6D92}"/>
    <cellStyle name="Migliaia 56 8 6" xfId="8026" xr:uid="{9D839F1C-F7FE-42BA-B1CF-DC32EE4F15CE}"/>
    <cellStyle name="Migliaia 56 9" xfId="5646" xr:uid="{82ED4B79-C498-4E90-932A-AC5885DEFD78}"/>
    <cellStyle name="Migliaia 56 9 2" xfId="34643" xr:uid="{8615C76A-87C6-4959-9CF1-5EBFF6BDF1D2}"/>
    <cellStyle name="Migliaia 56 9 3" xfId="25442" xr:uid="{82F8EA1D-BE61-43CA-9B76-89876D4D5ABD}"/>
    <cellStyle name="Migliaia 56 9 4" xfId="17237" xr:uid="{65D7DDC6-9184-481E-9A35-1FBB6A4997FF}"/>
    <cellStyle name="Migliaia 57" xfId="509" xr:uid="{00000000-0005-0000-0000-000093040000}"/>
    <cellStyle name="Migliaia 57 10" xfId="6834" xr:uid="{E898081A-4834-4DE0-A219-4446A09BC029}"/>
    <cellStyle name="Migliaia 57 10 2" xfId="34644" xr:uid="{F925FF70-04DB-4340-8511-ECEDC0C3F6F6}"/>
    <cellStyle name="Migliaia 57 10 3" xfId="21023" xr:uid="{EB02D242-E3BD-428C-B978-C5EADB1D7257}"/>
    <cellStyle name="Migliaia 57 11" xfId="3936" xr:uid="{9BF00671-8E7C-417F-B22F-566C81EDAFBB}"/>
    <cellStyle name="Migliaia 57 11 2" xfId="25443" xr:uid="{97C19897-78E7-45BD-845E-8F3E5D774B05}"/>
    <cellStyle name="Migliaia 57 12" xfId="7198" xr:uid="{0F8F3552-BE7E-422E-9974-3359C00D5508}"/>
    <cellStyle name="Migliaia 57 2" xfId="510" xr:uid="{00000000-0005-0000-0000-000094040000}"/>
    <cellStyle name="Migliaia 57 2 2" xfId="1916" xr:uid="{00000000-0005-0000-0000-000095040000}"/>
    <cellStyle name="Migliaia 57 2 2 2" xfId="5664" xr:uid="{D77FABF2-3F95-4DE2-9819-B255D6D2CB99}"/>
    <cellStyle name="Migliaia 57 2 2 2 2" xfId="14415" xr:uid="{EC25DD13-D2B4-460E-B11D-E8BE71362B5F}"/>
    <cellStyle name="Migliaia 57 2 2 2 2 2" xfId="34647" xr:uid="{ED6710DC-4431-4AD9-B0D1-CF5F1D9CA40C}"/>
    <cellStyle name="Migliaia 57 2 2 2 3" xfId="18518" xr:uid="{718E1BBD-5694-4DB1-AFFC-54EE5793DA24}"/>
    <cellStyle name="Migliaia 57 2 2 2 4" xfId="21026" xr:uid="{7D5FA5FC-30E8-4652-817B-947F2565A07C}"/>
    <cellStyle name="Migliaia 57 2 2 2 5" xfId="25446" xr:uid="{9BAE4AC2-FF92-4DD2-8EF2-714D898B8BED}"/>
    <cellStyle name="Migliaia 57 2 2 2 6" xfId="16827" xr:uid="{BA602CB2-0FCA-4647-ACAF-E71878F7E2EA}"/>
    <cellStyle name="Migliaia 57 2 2 2 7" xfId="8793" xr:uid="{45C25ABE-6DAE-461D-8779-14991178F5DE}"/>
    <cellStyle name="Migliaia 57 2 2 3" xfId="6836" xr:uid="{92012A35-829F-43C0-934B-4FBE290B143F}"/>
    <cellStyle name="Migliaia 57 2 2 3 2" xfId="35487" xr:uid="{5901A308-9740-4678-BFA1-003A7BB39F37}"/>
    <cellStyle name="Migliaia 57 2 2 3 2 2" xfId="40647" xr:uid="{68AB57AC-EFDF-43B1-AFB0-1868301CC87E}"/>
    <cellStyle name="Migliaia 57 2 2 3 2 3" xfId="45949" xr:uid="{DAB57F3D-A273-4885-A658-6D06B77801B8}"/>
    <cellStyle name="Migliaia 57 2 2 3 3" xfId="37996" xr:uid="{3F3BFBFE-8F04-4459-8BCC-3D118491C69F}"/>
    <cellStyle name="Migliaia 57 2 2 3 4" xfId="43298" xr:uid="{30B8D0BE-E512-4D8A-B1EC-747EAC5E15DB}"/>
    <cellStyle name="Migliaia 57 2 2 3 5" xfId="11642" xr:uid="{6183C22F-48BE-4776-B1C8-787E91517E9C}"/>
    <cellStyle name="Migliaia 57 2 2 4" xfId="3938" xr:uid="{190A57A3-BFCA-4526-8F9D-1686C6593331}"/>
    <cellStyle name="Migliaia 57 2 2 4 2" xfId="21628" xr:uid="{75325775-0802-49F5-86E8-703CD6445791}"/>
    <cellStyle name="Migliaia 57 2 2 4 3" xfId="34646" xr:uid="{F3327092-E75F-4E58-AD90-74312C68186B}"/>
    <cellStyle name="Migliaia 57 2 2 4 4" xfId="46708" xr:uid="{F2613A95-AFF6-4603-B82D-3BBE76E5E98E}"/>
    <cellStyle name="Migliaia 57 2 2 4 5" xfId="50643" xr:uid="{CA30AADE-95B4-454B-945B-E4FA1D00952C}"/>
    <cellStyle name="Migliaia 57 2 2 4 6" xfId="53659" xr:uid="{CCE20F47-33CE-4F71-8F07-22DAC10E1947}"/>
    <cellStyle name="Migliaia 57 2 2 4 7" xfId="10993" xr:uid="{AF4238B9-793B-466E-8B44-4D64D01BE806}"/>
    <cellStyle name="Migliaia 57 2 2 5" xfId="21025" xr:uid="{1D865DC0-DBE0-4AE2-BDB1-6C096977BF90}"/>
    <cellStyle name="Migliaia 57 2 2 6" xfId="25445" xr:uid="{4844A2DF-B519-4739-A9BF-44C26A1785E3}"/>
    <cellStyle name="Migliaia 57 2 2 7" xfId="7603" xr:uid="{E16F61F9-1EB1-45EB-8985-3EB19B18762A}"/>
    <cellStyle name="Migliaia 57 2 3" xfId="3939" xr:uid="{84A857F6-AC1D-4113-8D18-266D8B13A41A}"/>
    <cellStyle name="Migliaia 57 2 3 2" xfId="5665" xr:uid="{3D6E92E3-8240-4AB4-B0EC-7E0965F6A0A3}"/>
    <cellStyle name="Migliaia 57 2 3 2 2" xfId="35488" xr:uid="{91060D32-12F6-48A2-81F0-87D6C175B59A}"/>
    <cellStyle name="Migliaia 57 2 3 2 2 2" xfId="40648" xr:uid="{5A94B853-C59D-429D-8022-1643881400BB}"/>
    <cellStyle name="Migliaia 57 2 3 2 2 3" xfId="45950" xr:uid="{C7F2EDF4-C40A-45A0-8FB3-4014135170FE}"/>
    <cellStyle name="Migliaia 57 2 3 2 3" xfId="37997" xr:uid="{6CECE9F4-B3DF-48D5-A204-6EE317E578D2}"/>
    <cellStyle name="Migliaia 57 2 3 2 4" xfId="43299" xr:uid="{9B9293E5-6DF2-4F19-B7C4-F7C7F7CC53CC}"/>
    <cellStyle name="Migliaia 57 2 3 2 5" xfId="14336" xr:uid="{459A5CCE-4CC9-4FCA-98FC-923C1BA92B83}"/>
    <cellStyle name="Migliaia 57 2 3 3" xfId="6837" xr:uid="{9A4DE322-7430-4274-8F95-933A7FDBB532}"/>
    <cellStyle name="Migliaia 57 2 3 3 2" xfId="34648" xr:uid="{0FD176F7-7F21-46A9-9910-E2F05CBE0326}"/>
    <cellStyle name="Migliaia 57 2 3 3 3" xfId="21027" xr:uid="{682C3B69-587B-4237-B783-4769CCAA51CE}"/>
    <cellStyle name="Migliaia 57 2 3 4" xfId="25447" xr:uid="{6D639D4E-155E-45F1-9A80-5930354FA312}"/>
    <cellStyle name="Migliaia 57 2 3 5" xfId="16828" xr:uid="{A12986BD-38E3-4E7B-9CF3-7EC8998BC096}"/>
    <cellStyle name="Migliaia 57 2 3 6" xfId="8398" xr:uid="{85EEBB6B-A242-408F-A83C-7B8F159B6E68}"/>
    <cellStyle name="Migliaia 57 2 4" xfId="5663" xr:uid="{B83BFDAE-4557-4600-BDEB-4CBFA33A9926}"/>
    <cellStyle name="Migliaia 57 2 4 2" xfId="14041" xr:uid="{0BA92C18-4BEE-4E94-B54C-A67092A72A12}"/>
    <cellStyle name="Migliaia 57 2 4 2 2" xfId="34649" xr:uid="{798FC279-B357-46D5-9840-13C4620406D6}"/>
    <cellStyle name="Migliaia 57 2 4 3" xfId="18688" xr:uid="{77E778E2-B2D6-4AB2-ADE6-EE9E19D6F40A}"/>
    <cellStyle name="Migliaia 57 2 4 4" xfId="21028" xr:uid="{52661B0F-180F-4C01-88DE-04C83FD1EFCE}"/>
    <cellStyle name="Migliaia 57 2 4 5" xfId="25448" xr:uid="{35038C8A-473F-444D-8EB0-7841A33772C7}"/>
    <cellStyle name="Migliaia 57 2 4 6" xfId="16829" xr:uid="{C4910F49-5304-41C4-B303-8D315A9285F0}"/>
    <cellStyle name="Migliaia 57 2 4 7" xfId="8031" xr:uid="{BBC06808-DC7C-4672-86E6-C04EED5D8251}"/>
    <cellStyle name="Migliaia 57 2 5" xfId="6835" xr:uid="{5D0B3699-2729-4E40-9B9B-56C39B03C29B}"/>
    <cellStyle name="Migliaia 57 2 5 2" xfId="34650" xr:uid="{B7C50139-74E7-44CC-8CBD-CA05D45F88F3}"/>
    <cellStyle name="Migliaia 57 2 5 3" xfId="25449" xr:uid="{777F8751-9130-4333-A1E5-43E7879BD209}"/>
    <cellStyle name="Migliaia 57 2 5 4" xfId="13155" xr:uid="{56CACF99-29E8-4063-8300-7A8B158CCD98}"/>
    <cellStyle name="Migliaia 57 2 6" xfId="3937" xr:uid="{16B11CBC-9F5F-45E5-ACF9-FC4BE515167E}"/>
    <cellStyle name="Migliaia 57 2 6 2" xfId="34651" xr:uid="{4E084DD9-6F91-4822-A955-7837808EC8FF}"/>
    <cellStyle name="Migliaia 57 2 6 3" xfId="25450" xr:uid="{79DFF9D9-E11B-4CC7-9EC3-335B10BE277D}"/>
    <cellStyle name="Migliaia 57 2 6 4" xfId="21024" xr:uid="{CD619292-F0D5-43E8-A4C5-FF7D070BC916}"/>
    <cellStyle name="Migliaia 57 2 7" xfId="34645" xr:uid="{E164F44D-155A-400F-8244-DA54554D8B2B}"/>
    <cellStyle name="Migliaia 57 2 8" xfId="25444" xr:uid="{D228260E-9644-4AC7-B1E7-92F2CD6A39F1}"/>
    <cellStyle name="Migliaia 57 2 9" xfId="7199" xr:uid="{9971E98B-C7A0-4F59-9137-76DB07D6B263}"/>
    <cellStyle name="Migliaia 57 3" xfId="511" xr:uid="{00000000-0005-0000-0000-000096040000}"/>
    <cellStyle name="Migliaia 57 3 10" xfId="25451" xr:uid="{E85D59B9-30D1-4923-A813-6BE5BAF06B28}"/>
    <cellStyle name="Migliaia 57 3 11" xfId="16830" xr:uid="{E92674C3-6F65-4795-8BF0-D067EDF190BF}"/>
    <cellStyle name="Migliaia 57 3 12" xfId="7200" xr:uid="{2A1EC7AE-98AE-4D1F-8CF9-792905FB3A44}"/>
    <cellStyle name="Migliaia 57 3 2" xfId="512" xr:uid="{00000000-0005-0000-0000-000097040000}"/>
    <cellStyle name="Migliaia 57 3 2 2" xfId="1917" xr:uid="{00000000-0005-0000-0000-000098040000}"/>
    <cellStyle name="Migliaia 57 3 2 2 2" xfId="5668" xr:uid="{4A9D6CAF-5817-4BF3-BC81-51E01E477CC2}"/>
    <cellStyle name="Migliaia 57 3 2 2 2 2" xfId="18519" xr:uid="{BD3CB6D8-FBDF-48F4-8928-66C1DBF0B19C}"/>
    <cellStyle name="Migliaia 57 3 2 2 2 2 2" xfId="21893" xr:uid="{A2FC17FF-E43B-43E6-A9A2-A6CA12E40784}"/>
    <cellStyle name="Migliaia 57 3 2 2 2 2 3" xfId="34655" xr:uid="{B58A04F3-5A0B-4B3D-AA1E-BB845FBC638C}"/>
    <cellStyle name="Migliaia 57 3 2 2 2 3" xfId="25454" xr:uid="{1219F686-40CE-402C-981B-E5B34F23B883}"/>
    <cellStyle name="Migliaia 57 3 2 2 2 4" xfId="47521" xr:uid="{9BDACD2F-6806-4C19-9682-D579A3084853}"/>
    <cellStyle name="Migliaia 57 3 2 2 2 5" xfId="50921" xr:uid="{0025B228-8414-4571-9BDC-6DE9019D37F9}"/>
    <cellStyle name="Migliaia 57 3 2 2 2 6" xfId="53937" xr:uid="{097059BB-4114-422B-BE20-51AA4BA67EC7}"/>
    <cellStyle name="Migliaia 57 3 2 2 2 7" xfId="17692" xr:uid="{941CE019-7AD8-4A53-BE66-8F099F62F527}"/>
    <cellStyle name="Migliaia 57 3 2 2 2 8" xfId="12095" xr:uid="{38D46E56-8D95-4D32-8920-B96D205603B7}"/>
    <cellStyle name="Migliaia 57 3 2 2 3" xfId="6840" xr:uid="{B3674FF5-1D58-4E10-B4D9-ABA2AD756ED5}"/>
    <cellStyle name="Migliaia 57 3 2 2 3 2" xfId="34654" xr:uid="{3943FCB1-95BE-4CFB-BC5F-320EBC9BC764}"/>
    <cellStyle name="Migliaia 57 3 2 2 3 3" xfId="12203" xr:uid="{80239826-4600-4FFB-8D9A-5B3B3405262F}"/>
    <cellStyle name="Migliaia 57 3 2 2 4" xfId="3942" xr:uid="{4C064C4A-7591-4FF1-A47A-6C7D0BB691B4}"/>
    <cellStyle name="Migliaia 57 3 2 2 4 2" xfId="21629" xr:uid="{6369FB09-41C7-4EFE-AA45-FE2A5A032B5B}"/>
    <cellStyle name="Migliaia 57 3 2 2 4 3" xfId="48039" xr:uid="{52035214-2A74-41FB-BBBA-0EA3795A375B}"/>
    <cellStyle name="Migliaia 57 3 2 2 4 4" xfId="50644" xr:uid="{3ADB39FF-0BB9-4AB4-A1F5-4749D65AE574}"/>
    <cellStyle name="Migliaia 57 3 2 2 4 5" xfId="53660" xr:uid="{A71B4C40-0E79-4866-AFC9-B7869098F794}"/>
    <cellStyle name="Migliaia 57 3 2 2 4 6" xfId="10994" xr:uid="{AD8C34DF-F735-4179-A090-6630B37A7BF3}"/>
    <cellStyle name="Migliaia 57 3 2 2 5" xfId="21031" xr:uid="{6041F847-C7B6-4C67-866A-9ACAD72D047B}"/>
    <cellStyle name="Migliaia 57 3 2 2 6" xfId="25453" xr:uid="{7D58EC84-D421-4988-A774-975820F5E397}"/>
    <cellStyle name="Migliaia 57 3 2 2 7" xfId="8795" xr:uid="{6F8B5950-D1D7-4E09-A4BA-D6F1A27DEA27}"/>
    <cellStyle name="Migliaia 57 3 2 3" xfId="5667" xr:uid="{09A10AC8-B0C1-4A30-A43C-F32FE9E49DDF}"/>
    <cellStyle name="Migliaia 57 3 2 3 2" xfId="12396" xr:uid="{4DCAA788-9672-4275-AD3F-7361C95F0FAB}"/>
    <cellStyle name="Migliaia 57 3 2 3 2 2" xfId="34656" xr:uid="{E0910861-12BB-4D87-B83B-82A08BC21C1C}"/>
    <cellStyle name="Migliaia 57 3 2 3 3" xfId="12096" xr:uid="{ACB07EEE-2C4A-4119-8C22-5A7CD9678C35}"/>
    <cellStyle name="Migliaia 57 3 2 3 4" xfId="21032" xr:uid="{DA208C88-3BA1-4430-9A80-A413E6986B35}"/>
    <cellStyle name="Migliaia 57 3 2 3 5" xfId="25455" xr:uid="{72CF2800-F257-43C2-A946-50EC4DA23982}"/>
    <cellStyle name="Migliaia 57 3 2 3 6" xfId="16831" xr:uid="{40181EF9-A3CD-42F9-913F-902A476F8F45}"/>
    <cellStyle name="Migliaia 57 3 2 3 7" xfId="8033" xr:uid="{7B7B71DC-C84F-497E-8512-283A443830E7}"/>
    <cellStyle name="Migliaia 57 3 2 4" xfId="6839" xr:uid="{4A058FBC-706D-4461-BF39-B23587F29F16}"/>
    <cellStyle name="Migliaia 57 3 2 4 2" xfId="18109" xr:uid="{0837D862-EDA2-4EBF-93B6-F5AFBB025FA7}"/>
    <cellStyle name="Migliaia 57 3 2 4 2 2" xfId="34657" xr:uid="{1A94A89F-A1A6-4558-AAD3-8CEC972312DA}"/>
    <cellStyle name="Migliaia 57 3 2 4 3" xfId="25456" xr:uid="{73E309BB-7020-439B-B175-0362A89EB02A}"/>
    <cellStyle name="Migliaia 57 3 2 4 4" xfId="17240" xr:uid="{77C3A3A1-2ABC-4C15-8107-6F4CF36671BF}"/>
    <cellStyle name="Migliaia 57 3 2 4 5" xfId="11448" xr:uid="{4F464FD2-93AC-4D31-B8B7-656F3DB56D40}"/>
    <cellStyle name="Migliaia 57 3 2 5" xfId="3941" xr:uid="{68184B42-55C8-489E-A416-8C5EE303A1BD}"/>
    <cellStyle name="Migliaia 57 3 2 5 2" xfId="34658" xr:uid="{9D514358-6115-487F-9622-2C0B1C790511}"/>
    <cellStyle name="Migliaia 57 3 2 5 3" xfId="25457" xr:uid="{ECCF3360-B466-43EA-AECC-6C9152527559}"/>
    <cellStyle name="Migliaia 57 3 2 5 4" xfId="17270" xr:uid="{58FE85B1-E369-4425-95BA-819663B8AC9E}"/>
    <cellStyle name="Migliaia 57 3 2 6" xfId="21030" xr:uid="{22B34744-A822-4560-9FB0-E00A8B7128B3}"/>
    <cellStyle name="Migliaia 57 3 2 6 2" xfId="34659" xr:uid="{838C053B-3F52-4C4B-9439-9D054073C012}"/>
    <cellStyle name="Migliaia 57 3 2 6 3" xfId="25458" xr:uid="{6A148829-E6EB-4501-B9FE-296CCFBF9F73}"/>
    <cellStyle name="Migliaia 57 3 2 7" xfId="34653" xr:uid="{B04D245B-6028-4006-8B8E-CDE30C777DC8}"/>
    <cellStyle name="Migliaia 57 3 2 8" xfId="25452" xr:uid="{4DAFDCB1-FC7D-4070-8633-F3218FCC11BE}"/>
    <cellStyle name="Migliaia 57 3 2 9" xfId="7605" xr:uid="{BF4355AD-6BFE-458A-B6C8-EA9E03B62F42}"/>
    <cellStyle name="Migliaia 57 3 3" xfId="3943" xr:uid="{5FA081B1-B12E-41AF-B85B-126F43D38E39}"/>
    <cellStyle name="Migliaia 57 3 3 2" xfId="5669" xr:uid="{57F86EA8-9873-45C5-8173-FCEE4CB06B07}"/>
    <cellStyle name="Migliaia 57 3 3 2 2" xfId="9986" xr:uid="{ECEE7950-A65E-436B-87DC-5EB33C7D9CCF}"/>
    <cellStyle name="Migliaia 57 3 3 2 2 2" xfId="34661" xr:uid="{C8E58E1F-BB91-4417-9F68-CE9E2FB740DE}"/>
    <cellStyle name="Migliaia 57 3 3 2 3" xfId="18266" xr:uid="{38E9C2F2-415D-4270-B71A-B5E14724C5EE}"/>
    <cellStyle name="Migliaia 57 3 3 2 4" xfId="21034" xr:uid="{51AAB5FB-A31A-4B0E-90C0-17053F21ABB6}"/>
    <cellStyle name="Migliaia 57 3 3 2 5" xfId="25460" xr:uid="{1CD4C75F-095F-4DB5-BEEB-833F82598047}"/>
    <cellStyle name="Migliaia 57 3 3 2 6" xfId="16833" xr:uid="{6557F068-0CFD-4E51-AF27-33092CB84BEA}"/>
    <cellStyle name="Migliaia 57 3 3 2 7" xfId="8794" xr:uid="{C96D8F87-1746-4EE7-A2B7-DF8CE173F229}"/>
    <cellStyle name="Migliaia 57 3 3 3" xfId="6841" xr:uid="{9E283155-F271-4676-BCF0-E2512DBAD974}"/>
    <cellStyle name="Migliaia 57 3 3 3 2" xfId="34662" xr:uid="{9781EB8C-796A-4422-8951-B14869E5507A}"/>
    <cellStyle name="Migliaia 57 3 3 3 3" xfId="25461" xr:uid="{D1039AC7-4C6C-4DB0-9D97-55E97FE35673}"/>
    <cellStyle name="Migliaia 57 3 3 3 4" xfId="9749" xr:uid="{479F1A12-921F-4AE6-B3EB-96294BC6E38C}"/>
    <cellStyle name="Migliaia 57 3 3 4" xfId="21033" xr:uid="{E3BEA668-3A2D-4CA7-A289-CFC5C28EC5A5}"/>
    <cellStyle name="Migliaia 57 3 3 4 2" xfId="34663" xr:uid="{4686C9D1-4B83-43FA-BFEA-3A6F50BCAFC2}"/>
    <cellStyle name="Migliaia 57 3 3 4 3" xfId="25462" xr:uid="{E63BFA90-AB26-4B9E-A813-76E3F3F0237D}"/>
    <cellStyle name="Migliaia 57 3 3 4 4" xfId="48886" xr:uid="{76B5782A-CF22-4262-AB49-C05865960585}"/>
    <cellStyle name="Migliaia 57 3 3 5" xfId="25463" xr:uid="{044E7493-37C8-4760-89FD-CBB87229D775}"/>
    <cellStyle name="Migliaia 57 3 3 5 2" xfId="34664" xr:uid="{B28B50CE-E885-4C10-BDB0-B561292F54DF}"/>
    <cellStyle name="Migliaia 57 3 3 5 3" xfId="48887" xr:uid="{AFDB0CA2-AEBF-4E69-A93E-7BB735F05D1C}"/>
    <cellStyle name="Migliaia 57 3 3 6" xfId="34660" xr:uid="{4BB7662B-2E6C-4909-8431-AF2D2634CFED}"/>
    <cellStyle name="Migliaia 57 3 3 7" xfId="25459" xr:uid="{D3674E58-A736-4E9D-9015-0ED9F1B5273E}"/>
    <cellStyle name="Migliaia 57 3 3 8" xfId="16832" xr:uid="{ADA1EA0D-F684-4F21-AD4A-CB0E56A52B5B}"/>
    <cellStyle name="Migliaia 57 3 3 9" xfId="7604" xr:uid="{9F0B82C8-2393-445E-B675-CE57072FBA69}"/>
    <cellStyle name="Migliaia 57 3 4" xfId="3944" xr:uid="{B953C0B9-822F-4B0F-9661-60C746437117}"/>
    <cellStyle name="Migliaia 57 3 4 2" xfId="5670" xr:uid="{DA48DE7B-63A1-4041-A834-FDF9CCAC7C8C}"/>
    <cellStyle name="Migliaia 57 3 4 2 2" xfId="14475" xr:uid="{E42E1454-3D24-4F14-9483-AF5B5F5CB3D1}"/>
    <cellStyle name="Migliaia 57 3 4 2 3" xfId="18560" xr:uid="{A75F128A-D315-4378-B7B5-FD9BE03EFA62}"/>
    <cellStyle name="Migliaia 57 3 4 2 4" xfId="21036" xr:uid="{69D62B95-6A00-4D1A-A154-E402672B42D3}"/>
    <cellStyle name="Migliaia 57 3 4 2 5" xfId="32479" xr:uid="{D92B6802-63D6-449A-8AE2-32B4029B8EA2}"/>
    <cellStyle name="Migliaia 57 3 4 2 6" xfId="16835" xr:uid="{81917B93-C5CB-47C3-99EF-55DDABED9A6F}"/>
    <cellStyle name="Migliaia 57 3 4 2 7" xfId="8898" xr:uid="{BB91B594-CCF1-46AD-91F0-AD3AD4B97FCD}"/>
    <cellStyle name="Migliaia 57 3 4 3" xfId="6842" xr:uid="{61DD9EFB-2738-4F11-9294-E4BF87A6A5B8}"/>
    <cellStyle name="Migliaia 57 3 4 3 2" xfId="35489" xr:uid="{BCF57C9B-FE57-4810-9AD0-EB98756CF4DD}"/>
    <cellStyle name="Migliaia 57 3 4 3 2 2" xfId="40649" xr:uid="{356A86A8-F6F0-4AF3-A762-E75EEF71EC47}"/>
    <cellStyle name="Migliaia 57 3 4 3 2 3" xfId="45951" xr:uid="{9B06D001-91F4-4C24-AA76-EE58B2B0C345}"/>
    <cellStyle name="Migliaia 57 3 4 3 3" xfId="37998" xr:uid="{541F6E24-3A42-4860-ADD7-7EDF5D82D355}"/>
    <cellStyle name="Migliaia 57 3 4 3 4" xfId="43300" xr:uid="{36CA876C-BC00-4878-B04B-9EB84151BAD2}"/>
    <cellStyle name="Migliaia 57 3 4 3 5" xfId="13723" xr:uid="{83E0F659-9498-420E-B876-B0B9A8DB3800}"/>
    <cellStyle name="Migliaia 57 3 4 4" xfId="21035" xr:uid="{8162EFA1-7359-416B-8616-F9DC00B8370E}"/>
    <cellStyle name="Migliaia 57 3 4 4 2" xfId="34665" xr:uid="{F0F1340F-F131-48E6-AA3A-6FD1CF621F6A}"/>
    <cellStyle name="Migliaia 57 3 4 5" xfId="25464" xr:uid="{C8201764-904A-49AF-A0D5-8644BEBE35BC}"/>
    <cellStyle name="Migliaia 57 3 4 6" xfId="16834" xr:uid="{77F85E75-1245-4857-9ABA-9EC3669ACC49}"/>
    <cellStyle name="Migliaia 57 3 4 7" xfId="7708" xr:uid="{1B05E8F9-D756-4DD4-8161-EA1665BB6897}"/>
    <cellStyle name="Migliaia 57 3 5" xfId="3945" xr:uid="{4F0F4F44-F663-4BD9-8FD7-693748D3A300}"/>
    <cellStyle name="Migliaia 57 3 5 2" xfId="5671" xr:uid="{15717F24-AEC1-4B88-B331-FE4A3B4D8BD8}"/>
    <cellStyle name="Migliaia 57 3 5 2 2" xfId="35490" xr:uid="{9D88A49D-4F45-41C3-AA9C-AFC7AB8121CD}"/>
    <cellStyle name="Migliaia 57 3 5 2 2 2" xfId="40650" xr:uid="{6A9D4844-FC43-4D75-8EF8-1569E2BDB3F0}"/>
    <cellStyle name="Migliaia 57 3 5 2 2 3" xfId="45952" xr:uid="{B342ACC6-D72D-49D1-8B25-6393A480F733}"/>
    <cellStyle name="Migliaia 57 3 5 2 3" xfId="37999" xr:uid="{F22FDCE7-F3EE-4E28-8C79-D0D8354A76A5}"/>
    <cellStyle name="Migliaia 57 3 5 2 4" xfId="43301" xr:uid="{DD9163C5-8E0E-4788-B6AB-B576EFFEF998}"/>
    <cellStyle name="Migliaia 57 3 5 2 5" xfId="14337" xr:uid="{58617892-A29B-4A4C-826E-A29152ADFCA2}"/>
    <cellStyle name="Migliaia 57 3 5 3" xfId="6843" xr:uid="{DF6E40F6-C64B-4735-8B43-C36157638802}"/>
    <cellStyle name="Migliaia 57 3 5 3 2" xfId="34666" xr:uid="{590DF40A-1E25-4F78-ADAF-04BE6643D213}"/>
    <cellStyle name="Migliaia 57 3 5 3 3" xfId="21037" xr:uid="{02B01A6C-70F3-440A-B86A-89A856AE37CD}"/>
    <cellStyle name="Migliaia 57 3 5 4" xfId="25465" xr:uid="{26854BF3-5A6C-41CD-BF99-433854ADBE2D}"/>
    <cellStyle name="Migliaia 57 3 5 5" xfId="16836" xr:uid="{B2ECBD55-43C4-421B-91F6-382C5C001C58}"/>
    <cellStyle name="Migliaia 57 3 5 6" xfId="8399" xr:uid="{39CFF6DA-AA3E-43E8-A2CE-11DA299895F7}"/>
    <cellStyle name="Migliaia 57 3 6" xfId="5666" xr:uid="{044439EB-466C-4A6F-9D56-46FDB557CF26}"/>
    <cellStyle name="Migliaia 57 3 6 2" xfId="14042" xr:uid="{DA43DE51-AFEA-4EE2-8F76-530312135B88}"/>
    <cellStyle name="Migliaia 57 3 6 2 2" xfId="34667" xr:uid="{031DC148-B184-443F-B442-C691E7B1EB55}"/>
    <cellStyle name="Migliaia 57 3 6 3" xfId="18294" xr:uid="{A9D54C51-7722-406D-AE22-28086FF7DA73}"/>
    <cellStyle name="Migliaia 57 3 6 4" xfId="21038" xr:uid="{281492C6-CA67-4210-8076-81194FCE83F7}"/>
    <cellStyle name="Migliaia 57 3 6 5" xfId="25466" xr:uid="{FCB7C2E2-3E07-4DC9-89CE-C452DDDE5F89}"/>
    <cellStyle name="Migliaia 57 3 6 6" xfId="16837" xr:uid="{9FF240AF-37BF-431C-A242-854B43EA0F54}"/>
    <cellStyle name="Migliaia 57 3 6 7" xfId="8032" xr:uid="{D62E2DEB-1072-4043-B5CB-1FDCEF4F6DF8}"/>
    <cellStyle name="Migliaia 57 3 7" xfId="6838" xr:uid="{E78AFEA2-AA83-4901-BA8C-20AD1E7F94BA}"/>
    <cellStyle name="Migliaia 57 3 7 2" xfId="34668" xr:uid="{6B23380A-E791-4163-9C94-482BA466F6EA}"/>
    <cellStyle name="Migliaia 57 3 7 3" xfId="25467" xr:uid="{159945BE-BCFA-4AAD-827F-B0D5DF4293BF}"/>
    <cellStyle name="Migliaia 57 3 7 4" xfId="12251" xr:uid="{9FBA8393-C4C7-45AC-BA67-9E677843A23E}"/>
    <cellStyle name="Migliaia 57 3 8" xfId="3940" xr:uid="{EAEA1F35-B3A6-45A0-974D-5956FF85DBEA}"/>
    <cellStyle name="Migliaia 57 3 8 2" xfId="34669" xr:uid="{47C126BF-2941-457C-9DD7-F575C2A2B551}"/>
    <cellStyle name="Migliaia 57 3 8 3" xfId="25468" xr:uid="{43074129-4221-4970-8822-2354EED5013A}"/>
    <cellStyle name="Migliaia 57 3 8 4" xfId="17271" xr:uid="{DE0ED4AC-8FF8-4B73-95CB-E4FD36566EBB}"/>
    <cellStyle name="Migliaia 57 3 9" xfId="21029" xr:uid="{DFD730C1-FA99-41F5-AF96-81F396323EEE}"/>
    <cellStyle name="Migliaia 57 3 9 2" xfId="34652" xr:uid="{E54E54A6-A937-4C97-AF47-929D42C9F9CC}"/>
    <cellStyle name="Migliaia 57 4" xfId="1918" xr:uid="{00000000-0005-0000-0000-000099040000}"/>
    <cellStyle name="Migliaia 57 4 10" xfId="7606" xr:uid="{8949452B-2A79-4061-8266-68A862587F2F}"/>
    <cellStyle name="Migliaia 57 4 2" xfId="1919" xr:uid="{00000000-0005-0000-0000-00009A040000}"/>
    <cellStyle name="Migliaia 57 4 2 2" xfId="5673" xr:uid="{CB9A9E64-AC50-4996-B6F5-F4553A7CBFA1}"/>
    <cellStyle name="Migliaia 57 4 2 2 2" xfId="34672" xr:uid="{5F2B9D7F-847F-41B7-8B82-4DEB294E7201}"/>
    <cellStyle name="Migliaia 57 4 2 2 3" xfId="25471" xr:uid="{5078FB87-493F-406B-8FFB-4255B2D9DD64}"/>
    <cellStyle name="Migliaia 57 4 2 2 4" xfId="9212" xr:uid="{6AC7EF0F-65C3-4D46-8847-B9EA55022BF9}"/>
    <cellStyle name="Migliaia 57 4 2 3" xfId="3947" xr:uid="{BED36A13-4821-4761-8E60-AE11002CB1B7}"/>
    <cellStyle name="Migliaia 57 4 2 3 2" xfId="34673" xr:uid="{9A4CD581-4926-447C-86E6-030CF6BFC4AE}"/>
    <cellStyle name="Migliaia 57 4 2 3 3" xfId="25472" xr:uid="{323DF595-2A67-4FEE-BE90-1BDDD744BE25}"/>
    <cellStyle name="Migliaia 57 4 2 3 4" xfId="12097" xr:uid="{41B0E601-32EF-4712-9B5C-0B34EC0BD9F4}"/>
    <cellStyle name="Migliaia 57 4 2 4" xfId="11450" xr:uid="{E958AEFB-40B6-4063-8C70-3118FAECC1D2}"/>
    <cellStyle name="Migliaia 57 4 2 4 2" xfId="34671" xr:uid="{A1E84ACA-A6FF-4591-B602-503E2FE61DFC}"/>
    <cellStyle name="Migliaia 57 4 2 5" xfId="10996" xr:uid="{E4410BCD-6A72-4E32-BEA7-4A82FC051A65}"/>
    <cellStyle name="Migliaia 57 4 2 5 2" xfId="21631" xr:uid="{1B7B9718-C132-4585-B3E0-2D467AE8D01C}"/>
    <cellStyle name="Migliaia 57 4 2 5 3" xfId="47429" xr:uid="{D7470CC0-F670-42DC-AB4D-6D574723F0CD}"/>
    <cellStyle name="Migliaia 57 4 2 5 4" xfId="50646" xr:uid="{B7228BB7-B7DD-42C4-AABD-B5EBEC9842BA}"/>
    <cellStyle name="Migliaia 57 4 2 5 5" xfId="53662" xr:uid="{31AFDDB8-197B-4266-AE25-899566E1CBB8}"/>
    <cellStyle name="Migliaia 57 4 2 6" xfId="21040" xr:uid="{01BCF113-8B8F-44EA-A49A-5255659EDC77}"/>
    <cellStyle name="Migliaia 57 4 2 7" xfId="25470" xr:uid="{5F0D4745-E651-46E7-8785-E0DE680C69EE}"/>
    <cellStyle name="Migliaia 57 4 2 8" xfId="8796" xr:uid="{1BB59FC8-C4DB-48CB-99CC-CC649ADF1861}"/>
    <cellStyle name="Migliaia 57 4 3" xfId="5672" xr:uid="{AAF1B4C7-16CC-46C9-9153-B6D9FB46470B}"/>
    <cellStyle name="Migliaia 57 4 3 2" xfId="18267" xr:uid="{E30B7350-3580-4532-AD4B-49CBF806225E}"/>
    <cellStyle name="Migliaia 57 4 3 2 2" xfId="34674" xr:uid="{730C4737-B544-4B50-83AE-CFECB1E28363}"/>
    <cellStyle name="Migliaia 57 4 3 3" xfId="25473" xr:uid="{B8F2E010-DF19-4391-BD16-94A26803033D}"/>
    <cellStyle name="Migliaia 57 4 3 4" xfId="17269" xr:uid="{AE165398-ABD8-41D0-BD07-30D4A99AFBA1}"/>
    <cellStyle name="Migliaia 57 4 3 5" xfId="9213" xr:uid="{E8964FE3-5F98-4E3C-B815-598F764FA1E9}"/>
    <cellStyle name="Migliaia 57 4 4" xfId="6844" xr:uid="{89A826A3-7CC6-444B-A75D-5B992B9033D1}"/>
    <cellStyle name="Migliaia 57 4 4 2" xfId="34675" xr:uid="{6035B2C9-BFAD-491F-AC7A-C958B140FA2E}"/>
    <cellStyle name="Migliaia 57 4 4 3" xfId="25474" xr:uid="{C5299C11-4098-4057-8ECF-9A5436392167}"/>
    <cellStyle name="Migliaia 57 4 4 4" xfId="12098" xr:uid="{ADFCEBA2-758A-4CB1-8772-174BD5AF2C1C}"/>
    <cellStyle name="Migliaia 57 4 5" xfId="3946" xr:uid="{E5DC2196-567D-4139-B059-4D0A3045E553}"/>
    <cellStyle name="Migliaia 57 4 5 2" xfId="34676" xr:uid="{E89FD007-2FF4-42D8-BECA-A00CD7E7E9AC}"/>
    <cellStyle name="Migliaia 57 4 5 3" xfId="25475" xr:uid="{2602799B-C51A-4750-9ED7-C74F77EE4F44}"/>
    <cellStyle name="Migliaia 57 4 5 4" xfId="11449" xr:uid="{41559AAA-2A0C-4EA3-93D9-94BF730B500A}"/>
    <cellStyle name="Migliaia 57 4 6" xfId="10995" xr:uid="{95147DD5-43F3-44E1-A292-33770F3F6FB0}"/>
    <cellStyle name="Migliaia 57 4 6 2" xfId="21630" xr:uid="{637AF503-DA46-40A6-B44D-8C4144417A37}"/>
    <cellStyle name="Migliaia 57 4 6 2 2" xfId="34677" xr:uid="{C9067E35-1117-426D-B710-4D9A1E7B515B}"/>
    <cellStyle name="Migliaia 57 4 6 3" xfId="25476" xr:uid="{93A7E5C4-26FA-427B-9EC8-C4CF167375D5}"/>
    <cellStyle name="Migliaia 57 4 6 4" xfId="48479" xr:uid="{DECF8E3D-E959-4021-A755-C386E551527D}"/>
    <cellStyle name="Migliaia 57 4 6 5" xfId="48888" xr:uid="{5A6C8245-C2DC-41B1-9B17-C8667CFD8B2A}"/>
    <cellStyle name="Migliaia 57 4 6 6" xfId="50645" xr:uid="{188D1229-EBA1-485B-81C8-21E6A89CB562}"/>
    <cellStyle name="Migliaia 57 4 6 7" xfId="53661" xr:uid="{FF0F13AF-B0D1-4406-9704-9957E5B33263}"/>
    <cellStyle name="Migliaia 57 4 7" xfId="21039" xr:uid="{66AB1E9E-44DE-4D85-985C-AB1309297DB0}"/>
    <cellStyle name="Migliaia 57 4 7 2" xfId="34678" xr:uid="{00B175AD-D409-4455-8F87-EC00A5FDB4D5}"/>
    <cellStyle name="Migliaia 57 4 7 3" xfId="25477" xr:uid="{ABD73C11-1D3E-46B5-85B4-3860A5AD3335}"/>
    <cellStyle name="Migliaia 57 4 8" xfId="34670" xr:uid="{515FCF5A-E9AE-427E-BCCE-7A6EDED56367}"/>
    <cellStyle name="Migliaia 57 4 9" xfId="25469" xr:uid="{A7E88111-490B-49E6-94AA-2CF827ED6065}"/>
    <cellStyle name="Migliaia 57 5" xfId="1920" xr:uid="{00000000-0005-0000-0000-00009B040000}"/>
    <cellStyle name="Migliaia 57 5 2" xfId="5674" xr:uid="{4FB3D0E9-EA40-4CC5-B5AB-B8DA7D59064A}"/>
    <cellStyle name="Migliaia 57 5 2 2" xfId="18520" xr:uid="{C64774F7-D929-4177-A3EA-C601B0FDE625}"/>
    <cellStyle name="Migliaia 57 5 2 2 2" xfId="34680" xr:uid="{B15BE2AD-0396-4107-80AC-96BEADF680FE}"/>
    <cellStyle name="Migliaia 57 5 2 3" xfId="21042" xr:uid="{793FB750-7142-4ED6-A7AA-D40DCCF9A131}"/>
    <cellStyle name="Migliaia 57 5 2 4" xfId="25479" xr:uid="{0A691459-8047-4D31-B6B1-7D8DD03B1007}"/>
    <cellStyle name="Migliaia 57 5 2 5" xfId="16838" xr:uid="{15F9AE07-9C43-48C2-9810-6EED12C33C13}"/>
    <cellStyle name="Migliaia 57 5 2 6" xfId="8797" xr:uid="{7CDF1D0D-D2FC-435E-B481-D2E27E1098A1}"/>
    <cellStyle name="Migliaia 57 5 3" xfId="6845" xr:uid="{ABC01282-D23B-42F9-B713-AD60225FD30F}"/>
    <cellStyle name="Migliaia 57 5 3 2" xfId="34681" xr:uid="{E872B236-5507-4962-9C09-E39A3ECB8151}"/>
    <cellStyle name="Migliaia 57 5 3 3" xfId="25480" xr:uid="{58976EF0-2B8C-45F8-80C2-6D13945243E6}"/>
    <cellStyle name="Migliaia 57 5 3 4" xfId="11451" xr:uid="{20ED5F23-9869-4BCA-9384-D322F327C821}"/>
    <cellStyle name="Migliaia 57 5 4" xfId="3948" xr:uid="{38CDFE54-0F48-40A7-A4E0-1A222AEB9EBC}"/>
    <cellStyle name="Migliaia 57 5 4 2" xfId="21632" xr:uid="{B4CA8EFF-8F5D-4089-AAF4-452488AAC305}"/>
    <cellStyle name="Migliaia 57 5 4 2 2" xfId="34682" xr:uid="{0B0D6363-A3FF-4DB1-9BD8-02E754CA242F}"/>
    <cellStyle name="Migliaia 57 5 4 3" xfId="25481" xr:uid="{0DB7A976-53C7-43EC-AE73-A642349188A6}"/>
    <cellStyle name="Migliaia 57 5 4 4" xfId="46263" xr:uid="{25396E83-81AC-44CE-9A6A-79038A030D02}"/>
    <cellStyle name="Migliaia 57 5 4 5" xfId="48889" xr:uid="{8FDF03C0-C9E0-46F7-92BC-C9E8D5DA9504}"/>
    <cellStyle name="Migliaia 57 5 4 6" xfId="50647" xr:uid="{8FFB7111-2451-48C4-B572-FBE09F3BAFBF}"/>
    <cellStyle name="Migliaia 57 5 4 7" xfId="53663" xr:uid="{5E04B4F0-5E4A-4189-85C9-52730BBE9A02}"/>
    <cellStyle name="Migliaia 57 5 4 8" xfId="10997" xr:uid="{4DF25493-BA95-49CE-BDC0-8259B75323EF}"/>
    <cellStyle name="Migliaia 57 5 5" xfId="21041" xr:uid="{350AFEDF-E568-4D9A-9D8F-836FD1A7B5B2}"/>
    <cellStyle name="Migliaia 57 5 5 2" xfId="34683" xr:uid="{4915C850-8D61-40A9-AA54-532A1EB93A44}"/>
    <cellStyle name="Migliaia 57 5 5 3" xfId="25482" xr:uid="{5D0141F8-3168-4B1D-B4CC-B78B568A5229}"/>
    <cellStyle name="Migliaia 57 5 5 4" xfId="48890" xr:uid="{DDA5E150-81F2-4C18-8DBF-A0538A762083}"/>
    <cellStyle name="Migliaia 57 5 6" xfId="25483" xr:uid="{0580F102-3505-44D3-8E0D-2F49DCEE2A7E}"/>
    <cellStyle name="Migliaia 57 5 6 2" xfId="34684" xr:uid="{A987C658-DAA7-45ED-BF51-70C323C1A6BB}"/>
    <cellStyle name="Migliaia 57 5 7" xfId="34679" xr:uid="{4B392CA5-C0B0-4C64-B8B5-E509E7712740}"/>
    <cellStyle name="Migliaia 57 5 8" xfId="25478" xr:uid="{21A4D17A-E2B4-4E20-B555-F6CEE38B38E9}"/>
    <cellStyle name="Migliaia 57 5 9" xfId="7607" xr:uid="{36031A93-74DE-416A-93EC-D5B2EFB8C84D}"/>
    <cellStyle name="Migliaia 57 6" xfId="3949" xr:uid="{F55036AE-C563-405E-A0BA-EEEB31E5B7EC}"/>
    <cellStyle name="Migliaia 57 6 2" xfId="5675" xr:uid="{600AA8AE-3BBC-4EB2-B58A-45DE04C1A931}"/>
    <cellStyle name="Migliaia 57 6 2 2" xfId="9985" xr:uid="{293D6E87-BF0D-474C-8035-9FCF12F1ACAC}"/>
    <cellStyle name="Migliaia 57 6 2 3" xfId="18562" xr:uid="{9216C1D3-CAD5-4180-91F5-68823FAC7B31}"/>
    <cellStyle name="Migliaia 57 6 2 4" xfId="21044" xr:uid="{A465B84C-981C-403A-85F3-7B26E9428792}"/>
    <cellStyle name="Migliaia 57 6 2 5" xfId="32480" xr:uid="{24D3A27D-7102-4F68-BD3B-CE1BC753B5E2}"/>
    <cellStyle name="Migliaia 57 6 2 6" xfId="16840" xr:uid="{85DA2266-C439-4D10-93AE-4308D3D9035C}"/>
    <cellStyle name="Migliaia 57 6 2 7" xfId="8792" xr:uid="{D74D3A1E-10BF-42E4-A7DC-1D19FC228129}"/>
    <cellStyle name="Migliaia 57 6 3" xfId="6846" xr:uid="{9A57E806-AAEE-4C40-81EE-BE1681B2718C}"/>
    <cellStyle name="Migliaia 57 6 3 2" xfId="35491" xr:uid="{4258F7F5-912D-44FC-A3F4-641580C6AC13}"/>
    <cellStyle name="Migliaia 57 6 3 2 2" xfId="40651" xr:uid="{B946C738-8272-4296-8C12-B4C7DB891AAB}"/>
    <cellStyle name="Migliaia 57 6 3 2 3" xfId="45953" xr:uid="{075156BF-033E-4914-992D-C09AEEFB4C4C}"/>
    <cellStyle name="Migliaia 57 6 3 3" xfId="38000" xr:uid="{8CBEDFF2-775E-4A09-B8B4-4FA49235BE69}"/>
    <cellStyle name="Migliaia 57 6 3 4" xfId="43302" xr:uid="{80A7111F-7763-4CB6-939B-319261180DC9}"/>
    <cellStyle name="Migliaia 57 6 3 5" xfId="9748" xr:uid="{B15C69E8-8E94-4CB3-B0E0-EA52483DF4A3}"/>
    <cellStyle name="Migliaia 57 6 4" xfId="21043" xr:uid="{3F41F886-A974-4876-AAEA-30B104254F10}"/>
    <cellStyle name="Migliaia 57 6 4 2" xfId="34685" xr:uid="{0BA684BC-183F-4406-9B9D-60779D8E0A6D}"/>
    <cellStyle name="Migliaia 57 6 5" xfId="25484" xr:uid="{4082AC42-8CDC-45A4-A82E-EA2A2582B47C}"/>
    <cellStyle name="Migliaia 57 6 6" xfId="16839" xr:uid="{7553129C-E91A-46DB-A4A2-61C53BEE8C72}"/>
    <cellStyle name="Migliaia 57 6 7" xfId="7602" xr:uid="{3D6F4A93-FB41-44F5-84F4-A02BD57B8841}"/>
    <cellStyle name="Migliaia 57 7" xfId="3950" xr:uid="{763D5F6A-60D5-433D-8836-7AF14A6AAAF1}"/>
    <cellStyle name="Migliaia 57 7 2" xfId="5676" xr:uid="{F08C7BFC-D74B-4F9F-947C-333B1C7D29E1}"/>
    <cellStyle name="Migliaia 57 7 2 2" xfId="35492" xr:uid="{6FCE9668-4A0A-49A4-AD09-98DAD1472348}"/>
    <cellStyle name="Migliaia 57 7 2 2 2" xfId="40652" xr:uid="{3F81A9F9-11B2-404F-A81C-692E146071F9}"/>
    <cellStyle name="Migliaia 57 7 2 2 3" xfId="45954" xr:uid="{AC689D06-E7CC-4CA2-B5BB-2BC0AE55505C}"/>
    <cellStyle name="Migliaia 57 7 2 3" xfId="38001" xr:uid="{A10F5A5B-7C05-4A5E-AAF9-B64DC86019F6}"/>
    <cellStyle name="Migliaia 57 7 2 4" xfId="43303" xr:uid="{A063D4DA-4CBF-4580-92F7-A2574B531FD3}"/>
    <cellStyle name="Migliaia 57 7 2 5" xfId="14335" xr:uid="{0A25BB99-21FF-4087-98E6-87516D7FC88E}"/>
    <cellStyle name="Migliaia 57 7 3" xfId="6847" xr:uid="{B4D8D6C0-3945-43E9-9741-E445A4C5769C}"/>
    <cellStyle name="Migliaia 57 7 3 2" xfId="34686" xr:uid="{0443CE04-F2BF-47A7-9912-428594EDA251}"/>
    <cellStyle name="Migliaia 57 7 3 3" xfId="21045" xr:uid="{F81E9015-D62A-4FAB-AE16-B02F36F2D6E3}"/>
    <cellStyle name="Migliaia 57 7 4" xfId="25485" xr:uid="{17EBC0DC-A725-4C2F-A6C1-EF977B0E1203}"/>
    <cellStyle name="Migliaia 57 7 5" xfId="16841" xr:uid="{3CBBB5E4-BB61-4733-92D8-32D3091E7F79}"/>
    <cellStyle name="Migliaia 57 7 6" xfId="8397" xr:uid="{2695E89A-3044-4DD8-8075-A9D8CC4CFD76}"/>
    <cellStyle name="Migliaia 57 8" xfId="3951" xr:uid="{65594BF0-C179-4302-9D2E-A55FF220BC91}"/>
    <cellStyle name="Migliaia 57 8 2" xfId="5677" xr:uid="{276204BD-A7CE-4F51-A29C-77BB3CB5DAC2}"/>
    <cellStyle name="Migliaia 57 8 2 2" xfId="35493" xr:uid="{F48C775A-8556-477B-B56C-30FB1FDD1015}"/>
    <cellStyle name="Migliaia 57 8 2 2 2" xfId="40653" xr:uid="{BDA2420D-7F78-4F9E-835E-C550832B7C60}"/>
    <cellStyle name="Migliaia 57 8 2 2 3" xfId="45955" xr:uid="{8D66BC30-5582-4BD6-A03A-BA289EB4265B}"/>
    <cellStyle name="Migliaia 57 8 2 3" xfId="38002" xr:uid="{8E68B6CF-AAAF-49D1-8847-EE0C7C787D33}"/>
    <cellStyle name="Migliaia 57 8 2 4" xfId="43304" xr:uid="{DD02C086-9C1F-43A4-B662-16D560890DA8}"/>
    <cellStyle name="Migliaia 57 8 2 5" xfId="14040" xr:uid="{20487CA8-DC2D-40FD-B402-6B42122C95B9}"/>
    <cellStyle name="Migliaia 57 8 3" xfId="6848" xr:uid="{D89D6693-DD1E-4D1E-B6A3-EEBCAB329441}"/>
    <cellStyle name="Migliaia 57 8 3 2" xfId="34687" xr:uid="{D28B3589-E77C-483A-9199-0308555251E2}"/>
    <cellStyle name="Migliaia 57 8 3 3" xfId="21046" xr:uid="{4A0A0EBD-FE29-48FB-B419-2E7B4B13A8D3}"/>
    <cellStyle name="Migliaia 57 8 4" xfId="25486" xr:uid="{57BBA0EA-1DCD-426E-8531-CF6D93228D33}"/>
    <cellStyle name="Migliaia 57 8 5" xfId="16842" xr:uid="{89677FB0-DAF6-4DEC-AE39-D906FE623F2F}"/>
    <cellStyle name="Migliaia 57 8 6" xfId="8030" xr:uid="{E1E1D171-9C57-47C2-9B8B-1B86A41D9E17}"/>
    <cellStyle name="Migliaia 57 9" xfId="5662" xr:uid="{546AFB26-0AE7-4018-A13C-89AACB18E933}"/>
    <cellStyle name="Migliaia 57 9 2" xfId="34688" xr:uid="{07067C89-0B12-4221-AAC8-141A20A40776}"/>
    <cellStyle name="Migliaia 57 9 3" xfId="25487" xr:uid="{433269F5-DF41-49A9-8404-53408D21A8A1}"/>
    <cellStyle name="Migliaia 57 9 4" xfId="17239" xr:uid="{4431C6E9-0E60-494C-9F91-5506F3A0745F}"/>
    <cellStyle name="Migliaia 58" xfId="513" xr:uid="{00000000-0005-0000-0000-00009C040000}"/>
    <cellStyle name="Migliaia 58 10" xfId="6849" xr:uid="{3394535C-1CB2-4BFE-B6F2-24F5B1D688E3}"/>
    <cellStyle name="Migliaia 58 10 2" xfId="34689" xr:uid="{C30C6F7A-0A03-4AA1-9001-0ED1D1F41DA0}"/>
    <cellStyle name="Migliaia 58 10 3" xfId="21047" xr:uid="{EA660202-D321-4021-9810-5E3A80C88366}"/>
    <cellStyle name="Migliaia 58 11" xfId="3952" xr:uid="{DAACC7DD-B9E1-41BF-B219-D8D4A8E6532B}"/>
    <cellStyle name="Migliaia 58 11 2" xfId="25488" xr:uid="{A46B19E7-8D2C-4903-B69D-2ECFCCBCCA4C}"/>
    <cellStyle name="Migliaia 58 12" xfId="7201" xr:uid="{28066BF9-9E4C-47A5-ABD9-274A099DF200}"/>
    <cellStyle name="Migliaia 58 2" xfId="514" xr:uid="{00000000-0005-0000-0000-00009D040000}"/>
    <cellStyle name="Migliaia 58 2 2" xfId="1921" xr:uid="{00000000-0005-0000-0000-00009E040000}"/>
    <cellStyle name="Migliaia 58 2 2 2" xfId="5680" xr:uid="{29566949-368E-4B10-9449-8F432DC0C969}"/>
    <cellStyle name="Migliaia 58 2 2 2 2" xfId="14416" xr:uid="{B770E717-A594-4E41-BA15-E2F04011EA12}"/>
    <cellStyle name="Migliaia 58 2 2 2 2 2" xfId="34692" xr:uid="{C15917B1-8E0E-414B-8323-F67667E89969}"/>
    <cellStyle name="Migliaia 58 2 2 2 3" xfId="18521" xr:uid="{36CD0A3F-FF3D-4139-ACDB-58B30F47D500}"/>
    <cellStyle name="Migliaia 58 2 2 2 4" xfId="21050" xr:uid="{B2A4ACA2-55B8-4919-B53E-B50BB8C54890}"/>
    <cellStyle name="Migliaia 58 2 2 2 5" xfId="25491" xr:uid="{375A33E1-5814-4CE0-912D-9BA3BBAF4546}"/>
    <cellStyle name="Migliaia 58 2 2 2 6" xfId="16843" xr:uid="{271334B7-6576-4897-85B5-3A4C1EEE30FC}"/>
    <cellStyle name="Migliaia 58 2 2 2 7" xfId="8799" xr:uid="{8258010C-02D5-4318-8BA9-783D881AE90E}"/>
    <cellStyle name="Migliaia 58 2 2 3" xfId="6851" xr:uid="{73FB7CEE-1C4A-48C8-9351-8DA6E2C90C03}"/>
    <cellStyle name="Migliaia 58 2 2 3 2" xfId="35494" xr:uid="{C530332F-8759-4609-8BA0-F8D297558DE7}"/>
    <cellStyle name="Migliaia 58 2 2 3 2 2" xfId="40654" xr:uid="{592BB7CB-8642-49D8-9FB2-F5BDB701EB7F}"/>
    <cellStyle name="Migliaia 58 2 2 3 2 3" xfId="45956" xr:uid="{321CF002-B957-4569-BC35-6B87CEBD84E9}"/>
    <cellStyle name="Migliaia 58 2 2 3 3" xfId="38003" xr:uid="{1AAAAA6A-4D1C-43E9-A3BA-2B67C62B8547}"/>
    <cellStyle name="Migliaia 58 2 2 3 4" xfId="43305" xr:uid="{E2E18517-112C-4B1E-8F53-02A82FB98AF8}"/>
    <cellStyle name="Migliaia 58 2 2 3 5" xfId="11643" xr:uid="{5E072C23-1E4D-4D25-BCF2-9D33B6764CB6}"/>
    <cellStyle name="Migliaia 58 2 2 4" xfId="3954" xr:uid="{17E814A8-10A2-4826-BDBE-FB4BA9392572}"/>
    <cellStyle name="Migliaia 58 2 2 4 2" xfId="21633" xr:uid="{E19D6392-1A2C-4D2A-8CD4-C8997A281E36}"/>
    <cellStyle name="Migliaia 58 2 2 4 3" xfId="34691" xr:uid="{AEA27B4C-1DF2-4F1F-BAEE-B652B66B9502}"/>
    <cellStyle name="Migliaia 58 2 2 4 4" xfId="32448" xr:uid="{E33C213A-8105-474B-9594-24D91F5C60E2}"/>
    <cellStyle name="Migliaia 58 2 2 4 5" xfId="50648" xr:uid="{2A395AF5-A2F0-4137-94F8-C2579E46C1CB}"/>
    <cellStyle name="Migliaia 58 2 2 4 6" xfId="53664" xr:uid="{376DF1B9-46C8-4972-B53A-82FAD43B9C4D}"/>
    <cellStyle name="Migliaia 58 2 2 4 7" xfId="10998" xr:uid="{CE9D39B0-FAF2-4FAC-88D6-C5C83644B449}"/>
    <cellStyle name="Migliaia 58 2 2 5" xfId="21049" xr:uid="{19FA8052-DB18-48A7-8755-57BA62246F3E}"/>
    <cellStyle name="Migliaia 58 2 2 6" xfId="25490" xr:uid="{C0784EF8-0DE3-4EDC-AD63-7891C6AA049F}"/>
    <cellStyle name="Migliaia 58 2 2 7" xfId="7609" xr:uid="{1E5B036F-F17C-4FA4-852C-93BE789A67F8}"/>
    <cellStyle name="Migliaia 58 2 3" xfId="3955" xr:uid="{6D2EBAA9-5EC3-49BD-AAE5-20F7DEB0371E}"/>
    <cellStyle name="Migliaia 58 2 3 2" xfId="5681" xr:uid="{49428E3B-AA08-41F1-A900-E89D01088AF9}"/>
    <cellStyle name="Migliaia 58 2 3 2 2" xfId="35495" xr:uid="{51ECEAF2-61BB-4A68-80E9-0A823A1E8D36}"/>
    <cellStyle name="Migliaia 58 2 3 2 2 2" xfId="40655" xr:uid="{52BB75C7-E415-441F-ACAA-E885E1612155}"/>
    <cellStyle name="Migliaia 58 2 3 2 2 3" xfId="45957" xr:uid="{47A9AC33-3056-4E11-ACC3-4CE99835D174}"/>
    <cellStyle name="Migliaia 58 2 3 2 3" xfId="38004" xr:uid="{D3120B25-75FE-4DF1-BFA8-CC6169ED4061}"/>
    <cellStyle name="Migliaia 58 2 3 2 4" xfId="43306" xr:uid="{5FED8DAD-981A-4B6B-9883-68753AF2C7CC}"/>
    <cellStyle name="Migliaia 58 2 3 2 5" xfId="14339" xr:uid="{A7FE86A0-6266-4836-B3B5-DE286D0420F2}"/>
    <cellStyle name="Migliaia 58 2 3 3" xfId="6852" xr:uid="{C3478680-EB6A-4E0E-90EC-BAA01B56E7C6}"/>
    <cellStyle name="Migliaia 58 2 3 3 2" xfId="34693" xr:uid="{F50F80F8-17EE-4C3F-8993-C069A868E097}"/>
    <cellStyle name="Migliaia 58 2 3 3 3" xfId="21051" xr:uid="{01B3B1C6-0589-46D9-B7EA-1ED3E3D04F07}"/>
    <cellStyle name="Migliaia 58 2 3 4" xfId="25492" xr:uid="{1C1E57CB-27BF-4B57-912E-BD68A4BD58C5}"/>
    <cellStyle name="Migliaia 58 2 3 5" xfId="16844" xr:uid="{2DDE4E19-7C9C-4732-A8ED-3A6066712D1E}"/>
    <cellStyle name="Migliaia 58 2 3 6" xfId="8401" xr:uid="{5A354B5C-2EBC-4279-8B6D-CC846EB65CA3}"/>
    <cellStyle name="Migliaia 58 2 4" xfId="5679" xr:uid="{9F9B2B0A-2710-4889-861A-EEF6E9DA9587}"/>
    <cellStyle name="Migliaia 58 2 4 2" xfId="14044" xr:uid="{DF7EBB7E-6DDF-4C3A-A924-E856CBD36A76}"/>
    <cellStyle name="Migliaia 58 2 4 2 2" xfId="34694" xr:uid="{0758C85B-C596-4AA0-A00D-FB5AD81D3D7A}"/>
    <cellStyle name="Migliaia 58 2 4 3" xfId="18687" xr:uid="{CE48705E-EA15-4C02-ACEE-3F298474E0E8}"/>
    <cellStyle name="Migliaia 58 2 4 4" xfId="21052" xr:uid="{198EEC1A-DBDE-4288-97F7-E08C4186B314}"/>
    <cellStyle name="Migliaia 58 2 4 5" xfId="25493" xr:uid="{BC744E27-D1AA-48AE-955F-44D9BDE7FC99}"/>
    <cellStyle name="Migliaia 58 2 4 6" xfId="16845" xr:uid="{32DE9713-F2C8-4C4E-B1D1-93FEA4B6DF51}"/>
    <cellStyle name="Migliaia 58 2 4 7" xfId="8035" xr:uid="{FA5F500B-5B2F-4348-B913-188C902E2062}"/>
    <cellStyle name="Migliaia 58 2 5" xfId="6850" xr:uid="{24353817-5494-4E8D-8DE3-2949C852C3FE}"/>
    <cellStyle name="Migliaia 58 2 5 2" xfId="34695" xr:uid="{F2E50A63-15E3-430A-B87F-7E8219AFC207}"/>
    <cellStyle name="Migliaia 58 2 5 3" xfId="25494" xr:uid="{A116839E-BAEF-46AD-9151-3F2E582F8EB2}"/>
    <cellStyle name="Migliaia 58 2 5 4" xfId="13156" xr:uid="{5006C0F9-91BC-4A96-A558-99E4A14018DD}"/>
    <cellStyle name="Migliaia 58 2 6" xfId="3953" xr:uid="{54002C39-CC75-48B4-A8FA-47DD64A73B87}"/>
    <cellStyle name="Migliaia 58 2 6 2" xfId="34696" xr:uid="{FADAE430-6E6D-42EE-A59E-8D1B436F7549}"/>
    <cellStyle name="Migliaia 58 2 6 3" xfId="25495" xr:uid="{C1FA7009-606F-4A6F-9F63-09E360808F7B}"/>
    <cellStyle name="Migliaia 58 2 6 4" xfId="21048" xr:uid="{510A6152-9F1A-4591-91EF-EE76A6569CB8}"/>
    <cellStyle name="Migliaia 58 2 7" xfId="34690" xr:uid="{68692DF4-BB70-43F5-A64D-5F0F11F55A52}"/>
    <cellStyle name="Migliaia 58 2 8" xfId="25489" xr:uid="{580628C9-BE1B-48D9-A1E2-8D8105624F45}"/>
    <cellStyle name="Migliaia 58 2 9" xfId="7202" xr:uid="{F906F785-D7F9-480C-B4DA-91E051FA88E0}"/>
    <cellStyle name="Migliaia 58 3" xfId="515" xr:uid="{00000000-0005-0000-0000-00009F040000}"/>
    <cellStyle name="Migliaia 58 3 10" xfId="25496" xr:uid="{56CCAEA2-E242-4E4B-AE9E-63E50E2EAAB0}"/>
    <cellStyle name="Migliaia 58 3 11" xfId="16846" xr:uid="{B5E2B1BE-A8D5-45F5-A941-CC374E3AE02E}"/>
    <cellStyle name="Migliaia 58 3 12" xfId="7203" xr:uid="{01BD1817-C42D-4BA6-A999-0BF37A3A4D1A}"/>
    <cellStyle name="Migliaia 58 3 2" xfId="516" xr:uid="{00000000-0005-0000-0000-0000A0040000}"/>
    <cellStyle name="Migliaia 58 3 2 2" xfId="1922" xr:uid="{00000000-0005-0000-0000-0000A1040000}"/>
    <cellStyle name="Migliaia 58 3 2 2 2" xfId="5684" xr:uid="{88CCF012-DA0E-4341-8E34-E28A03BCBB27}"/>
    <cellStyle name="Migliaia 58 3 2 2 2 2" xfId="18522" xr:uid="{83E1CB2C-800C-4F28-9DD3-62C8E2EE9B29}"/>
    <cellStyle name="Migliaia 58 3 2 2 2 2 2" xfId="21894" xr:uid="{FAF5AE26-C76B-46C6-92C0-9D03A0248902}"/>
    <cellStyle name="Migliaia 58 3 2 2 2 2 3" xfId="34700" xr:uid="{03DE6C23-DF77-449E-92F0-83C54A932119}"/>
    <cellStyle name="Migliaia 58 3 2 2 2 3" xfId="25499" xr:uid="{7F5796FF-26FE-418A-80E2-1D53F18BFD34}"/>
    <cellStyle name="Migliaia 58 3 2 2 2 4" xfId="46304" xr:uid="{0D3C9A40-58EA-4D67-AC11-FF8DB834C12C}"/>
    <cellStyle name="Migliaia 58 3 2 2 2 5" xfId="50922" xr:uid="{FD363E63-6A5A-450E-A1DE-42DC99512664}"/>
    <cellStyle name="Migliaia 58 3 2 2 2 6" xfId="53938" xr:uid="{D67D1FD3-89E1-4384-BB61-1CA7E93C2475}"/>
    <cellStyle name="Migliaia 58 3 2 2 2 7" xfId="17693" xr:uid="{51DD3135-6902-4B2F-892B-7EF466C244BD}"/>
    <cellStyle name="Migliaia 58 3 2 2 2 8" xfId="12099" xr:uid="{1C9A076B-9899-4235-8D76-31FF2565AC4E}"/>
    <cellStyle name="Migliaia 58 3 2 2 3" xfId="6855" xr:uid="{502DF71D-D22F-41DC-8B7D-A2FEC6E40DC0}"/>
    <cellStyle name="Migliaia 58 3 2 2 3 2" xfId="34699" xr:uid="{0ACB5976-10D2-4261-AEBC-0C1C2E998634}"/>
    <cellStyle name="Migliaia 58 3 2 2 3 3" xfId="11161" xr:uid="{C9AA9A95-B184-4F05-930C-8CBCD13D6034}"/>
    <cellStyle name="Migliaia 58 3 2 2 4" xfId="3958" xr:uid="{6E6ACAA6-BC33-428D-AECE-53001542183D}"/>
    <cellStyle name="Migliaia 58 3 2 2 4 2" xfId="21634" xr:uid="{1C3053C1-EDF2-4AF9-866B-F86FF1C7533A}"/>
    <cellStyle name="Migliaia 58 3 2 2 4 3" xfId="24508" xr:uid="{7974B216-7A2A-449C-8D46-82B616D13475}"/>
    <cellStyle name="Migliaia 58 3 2 2 4 4" xfId="50649" xr:uid="{421F9746-1F4A-4370-ABDD-A89116CA4290}"/>
    <cellStyle name="Migliaia 58 3 2 2 4 5" xfId="53665" xr:uid="{B3E95B73-6C00-48FB-9910-92725AB2AF4B}"/>
    <cellStyle name="Migliaia 58 3 2 2 4 6" xfId="10999" xr:uid="{E3BC5290-D0B3-4992-8047-832671198396}"/>
    <cellStyle name="Migliaia 58 3 2 2 5" xfId="21055" xr:uid="{A38AA777-D385-4419-B45C-274A083C88CF}"/>
    <cellStyle name="Migliaia 58 3 2 2 6" xfId="25498" xr:uid="{B1F3FD36-1CF6-415B-B13D-9BB4CD5DCD2E}"/>
    <cellStyle name="Migliaia 58 3 2 2 7" xfId="8801" xr:uid="{354039DF-8C58-438B-9C74-AE1552D85634}"/>
    <cellStyle name="Migliaia 58 3 2 3" xfId="5683" xr:uid="{A99B2CEF-CA46-4F1E-B604-881213E7D00B}"/>
    <cellStyle name="Migliaia 58 3 2 3 2" xfId="11108" xr:uid="{7B7AABFC-5518-48FB-AD6E-E4EEB30DF544}"/>
    <cellStyle name="Migliaia 58 3 2 3 2 2" xfId="34701" xr:uid="{A7BD0096-0493-4193-92DF-268250823289}"/>
    <cellStyle name="Migliaia 58 3 2 3 3" xfId="12100" xr:uid="{7B95FBD2-0E47-4B12-883A-B34223F73AD0}"/>
    <cellStyle name="Migliaia 58 3 2 3 4" xfId="21056" xr:uid="{3F5BA734-92E5-4D59-85A7-8FA6AC1CCD6E}"/>
    <cellStyle name="Migliaia 58 3 2 3 5" xfId="25500" xr:uid="{BC1CA05C-0B42-4B64-9457-1F09EFCB9E2D}"/>
    <cellStyle name="Migliaia 58 3 2 3 6" xfId="16847" xr:uid="{FDD43721-0CD8-440F-8AFF-358E813ACFA4}"/>
    <cellStyle name="Migliaia 58 3 2 3 7" xfId="8037" xr:uid="{929406DF-53A3-4C33-825D-4DEADFF014DA}"/>
    <cellStyle name="Migliaia 58 3 2 4" xfId="6854" xr:uid="{F52E4555-6FF1-46B4-ADD6-E35E4CAC7DF0}"/>
    <cellStyle name="Migliaia 58 3 2 4 2" xfId="18110" xr:uid="{98814C31-4EE7-4C9A-8130-4E56486EC903}"/>
    <cellStyle name="Migliaia 58 3 2 4 2 2" xfId="34702" xr:uid="{6EC8F5DB-5162-49B3-90E7-2CB840737B11}"/>
    <cellStyle name="Migliaia 58 3 2 4 3" xfId="25501" xr:uid="{421DF865-9365-40EE-8F7E-915C82D07232}"/>
    <cellStyle name="Migliaia 58 3 2 4 4" xfId="17242" xr:uid="{36EF94A1-997E-47DB-958C-CDE36066A1C2}"/>
    <cellStyle name="Migliaia 58 3 2 4 5" xfId="11452" xr:uid="{63D9CCF4-46E3-4A09-B6FE-29C5BF65E614}"/>
    <cellStyle name="Migliaia 58 3 2 5" xfId="3957" xr:uid="{8885D4AA-B1E4-4FD7-A0A8-5E4D7F3184EF}"/>
    <cellStyle name="Migliaia 58 3 2 5 2" xfId="34703" xr:uid="{98B0E436-ECD1-4852-92B0-8F6E64743984}"/>
    <cellStyle name="Migliaia 58 3 2 5 3" xfId="25502" xr:uid="{3BF2C191-24EB-460C-B3DF-DF28FC1702AE}"/>
    <cellStyle name="Migliaia 58 3 2 5 4" xfId="17267" xr:uid="{50BD9FAF-E2D3-4887-9F39-C56A2DDF353B}"/>
    <cellStyle name="Migliaia 58 3 2 6" xfId="21054" xr:uid="{165379EB-1325-4A59-B6D8-A181262A8627}"/>
    <cellStyle name="Migliaia 58 3 2 6 2" xfId="34704" xr:uid="{45CC7E54-A8FE-4D5E-BDB9-79055E61B1A4}"/>
    <cellStyle name="Migliaia 58 3 2 6 3" xfId="25503" xr:uid="{1DA09CE1-1082-4BAB-939F-89C624A3E7BD}"/>
    <cellStyle name="Migliaia 58 3 2 7" xfId="34698" xr:uid="{DA9F9E2E-B1A0-4791-855F-4F2992B9569A}"/>
    <cellStyle name="Migliaia 58 3 2 8" xfId="25497" xr:uid="{2382DE29-E899-4B74-A29C-E435DF1FE6C2}"/>
    <cellStyle name="Migliaia 58 3 2 9" xfId="7611" xr:uid="{FF05A5F9-4EC2-4142-AD1A-A3F752971EB1}"/>
    <cellStyle name="Migliaia 58 3 3" xfId="3959" xr:uid="{9C65F5C0-E73B-41A6-9E1C-73D8C2A07F63}"/>
    <cellStyle name="Migliaia 58 3 3 2" xfId="5685" xr:uid="{5FE8F284-F0B7-4446-A352-F211CC31A8C3}"/>
    <cellStyle name="Migliaia 58 3 3 2 2" xfId="9988" xr:uid="{E9BF7AC4-5222-41D7-A14A-BEB973127B82}"/>
    <cellStyle name="Migliaia 58 3 3 2 2 2" xfId="34706" xr:uid="{A60A5F57-7CE7-49D0-B03A-F4CFF7C8A9A9}"/>
    <cellStyle name="Migliaia 58 3 3 2 3" xfId="18268" xr:uid="{728F2280-56B6-4C4D-B057-3BDE0BAEF18D}"/>
    <cellStyle name="Migliaia 58 3 3 2 4" xfId="21058" xr:uid="{756E879A-C756-4DD5-A45B-6D070386FFA1}"/>
    <cellStyle name="Migliaia 58 3 3 2 5" xfId="25505" xr:uid="{508DDB2E-13BC-41B4-ACAB-DDE2B5EAD95B}"/>
    <cellStyle name="Migliaia 58 3 3 2 6" xfId="16849" xr:uid="{BD1926FC-5DD1-43EF-BE3B-14072DB2B3AC}"/>
    <cellStyle name="Migliaia 58 3 3 2 7" xfId="8800" xr:uid="{5DF565EE-1E85-46E5-85F6-33BC0769AEB9}"/>
    <cellStyle name="Migliaia 58 3 3 3" xfId="6856" xr:uid="{7069E256-9DAA-4E43-8FF3-90038EF3164B}"/>
    <cellStyle name="Migliaia 58 3 3 3 2" xfId="34707" xr:uid="{05F805F8-14C9-4F56-958C-6A44ADEA1DA2}"/>
    <cellStyle name="Migliaia 58 3 3 3 3" xfId="25506" xr:uid="{CB302C7E-15DC-4E0F-972A-27407D58FF0F}"/>
    <cellStyle name="Migliaia 58 3 3 3 4" xfId="9751" xr:uid="{76CFC0A7-EE3B-478A-B31E-D571655B0EEF}"/>
    <cellStyle name="Migliaia 58 3 3 4" xfId="21057" xr:uid="{6FB9FF16-2E30-4203-A9C9-0FE052CDB414}"/>
    <cellStyle name="Migliaia 58 3 3 4 2" xfId="34708" xr:uid="{B6648BBD-863C-4E44-AA77-2F2445F2E1BE}"/>
    <cellStyle name="Migliaia 58 3 3 4 3" xfId="25507" xr:uid="{19F20ABD-AE0C-49AD-87E7-E1D8DB50688E}"/>
    <cellStyle name="Migliaia 58 3 3 4 4" xfId="48891" xr:uid="{95F8437C-9D05-4960-BC98-63F21A05897F}"/>
    <cellStyle name="Migliaia 58 3 3 5" xfId="25508" xr:uid="{CCC7DCBD-4082-45E4-8F57-DCA6F456F9E4}"/>
    <cellStyle name="Migliaia 58 3 3 5 2" xfId="34709" xr:uid="{91D23575-4799-4F0A-9297-8377891FB058}"/>
    <cellStyle name="Migliaia 58 3 3 5 3" xfId="48892" xr:uid="{9C552F32-3D54-4384-919F-0095759CD7D4}"/>
    <cellStyle name="Migliaia 58 3 3 6" xfId="34705" xr:uid="{66F62B3B-600A-43AF-BDAE-A62761D6F7D2}"/>
    <cellStyle name="Migliaia 58 3 3 7" xfId="25504" xr:uid="{E0AB10DE-6702-43FE-9045-2C4D8F58FB42}"/>
    <cellStyle name="Migliaia 58 3 3 8" xfId="16848" xr:uid="{5249C7A1-C7B5-414E-95DA-F8B8B018EC1F}"/>
    <cellStyle name="Migliaia 58 3 3 9" xfId="7610" xr:uid="{FBF1204D-C068-4599-AE46-F26605CE8AF0}"/>
    <cellStyle name="Migliaia 58 3 4" xfId="3960" xr:uid="{0873867C-06F0-4126-B3E6-280B637497A5}"/>
    <cellStyle name="Migliaia 58 3 4 2" xfId="5686" xr:uid="{AC63979C-4AD7-4A70-B623-C419105C60AF}"/>
    <cellStyle name="Migliaia 58 3 4 2 2" xfId="14476" xr:uid="{A9CC8F6E-5801-47A2-891C-CC8A763D394A}"/>
    <cellStyle name="Migliaia 58 3 4 2 3" xfId="18574" xr:uid="{A41A450D-6786-492D-BB33-38DB7BD48A36}"/>
    <cellStyle name="Migliaia 58 3 4 2 4" xfId="21060" xr:uid="{E0250EE4-1913-4049-A00D-EB143CA596CF}"/>
    <cellStyle name="Migliaia 58 3 4 2 5" xfId="32481" xr:uid="{B1426996-F99B-440C-8B31-6C8416D69846}"/>
    <cellStyle name="Migliaia 58 3 4 2 6" xfId="16851" xr:uid="{17504C1B-36AE-4D38-BCAC-2D9ADA4FAC7F}"/>
    <cellStyle name="Migliaia 58 3 4 2 7" xfId="8899" xr:uid="{C27C204A-5902-4B56-8068-A9F2A5871C23}"/>
    <cellStyle name="Migliaia 58 3 4 3" xfId="6857" xr:uid="{C8C59EDE-50E8-41B4-9CF0-A051BB32A133}"/>
    <cellStyle name="Migliaia 58 3 4 3 2" xfId="35496" xr:uid="{C64CF157-2CFD-4AB8-A6C5-10790E379EB5}"/>
    <cellStyle name="Migliaia 58 3 4 3 2 2" xfId="40656" xr:uid="{07B50EE1-DF2C-4355-8F1D-53894D7D6DD4}"/>
    <cellStyle name="Migliaia 58 3 4 3 2 3" xfId="45958" xr:uid="{31A62619-5E72-4DD1-AF5D-9E073E655511}"/>
    <cellStyle name="Migliaia 58 3 4 3 3" xfId="38005" xr:uid="{F0896D82-0848-4473-A752-A5E541814FE9}"/>
    <cellStyle name="Migliaia 58 3 4 3 4" xfId="43307" xr:uid="{9829A1AA-9C21-45BD-811C-EEBFCC4C4CE6}"/>
    <cellStyle name="Migliaia 58 3 4 3 5" xfId="13724" xr:uid="{DA5BC403-9AA6-45F1-B707-BC0DBF190FAA}"/>
    <cellStyle name="Migliaia 58 3 4 4" xfId="21059" xr:uid="{BBFF9EFF-841A-4C7A-B7F7-59699206AFCB}"/>
    <cellStyle name="Migliaia 58 3 4 4 2" xfId="34710" xr:uid="{ECEFB811-BFAB-4A63-86DE-D5D4C19780ED}"/>
    <cellStyle name="Migliaia 58 3 4 5" xfId="25509" xr:uid="{D3B57B58-4A17-45F3-B5C8-9CAB686D2327}"/>
    <cellStyle name="Migliaia 58 3 4 6" xfId="16850" xr:uid="{84B6F523-7A63-4F53-A9CB-033871753F2E}"/>
    <cellStyle name="Migliaia 58 3 4 7" xfId="7709" xr:uid="{9B94FA72-50C6-4CF6-8C11-6D18F0033675}"/>
    <cellStyle name="Migliaia 58 3 5" xfId="3961" xr:uid="{673AC2F7-0288-4BDE-939C-7DC41A3CC1D9}"/>
    <cellStyle name="Migliaia 58 3 5 2" xfId="5687" xr:uid="{67EBEB48-932C-46D8-9673-064B11673F8C}"/>
    <cellStyle name="Migliaia 58 3 5 2 2" xfId="35497" xr:uid="{6E14BCD2-AA49-42A6-BF08-BE2F81B046E5}"/>
    <cellStyle name="Migliaia 58 3 5 2 2 2" xfId="40657" xr:uid="{E8DFC80C-07DE-4801-9A64-F90EAB07C7B6}"/>
    <cellStyle name="Migliaia 58 3 5 2 2 3" xfId="45959" xr:uid="{2E5647F1-9354-48DC-8EA2-CA8B09F99E1F}"/>
    <cellStyle name="Migliaia 58 3 5 2 3" xfId="38006" xr:uid="{D6A0AF2A-7653-43B1-9D35-4188933C8237}"/>
    <cellStyle name="Migliaia 58 3 5 2 4" xfId="43308" xr:uid="{3E3A05E3-B0CE-43BA-BAD8-311E6A9C66E2}"/>
    <cellStyle name="Migliaia 58 3 5 2 5" xfId="14340" xr:uid="{19D25580-1818-4FD6-92F0-67A4475F6DB2}"/>
    <cellStyle name="Migliaia 58 3 5 3" xfId="6858" xr:uid="{02DD3391-4FDD-4EFC-BDAA-8666902EC72E}"/>
    <cellStyle name="Migliaia 58 3 5 3 2" xfId="34711" xr:uid="{CE52769D-B806-4868-B8D1-BF60C85775E5}"/>
    <cellStyle name="Migliaia 58 3 5 3 3" xfId="21061" xr:uid="{FC60533D-341F-4341-B05D-2500184159BC}"/>
    <cellStyle name="Migliaia 58 3 5 4" xfId="25510" xr:uid="{81A9E553-723F-4B04-98CC-D0A3DC2EF734}"/>
    <cellStyle name="Migliaia 58 3 5 5" xfId="16852" xr:uid="{3FA0E994-0B42-465B-B0B5-38E447FF8471}"/>
    <cellStyle name="Migliaia 58 3 5 6" xfId="8402" xr:uid="{21E7AA59-844B-4DD3-AD6E-2DB8243EB5C1}"/>
    <cellStyle name="Migliaia 58 3 6" xfId="5682" xr:uid="{97276CE5-AE1C-49D2-9A6B-CE6DC41CBD8F}"/>
    <cellStyle name="Migliaia 58 3 6 2" xfId="14045" xr:uid="{B64A44FC-8153-485F-9DD5-FE654FA77614}"/>
    <cellStyle name="Migliaia 58 3 6 2 2" xfId="34712" xr:uid="{D9C9094B-F91C-4097-9171-942B566940C6}"/>
    <cellStyle name="Migliaia 58 3 6 3" xfId="18601" xr:uid="{5F577D99-7769-4460-B0EF-2EA7F074CBC5}"/>
    <cellStyle name="Migliaia 58 3 6 4" xfId="21062" xr:uid="{67482847-FCFC-4180-8A9E-CEAEA227C3FB}"/>
    <cellStyle name="Migliaia 58 3 6 5" xfId="25511" xr:uid="{F17565F5-138B-450A-B707-43F35C452EEE}"/>
    <cellStyle name="Migliaia 58 3 6 6" xfId="16853" xr:uid="{9A4098C6-8027-497F-BDED-433D175874DC}"/>
    <cellStyle name="Migliaia 58 3 6 7" xfId="8036" xr:uid="{F55A0E6F-0CD1-427B-B77C-974F74C73B36}"/>
    <cellStyle name="Migliaia 58 3 7" xfId="6853" xr:uid="{8BE22587-4071-4872-B1A5-BB87E70B31C7}"/>
    <cellStyle name="Migliaia 58 3 7 2" xfId="34713" xr:uid="{79F35CB4-E452-4C74-B04B-6DBE8C2CFFB4}"/>
    <cellStyle name="Migliaia 58 3 7 3" xfId="25512" xr:uid="{6BE80452-8B09-4F7A-A570-1EBD71EF76FE}"/>
    <cellStyle name="Migliaia 58 3 7 4" xfId="12287" xr:uid="{72714BCE-FF80-43CA-A47D-00D6D9D58D45}"/>
    <cellStyle name="Migliaia 58 3 8" xfId="3956" xr:uid="{AC7BB67C-8D71-4F8B-AB06-29A03543AE85}"/>
    <cellStyle name="Migliaia 58 3 8 2" xfId="34714" xr:uid="{5CE71F4B-8F76-4A2B-BA9E-4264AED7C364}"/>
    <cellStyle name="Migliaia 58 3 8 3" xfId="25513" xr:uid="{87E1ABC8-01E9-46DA-A2F0-BC4F8D0DBF8F}"/>
    <cellStyle name="Migliaia 58 3 8 4" xfId="17268" xr:uid="{A1F36B96-9520-49B9-8266-AD3D12FB4E11}"/>
    <cellStyle name="Migliaia 58 3 9" xfId="21053" xr:uid="{B9B17CAF-645E-4B51-949F-96566166C15C}"/>
    <cellStyle name="Migliaia 58 3 9 2" xfId="34697" xr:uid="{B677EC7F-20FB-4C96-9813-00D088847EF5}"/>
    <cellStyle name="Migliaia 58 4" xfId="1923" xr:uid="{00000000-0005-0000-0000-0000A2040000}"/>
    <cellStyle name="Migliaia 58 4 10" xfId="7612" xr:uid="{E50F2B40-112D-4301-BB65-0C4D74C3B543}"/>
    <cellStyle name="Migliaia 58 4 2" xfId="1924" xr:uid="{00000000-0005-0000-0000-0000A3040000}"/>
    <cellStyle name="Migliaia 58 4 2 2" xfId="5689" xr:uid="{EAF163EB-0403-4D97-A391-4CA28B2EAE35}"/>
    <cellStyle name="Migliaia 58 4 2 2 2" xfId="34717" xr:uid="{4E3D8CBF-0EC5-41AB-A4ED-C45F6BD6C2FC}"/>
    <cellStyle name="Migliaia 58 4 2 2 3" xfId="25516" xr:uid="{12E94D53-2E2B-4680-AF94-AA042341B9E6}"/>
    <cellStyle name="Migliaia 58 4 2 2 4" xfId="9214" xr:uid="{4BA23CA5-DC28-4C75-9EAE-4BAF78CD50F1}"/>
    <cellStyle name="Migliaia 58 4 2 3" xfId="3963" xr:uid="{435F6472-BF40-4E18-9878-58E4E1175C7A}"/>
    <cellStyle name="Migliaia 58 4 2 3 2" xfId="34718" xr:uid="{912CF596-66B2-4D73-AA0F-573671343A94}"/>
    <cellStyle name="Migliaia 58 4 2 3 3" xfId="25517" xr:uid="{7DD8A1A1-C72C-411E-A0A5-07A83F11BC72}"/>
    <cellStyle name="Migliaia 58 4 2 3 4" xfId="12101" xr:uid="{4CAAB47E-163C-4A6E-807A-D8D7D80120E0}"/>
    <cellStyle name="Migliaia 58 4 2 4" xfId="11454" xr:uid="{66B3F0CA-166A-45A7-B378-74EDA87E0FCE}"/>
    <cellStyle name="Migliaia 58 4 2 4 2" xfId="34716" xr:uid="{93C2AC55-0B36-439B-87E0-6BA30B86E3B0}"/>
    <cellStyle name="Migliaia 58 4 2 5" xfId="11001" xr:uid="{133723E0-BD3D-459F-94DE-7E3F1C1B2318}"/>
    <cellStyle name="Migliaia 58 4 2 5 2" xfId="21636" xr:uid="{B7B3E89C-0B5C-475C-A899-33AD8EAC1811}"/>
    <cellStyle name="Migliaia 58 4 2 5 3" xfId="32372" xr:uid="{D5A24B1F-8FF0-4B22-A521-F6BAE428AA7B}"/>
    <cellStyle name="Migliaia 58 4 2 5 4" xfId="50651" xr:uid="{DF71F563-F30F-4122-A02D-C7EB9D894BE3}"/>
    <cellStyle name="Migliaia 58 4 2 5 5" xfId="53667" xr:uid="{6EE97B30-6953-47DA-B01D-691671B737FC}"/>
    <cellStyle name="Migliaia 58 4 2 6" xfId="21064" xr:uid="{7EBB71A8-EB60-418D-A388-21A1710CBB6C}"/>
    <cellStyle name="Migliaia 58 4 2 7" xfId="25515" xr:uid="{48B581A4-8652-436F-BA64-B5096F81204B}"/>
    <cellStyle name="Migliaia 58 4 2 8" xfId="8802" xr:uid="{D4A7DDA7-A45A-4C3B-A281-876CBE62153E}"/>
    <cellStyle name="Migliaia 58 4 3" xfId="5688" xr:uid="{A2634E24-023F-463E-8603-447F43A4AC36}"/>
    <cellStyle name="Migliaia 58 4 3 2" xfId="18269" xr:uid="{3C9F6ABC-4D82-4D0F-B2E9-4FF6192A6F8A}"/>
    <cellStyle name="Migliaia 58 4 3 2 2" xfId="34719" xr:uid="{DF3524A5-2E4D-4A51-BA87-5DDC97C2F468}"/>
    <cellStyle name="Migliaia 58 4 3 3" xfId="25518" xr:uid="{14740242-C56B-43B2-A7AD-BA03E1C3DABB}"/>
    <cellStyle name="Migliaia 58 4 3 4" xfId="17266" xr:uid="{0110E107-6FD2-4E5F-8AFE-7026A763D60A}"/>
    <cellStyle name="Migliaia 58 4 3 5" xfId="9215" xr:uid="{A454B5BD-B4A2-4FFC-AFCB-183885A36BA7}"/>
    <cellStyle name="Migliaia 58 4 4" xfId="6859" xr:uid="{BFE92F11-FD4A-4F61-BE6D-329D609609D8}"/>
    <cellStyle name="Migliaia 58 4 4 2" xfId="34720" xr:uid="{26B45012-58AF-4F1A-9634-6B6F4E892AF4}"/>
    <cellStyle name="Migliaia 58 4 4 3" xfId="25519" xr:uid="{BA094935-D1B4-4AEA-B218-15CD0DEE7C55}"/>
    <cellStyle name="Migliaia 58 4 4 4" xfId="12102" xr:uid="{D8A6C399-AB7E-4D6A-AE3D-F7B125ED296C}"/>
    <cellStyle name="Migliaia 58 4 5" xfId="3962" xr:uid="{9BAB619A-8227-4476-9024-8BA43B0ED0AB}"/>
    <cellStyle name="Migliaia 58 4 5 2" xfId="34721" xr:uid="{D89DBAE2-E998-4845-88D7-084FF1D8C964}"/>
    <cellStyle name="Migliaia 58 4 5 3" xfId="25520" xr:uid="{5AFEE60A-DB74-4411-A8AB-9E4780173F9F}"/>
    <cellStyle name="Migliaia 58 4 5 4" xfId="11453" xr:uid="{6B874341-C455-43EA-B5C2-D8AA02B08E9C}"/>
    <cellStyle name="Migliaia 58 4 6" xfId="11000" xr:uid="{FE6F9CEB-99A1-4CF4-83BB-5C667492E306}"/>
    <cellStyle name="Migliaia 58 4 6 2" xfId="21635" xr:uid="{DF669928-FEF0-4DD9-9F16-E5A39B797A6C}"/>
    <cellStyle name="Migliaia 58 4 6 2 2" xfId="34722" xr:uid="{4E98750E-072B-421C-8EFF-B93FDAA04F5E}"/>
    <cellStyle name="Migliaia 58 4 6 3" xfId="25521" xr:uid="{47EA7809-2440-44EB-B0DF-B1202305E13D}"/>
    <cellStyle name="Migliaia 58 4 6 4" xfId="46709" xr:uid="{53BFAC33-7CAF-444A-B4EB-C2C90AABFA03}"/>
    <cellStyle name="Migliaia 58 4 6 5" xfId="48893" xr:uid="{B1CE3563-936B-4B5E-8D2E-13A1FC623946}"/>
    <cellStyle name="Migliaia 58 4 6 6" xfId="50650" xr:uid="{1FF941BF-E528-467E-828F-87DB212FAB31}"/>
    <cellStyle name="Migliaia 58 4 6 7" xfId="53666" xr:uid="{6A8540FA-A05E-4AE6-AF67-C724DA1F0D0A}"/>
    <cellStyle name="Migliaia 58 4 7" xfId="21063" xr:uid="{AE874AE1-C657-4DDB-ACA6-43CB9F42181E}"/>
    <cellStyle name="Migliaia 58 4 7 2" xfId="34723" xr:uid="{1C8591D5-CEF7-4B65-9077-37E4FFC861A8}"/>
    <cellStyle name="Migliaia 58 4 7 3" xfId="25522" xr:uid="{0BF45E5C-ADD6-4886-9130-9D36CA0C3768}"/>
    <cellStyle name="Migliaia 58 4 8" xfId="34715" xr:uid="{80763498-CF72-4E17-AAF9-C4E857F791E7}"/>
    <cellStyle name="Migliaia 58 4 9" xfId="25514" xr:uid="{2CB8B32F-9532-4771-B046-B2D9BDB1B1E3}"/>
    <cellStyle name="Migliaia 58 5" xfId="1925" xr:uid="{00000000-0005-0000-0000-0000A4040000}"/>
    <cellStyle name="Migliaia 58 5 2" xfId="5690" xr:uid="{B9E56DF8-AE4F-47A5-A55A-3C477068E13A}"/>
    <cellStyle name="Migliaia 58 5 2 2" xfId="18523" xr:uid="{0F1E37D7-6CE7-459A-8DAD-52B4C44695ED}"/>
    <cellStyle name="Migliaia 58 5 2 2 2" xfId="34725" xr:uid="{3914DCAD-53A2-4584-8468-5DDD991FEBC2}"/>
    <cellStyle name="Migliaia 58 5 2 3" xfId="21066" xr:uid="{CECD4ED7-4BC8-40C2-9F40-0CC3538DD577}"/>
    <cellStyle name="Migliaia 58 5 2 4" xfId="25524" xr:uid="{8A28BAE1-A027-4CBC-9622-279BEE68EA4E}"/>
    <cellStyle name="Migliaia 58 5 2 5" xfId="16854" xr:uid="{DBEE7279-2836-44F4-99AC-3779D6636816}"/>
    <cellStyle name="Migliaia 58 5 2 6" xfId="8803" xr:uid="{9DD12CFE-7945-4595-961B-EBC15FD8E4F4}"/>
    <cellStyle name="Migliaia 58 5 3" xfId="6860" xr:uid="{A3A956BB-F4C0-42DC-919D-5EA429379891}"/>
    <cellStyle name="Migliaia 58 5 3 2" xfId="34726" xr:uid="{D92543F3-C212-4402-AFC4-E4BABA639FAD}"/>
    <cellStyle name="Migliaia 58 5 3 3" xfId="25525" xr:uid="{73A166E5-F9F6-4CB8-8ABC-FA4E4B603CA4}"/>
    <cellStyle name="Migliaia 58 5 3 4" xfId="11455" xr:uid="{BA6DEEB8-5395-41D1-A5C2-D670690C7D76}"/>
    <cellStyle name="Migliaia 58 5 4" xfId="3964" xr:uid="{F5C704B9-A9D2-41F9-9C99-869DF209C58D}"/>
    <cellStyle name="Migliaia 58 5 4 2" xfId="21637" xr:uid="{812B9FCC-1C60-433F-9D7C-BCBCC25FFA45}"/>
    <cellStyle name="Migliaia 58 5 4 2 2" xfId="34727" xr:uid="{D09887B4-1535-4D60-AF6E-1C8059A9AC67}"/>
    <cellStyle name="Migliaia 58 5 4 3" xfId="25526" xr:uid="{26DCA959-6759-46AE-91DF-19E9F211304D}"/>
    <cellStyle name="Migliaia 58 5 4 4" xfId="47606" xr:uid="{519C887C-60CC-4C8C-87AD-DB6936537088}"/>
    <cellStyle name="Migliaia 58 5 4 5" xfId="48894" xr:uid="{87FA49D2-3882-4ECD-A65C-16D3DAC0BB14}"/>
    <cellStyle name="Migliaia 58 5 4 6" xfId="50652" xr:uid="{494C84C6-ECE7-4325-AA59-49B7985DB682}"/>
    <cellStyle name="Migliaia 58 5 4 7" xfId="53668" xr:uid="{480EE45B-BDB3-44E1-9AE5-CE7C5A9A68D8}"/>
    <cellStyle name="Migliaia 58 5 4 8" xfId="11002" xr:uid="{7337E1E2-9290-464A-9650-469B3774251E}"/>
    <cellStyle name="Migliaia 58 5 5" xfId="21065" xr:uid="{02103940-FE15-4585-A317-E9BC34AA1EE2}"/>
    <cellStyle name="Migliaia 58 5 5 2" xfId="34728" xr:uid="{BAA1D0EF-1666-4D84-86E6-95B38ADB0793}"/>
    <cellStyle name="Migliaia 58 5 5 3" xfId="25527" xr:uid="{DB1B5111-E946-449B-AD23-0D9F4646236A}"/>
    <cellStyle name="Migliaia 58 5 5 4" xfId="48895" xr:uid="{9084BCC4-E38F-4CA1-884A-629F7B4C9B58}"/>
    <cellStyle name="Migliaia 58 5 6" xfId="25528" xr:uid="{271F20B9-82EE-4B9E-AF8A-0DB6A69C470B}"/>
    <cellStyle name="Migliaia 58 5 6 2" xfId="34729" xr:uid="{913BF523-6DCF-477F-A31F-88871DD4AF4E}"/>
    <cellStyle name="Migliaia 58 5 7" xfId="34724" xr:uid="{EF826340-2360-42B2-B24F-6067C330135C}"/>
    <cellStyle name="Migliaia 58 5 8" xfId="25523" xr:uid="{75D2E5EA-50BF-428A-AB0A-9D7C75EE8363}"/>
    <cellStyle name="Migliaia 58 5 9" xfId="7613" xr:uid="{F000602D-B983-4406-8EBE-7B7A8ADCD38C}"/>
    <cellStyle name="Migliaia 58 6" xfId="3965" xr:uid="{BD17C660-E4C7-494F-B59A-0E20DCCD2D90}"/>
    <cellStyle name="Migliaia 58 6 2" xfId="5691" xr:uid="{3F9874D6-224D-42A5-8CE8-A572E24B63BE}"/>
    <cellStyle name="Migliaia 58 6 2 2" xfId="9987" xr:uid="{F282F8BF-E8F4-47C6-9BFE-1966A903C829}"/>
    <cellStyle name="Migliaia 58 6 2 3" xfId="18032" xr:uid="{924291B1-81AB-47CA-AC3B-039A7BF8B070}"/>
    <cellStyle name="Migliaia 58 6 2 4" xfId="21068" xr:uid="{423245AB-1285-4A78-9047-C4F091B2D8B4}"/>
    <cellStyle name="Migliaia 58 6 2 5" xfId="32482" xr:uid="{FA25B739-2267-4DDB-9AAA-F970F44C63C6}"/>
    <cellStyle name="Migliaia 58 6 2 6" xfId="16856" xr:uid="{47A27F53-4C24-438B-A7BA-BFC48BF9031D}"/>
    <cellStyle name="Migliaia 58 6 2 7" xfId="8798" xr:uid="{D4A4F261-7537-4FC4-9E3A-43A3F16DD167}"/>
    <cellStyle name="Migliaia 58 6 3" xfId="6861" xr:uid="{E5ADC67B-E1A7-4B20-8EEF-091596DAC3EC}"/>
    <cellStyle name="Migliaia 58 6 3 2" xfId="35498" xr:uid="{CA1B43FA-A7F8-4BF3-8947-6D6722FD13A8}"/>
    <cellStyle name="Migliaia 58 6 3 2 2" xfId="40658" xr:uid="{61C7F243-17F1-46BE-B0E1-BDE4A8359841}"/>
    <cellStyle name="Migliaia 58 6 3 2 3" xfId="45960" xr:uid="{3757FF6A-EEF7-4DB2-AAEC-1A89DEE0D53D}"/>
    <cellStyle name="Migliaia 58 6 3 3" xfId="38007" xr:uid="{F236F9C0-238F-4869-9444-FE05E698A15D}"/>
    <cellStyle name="Migliaia 58 6 3 4" xfId="43309" xr:uid="{DFF5EA86-EF8E-412D-BFC2-7DCB344ED098}"/>
    <cellStyle name="Migliaia 58 6 3 5" xfId="9750" xr:uid="{EFA9D80D-69FE-4F24-98A3-3013CA78C73B}"/>
    <cellStyle name="Migliaia 58 6 4" xfId="21067" xr:uid="{DFF1554D-117A-4B74-ACEC-440D144FD743}"/>
    <cellStyle name="Migliaia 58 6 4 2" xfId="34730" xr:uid="{7DA71057-397C-4114-B470-3729F54891E2}"/>
    <cellStyle name="Migliaia 58 6 5" xfId="25529" xr:uid="{FE5B376D-386A-46A6-A3A7-56BA738E432C}"/>
    <cellStyle name="Migliaia 58 6 6" xfId="16855" xr:uid="{547189E5-3643-4BD2-8EEA-C33ED1923EF8}"/>
    <cellStyle name="Migliaia 58 6 7" xfId="7608" xr:uid="{15225380-6D25-4488-A482-A37269B7E195}"/>
    <cellStyle name="Migliaia 58 7" xfId="3966" xr:uid="{F9978227-2727-44BC-B9FD-FDC5A13EE1EA}"/>
    <cellStyle name="Migliaia 58 7 2" xfId="5692" xr:uid="{CD04C17F-6D48-459A-88CA-EE16136E8E59}"/>
    <cellStyle name="Migliaia 58 7 2 2" xfId="35499" xr:uid="{537FC506-3903-4921-B4A4-D5EB3CE98B45}"/>
    <cellStyle name="Migliaia 58 7 2 2 2" xfId="40659" xr:uid="{6667203E-F38E-4665-B8F9-C395D0EFEA9E}"/>
    <cellStyle name="Migliaia 58 7 2 2 3" xfId="45961" xr:uid="{7966466C-B16B-4E28-83B0-7958BA66E99D}"/>
    <cellStyle name="Migliaia 58 7 2 3" xfId="38008" xr:uid="{DEA64AC9-CEC8-4937-B7BB-3FB4A57F9865}"/>
    <cellStyle name="Migliaia 58 7 2 4" xfId="43310" xr:uid="{84F3C37E-7886-4B3D-A363-97CBB1D29C17}"/>
    <cellStyle name="Migliaia 58 7 2 5" xfId="14338" xr:uid="{0D48AF52-CFD6-488B-A3F5-3D7637E22D6E}"/>
    <cellStyle name="Migliaia 58 7 3" xfId="6862" xr:uid="{58805836-6D15-455D-88A7-1E8320359481}"/>
    <cellStyle name="Migliaia 58 7 3 2" xfId="34731" xr:uid="{DD4F59A5-DF4D-4C7D-BC76-4901A7A10ABC}"/>
    <cellStyle name="Migliaia 58 7 3 3" xfId="21069" xr:uid="{9C1B026E-8CC4-4281-A7CC-C5A28E427190}"/>
    <cellStyle name="Migliaia 58 7 4" xfId="25530" xr:uid="{E1E0630C-918F-4559-86E3-D330E719C6D7}"/>
    <cellStyle name="Migliaia 58 7 5" xfId="16857" xr:uid="{55102864-A8CF-42F7-900A-ACB6D720A96A}"/>
    <cellStyle name="Migliaia 58 7 6" xfId="8400" xr:uid="{FDB03274-B8EE-4391-A778-306DF219B517}"/>
    <cellStyle name="Migliaia 58 8" xfId="3967" xr:uid="{528C1CAA-AB00-4D79-A225-ABECA78028AD}"/>
    <cellStyle name="Migliaia 58 8 2" xfId="5693" xr:uid="{117FE1EE-F589-452E-9B5D-1FFA0BE33BE1}"/>
    <cellStyle name="Migliaia 58 8 2 2" xfId="35500" xr:uid="{01752ADF-DC29-4EC6-8C1E-AF7B58CC581F}"/>
    <cellStyle name="Migliaia 58 8 2 2 2" xfId="40660" xr:uid="{9E9BD2DF-8F14-4F65-BE43-1314A5B2F7C6}"/>
    <cellStyle name="Migliaia 58 8 2 2 3" xfId="45962" xr:uid="{5A58C7F6-A2B9-4823-8388-2D4D6F5D60DE}"/>
    <cellStyle name="Migliaia 58 8 2 3" xfId="38009" xr:uid="{31A698AD-D7F2-4FCC-9D8C-5403B8827284}"/>
    <cellStyle name="Migliaia 58 8 2 4" xfId="43311" xr:uid="{07FB7883-CB3C-4195-8D9E-12F9D82CCE94}"/>
    <cellStyle name="Migliaia 58 8 2 5" xfId="14043" xr:uid="{2BBA999D-487E-4136-88D3-94765BD7B20C}"/>
    <cellStyle name="Migliaia 58 8 3" xfId="6863" xr:uid="{0DDA52FA-71AB-404B-BA41-AFB94EB58E5A}"/>
    <cellStyle name="Migliaia 58 8 3 2" xfId="34732" xr:uid="{0BA79D35-E210-4D92-B6D0-45B74FDB00E7}"/>
    <cellStyle name="Migliaia 58 8 3 3" xfId="21070" xr:uid="{177690D4-0C82-4C58-96E9-AB6FAFECE6D1}"/>
    <cellStyle name="Migliaia 58 8 4" xfId="25531" xr:uid="{CB117E2F-2826-42FD-A267-ECBCA3163317}"/>
    <cellStyle name="Migliaia 58 8 5" xfId="16858" xr:uid="{F7D8F5EB-836E-4AFC-869A-4A1C6616E3AA}"/>
    <cellStyle name="Migliaia 58 8 6" xfId="8034" xr:uid="{B8F5625E-8AC2-4246-9BE3-4EAEFD8481D0}"/>
    <cellStyle name="Migliaia 58 9" xfId="5678" xr:uid="{E9E51658-06D7-4D8D-AA58-9049D704E8AF}"/>
    <cellStyle name="Migliaia 58 9 2" xfId="34733" xr:uid="{313861EA-46A3-4B3F-9372-536C36D0F823}"/>
    <cellStyle name="Migliaia 58 9 3" xfId="25532" xr:uid="{69580BE9-075F-48EC-B73B-E5ED0DBF96BE}"/>
    <cellStyle name="Migliaia 58 9 4" xfId="17241" xr:uid="{CC586548-BCF2-4251-BD07-7E6363AFC44F}"/>
    <cellStyle name="Migliaia 59" xfId="517" xr:uid="{00000000-0005-0000-0000-0000A5040000}"/>
    <cellStyle name="Migliaia 59 10" xfId="6864" xr:uid="{05C71309-C703-44CD-99F3-B85D15E903B8}"/>
    <cellStyle name="Migliaia 59 10 2" xfId="34734" xr:uid="{E72AE967-8054-4D2D-A83C-B4928AD602E1}"/>
    <cellStyle name="Migliaia 59 10 3" xfId="21071" xr:uid="{854F0299-080B-40C4-8EF8-9FAC6061E7BE}"/>
    <cellStyle name="Migliaia 59 11" xfId="3968" xr:uid="{7E1BCFA6-1942-451F-AE8D-51DC3B421CFA}"/>
    <cellStyle name="Migliaia 59 11 2" xfId="25533" xr:uid="{1D20CFDF-3C98-49B1-B57C-89555BB24BCE}"/>
    <cellStyle name="Migliaia 59 12" xfId="7204" xr:uid="{23B0933E-88EF-45D4-82E2-5B32B683595D}"/>
    <cellStyle name="Migliaia 59 2" xfId="518" xr:uid="{00000000-0005-0000-0000-0000A6040000}"/>
    <cellStyle name="Migliaia 59 2 2" xfId="1926" xr:uid="{00000000-0005-0000-0000-0000A7040000}"/>
    <cellStyle name="Migliaia 59 2 2 2" xfId="5696" xr:uid="{62940791-FC1B-4C34-972E-FCCC77E17FC6}"/>
    <cellStyle name="Migliaia 59 2 2 2 2" xfId="14417" xr:uid="{4F29C003-86D3-4DB6-BB54-502EB96BE4FC}"/>
    <cellStyle name="Migliaia 59 2 2 2 2 2" xfId="34737" xr:uid="{4CADAB9C-FC13-4431-8B47-6F2E9DB70421}"/>
    <cellStyle name="Migliaia 59 2 2 2 3" xfId="18524" xr:uid="{DB5329B3-88D1-43D9-B0F0-FABA91CB8168}"/>
    <cellStyle name="Migliaia 59 2 2 2 4" xfId="21074" xr:uid="{BB2FC4A4-4AE4-45DF-9EAB-8A95E10A73F0}"/>
    <cellStyle name="Migliaia 59 2 2 2 5" xfId="25536" xr:uid="{573E283C-C4A9-4119-A791-18850583B55E}"/>
    <cellStyle name="Migliaia 59 2 2 2 6" xfId="16859" xr:uid="{B556C8E8-00CC-4D34-9312-9E982871CBAF}"/>
    <cellStyle name="Migliaia 59 2 2 2 7" xfId="8805" xr:uid="{00B89B9A-B55E-4EEC-B4A1-1CECF00BC88A}"/>
    <cellStyle name="Migliaia 59 2 2 3" xfId="6866" xr:uid="{30515DBB-08B4-4142-A5B8-6990347A2470}"/>
    <cellStyle name="Migliaia 59 2 2 3 2" xfId="35501" xr:uid="{D8727B85-6517-44D7-AB21-3BD35752C9BF}"/>
    <cellStyle name="Migliaia 59 2 2 3 2 2" xfId="40661" xr:uid="{AEB0FECB-EBEB-4EF4-8503-8608FB085FD3}"/>
    <cellStyle name="Migliaia 59 2 2 3 2 3" xfId="45963" xr:uid="{74F7DE8E-7D0A-4E1F-83F0-3325CB149200}"/>
    <cellStyle name="Migliaia 59 2 2 3 3" xfId="38010" xr:uid="{95884C1E-C296-44CE-94E9-9609109004E3}"/>
    <cellStyle name="Migliaia 59 2 2 3 4" xfId="43312" xr:uid="{E1109154-986E-426C-9AC2-3B5B3EA722CB}"/>
    <cellStyle name="Migliaia 59 2 2 3 5" xfId="11644" xr:uid="{43980503-5BA4-423E-9CB9-66BFF76A01E6}"/>
    <cellStyle name="Migliaia 59 2 2 4" xfId="3970" xr:uid="{FCF536A5-5C22-4EEC-9302-B366A1E40A4D}"/>
    <cellStyle name="Migliaia 59 2 2 4 2" xfId="21638" xr:uid="{DE9E35AC-2B97-43CC-96E5-D43B75B83C18}"/>
    <cellStyle name="Migliaia 59 2 2 4 3" xfId="34736" xr:uid="{42E2FA61-A0F7-4EE0-8951-17422F228F21}"/>
    <cellStyle name="Migliaia 59 2 2 4 4" xfId="47123" xr:uid="{847BBC0B-3E22-43FF-B483-4640788D31BD}"/>
    <cellStyle name="Migliaia 59 2 2 4 5" xfId="50653" xr:uid="{40172939-9C6A-41D4-AD0A-5F8433709B16}"/>
    <cellStyle name="Migliaia 59 2 2 4 6" xfId="53669" xr:uid="{EE6C728B-9EDC-4BFE-94FB-7E13B8427645}"/>
    <cellStyle name="Migliaia 59 2 2 4 7" xfId="11003" xr:uid="{D5937122-D151-4D7E-BC72-B8A4532DC36F}"/>
    <cellStyle name="Migliaia 59 2 2 5" xfId="21073" xr:uid="{CE824B94-557F-44DC-AD52-CBE96B715888}"/>
    <cellStyle name="Migliaia 59 2 2 6" xfId="25535" xr:uid="{CF79C21C-285C-4EDF-99BA-CD461E279A88}"/>
    <cellStyle name="Migliaia 59 2 2 7" xfId="7615" xr:uid="{0312DD6C-87DD-4A28-A80E-467ABB6E8DC3}"/>
    <cellStyle name="Migliaia 59 2 3" xfId="3971" xr:uid="{19961814-DD21-495A-87D6-B1D0C0771451}"/>
    <cellStyle name="Migliaia 59 2 3 2" xfId="5697" xr:uid="{624BDB64-A7ED-4B6D-9F03-08FA24EC6177}"/>
    <cellStyle name="Migliaia 59 2 3 2 2" xfId="35502" xr:uid="{AEFC9286-E3D1-43C6-B90E-8091275239A3}"/>
    <cellStyle name="Migliaia 59 2 3 2 2 2" xfId="40662" xr:uid="{787649A9-5CB9-45F4-8100-FBD30F6EE756}"/>
    <cellStyle name="Migliaia 59 2 3 2 2 3" xfId="45964" xr:uid="{94F98A04-B7A6-4577-BE17-37592FDBA85D}"/>
    <cellStyle name="Migliaia 59 2 3 2 3" xfId="38011" xr:uid="{D762248D-0EB9-42CC-8435-A16AD85F45F3}"/>
    <cellStyle name="Migliaia 59 2 3 2 4" xfId="43313" xr:uid="{A8F20058-A67F-477F-BDED-5ADBE1DBC8CC}"/>
    <cellStyle name="Migliaia 59 2 3 2 5" xfId="14342" xr:uid="{6AAA2B0A-ACA5-4FBC-B1A6-10706DEA9929}"/>
    <cellStyle name="Migliaia 59 2 3 3" xfId="6867" xr:uid="{112A2AAD-6FEE-4B78-8593-23883F73081E}"/>
    <cellStyle name="Migliaia 59 2 3 3 2" xfId="34738" xr:uid="{A23BD02E-9F89-43E0-B0DB-D07BD78D029B}"/>
    <cellStyle name="Migliaia 59 2 3 3 3" xfId="21075" xr:uid="{AF563BC5-34E4-40D9-9706-AFCAA12DCBD9}"/>
    <cellStyle name="Migliaia 59 2 3 4" xfId="25537" xr:uid="{97D363E2-29E3-49A5-B5AB-4D6AF51EEC6E}"/>
    <cellStyle name="Migliaia 59 2 3 5" xfId="16860" xr:uid="{E5B7E5C2-1201-4652-91B6-A85596951F0B}"/>
    <cellStyle name="Migliaia 59 2 3 6" xfId="8404" xr:uid="{A4B2A9ED-795A-4FBD-8418-03B53534D557}"/>
    <cellStyle name="Migliaia 59 2 4" xfId="5695" xr:uid="{463D1497-2C96-4022-933E-533D26C6D4B0}"/>
    <cellStyle name="Migliaia 59 2 4 2" xfId="14047" xr:uid="{FDB2D748-3E72-4352-A905-E26207697D5D}"/>
    <cellStyle name="Migliaia 59 2 4 2 2" xfId="34739" xr:uid="{AF2AB22B-E6FD-4619-908C-49DD8676871C}"/>
    <cellStyle name="Migliaia 59 2 4 3" xfId="18686" xr:uid="{D9BFEF0E-5AB7-4B64-B724-343F83FC2587}"/>
    <cellStyle name="Migliaia 59 2 4 4" xfId="21076" xr:uid="{E36145D9-081B-412E-90D2-CDC53AAC0B11}"/>
    <cellStyle name="Migliaia 59 2 4 5" xfId="25538" xr:uid="{3AF4C960-44C8-4413-8723-BB8039C14BEB}"/>
    <cellStyle name="Migliaia 59 2 4 6" xfId="16861" xr:uid="{A8362972-3915-4445-B265-1633F40BDD7F}"/>
    <cellStyle name="Migliaia 59 2 4 7" xfId="8039" xr:uid="{19A39C03-57CD-498B-97AC-594B7C1250BA}"/>
    <cellStyle name="Migliaia 59 2 5" xfId="6865" xr:uid="{D8E9447B-45FB-4574-8CE4-0C2B98182208}"/>
    <cellStyle name="Migliaia 59 2 5 2" xfId="34740" xr:uid="{46A939B7-D32B-4FCF-9A30-3EA33420B264}"/>
    <cellStyle name="Migliaia 59 2 5 3" xfId="25539" xr:uid="{3594AB5A-6FC5-4FE6-842D-C2B11F0DE982}"/>
    <cellStyle name="Migliaia 59 2 5 4" xfId="13157" xr:uid="{5E7E2648-DEEA-4229-AB41-9AA376D0262F}"/>
    <cellStyle name="Migliaia 59 2 6" xfId="3969" xr:uid="{17DCF0A0-2785-4164-A982-BEE0FA0580B5}"/>
    <cellStyle name="Migliaia 59 2 6 2" xfId="34741" xr:uid="{20C0DC3C-274F-40CE-A78B-AE081CBC5427}"/>
    <cellStyle name="Migliaia 59 2 6 3" xfId="25540" xr:uid="{15997920-C447-4911-8A9A-3A0D236C3EBF}"/>
    <cellStyle name="Migliaia 59 2 6 4" xfId="21072" xr:uid="{AE3980F5-0A85-4B89-A80B-FAB0DC81385A}"/>
    <cellStyle name="Migliaia 59 2 7" xfId="34735" xr:uid="{57C8B458-10F6-4531-A905-B3DF6E7DA470}"/>
    <cellStyle name="Migliaia 59 2 8" xfId="25534" xr:uid="{8B407349-EF5B-4379-9DFC-143C71622411}"/>
    <cellStyle name="Migliaia 59 2 9" xfId="7205" xr:uid="{3F02E6E4-33BA-4F61-B8D7-FBCB46F7A995}"/>
    <cellStyle name="Migliaia 59 3" xfId="519" xr:uid="{00000000-0005-0000-0000-0000A8040000}"/>
    <cellStyle name="Migliaia 59 3 10" xfId="25541" xr:uid="{0E1CA05E-81EC-439B-A3CF-4089C161830D}"/>
    <cellStyle name="Migliaia 59 3 11" xfId="16862" xr:uid="{6BA6A39D-491C-4724-A4FC-9C1CB4F4F4A8}"/>
    <cellStyle name="Migliaia 59 3 12" xfId="7206" xr:uid="{69978404-4CD5-4713-BAC2-3F9D9BF1575D}"/>
    <cellStyle name="Migliaia 59 3 2" xfId="520" xr:uid="{00000000-0005-0000-0000-0000A9040000}"/>
    <cellStyle name="Migliaia 59 3 2 2" xfId="1927" xr:uid="{00000000-0005-0000-0000-0000AA040000}"/>
    <cellStyle name="Migliaia 59 3 2 2 2" xfId="5700" xr:uid="{92E8663A-D553-4F37-950F-BBBE85F92F31}"/>
    <cellStyle name="Migliaia 59 3 2 2 2 2" xfId="18525" xr:uid="{D62F3241-25BC-42EA-93C7-C230A6133317}"/>
    <cellStyle name="Migliaia 59 3 2 2 2 2 2" xfId="21895" xr:uid="{8D9F9E75-F36A-481A-AB4B-DE7750D39700}"/>
    <cellStyle name="Migliaia 59 3 2 2 2 2 3" xfId="34745" xr:uid="{FE158BC7-7D49-4AC7-B1DF-3F766E9EB65A}"/>
    <cellStyle name="Migliaia 59 3 2 2 2 3" xfId="25544" xr:uid="{42CA5567-098A-4E26-B31F-9DB48A98D51D}"/>
    <cellStyle name="Migliaia 59 3 2 2 2 4" xfId="47162" xr:uid="{C7819046-4E74-42EA-9A9D-A36B2F3B338D}"/>
    <cellStyle name="Migliaia 59 3 2 2 2 5" xfId="50923" xr:uid="{C0D603A3-31F8-4E75-BCDF-D33DC04C49CD}"/>
    <cellStyle name="Migliaia 59 3 2 2 2 6" xfId="53939" xr:uid="{0FAE021E-BA39-4F5F-8427-1FD7BEBA323D}"/>
    <cellStyle name="Migliaia 59 3 2 2 2 7" xfId="17694" xr:uid="{0333FF77-E13E-49FB-BDF2-75C72C608949}"/>
    <cellStyle name="Migliaia 59 3 2 2 2 8" xfId="12103" xr:uid="{57E9E4FF-3C2E-4BF1-8715-0B9AAB11AE1B}"/>
    <cellStyle name="Migliaia 59 3 2 2 3" xfId="6870" xr:uid="{342355E0-FB30-4330-A676-95949EA33997}"/>
    <cellStyle name="Migliaia 59 3 2 2 3 2" xfId="34744" xr:uid="{8D1A4CF8-78A9-4B02-AED5-A90309B3DE56}"/>
    <cellStyle name="Migliaia 59 3 2 2 3 3" xfId="11574" xr:uid="{7F4F170B-10CD-4F2A-8280-747C94E8C33C}"/>
    <cellStyle name="Migliaia 59 3 2 2 4" xfId="3974" xr:uid="{52AB5E2A-47D2-4DD4-AD12-9E8F1525D9FB}"/>
    <cellStyle name="Migliaia 59 3 2 2 4 2" xfId="21639" xr:uid="{9FCFB646-F108-44C4-B797-9A2970999C86}"/>
    <cellStyle name="Migliaia 59 3 2 2 4 3" xfId="25183" xr:uid="{1B50F894-F4AF-47D6-B68B-055A420AA723}"/>
    <cellStyle name="Migliaia 59 3 2 2 4 4" xfId="50654" xr:uid="{388EBFA1-F954-459B-9BA2-81399A20F554}"/>
    <cellStyle name="Migliaia 59 3 2 2 4 5" xfId="53670" xr:uid="{D6152F96-8030-45D4-9029-5BC1BE8E254C}"/>
    <cellStyle name="Migliaia 59 3 2 2 4 6" xfId="11004" xr:uid="{9E76A932-DF49-4996-A996-6A5ACC263FFC}"/>
    <cellStyle name="Migliaia 59 3 2 2 5" xfId="21079" xr:uid="{318FF9A2-B81D-421C-8D63-AF9E35DA64F1}"/>
    <cellStyle name="Migliaia 59 3 2 2 6" xfId="25543" xr:uid="{2BC0DB3D-7A1D-43B7-BE82-2CCE33C9E8B7}"/>
    <cellStyle name="Migliaia 59 3 2 2 7" xfId="8807" xr:uid="{82245509-A9F9-4A15-95FD-0A552D16C530}"/>
    <cellStyle name="Migliaia 59 3 2 3" xfId="5699" xr:uid="{68793C65-A3A2-4B10-A914-3B1470F8C98E}"/>
    <cellStyle name="Migliaia 59 3 2 3 2" xfId="12220" xr:uid="{78C74E16-5B1B-4D25-A2A1-8E3F4234562B}"/>
    <cellStyle name="Migliaia 59 3 2 3 2 2" xfId="34746" xr:uid="{6FD36953-9707-44E6-A324-544A59090626}"/>
    <cellStyle name="Migliaia 59 3 2 3 3" xfId="12104" xr:uid="{7741254A-E62E-4C0A-B3C3-BAC5164B77F4}"/>
    <cellStyle name="Migliaia 59 3 2 3 4" xfId="21080" xr:uid="{328F6FFA-69CF-4780-AC33-CCACF2CEA91C}"/>
    <cellStyle name="Migliaia 59 3 2 3 5" xfId="25545" xr:uid="{34AEAAD5-5229-4490-8C49-E35B96623DB9}"/>
    <cellStyle name="Migliaia 59 3 2 3 6" xfId="16863" xr:uid="{EA3A8688-24A8-4576-AB08-B5AF9872C42C}"/>
    <cellStyle name="Migliaia 59 3 2 3 7" xfId="8041" xr:uid="{8295F2E0-12DA-464E-B312-1ABDCC8926AC}"/>
    <cellStyle name="Migliaia 59 3 2 4" xfId="6869" xr:uid="{24B6FDB7-B8D4-4B20-90CE-505931E428EE}"/>
    <cellStyle name="Migliaia 59 3 2 4 2" xfId="18111" xr:uid="{54D19323-7309-4AA1-8086-67D01506108B}"/>
    <cellStyle name="Migliaia 59 3 2 4 2 2" xfId="34747" xr:uid="{F2B3124A-0625-4212-80B8-AB9E2C16871F}"/>
    <cellStyle name="Migliaia 59 3 2 4 3" xfId="25546" xr:uid="{00960D1F-97AA-42B7-A548-0163AC7E471B}"/>
    <cellStyle name="Migliaia 59 3 2 4 4" xfId="17244" xr:uid="{6A8BCA49-A9B0-458B-8F77-79CB17F96210}"/>
    <cellStyle name="Migliaia 59 3 2 4 5" xfId="11456" xr:uid="{8AC04724-2A8A-449F-BF31-4AD55E7F18B0}"/>
    <cellStyle name="Migliaia 59 3 2 5" xfId="3973" xr:uid="{398FDF36-589A-418D-BB43-25ACC5B8F9CD}"/>
    <cellStyle name="Migliaia 59 3 2 5 2" xfId="34748" xr:uid="{3314DE75-CB37-4432-B615-B6B13F56E15E}"/>
    <cellStyle name="Migliaia 59 3 2 5 3" xfId="25547" xr:uid="{B284BED0-119E-4202-9D42-3B6B18E1109D}"/>
    <cellStyle name="Migliaia 59 3 2 5 4" xfId="17264" xr:uid="{AB17305E-777B-4A0D-BF9E-7669C87EF659}"/>
    <cellStyle name="Migliaia 59 3 2 6" xfId="21078" xr:uid="{2EA72201-5273-4CDE-973A-81773034E5BE}"/>
    <cellStyle name="Migliaia 59 3 2 6 2" xfId="34749" xr:uid="{BCC1C8A3-8DCF-40D7-820B-246E616CFC6A}"/>
    <cellStyle name="Migliaia 59 3 2 6 3" xfId="25548" xr:uid="{5ED6BBEC-9FD8-4830-BDFC-DDC110561683}"/>
    <cellStyle name="Migliaia 59 3 2 7" xfId="34743" xr:uid="{04E9A7C4-8AC5-40F5-8501-72443D026F47}"/>
    <cellStyle name="Migliaia 59 3 2 8" xfId="25542" xr:uid="{2B23779D-4A4D-4DE5-99B1-02F4075A4ACE}"/>
    <cellStyle name="Migliaia 59 3 2 9" xfId="7617" xr:uid="{52F6DE15-FA4A-4588-97D6-25FE2C582BFC}"/>
    <cellStyle name="Migliaia 59 3 3" xfId="3975" xr:uid="{4625AA40-09DF-45F3-8795-F7ED6769B6AA}"/>
    <cellStyle name="Migliaia 59 3 3 2" xfId="5701" xr:uid="{768748BF-3882-47E3-B1F2-5F2DEBA9144A}"/>
    <cellStyle name="Migliaia 59 3 3 2 2" xfId="9990" xr:uid="{B0FF5AED-A91B-42BC-A37B-A26749B9FBF4}"/>
    <cellStyle name="Migliaia 59 3 3 2 2 2" xfId="34751" xr:uid="{C2865A6D-B32A-4A71-B934-5685B4921A1F}"/>
    <cellStyle name="Migliaia 59 3 3 2 3" xfId="18270" xr:uid="{4932E979-72B0-40AA-8A5C-8A1EF0D049E3}"/>
    <cellStyle name="Migliaia 59 3 3 2 4" xfId="21082" xr:uid="{80036B3F-26D9-4B9A-B429-883CABC56923}"/>
    <cellStyle name="Migliaia 59 3 3 2 5" xfId="25550" xr:uid="{F597F60F-7A04-4E99-B239-60DAD8103555}"/>
    <cellStyle name="Migliaia 59 3 3 2 6" xfId="16865" xr:uid="{02BBC7DE-E820-47F3-B23A-8E639BCFAEAC}"/>
    <cellStyle name="Migliaia 59 3 3 2 7" xfId="8806" xr:uid="{7670A52A-827C-4ADE-8260-95BAF2B9EFF8}"/>
    <cellStyle name="Migliaia 59 3 3 3" xfId="6871" xr:uid="{1CF6A832-5738-4727-8ACC-CC68843EFE45}"/>
    <cellStyle name="Migliaia 59 3 3 3 2" xfId="34752" xr:uid="{D986138A-1284-42EF-91BC-7DD3A83A177C}"/>
    <cellStyle name="Migliaia 59 3 3 3 3" xfId="25551" xr:uid="{C8FA7689-B7EC-4199-B326-175E46844BF4}"/>
    <cellStyle name="Migliaia 59 3 3 3 4" xfId="9753" xr:uid="{022C5767-4AF3-4B61-946B-88CA8FF59C48}"/>
    <cellStyle name="Migliaia 59 3 3 4" xfId="21081" xr:uid="{0EB0C9F8-63E7-4205-807F-9AB9F81EAEC4}"/>
    <cellStyle name="Migliaia 59 3 3 4 2" xfId="34753" xr:uid="{40A2D06D-A35A-48FC-A1AA-1BF6E1E33B19}"/>
    <cellStyle name="Migliaia 59 3 3 4 3" xfId="25552" xr:uid="{2B0FD7A2-98B2-491E-9276-25820F6D9FF1}"/>
    <cellStyle name="Migliaia 59 3 3 4 4" xfId="48896" xr:uid="{71046324-C357-47C9-B0EC-993128412505}"/>
    <cellStyle name="Migliaia 59 3 3 5" xfId="25553" xr:uid="{48046FE8-A018-4567-8317-8777B698C514}"/>
    <cellStyle name="Migliaia 59 3 3 5 2" xfId="34754" xr:uid="{A9A974C9-B436-40EA-8F25-24B7BC2D3358}"/>
    <cellStyle name="Migliaia 59 3 3 5 3" xfId="48897" xr:uid="{58886714-A684-41E3-9321-28A7F47117A5}"/>
    <cellStyle name="Migliaia 59 3 3 6" xfId="34750" xr:uid="{1089E21F-54C9-4E58-A25B-4EA0CB9612BD}"/>
    <cellStyle name="Migliaia 59 3 3 7" xfId="25549" xr:uid="{7A2C60D1-BDCD-4CF5-A7C5-7953BB90A90B}"/>
    <cellStyle name="Migliaia 59 3 3 8" xfId="16864" xr:uid="{BC2B284F-B86A-4D61-BD0B-A85A55262FBE}"/>
    <cellStyle name="Migliaia 59 3 3 9" xfId="7616" xr:uid="{737E2C7E-A1DA-4591-A221-7E276F35FE97}"/>
    <cellStyle name="Migliaia 59 3 4" xfId="3976" xr:uid="{08D5E87A-8A05-42CB-82C5-F65B0689DE5A}"/>
    <cellStyle name="Migliaia 59 3 4 2" xfId="5702" xr:uid="{0BD71147-08C3-444D-8CE9-E77B8B1D9009}"/>
    <cellStyle name="Migliaia 59 3 4 2 2" xfId="14477" xr:uid="{2876B83A-A264-4D27-A56E-ADC1E16AB72A}"/>
    <cellStyle name="Migliaia 59 3 4 2 3" xfId="18146" xr:uid="{6962F4FE-0002-4AE1-90C6-67F69E955C8A}"/>
    <cellStyle name="Migliaia 59 3 4 2 4" xfId="21084" xr:uid="{5D9D4D62-895C-46F6-8C7E-931F578C375B}"/>
    <cellStyle name="Migliaia 59 3 4 2 5" xfId="32483" xr:uid="{8DE75A46-CC69-465A-BA90-7B77F1605D99}"/>
    <cellStyle name="Migliaia 59 3 4 2 6" xfId="16867" xr:uid="{582776ED-2E57-4A2C-A8BC-8F632DF4D02C}"/>
    <cellStyle name="Migliaia 59 3 4 2 7" xfId="8900" xr:uid="{C078EE79-C6BF-464C-97E9-0F5CBF5F40C8}"/>
    <cellStyle name="Migliaia 59 3 4 3" xfId="6872" xr:uid="{E2162269-1CA9-4CF4-AB4C-D8135E6C3009}"/>
    <cellStyle name="Migliaia 59 3 4 3 2" xfId="35503" xr:uid="{8B667C70-61C6-489F-AA98-EF47A12DDFCC}"/>
    <cellStyle name="Migliaia 59 3 4 3 2 2" xfId="40663" xr:uid="{9D1C7B45-4A89-4F46-AFD7-1EF5387E9A17}"/>
    <cellStyle name="Migliaia 59 3 4 3 2 3" xfId="45965" xr:uid="{3619791A-C778-4F0E-9BC1-4D05A94C16EE}"/>
    <cellStyle name="Migliaia 59 3 4 3 3" xfId="38012" xr:uid="{08C960ED-D425-4314-B943-8044E6C41C37}"/>
    <cellStyle name="Migliaia 59 3 4 3 4" xfId="43314" xr:uid="{05A70753-67DA-4E7A-8EE9-3C66502D5866}"/>
    <cellStyle name="Migliaia 59 3 4 3 5" xfId="13725" xr:uid="{727602D4-67F5-42C0-B633-E7344747AAB8}"/>
    <cellStyle name="Migliaia 59 3 4 4" xfId="21083" xr:uid="{D28ACF4D-C75E-474A-9E3D-219A1925AC5A}"/>
    <cellStyle name="Migliaia 59 3 4 4 2" xfId="34755" xr:uid="{A61580FB-66B8-48ED-A2CF-F6FDDC91EAD7}"/>
    <cellStyle name="Migliaia 59 3 4 5" xfId="25554" xr:uid="{F4D480D4-BC85-4B1E-9437-CDB816A2587F}"/>
    <cellStyle name="Migliaia 59 3 4 6" xfId="16866" xr:uid="{200A1E9C-2CFD-4810-9F60-C3B82D074D48}"/>
    <cellStyle name="Migliaia 59 3 4 7" xfId="7710" xr:uid="{A2737947-F711-46BC-A163-6E539ED45081}"/>
    <cellStyle name="Migliaia 59 3 5" xfId="3977" xr:uid="{180CE4AE-5577-4EEC-8C20-EB63DD9A6F90}"/>
    <cellStyle name="Migliaia 59 3 5 2" xfId="5703" xr:uid="{C3DB03DF-A2FF-44BB-96B7-8B5AC90F08F0}"/>
    <cellStyle name="Migliaia 59 3 5 2 2" xfId="35504" xr:uid="{B22B2CCA-B519-403E-B1D6-F8BCC402825F}"/>
    <cellStyle name="Migliaia 59 3 5 2 2 2" xfId="40664" xr:uid="{7C0CC19F-31A4-41FA-9B13-F40A53B76D8F}"/>
    <cellStyle name="Migliaia 59 3 5 2 2 3" xfId="45966" xr:uid="{AB6281AE-590B-4DE7-ACEC-2D26A82A7417}"/>
    <cellStyle name="Migliaia 59 3 5 2 3" xfId="38013" xr:uid="{828551EF-2498-4A3C-BF1B-4E81471F7EB0}"/>
    <cellStyle name="Migliaia 59 3 5 2 4" xfId="43315" xr:uid="{36580944-23F2-42FD-99BE-FEF9C28EFB81}"/>
    <cellStyle name="Migliaia 59 3 5 2 5" xfId="14343" xr:uid="{877FB93F-351F-4EB1-8465-C90AEA7FF725}"/>
    <cellStyle name="Migliaia 59 3 5 3" xfId="6873" xr:uid="{BD3A0EFF-2F98-497C-95D2-CFD402E7BA71}"/>
    <cellStyle name="Migliaia 59 3 5 3 2" xfId="34756" xr:uid="{2231C3F2-BBAF-48FB-92E7-0EC15E1997F6}"/>
    <cellStyle name="Migliaia 59 3 5 3 3" xfId="21085" xr:uid="{22A19213-0652-4B4D-9AF3-0438D01D3CF7}"/>
    <cellStyle name="Migliaia 59 3 5 4" xfId="25555" xr:uid="{4AC34506-7FEF-4B3B-9CA2-801CE938ED84}"/>
    <cellStyle name="Migliaia 59 3 5 5" xfId="16868" xr:uid="{831F72C9-9420-404E-B7B8-E4E5469B7CFD}"/>
    <cellStyle name="Migliaia 59 3 5 6" xfId="8405" xr:uid="{82BF376D-566E-4740-9B9D-82067CBB6DFC}"/>
    <cellStyle name="Migliaia 59 3 6" xfId="5698" xr:uid="{E22542AF-051A-4C04-93E6-EB2E70A465F8}"/>
    <cellStyle name="Migliaia 59 3 6 2" xfId="14048" xr:uid="{4D3440CD-780B-4DAC-9A61-D89A284792A0}"/>
    <cellStyle name="Migliaia 59 3 6 2 2" xfId="34757" xr:uid="{21EA1F2F-69A3-466F-B12C-89D162E5EECB}"/>
    <cellStyle name="Migliaia 59 3 6 3" xfId="18600" xr:uid="{ADBB3064-248D-4531-9DBC-E87C908F9797}"/>
    <cellStyle name="Migliaia 59 3 6 4" xfId="21086" xr:uid="{9615EB28-03B4-47D0-A1CE-E9658ED9601D}"/>
    <cellStyle name="Migliaia 59 3 6 5" xfId="25556" xr:uid="{EA1C3646-9688-4F19-B31B-42544EF4A8A3}"/>
    <cellStyle name="Migliaia 59 3 6 6" xfId="16869" xr:uid="{5AD72796-030C-4B67-8277-6CE4707D8F8C}"/>
    <cellStyle name="Migliaia 59 3 6 7" xfId="8040" xr:uid="{5FD20C1E-5399-45EA-9A51-EE74FAC126D9}"/>
    <cellStyle name="Migliaia 59 3 7" xfId="6868" xr:uid="{7EC32BAE-D2B3-46E7-91CD-66AD26415B1F}"/>
    <cellStyle name="Migliaia 59 3 7 2" xfId="34758" xr:uid="{447A1EE5-0943-419A-9163-881A9074E006}"/>
    <cellStyle name="Migliaia 59 3 7 3" xfId="25557" xr:uid="{971DC905-E9E6-4B06-A343-2C61A0FB5BAC}"/>
    <cellStyle name="Migliaia 59 3 7 4" xfId="12286" xr:uid="{753D349B-8879-4FD4-BA3A-78F87FED4E1A}"/>
    <cellStyle name="Migliaia 59 3 8" xfId="3972" xr:uid="{1177A450-7BEA-4C8F-8600-CA25E211D92C}"/>
    <cellStyle name="Migliaia 59 3 8 2" xfId="34759" xr:uid="{491F4102-2568-4ECD-97F4-15AA6470F2EE}"/>
    <cellStyle name="Migliaia 59 3 8 3" xfId="25558" xr:uid="{630A602C-101C-4498-B43E-6D5DDB2B9C27}"/>
    <cellStyle name="Migliaia 59 3 8 4" xfId="17265" xr:uid="{8DB9EF5C-3980-4CC1-A448-F3BB4D67084E}"/>
    <cellStyle name="Migliaia 59 3 9" xfId="21077" xr:uid="{695EA473-EE78-4478-BA9D-697EA242F3D5}"/>
    <cellStyle name="Migliaia 59 3 9 2" xfId="34742" xr:uid="{1F4CB95E-AA9E-4F48-98BF-C3DFC6CF7D3B}"/>
    <cellStyle name="Migliaia 59 4" xfId="1928" xr:uid="{00000000-0005-0000-0000-0000AB040000}"/>
    <cellStyle name="Migliaia 59 4 10" xfId="7618" xr:uid="{1C6C56EC-5BEF-4951-B6DC-7635C4822CFF}"/>
    <cellStyle name="Migliaia 59 4 2" xfId="1929" xr:uid="{00000000-0005-0000-0000-0000AC040000}"/>
    <cellStyle name="Migliaia 59 4 2 2" xfId="5705" xr:uid="{662E79CB-951C-4229-B6FE-A5C313F4F09D}"/>
    <cellStyle name="Migliaia 59 4 2 2 2" xfId="34762" xr:uid="{A462BAE8-0479-4061-8A24-1DDD9238BB3B}"/>
    <cellStyle name="Migliaia 59 4 2 2 3" xfId="25561" xr:uid="{A1945897-A820-427F-B9DD-5665AC15FDD3}"/>
    <cellStyle name="Migliaia 59 4 2 2 4" xfId="9216" xr:uid="{06431222-7DC2-4F62-B9A7-E833F6D02E04}"/>
    <cellStyle name="Migliaia 59 4 2 3" xfId="3979" xr:uid="{D23AD6A4-D431-43B1-B282-4292F65938A4}"/>
    <cellStyle name="Migliaia 59 4 2 3 2" xfId="34763" xr:uid="{9265F4E1-83F3-4672-80FD-40FA9FDF8F03}"/>
    <cellStyle name="Migliaia 59 4 2 3 3" xfId="25562" xr:uid="{7901C5C7-3276-4D0E-801C-B0A73164D06C}"/>
    <cellStyle name="Migliaia 59 4 2 3 4" xfId="12105" xr:uid="{4541F0AF-E21F-4808-8D8A-CE1D34E908C0}"/>
    <cellStyle name="Migliaia 59 4 2 4" xfId="11458" xr:uid="{FAAEABB7-D94E-4486-89B2-35FD810D2371}"/>
    <cellStyle name="Migliaia 59 4 2 4 2" xfId="34761" xr:uid="{3885504B-522F-4E70-B105-0240583CA90D}"/>
    <cellStyle name="Migliaia 59 4 2 5" xfId="11006" xr:uid="{D642B96F-70FC-4C62-953F-8CE4443E274A}"/>
    <cellStyle name="Migliaia 59 4 2 5 2" xfId="21641" xr:uid="{7C14FBFC-F99D-4762-8DBD-D040DB86B82D}"/>
    <cellStyle name="Migliaia 59 4 2 5 3" xfId="46710" xr:uid="{663233E2-D443-46DE-9851-CD6B34AA5FA4}"/>
    <cellStyle name="Migliaia 59 4 2 5 4" xfId="50656" xr:uid="{C0A38478-18A7-4336-A46D-C127CE3C0B66}"/>
    <cellStyle name="Migliaia 59 4 2 5 5" xfId="53672" xr:uid="{F5BF1785-2C4E-4BC8-9969-5EB9A5BC2F8C}"/>
    <cellStyle name="Migliaia 59 4 2 6" xfId="21088" xr:uid="{3781432A-2AE5-4366-A630-258F092F5017}"/>
    <cellStyle name="Migliaia 59 4 2 7" xfId="25560" xr:uid="{2B7A79F0-766A-4301-8F46-1E259AB73685}"/>
    <cellStyle name="Migliaia 59 4 2 8" xfId="8808" xr:uid="{0FFD6928-B1B6-4EF5-ABEA-D01E08D9F553}"/>
    <cellStyle name="Migliaia 59 4 3" xfId="5704" xr:uid="{9C815720-B59F-4F77-B72F-23DF3E0A9947}"/>
    <cellStyle name="Migliaia 59 4 3 2" xfId="18271" xr:uid="{F09E39DE-1487-4D0E-ACC5-6E96E954A345}"/>
    <cellStyle name="Migliaia 59 4 3 2 2" xfId="34764" xr:uid="{A8462604-AAA3-42EE-94E9-511C6214FDE6}"/>
    <cellStyle name="Migliaia 59 4 3 3" xfId="25563" xr:uid="{EDF2D0A6-7657-40B3-B7E2-C383AF2DD751}"/>
    <cellStyle name="Migliaia 59 4 3 4" xfId="17263" xr:uid="{EAC5A98C-8D38-4674-86C8-5D3C8C1A9F47}"/>
    <cellStyle name="Migliaia 59 4 3 5" xfId="9217" xr:uid="{F24DA519-AF3E-460F-88DD-3B7D649FB675}"/>
    <cellStyle name="Migliaia 59 4 4" xfId="6874" xr:uid="{25D4A860-4165-47FC-8ECC-3F5621BE761F}"/>
    <cellStyle name="Migliaia 59 4 4 2" xfId="34765" xr:uid="{A3B07DC6-D306-4D71-A608-A26CB60F4727}"/>
    <cellStyle name="Migliaia 59 4 4 3" xfId="25564" xr:uid="{DA94A2FD-06B6-4219-9D0B-0E70616574A3}"/>
    <cellStyle name="Migliaia 59 4 4 4" xfId="12106" xr:uid="{4FF9A8FC-DB25-4F7E-B903-C5129A5358A6}"/>
    <cellStyle name="Migliaia 59 4 5" xfId="3978" xr:uid="{BAC42A76-1D67-419A-8DAD-646E3C8130CF}"/>
    <cellStyle name="Migliaia 59 4 5 2" xfId="34766" xr:uid="{E05C2E5D-65EC-44FA-98C5-8ABB644CD317}"/>
    <cellStyle name="Migliaia 59 4 5 3" xfId="25565" xr:uid="{163201E0-7D98-4A48-811E-76F56849630B}"/>
    <cellStyle name="Migliaia 59 4 5 4" xfId="11457" xr:uid="{C3F774CA-4BCA-4CC2-8DCA-C87A2061B737}"/>
    <cellStyle name="Migliaia 59 4 6" xfId="11005" xr:uid="{E9C7D4B3-20E2-43C9-B377-AF788FBB5B6C}"/>
    <cellStyle name="Migliaia 59 4 6 2" xfId="21640" xr:uid="{DCAD4FC8-928A-4123-B152-B967A0915563}"/>
    <cellStyle name="Migliaia 59 4 6 2 2" xfId="34767" xr:uid="{83DC7640-2AEA-42F0-913B-170D3A503591}"/>
    <cellStyle name="Migliaia 59 4 6 3" xfId="25566" xr:uid="{C33E4066-5323-4962-9E3E-F96EF728046D}"/>
    <cellStyle name="Migliaia 59 4 6 4" xfId="32340" xr:uid="{9604BF9F-32D9-4986-B643-C369581EB49E}"/>
    <cellStyle name="Migliaia 59 4 6 5" xfId="48898" xr:uid="{3EE25145-5192-464D-814C-EB265425525C}"/>
    <cellStyle name="Migliaia 59 4 6 6" xfId="50655" xr:uid="{C94A1416-57F1-4706-B7C8-E49008817925}"/>
    <cellStyle name="Migliaia 59 4 6 7" xfId="53671" xr:uid="{DED049D5-7147-4CF2-8321-330DBA75D48F}"/>
    <cellStyle name="Migliaia 59 4 7" xfId="21087" xr:uid="{D0546396-F449-46ED-B872-B0918A72F733}"/>
    <cellStyle name="Migliaia 59 4 7 2" xfId="34768" xr:uid="{614DC12C-0397-4950-A963-7AAC596A1A4E}"/>
    <cellStyle name="Migliaia 59 4 7 3" xfId="25567" xr:uid="{EEDA5D9B-896A-4A0B-B9B5-BA3CE8D26685}"/>
    <cellStyle name="Migliaia 59 4 8" xfId="34760" xr:uid="{A9530F58-551B-45B9-999A-FD00C24ED4EA}"/>
    <cellStyle name="Migliaia 59 4 9" xfId="25559" xr:uid="{8AD26496-ACA8-43EA-8ADC-E0703EAA3A5C}"/>
    <cellStyle name="Migliaia 59 5" xfId="1930" xr:uid="{00000000-0005-0000-0000-0000AD040000}"/>
    <cellStyle name="Migliaia 59 5 2" xfId="5706" xr:uid="{C90EB476-1402-426C-BD9A-9ABE73BAC860}"/>
    <cellStyle name="Migliaia 59 5 2 2" xfId="18526" xr:uid="{A72927F3-2E3C-44E4-A301-14855CE33F58}"/>
    <cellStyle name="Migliaia 59 5 2 2 2" xfId="34770" xr:uid="{5AE54508-E5DE-4399-979F-9AD39F881230}"/>
    <cellStyle name="Migliaia 59 5 2 3" xfId="21090" xr:uid="{BAF24A4C-F9D9-4F55-84BC-2B2642B27077}"/>
    <cellStyle name="Migliaia 59 5 2 4" xfId="25569" xr:uid="{2B4EF7F7-6F12-42DB-90AE-29F00EB33AB3}"/>
    <cellStyle name="Migliaia 59 5 2 5" xfId="16870" xr:uid="{64409585-947A-4C9B-83CE-D2386772578F}"/>
    <cellStyle name="Migliaia 59 5 2 6" xfId="8809" xr:uid="{A16D871B-45CB-46DA-B74E-3684C6EA2858}"/>
    <cellStyle name="Migliaia 59 5 3" xfId="6875" xr:uid="{C29CDFA8-F6E7-4CA7-A011-41D89C4B4975}"/>
    <cellStyle name="Migliaia 59 5 3 2" xfId="34771" xr:uid="{9F679E42-EF8C-4A37-99B5-C2BF32E015BB}"/>
    <cellStyle name="Migliaia 59 5 3 3" xfId="25570" xr:uid="{BA2FDE03-9358-4DA3-852A-83D3A997FFBE}"/>
    <cellStyle name="Migliaia 59 5 3 4" xfId="11459" xr:uid="{FB8AE5C9-73AF-48E2-89A8-504EBEB96937}"/>
    <cellStyle name="Migliaia 59 5 4" xfId="3980" xr:uid="{10BB5540-6CFA-4F54-859F-C0B2F9F6A061}"/>
    <cellStyle name="Migliaia 59 5 4 2" xfId="21642" xr:uid="{F546929C-8E74-4EC0-826C-F4AB00818415}"/>
    <cellStyle name="Migliaia 59 5 4 2 2" xfId="34772" xr:uid="{78C8AE70-ECF1-48FA-BCA6-498713BCEAF9}"/>
    <cellStyle name="Migliaia 59 5 4 3" xfId="25571" xr:uid="{3BACDCB3-D091-409A-A42C-E9E51292B095}"/>
    <cellStyle name="Migliaia 59 5 4 4" xfId="47034" xr:uid="{95A3DF9B-2A03-4450-81E3-B036FDAD9DF4}"/>
    <cellStyle name="Migliaia 59 5 4 5" xfId="48899" xr:uid="{E0EC76B9-394C-4E96-A2F5-036E515D70A6}"/>
    <cellStyle name="Migliaia 59 5 4 6" xfId="50657" xr:uid="{62E34E18-6490-4733-ABAE-4C7229CEF7CF}"/>
    <cellStyle name="Migliaia 59 5 4 7" xfId="53673" xr:uid="{6E15A9B8-8553-4355-BF1A-BFF989A76C68}"/>
    <cellStyle name="Migliaia 59 5 4 8" xfId="11007" xr:uid="{D463884F-0139-4DC5-942E-2358C02370DC}"/>
    <cellStyle name="Migliaia 59 5 5" xfId="21089" xr:uid="{AA6C6D43-9608-4825-877E-A0945132FE32}"/>
    <cellStyle name="Migliaia 59 5 5 2" xfId="34773" xr:uid="{CAB4AE65-7A11-4CBE-BD2D-4E102F9EF4AE}"/>
    <cellStyle name="Migliaia 59 5 5 3" xfId="25572" xr:uid="{484EA2E4-95B1-4B68-8F9D-2F010CFB1E30}"/>
    <cellStyle name="Migliaia 59 5 5 4" xfId="48900" xr:uid="{3C1B571C-AFCB-4BDD-ADC4-6BA459FC7393}"/>
    <cellStyle name="Migliaia 59 5 6" xfId="25573" xr:uid="{EA6822FD-A395-4686-A23B-7ED504BC131B}"/>
    <cellStyle name="Migliaia 59 5 6 2" xfId="34774" xr:uid="{18850269-A3D4-4F45-BE0C-3135BE41A58A}"/>
    <cellStyle name="Migliaia 59 5 7" xfId="34769" xr:uid="{7A7C52F3-72F2-4465-B23E-CAE2B4BBDC4E}"/>
    <cellStyle name="Migliaia 59 5 8" xfId="25568" xr:uid="{E2C7D484-C530-4DED-9EB9-A6FD8A6A8480}"/>
    <cellStyle name="Migliaia 59 5 9" xfId="7619" xr:uid="{B846E27A-B5DB-46A0-BB2B-A9E874840136}"/>
    <cellStyle name="Migliaia 59 6" xfId="3981" xr:uid="{B0ABC0F7-5AD6-4B68-9306-A51D0EA67613}"/>
    <cellStyle name="Migliaia 59 6 2" xfId="5707" xr:uid="{5C892C50-02F7-482B-A90B-11A765B6E67D}"/>
    <cellStyle name="Migliaia 59 6 2 2" xfId="9989" xr:uid="{A2FA39C9-64FB-40F8-B971-E8EE128C7124}"/>
    <cellStyle name="Migliaia 59 6 2 3" xfId="18119" xr:uid="{7F3AEEC6-B658-47A8-9A4D-C0968CD8E37E}"/>
    <cellStyle name="Migliaia 59 6 2 4" xfId="21092" xr:uid="{3D5B4A7F-C935-458F-A1B1-660BF6282CF9}"/>
    <cellStyle name="Migliaia 59 6 2 5" xfId="32484" xr:uid="{44544E96-0E0D-4764-893A-6596328D7FC9}"/>
    <cellStyle name="Migliaia 59 6 2 6" xfId="16872" xr:uid="{3E04857B-2587-4C39-9738-E33237FAD4D0}"/>
    <cellStyle name="Migliaia 59 6 2 7" xfId="8804" xr:uid="{41036C99-40C4-4ADE-A6C7-F67D09481496}"/>
    <cellStyle name="Migliaia 59 6 3" xfId="6876" xr:uid="{8AAF8921-C6BB-43C2-80CA-2BA034A89896}"/>
    <cellStyle name="Migliaia 59 6 3 2" xfId="35505" xr:uid="{989E32F7-9078-422B-9C70-FF37513A31CF}"/>
    <cellStyle name="Migliaia 59 6 3 2 2" xfId="40665" xr:uid="{B60AA45C-8946-44A8-8591-412D8CDF7173}"/>
    <cellStyle name="Migliaia 59 6 3 2 3" xfId="45967" xr:uid="{9CEFEDA5-979B-433A-BAC0-6F8E55737557}"/>
    <cellStyle name="Migliaia 59 6 3 3" xfId="38014" xr:uid="{F82F3211-7B07-4B5E-A77E-6D150A58681A}"/>
    <cellStyle name="Migliaia 59 6 3 4" xfId="43316" xr:uid="{23F2E980-9C84-4665-87F6-A8BB6A602D51}"/>
    <cellStyle name="Migliaia 59 6 3 5" xfId="9752" xr:uid="{2CD43957-19A3-4695-861A-2606AA9F47C5}"/>
    <cellStyle name="Migliaia 59 6 4" xfId="21091" xr:uid="{6A2DEC2B-95F4-4242-A983-E1A0B61CAFA2}"/>
    <cellStyle name="Migliaia 59 6 4 2" xfId="34775" xr:uid="{80C9FB4E-BBB1-41F4-A8EF-15FA6BEBFFFA}"/>
    <cellStyle name="Migliaia 59 6 5" xfId="25574" xr:uid="{F2260A9A-32DB-43C4-AEC6-479B18E9A177}"/>
    <cellStyle name="Migliaia 59 6 6" xfId="16871" xr:uid="{B878AFAC-22C5-4B7E-8BDF-4CEA36C87B3A}"/>
    <cellStyle name="Migliaia 59 6 7" xfId="7614" xr:uid="{7BA2A023-7820-4854-8BF1-2C3AAB4EB437}"/>
    <cellStyle name="Migliaia 59 7" xfId="3982" xr:uid="{531DD226-7E94-421D-8AEF-FA6F6AB22B57}"/>
    <cellStyle name="Migliaia 59 7 2" xfId="5708" xr:uid="{6BA661C8-9962-4EEA-ADE5-12DB2789D107}"/>
    <cellStyle name="Migliaia 59 7 2 2" xfId="35506" xr:uid="{5241BCD1-BF61-4F14-9475-C2DEE11E5479}"/>
    <cellStyle name="Migliaia 59 7 2 2 2" xfId="40666" xr:uid="{B9A2D60C-9ADE-45E8-A835-285281E42BEF}"/>
    <cellStyle name="Migliaia 59 7 2 2 3" xfId="45968" xr:uid="{84CD4C08-8A42-4AC1-B083-9A1BBA45CEDF}"/>
    <cellStyle name="Migliaia 59 7 2 3" xfId="38015" xr:uid="{621F636F-8504-46D3-A5DD-A6B329292807}"/>
    <cellStyle name="Migliaia 59 7 2 4" xfId="43317" xr:uid="{771DCC85-03D9-49C6-903A-FE2B36B9740E}"/>
    <cellStyle name="Migliaia 59 7 2 5" xfId="14341" xr:uid="{22D17FF5-7797-468C-A78C-3097CEB5C04F}"/>
    <cellStyle name="Migliaia 59 7 3" xfId="6877" xr:uid="{074FBB88-0FBD-4304-B6E7-224A599185BE}"/>
    <cellStyle name="Migliaia 59 7 3 2" xfId="34776" xr:uid="{2B5C8992-4456-4EAC-B76F-A86FF822161E}"/>
    <cellStyle name="Migliaia 59 7 3 3" xfId="21093" xr:uid="{420C05A0-062B-4545-A6FE-B8A70CEF20FA}"/>
    <cellStyle name="Migliaia 59 7 4" xfId="25575" xr:uid="{0233F7D7-8EBF-4510-90B6-E919B96C2834}"/>
    <cellStyle name="Migliaia 59 7 5" xfId="16873" xr:uid="{3FB300D2-DDBD-4469-84BC-1DEDBFE39C75}"/>
    <cellStyle name="Migliaia 59 7 6" xfId="8403" xr:uid="{1F1FED92-96F5-45FA-9870-53487C535A9A}"/>
    <cellStyle name="Migliaia 59 8" xfId="3983" xr:uid="{133E183A-45E2-47B2-AF7C-589F9AEB6EAA}"/>
    <cellStyle name="Migliaia 59 8 2" xfId="5709" xr:uid="{C02CDA08-3CC9-46C2-B452-4F470D43E808}"/>
    <cellStyle name="Migliaia 59 8 2 2" xfId="35507" xr:uid="{54D53FE0-DCA5-4B41-9725-EE5332F7FBFD}"/>
    <cellStyle name="Migliaia 59 8 2 2 2" xfId="40667" xr:uid="{F1E1B507-184A-4D2E-92EF-BD312033A058}"/>
    <cellStyle name="Migliaia 59 8 2 2 3" xfId="45969" xr:uid="{535AA6A0-2A1C-4E7B-A211-F17DC617F623}"/>
    <cellStyle name="Migliaia 59 8 2 3" xfId="38016" xr:uid="{91A344AF-5B41-4DC8-9445-3161FF236671}"/>
    <cellStyle name="Migliaia 59 8 2 4" xfId="43318" xr:uid="{2070050C-D341-42F7-A325-D6C2478038E1}"/>
    <cellStyle name="Migliaia 59 8 2 5" xfId="14046" xr:uid="{99FB4661-8490-42D3-A34A-EB8B7CE1858A}"/>
    <cellStyle name="Migliaia 59 8 3" xfId="6878" xr:uid="{05CA00B1-4C40-4CF3-B184-934067E5CA9F}"/>
    <cellStyle name="Migliaia 59 8 3 2" xfId="34777" xr:uid="{AE781CD0-2582-4859-B485-983415DC571C}"/>
    <cellStyle name="Migliaia 59 8 3 3" xfId="21094" xr:uid="{009A90A6-2CBA-4BD3-92EB-605E5EA0135B}"/>
    <cellStyle name="Migliaia 59 8 4" xfId="25576" xr:uid="{D91143E2-F32F-41A6-9603-F78E671EC8A8}"/>
    <cellStyle name="Migliaia 59 8 5" xfId="16874" xr:uid="{65821E08-CDC7-4277-9220-75DBA6A24630}"/>
    <cellStyle name="Migliaia 59 8 6" xfId="8038" xr:uid="{D179043F-D17E-4E8F-8F33-6EDBE2F1FD4C}"/>
    <cellStyle name="Migliaia 59 9" xfId="5694" xr:uid="{8C920DCD-05B7-413F-ACE9-AEA14321E67F}"/>
    <cellStyle name="Migliaia 59 9 2" xfId="34778" xr:uid="{747BF9C0-2770-42A6-A921-0419AF5FF6E5}"/>
    <cellStyle name="Migliaia 59 9 3" xfId="25577" xr:uid="{1871E2FA-204E-495C-BAE4-1EC39CE4F280}"/>
    <cellStyle name="Migliaia 59 9 4" xfId="17243" xr:uid="{2237F074-81BD-4FA2-972F-73093D9795AF}"/>
    <cellStyle name="Migliaia 6" xfId="521" xr:uid="{00000000-0005-0000-0000-0000AE040000}"/>
    <cellStyle name="Migliaia 6 10" xfId="6879" xr:uid="{6FF015D3-8F7A-40F4-B864-D55219DA374E}"/>
    <cellStyle name="Migliaia 6 10 2" xfId="34779" xr:uid="{17EF1B9C-4D93-4277-B486-390BD25F1DC5}"/>
    <cellStyle name="Migliaia 6 10 3" xfId="21095" xr:uid="{ED283AF8-9DA7-43D7-ADA0-5DAD0F3A379B}"/>
    <cellStyle name="Migliaia 6 11" xfId="3984" xr:uid="{6B02B19B-A35D-4A57-AB0D-19F091249173}"/>
    <cellStyle name="Migliaia 6 11 2" xfId="25578" xr:uid="{E11C2564-E56A-43CA-BC16-81D622ACD452}"/>
    <cellStyle name="Migliaia 6 12" xfId="7207" xr:uid="{63B3921B-4A67-4136-80B8-BA7A8FCAE545}"/>
    <cellStyle name="Migliaia 6 2" xfId="522" xr:uid="{00000000-0005-0000-0000-0000AF040000}"/>
    <cellStyle name="Migliaia 6 2 2" xfId="1931" xr:uid="{00000000-0005-0000-0000-0000B0040000}"/>
    <cellStyle name="Migliaia 6 2 2 2" xfId="5712" xr:uid="{F0CB9972-2878-4969-8C7A-9968094A41FE}"/>
    <cellStyle name="Migliaia 6 2 2 2 2" xfId="14418" xr:uid="{44D593EE-274C-4286-8325-24016605A6AC}"/>
    <cellStyle name="Migliaia 6 2 2 2 2 2" xfId="34782" xr:uid="{ACD4D862-A1D4-4452-9732-67BEAFCACF25}"/>
    <cellStyle name="Migliaia 6 2 2 2 3" xfId="18527" xr:uid="{5A4F39B5-FB01-4EF5-BB42-A5BE6951A188}"/>
    <cellStyle name="Migliaia 6 2 2 2 4" xfId="21098" xr:uid="{9E5A45D9-60DB-4987-9D04-5EACDAA6F1FA}"/>
    <cellStyle name="Migliaia 6 2 2 2 5" xfId="25581" xr:uid="{6DB8B8FD-7E9A-4ED9-BA51-D0BA97456C0B}"/>
    <cellStyle name="Migliaia 6 2 2 2 6" xfId="16875" xr:uid="{48885681-3EAF-4B11-9C7A-A6D1F025EB3A}"/>
    <cellStyle name="Migliaia 6 2 2 2 7" xfId="8811" xr:uid="{650AC8FF-A0C7-41CD-87F7-A88B942BA83D}"/>
    <cellStyle name="Migliaia 6 2 2 3" xfId="6881" xr:uid="{0DD95619-07B9-449F-9528-63A5D06B02D6}"/>
    <cellStyle name="Migliaia 6 2 2 3 2" xfId="35508" xr:uid="{76A71859-676C-44BE-96DE-A6EEB549C069}"/>
    <cellStyle name="Migliaia 6 2 2 3 2 2" xfId="40668" xr:uid="{AB784BC8-3D3E-4E0F-AE2A-13B9630A3AEF}"/>
    <cellStyle name="Migliaia 6 2 2 3 2 3" xfId="45970" xr:uid="{126C0D3E-D277-4730-9989-241E9D78DADB}"/>
    <cellStyle name="Migliaia 6 2 2 3 3" xfId="38017" xr:uid="{30949997-A3D2-428F-A7C5-B1CB07219CF4}"/>
    <cellStyle name="Migliaia 6 2 2 3 4" xfId="43319" xr:uid="{47B7950F-FAE2-4E7F-99EA-B1D8354D21A8}"/>
    <cellStyle name="Migliaia 6 2 2 3 5" xfId="11645" xr:uid="{DAF268F4-6F25-4DAB-B4B6-970129F5219F}"/>
    <cellStyle name="Migliaia 6 2 2 4" xfId="3986" xr:uid="{1B1F52FC-005D-4298-8702-F68D1E653F4B}"/>
    <cellStyle name="Migliaia 6 2 2 4 2" xfId="21643" xr:uid="{54930A2A-B404-44A5-AB58-D62E18E8E0EA}"/>
    <cellStyle name="Migliaia 6 2 2 4 3" xfId="34781" xr:uid="{41369F8C-9B85-4896-83EF-47A237992DF9}"/>
    <cellStyle name="Migliaia 6 2 2 4 4" xfId="48183" xr:uid="{544F6337-076A-4C35-8E48-A0A4D2EBAA9A}"/>
    <cellStyle name="Migliaia 6 2 2 4 5" xfId="50658" xr:uid="{9753F854-C271-4E71-AFC2-5B74C45E6906}"/>
    <cellStyle name="Migliaia 6 2 2 4 6" xfId="53674" xr:uid="{4A5D0B25-11A9-48A4-A52E-8298F7DB8646}"/>
    <cellStyle name="Migliaia 6 2 2 4 7" xfId="11008" xr:uid="{098EEC89-D3F4-4A66-81BC-805240091375}"/>
    <cellStyle name="Migliaia 6 2 2 5" xfId="21097" xr:uid="{63C7A762-0296-4A94-8245-4AA24F6C65F2}"/>
    <cellStyle name="Migliaia 6 2 2 6" xfId="25580" xr:uid="{A3809AFB-F386-43EC-91C1-3A9A88276167}"/>
    <cellStyle name="Migliaia 6 2 2 7" xfId="7621" xr:uid="{E94E0A44-C212-4CC1-B0EB-947613CCAE03}"/>
    <cellStyle name="Migliaia 6 2 3" xfId="3987" xr:uid="{4584618F-4FC8-42A5-AC42-D0573505E831}"/>
    <cellStyle name="Migliaia 6 2 3 2" xfId="5713" xr:uid="{67F87C38-AC7B-46AB-A738-43C8AB854E27}"/>
    <cellStyle name="Migliaia 6 2 3 2 2" xfId="35509" xr:uid="{63436F8A-D9D7-459E-BB89-A9911D704CFD}"/>
    <cellStyle name="Migliaia 6 2 3 2 2 2" xfId="40669" xr:uid="{A65A8ED4-2D9D-421D-B061-ACDEFDCEC310}"/>
    <cellStyle name="Migliaia 6 2 3 2 2 3" xfId="45971" xr:uid="{5E30B77B-9944-4DBE-BBCA-1397C30DFCFC}"/>
    <cellStyle name="Migliaia 6 2 3 2 3" xfId="38018" xr:uid="{8F32AE5C-25EF-4F03-91C6-F1A4E3E0667F}"/>
    <cellStyle name="Migliaia 6 2 3 2 4" xfId="43320" xr:uid="{242554F9-F817-4F6D-8146-CE8E61FE08B1}"/>
    <cellStyle name="Migliaia 6 2 3 2 5" xfId="14345" xr:uid="{51C8E342-83FA-4BAF-BE64-D290A2177FEC}"/>
    <cellStyle name="Migliaia 6 2 3 3" xfId="6882" xr:uid="{C652D428-3914-4EEE-918A-066AE13E8C37}"/>
    <cellStyle name="Migliaia 6 2 3 3 2" xfId="34783" xr:uid="{49C2021A-5D04-417E-9543-1248D1B8EC1B}"/>
    <cellStyle name="Migliaia 6 2 3 3 3" xfId="21099" xr:uid="{B8816699-ACAC-48BA-B393-EBE1083F9B6A}"/>
    <cellStyle name="Migliaia 6 2 3 4" xfId="25582" xr:uid="{84A62230-60E3-415D-B80A-AA542FF6A824}"/>
    <cellStyle name="Migliaia 6 2 3 5" xfId="16876" xr:uid="{B599C404-D79C-4359-A6EA-E64339C3F554}"/>
    <cellStyle name="Migliaia 6 2 3 6" xfId="8407" xr:uid="{B461F541-EB8D-4269-A56B-4347C44D8C91}"/>
    <cellStyle name="Migliaia 6 2 4" xfId="5711" xr:uid="{C9B27D02-8CA4-491A-8DE2-F30EB3BC0FB9}"/>
    <cellStyle name="Migliaia 6 2 4 2" xfId="14050" xr:uid="{9088384F-43BD-4154-95DA-61C1CAFF6558}"/>
    <cellStyle name="Migliaia 6 2 4 2 2" xfId="34784" xr:uid="{29F4FB4D-D8BA-4B1C-87D3-4E745EF667ED}"/>
    <cellStyle name="Migliaia 6 2 4 3" xfId="18685" xr:uid="{AE491E51-94BF-4438-A864-0B5FAFAD3DBA}"/>
    <cellStyle name="Migliaia 6 2 4 4" xfId="21100" xr:uid="{1863AFF9-7EF3-4E9A-B5DD-CE9E7D726DF7}"/>
    <cellStyle name="Migliaia 6 2 4 5" xfId="25583" xr:uid="{485C0A02-E93A-4E80-AD52-C48A76DE2675}"/>
    <cellStyle name="Migliaia 6 2 4 6" xfId="16877" xr:uid="{D1723D5E-BBAE-420B-89FF-A2F049BF6C68}"/>
    <cellStyle name="Migliaia 6 2 4 7" xfId="8043" xr:uid="{386FE8E9-8C14-4010-B64E-DDB1D7A1EDC0}"/>
    <cellStyle name="Migliaia 6 2 5" xfId="6880" xr:uid="{421F14A9-BDDC-4A26-94E4-F9B5DA554F86}"/>
    <cellStyle name="Migliaia 6 2 5 2" xfId="34785" xr:uid="{1A75E687-3021-468D-9E9A-5A33AC92F1D4}"/>
    <cellStyle name="Migliaia 6 2 5 3" xfId="25584" xr:uid="{8A5BE4C8-DA6E-44E2-9B29-BB7AE5052E96}"/>
    <cellStyle name="Migliaia 6 2 5 4" xfId="13158" xr:uid="{9BA02BAE-2420-4F4C-AB76-7206EC2B8A21}"/>
    <cellStyle name="Migliaia 6 2 6" xfId="3985" xr:uid="{74A8D4F2-B69F-4E7D-8A6C-30153657A013}"/>
    <cellStyle name="Migliaia 6 2 6 2" xfId="34786" xr:uid="{58639D22-A45A-4004-922B-BA70A7021D01}"/>
    <cellStyle name="Migliaia 6 2 6 3" xfId="25585" xr:uid="{BD4FE814-C3BF-45FB-B5CF-031844BA18D9}"/>
    <cellStyle name="Migliaia 6 2 6 4" xfId="21096" xr:uid="{53A77489-8F8D-4B65-9653-58125709E139}"/>
    <cellStyle name="Migliaia 6 2 7" xfId="34780" xr:uid="{A4A5F17F-DC66-4242-A713-628BD553D8D4}"/>
    <cellStyle name="Migliaia 6 2 8" xfId="25579" xr:uid="{8E74A254-F602-41A3-8754-DFE4B3BC0E4F}"/>
    <cellStyle name="Migliaia 6 2 9" xfId="7208" xr:uid="{2A838D62-E60D-41B0-9DD2-AB31D453C396}"/>
    <cellStyle name="Migliaia 6 3" xfId="523" xr:uid="{00000000-0005-0000-0000-0000B1040000}"/>
    <cellStyle name="Migliaia 6 3 10" xfId="25586" xr:uid="{79E674A8-45F7-401B-8127-878DA90FEA62}"/>
    <cellStyle name="Migliaia 6 3 11" xfId="16878" xr:uid="{EF987527-BB1C-43B5-8438-5CE2CDE755EC}"/>
    <cellStyle name="Migliaia 6 3 12" xfId="7209" xr:uid="{A255D1A3-F4B2-48F3-B4AC-4C67866C60B3}"/>
    <cellStyle name="Migliaia 6 3 2" xfId="524" xr:uid="{00000000-0005-0000-0000-0000B2040000}"/>
    <cellStyle name="Migliaia 6 3 2 2" xfId="1932" xr:uid="{00000000-0005-0000-0000-0000B3040000}"/>
    <cellStyle name="Migliaia 6 3 2 2 2" xfId="5716" xr:uid="{55DFB909-3E5D-4035-B7BB-718588E2F705}"/>
    <cellStyle name="Migliaia 6 3 2 2 2 2" xfId="18528" xr:uid="{5694979B-6CB3-484C-84F4-361FBA3F57C2}"/>
    <cellStyle name="Migliaia 6 3 2 2 2 2 2" xfId="21896" xr:uid="{301F44AE-4560-460C-B22B-3B60AB21C17E}"/>
    <cellStyle name="Migliaia 6 3 2 2 2 2 3" xfId="34790" xr:uid="{BA44389D-FF79-4FC6-89A9-0D30E0253218}"/>
    <cellStyle name="Migliaia 6 3 2 2 2 3" xfId="25589" xr:uid="{34F3C0D4-DAE4-4993-A54B-3968EB586F1D}"/>
    <cellStyle name="Migliaia 6 3 2 2 2 4" xfId="46613" xr:uid="{95F33BB2-DFFF-43F9-ADF8-A0A4E9C8666D}"/>
    <cellStyle name="Migliaia 6 3 2 2 2 5" xfId="50924" xr:uid="{E5927FC8-F5D1-4138-96C6-3655B4E58722}"/>
    <cellStyle name="Migliaia 6 3 2 2 2 6" xfId="53940" xr:uid="{966B2DD1-BD8A-4810-96C6-414B3ADF419D}"/>
    <cellStyle name="Migliaia 6 3 2 2 2 7" xfId="17695" xr:uid="{C5272C32-1804-4E82-8ADA-5276C377BE42}"/>
    <cellStyle name="Migliaia 6 3 2 2 2 8" xfId="12107" xr:uid="{E04887D2-AF70-43C8-803E-8E5AD46C8640}"/>
    <cellStyle name="Migliaia 6 3 2 2 3" xfId="6885" xr:uid="{42FF2B44-2FE0-4DCB-A5F1-CEDB0C7D20F1}"/>
    <cellStyle name="Migliaia 6 3 2 2 3 2" xfId="34789" xr:uid="{75F7B575-5834-4B9B-B46D-AAF25510AAB0}"/>
    <cellStyle name="Migliaia 6 3 2 2 3 3" xfId="12202" xr:uid="{01EFC9E0-6B8B-4DED-A4FA-06D84C4C9617}"/>
    <cellStyle name="Migliaia 6 3 2 2 4" xfId="3990" xr:uid="{F7D749BB-DA14-4C79-BEC6-3277E7119227}"/>
    <cellStyle name="Migliaia 6 3 2 2 4 2" xfId="21644" xr:uid="{C35705A5-73D2-4D26-89DC-CF8700333CAC}"/>
    <cellStyle name="Migliaia 6 3 2 2 4 3" xfId="47430" xr:uid="{A99748BA-6C1D-41D7-9764-83839300DB7F}"/>
    <cellStyle name="Migliaia 6 3 2 2 4 4" xfId="50659" xr:uid="{47902AC6-63D5-43D6-89A2-456855F25152}"/>
    <cellStyle name="Migliaia 6 3 2 2 4 5" xfId="53675" xr:uid="{D0136FFD-9D6C-4795-81DF-E1E69DB049DD}"/>
    <cellStyle name="Migliaia 6 3 2 2 4 6" xfId="11009" xr:uid="{2F130DFA-E3EA-487E-B84A-193621446914}"/>
    <cellStyle name="Migliaia 6 3 2 2 5" xfId="21103" xr:uid="{731F30D3-79AD-4E19-B011-8FCAC907DC6B}"/>
    <cellStyle name="Migliaia 6 3 2 2 6" xfId="25588" xr:uid="{EB0701F8-3B10-4A0D-87BC-1B89D1BDBE35}"/>
    <cellStyle name="Migliaia 6 3 2 2 7" xfId="8813" xr:uid="{F94AE993-C97C-4B5E-91CC-B7C324636BAA}"/>
    <cellStyle name="Migliaia 6 3 2 3" xfId="5715" xr:uid="{7764E4F6-B036-43D0-818E-78D576BCFC51}"/>
    <cellStyle name="Migliaia 6 3 2 3 2" xfId="11660" xr:uid="{3257A7BF-4084-4EBA-8467-D664C3412A03}"/>
    <cellStyle name="Migliaia 6 3 2 3 2 2" xfId="34791" xr:uid="{920040AB-F812-463A-A893-0C63EB9C3C67}"/>
    <cellStyle name="Migliaia 6 3 2 3 3" xfId="12108" xr:uid="{5DBF4EBD-4235-46A2-92CC-B6DD39932C94}"/>
    <cellStyle name="Migliaia 6 3 2 3 4" xfId="21104" xr:uid="{518EAD13-8C74-456F-AA4E-A9D945ADE112}"/>
    <cellStyle name="Migliaia 6 3 2 3 5" xfId="25590" xr:uid="{3D35FAE7-88CA-4D2D-AF89-7200F2EA1B5E}"/>
    <cellStyle name="Migliaia 6 3 2 3 6" xfId="16879" xr:uid="{FFA8E00D-D5A4-4BD5-AE27-2436118F1E61}"/>
    <cellStyle name="Migliaia 6 3 2 3 7" xfId="8045" xr:uid="{8C898807-AF93-4067-AEDC-C5D1EE5DD08C}"/>
    <cellStyle name="Migliaia 6 3 2 4" xfId="6884" xr:uid="{E83D24DC-09BE-4F48-A4CB-FF04B3B128CF}"/>
    <cellStyle name="Migliaia 6 3 2 4 2" xfId="18112" xr:uid="{BA725553-EFAC-4565-A827-F33AC92BF0BC}"/>
    <cellStyle name="Migliaia 6 3 2 4 2 2" xfId="34792" xr:uid="{3BD5C929-CD57-4777-A013-CB6527F37102}"/>
    <cellStyle name="Migliaia 6 3 2 4 3" xfId="25591" xr:uid="{AA4D6ECF-5397-408F-B994-B5E8FCADA732}"/>
    <cellStyle name="Migliaia 6 3 2 4 4" xfId="17246" xr:uid="{88AD9922-2813-4EFC-83D9-BD77A7971878}"/>
    <cellStyle name="Migliaia 6 3 2 4 5" xfId="11460" xr:uid="{EFF4B24C-C78B-4B37-BA04-6DC385D2E369}"/>
    <cellStyle name="Migliaia 6 3 2 5" xfId="3989" xr:uid="{D5237CE1-7032-432B-A742-00324ED5D853}"/>
    <cellStyle name="Migliaia 6 3 2 5 2" xfId="34793" xr:uid="{3CA4DE33-513E-461B-B362-C5EA4DC29F35}"/>
    <cellStyle name="Migliaia 6 3 2 5 3" xfId="25592" xr:uid="{51AE3D61-39B1-4E98-BFD9-1057045CDC02}"/>
    <cellStyle name="Migliaia 6 3 2 5 4" xfId="17261" xr:uid="{C304F749-2856-4432-81CF-90C9316E43D4}"/>
    <cellStyle name="Migliaia 6 3 2 6" xfId="21102" xr:uid="{B9C90EE6-4CBD-462E-A623-D111462641EB}"/>
    <cellStyle name="Migliaia 6 3 2 6 2" xfId="34794" xr:uid="{E97E84DD-9F66-4996-B970-D0085B9133B6}"/>
    <cellStyle name="Migliaia 6 3 2 6 3" xfId="25593" xr:uid="{82A2E08F-ADAC-454A-B745-981562F4701F}"/>
    <cellStyle name="Migliaia 6 3 2 7" xfId="34788" xr:uid="{F831C30C-93F5-4BCD-89D1-88AE33205C13}"/>
    <cellStyle name="Migliaia 6 3 2 8" xfId="25587" xr:uid="{DA6153B4-ABD1-4E73-8436-44D412217043}"/>
    <cellStyle name="Migliaia 6 3 2 9" xfId="7623" xr:uid="{E8C89963-358B-4695-9F2D-4F1024A65876}"/>
    <cellStyle name="Migliaia 6 3 3" xfId="3991" xr:uid="{4375E1AD-63F8-46C0-9A15-29840F8042FF}"/>
    <cellStyle name="Migliaia 6 3 3 2" xfId="5717" xr:uid="{48889843-A9E5-4493-9FEE-D567708D5555}"/>
    <cellStyle name="Migliaia 6 3 3 2 2" xfId="9992" xr:uid="{125C8787-BEDA-4131-B247-26EE6A9F1AE3}"/>
    <cellStyle name="Migliaia 6 3 3 2 2 2" xfId="34796" xr:uid="{22322755-BA76-46D9-A034-BE3F10A6AD22}"/>
    <cellStyle name="Migliaia 6 3 3 2 3" xfId="18272" xr:uid="{C6F7F9C7-9BAE-4360-9761-11B40901497C}"/>
    <cellStyle name="Migliaia 6 3 3 2 4" xfId="21106" xr:uid="{A69372AB-E199-411B-BBD7-705AE34C6140}"/>
    <cellStyle name="Migliaia 6 3 3 2 5" xfId="25595" xr:uid="{77F21E09-F5C1-4EB2-BEF4-A31298FB2345}"/>
    <cellStyle name="Migliaia 6 3 3 2 6" xfId="16881" xr:uid="{89D2382F-DD58-45F2-86B6-0C6090246800}"/>
    <cellStyle name="Migliaia 6 3 3 2 7" xfId="8812" xr:uid="{A32EE702-5E2A-477C-A6F0-0EA8ED417B97}"/>
    <cellStyle name="Migliaia 6 3 3 3" xfId="6886" xr:uid="{CA980769-F128-4C12-81AA-CB93BB3BCCEC}"/>
    <cellStyle name="Migliaia 6 3 3 3 2" xfId="34797" xr:uid="{9338F5A7-E838-41E3-99BE-EB7C04D034D3}"/>
    <cellStyle name="Migliaia 6 3 3 3 3" xfId="25596" xr:uid="{328CB5CE-4F39-4118-AC95-C4A2BCF8585F}"/>
    <cellStyle name="Migliaia 6 3 3 3 4" xfId="9755" xr:uid="{D0BDFAC1-7D3C-4CD8-9744-2F3BEE6FB436}"/>
    <cellStyle name="Migliaia 6 3 3 4" xfId="21105" xr:uid="{A4A699DA-2AB4-4736-808D-E1DDD1678B1D}"/>
    <cellStyle name="Migliaia 6 3 3 4 2" xfId="34798" xr:uid="{69ED187E-BD39-4A95-8687-ADB0135CAB6A}"/>
    <cellStyle name="Migliaia 6 3 3 4 3" xfId="25597" xr:uid="{9F9313FF-CA1B-4ADE-999E-7DCAE984CEF8}"/>
    <cellStyle name="Migliaia 6 3 3 4 4" xfId="48901" xr:uid="{E7084076-AA10-48BA-B01C-4AE321DAD698}"/>
    <cellStyle name="Migliaia 6 3 3 5" xfId="25598" xr:uid="{CD81D9B5-B33F-472C-B567-1AE71C2E0407}"/>
    <cellStyle name="Migliaia 6 3 3 5 2" xfId="34799" xr:uid="{02A91CC6-9A53-4778-AA80-60E7E11982BE}"/>
    <cellStyle name="Migliaia 6 3 3 5 3" xfId="48902" xr:uid="{42D7557A-47B7-4AB9-A572-D075B17C7B70}"/>
    <cellStyle name="Migliaia 6 3 3 6" xfId="34795" xr:uid="{5BCE498C-94F7-47B2-AA37-7B69D456FD0A}"/>
    <cellStyle name="Migliaia 6 3 3 7" xfId="25594" xr:uid="{6B635711-FB2C-4F6F-B68B-83DEC43383BD}"/>
    <cellStyle name="Migliaia 6 3 3 8" xfId="16880" xr:uid="{FEAC4067-E7E3-455D-8041-F2FC8BBF6146}"/>
    <cellStyle name="Migliaia 6 3 3 9" xfId="7622" xr:uid="{C956483E-C934-43CD-AAA6-FF1455EA20F9}"/>
    <cellStyle name="Migliaia 6 3 4" xfId="3992" xr:uid="{D15491D4-9DC5-463C-9D34-6E9869B2EC0E}"/>
    <cellStyle name="Migliaia 6 3 4 2" xfId="5718" xr:uid="{2F9A4EE6-1E69-4773-84E8-3486C6015EEC}"/>
    <cellStyle name="Migliaia 6 3 4 2 2" xfId="14478" xr:uid="{9041D9DF-B32B-4374-8A60-79226D7C14ED}"/>
    <cellStyle name="Migliaia 6 3 4 2 3" xfId="18564" xr:uid="{3FBC8DF8-D796-450C-8696-C2B04DE9C57E}"/>
    <cellStyle name="Migliaia 6 3 4 2 4" xfId="21108" xr:uid="{423A6331-F409-46A2-B2D8-6FFCD8DA9027}"/>
    <cellStyle name="Migliaia 6 3 4 2 5" xfId="32485" xr:uid="{8C0474A8-1B27-427A-BF3C-9D2D0EC8AC30}"/>
    <cellStyle name="Migliaia 6 3 4 2 6" xfId="16883" xr:uid="{D0A47142-B9B0-458E-97D8-958F5821709F}"/>
    <cellStyle name="Migliaia 6 3 4 2 7" xfId="8901" xr:uid="{5D9A6DAA-07BE-43A4-9E40-771C311491FF}"/>
    <cellStyle name="Migliaia 6 3 4 3" xfId="6887" xr:uid="{595F4018-E261-4CD0-8AFA-75AFE1EEE35D}"/>
    <cellStyle name="Migliaia 6 3 4 3 2" xfId="35510" xr:uid="{D9E46A36-CB66-4FC0-B03D-9A77CCA656D9}"/>
    <cellStyle name="Migliaia 6 3 4 3 2 2" xfId="40670" xr:uid="{C470D2C4-8550-4ECA-8EB3-328C345387A5}"/>
    <cellStyle name="Migliaia 6 3 4 3 2 3" xfId="45972" xr:uid="{BC5A151C-3F15-4B2F-85F8-EF518183C782}"/>
    <cellStyle name="Migliaia 6 3 4 3 3" xfId="38019" xr:uid="{19901743-20CF-4572-953E-EE132013E336}"/>
    <cellStyle name="Migliaia 6 3 4 3 4" xfId="43321" xr:uid="{DE724FBB-966D-41CD-B404-59B117056F63}"/>
    <cellStyle name="Migliaia 6 3 4 3 5" xfId="13726" xr:uid="{09ED8DB4-9168-48D6-A637-43EEED7D6447}"/>
    <cellStyle name="Migliaia 6 3 4 4" xfId="21107" xr:uid="{88A4162F-BFFD-4AA2-840D-1FFE94B88444}"/>
    <cellStyle name="Migliaia 6 3 4 4 2" xfId="34800" xr:uid="{D1C02141-24C4-427A-B108-C1ECB087B5DD}"/>
    <cellStyle name="Migliaia 6 3 4 5" xfId="25599" xr:uid="{D5A3472F-DBEB-4ABF-840F-26ECFC506098}"/>
    <cellStyle name="Migliaia 6 3 4 6" xfId="16882" xr:uid="{4311A9BD-E01D-4326-84A0-E497CF625784}"/>
    <cellStyle name="Migliaia 6 3 4 7" xfId="7711" xr:uid="{A60DB15A-86C5-4E0F-9235-2A2309465448}"/>
    <cellStyle name="Migliaia 6 3 5" xfId="3993" xr:uid="{555D6B7E-D4C7-49CD-AA27-4C4BD7D40316}"/>
    <cellStyle name="Migliaia 6 3 5 2" xfId="5719" xr:uid="{D0D8A614-E196-4622-B081-F734ADB0A9B6}"/>
    <cellStyle name="Migliaia 6 3 5 2 2" xfId="35511" xr:uid="{D748C78F-A2DE-410C-9889-CF61CDDDBFE1}"/>
    <cellStyle name="Migliaia 6 3 5 2 2 2" xfId="40671" xr:uid="{BDD68A0C-F319-4DB5-A81A-FFCB9A17B631}"/>
    <cellStyle name="Migliaia 6 3 5 2 2 3" xfId="45973" xr:uid="{4EC56336-A623-47E3-87DE-F8784E93EED5}"/>
    <cellStyle name="Migliaia 6 3 5 2 3" xfId="38020" xr:uid="{0BA3DCDA-35A3-4637-A7BB-020CACD3682F}"/>
    <cellStyle name="Migliaia 6 3 5 2 4" xfId="43322" xr:uid="{7DE5E2DB-5FC0-4F72-914B-61099797EC3B}"/>
    <cellStyle name="Migliaia 6 3 5 2 5" xfId="14346" xr:uid="{17A978D2-A8C6-4E59-AB8A-8EA6842B5132}"/>
    <cellStyle name="Migliaia 6 3 5 3" xfId="6888" xr:uid="{A8D124A1-51A0-4215-86AF-2F06F4343EC8}"/>
    <cellStyle name="Migliaia 6 3 5 3 2" xfId="34801" xr:uid="{E8E9C4D6-02A2-4E84-95B6-062F6D3EB128}"/>
    <cellStyle name="Migliaia 6 3 5 3 3" xfId="21109" xr:uid="{39272B06-91C6-48B8-8C74-65E1FE31760E}"/>
    <cellStyle name="Migliaia 6 3 5 4" xfId="25600" xr:uid="{D96E6FCF-AEA5-431F-9DB7-6939F67204B7}"/>
    <cellStyle name="Migliaia 6 3 5 5" xfId="16884" xr:uid="{86658397-0971-44B5-876B-D7B8D0A3DF5F}"/>
    <cellStyle name="Migliaia 6 3 5 6" xfId="8408" xr:uid="{E976882A-98E2-41DD-9397-0EEB39916C47}"/>
    <cellStyle name="Migliaia 6 3 6" xfId="5714" xr:uid="{9F3B3942-DC6C-4222-8F55-996956E1DEBE}"/>
    <cellStyle name="Migliaia 6 3 6 2" xfId="14051" xr:uid="{F6E9925D-C8DE-4564-A96E-FB340D0E24A9}"/>
    <cellStyle name="Migliaia 6 3 6 2 2" xfId="34802" xr:uid="{8F6E4633-9CCC-4CCF-B46A-1B32FEC1FD09}"/>
    <cellStyle name="Migliaia 6 3 6 3" xfId="18684" xr:uid="{28C589B3-85E7-43E3-8519-2A7142DFC6C9}"/>
    <cellStyle name="Migliaia 6 3 6 4" xfId="21110" xr:uid="{D6D369A2-43CD-45EE-9055-E8B0801150CA}"/>
    <cellStyle name="Migliaia 6 3 6 5" xfId="25601" xr:uid="{7E38587D-C9F7-4403-9013-21995AD392F8}"/>
    <cellStyle name="Migliaia 6 3 6 6" xfId="16885" xr:uid="{A22962F8-C17D-4ECA-9DEB-6872D5B7A6F8}"/>
    <cellStyle name="Migliaia 6 3 6 7" xfId="8044" xr:uid="{EABC02DC-2090-41FF-8E95-E82E546D1EB1}"/>
    <cellStyle name="Migliaia 6 3 7" xfId="6883" xr:uid="{0ECE495E-084A-46E0-A01A-FC5E85625367}"/>
    <cellStyle name="Migliaia 6 3 7 2" xfId="34803" xr:uid="{1AB25658-F9FB-4AFC-9B88-5B2250A5A1BE}"/>
    <cellStyle name="Migliaia 6 3 7 3" xfId="25602" xr:uid="{70E0E0A3-DAD6-4339-B85D-AAFDB1911746}"/>
    <cellStyle name="Migliaia 6 3 7 4" xfId="12252" xr:uid="{DC44116C-F2F9-421B-A5BE-205DE2375495}"/>
    <cellStyle name="Migliaia 6 3 8" xfId="3988" xr:uid="{8359E085-2CE7-4883-80F5-C06CFFF2E583}"/>
    <cellStyle name="Migliaia 6 3 8 2" xfId="34804" xr:uid="{DF34D73C-3A4E-4E1E-8F09-D41C5F7DB186}"/>
    <cellStyle name="Migliaia 6 3 8 3" xfId="25603" xr:uid="{FE5BF965-2FEC-40BC-AEA1-D049C07AD754}"/>
    <cellStyle name="Migliaia 6 3 8 4" xfId="17262" xr:uid="{A2ABF5DD-2303-4999-A4C7-36C3F977E0FF}"/>
    <cellStyle name="Migliaia 6 3 9" xfId="21101" xr:uid="{1362900F-AEB2-41A2-AFAA-165A0EFF5D7E}"/>
    <cellStyle name="Migliaia 6 3 9 2" xfId="34787" xr:uid="{B091CB41-6695-476A-878A-33D89B1E1BB5}"/>
    <cellStyle name="Migliaia 6 4" xfId="1933" xr:uid="{00000000-0005-0000-0000-0000B4040000}"/>
    <cellStyle name="Migliaia 6 4 10" xfId="7624" xr:uid="{395D0F8B-5183-4394-ABCD-53E8E267EF14}"/>
    <cellStyle name="Migliaia 6 4 2" xfId="1934" xr:uid="{00000000-0005-0000-0000-0000B5040000}"/>
    <cellStyle name="Migliaia 6 4 2 2" xfId="5721" xr:uid="{159DE8BB-1FDD-45CF-9C4F-F1CA3114CA6D}"/>
    <cellStyle name="Migliaia 6 4 2 2 2" xfId="34807" xr:uid="{CDCC0275-BD62-4CB0-AE7F-9B4D5094D84F}"/>
    <cellStyle name="Migliaia 6 4 2 2 3" xfId="25606" xr:uid="{0697078A-D7AB-4DD1-AD4B-CB7DF9904789}"/>
    <cellStyle name="Migliaia 6 4 2 2 4" xfId="9218" xr:uid="{9984923C-B825-4938-BF02-2B668A496D83}"/>
    <cellStyle name="Migliaia 6 4 2 3" xfId="3995" xr:uid="{8D91E353-ED47-4478-A89A-F018C5CCBFB3}"/>
    <cellStyle name="Migliaia 6 4 2 3 2" xfId="34808" xr:uid="{84622427-C629-40C5-B8FE-CFA826996E40}"/>
    <cellStyle name="Migliaia 6 4 2 3 3" xfId="25607" xr:uid="{85F5BBE0-BFC9-4B5D-9E61-AD79B1E2E49A}"/>
    <cellStyle name="Migliaia 6 4 2 3 4" xfId="12109" xr:uid="{9BD6E289-B30A-4172-906F-2562E10B6C5E}"/>
    <cellStyle name="Migliaia 6 4 2 4" xfId="11462" xr:uid="{ECA54885-3A6E-46E5-8B6A-545CE9DF5CFC}"/>
    <cellStyle name="Migliaia 6 4 2 4 2" xfId="34806" xr:uid="{5FFBFAD1-63AD-4436-A18B-1F70D12F86D0}"/>
    <cellStyle name="Migliaia 6 4 2 5" xfId="11011" xr:uid="{513A893D-6FC5-46DE-AFAC-EAA8E800BBA6}"/>
    <cellStyle name="Migliaia 6 4 2 5 2" xfId="21646" xr:uid="{5E264222-CE49-4282-9AAA-69983588D02D}"/>
    <cellStyle name="Migliaia 6 4 2 5 3" xfId="24507" xr:uid="{4AD3A2A0-446E-4A3E-89B0-0FBADE0303BB}"/>
    <cellStyle name="Migliaia 6 4 2 5 4" xfId="50661" xr:uid="{04536D42-CA68-4328-BF55-96818F4FACE1}"/>
    <cellStyle name="Migliaia 6 4 2 5 5" xfId="53677" xr:uid="{EAEF443C-44D6-45AF-BD0E-FACEDBE38309}"/>
    <cellStyle name="Migliaia 6 4 2 6" xfId="21112" xr:uid="{B4CC05BA-86A1-4F12-9C5D-FE7A17949283}"/>
    <cellStyle name="Migliaia 6 4 2 7" xfId="25605" xr:uid="{855C02A3-E657-432C-BC6A-4A67DD7EBF2E}"/>
    <cellStyle name="Migliaia 6 4 2 8" xfId="8814" xr:uid="{EEB718AF-408B-4B15-BB3F-399B914C42E0}"/>
    <cellStyle name="Migliaia 6 4 3" xfId="5720" xr:uid="{A25F62C1-9D94-450E-A177-5DD255752869}"/>
    <cellStyle name="Migliaia 6 4 3 2" xfId="18273" xr:uid="{FC86829F-065D-414D-BB4B-F556FF203E62}"/>
    <cellStyle name="Migliaia 6 4 3 2 2" xfId="34809" xr:uid="{039B0CA6-3925-4037-8AA3-AB3C213B6ABF}"/>
    <cellStyle name="Migliaia 6 4 3 3" xfId="25608" xr:uid="{B2DCF2BE-00D4-497B-8FE5-2804453586E6}"/>
    <cellStyle name="Migliaia 6 4 3 4" xfId="17260" xr:uid="{51506A0C-96BD-4A18-BCD9-4B14AC4D1BD1}"/>
    <cellStyle name="Migliaia 6 4 3 5" xfId="9219" xr:uid="{5F319418-EF63-4791-90C8-273F6CC6F1D9}"/>
    <cellStyle name="Migliaia 6 4 4" xfId="6889" xr:uid="{99A02547-A92D-4271-B98F-88DDFABEFE91}"/>
    <cellStyle name="Migliaia 6 4 4 2" xfId="34810" xr:uid="{A9AB3E8B-274E-466C-97B8-7C21CA633B9C}"/>
    <cellStyle name="Migliaia 6 4 4 3" xfId="25609" xr:uid="{51091A54-3A56-43D2-86BF-3E97AF9C4CBC}"/>
    <cellStyle name="Migliaia 6 4 4 4" xfId="12110" xr:uid="{1B498E3A-7CD9-4C84-B0C8-EA178B68DC96}"/>
    <cellStyle name="Migliaia 6 4 5" xfId="3994" xr:uid="{E6EC6B55-1A16-4FF1-926F-7EF06CB7ACCA}"/>
    <cellStyle name="Migliaia 6 4 5 2" xfId="34811" xr:uid="{36C3B0DE-AC81-4401-BAB6-CE09ACCA740C}"/>
    <cellStyle name="Migliaia 6 4 5 3" xfId="25610" xr:uid="{4188A0FF-B94B-4DF9-9158-2C7E4E5E55D3}"/>
    <cellStyle name="Migliaia 6 4 5 4" xfId="11461" xr:uid="{497DD042-B6DF-4DD8-AA77-9E9E2CED4360}"/>
    <cellStyle name="Migliaia 6 4 6" xfId="11010" xr:uid="{DBF00640-0950-40C7-8E77-403EA555960F}"/>
    <cellStyle name="Migliaia 6 4 6 2" xfId="21645" xr:uid="{E2057FDA-BD9B-4E8F-8CF0-14A4BD43F56C}"/>
    <cellStyle name="Migliaia 6 4 6 2 2" xfId="34812" xr:uid="{49593CF1-C2F1-482B-A33B-F0E0C84A5906}"/>
    <cellStyle name="Migliaia 6 4 6 3" xfId="25611" xr:uid="{A81C355E-B84D-4936-BCA1-F897677A5308}"/>
    <cellStyle name="Migliaia 6 4 6 4" xfId="32447" xr:uid="{84492B48-2866-4D85-BE1F-B56A7A22BD31}"/>
    <cellStyle name="Migliaia 6 4 6 5" xfId="48903" xr:uid="{D3697856-F843-4B12-907A-B3A2F877A24A}"/>
    <cellStyle name="Migliaia 6 4 6 6" xfId="50660" xr:uid="{5BE52C59-AE3E-4B20-B437-171B296C8090}"/>
    <cellStyle name="Migliaia 6 4 6 7" xfId="53676" xr:uid="{4EF129E6-5A01-4ABE-9EAF-DCFFADF00645}"/>
    <cellStyle name="Migliaia 6 4 7" xfId="21111" xr:uid="{1E7EA9B8-ED6D-43AF-902D-24E7B8200B1D}"/>
    <cellStyle name="Migliaia 6 4 7 2" xfId="34813" xr:uid="{4DB4D323-E189-494E-AD1E-818AEDB95F51}"/>
    <cellStyle name="Migliaia 6 4 7 3" xfId="25612" xr:uid="{3C25ED08-DB08-413F-BF31-156C22E7047B}"/>
    <cellStyle name="Migliaia 6 4 8" xfId="34805" xr:uid="{85796A3A-54E4-48D6-B6BD-43F94FA95744}"/>
    <cellStyle name="Migliaia 6 4 9" xfId="25604" xr:uid="{18EF00C8-7E99-4867-B5D5-7DD7312397AB}"/>
    <cellStyle name="Migliaia 6 5" xfId="1935" xr:uid="{00000000-0005-0000-0000-0000B6040000}"/>
    <cellStyle name="Migliaia 6 5 2" xfId="5722" xr:uid="{E9452114-3106-42A3-9F0B-E9519DD3B81D}"/>
    <cellStyle name="Migliaia 6 5 2 2" xfId="18529" xr:uid="{BDDD60A8-310C-4DD4-80AA-21CBD2E6F7EB}"/>
    <cellStyle name="Migliaia 6 5 2 2 2" xfId="34815" xr:uid="{56BF6147-F63A-4D53-B777-E6BFB5CF9DC6}"/>
    <cellStyle name="Migliaia 6 5 2 3" xfId="21114" xr:uid="{86018674-44EF-417C-8FE0-58B07EF1EF07}"/>
    <cellStyle name="Migliaia 6 5 2 4" xfId="25614" xr:uid="{978568EE-4F96-4C4B-957E-B51DE87E8303}"/>
    <cellStyle name="Migliaia 6 5 2 5" xfId="16886" xr:uid="{2161BF59-6E06-40D8-B20A-16B43EC97652}"/>
    <cellStyle name="Migliaia 6 5 2 6" xfId="8815" xr:uid="{7020040E-2383-4076-8142-BE990021EB16}"/>
    <cellStyle name="Migliaia 6 5 3" xfId="6890" xr:uid="{1E1A828A-717A-4CAE-90EE-50792B070CD6}"/>
    <cellStyle name="Migliaia 6 5 3 2" xfId="34816" xr:uid="{A54925E7-0CE6-4AB6-92A5-1BC81DE4D9DE}"/>
    <cellStyle name="Migliaia 6 5 3 3" xfId="25615" xr:uid="{798CE335-B71F-43D3-A959-DA130C241860}"/>
    <cellStyle name="Migliaia 6 5 3 4" xfId="11463" xr:uid="{2BBAE771-DC85-44D9-829F-2E9E955F85DA}"/>
    <cellStyle name="Migliaia 6 5 4" xfId="3996" xr:uid="{63388B25-521D-456C-AFA3-3B13A6B435F2}"/>
    <cellStyle name="Migliaia 6 5 4 2" xfId="21647" xr:uid="{1C0CF035-8804-4A89-A467-171B67B8108A}"/>
    <cellStyle name="Migliaia 6 5 4 2 2" xfId="34817" xr:uid="{F44F6F33-8738-436B-AB59-B2FAC5718B46}"/>
    <cellStyle name="Migliaia 6 5 4 3" xfId="25616" xr:uid="{300E2C1E-343F-4AD7-B929-B77755C31C81}"/>
    <cellStyle name="Migliaia 6 5 4 4" xfId="46711" xr:uid="{A80D6677-8E06-4005-8863-171CDC20750A}"/>
    <cellStyle name="Migliaia 6 5 4 5" xfId="48904" xr:uid="{4D8CB3E5-FFC0-42EB-82B9-7DBCAF9A73D9}"/>
    <cellStyle name="Migliaia 6 5 4 6" xfId="50662" xr:uid="{CF3A1C01-9B31-43B6-99D8-B17CABB0C9C2}"/>
    <cellStyle name="Migliaia 6 5 4 7" xfId="53678" xr:uid="{4B9F1501-6995-4088-851E-D90EE8629CE1}"/>
    <cellStyle name="Migliaia 6 5 4 8" xfId="11012" xr:uid="{0E1A2C6C-9978-4AA8-A933-1EECFA2C0C34}"/>
    <cellStyle name="Migliaia 6 5 5" xfId="21113" xr:uid="{D88282EE-D6A9-4AED-B3E2-8EEB55C2BBB7}"/>
    <cellStyle name="Migliaia 6 5 5 2" xfId="34818" xr:uid="{90EB626B-D9CC-4ACE-8511-93C49A229E89}"/>
    <cellStyle name="Migliaia 6 5 5 3" xfId="25617" xr:uid="{CBCF73B0-EBB9-4BEC-97C9-0CDD8D91F35E}"/>
    <cellStyle name="Migliaia 6 5 5 4" xfId="48905" xr:uid="{F130CCE4-A6C4-443A-97EC-A57F06C23E3C}"/>
    <cellStyle name="Migliaia 6 5 6" xfId="25618" xr:uid="{9F938F49-5C5E-47EA-BC9A-D2B0DF22D6BE}"/>
    <cellStyle name="Migliaia 6 5 6 2" xfId="34819" xr:uid="{3CE372D9-1118-4657-89CE-92AED4F99000}"/>
    <cellStyle name="Migliaia 6 5 7" xfId="34814" xr:uid="{9E317B2E-2A68-4264-B9C2-50F80727564E}"/>
    <cellStyle name="Migliaia 6 5 8" xfId="25613" xr:uid="{B1E4AB5E-88A4-4C8F-BB84-2C72904D8569}"/>
    <cellStyle name="Migliaia 6 5 9" xfId="7625" xr:uid="{AA73E9A3-A3A1-4D09-BCD9-A5AC00897E27}"/>
    <cellStyle name="Migliaia 6 6" xfId="3997" xr:uid="{71A25357-8FAB-4752-A9AB-25498CEBFB33}"/>
    <cellStyle name="Migliaia 6 6 2" xfId="5723" xr:uid="{3E5C83BC-A4DB-42C8-82FB-48822C24C948}"/>
    <cellStyle name="Migliaia 6 6 2 2" xfId="9991" xr:uid="{FC7D08AE-6BAE-4CB7-B1DC-40786FED06A9}"/>
    <cellStyle name="Migliaia 6 6 2 3" xfId="18596" xr:uid="{BD7129D0-DE92-45EC-B7F4-53F76801E9F3}"/>
    <cellStyle name="Migliaia 6 6 2 4" xfId="21116" xr:uid="{41567711-652F-4FD5-AF39-4A021CCE7614}"/>
    <cellStyle name="Migliaia 6 6 2 5" xfId="32486" xr:uid="{F6EEFC4E-0E53-486A-9FB7-1C8B7C378C1B}"/>
    <cellStyle name="Migliaia 6 6 2 6" xfId="16888" xr:uid="{E7BEA91A-63CF-4403-B714-BAAFDC0CE80D}"/>
    <cellStyle name="Migliaia 6 6 2 7" xfId="8810" xr:uid="{63D2AEF0-6777-41C7-A684-5F39E84362BF}"/>
    <cellStyle name="Migliaia 6 6 3" xfId="6891" xr:uid="{AC7B38C9-F4B3-43C9-BAD9-0FA9926DF3D1}"/>
    <cellStyle name="Migliaia 6 6 3 2" xfId="35512" xr:uid="{005F44F1-3861-4475-A613-E5FB24888FDC}"/>
    <cellStyle name="Migliaia 6 6 3 2 2" xfId="40672" xr:uid="{A271CD0A-E471-4C02-8FAF-73BF828E9C82}"/>
    <cellStyle name="Migliaia 6 6 3 2 3" xfId="45974" xr:uid="{6C642BD6-4162-4E1F-83BA-898B8BBD8B69}"/>
    <cellStyle name="Migliaia 6 6 3 3" xfId="38021" xr:uid="{43A80AAA-9BB1-4E80-9112-FF6994D7F89A}"/>
    <cellStyle name="Migliaia 6 6 3 4" xfId="43323" xr:uid="{B57DDCBD-D871-4828-AF96-108D7EA1BF32}"/>
    <cellStyle name="Migliaia 6 6 3 5" xfId="9754" xr:uid="{77FED1E2-DF45-4C91-AF47-287C833606C3}"/>
    <cellStyle name="Migliaia 6 6 4" xfId="21115" xr:uid="{877C79B1-39F2-4A50-A693-0614386183FB}"/>
    <cellStyle name="Migliaia 6 6 4 2" xfId="34820" xr:uid="{FAD5CD42-E305-4B41-9735-D61BA8E6EE7C}"/>
    <cellStyle name="Migliaia 6 6 5" xfId="25619" xr:uid="{BC9C22D9-E4AC-43DF-B279-FC20C25FEA00}"/>
    <cellStyle name="Migliaia 6 6 6" xfId="16887" xr:uid="{B75758F4-6915-4E39-A067-0D1A77261491}"/>
    <cellStyle name="Migliaia 6 6 7" xfId="7620" xr:uid="{A2DAD6CE-E00C-41B3-AA02-3267D401EBEA}"/>
    <cellStyle name="Migliaia 6 7" xfId="3998" xr:uid="{640196F7-83F3-43AE-8089-7E55E0BBB1A1}"/>
    <cellStyle name="Migliaia 6 7 2" xfId="5724" xr:uid="{ECFE4E75-15C7-4891-B4B8-AABBBE8DC4D1}"/>
    <cellStyle name="Migliaia 6 7 2 2" xfId="35513" xr:uid="{091C7AA4-8226-47F6-8CAB-3575F2C14C7A}"/>
    <cellStyle name="Migliaia 6 7 2 2 2" xfId="40673" xr:uid="{0EBFE693-8C69-4F01-BF07-ABF8640F4AFD}"/>
    <cellStyle name="Migliaia 6 7 2 2 3" xfId="45975" xr:uid="{782E4037-E2C4-42F1-A49A-C76DAAB83793}"/>
    <cellStyle name="Migliaia 6 7 2 3" xfId="38022" xr:uid="{8F5C6404-67B4-4F38-803C-6DDDA2DA9555}"/>
    <cellStyle name="Migliaia 6 7 2 4" xfId="43324" xr:uid="{8BB69CF4-9093-4F66-AEA1-58FE0E1DBD6F}"/>
    <cellStyle name="Migliaia 6 7 2 5" xfId="14344" xr:uid="{7895D403-28CA-4FEB-80AC-C38498A52793}"/>
    <cellStyle name="Migliaia 6 7 3" xfId="6892" xr:uid="{DAA68D4A-5EE0-4FFE-A25B-6754111481EF}"/>
    <cellStyle name="Migliaia 6 7 3 2" xfId="34821" xr:uid="{5644D2F1-EDF1-463A-BA94-6710F2A6F8F5}"/>
    <cellStyle name="Migliaia 6 7 3 3" xfId="21117" xr:uid="{EE4CEB99-4639-44B1-AD1F-79EE1D44CD74}"/>
    <cellStyle name="Migliaia 6 7 4" xfId="25620" xr:uid="{13C3AF6D-A0E5-4ADE-9E4D-A7E7861AFFF4}"/>
    <cellStyle name="Migliaia 6 7 5" xfId="16889" xr:uid="{AAC4C1E9-0E85-44CD-B30D-FA5505EFDBCB}"/>
    <cellStyle name="Migliaia 6 7 6" xfId="8406" xr:uid="{3BA7BBEF-54D3-4E86-83E0-2D224FBEDAA7}"/>
    <cellStyle name="Migliaia 6 8" xfId="3999" xr:uid="{8AA67740-0DD2-471F-9D0C-6D342C97ADEA}"/>
    <cellStyle name="Migliaia 6 8 2" xfId="5725" xr:uid="{64F3445A-06EC-4286-8CCA-D24FEE836B7C}"/>
    <cellStyle name="Migliaia 6 8 2 2" xfId="35514" xr:uid="{3D39E433-8653-4DDD-9E4C-6463CE69C87F}"/>
    <cellStyle name="Migliaia 6 8 2 2 2" xfId="40674" xr:uid="{E29F9245-8998-46EA-B2F1-6FE1BFB80200}"/>
    <cellStyle name="Migliaia 6 8 2 2 3" xfId="45976" xr:uid="{823E4F50-20F2-497D-A5A5-89ABFAE54203}"/>
    <cellStyle name="Migliaia 6 8 2 3" xfId="38023" xr:uid="{99554982-EC8E-47A9-B126-C456138072B1}"/>
    <cellStyle name="Migliaia 6 8 2 4" xfId="43325" xr:uid="{3A9322A5-A3F9-4686-8FDD-669740A4D7AB}"/>
    <cellStyle name="Migliaia 6 8 2 5" xfId="14049" xr:uid="{2A210DE9-1FF6-4226-B097-5FBB1D5716E1}"/>
    <cellStyle name="Migliaia 6 8 3" xfId="6893" xr:uid="{D072380F-86C2-4190-839B-B1B3DADB0D5F}"/>
    <cellStyle name="Migliaia 6 8 3 2" xfId="34822" xr:uid="{1079CD4D-3217-4A8D-B847-360B11AB58C9}"/>
    <cellStyle name="Migliaia 6 8 3 3" xfId="21118" xr:uid="{3F8B9630-A9AF-485D-B895-7DDDDD675BB1}"/>
    <cellStyle name="Migliaia 6 8 4" xfId="25621" xr:uid="{531F6B79-C278-4085-B906-E44E537DA1FF}"/>
    <cellStyle name="Migliaia 6 8 5" xfId="16890" xr:uid="{9DB7547F-60A4-48A2-8A48-6B727DC25FA1}"/>
    <cellStyle name="Migliaia 6 8 6" xfId="8042" xr:uid="{1EB4DDA0-B6B7-4B1D-8292-AFA4AF16E68E}"/>
    <cellStyle name="Migliaia 6 9" xfId="5710" xr:uid="{90CB8623-CDE7-4A82-8259-E06609741E91}"/>
    <cellStyle name="Migliaia 6 9 2" xfId="34823" xr:uid="{8798B9B6-641D-46E8-825A-BC42BD9AFDE8}"/>
    <cellStyle name="Migliaia 6 9 3" xfId="25622" xr:uid="{DC9B49D1-26E0-49D4-96E3-99DB44EDBA8F}"/>
    <cellStyle name="Migliaia 6 9 4" xfId="17245" xr:uid="{94E5F19A-B086-41BE-9ED6-08A022CA19ED}"/>
    <cellStyle name="Migliaia 60" xfId="525" xr:uid="{00000000-0005-0000-0000-0000B7040000}"/>
    <cellStyle name="Migliaia 60 10" xfId="6894" xr:uid="{B9BC1757-6C28-43DB-94D2-258B7312A454}"/>
    <cellStyle name="Migliaia 60 10 2" xfId="34824" xr:uid="{67E7A54F-F35A-4D34-820A-03E0B2BD1C7E}"/>
    <cellStyle name="Migliaia 60 10 3" xfId="21119" xr:uid="{F786AEA2-D4F6-43B4-A171-900108D2F3B8}"/>
    <cellStyle name="Migliaia 60 11" xfId="4000" xr:uid="{01271245-E097-4E07-9C57-AD227ADFBFE9}"/>
    <cellStyle name="Migliaia 60 11 2" xfId="25623" xr:uid="{B0087D10-9B83-4C0F-AB56-35F3385D47C1}"/>
    <cellStyle name="Migliaia 60 12" xfId="7210" xr:uid="{997FDB78-C30B-430B-84A5-7CC4D84D1F73}"/>
    <cellStyle name="Migliaia 60 2" xfId="526" xr:uid="{00000000-0005-0000-0000-0000B8040000}"/>
    <cellStyle name="Migliaia 60 2 2" xfId="1936" xr:uid="{00000000-0005-0000-0000-0000B9040000}"/>
    <cellStyle name="Migliaia 60 2 2 2" xfId="5728" xr:uid="{E8E90049-B7E1-4B1F-BE1A-8AEAE8F5E2B0}"/>
    <cellStyle name="Migliaia 60 2 2 2 2" xfId="14419" xr:uid="{E46C030A-16CF-44B9-8958-D7B963550816}"/>
    <cellStyle name="Migliaia 60 2 2 2 2 2" xfId="34827" xr:uid="{7CEF95E3-5AD0-4BEF-9289-9C71F9448DA9}"/>
    <cellStyle name="Migliaia 60 2 2 2 3" xfId="18530" xr:uid="{FCFF4159-F0B3-4BBF-9A35-4DFC0E172FDF}"/>
    <cellStyle name="Migliaia 60 2 2 2 4" xfId="21122" xr:uid="{C2FA1883-425C-4513-9C3A-A8017F6378FF}"/>
    <cellStyle name="Migliaia 60 2 2 2 5" xfId="25626" xr:uid="{56835684-E6E4-4787-8571-EF7F62D047DB}"/>
    <cellStyle name="Migliaia 60 2 2 2 6" xfId="16891" xr:uid="{75AE8D15-FBBC-490F-8667-FC4F37F64FF4}"/>
    <cellStyle name="Migliaia 60 2 2 2 7" xfId="8817" xr:uid="{BC90859F-3D08-4D5E-BF4E-79F917F40AF8}"/>
    <cellStyle name="Migliaia 60 2 2 3" xfId="6896" xr:uid="{7A662D1B-B423-4AC6-830C-D6522F084461}"/>
    <cellStyle name="Migliaia 60 2 2 3 2" xfId="35515" xr:uid="{4CD2ED2E-C970-4884-9382-4942FB040337}"/>
    <cellStyle name="Migliaia 60 2 2 3 2 2" xfId="40675" xr:uid="{656701AA-94A0-4154-86B0-798D87E9AB1D}"/>
    <cellStyle name="Migliaia 60 2 2 3 2 3" xfId="45977" xr:uid="{1DE71701-C2B0-4EFC-8D43-C1AEC98B4098}"/>
    <cellStyle name="Migliaia 60 2 2 3 3" xfId="38024" xr:uid="{4C12C4F7-DF8F-41BB-B332-E3A61F2D8CCD}"/>
    <cellStyle name="Migliaia 60 2 2 3 4" xfId="43326" xr:uid="{2FDF1843-B543-4EA4-942A-A070D4C0DF77}"/>
    <cellStyle name="Migliaia 60 2 2 3 5" xfId="11646" xr:uid="{289F32E6-A8C1-4367-835D-0FDDEA6D0B56}"/>
    <cellStyle name="Migliaia 60 2 2 4" xfId="4002" xr:uid="{B33F874A-D2E5-459C-8CBC-BBCFA5659CB8}"/>
    <cellStyle name="Migliaia 60 2 2 4 2" xfId="21648" xr:uid="{E30EACFB-398C-4D48-8AAD-D96780A79A0A}"/>
    <cellStyle name="Migliaia 60 2 2 4 3" xfId="34826" xr:uid="{B4AF1322-B906-40B9-886E-30FBA62D68E0}"/>
    <cellStyle name="Migliaia 60 2 2 4 4" xfId="47388" xr:uid="{E630E165-F783-4DDC-A820-B0DFAC286DD9}"/>
    <cellStyle name="Migliaia 60 2 2 4 5" xfId="50663" xr:uid="{50622E17-B467-4C17-901E-600C796D9CD5}"/>
    <cellStyle name="Migliaia 60 2 2 4 6" xfId="53679" xr:uid="{6D4E1CA5-B597-479B-8C75-4AB91741A9B4}"/>
    <cellStyle name="Migliaia 60 2 2 4 7" xfId="11013" xr:uid="{642A8FA3-EF34-46AB-9AAF-75A2ADCDE3B7}"/>
    <cellStyle name="Migliaia 60 2 2 5" xfId="21121" xr:uid="{93BA6E81-7CDC-4C21-A0F8-72FBBC26244F}"/>
    <cellStyle name="Migliaia 60 2 2 6" xfId="25625" xr:uid="{E40E2496-B421-4323-B653-8080663F21C4}"/>
    <cellStyle name="Migliaia 60 2 2 7" xfId="7627" xr:uid="{F0946935-C03B-4C48-9DCB-BDD59AE1C9D6}"/>
    <cellStyle name="Migliaia 60 2 3" xfId="4003" xr:uid="{9E09FCA5-168F-46C7-AEB9-E40DA8254710}"/>
    <cellStyle name="Migliaia 60 2 3 2" xfId="5729" xr:uid="{CB821AB2-4F81-4609-B47B-1D4788BDA8B6}"/>
    <cellStyle name="Migliaia 60 2 3 2 2" xfId="35516" xr:uid="{65D4460A-17E0-4F18-9FCC-81B3DD626BD5}"/>
    <cellStyle name="Migliaia 60 2 3 2 2 2" xfId="40676" xr:uid="{39B7FC4E-04BB-4E6A-BBBE-998B06FFB1BD}"/>
    <cellStyle name="Migliaia 60 2 3 2 2 3" xfId="45978" xr:uid="{001155A8-1515-4CD3-B705-C54278AE79A1}"/>
    <cellStyle name="Migliaia 60 2 3 2 3" xfId="38025" xr:uid="{3DCD2611-740C-42AD-945C-2DC598D1F25C}"/>
    <cellStyle name="Migliaia 60 2 3 2 4" xfId="43327" xr:uid="{52BFC30E-A51D-471E-A531-FC3191E434CC}"/>
    <cellStyle name="Migliaia 60 2 3 2 5" xfId="14348" xr:uid="{972FC79D-9955-489F-840B-90866E6314CB}"/>
    <cellStyle name="Migliaia 60 2 3 3" xfId="6897" xr:uid="{A0A20921-5323-4BC0-A00E-5879CDCBF050}"/>
    <cellStyle name="Migliaia 60 2 3 3 2" xfId="34828" xr:uid="{47A4A045-45EE-4FF3-A22D-75D2ACFD5924}"/>
    <cellStyle name="Migliaia 60 2 3 3 3" xfId="21123" xr:uid="{5662BC24-CEA2-4586-9B54-A0CBD83D8D9C}"/>
    <cellStyle name="Migliaia 60 2 3 4" xfId="25627" xr:uid="{36A8218F-CC22-4061-99C3-3D68F4F5DEF1}"/>
    <cellStyle name="Migliaia 60 2 3 5" xfId="16892" xr:uid="{16394299-E2ED-436D-9A9C-37C2A8603671}"/>
    <cellStyle name="Migliaia 60 2 3 6" xfId="8410" xr:uid="{FC4D7169-2C14-49AF-8700-FDA9CE0071BE}"/>
    <cellStyle name="Migliaia 60 2 4" xfId="5727" xr:uid="{02C2B89A-C30A-45D6-BAEE-9D7ACCE35542}"/>
    <cellStyle name="Migliaia 60 2 4 2" xfId="14053" xr:uid="{317A7B0F-48AE-40D1-92AE-D31F0058864A}"/>
    <cellStyle name="Migliaia 60 2 4 2 2" xfId="34829" xr:uid="{76D7DB75-8AD7-4A36-83AC-420BCB017663}"/>
    <cellStyle name="Migliaia 60 2 4 3" xfId="18683" xr:uid="{E3579C84-F947-4D14-ACA2-158D14B2E7CB}"/>
    <cellStyle name="Migliaia 60 2 4 4" xfId="21124" xr:uid="{61D8BDB0-D8F0-4966-AB2C-894C5619C28D}"/>
    <cellStyle name="Migliaia 60 2 4 5" xfId="25628" xr:uid="{9FD3226E-5D06-4005-951A-A65CEFF279ED}"/>
    <cellStyle name="Migliaia 60 2 4 6" xfId="16893" xr:uid="{F3A71664-A8FF-40B0-8101-20BFCC58AF5B}"/>
    <cellStyle name="Migliaia 60 2 4 7" xfId="8047" xr:uid="{6F4C05F3-3F74-42E6-9ED9-407BD6512380}"/>
    <cellStyle name="Migliaia 60 2 5" xfId="6895" xr:uid="{071117BE-EA62-485D-8268-DB432E4DB7EF}"/>
    <cellStyle name="Migliaia 60 2 5 2" xfId="34830" xr:uid="{B8C71280-D4AF-4EBB-91CD-B4443CABCD42}"/>
    <cellStyle name="Migliaia 60 2 5 3" xfId="25629" xr:uid="{C798074C-FC5C-45C7-8347-8DFADE68797D}"/>
    <cellStyle name="Migliaia 60 2 5 4" xfId="13159" xr:uid="{8D3122FE-4370-4A16-8DAF-D0508D6D46B9}"/>
    <cellStyle name="Migliaia 60 2 6" xfId="4001" xr:uid="{B571F1DE-CD08-4992-A2E6-BA66CF7EBBDB}"/>
    <cellStyle name="Migliaia 60 2 6 2" xfId="34831" xr:uid="{B3C0F04B-DDD8-4110-B6DA-A9DD3C503B6D}"/>
    <cellStyle name="Migliaia 60 2 6 3" xfId="25630" xr:uid="{0E65DB54-6E04-4BD1-B8E9-4CD52E31CE58}"/>
    <cellStyle name="Migliaia 60 2 6 4" xfId="21120" xr:uid="{F6C496F5-34A2-4467-B549-C521C8A6E198}"/>
    <cellStyle name="Migliaia 60 2 7" xfId="34825" xr:uid="{A418DDC8-AC95-4250-B2A5-A7B7CC11AFBD}"/>
    <cellStyle name="Migliaia 60 2 8" xfId="25624" xr:uid="{7466E294-31C2-49B4-87E0-6659A40D72F2}"/>
    <cellStyle name="Migliaia 60 2 9" xfId="7211" xr:uid="{07F92585-FFFE-40D0-BFC8-F9F89CFD7F10}"/>
    <cellStyle name="Migliaia 60 3" xfId="527" xr:uid="{00000000-0005-0000-0000-0000BA040000}"/>
    <cellStyle name="Migliaia 60 3 10" xfId="25631" xr:uid="{EF4C7264-CA50-4AAF-86D0-5B6943577BA2}"/>
    <cellStyle name="Migliaia 60 3 11" xfId="16894" xr:uid="{14F67867-D648-48D6-954C-B465D7FB3808}"/>
    <cellStyle name="Migliaia 60 3 12" xfId="7212" xr:uid="{03334771-8856-49E2-B169-29DFD0B37F9E}"/>
    <cellStyle name="Migliaia 60 3 2" xfId="528" xr:uid="{00000000-0005-0000-0000-0000BB040000}"/>
    <cellStyle name="Migliaia 60 3 2 2" xfId="1937" xr:uid="{00000000-0005-0000-0000-0000BC040000}"/>
    <cellStyle name="Migliaia 60 3 2 2 2" xfId="5732" xr:uid="{E48901DD-7636-4631-92DD-82F268962BA0}"/>
    <cellStyle name="Migliaia 60 3 2 2 2 2" xfId="18531" xr:uid="{E7FB255A-F50A-4C2D-902C-C170DAFD31C4}"/>
    <cellStyle name="Migliaia 60 3 2 2 2 2 2" xfId="21897" xr:uid="{88B4C254-FDFA-41DE-9463-8BD2B317C757}"/>
    <cellStyle name="Migliaia 60 3 2 2 2 2 3" xfId="34835" xr:uid="{3E4C1B02-FE94-4052-9144-DEFB371A0670}"/>
    <cellStyle name="Migliaia 60 3 2 2 2 3" xfId="25634" xr:uid="{AF9D9BB0-9B54-4886-AFA8-597007A21609}"/>
    <cellStyle name="Migliaia 60 3 2 2 2 4" xfId="46753" xr:uid="{3913300A-8315-4C9C-BADE-A91202AD3667}"/>
    <cellStyle name="Migliaia 60 3 2 2 2 5" xfId="50925" xr:uid="{DFB77ACB-2010-4D75-B24D-7591E0688151}"/>
    <cellStyle name="Migliaia 60 3 2 2 2 6" xfId="53941" xr:uid="{8D03A078-D52A-4A13-96DE-F9249B930F0D}"/>
    <cellStyle name="Migliaia 60 3 2 2 2 7" xfId="17696" xr:uid="{FC8ECFE2-D299-45F9-95CA-EEF1F4DAAE54}"/>
    <cellStyle name="Migliaia 60 3 2 2 2 8" xfId="12111" xr:uid="{3CAA9DEC-6E3B-4E91-93FE-798F3BE46125}"/>
    <cellStyle name="Migliaia 60 3 2 2 3" xfId="6900" xr:uid="{D9311C87-8566-4886-B993-CA3C54EDEC7C}"/>
    <cellStyle name="Migliaia 60 3 2 2 3 2" xfId="34834" xr:uid="{469ADCCD-68AE-4273-B38C-95BD721F9CBB}"/>
    <cellStyle name="Migliaia 60 3 2 2 3 3" xfId="12201" xr:uid="{C9B826D7-C564-4966-96C9-56009975FFD0}"/>
    <cellStyle name="Migliaia 60 3 2 2 4" xfId="4006" xr:uid="{464AC856-3A1D-4100-BA53-BE6A9D8D2CD7}"/>
    <cellStyle name="Migliaia 60 3 2 2 4 2" xfId="21649" xr:uid="{C477A76F-63B6-4239-AAD9-FCAEFBA80FED}"/>
    <cellStyle name="Migliaia 60 3 2 2 4 3" xfId="24239" xr:uid="{A0FD20C2-72F2-42DD-9B35-A8779E5CCD3B}"/>
    <cellStyle name="Migliaia 60 3 2 2 4 4" xfId="50664" xr:uid="{35E88E8C-CCC5-408B-A3BC-13F146F2D52E}"/>
    <cellStyle name="Migliaia 60 3 2 2 4 5" xfId="53680" xr:uid="{AF8E30FB-35FE-45FC-987B-3F783406DF2B}"/>
    <cellStyle name="Migliaia 60 3 2 2 4 6" xfId="11014" xr:uid="{07E26C10-C516-4D40-AC28-104F6CEAB6EB}"/>
    <cellStyle name="Migliaia 60 3 2 2 5" xfId="21127" xr:uid="{0EC07E55-EF1A-484A-8920-DBCF984A60DF}"/>
    <cellStyle name="Migliaia 60 3 2 2 6" xfId="25633" xr:uid="{22C96A3B-DE26-4B4F-9946-B14C3D31E2E8}"/>
    <cellStyle name="Migliaia 60 3 2 2 7" xfId="8819" xr:uid="{D261A8EE-AD31-4F8F-852C-CB45AF699629}"/>
    <cellStyle name="Migliaia 60 3 2 3" xfId="5731" xr:uid="{6E69AE47-27DE-4953-8D16-5F88EAECC4A6}"/>
    <cellStyle name="Migliaia 60 3 2 3 2" xfId="12219" xr:uid="{507E7281-5663-46B1-A5C1-2003BB5B7F51}"/>
    <cellStyle name="Migliaia 60 3 2 3 2 2" xfId="34836" xr:uid="{985D9ED9-D521-4896-8ECA-D35481C04ADD}"/>
    <cellStyle name="Migliaia 60 3 2 3 3" xfId="12112" xr:uid="{28D7D73E-BF7A-4A14-8E8C-4316B27ABEDD}"/>
    <cellStyle name="Migliaia 60 3 2 3 4" xfId="21128" xr:uid="{A1A954DF-CD45-4BFF-AEF6-A85EBED4BE6E}"/>
    <cellStyle name="Migliaia 60 3 2 3 5" xfId="25635" xr:uid="{8C7636C0-531F-44B9-AC89-AA7710BA2B82}"/>
    <cellStyle name="Migliaia 60 3 2 3 6" xfId="16895" xr:uid="{83205585-2F72-49FE-8AA8-4A0427B07D23}"/>
    <cellStyle name="Migliaia 60 3 2 3 7" xfId="8049" xr:uid="{2D2C5528-2100-4CFA-9593-5D826ACD7CC8}"/>
    <cellStyle name="Migliaia 60 3 2 4" xfId="6899" xr:uid="{2B741818-763D-4849-8FB7-2A4428D8C4F3}"/>
    <cellStyle name="Migliaia 60 3 2 4 2" xfId="18113" xr:uid="{133A257E-F088-4D02-BA51-371889F60C48}"/>
    <cellStyle name="Migliaia 60 3 2 4 2 2" xfId="34837" xr:uid="{33A5336E-6440-45C4-8D9C-3655393F3C85}"/>
    <cellStyle name="Migliaia 60 3 2 4 3" xfId="25636" xr:uid="{BCB20724-76BF-435D-8C2D-F89B7FA69277}"/>
    <cellStyle name="Migliaia 60 3 2 4 4" xfId="17248" xr:uid="{E84B35E2-5B67-447D-A4C5-303B36A312E4}"/>
    <cellStyle name="Migliaia 60 3 2 4 5" xfId="11464" xr:uid="{A88A82BD-262F-4D2C-A023-5C2810A2399A}"/>
    <cellStyle name="Migliaia 60 3 2 5" xfId="4005" xr:uid="{9DF76BB5-32EE-463E-95DC-AFDD4B9387D9}"/>
    <cellStyle name="Migliaia 60 3 2 5 2" xfId="34838" xr:uid="{039FA886-FC9A-41E6-8763-E07FD5C09CD2}"/>
    <cellStyle name="Migliaia 60 3 2 5 3" xfId="25637" xr:uid="{CC497A38-B40E-460F-B397-F9A80930EF23}"/>
    <cellStyle name="Migliaia 60 3 2 5 4" xfId="17258" xr:uid="{EE5F5B10-3C4A-4862-8E76-016D47FB21E9}"/>
    <cellStyle name="Migliaia 60 3 2 6" xfId="21126" xr:uid="{4183C71A-CF2A-4E25-A074-C1F930F89F9D}"/>
    <cellStyle name="Migliaia 60 3 2 6 2" xfId="34839" xr:uid="{3C214B16-256C-4AF4-BD5E-833E6039EB86}"/>
    <cellStyle name="Migliaia 60 3 2 6 3" xfId="25638" xr:uid="{1669AD2C-AB76-4653-8BB5-49F1FE563DBC}"/>
    <cellStyle name="Migliaia 60 3 2 7" xfId="34833" xr:uid="{28E2DFDA-93B6-4BD4-9208-2FFF57C33D1C}"/>
    <cellStyle name="Migliaia 60 3 2 8" xfId="25632" xr:uid="{BEC153C4-71E8-4B3A-B91D-BF2CD4562058}"/>
    <cellStyle name="Migliaia 60 3 2 9" xfId="7629" xr:uid="{D67C0361-EBE0-4B87-9B39-451B7EC1FB87}"/>
    <cellStyle name="Migliaia 60 3 3" xfId="4007" xr:uid="{B88B0314-4626-49A4-A6EF-7EC04089FE98}"/>
    <cellStyle name="Migliaia 60 3 3 2" xfId="5733" xr:uid="{08FB6EE2-7D97-4734-9678-838D2B1E92FB}"/>
    <cellStyle name="Migliaia 60 3 3 2 2" xfId="9994" xr:uid="{E8FE569A-956B-4802-9548-3274A0A8546D}"/>
    <cellStyle name="Migliaia 60 3 3 2 2 2" xfId="34841" xr:uid="{B8C8CAE7-73F4-44A1-8698-2472AEFCB027}"/>
    <cellStyle name="Migliaia 60 3 3 2 3" xfId="18274" xr:uid="{1AB8FD89-7A54-4562-9807-7687FCA84286}"/>
    <cellStyle name="Migliaia 60 3 3 2 4" xfId="21130" xr:uid="{7FBF85F7-C917-4AB6-A97C-5700379B0504}"/>
    <cellStyle name="Migliaia 60 3 3 2 5" xfId="25640" xr:uid="{BA10CA02-0138-49B8-A6AF-746C68AC22B1}"/>
    <cellStyle name="Migliaia 60 3 3 2 6" xfId="16897" xr:uid="{F7CAB839-F9C4-454B-9A3D-16D35716FC91}"/>
    <cellStyle name="Migliaia 60 3 3 2 7" xfId="8818" xr:uid="{FF1E4FC7-918A-42F7-95AA-2C7E9C68BB4B}"/>
    <cellStyle name="Migliaia 60 3 3 3" xfId="6901" xr:uid="{D371E093-E284-49B4-B3EE-A42DB7F2566F}"/>
    <cellStyle name="Migliaia 60 3 3 3 2" xfId="34842" xr:uid="{D11E37F2-AAF0-4F13-9380-17A3E35E9D53}"/>
    <cellStyle name="Migliaia 60 3 3 3 3" xfId="25641" xr:uid="{18E5964A-2127-493E-AD87-817C66F7F1AB}"/>
    <cellStyle name="Migliaia 60 3 3 3 4" xfId="9757" xr:uid="{87548E13-F53A-4FC6-B9F6-69B3C5FAEE61}"/>
    <cellStyle name="Migliaia 60 3 3 4" xfId="21129" xr:uid="{8A3911B9-7B40-4382-AB46-97FE812B4AB5}"/>
    <cellStyle name="Migliaia 60 3 3 4 2" xfId="34843" xr:uid="{6307682A-A040-4B09-94CD-72988C74056D}"/>
    <cellStyle name="Migliaia 60 3 3 4 3" xfId="25642" xr:uid="{ECF071C2-FCCF-476E-9BF5-51C9E4E14447}"/>
    <cellStyle name="Migliaia 60 3 3 4 4" xfId="48906" xr:uid="{32F59147-AA29-4F1A-BC2F-E66E09475FD3}"/>
    <cellStyle name="Migliaia 60 3 3 5" xfId="25643" xr:uid="{8A9CCFF9-E25F-4D34-BDD3-AD238DAE5157}"/>
    <cellStyle name="Migliaia 60 3 3 5 2" xfId="34844" xr:uid="{8BE4A7FD-9AC7-4531-8421-76ECD31A11B6}"/>
    <cellStyle name="Migliaia 60 3 3 5 3" xfId="48907" xr:uid="{CF561DF8-8F76-4717-BC90-4A85D1728256}"/>
    <cellStyle name="Migliaia 60 3 3 6" xfId="34840" xr:uid="{5D3605A4-292A-4B77-8E01-12E8E6107007}"/>
    <cellStyle name="Migliaia 60 3 3 7" xfId="25639" xr:uid="{EC03A99B-3A88-4D15-B167-1C524BA0AC3F}"/>
    <cellStyle name="Migliaia 60 3 3 8" xfId="16896" xr:uid="{DA5F8A19-D0DA-4C1B-BCCE-6D9F89A2A3C4}"/>
    <cellStyle name="Migliaia 60 3 3 9" xfId="7628" xr:uid="{F7021454-B949-45F9-844B-48FA0DB1A70F}"/>
    <cellStyle name="Migliaia 60 3 4" xfId="4008" xr:uid="{AA60A637-919D-4D1F-9A0A-C78697BAE7B2}"/>
    <cellStyle name="Migliaia 60 3 4 2" xfId="5734" xr:uid="{06ABAEB4-95B8-4140-B147-AFA2FA315057}"/>
    <cellStyle name="Migliaia 60 3 4 2 2" xfId="14479" xr:uid="{6DF6B5BD-7A6C-46A8-B6AE-6B61E448379E}"/>
    <cellStyle name="Migliaia 60 3 4 2 3" xfId="18137" xr:uid="{216557AF-B5D6-4BAB-8AC2-2F5DEA393158}"/>
    <cellStyle name="Migliaia 60 3 4 2 4" xfId="21132" xr:uid="{D974F19C-1A0C-4E5A-B447-4535912A96C1}"/>
    <cellStyle name="Migliaia 60 3 4 2 5" xfId="32487" xr:uid="{D3D9F6DA-6BCA-47E6-BC7E-A0F5CE70C7CE}"/>
    <cellStyle name="Migliaia 60 3 4 2 6" xfId="16899" xr:uid="{A25F92EF-8C69-462F-94E1-EBF214D2EB2F}"/>
    <cellStyle name="Migliaia 60 3 4 2 7" xfId="8902" xr:uid="{F44126E0-8334-4C82-9489-86A00083CF2E}"/>
    <cellStyle name="Migliaia 60 3 4 3" xfId="6902" xr:uid="{063CFC75-FE31-4C53-8868-69CE6950C5AF}"/>
    <cellStyle name="Migliaia 60 3 4 3 2" xfId="35517" xr:uid="{CC617D12-5CA8-4686-A4E8-F34A9C4E7068}"/>
    <cellStyle name="Migliaia 60 3 4 3 2 2" xfId="40677" xr:uid="{CC3F577C-8991-49D0-887C-A038FBE00977}"/>
    <cellStyle name="Migliaia 60 3 4 3 2 3" xfId="45979" xr:uid="{5B9388B8-DF10-4331-B8E3-6B56941D07ED}"/>
    <cellStyle name="Migliaia 60 3 4 3 3" xfId="38026" xr:uid="{D4EE5400-F03E-4C88-914A-E5854729464B}"/>
    <cellStyle name="Migliaia 60 3 4 3 4" xfId="43328" xr:uid="{437603B9-9C83-4EE3-B1A6-7375B4E2DC18}"/>
    <cellStyle name="Migliaia 60 3 4 3 5" xfId="13727" xr:uid="{076C0AFD-B8E6-402B-A20C-0900603990C9}"/>
    <cellStyle name="Migliaia 60 3 4 4" xfId="21131" xr:uid="{36B76F95-501F-4FD1-963E-8348205D09DB}"/>
    <cellStyle name="Migliaia 60 3 4 4 2" xfId="34845" xr:uid="{5E21949B-211D-4725-80FC-F4AE788FBED8}"/>
    <cellStyle name="Migliaia 60 3 4 5" xfId="25644" xr:uid="{9022996A-B4BC-454D-BE78-5D4C6FD5308A}"/>
    <cellStyle name="Migliaia 60 3 4 6" xfId="16898" xr:uid="{909E30EA-683F-4A40-9FBE-0D211B0E0290}"/>
    <cellStyle name="Migliaia 60 3 4 7" xfId="7712" xr:uid="{33205B5E-DCD4-48DB-99DD-EFC5AF47112C}"/>
    <cellStyle name="Migliaia 60 3 5" xfId="4009" xr:uid="{C48E4ECE-2A4D-41A7-B64B-D234CEE0C308}"/>
    <cellStyle name="Migliaia 60 3 5 2" xfId="5735" xr:uid="{DA1AAEBE-6432-4801-A049-F282B9B35673}"/>
    <cellStyle name="Migliaia 60 3 5 2 2" xfId="35518" xr:uid="{D96A23E6-9419-4255-9C14-1BA07F0ED6A8}"/>
    <cellStyle name="Migliaia 60 3 5 2 2 2" xfId="40678" xr:uid="{5A16FAD1-08AA-43C4-94CC-3A17ACA0D8E9}"/>
    <cellStyle name="Migliaia 60 3 5 2 2 3" xfId="45980" xr:uid="{A831518D-C7A2-470F-B1BA-30C79BA49B83}"/>
    <cellStyle name="Migliaia 60 3 5 2 3" xfId="38027" xr:uid="{374AA49A-76E9-4428-8118-DB7B245C1FF0}"/>
    <cellStyle name="Migliaia 60 3 5 2 4" xfId="43329" xr:uid="{D5897B3C-C55C-4AC7-956E-8D346793E4C5}"/>
    <cellStyle name="Migliaia 60 3 5 2 5" xfId="14349" xr:uid="{A5576A56-64A7-4A31-8547-231AEB6E6894}"/>
    <cellStyle name="Migliaia 60 3 5 3" xfId="6903" xr:uid="{405A201B-82E3-43F9-93A9-BF6790FA0F60}"/>
    <cellStyle name="Migliaia 60 3 5 3 2" xfId="34846" xr:uid="{DC0F01DF-4F94-4748-A07D-7FFD6660AFFE}"/>
    <cellStyle name="Migliaia 60 3 5 3 3" xfId="21133" xr:uid="{271E87FC-A47B-42C7-8D06-2067239978E0}"/>
    <cellStyle name="Migliaia 60 3 5 4" xfId="25645" xr:uid="{0C725AB4-4EF2-40A4-8D41-338C7697DAD8}"/>
    <cellStyle name="Migliaia 60 3 5 5" xfId="16900" xr:uid="{835F5BE9-B56E-49E2-AB5A-5ACCC0EFB649}"/>
    <cellStyle name="Migliaia 60 3 5 6" xfId="8411" xr:uid="{2128DEF7-1A93-41F5-9D38-7CC53FBB1CE6}"/>
    <cellStyle name="Migliaia 60 3 6" xfId="5730" xr:uid="{72BE31CA-5C90-478D-9E97-2F5357207F69}"/>
    <cellStyle name="Migliaia 60 3 6 2" xfId="14054" xr:uid="{880EC04F-DB17-40C5-A952-68A1789296A4}"/>
    <cellStyle name="Migliaia 60 3 6 2 2" xfId="34847" xr:uid="{A6FD7701-71EE-4A61-8820-C1C373C45CA6}"/>
    <cellStyle name="Migliaia 60 3 6 3" xfId="18682" xr:uid="{67327489-BFB6-4718-904D-0AA5E27A1C08}"/>
    <cellStyle name="Migliaia 60 3 6 4" xfId="21134" xr:uid="{A1F9BCF5-7932-452D-ABDF-A462F57BF60B}"/>
    <cellStyle name="Migliaia 60 3 6 5" xfId="25646" xr:uid="{CB918F62-860B-4C52-AC8A-CC5265632C2B}"/>
    <cellStyle name="Migliaia 60 3 6 6" xfId="16901" xr:uid="{08B7A4FE-68D7-4190-8EFC-A5DF040776A5}"/>
    <cellStyle name="Migliaia 60 3 6 7" xfId="8048" xr:uid="{3E8B0A45-6D7E-439C-B773-BBD7E998ECC3}"/>
    <cellStyle name="Migliaia 60 3 7" xfId="6898" xr:uid="{D0A361DC-1E0F-4413-9F05-3266F01B2E54}"/>
    <cellStyle name="Migliaia 60 3 7 2" xfId="34848" xr:uid="{25A9E28F-CF26-483D-85AE-70C38F4286A4}"/>
    <cellStyle name="Migliaia 60 3 7 3" xfId="25647" xr:uid="{1D4585A2-9C97-43F2-9C6F-FDB0282F203B}"/>
    <cellStyle name="Migliaia 60 3 7 4" xfId="11216" xr:uid="{10C140C7-3559-4E13-9C7B-9C0C2F7F315A}"/>
    <cellStyle name="Migliaia 60 3 8" xfId="4004" xr:uid="{3CAEBF58-AFF2-4E51-9F4B-1E5D4E84335B}"/>
    <cellStyle name="Migliaia 60 3 8 2" xfId="34849" xr:uid="{3AD03FC3-A720-4751-903F-EB1A617CFE53}"/>
    <cellStyle name="Migliaia 60 3 8 3" xfId="25648" xr:uid="{A24DE9E7-7F5F-4DE2-8840-401C56E64419}"/>
    <cellStyle name="Migliaia 60 3 8 4" xfId="17259" xr:uid="{11725F20-487D-4499-A951-4E619D91ABE6}"/>
    <cellStyle name="Migliaia 60 3 9" xfId="21125" xr:uid="{47857A7C-596E-410D-B79A-666908AB6534}"/>
    <cellStyle name="Migliaia 60 3 9 2" xfId="34832" xr:uid="{A8776877-4C7B-4F15-A590-28B0703E2928}"/>
    <cellStyle name="Migliaia 60 4" xfId="1938" xr:uid="{00000000-0005-0000-0000-0000BD040000}"/>
    <cellStyle name="Migliaia 60 4 10" xfId="7630" xr:uid="{85417A3D-B678-49C6-9EDB-D2538F29C763}"/>
    <cellStyle name="Migliaia 60 4 2" xfId="1939" xr:uid="{00000000-0005-0000-0000-0000BE040000}"/>
    <cellStyle name="Migliaia 60 4 2 2" xfId="5737" xr:uid="{6FA717F5-2FAF-4F42-9C70-8D7551DBA312}"/>
    <cellStyle name="Migliaia 60 4 2 2 2" xfId="34852" xr:uid="{7F2CE01A-741B-4A0B-8FA5-7A8989B75DF6}"/>
    <cellStyle name="Migliaia 60 4 2 2 3" xfId="25651" xr:uid="{5D52D723-9B10-44E1-A869-4FDBA1F663EE}"/>
    <cellStyle name="Migliaia 60 4 2 2 4" xfId="9220" xr:uid="{9D25BD1D-CCBF-47C9-A8A9-4FD7A2DCC938}"/>
    <cellStyle name="Migliaia 60 4 2 3" xfId="4011" xr:uid="{F1AC3A86-90B7-41BE-A358-C1EB138FA038}"/>
    <cellStyle name="Migliaia 60 4 2 3 2" xfId="34853" xr:uid="{BD0681EB-886D-480C-9B83-9314E14D46E9}"/>
    <cellStyle name="Migliaia 60 4 2 3 3" xfId="25652" xr:uid="{308C7F9F-0D9E-4570-8BEB-9A65EBD81828}"/>
    <cellStyle name="Migliaia 60 4 2 3 4" xfId="12113" xr:uid="{D2B762BE-4844-42D6-8F7A-27FE9A97D69B}"/>
    <cellStyle name="Migliaia 60 4 2 4" xfId="11466" xr:uid="{7FBC69CE-7F70-4102-B945-5B0606625E44}"/>
    <cellStyle name="Migliaia 60 4 2 4 2" xfId="34851" xr:uid="{E87E0F1F-DD70-4B63-8351-A2B0871E92D9}"/>
    <cellStyle name="Migliaia 60 4 2 5" xfId="11016" xr:uid="{A3F056F4-059C-4956-8200-116E205441F6}"/>
    <cellStyle name="Migliaia 60 4 2 5 2" xfId="21651" xr:uid="{2262CC88-ECF3-48E1-8677-F19746AB5C28}"/>
    <cellStyle name="Migliaia 60 4 2 5 3" xfId="25182" xr:uid="{D8F25D9B-A870-4D8B-95E2-A19D3DB42A92}"/>
    <cellStyle name="Migliaia 60 4 2 5 4" xfId="50666" xr:uid="{6B6B31BB-1B7E-4DBB-89D3-E7CC2D3F632F}"/>
    <cellStyle name="Migliaia 60 4 2 5 5" xfId="53682" xr:uid="{8957DDD5-86DF-4DEE-B9B1-D218757C4DCF}"/>
    <cellStyle name="Migliaia 60 4 2 6" xfId="21136" xr:uid="{4EEE9278-EB78-40CE-B590-F1F987C0F0CF}"/>
    <cellStyle name="Migliaia 60 4 2 7" xfId="25650" xr:uid="{9CBC27AC-E75B-404C-A905-CB976CC8E14E}"/>
    <cellStyle name="Migliaia 60 4 2 8" xfId="8820" xr:uid="{9F0DA758-D8E3-40BD-91BD-31386D4B3E08}"/>
    <cellStyle name="Migliaia 60 4 3" xfId="5736" xr:uid="{46E40743-CED9-4BB0-8F45-BF3AD632E03A}"/>
    <cellStyle name="Migliaia 60 4 3 2" xfId="18275" xr:uid="{DFF691B9-8F6F-4CE6-B748-AE744C5C604D}"/>
    <cellStyle name="Migliaia 60 4 3 2 2" xfId="34854" xr:uid="{F23B7E35-2C76-4192-8098-FEB8B591A053}"/>
    <cellStyle name="Migliaia 60 4 3 3" xfId="25653" xr:uid="{97F1CA19-3A94-415C-8A3E-B6944B736E44}"/>
    <cellStyle name="Migliaia 60 4 3 4" xfId="17257" xr:uid="{05202BA7-49C8-449D-8549-3CA07FC9CA89}"/>
    <cellStyle name="Migliaia 60 4 3 5" xfId="9221" xr:uid="{2BE40F6F-7E8A-4EF6-B447-2C48AEA9B19F}"/>
    <cellStyle name="Migliaia 60 4 4" xfId="6904" xr:uid="{04EB69FA-DF80-4050-8B00-9006751E6441}"/>
    <cellStyle name="Migliaia 60 4 4 2" xfId="34855" xr:uid="{A5C5BED3-047D-4791-AFD0-66E1D804924B}"/>
    <cellStyle name="Migliaia 60 4 4 3" xfId="25654" xr:uid="{19B7AA92-59B6-4C92-B513-E514AE1C290B}"/>
    <cellStyle name="Migliaia 60 4 4 4" xfId="12114" xr:uid="{CECDFBC0-E094-48A6-8268-B1D9DAC2F262}"/>
    <cellStyle name="Migliaia 60 4 5" xfId="4010" xr:uid="{4EAE7764-ADEF-451E-99DD-4F8CD5E91DAF}"/>
    <cellStyle name="Migliaia 60 4 5 2" xfId="34856" xr:uid="{A33719AD-7E33-4D66-9E0F-171BC5D62D76}"/>
    <cellStyle name="Migliaia 60 4 5 3" xfId="25655" xr:uid="{11855AE7-CE85-49DB-ADF4-268D8AB7148B}"/>
    <cellStyle name="Migliaia 60 4 5 4" xfId="11465" xr:uid="{AE6793BF-68F8-45D1-AB2E-B8142E955EBF}"/>
    <cellStyle name="Migliaia 60 4 6" xfId="11015" xr:uid="{A7A9C0B9-7D75-4D80-AD67-36AB162FFEBE}"/>
    <cellStyle name="Migliaia 60 4 6 2" xfId="21650" xr:uid="{BE357CC5-BB13-422D-A315-B31C13616714}"/>
    <cellStyle name="Migliaia 60 4 6 2 2" xfId="34857" xr:uid="{9F988635-65DA-4CF6-B346-5FBBA1C4784F}"/>
    <cellStyle name="Migliaia 60 4 6 3" xfId="25656" xr:uid="{1666EB64-F638-4140-81A4-701F270BB628}"/>
    <cellStyle name="Migliaia 60 4 6 4" xfId="47124" xr:uid="{F3845C8B-5967-4141-AAB5-3D3E6E27F86F}"/>
    <cellStyle name="Migliaia 60 4 6 5" xfId="48908" xr:uid="{BEB98916-2989-440B-9AD6-3D91F7E9B6D7}"/>
    <cellStyle name="Migliaia 60 4 6 6" xfId="50665" xr:uid="{5B9204F3-4724-41BC-AD97-E947EE4D1725}"/>
    <cellStyle name="Migliaia 60 4 6 7" xfId="53681" xr:uid="{8881DF05-CBB9-4F69-A7EF-E960818755FA}"/>
    <cellStyle name="Migliaia 60 4 7" xfId="21135" xr:uid="{143CCBA2-F9CA-46DB-B4A7-5E9892D2B74C}"/>
    <cellStyle name="Migliaia 60 4 7 2" xfId="34858" xr:uid="{845EB87B-C460-4140-A166-E2708EF4F5F3}"/>
    <cellStyle name="Migliaia 60 4 7 3" xfId="25657" xr:uid="{D47F8420-7CF3-4695-ADF0-DF7CB5AF305A}"/>
    <cellStyle name="Migliaia 60 4 8" xfId="34850" xr:uid="{D52DEC98-EB13-4ECE-AE02-64A30E41043A}"/>
    <cellStyle name="Migliaia 60 4 9" xfId="25649" xr:uid="{2D392A67-B045-470C-9C70-BEFE6A7FE118}"/>
    <cellStyle name="Migliaia 60 5" xfId="1940" xr:uid="{00000000-0005-0000-0000-0000BF040000}"/>
    <cellStyle name="Migliaia 60 5 2" xfId="5738" xr:uid="{E38962C9-A1AA-40F7-8F66-3194A4D277F1}"/>
    <cellStyle name="Migliaia 60 5 2 2" xfId="18532" xr:uid="{B21141B7-B012-4AC1-A7CA-BB13BA82AA93}"/>
    <cellStyle name="Migliaia 60 5 2 2 2" xfId="34860" xr:uid="{158DA2A3-F84F-46A2-B4EE-328E6C5E234E}"/>
    <cellStyle name="Migliaia 60 5 2 3" xfId="21138" xr:uid="{ADDCDFF1-35FC-40E4-98CA-7631054D1A03}"/>
    <cellStyle name="Migliaia 60 5 2 4" xfId="25659" xr:uid="{5D65B1E4-6D0B-4F64-96D8-A7C76433399D}"/>
    <cellStyle name="Migliaia 60 5 2 5" xfId="16902" xr:uid="{2F6ED71A-5E16-4BCA-9030-3CE4BF357371}"/>
    <cellStyle name="Migliaia 60 5 2 6" xfId="8821" xr:uid="{F4250125-A8CE-4BF7-A5E3-2FC0D8FB3B45}"/>
    <cellStyle name="Migliaia 60 5 3" xfId="6905" xr:uid="{45B0DF2F-BC78-425F-81CA-C95247B1D9AB}"/>
    <cellStyle name="Migliaia 60 5 3 2" xfId="34861" xr:uid="{878DEA1D-891B-4875-8284-460AC8AED89E}"/>
    <cellStyle name="Migliaia 60 5 3 3" xfId="25660" xr:uid="{CE2D6C3E-3F31-44C1-BE2A-FA1E333AE5A2}"/>
    <cellStyle name="Migliaia 60 5 3 4" xfId="11467" xr:uid="{6C51C937-D393-4652-9905-B9FCA61A66D9}"/>
    <cellStyle name="Migliaia 60 5 4" xfId="4012" xr:uid="{C8D9AF4B-81DF-450A-BA59-28BB253A7C59}"/>
    <cellStyle name="Migliaia 60 5 4 2" xfId="21652" xr:uid="{08622885-AC34-4B73-A674-E4ADFB16D618}"/>
    <cellStyle name="Migliaia 60 5 4 2 2" xfId="34862" xr:uid="{9B697C13-885C-41E3-B688-9FE9A454C1D7}"/>
    <cellStyle name="Migliaia 60 5 4 3" xfId="25661" xr:uid="{2BE39A58-8058-43E0-BCB5-5E8584F726AD}"/>
    <cellStyle name="Migliaia 60 5 4 4" xfId="47220" xr:uid="{2527523B-EC27-43F5-A052-81409F07F9C3}"/>
    <cellStyle name="Migliaia 60 5 4 5" xfId="48909" xr:uid="{265DF81D-0419-42D9-8EDA-097778C8EE79}"/>
    <cellStyle name="Migliaia 60 5 4 6" xfId="50667" xr:uid="{4C6517F2-78A6-4148-AAA5-535F112F6800}"/>
    <cellStyle name="Migliaia 60 5 4 7" xfId="53683" xr:uid="{9346D495-F834-48A3-9030-DE378B17A10D}"/>
    <cellStyle name="Migliaia 60 5 4 8" xfId="11017" xr:uid="{FB8EC844-46F2-427E-8B49-C9D257A46473}"/>
    <cellStyle name="Migliaia 60 5 5" xfId="21137" xr:uid="{B3441E5A-F687-4975-892B-89734A528862}"/>
    <cellStyle name="Migliaia 60 5 5 2" xfId="34863" xr:uid="{634B0640-1937-48D7-AB87-F4039706B411}"/>
    <cellStyle name="Migliaia 60 5 5 3" xfId="25662" xr:uid="{E2AC4E88-6E37-4BFD-81A0-748E455FFF58}"/>
    <cellStyle name="Migliaia 60 5 5 4" xfId="48910" xr:uid="{F8747EAD-F828-4F97-B262-BD8EDD4DEBF3}"/>
    <cellStyle name="Migliaia 60 5 6" xfId="25663" xr:uid="{B7CC3284-86D6-4DEE-9C7B-65A4BC8D1126}"/>
    <cellStyle name="Migliaia 60 5 6 2" xfId="34864" xr:uid="{5512B76F-4F07-47A5-AE84-9C1CB84B7010}"/>
    <cellStyle name="Migliaia 60 5 7" xfId="34859" xr:uid="{4A001F82-385B-4F35-9919-B7EB81038444}"/>
    <cellStyle name="Migliaia 60 5 8" xfId="25658" xr:uid="{97DB1EDD-B2DE-40B0-A003-89A0E367602B}"/>
    <cellStyle name="Migliaia 60 5 9" xfId="7631" xr:uid="{82A70D45-13D5-446D-927A-A501F4968D59}"/>
    <cellStyle name="Migliaia 60 6" xfId="4013" xr:uid="{A4C9FF9A-E82B-4B1C-9162-B4E8FF9261E2}"/>
    <cellStyle name="Migliaia 60 6 2" xfId="5739" xr:uid="{74FB8CC8-0B0B-4663-B1BD-C0A8154AE315}"/>
    <cellStyle name="Migliaia 60 6 2 2" xfId="9993" xr:uid="{18B64D58-B031-414D-930E-C7EEE97A761D}"/>
    <cellStyle name="Migliaia 60 6 2 3" xfId="18632" xr:uid="{B61E68AD-7678-4C0C-B675-7D1942B1B001}"/>
    <cellStyle name="Migliaia 60 6 2 4" xfId="21140" xr:uid="{6BBC80A6-D245-4A2D-AA38-55F0D714874A}"/>
    <cellStyle name="Migliaia 60 6 2 5" xfId="32488" xr:uid="{17E068AE-BBBF-4110-BC5E-99FFBB4359A4}"/>
    <cellStyle name="Migliaia 60 6 2 6" xfId="16904" xr:uid="{8CA6BD4E-6FA4-42E6-A738-D94A9224EF05}"/>
    <cellStyle name="Migliaia 60 6 2 7" xfId="8816" xr:uid="{32BBEFEF-3C7A-4CDC-8468-06D95B4FD8CD}"/>
    <cellStyle name="Migliaia 60 6 3" xfId="6906" xr:uid="{76448804-D996-469D-8EE7-12B4922071FC}"/>
    <cellStyle name="Migliaia 60 6 3 2" xfId="35519" xr:uid="{6ED26C66-0B46-4128-8C20-DAA49F547D39}"/>
    <cellStyle name="Migliaia 60 6 3 2 2" xfId="40679" xr:uid="{9D374663-1977-4E16-A161-D598CD00FB99}"/>
    <cellStyle name="Migliaia 60 6 3 2 3" xfId="45981" xr:uid="{9E885CA9-54DF-4816-B596-7F5DCDCBF1DA}"/>
    <cellStyle name="Migliaia 60 6 3 3" xfId="38028" xr:uid="{E759E703-CA5B-4A0D-99C0-7C6127DC9B67}"/>
    <cellStyle name="Migliaia 60 6 3 4" xfId="43330" xr:uid="{414D056F-9824-428B-9CD6-FA1CDDFCC3BB}"/>
    <cellStyle name="Migliaia 60 6 3 5" xfId="9756" xr:uid="{3E424250-2ECF-4962-9945-D3495C06360A}"/>
    <cellStyle name="Migliaia 60 6 4" xfId="21139" xr:uid="{F2955B28-AB60-4EE7-B7E3-26D247DE01A7}"/>
    <cellStyle name="Migliaia 60 6 4 2" xfId="34865" xr:uid="{092E445C-BD9D-4DA4-8C78-9BAFC9BA4B53}"/>
    <cellStyle name="Migliaia 60 6 5" xfId="25664" xr:uid="{731BC6A0-62D8-473E-B04E-146E30D49F45}"/>
    <cellStyle name="Migliaia 60 6 6" xfId="16903" xr:uid="{47BBCFDD-7C33-4A83-8928-5BC46567616B}"/>
    <cellStyle name="Migliaia 60 6 7" xfId="7626" xr:uid="{F4837B70-9E9A-476A-A3A1-FBB0279D710C}"/>
    <cellStyle name="Migliaia 60 7" xfId="4014" xr:uid="{E9392378-1A6E-4B87-B7DF-411B98CC9D8C}"/>
    <cellStyle name="Migliaia 60 7 2" xfId="5740" xr:uid="{F1933EF3-34DB-4B5F-A96C-D8FB58DD540B}"/>
    <cellStyle name="Migliaia 60 7 2 2" xfId="35520" xr:uid="{3B4AA3BD-DEE5-4B0C-A773-C9684A25A761}"/>
    <cellStyle name="Migliaia 60 7 2 2 2" xfId="40680" xr:uid="{30E04BC8-E5A5-49B7-9B82-92A5DD33A334}"/>
    <cellStyle name="Migliaia 60 7 2 2 3" xfId="45982" xr:uid="{80F681BE-26FA-4A34-9BEA-559572959AEB}"/>
    <cellStyle name="Migliaia 60 7 2 3" xfId="38029" xr:uid="{847C24D2-E809-40B0-8920-49605165E177}"/>
    <cellStyle name="Migliaia 60 7 2 4" xfId="43331" xr:uid="{ADDE33FB-B1F4-4BF3-8FC7-4D1A3BBF8D37}"/>
    <cellStyle name="Migliaia 60 7 2 5" xfId="14347" xr:uid="{5A65BC52-6811-4389-A14D-52D3A8CF8DF4}"/>
    <cellStyle name="Migliaia 60 7 3" xfId="6907" xr:uid="{5D8E54D9-1876-41D4-9615-43E137FF27AE}"/>
    <cellStyle name="Migliaia 60 7 3 2" xfId="34866" xr:uid="{E4C838F5-CB13-48F5-AFD3-DDF9DF0D35AF}"/>
    <cellStyle name="Migliaia 60 7 3 3" xfId="21141" xr:uid="{9DF28F43-276A-427F-9D4C-2E58E20EA98B}"/>
    <cellStyle name="Migliaia 60 7 4" xfId="25665" xr:uid="{0CB03E77-F5C6-4A9D-8308-D5F29A12437C}"/>
    <cellStyle name="Migliaia 60 7 5" xfId="16905" xr:uid="{B328A6C0-FEBA-495E-96BE-0965B6C20554}"/>
    <cellStyle name="Migliaia 60 7 6" xfId="8409" xr:uid="{74C445D9-CEB4-4DA8-8423-1E8892A6FCE6}"/>
    <cellStyle name="Migliaia 60 8" xfId="4015" xr:uid="{D66217FA-D2E3-4FE0-89D1-2C0262EABC8A}"/>
    <cellStyle name="Migliaia 60 8 2" xfId="5741" xr:uid="{B1DB4880-F796-4E33-B39E-81D870CC7E9D}"/>
    <cellStyle name="Migliaia 60 8 2 2" xfId="35521" xr:uid="{37BD01F9-F6CE-4E1A-A667-364B833306F3}"/>
    <cellStyle name="Migliaia 60 8 2 2 2" xfId="40681" xr:uid="{C6756AFD-DCE2-4DFF-A11D-D6A03F77F397}"/>
    <cellStyle name="Migliaia 60 8 2 2 3" xfId="45983" xr:uid="{016E4D90-751A-47CF-9EED-4B3E35A03DA1}"/>
    <cellStyle name="Migliaia 60 8 2 3" xfId="38030" xr:uid="{FB27F800-B0A4-4C01-8CF8-CC119134BF88}"/>
    <cellStyle name="Migliaia 60 8 2 4" xfId="43332" xr:uid="{99A7F509-4DAE-44A4-966E-3563B598F155}"/>
    <cellStyle name="Migliaia 60 8 2 5" xfId="14052" xr:uid="{75241079-020E-453A-AC3D-4AF6C487B9B5}"/>
    <cellStyle name="Migliaia 60 8 3" xfId="6908" xr:uid="{72310718-219B-40C1-80A8-E4D1B54B195A}"/>
    <cellStyle name="Migliaia 60 8 3 2" xfId="34867" xr:uid="{DDB6D993-0ABC-4F33-8675-47ED1B41CDE7}"/>
    <cellStyle name="Migliaia 60 8 3 3" xfId="21142" xr:uid="{4EF0EE3A-7E43-4849-99BA-497E1C826AD7}"/>
    <cellStyle name="Migliaia 60 8 4" xfId="25666" xr:uid="{1033F379-AFD7-440F-BC26-EB933CB266D6}"/>
    <cellStyle name="Migliaia 60 8 5" xfId="16906" xr:uid="{4E13D6DC-5158-4107-9536-72F74D1D7206}"/>
    <cellStyle name="Migliaia 60 8 6" xfId="8046" xr:uid="{4EA60261-4EDC-4AC1-9E65-DD468FE63C8A}"/>
    <cellStyle name="Migliaia 60 9" xfId="5726" xr:uid="{51375491-4BFA-41A3-AA1D-A3FE3E051978}"/>
    <cellStyle name="Migliaia 60 9 2" xfId="34868" xr:uid="{203BE643-0C48-47CB-AAC1-68B6EC8DF5E4}"/>
    <cellStyle name="Migliaia 60 9 3" xfId="25667" xr:uid="{07DF66EA-0665-45BD-BDF1-CD3D4FA4A632}"/>
    <cellStyle name="Migliaia 60 9 4" xfId="17247" xr:uid="{14BF2977-9F0F-4C6F-8E98-9B24AF9A62AA}"/>
    <cellStyle name="Migliaia 61" xfId="529" xr:uid="{00000000-0005-0000-0000-0000C0040000}"/>
    <cellStyle name="Migliaia 61 10" xfId="6909" xr:uid="{CCBB74EF-B743-4EA6-A9BA-187DB221C7B2}"/>
    <cellStyle name="Migliaia 61 10 2" xfId="34869" xr:uid="{383A9716-5FD9-46C1-9A30-56B3DDD476AE}"/>
    <cellStyle name="Migliaia 61 10 3" xfId="21143" xr:uid="{4592A592-86CA-4E14-A536-40A56983A765}"/>
    <cellStyle name="Migliaia 61 11" xfId="4016" xr:uid="{F69AFA85-74FD-4ECB-8A89-D7BC10BE4841}"/>
    <cellStyle name="Migliaia 61 11 2" xfId="25668" xr:uid="{2E89BF30-BA7C-41C3-96E0-02D96B53A7B6}"/>
    <cellStyle name="Migliaia 61 12" xfId="7213" xr:uid="{13883D98-5E92-434D-8D6B-864965E299F3}"/>
    <cellStyle name="Migliaia 61 2" xfId="530" xr:uid="{00000000-0005-0000-0000-0000C1040000}"/>
    <cellStyle name="Migliaia 61 2 2" xfId="1941" xr:uid="{00000000-0005-0000-0000-0000C2040000}"/>
    <cellStyle name="Migliaia 61 2 2 2" xfId="5744" xr:uid="{8252E4F2-869E-4FA0-AC07-68F58025B115}"/>
    <cellStyle name="Migliaia 61 2 2 2 2" xfId="14420" xr:uid="{B6F85FD9-0EDE-4C94-BB32-14092CC31846}"/>
    <cellStyle name="Migliaia 61 2 2 2 2 2" xfId="34872" xr:uid="{C41F4710-84D5-456E-8788-401FF3C4994A}"/>
    <cellStyle name="Migliaia 61 2 2 2 3" xfId="18533" xr:uid="{1250AA3F-4977-4CD3-A425-58D8F407E558}"/>
    <cellStyle name="Migliaia 61 2 2 2 4" xfId="21146" xr:uid="{6797B40E-9A1E-464D-8E7D-CA9F22438EEE}"/>
    <cellStyle name="Migliaia 61 2 2 2 5" xfId="25671" xr:uid="{CBD5D5C6-300B-43E4-BA1A-7C694C245AEB}"/>
    <cellStyle name="Migliaia 61 2 2 2 6" xfId="16907" xr:uid="{9E3A9F73-E74A-4AE0-A5DE-20BE6DAC197A}"/>
    <cellStyle name="Migliaia 61 2 2 2 7" xfId="8823" xr:uid="{98DF9E6F-DE06-4E51-B28A-5F3C85101A24}"/>
    <cellStyle name="Migliaia 61 2 2 3" xfId="6911" xr:uid="{ED7855B8-ECBF-4BE3-A268-48A30308F794}"/>
    <cellStyle name="Migliaia 61 2 2 3 2" xfId="35522" xr:uid="{51B4BCF6-1F01-4AFC-AD9B-140649E4B153}"/>
    <cellStyle name="Migliaia 61 2 2 3 2 2" xfId="40682" xr:uid="{7234086B-42DF-4136-9612-3A4875AEDAF7}"/>
    <cellStyle name="Migliaia 61 2 2 3 2 3" xfId="45984" xr:uid="{F93E1F4F-0B9A-46F3-97F2-755D55DA6621}"/>
    <cellStyle name="Migliaia 61 2 2 3 3" xfId="38031" xr:uid="{FA8E8B05-2C04-401D-A1D8-B3D504AF028B}"/>
    <cellStyle name="Migliaia 61 2 2 3 4" xfId="43333" xr:uid="{1D8E0137-6FCD-4BF6-A8DB-ED9582761A13}"/>
    <cellStyle name="Migliaia 61 2 2 3 5" xfId="11647" xr:uid="{88D825F7-4A43-4DA5-A1DD-A1D93EB9F4AD}"/>
    <cellStyle name="Migliaia 61 2 2 4" xfId="4018" xr:uid="{F69A2CF5-5543-41EB-B28F-914BE4665B76}"/>
    <cellStyle name="Migliaia 61 2 2 4 2" xfId="21653" xr:uid="{FCCF6493-69D4-4B48-BF0A-EF270686CCED}"/>
    <cellStyle name="Migliaia 61 2 2 4 3" xfId="34871" xr:uid="{3109FBDA-DAF1-44AF-86CE-564E224B676F}"/>
    <cellStyle name="Migliaia 61 2 2 4 4" xfId="46712" xr:uid="{E888FCFD-7F13-45D4-A412-89691CE30FE8}"/>
    <cellStyle name="Migliaia 61 2 2 4 5" xfId="50668" xr:uid="{BD4B454A-1E20-48DA-80FE-0BED496FEFC8}"/>
    <cellStyle name="Migliaia 61 2 2 4 6" xfId="53684" xr:uid="{19F6EEF2-A5E6-4270-AD99-F5FF03F49CC2}"/>
    <cellStyle name="Migliaia 61 2 2 4 7" xfId="11018" xr:uid="{A1E29DCD-893B-4367-B813-3B1E1B569849}"/>
    <cellStyle name="Migliaia 61 2 2 5" xfId="21145" xr:uid="{EF0E37A2-0DB3-4CBE-B3A9-055B94BE777D}"/>
    <cellStyle name="Migliaia 61 2 2 6" xfId="25670" xr:uid="{9917970F-9308-4A35-B61B-AFE7A77D1C41}"/>
    <cellStyle name="Migliaia 61 2 2 7" xfId="7633" xr:uid="{1C81666C-321B-4277-9AC5-FD621211F4E4}"/>
    <cellStyle name="Migliaia 61 2 3" xfId="4019" xr:uid="{C5CDB313-8AFE-4F4F-995D-00ACB9C0DE35}"/>
    <cellStyle name="Migliaia 61 2 3 2" xfId="5745" xr:uid="{4BF3182E-AA8D-4128-A969-F8AD7353AF3F}"/>
    <cellStyle name="Migliaia 61 2 3 2 2" xfId="35523" xr:uid="{AB435704-620A-4FBD-A2B8-8D2085C65FEC}"/>
    <cellStyle name="Migliaia 61 2 3 2 2 2" xfId="40683" xr:uid="{9CAB26C7-F12E-490D-B26C-A6CE3CA46295}"/>
    <cellStyle name="Migliaia 61 2 3 2 2 3" xfId="45985" xr:uid="{BE6A44C6-6D76-4A64-BA9D-6C338000AA66}"/>
    <cellStyle name="Migliaia 61 2 3 2 3" xfId="38032" xr:uid="{BA490708-5D6C-4D0F-AC9C-D44F06B15BA8}"/>
    <cellStyle name="Migliaia 61 2 3 2 4" xfId="43334" xr:uid="{87AAD327-9E02-43C5-8FAF-6604420D375E}"/>
    <cellStyle name="Migliaia 61 2 3 2 5" xfId="14351" xr:uid="{19BA23FA-DE30-46C1-9A6E-9C8609843DD8}"/>
    <cellStyle name="Migliaia 61 2 3 3" xfId="6912" xr:uid="{4D105EC7-D0E6-4F3F-A169-A80418ECFD45}"/>
    <cellStyle name="Migliaia 61 2 3 3 2" xfId="34873" xr:uid="{1A6B545F-91C5-48B3-9C10-B6C09E5E28A9}"/>
    <cellStyle name="Migliaia 61 2 3 3 3" xfId="21147" xr:uid="{27EE77BD-3BAA-4392-9FA9-6E099673B933}"/>
    <cellStyle name="Migliaia 61 2 3 4" xfId="25672" xr:uid="{A7C1E9EE-D701-4E50-A66D-57FD709CA399}"/>
    <cellStyle name="Migliaia 61 2 3 5" xfId="16908" xr:uid="{DC14BACD-2256-43B7-A3BD-1D74BAB654A4}"/>
    <cellStyle name="Migliaia 61 2 3 6" xfId="8413" xr:uid="{C4961B3C-2A10-464D-9D4A-245FB62D2653}"/>
    <cellStyle name="Migliaia 61 2 4" xfId="5743" xr:uid="{1E234216-21A3-4F18-99C8-948B8733735A}"/>
    <cellStyle name="Migliaia 61 2 4 2" xfId="14056" xr:uid="{0A2D3DBA-3137-4194-980E-7186B15ACC83}"/>
    <cellStyle name="Migliaia 61 2 4 2 2" xfId="34874" xr:uid="{2162B818-DA8B-4325-88FD-BDBFD063BA42}"/>
    <cellStyle name="Migliaia 61 2 4 3" xfId="18155" xr:uid="{C165D60F-FC93-4814-8329-7C71FE3D5DEF}"/>
    <cellStyle name="Migliaia 61 2 4 4" xfId="21148" xr:uid="{273D23AC-43A1-43E2-8E4C-008B84F7BBD9}"/>
    <cellStyle name="Migliaia 61 2 4 5" xfId="25673" xr:uid="{6333EB2C-0AFA-4EB1-B49D-5713792C6651}"/>
    <cellStyle name="Migliaia 61 2 4 6" xfId="16909" xr:uid="{3BE15F94-21C4-419E-B20C-64412C5FEC97}"/>
    <cellStyle name="Migliaia 61 2 4 7" xfId="8051" xr:uid="{A118DA34-7D7A-4756-9679-4F20EDD283CF}"/>
    <cellStyle name="Migliaia 61 2 5" xfId="6910" xr:uid="{319FF08B-4146-4A70-961C-974FBCCEA648}"/>
    <cellStyle name="Migliaia 61 2 5 2" xfId="34875" xr:uid="{F4C45852-2AB2-48AD-A5BB-FA7520A76A02}"/>
    <cellStyle name="Migliaia 61 2 5 3" xfId="25674" xr:uid="{55E6CBA6-F949-4B2A-8582-EB958EACF98C}"/>
    <cellStyle name="Migliaia 61 2 5 4" xfId="13160" xr:uid="{A78389CC-827E-4FAA-8016-439F7D00C338}"/>
    <cellStyle name="Migliaia 61 2 6" xfId="4017" xr:uid="{1B93B1C6-8910-44C7-B27C-1B16D079A8D8}"/>
    <cellStyle name="Migliaia 61 2 6 2" xfId="34876" xr:uid="{1B9BD114-FED4-4D1E-8982-012731E721A7}"/>
    <cellStyle name="Migliaia 61 2 6 3" xfId="25675" xr:uid="{8EC4EE39-04A0-4924-83CE-07AF5B450B76}"/>
    <cellStyle name="Migliaia 61 2 6 4" xfId="21144" xr:uid="{02B38591-4E16-40C1-8908-B0BC141B0D01}"/>
    <cellStyle name="Migliaia 61 2 7" xfId="34870" xr:uid="{A3950A21-1427-4707-AF8A-334DC82989B6}"/>
    <cellStyle name="Migliaia 61 2 8" xfId="25669" xr:uid="{0275C9EE-D6A1-4209-8ED5-FCE40F071E57}"/>
    <cellStyle name="Migliaia 61 2 9" xfId="7214" xr:uid="{FFD94175-7243-4A52-B7DB-E4DD174F126F}"/>
    <cellStyle name="Migliaia 61 3" xfId="531" xr:uid="{00000000-0005-0000-0000-0000C3040000}"/>
    <cellStyle name="Migliaia 61 3 10" xfId="25676" xr:uid="{4072A014-3DCC-4DA8-B7BC-54C77B8BAC32}"/>
    <cellStyle name="Migliaia 61 3 11" xfId="16910" xr:uid="{4635EB62-58BD-42F8-A14E-8BA2688BCF1A}"/>
    <cellStyle name="Migliaia 61 3 12" xfId="7215" xr:uid="{1F680827-B23D-4CBA-AB88-224FD427D474}"/>
    <cellStyle name="Migliaia 61 3 2" xfId="532" xr:uid="{00000000-0005-0000-0000-0000C4040000}"/>
    <cellStyle name="Migliaia 61 3 2 2" xfId="1942" xr:uid="{00000000-0005-0000-0000-0000C5040000}"/>
    <cellStyle name="Migliaia 61 3 2 2 2" xfId="5748" xr:uid="{10B71D0F-63DF-4164-BBAD-B356F0444C12}"/>
    <cellStyle name="Migliaia 61 3 2 2 2 2" xfId="18534" xr:uid="{00B910CA-7692-40FA-A2F7-D7BFD6834C43}"/>
    <cellStyle name="Migliaia 61 3 2 2 2 2 2" xfId="21898" xr:uid="{ADEF9779-8BD1-44DD-A499-A730799B8135}"/>
    <cellStyle name="Migliaia 61 3 2 2 2 2 3" xfId="34880" xr:uid="{CC0F51B6-0EE2-4119-B362-D4D78F79102D}"/>
    <cellStyle name="Migliaia 61 3 2 2 2 3" xfId="25679" xr:uid="{F703472C-F215-4E93-972A-748E7FACF4C8}"/>
    <cellStyle name="Migliaia 61 3 2 2 2 4" xfId="25110" xr:uid="{4AD4D8BC-57EA-4302-A1EC-7C28DE315CB5}"/>
    <cellStyle name="Migliaia 61 3 2 2 2 5" xfId="50926" xr:uid="{F72BE477-FFCA-438A-960A-5F8700BFD8F8}"/>
    <cellStyle name="Migliaia 61 3 2 2 2 6" xfId="53942" xr:uid="{8B9FA046-E41C-4D6A-91C7-CE04F24635F0}"/>
    <cellStyle name="Migliaia 61 3 2 2 2 7" xfId="17697" xr:uid="{E8D0DDF4-9CD3-4616-8C45-D56055B71E8A}"/>
    <cellStyle name="Migliaia 61 3 2 2 2 8" xfId="12115" xr:uid="{C375ADBE-7BC9-41AC-9BEE-67F6884C4C36}"/>
    <cellStyle name="Migliaia 61 3 2 2 3" xfId="6915" xr:uid="{A4763AFD-B718-4F15-B675-4EBA05ABAF90}"/>
    <cellStyle name="Migliaia 61 3 2 2 3 2" xfId="34879" xr:uid="{B1FDD816-064B-4761-99DC-ACEB67B5FD30}"/>
    <cellStyle name="Migliaia 61 3 2 2 3 3" xfId="11490" xr:uid="{C1053B64-C88F-43F1-9627-A9872A8A0AF0}"/>
    <cellStyle name="Migliaia 61 3 2 2 4" xfId="4022" xr:uid="{9AC3E9FC-1E27-48A5-9591-F09BAA5A1316}"/>
    <cellStyle name="Migliaia 61 3 2 2 4 2" xfId="21654" xr:uid="{91419587-B76C-4AE6-9E13-4FD7CD111BB4}"/>
    <cellStyle name="Migliaia 61 3 2 2 4 3" xfId="47978" xr:uid="{C545BA4C-222B-48EE-862B-D7A1AE444EDB}"/>
    <cellStyle name="Migliaia 61 3 2 2 4 4" xfId="50669" xr:uid="{9B588713-7874-4F9F-8080-3A4A3C5A8CF5}"/>
    <cellStyle name="Migliaia 61 3 2 2 4 5" xfId="53685" xr:uid="{7EDF9BDB-E019-4D5A-9068-3C650FD81940}"/>
    <cellStyle name="Migliaia 61 3 2 2 4 6" xfId="11019" xr:uid="{E09A0324-2C3E-4585-8251-7169503D2ABF}"/>
    <cellStyle name="Migliaia 61 3 2 2 5" xfId="21151" xr:uid="{D131F202-5CF9-4015-B512-341BACA8C963}"/>
    <cellStyle name="Migliaia 61 3 2 2 6" xfId="25678" xr:uid="{45CF328B-4606-4803-94E3-89C82E82AAFC}"/>
    <cellStyle name="Migliaia 61 3 2 2 7" xfId="8825" xr:uid="{30EA71E2-94F6-4F81-A534-210BAA91CB2E}"/>
    <cellStyle name="Migliaia 61 3 2 3" xfId="5747" xr:uid="{3D1B12C4-9717-4CAF-88CB-BDB70B143DD4}"/>
    <cellStyle name="Migliaia 61 3 2 3 2" xfId="12395" xr:uid="{289C216E-C26B-401F-BDEF-3DFF4B1DC3AC}"/>
    <cellStyle name="Migliaia 61 3 2 3 2 2" xfId="34881" xr:uid="{9E38E52D-328A-4A3A-AE52-6B9CCE991D18}"/>
    <cellStyle name="Migliaia 61 3 2 3 3" xfId="12116" xr:uid="{205FFA80-72B0-498C-87BF-73D3F46D09CF}"/>
    <cellStyle name="Migliaia 61 3 2 3 4" xfId="21152" xr:uid="{3D22980E-8919-46B7-B005-9515E5EC54E9}"/>
    <cellStyle name="Migliaia 61 3 2 3 5" xfId="25680" xr:uid="{0788C578-7522-49A7-A0C0-A1AB0270958C}"/>
    <cellStyle name="Migliaia 61 3 2 3 6" xfId="16911" xr:uid="{98DF3EC7-1651-49B7-917E-26ADDC8B47F0}"/>
    <cellStyle name="Migliaia 61 3 2 3 7" xfId="8053" xr:uid="{C04BD828-A138-45F5-8566-D32591C217D1}"/>
    <cellStyle name="Migliaia 61 3 2 4" xfId="6914" xr:uid="{FAA1537C-B1DA-470B-92CF-EB18D0691F8A}"/>
    <cellStyle name="Migliaia 61 3 2 4 2" xfId="18114" xr:uid="{F74731A5-A888-400E-AB3C-E24C4A3CB33D}"/>
    <cellStyle name="Migliaia 61 3 2 4 2 2" xfId="34882" xr:uid="{4F307494-DD2D-4814-B5B4-913A73FF8817}"/>
    <cellStyle name="Migliaia 61 3 2 4 3" xfId="25681" xr:uid="{5A6E3777-1C8E-4CDE-A83A-8ACF9ECCFDF5}"/>
    <cellStyle name="Migliaia 61 3 2 4 4" xfId="17250" xr:uid="{41FC0342-D341-4361-A726-36144E3DC22E}"/>
    <cellStyle name="Migliaia 61 3 2 4 5" xfId="11468" xr:uid="{3325F499-3FB6-4B8A-9B1E-1FC9AAE2CF6F}"/>
    <cellStyle name="Migliaia 61 3 2 5" xfId="4021" xr:uid="{28F86807-3BB5-47E0-9FA2-1F5D75B1EFB4}"/>
    <cellStyle name="Migliaia 61 3 2 5 2" xfId="34883" xr:uid="{A7E45F57-E899-4921-A3BA-C7060C96D29D}"/>
    <cellStyle name="Migliaia 61 3 2 5 3" xfId="25682" xr:uid="{BA4003CE-9FF2-4E71-ABFE-701A5CE83370}"/>
    <cellStyle name="Migliaia 61 3 2 5 4" xfId="17077" xr:uid="{2298AD5B-4C11-4AAA-B759-20E08D6636E8}"/>
    <cellStyle name="Migliaia 61 3 2 6" xfId="21150" xr:uid="{13FD4622-8AF1-4A48-B110-2A96EF760CF8}"/>
    <cellStyle name="Migliaia 61 3 2 6 2" xfId="34884" xr:uid="{11337849-D7A7-4EC3-9CC9-00F0A1EFEE5B}"/>
    <cellStyle name="Migliaia 61 3 2 6 3" xfId="25683" xr:uid="{442EB72C-D815-4F30-93D6-2A519B0CA3AD}"/>
    <cellStyle name="Migliaia 61 3 2 7" xfId="34878" xr:uid="{E85B36BC-8A90-49C7-8E7B-5723E7C0E683}"/>
    <cellStyle name="Migliaia 61 3 2 8" xfId="25677" xr:uid="{5305B38F-E6E0-4313-AA3D-C6C10FD7F020}"/>
    <cellStyle name="Migliaia 61 3 2 9" xfId="7635" xr:uid="{1E8A3609-3C9E-4958-AF0F-32921B41298E}"/>
    <cellStyle name="Migliaia 61 3 3" xfId="4023" xr:uid="{F2083E75-8C8B-4F9E-8E22-B1A4E67BD821}"/>
    <cellStyle name="Migliaia 61 3 3 2" xfId="5749" xr:uid="{5BBB10B1-1B57-42E0-8845-E6B96F07E206}"/>
    <cellStyle name="Migliaia 61 3 3 2 2" xfId="9996" xr:uid="{C61D88A8-D7E5-41CD-9C20-4E21E1D71A0A}"/>
    <cellStyle name="Migliaia 61 3 3 2 2 2" xfId="34886" xr:uid="{1F673B8D-2847-4BAC-B1AA-3B622AD257E4}"/>
    <cellStyle name="Migliaia 61 3 3 2 3" xfId="18276" xr:uid="{E3D3A853-A12C-43B4-86B6-FDC869434BC1}"/>
    <cellStyle name="Migliaia 61 3 3 2 4" xfId="21154" xr:uid="{A6703CF3-A17B-4F1B-836A-59D9BA59993C}"/>
    <cellStyle name="Migliaia 61 3 3 2 5" xfId="25685" xr:uid="{55FB51E8-2BDA-4E64-8A4F-C75CF6CD78BE}"/>
    <cellStyle name="Migliaia 61 3 3 2 6" xfId="16913" xr:uid="{0AD0A0C8-B61E-4FA3-9728-BBF389D17A0F}"/>
    <cellStyle name="Migliaia 61 3 3 2 7" xfId="8824" xr:uid="{BEE8F0F0-C95A-410C-8969-6DA5038336C8}"/>
    <cellStyle name="Migliaia 61 3 3 3" xfId="6916" xr:uid="{B252B2DC-62E3-4F3F-AFC2-DC7BB35B608A}"/>
    <cellStyle name="Migliaia 61 3 3 3 2" xfId="34887" xr:uid="{E63C3589-693E-4A00-A920-A45FA977079A}"/>
    <cellStyle name="Migliaia 61 3 3 3 3" xfId="25686" xr:uid="{26916ADA-CCC2-4CED-B80E-7304D0768393}"/>
    <cellStyle name="Migliaia 61 3 3 3 4" xfId="9759" xr:uid="{F0191FC2-4315-490C-AD92-43CD28DACEAD}"/>
    <cellStyle name="Migliaia 61 3 3 4" xfId="21153" xr:uid="{BA951971-18D8-4ABC-B59D-8681E0A0D517}"/>
    <cellStyle name="Migliaia 61 3 3 4 2" xfId="34888" xr:uid="{30607BAE-137E-4E11-B228-6357BFF82797}"/>
    <cellStyle name="Migliaia 61 3 3 4 3" xfId="25687" xr:uid="{2D1A9359-D959-496C-93D8-0798D053FA28}"/>
    <cellStyle name="Migliaia 61 3 3 4 4" xfId="48911" xr:uid="{087B9250-521A-4385-9B4C-B6195D360385}"/>
    <cellStyle name="Migliaia 61 3 3 5" xfId="25688" xr:uid="{3D3E6382-BFDE-475D-8AB4-84125990C5D0}"/>
    <cellStyle name="Migliaia 61 3 3 5 2" xfId="34889" xr:uid="{BE29B7B0-D217-4F19-8057-35B69759C7D3}"/>
    <cellStyle name="Migliaia 61 3 3 5 3" xfId="48912" xr:uid="{EEBA8C89-89A3-4A23-88AF-45828169C351}"/>
    <cellStyle name="Migliaia 61 3 3 6" xfId="34885" xr:uid="{78C07001-B7A3-4186-AE7F-189C51EE5EBF}"/>
    <cellStyle name="Migliaia 61 3 3 7" xfId="25684" xr:uid="{CE296B40-734C-4EA2-A9D1-BC29D042F747}"/>
    <cellStyle name="Migliaia 61 3 3 8" xfId="16912" xr:uid="{029CC494-FBE3-494D-8D53-62AD3E648471}"/>
    <cellStyle name="Migliaia 61 3 3 9" xfId="7634" xr:uid="{D295EFFF-7490-47DD-B0CA-C13869EDB3E1}"/>
    <cellStyle name="Migliaia 61 3 4" xfId="4024" xr:uid="{FC13DC0E-42E6-4E59-9AD2-83CA28653081}"/>
    <cellStyle name="Migliaia 61 3 4 2" xfId="5750" xr:uid="{AF40E1E8-27EB-4228-9FB8-25261046D3FE}"/>
    <cellStyle name="Migliaia 61 3 4 2 2" xfId="14480" xr:uid="{148A3C6B-271D-4290-ABFC-B01BE7876EBF}"/>
    <cellStyle name="Migliaia 61 3 4 2 3" xfId="18572" xr:uid="{2D9FF43A-4560-422B-91A5-6CD0471EA9F7}"/>
    <cellStyle name="Migliaia 61 3 4 2 4" xfId="21156" xr:uid="{7CD38E4D-0A0C-4198-9702-48F2B4CDDEA5}"/>
    <cellStyle name="Migliaia 61 3 4 2 5" xfId="32489" xr:uid="{9BB9997D-C455-409B-8BF9-EDCCD788EB26}"/>
    <cellStyle name="Migliaia 61 3 4 2 6" xfId="16915" xr:uid="{A8048EE9-F0D7-47D0-9DEE-1CC9472B0A89}"/>
    <cellStyle name="Migliaia 61 3 4 2 7" xfId="8903" xr:uid="{A5AB6FB9-7883-443D-9D5E-ACBC964680BC}"/>
    <cellStyle name="Migliaia 61 3 4 3" xfId="6917" xr:uid="{D8266C25-03F6-4922-AF56-6F993D234BFE}"/>
    <cellStyle name="Migliaia 61 3 4 3 2" xfId="35524" xr:uid="{E4F0CAA5-BCB8-4DE8-813D-81F681CD387F}"/>
    <cellStyle name="Migliaia 61 3 4 3 2 2" xfId="40684" xr:uid="{4265EA33-81D1-4AFD-831D-04818D1CD1FD}"/>
    <cellStyle name="Migliaia 61 3 4 3 2 3" xfId="45986" xr:uid="{98774452-A028-43FD-B613-A8016F389435}"/>
    <cellStyle name="Migliaia 61 3 4 3 3" xfId="38033" xr:uid="{CDCAAF5A-E1E0-4B95-A601-32E8B88E3B9A}"/>
    <cellStyle name="Migliaia 61 3 4 3 4" xfId="43335" xr:uid="{B13FD01C-C39C-440F-8A13-D58CA675546A}"/>
    <cellStyle name="Migliaia 61 3 4 3 5" xfId="13728" xr:uid="{4BF5E5BF-E6C0-4DF1-8E14-F136B7571EF6}"/>
    <cellStyle name="Migliaia 61 3 4 4" xfId="21155" xr:uid="{224E73C9-ABFE-4510-9F4A-F083BCA3E58D}"/>
    <cellStyle name="Migliaia 61 3 4 4 2" xfId="34890" xr:uid="{64486001-B67C-49E1-B66A-A035A22BB3A3}"/>
    <cellStyle name="Migliaia 61 3 4 5" xfId="25689" xr:uid="{28D56A75-DB04-4076-863E-61DFED3D8804}"/>
    <cellStyle name="Migliaia 61 3 4 6" xfId="16914" xr:uid="{95759727-5046-4489-8977-887F5FB6F734}"/>
    <cellStyle name="Migliaia 61 3 4 7" xfId="7713" xr:uid="{E9917383-3CB2-40CC-B9A5-E11DCA73B2BB}"/>
    <cellStyle name="Migliaia 61 3 5" xfId="4025" xr:uid="{3DE8B424-DBDF-4B02-B2D6-84FC6BB790CF}"/>
    <cellStyle name="Migliaia 61 3 5 2" xfId="5751" xr:uid="{74763CE4-8521-42F7-9F26-F6E7C2D3A27E}"/>
    <cellStyle name="Migliaia 61 3 5 2 2" xfId="35525" xr:uid="{80A03962-DB33-45FB-BD8D-9E28E1190101}"/>
    <cellStyle name="Migliaia 61 3 5 2 2 2" xfId="40685" xr:uid="{C81CD42F-1BE0-4F45-8158-DA0E6FFC65BE}"/>
    <cellStyle name="Migliaia 61 3 5 2 2 3" xfId="45987" xr:uid="{A5572BE2-1F67-47B1-8619-B73D03AF13FA}"/>
    <cellStyle name="Migliaia 61 3 5 2 3" xfId="38034" xr:uid="{2ACFE3FD-8F37-4F01-B9E3-172F0FAD1969}"/>
    <cellStyle name="Migliaia 61 3 5 2 4" xfId="43336" xr:uid="{E49778CE-8AAB-4DB2-AD37-0D0EADF22DE4}"/>
    <cellStyle name="Migliaia 61 3 5 2 5" xfId="14352" xr:uid="{1B2C8224-703A-4A8C-8D15-38681D34BA63}"/>
    <cellStyle name="Migliaia 61 3 5 3" xfId="6918" xr:uid="{3D574DF4-2297-46C1-AC01-27749EB1E3AF}"/>
    <cellStyle name="Migliaia 61 3 5 3 2" xfId="34891" xr:uid="{3573E954-F181-4890-A3CB-D6F6FE06E6CA}"/>
    <cellStyle name="Migliaia 61 3 5 3 3" xfId="21157" xr:uid="{6AEC81C2-F4AB-4847-A4F4-8E2CE14C4979}"/>
    <cellStyle name="Migliaia 61 3 5 4" xfId="25690" xr:uid="{5EF42E49-A881-4A05-B432-3F3F85A050C6}"/>
    <cellStyle name="Migliaia 61 3 5 5" xfId="16916" xr:uid="{1A38F7DD-DD9B-4C25-B376-0CED9FD17FE9}"/>
    <cellStyle name="Migliaia 61 3 5 6" xfId="8414" xr:uid="{467F3E24-02DB-4B7E-9B6C-DB9437E6B8F5}"/>
    <cellStyle name="Migliaia 61 3 6" xfId="5746" xr:uid="{91B8830D-68B8-4611-993B-2BF637C35280}"/>
    <cellStyle name="Migliaia 61 3 6 2" xfId="14057" xr:uid="{9EDE1A00-E014-405C-953C-062C233A3936}"/>
    <cellStyle name="Migliaia 61 3 6 2 2" xfId="34892" xr:uid="{5CB04B86-1C17-44B7-836F-204A70A2F1A9}"/>
    <cellStyle name="Migliaia 61 3 6 3" xfId="18681" xr:uid="{AFC61C46-4CB2-4E2B-9AFA-F40A201D3177}"/>
    <cellStyle name="Migliaia 61 3 6 4" xfId="21158" xr:uid="{BCB6570C-AC3F-4625-9E40-D653ECBF8FF6}"/>
    <cellStyle name="Migliaia 61 3 6 5" xfId="25691" xr:uid="{C9D0D281-14A7-4D43-8BA5-828CE32DE5AB}"/>
    <cellStyle name="Migliaia 61 3 6 6" xfId="16917" xr:uid="{EF1920FF-C885-4DFA-B0E0-212C85E9D003}"/>
    <cellStyle name="Migliaia 61 3 6 7" xfId="8052" xr:uid="{FD9A1A53-7BB3-428A-A96D-F8483188021E}"/>
    <cellStyle name="Migliaia 61 3 7" xfId="6913" xr:uid="{86604F9A-465F-48A6-A7B6-2EB1CC263B37}"/>
    <cellStyle name="Migliaia 61 3 7 2" xfId="34893" xr:uid="{C82A458E-70F2-486F-B45B-BB90643A532A}"/>
    <cellStyle name="Migliaia 61 3 7 3" xfId="25692" xr:uid="{667F6BEA-7F57-4D09-9E15-A67C393AB0DD}"/>
    <cellStyle name="Migliaia 61 3 7 4" xfId="12250" xr:uid="{F274A41B-3097-41E4-B9A3-86CDB2163E4C}"/>
    <cellStyle name="Migliaia 61 3 8" xfId="4020" xr:uid="{4E8EADA5-BAB0-45D3-8370-2CC07EDB714F}"/>
    <cellStyle name="Migliaia 61 3 8 2" xfId="34894" xr:uid="{445E7AB0-815B-4954-80DC-7C64D3AB54FA}"/>
    <cellStyle name="Migliaia 61 3 8 3" xfId="25693" xr:uid="{5DE89656-9CAD-4504-ABAF-831B84BA83B6}"/>
    <cellStyle name="Migliaia 61 3 8 4" xfId="17078" xr:uid="{DEACE924-DA35-437C-B619-D5EFF6990435}"/>
    <cellStyle name="Migliaia 61 3 9" xfId="21149" xr:uid="{95718B73-6944-4F3D-97DF-6F528100E0BE}"/>
    <cellStyle name="Migliaia 61 3 9 2" xfId="34877" xr:uid="{7514BCF8-6F30-439E-A27F-ED3B09710909}"/>
    <cellStyle name="Migliaia 61 4" xfId="1943" xr:uid="{00000000-0005-0000-0000-0000C6040000}"/>
    <cellStyle name="Migliaia 61 4 10" xfId="7636" xr:uid="{BEA7F90F-E10B-4DCD-A191-473D2CBBD591}"/>
    <cellStyle name="Migliaia 61 4 2" xfId="1944" xr:uid="{00000000-0005-0000-0000-0000C7040000}"/>
    <cellStyle name="Migliaia 61 4 2 2" xfId="5753" xr:uid="{AA9FB46E-D174-42DE-A46F-6F297BAA0346}"/>
    <cellStyle name="Migliaia 61 4 2 2 2" xfId="34897" xr:uid="{D49800F2-51A3-42FE-844D-F849565B8048}"/>
    <cellStyle name="Migliaia 61 4 2 2 3" xfId="25696" xr:uid="{BD5831F8-B397-481B-9BBB-F472A57E7010}"/>
    <cellStyle name="Migliaia 61 4 2 2 4" xfId="9222" xr:uid="{DDE766B0-5ED5-45BE-84E9-2747F812FF28}"/>
    <cellStyle name="Migliaia 61 4 2 3" xfId="4027" xr:uid="{71549CE8-B4DC-4BCB-8C1F-E57321EC9B59}"/>
    <cellStyle name="Migliaia 61 4 2 3 2" xfId="34898" xr:uid="{93CFF8A9-FEF9-4689-936A-05EA3AC0BD54}"/>
    <cellStyle name="Migliaia 61 4 2 3 3" xfId="25697" xr:uid="{C5245329-9F50-453F-8521-6C136D1A2704}"/>
    <cellStyle name="Migliaia 61 4 2 3 4" xfId="12117" xr:uid="{BE198A74-3F15-421C-84BF-4BF08FDEBC99}"/>
    <cellStyle name="Migliaia 61 4 2 4" xfId="11470" xr:uid="{429E91BB-9696-4F83-AB3D-F9F89D116F7C}"/>
    <cellStyle name="Migliaia 61 4 2 4 2" xfId="34896" xr:uid="{BAB8AD44-EB74-4583-B2DE-6DCAF62214D8}"/>
    <cellStyle name="Migliaia 61 4 2 5" xfId="11021" xr:uid="{2EF64B1E-C966-495C-BD0D-DD79F36A6A88}"/>
    <cellStyle name="Migliaia 61 4 2 5 2" xfId="21656" xr:uid="{4234B3C0-1243-4FA5-9794-8B774F9A9FA5}"/>
    <cellStyle name="Migliaia 61 4 2 5 3" xfId="47431" xr:uid="{72BB2873-852A-495F-9AD9-A7CA6131629D}"/>
    <cellStyle name="Migliaia 61 4 2 5 4" xfId="50671" xr:uid="{6A1A3E4A-353B-44B9-B751-676251D36DED}"/>
    <cellStyle name="Migliaia 61 4 2 5 5" xfId="53687" xr:uid="{14252872-0314-481F-A7CC-605987A047E9}"/>
    <cellStyle name="Migliaia 61 4 2 6" xfId="21160" xr:uid="{3B1EFB70-36F1-4B1C-87DA-DDBA9E457099}"/>
    <cellStyle name="Migliaia 61 4 2 7" xfId="25695" xr:uid="{3A63EEA1-FD05-4766-820B-69190A31881F}"/>
    <cellStyle name="Migliaia 61 4 2 8" xfId="8826" xr:uid="{50D536F4-265F-4597-9541-DB8C929C8DD3}"/>
    <cellStyle name="Migliaia 61 4 3" xfId="5752" xr:uid="{932B2A33-4B64-48BB-9B19-35D6ED26253D}"/>
    <cellStyle name="Migliaia 61 4 3 2" xfId="18277" xr:uid="{E15487D5-922C-4460-9011-B83C239F0580}"/>
    <cellStyle name="Migliaia 61 4 3 2 2" xfId="34899" xr:uid="{8025AE81-1600-4292-A4DB-F0A62F0006F3}"/>
    <cellStyle name="Migliaia 61 4 3 3" xfId="25698" xr:uid="{5D6DF8C4-0EB0-41A7-8028-1CF18DFCB3CD}"/>
    <cellStyle name="Migliaia 61 4 3 4" xfId="17076" xr:uid="{17102EBC-10AB-4BDB-AD07-51FC928F972E}"/>
    <cellStyle name="Migliaia 61 4 3 5" xfId="9223" xr:uid="{026CA8A0-D81E-4B61-8462-442F0FBEB6C8}"/>
    <cellStyle name="Migliaia 61 4 4" xfId="6919" xr:uid="{EE779C50-69CD-428F-8121-A84115AC7295}"/>
    <cellStyle name="Migliaia 61 4 4 2" xfId="34900" xr:uid="{06BA78BE-F3B2-428F-85DA-AC4B505EFECF}"/>
    <cellStyle name="Migliaia 61 4 4 3" xfId="25699" xr:uid="{EE5BE713-0CC4-4CE7-84B5-1E5D31924313}"/>
    <cellStyle name="Migliaia 61 4 4 4" xfId="12118" xr:uid="{85B0CCF9-A32C-4FDA-AD9A-9B0CDCC81E12}"/>
    <cellStyle name="Migliaia 61 4 5" xfId="4026" xr:uid="{BD7FB8F1-43C3-48EA-925E-D7764F22C5BB}"/>
    <cellStyle name="Migliaia 61 4 5 2" xfId="34901" xr:uid="{1A8BA501-8503-4B2E-B61B-504F986634AD}"/>
    <cellStyle name="Migliaia 61 4 5 3" xfId="25700" xr:uid="{64CEB4E0-6640-4DF4-AB85-9DBC8C87E0D8}"/>
    <cellStyle name="Migliaia 61 4 5 4" xfId="11469" xr:uid="{9B830643-4611-4F0B-BCC0-22F15C205EFE}"/>
    <cellStyle name="Migliaia 61 4 6" xfId="11020" xr:uid="{FDEB7CF9-A612-45E9-A181-3808BAFAEDEA}"/>
    <cellStyle name="Migliaia 61 4 6 2" xfId="21655" xr:uid="{6C3BB55F-DBD9-4D25-B119-85970F46D179}"/>
    <cellStyle name="Migliaia 61 4 6 2 2" xfId="34902" xr:uid="{FE2CE63E-D387-4322-9215-C4DC450668A8}"/>
    <cellStyle name="Migliaia 61 4 6 3" xfId="25701" xr:uid="{4225C9D0-B976-49E2-B124-ACF77D91EFAC}"/>
    <cellStyle name="Migliaia 61 4 6 4" xfId="47312" xr:uid="{C24C39A5-D342-4CF2-9A8B-772B8CB4B1C1}"/>
    <cellStyle name="Migliaia 61 4 6 5" xfId="48913" xr:uid="{59B0235F-7C21-4A58-A8A5-24CF278E2244}"/>
    <cellStyle name="Migliaia 61 4 6 6" xfId="50670" xr:uid="{E587896D-23ED-4A72-AE64-AF1DF62F9FD4}"/>
    <cellStyle name="Migliaia 61 4 6 7" xfId="53686" xr:uid="{F683D691-E856-4F97-9AD4-75309C2430AB}"/>
    <cellStyle name="Migliaia 61 4 7" xfId="21159" xr:uid="{81CBEBE4-3493-4CB7-99AB-4ABC3C68FCF4}"/>
    <cellStyle name="Migliaia 61 4 7 2" xfId="34903" xr:uid="{24B5A627-220F-4D89-8B30-EF9616C2856A}"/>
    <cellStyle name="Migliaia 61 4 7 3" xfId="25702" xr:uid="{448AACE3-AA1D-40C4-9E7F-65B29D6CBF61}"/>
    <cellStyle name="Migliaia 61 4 8" xfId="34895" xr:uid="{19D74327-6AC7-41B4-921C-22F9DB817EAF}"/>
    <cellStyle name="Migliaia 61 4 9" xfId="25694" xr:uid="{C3DEC3EB-73D1-4838-92FE-A1FDCB397949}"/>
    <cellStyle name="Migliaia 61 5" xfId="1945" xr:uid="{00000000-0005-0000-0000-0000C8040000}"/>
    <cellStyle name="Migliaia 61 5 2" xfId="5754" xr:uid="{A3AD802E-F763-48E5-9F38-1C0E0AA74F7F}"/>
    <cellStyle name="Migliaia 61 5 2 2" xfId="18535" xr:uid="{A6021013-0BA4-4E29-B480-04DF52703CFC}"/>
    <cellStyle name="Migliaia 61 5 2 2 2" xfId="34905" xr:uid="{A4E74281-271E-493B-B1B2-24258EB70699}"/>
    <cellStyle name="Migliaia 61 5 2 3" xfId="21162" xr:uid="{B76C8D21-B378-4518-872F-AC6D5AF6E29C}"/>
    <cellStyle name="Migliaia 61 5 2 4" xfId="25704" xr:uid="{CE713634-4E67-41BA-A7BF-ABA300F52D3F}"/>
    <cellStyle name="Migliaia 61 5 2 5" xfId="16918" xr:uid="{1C3A7EFD-7B2E-448E-BF8E-4C425D0BEBB2}"/>
    <cellStyle name="Migliaia 61 5 2 6" xfId="8827" xr:uid="{882036B2-B0E1-4496-B25A-8A4AFFC644F1}"/>
    <cellStyle name="Migliaia 61 5 3" xfId="6920" xr:uid="{13DCA814-3617-4045-AD42-C7E91851F58F}"/>
    <cellStyle name="Migliaia 61 5 3 2" xfId="34906" xr:uid="{F7AA57BF-3EF1-4C7C-B3E2-2C820E14BC78}"/>
    <cellStyle name="Migliaia 61 5 3 3" xfId="25705" xr:uid="{17AF6A38-5D34-4D01-A1C7-9627A35DB34D}"/>
    <cellStyle name="Migliaia 61 5 3 4" xfId="11471" xr:uid="{100FD005-C653-4E94-9832-B6CB5F820317}"/>
    <cellStyle name="Migliaia 61 5 4" xfId="4028" xr:uid="{59BDD42F-F781-4454-8255-513BB77C07C5}"/>
    <cellStyle name="Migliaia 61 5 4 2" xfId="21657" xr:uid="{4B5FEAB9-874E-4556-8E03-1759D6062BDD}"/>
    <cellStyle name="Migliaia 61 5 4 2 2" xfId="34907" xr:uid="{EBBB591E-F88B-416A-84A4-A314827BB16B}"/>
    <cellStyle name="Migliaia 61 5 4 3" xfId="25706" xr:uid="{824A011F-9756-40BB-AFE4-6FD9978EB4AC}"/>
    <cellStyle name="Migliaia 61 5 4 4" xfId="32446" xr:uid="{06FB3FCF-DA6D-4F35-9B07-D9B10D6CC791}"/>
    <cellStyle name="Migliaia 61 5 4 5" xfId="48914" xr:uid="{D3730D6D-C3F0-40F3-B64E-B1F6E979D581}"/>
    <cellStyle name="Migliaia 61 5 4 6" xfId="50672" xr:uid="{1A1585A3-1AD8-43E7-B790-CA9E994123AB}"/>
    <cellStyle name="Migliaia 61 5 4 7" xfId="53688" xr:uid="{27D6BDFE-42B1-4D5B-B8D0-27803B0D297B}"/>
    <cellStyle name="Migliaia 61 5 4 8" xfId="11022" xr:uid="{D3600769-F52B-4789-823D-F0EEB9419250}"/>
    <cellStyle name="Migliaia 61 5 5" xfId="21161" xr:uid="{CEBFEBEE-3ED2-48A9-922E-6D68016BE61C}"/>
    <cellStyle name="Migliaia 61 5 5 2" xfId="34908" xr:uid="{BF4B3E32-E968-4403-AAB8-7C8206186DF3}"/>
    <cellStyle name="Migliaia 61 5 5 3" xfId="25707" xr:uid="{E771C8ED-CFE2-4492-8241-5714AA5089A5}"/>
    <cellStyle name="Migliaia 61 5 5 4" xfId="48915" xr:uid="{CDA3EC42-30B5-4F56-98E0-4C772F0902B6}"/>
    <cellStyle name="Migliaia 61 5 6" xfId="25708" xr:uid="{E7A37CE3-C923-4102-A0B2-834D5ADED750}"/>
    <cellStyle name="Migliaia 61 5 6 2" xfId="34909" xr:uid="{8D642170-905C-45D2-97CF-8003EA67CA3D}"/>
    <cellStyle name="Migliaia 61 5 7" xfId="34904" xr:uid="{49BAD9DB-CC1D-4F65-8AD0-A117B1EA021D}"/>
    <cellStyle name="Migliaia 61 5 8" xfId="25703" xr:uid="{B3181FC1-1F8A-4F33-A801-7CF73DC21014}"/>
    <cellStyle name="Migliaia 61 5 9" xfId="7637" xr:uid="{2FC052EA-1997-45F3-96CA-514ED9B0DCEF}"/>
    <cellStyle name="Migliaia 61 6" xfId="4029" xr:uid="{7843036D-5F9C-4B94-9673-F3D09FDFDC3A}"/>
    <cellStyle name="Migliaia 61 6 2" xfId="5755" xr:uid="{528A52E9-CB1C-4509-910B-0DCA97586AB6}"/>
    <cellStyle name="Migliaia 61 6 2 2" xfId="9995" xr:uid="{C5787F49-8B0F-4457-A22D-E1B813AEA941}"/>
    <cellStyle name="Migliaia 61 6 2 3" xfId="18120" xr:uid="{AF938DEB-7A05-452A-A809-42DDB3135A49}"/>
    <cellStyle name="Migliaia 61 6 2 4" xfId="21164" xr:uid="{24C520BA-335E-4E7A-B1C3-EF0FD3D89B65}"/>
    <cellStyle name="Migliaia 61 6 2 5" xfId="32490" xr:uid="{338C16A2-CAAA-458B-B161-678B2E3AE321}"/>
    <cellStyle name="Migliaia 61 6 2 6" xfId="16920" xr:uid="{5CFC8612-F4D7-428A-AAB7-AF7A49EA2B3D}"/>
    <cellStyle name="Migliaia 61 6 2 7" xfId="8822" xr:uid="{270B075D-51F2-4194-9B4F-AFC46893BFEF}"/>
    <cellStyle name="Migliaia 61 6 3" xfId="6921" xr:uid="{CFCDAB9B-8FD6-42EA-9778-2D578AA6385B}"/>
    <cellStyle name="Migliaia 61 6 3 2" xfId="35526" xr:uid="{EF0961F7-8F4C-4960-A7E8-CBB30D01A5CD}"/>
    <cellStyle name="Migliaia 61 6 3 2 2" xfId="40686" xr:uid="{00F13485-E727-4B1C-BF6E-58383B1CEE00}"/>
    <cellStyle name="Migliaia 61 6 3 2 3" xfId="45988" xr:uid="{174ED551-51B0-463E-AD6A-C01A05EBC464}"/>
    <cellStyle name="Migliaia 61 6 3 3" xfId="38035" xr:uid="{24E92506-4F7E-41CA-B6D5-1B799EF562FC}"/>
    <cellStyle name="Migliaia 61 6 3 4" xfId="43337" xr:uid="{4DC3C268-05FB-4790-8D3C-98804E937EAF}"/>
    <cellStyle name="Migliaia 61 6 3 5" xfId="9758" xr:uid="{01228820-5708-4FCA-BFED-9D4DF2EF0201}"/>
    <cellStyle name="Migliaia 61 6 4" xfId="21163" xr:uid="{F638DEA2-56C3-4E8F-9019-86A52E99F704}"/>
    <cellStyle name="Migliaia 61 6 4 2" xfId="34910" xr:uid="{911B879B-FF38-4060-B8AA-58B1D78B5608}"/>
    <cellStyle name="Migliaia 61 6 5" xfId="25709" xr:uid="{243832E8-FF7A-4A6E-83C1-F81F1D73C57F}"/>
    <cellStyle name="Migliaia 61 6 6" xfId="16919" xr:uid="{705669A9-F7B4-44D4-A8DD-29048D668C89}"/>
    <cellStyle name="Migliaia 61 6 7" xfId="7632" xr:uid="{C15AEB96-1D73-433E-830B-C3454E98636F}"/>
    <cellStyle name="Migliaia 61 7" xfId="4030" xr:uid="{923371A1-25D8-4D4A-A8EC-638D0638642C}"/>
    <cellStyle name="Migliaia 61 7 2" xfId="5756" xr:uid="{4F84D7A4-E967-463D-ADCB-70B0C70A4B53}"/>
    <cellStyle name="Migliaia 61 7 2 2" xfId="35527" xr:uid="{F0FC1F3F-BCF9-49D1-A515-90537134019B}"/>
    <cellStyle name="Migliaia 61 7 2 2 2" xfId="40687" xr:uid="{D6EDE895-312D-4CCA-83AB-53D97CB969CF}"/>
    <cellStyle name="Migliaia 61 7 2 2 3" xfId="45989" xr:uid="{00CC4F6B-308F-48E2-80E4-1049AA7D3C72}"/>
    <cellStyle name="Migliaia 61 7 2 3" xfId="38036" xr:uid="{99BCAA4C-343C-4767-899D-00AD05E57F94}"/>
    <cellStyle name="Migliaia 61 7 2 4" xfId="43338" xr:uid="{EC58482B-79EB-46F7-81B5-BA40DF13413E}"/>
    <cellStyle name="Migliaia 61 7 2 5" xfId="14350" xr:uid="{687FEAAC-214E-499D-9AE9-98BEEA8C760B}"/>
    <cellStyle name="Migliaia 61 7 3" xfId="6922" xr:uid="{99527448-33E1-424D-B900-5DC1597A49C2}"/>
    <cellStyle name="Migliaia 61 7 3 2" xfId="34911" xr:uid="{95887614-1277-49A4-8212-0CA3F6B6063B}"/>
    <cellStyle name="Migliaia 61 7 3 3" xfId="21165" xr:uid="{4A32058A-0177-42B9-9199-3071F4C47AF1}"/>
    <cellStyle name="Migliaia 61 7 4" xfId="25710" xr:uid="{56AD57FC-4925-423D-8819-35CAE435C3AD}"/>
    <cellStyle name="Migliaia 61 7 5" xfId="16921" xr:uid="{9D377FD8-51AA-4DE1-87AE-BDA43C107BB4}"/>
    <cellStyle name="Migliaia 61 7 6" xfId="8412" xr:uid="{DED0172F-6CD8-4D35-9279-1617C48D84AC}"/>
    <cellStyle name="Migliaia 61 8" xfId="4031" xr:uid="{4EB147DB-DDB2-4B0E-9BC3-DA5723F9928A}"/>
    <cellStyle name="Migliaia 61 8 2" xfId="5757" xr:uid="{F265A75F-DAAB-4E08-82F4-E77F7E7BB5EA}"/>
    <cellStyle name="Migliaia 61 8 2 2" xfId="35528" xr:uid="{3709D478-86D5-4332-ADDB-2E9933F77AC1}"/>
    <cellStyle name="Migliaia 61 8 2 2 2" xfId="40688" xr:uid="{5E8159E4-4583-46EC-83E1-238F22457C7C}"/>
    <cellStyle name="Migliaia 61 8 2 2 3" xfId="45990" xr:uid="{4C655FE7-3E35-4A4D-93A7-89B023CDD14A}"/>
    <cellStyle name="Migliaia 61 8 2 3" xfId="38037" xr:uid="{568B7109-B0B2-42A7-A2A5-E16D53E834A0}"/>
    <cellStyle name="Migliaia 61 8 2 4" xfId="43339" xr:uid="{28EDA2B4-2772-43FA-9D6C-879F990386D2}"/>
    <cellStyle name="Migliaia 61 8 2 5" xfId="14055" xr:uid="{7B1FC17B-4E12-4CC4-B6EB-A0DE5BA652D8}"/>
    <cellStyle name="Migliaia 61 8 3" xfId="6923" xr:uid="{93063E19-0A7F-4104-B41F-BFAF1351EA44}"/>
    <cellStyle name="Migliaia 61 8 3 2" xfId="34912" xr:uid="{E2274AA0-2D05-42A2-A345-49432008F1CA}"/>
    <cellStyle name="Migliaia 61 8 3 3" xfId="21166" xr:uid="{7846F36E-1D1D-4B71-9316-DC2227CB1367}"/>
    <cellStyle name="Migliaia 61 8 4" xfId="25711" xr:uid="{D0982C3A-89B7-489C-85C0-C440EE3FBC6C}"/>
    <cellStyle name="Migliaia 61 8 5" xfId="16922" xr:uid="{719B1348-34E8-4E03-8312-95FA16BD93AD}"/>
    <cellStyle name="Migliaia 61 8 6" xfId="8050" xr:uid="{4D27D3E2-1DDE-41E9-B67C-F187CF6E434D}"/>
    <cellStyle name="Migliaia 61 9" xfId="5742" xr:uid="{728D6198-5EC1-4445-9BEA-D67D8DAB3D1B}"/>
    <cellStyle name="Migliaia 61 9 2" xfId="34913" xr:uid="{B0939679-488D-4A55-953E-BB95251CEF84}"/>
    <cellStyle name="Migliaia 61 9 3" xfId="25712" xr:uid="{73CCF1B6-74F4-43E1-A883-01AC536EFA80}"/>
    <cellStyle name="Migliaia 61 9 4" xfId="17249" xr:uid="{3BB2D77D-06DF-4C41-B464-D075549DBEC4}"/>
    <cellStyle name="Migliaia 7" xfId="533" xr:uid="{00000000-0005-0000-0000-0000C9040000}"/>
    <cellStyle name="Migliaia 7 10" xfId="6924" xr:uid="{61B092CD-C41F-4B75-AC8B-CF7BC56C95F1}"/>
    <cellStyle name="Migliaia 7 10 2" xfId="34914" xr:uid="{F9C903D2-C941-4F32-9392-6A4BFC9F8291}"/>
    <cellStyle name="Migliaia 7 10 3" xfId="21167" xr:uid="{232AA0B6-0C94-4C20-85D0-94D33320AA6A}"/>
    <cellStyle name="Migliaia 7 11" xfId="4032" xr:uid="{03C07C10-7A73-4C43-8427-9F8DBACF9983}"/>
    <cellStyle name="Migliaia 7 11 2" xfId="25713" xr:uid="{E0C69586-F4F8-4BC1-953A-D79805FB893D}"/>
    <cellStyle name="Migliaia 7 12" xfId="7216" xr:uid="{230482AD-AFCF-4A24-AAEF-ECC0894F5821}"/>
    <cellStyle name="Migliaia 7 2" xfId="534" xr:uid="{00000000-0005-0000-0000-0000CA040000}"/>
    <cellStyle name="Migliaia 7 2 2" xfId="1946" xr:uid="{00000000-0005-0000-0000-0000CB040000}"/>
    <cellStyle name="Migliaia 7 2 2 2" xfId="5760" xr:uid="{3EF6181B-5B38-4CF6-A716-674262451153}"/>
    <cellStyle name="Migliaia 7 2 2 2 2" xfId="14421" xr:uid="{F2207600-1B8E-4ACA-9FFE-049BAF3BC9D0}"/>
    <cellStyle name="Migliaia 7 2 2 2 2 2" xfId="34917" xr:uid="{7696E196-1B85-453F-B749-97BA3B916F31}"/>
    <cellStyle name="Migliaia 7 2 2 2 3" xfId="18536" xr:uid="{5C7B91C4-CFBD-4958-AFAC-2BEB78542103}"/>
    <cellStyle name="Migliaia 7 2 2 2 4" xfId="21170" xr:uid="{EB0C5FC0-1174-4D25-A9A2-DEA43B0E2D46}"/>
    <cellStyle name="Migliaia 7 2 2 2 5" xfId="25716" xr:uid="{3F4685DA-5346-485D-87FE-BD058BF88A6D}"/>
    <cellStyle name="Migliaia 7 2 2 2 6" xfId="16923" xr:uid="{B834BFFA-E836-4338-A2C9-6850C7087C8C}"/>
    <cellStyle name="Migliaia 7 2 2 2 7" xfId="8829" xr:uid="{D1354021-FE2A-4131-99C3-3F9C1B8891B1}"/>
    <cellStyle name="Migliaia 7 2 2 3" xfId="6926" xr:uid="{20F55CC5-373D-4830-9120-15967E423B31}"/>
    <cellStyle name="Migliaia 7 2 2 3 2" xfId="35529" xr:uid="{38644B84-711D-49FF-B731-0394AD5C2091}"/>
    <cellStyle name="Migliaia 7 2 2 3 2 2" xfId="40689" xr:uid="{19108427-C0AB-432E-B609-16AF4DB8676F}"/>
    <cellStyle name="Migliaia 7 2 2 3 2 3" xfId="45991" xr:uid="{3E9F1638-A1C2-460C-B4E4-D9A169E6127C}"/>
    <cellStyle name="Migliaia 7 2 2 3 3" xfId="38038" xr:uid="{567DFE16-D86F-4F09-A222-8C05F463530F}"/>
    <cellStyle name="Migliaia 7 2 2 3 4" xfId="43340" xr:uid="{217BA644-F869-4CD7-B529-908FF4695AD2}"/>
    <cellStyle name="Migliaia 7 2 2 3 5" xfId="11648" xr:uid="{B91AFF78-A598-4FAF-BC54-2021B2AC833B}"/>
    <cellStyle name="Migliaia 7 2 2 4" xfId="4034" xr:uid="{328666BE-35AF-4130-A4C6-D36F2D5E3CA5}"/>
    <cellStyle name="Migliaia 7 2 2 4 2" xfId="21658" xr:uid="{EA5084DA-8144-4757-95B6-63ED22938136}"/>
    <cellStyle name="Migliaia 7 2 2 4 3" xfId="34916" xr:uid="{4216E3CE-217E-42DF-8EC6-5BC351E47A46}"/>
    <cellStyle name="Migliaia 7 2 2 4 4" xfId="47810" xr:uid="{BC5D0E42-E1B2-408F-929E-C520DCABC2DB}"/>
    <cellStyle name="Migliaia 7 2 2 4 5" xfId="50673" xr:uid="{AB88E030-1CFC-42C2-A98A-CAB7BF674B73}"/>
    <cellStyle name="Migliaia 7 2 2 4 6" xfId="53689" xr:uid="{F08A00AF-293E-4F82-B743-E2D74ECBB4C1}"/>
    <cellStyle name="Migliaia 7 2 2 4 7" xfId="11023" xr:uid="{9FD596E8-4523-4194-99F8-9C780A0B72B9}"/>
    <cellStyle name="Migliaia 7 2 2 5" xfId="21169" xr:uid="{EE587102-70CF-47CA-B4C6-F9CE7DB50892}"/>
    <cellStyle name="Migliaia 7 2 2 6" xfId="25715" xr:uid="{9D6201EF-5A46-46F7-9F31-1E8F0DD17B58}"/>
    <cellStyle name="Migliaia 7 2 2 7" xfId="7639" xr:uid="{E12B7ECD-C115-44FF-BA07-5B7D904114B2}"/>
    <cellStyle name="Migliaia 7 2 3" xfId="4035" xr:uid="{305EA2A1-8664-486C-9C60-5E43DE78BB7C}"/>
    <cellStyle name="Migliaia 7 2 3 2" xfId="5761" xr:uid="{DF455734-61CE-46AB-8D2D-70937A6FCE33}"/>
    <cellStyle name="Migliaia 7 2 3 2 2" xfId="35530" xr:uid="{B597BBCF-C52D-47C9-AE0D-F03170317C93}"/>
    <cellStyle name="Migliaia 7 2 3 2 2 2" xfId="40690" xr:uid="{0A0751E4-AA6E-4B7D-8F42-D7504E0DB9D1}"/>
    <cellStyle name="Migliaia 7 2 3 2 2 3" xfId="45992" xr:uid="{9F987A29-4661-4730-B27F-46BA37EE44A5}"/>
    <cellStyle name="Migliaia 7 2 3 2 3" xfId="38039" xr:uid="{4D2F0B96-F062-4840-B5CC-6B6E8C9A5D69}"/>
    <cellStyle name="Migliaia 7 2 3 2 4" xfId="43341" xr:uid="{DF8D672B-8BB3-4B65-A4B0-F18A85C5EDF6}"/>
    <cellStyle name="Migliaia 7 2 3 2 5" xfId="14354" xr:uid="{2EDA849A-D506-46EB-8BDA-C2BD602D72DC}"/>
    <cellStyle name="Migliaia 7 2 3 3" xfId="6927" xr:uid="{0098B76F-FC61-47B4-A884-068F15403A62}"/>
    <cellStyle name="Migliaia 7 2 3 3 2" xfId="34918" xr:uid="{8DC3D0E1-2139-41FF-814F-725EF1C83432}"/>
    <cellStyle name="Migliaia 7 2 3 3 3" xfId="21171" xr:uid="{847E21F6-F5BF-4CD3-BB97-EEF0348E6B97}"/>
    <cellStyle name="Migliaia 7 2 3 4" xfId="25717" xr:uid="{EB254CD7-1A59-487F-962D-211174759FAB}"/>
    <cellStyle name="Migliaia 7 2 3 5" xfId="16924" xr:uid="{AB334332-F294-4D6B-8B0B-B3B69CEA3353}"/>
    <cellStyle name="Migliaia 7 2 3 6" xfId="8416" xr:uid="{77C34BE6-5CBF-4312-BDB9-028A81C3BE0F}"/>
    <cellStyle name="Migliaia 7 2 4" xfId="5759" xr:uid="{98E6110F-DCCB-4E8F-ACCD-92F873333EDC}"/>
    <cellStyle name="Migliaia 7 2 4 2" xfId="14059" xr:uid="{5649E5FC-9752-4ADC-8421-823A086507B4}"/>
    <cellStyle name="Migliaia 7 2 4 2 2" xfId="34919" xr:uid="{125E609A-BB0F-4600-8C0B-EEAD7C932D9D}"/>
    <cellStyle name="Migliaia 7 2 4 3" xfId="18680" xr:uid="{02DA4B1E-027F-4B44-9F79-1C83FB22D5B3}"/>
    <cellStyle name="Migliaia 7 2 4 4" xfId="21172" xr:uid="{09127FEF-F0E2-4747-B509-02B4490D0014}"/>
    <cellStyle name="Migliaia 7 2 4 5" xfId="25718" xr:uid="{FBEDF00D-D5D7-47A3-85CC-3615C2C28401}"/>
    <cellStyle name="Migliaia 7 2 4 6" xfId="16925" xr:uid="{BA1AC372-2C04-4640-8A35-6348DA146331}"/>
    <cellStyle name="Migliaia 7 2 4 7" xfId="8055" xr:uid="{3E8E3EB8-AB9A-4819-8147-966127DCAF4B}"/>
    <cellStyle name="Migliaia 7 2 5" xfId="6925" xr:uid="{DB5C0626-FFB8-4613-9035-8BD2ED2634C2}"/>
    <cellStyle name="Migliaia 7 2 5 2" xfId="34920" xr:uid="{4A895034-02B2-4D00-9625-C68D82C6ADF7}"/>
    <cellStyle name="Migliaia 7 2 5 3" xfId="25719" xr:uid="{40B59021-D6F4-42F5-B459-C91109A928B0}"/>
    <cellStyle name="Migliaia 7 2 5 4" xfId="13161" xr:uid="{ED0D5928-6759-4D42-9BB7-FEAA47B4F0A6}"/>
    <cellStyle name="Migliaia 7 2 6" xfId="4033" xr:uid="{B562C66B-87E0-4845-90E8-4EC9B12C5C3A}"/>
    <cellStyle name="Migliaia 7 2 6 2" xfId="34921" xr:uid="{04B2B15F-50B9-4637-827B-C2D2DF967CB7}"/>
    <cellStyle name="Migliaia 7 2 6 3" xfId="25720" xr:uid="{59C6A803-8EC4-4DF3-B0BF-546A7F6CEE2F}"/>
    <cellStyle name="Migliaia 7 2 6 4" xfId="21168" xr:uid="{ABC6E3AC-9F0E-4063-B382-E2EEC4BDD650}"/>
    <cellStyle name="Migliaia 7 2 7" xfId="34915" xr:uid="{84A899E4-FB01-4DEC-8739-CBDED18DCB9E}"/>
    <cellStyle name="Migliaia 7 2 8" xfId="25714" xr:uid="{25B91A4E-EBE8-4FE7-911F-A4C8DC5553FE}"/>
    <cellStyle name="Migliaia 7 2 9" xfId="7217" xr:uid="{2EB49AAD-82D2-40C7-B25D-192B5920AFE2}"/>
    <cellStyle name="Migliaia 7 3" xfId="535" xr:uid="{00000000-0005-0000-0000-0000CC040000}"/>
    <cellStyle name="Migliaia 7 3 10" xfId="25721" xr:uid="{016C1DEC-6B50-4A86-8382-B58BDA1581BE}"/>
    <cellStyle name="Migliaia 7 3 11" xfId="16926" xr:uid="{CE677D82-1BCF-4656-9055-F6FEE1BBC251}"/>
    <cellStyle name="Migliaia 7 3 12" xfId="7218" xr:uid="{C1E59D67-2B5F-48BD-8117-D4819C37237B}"/>
    <cellStyle name="Migliaia 7 3 2" xfId="536" xr:uid="{00000000-0005-0000-0000-0000CD040000}"/>
    <cellStyle name="Migliaia 7 3 2 2" xfId="1947" xr:uid="{00000000-0005-0000-0000-0000CE040000}"/>
    <cellStyle name="Migliaia 7 3 2 2 2" xfId="5764" xr:uid="{D4E3C42F-282F-418F-B05D-EFAAA261656A}"/>
    <cellStyle name="Migliaia 7 3 2 2 2 2" xfId="18537" xr:uid="{B6CC7C17-EE50-4325-BE80-05CA88C7AE38}"/>
    <cellStyle name="Migliaia 7 3 2 2 2 2 2" xfId="21899" xr:uid="{5EBF9394-95F2-4DA2-9D84-F6A3235EE0C6}"/>
    <cellStyle name="Migliaia 7 3 2 2 2 2 3" xfId="34925" xr:uid="{1447BEBD-BFEF-486E-88AA-DDE8BDF1A595}"/>
    <cellStyle name="Migliaia 7 3 2 2 2 3" xfId="25724" xr:uid="{9C5DD779-119A-45B1-91FF-6066E36DAFE7}"/>
    <cellStyle name="Migliaia 7 3 2 2 2 4" xfId="48486" xr:uid="{E50B8E0D-2B33-48E3-8B47-B9117DFBA1F5}"/>
    <cellStyle name="Migliaia 7 3 2 2 2 5" xfId="50927" xr:uid="{75B7DACC-659B-4210-ADBD-B428952B08AC}"/>
    <cellStyle name="Migliaia 7 3 2 2 2 6" xfId="53943" xr:uid="{70B5C883-BE57-4512-8EFF-0B69C37F05F1}"/>
    <cellStyle name="Migliaia 7 3 2 2 2 7" xfId="17698" xr:uid="{C7638CB5-036A-4C03-A08E-A5823D20981B}"/>
    <cellStyle name="Migliaia 7 3 2 2 2 8" xfId="12119" xr:uid="{C1ECF8D3-0619-4D1E-BF40-99A6C9CAA123}"/>
    <cellStyle name="Migliaia 7 3 2 2 3" xfId="6930" xr:uid="{86AD5B28-3C98-4473-AE49-406656A02C2F}"/>
    <cellStyle name="Migliaia 7 3 2 2 3 2" xfId="34924" xr:uid="{362E7226-9AC5-4299-BE2A-25D24DF5636B}"/>
    <cellStyle name="Migliaia 7 3 2 2 3 3" xfId="11491" xr:uid="{2A4527D3-0C94-4AF4-9081-107ADD7B35E9}"/>
    <cellStyle name="Migliaia 7 3 2 2 4" xfId="4038" xr:uid="{C4D1A235-C67C-43B2-B135-FF454A9D4086}"/>
    <cellStyle name="Migliaia 7 3 2 2 4 2" xfId="21659" xr:uid="{042A3EB6-9312-49BC-851D-0E760D8DE69B}"/>
    <cellStyle name="Migliaia 7 3 2 2 4 3" xfId="46713" xr:uid="{BC473B6E-D122-41E5-A2C2-7AEA604BCB55}"/>
    <cellStyle name="Migliaia 7 3 2 2 4 4" xfId="50674" xr:uid="{DF990489-A703-4F09-9906-4C5AEC7E7278}"/>
    <cellStyle name="Migliaia 7 3 2 2 4 5" xfId="53690" xr:uid="{B041DCD5-B686-4B39-9A8F-EFC4EB506F96}"/>
    <cellStyle name="Migliaia 7 3 2 2 4 6" xfId="11024" xr:uid="{15E25158-A61F-48C4-8025-67655553BF21}"/>
    <cellStyle name="Migliaia 7 3 2 2 5" xfId="21175" xr:uid="{B76D01AF-2FE0-46E4-B006-29DBA89AE0F1}"/>
    <cellStyle name="Migliaia 7 3 2 2 6" xfId="25723" xr:uid="{E7E9979B-AA86-4720-996E-0A5477CD1F85}"/>
    <cellStyle name="Migliaia 7 3 2 2 7" xfId="8831" xr:uid="{60430BCD-63F5-4346-A76B-54513E4C18F7}"/>
    <cellStyle name="Migliaia 7 3 2 3" xfId="5763" xr:uid="{BB3B9352-54B1-4188-AF29-84609E44CCA3}"/>
    <cellStyle name="Migliaia 7 3 2 3 2" xfId="12394" xr:uid="{74440ED3-2043-4932-BC85-D4A28CE5CE84}"/>
    <cellStyle name="Migliaia 7 3 2 3 2 2" xfId="34926" xr:uid="{096EEB5E-8646-415D-A9F8-6F3B1FC7F185}"/>
    <cellStyle name="Migliaia 7 3 2 3 3" xfId="12120" xr:uid="{FADACBE6-2D6E-43F2-BA43-904A52E35440}"/>
    <cellStyle name="Migliaia 7 3 2 3 4" xfId="21176" xr:uid="{06CF5E60-AC2F-4EAE-A5A5-889B7D0D5F07}"/>
    <cellStyle name="Migliaia 7 3 2 3 5" xfId="25725" xr:uid="{567FB5E5-2E5F-4889-A641-B9BF62A40245}"/>
    <cellStyle name="Migliaia 7 3 2 3 6" xfId="16927" xr:uid="{A046EB57-70E0-46F3-8E11-BB2B3BE7C4F2}"/>
    <cellStyle name="Migliaia 7 3 2 3 7" xfId="8057" xr:uid="{434BA227-4E81-411B-B244-B65AA565C136}"/>
    <cellStyle name="Migliaia 7 3 2 4" xfId="6929" xr:uid="{FA97F6C9-5E93-45DF-A565-B2F6889E2A60}"/>
    <cellStyle name="Migliaia 7 3 2 4 2" xfId="18115" xr:uid="{134D47BF-81BB-4357-87E7-A02211D27679}"/>
    <cellStyle name="Migliaia 7 3 2 4 2 2" xfId="34927" xr:uid="{70063C56-F881-4D22-9533-2352319641DE}"/>
    <cellStyle name="Migliaia 7 3 2 4 3" xfId="25726" xr:uid="{81B4A76E-6A4B-4B74-9B84-91BF2E5E3497}"/>
    <cellStyle name="Migliaia 7 3 2 4 4" xfId="17252" xr:uid="{A6549061-8A07-420B-A9C7-905319C15174}"/>
    <cellStyle name="Migliaia 7 3 2 4 5" xfId="11472" xr:uid="{EEA0078B-7C80-41BE-80F1-D6AF42524B19}"/>
    <cellStyle name="Migliaia 7 3 2 5" xfId="4037" xr:uid="{863F0336-2742-473E-AA34-4F5748070AC0}"/>
    <cellStyle name="Migliaia 7 3 2 5 2" xfId="34928" xr:uid="{376CFBEF-1454-422F-8A87-02AE5F9A21FA}"/>
    <cellStyle name="Migliaia 7 3 2 5 3" xfId="25727" xr:uid="{CED4EC04-A58C-4E71-AB1A-AF4D70506EF7}"/>
    <cellStyle name="Migliaia 7 3 2 5 4" xfId="17074" xr:uid="{65A7FA58-20DB-428F-AF92-956E1F6C9144}"/>
    <cellStyle name="Migliaia 7 3 2 6" xfId="21174" xr:uid="{98169906-953A-4B8E-B73B-FAC99E8514CD}"/>
    <cellStyle name="Migliaia 7 3 2 6 2" xfId="34929" xr:uid="{B49A1273-4904-40E9-A0DE-1533A1A8257D}"/>
    <cellStyle name="Migliaia 7 3 2 6 3" xfId="25728" xr:uid="{3EDA23A4-0F7B-4C0C-8F14-5F6E05195D78}"/>
    <cellStyle name="Migliaia 7 3 2 7" xfId="34923" xr:uid="{831C050F-0333-42ED-A588-BAE6B43D161A}"/>
    <cellStyle name="Migliaia 7 3 2 8" xfId="25722" xr:uid="{E2E906EC-8F47-4910-8846-F82C92B0FE83}"/>
    <cellStyle name="Migliaia 7 3 2 9" xfId="7641" xr:uid="{F968551E-B36E-459E-9503-1E9B3BEABA72}"/>
    <cellStyle name="Migliaia 7 3 3" xfId="4039" xr:uid="{4E100DFE-81D4-4D91-90A0-4F3B02A793FB}"/>
    <cellStyle name="Migliaia 7 3 3 2" xfId="5765" xr:uid="{CD575548-72E2-49CB-8034-C5BDBB5C835A}"/>
    <cellStyle name="Migliaia 7 3 3 2 2" xfId="9998" xr:uid="{500B2439-83B3-47BF-B7D1-A2C0FFC9867B}"/>
    <cellStyle name="Migliaia 7 3 3 2 2 2" xfId="34931" xr:uid="{4C9AA774-1B89-4613-B309-63DBDAAFF26C}"/>
    <cellStyle name="Migliaia 7 3 3 2 3" xfId="18278" xr:uid="{DC68FD8B-8543-4B71-BAD2-5D30774F4929}"/>
    <cellStyle name="Migliaia 7 3 3 2 4" xfId="21178" xr:uid="{B85F0E44-2EDA-4219-A41A-E20FD189712C}"/>
    <cellStyle name="Migliaia 7 3 3 2 5" xfId="25730" xr:uid="{234A9E0D-3CD6-4572-A50C-38D3DEE5F591}"/>
    <cellStyle name="Migliaia 7 3 3 2 6" xfId="16929" xr:uid="{2FEBD18B-D26C-4519-8670-2F623DCEEE87}"/>
    <cellStyle name="Migliaia 7 3 3 2 7" xfId="8830" xr:uid="{DB521E82-D4D3-42E3-A7C1-9234BE8B6594}"/>
    <cellStyle name="Migliaia 7 3 3 3" xfId="6931" xr:uid="{1428600E-24D1-4A85-BEE5-D0A7EC1096BA}"/>
    <cellStyle name="Migliaia 7 3 3 3 2" xfId="34932" xr:uid="{BAA4EB81-E757-4B42-B94B-1A0EC07342C6}"/>
    <cellStyle name="Migliaia 7 3 3 3 3" xfId="25731" xr:uid="{1C6D0B49-98CC-4609-BD74-66420AD42C58}"/>
    <cellStyle name="Migliaia 7 3 3 3 4" xfId="9761" xr:uid="{FC072D74-701C-4024-8480-5757A28EB4CE}"/>
    <cellStyle name="Migliaia 7 3 3 4" xfId="21177" xr:uid="{641F9CF6-0200-46E3-B8DA-54042C09BE81}"/>
    <cellStyle name="Migliaia 7 3 3 4 2" xfId="34933" xr:uid="{5E0AA3A0-4905-45F5-843B-7F04894F2A0F}"/>
    <cellStyle name="Migliaia 7 3 3 4 3" xfId="25732" xr:uid="{A6BCAF6F-683A-4E7C-8212-4316A9358C00}"/>
    <cellStyle name="Migliaia 7 3 3 4 4" xfId="48916" xr:uid="{FC008CDF-5E04-4552-9358-B504C44D416B}"/>
    <cellStyle name="Migliaia 7 3 3 5" xfId="25733" xr:uid="{F7B02EE2-9B81-4836-A554-CA6B97F772F3}"/>
    <cellStyle name="Migliaia 7 3 3 5 2" xfId="34934" xr:uid="{C05ACDFB-C198-48D7-B25C-688253F41A2A}"/>
    <cellStyle name="Migliaia 7 3 3 5 3" xfId="48917" xr:uid="{04821ABD-71F2-4066-9D65-B32EB02EDF3F}"/>
    <cellStyle name="Migliaia 7 3 3 6" xfId="34930" xr:uid="{0340F727-B03D-4520-8E76-4C70A4AE94DD}"/>
    <cellStyle name="Migliaia 7 3 3 7" xfId="25729" xr:uid="{AE714692-4DF2-4BDA-BE57-9D971F52632F}"/>
    <cellStyle name="Migliaia 7 3 3 8" xfId="16928" xr:uid="{E06D9F81-473C-4B1C-97B0-4CE9DDE77B57}"/>
    <cellStyle name="Migliaia 7 3 3 9" xfId="7640" xr:uid="{AF123FBA-F4AB-469A-8823-587F3C41B0A9}"/>
    <cellStyle name="Migliaia 7 3 4" xfId="4040" xr:uid="{333A6446-58D5-428E-B4C0-4469AC20C007}"/>
    <cellStyle name="Migliaia 7 3 4 2" xfId="5766" xr:uid="{E1BD2161-8F9E-4993-A555-19F8AD9A7D29}"/>
    <cellStyle name="Migliaia 7 3 4 2 2" xfId="14481" xr:uid="{77473D01-E2F8-436E-B505-F4ED9931A4F0}"/>
    <cellStyle name="Migliaia 7 3 4 2 3" xfId="18573" xr:uid="{7A3134D0-6484-402B-BA40-243D07293125}"/>
    <cellStyle name="Migliaia 7 3 4 2 4" xfId="21180" xr:uid="{8DEC51B5-0B8F-4CF8-9CC5-E7D92063BCED}"/>
    <cellStyle name="Migliaia 7 3 4 2 5" xfId="32491" xr:uid="{B735E686-C52A-4C1C-B894-41E4CDC9F416}"/>
    <cellStyle name="Migliaia 7 3 4 2 6" xfId="16931" xr:uid="{1E179349-2182-4965-B82A-FCF7D59E0E8B}"/>
    <cellStyle name="Migliaia 7 3 4 2 7" xfId="8904" xr:uid="{12D2854A-3B7F-42C2-9837-DD62434C0D47}"/>
    <cellStyle name="Migliaia 7 3 4 3" xfId="6932" xr:uid="{A08F6748-4D51-446C-94C3-6D6B7E0EB054}"/>
    <cellStyle name="Migliaia 7 3 4 3 2" xfId="35531" xr:uid="{9889D086-6D1A-4B32-922C-78794C8AE359}"/>
    <cellStyle name="Migliaia 7 3 4 3 2 2" xfId="40691" xr:uid="{F8DFF7FE-02D7-409B-A254-932283DBF55E}"/>
    <cellStyle name="Migliaia 7 3 4 3 2 3" xfId="45993" xr:uid="{671D08D4-0D3E-43E5-9667-93BA7E101D8E}"/>
    <cellStyle name="Migliaia 7 3 4 3 3" xfId="38040" xr:uid="{B0A49DCD-F892-4F54-9B82-47A274F8E2CD}"/>
    <cellStyle name="Migliaia 7 3 4 3 4" xfId="43342" xr:uid="{C159BC6E-83BA-4A67-AC06-8015AC840BC6}"/>
    <cellStyle name="Migliaia 7 3 4 3 5" xfId="13729" xr:uid="{5358D2FD-16D6-4730-B7EF-B0DB26207016}"/>
    <cellStyle name="Migliaia 7 3 4 4" xfId="21179" xr:uid="{18E3FE86-8C0C-473D-9078-5ED056BF0F3B}"/>
    <cellStyle name="Migliaia 7 3 4 4 2" xfId="34935" xr:uid="{74AAE4EF-9CD6-4EEA-A843-47F3FC757B7A}"/>
    <cellStyle name="Migliaia 7 3 4 5" xfId="25734" xr:uid="{FF922706-B093-429B-9D57-1A66D91B6F3D}"/>
    <cellStyle name="Migliaia 7 3 4 6" xfId="16930" xr:uid="{542DA04C-734F-4135-8190-1DDECD2CDA00}"/>
    <cellStyle name="Migliaia 7 3 4 7" xfId="7714" xr:uid="{5F2C1F4C-CA46-4F47-BAB7-96FC03B5E5DA}"/>
    <cellStyle name="Migliaia 7 3 5" xfId="4041" xr:uid="{8AFF810F-FF20-48D0-9403-B4C4BD1B873E}"/>
    <cellStyle name="Migliaia 7 3 5 2" xfId="5767" xr:uid="{9B8F1404-B125-41F3-8C79-BF58551CEA0C}"/>
    <cellStyle name="Migliaia 7 3 5 2 2" xfId="35532" xr:uid="{8AB7F7C4-10CF-4EC6-8C96-6C88FBC826AE}"/>
    <cellStyle name="Migliaia 7 3 5 2 2 2" xfId="40692" xr:uid="{A4C21D09-CAF3-4602-91FB-4C69B3B1919E}"/>
    <cellStyle name="Migliaia 7 3 5 2 2 3" xfId="45994" xr:uid="{D5EE4060-ADFB-43E6-9F60-48B9FD02CECC}"/>
    <cellStyle name="Migliaia 7 3 5 2 3" xfId="38041" xr:uid="{D24C5A5D-D7F6-4E74-8D59-DD325ED4FE5B}"/>
    <cellStyle name="Migliaia 7 3 5 2 4" xfId="43343" xr:uid="{604B0F48-EE26-4DB4-A735-DC1AE2A22842}"/>
    <cellStyle name="Migliaia 7 3 5 2 5" xfId="14355" xr:uid="{0BAB9655-9E72-44CF-8899-566D0A35F98D}"/>
    <cellStyle name="Migliaia 7 3 5 3" xfId="6933" xr:uid="{9D989CE6-4BD3-41ED-B5D0-3C3B96A43034}"/>
    <cellStyle name="Migliaia 7 3 5 3 2" xfId="34936" xr:uid="{F979A7B7-5EF3-4A82-A766-71F64BFD334F}"/>
    <cellStyle name="Migliaia 7 3 5 3 3" xfId="21181" xr:uid="{47261A4D-8045-4159-90CF-C02E382EC933}"/>
    <cellStyle name="Migliaia 7 3 5 4" xfId="25735" xr:uid="{F65B540E-88FF-4352-ABA8-A4729D3D4263}"/>
    <cellStyle name="Migliaia 7 3 5 5" xfId="16932" xr:uid="{7286EE64-0545-4882-BC94-DE58CAA562C0}"/>
    <cellStyle name="Migliaia 7 3 5 6" xfId="8417" xr:uid="{DF484419-54B5-4B2D-AD1A-FB850ED279DE}"/>
    <cellStyle name="Migliaia 7 3 6" xfId="5762" xr:uid="{C437E233-4560-4CFE-A604-096AE3089A83}"/>
    <cellStyle name="Migliaia 7 3 6 2" xfId="14060" xr:uid="{1D07E5C2-BB00-4728-B308-6B680BE7B667}"/>
    <cellStyle name="Migliaia 7 3 6 2 2" xfId="34937" xr:uid="{2FFFC310-F243-42C7-806F-E0BE5EFB626D}"/>
    <cellStyle name="Migliaia 7 3 6 3" xfId="18599" xr:uid="{ACB9E28A-A7B3-4580-9E2C-F2909A630F55}"/>
    <cellStyle name="Migliaia 7 3 6 4" xfId="21182" xr:uid="{3ED80A40-9F06-43A2-B25D-B3F688153929}"/>
    <cellStyle name="Migliaia 7 3 6 5" xfId="25736" xr:uid="{732626AC-A86B-463F-AC48-AE2238B34A57}"/>
    <cellStyle name="Migliaia 7 3 6 6" xfId="16933" xr:uid="{B284ECE5-26BD-429F-9896-F132CD493E44}"/>
    <cellStyle name="Migliaia 7 3 6 7" xfId="8056" xr:uid="{265032EB-3DDC-4BAE-8316-84A5AA5A449B}"/>
    <cellStyle name="Migliaia 7 3 7" xfId="6928" xr:uid="{D6053B9C-72F6-4438-8894-97705D338C55}"/>
    <cellStyle name="Migliaia 7 3 7 2" xfId="34938" xr:uid="{C40536E3-C5EB-4C1D-8DC0-7AB4ED8FA353}"/>
    <cellStyle name="Migliaia 7 3 7 3" xfId="25737" xr:uid="{EB8306FC-212E-4B14-987F-1CE84C5CD2F0}"/>
    <cellStyle name="Migliaia 7 3 7 4" xfId="11215" xr:uid="{F4AE3AF8-6746-421D-AAB5-A362B84859C0}"/>
    <cellStyle name="Migliaia 7 3 8" xfId="4036" xr:uid="{D7676ACD-2BE0-4B74-95B3-F2F384CED63A}"/>
    <cellStyle name="Migliaia 7 3 8 2" xfId="34939" xr:uid="{36C0576D-9293-4343-8B42-5965193BE881}"/>
    <cellStyle name="Migliaia 7 3 8 3" xfId="25738" xr:uid="{A74ACDE5-AFB7-4DD0-AD3D-7C10CA8C2F99}"/>
    <cellStyle name="Migliaia 7 3 8 4" xfId="17075" xr:uid="{7E5CFBA7-E653-4B6D-A471-8445142D907B}"/>
    <cellStyle name="Migliaia 7 3 9" xfId="21173" xr:uid="{F1DF6389-1175-4487-B06C-CE7DA86C599C}"/>
    <cellStyle name="Migliaia 7 3 9 2" xfId="34922" xr:uid="{9B70D1FC-DA35-48E4-9424-ABDD1949DF34}"/>
    <cellStyle name="Migliaia 7 4" xfId="1948" xr:uid="{00000000-0005-0000-0000-0000CF040000}"/>
    <cellStyle name="Migliaia 7 4 10" xfId="7642" xr:uid="{284967FE-0B41-4D4A-B1C2-56B833070650}"/>
    <cellStyle name="Migliaia 7 4 2" xfId="1949" xr:uid="{00000000-0005-0000-0000-0000D0040000}"/>
    <cellStyle name="Migliaia 7 4 2 2" xfId="5769" xr:uid="{BCC4ADDC-E696-4619-9C43-5BEF7B9B1A5C}"/>
    <cellStyle name="Migliaia 7 4 2 2 2" xfId="34942" xr:uid="{24A19BAA-0F0B-44A8-B1E3-BD388C38FD9F}"/>
    <cellStyle name="Migliaia 7 4 2 2 3" xfId="25741" xr:uid="{00F8939D-4D52-442A-941F-1F311B439070}"/>
    <cellStyle name="Migliaia 7 4 2 2 4" xfId="9224" xr:uid="{E0D91B60-6609-4275-9876-DE8D46B21805}"/>
    <cellStyle name="Migliaia 7 4 2 3" xfId="4043" xr:uid="{45C78FEA-24A0-4636-B85D-9D9682CD9342}"/>
    <cellStyle name="Migliaia 7 4 2 3 2" xfId="34943" xr:uid="{FD327BFA-FBCC-49CF-9907-9D9FCBA09AEF}"/>
    <cellStyle name="Migliaia 7 4 2 3 3" xfId="25742" xr:uid="{66273B2F-C2EC-4D2A-B186-B838A3E47B33}"/>
    <cellStyle name="Migliaia 7 4 2 3 4" xfId="12121" xr:uid="{4A44E759-3680-4FB1-AD71-1A18A63FB42A}"/>
    <cellStyle name="Migliaia 7 4 2 4" xfId="11474" xr:uid="{44091CC9-3356-414E-9EE5-5805FB802B1D}"/>
    <cellStyle name="Migliaia 7 4 2 4 2" xfId="34941" xr:uid="{71E2EFD0-A01C-4738-BB9D-0F39B7607823}"/>
    <cellStyle name="Migliaia 7 4 2 5" xfId="11026" xr:uid="{7F30082E-B710-4294-8F4A-F165C0AB2CD8}"/>
    <cellStyle name="Migliaia 7 4 2 5 2" xfId="21661" xr:uid="{A8713343-CF08-43BB-8DC4-E7C0E41C586B}"/>
    <cellStyle name="Migliaia 7 4 2 5 3" xfId="47906" xr:uid="{6935B14C-E0A5-458B-BFF3-3AAA574E2782}"/>
    <cellStyle name="Migliaia 7 4 2 5 4" xfId="50676" xr:uid="{341016E2-309D-4741-94DD-439775693639}"/>
    <cellStyle name="Migliaia 7 4 2 5 5" xfId="53692" xr:uid="{01761FC6-AD14-45BE-BE68-5E764F467EA6}"/>
    <cellStyle name="Migliaia 7 4 2 6" xfId="21184" xr:uid="{C1563589-507A-444D-B015-23C04AE28118}"/>
    <cellStyle name="Migliaia 7 4 2 7" xfId="25740" xr:uid="{09CB849A-A4EB-4046-902E-EF02E1070207}"/>
    <cellStyle name="Migliaia 7 4 2 8" xfId="8832" xr:uid="{CA0200E7-161F-4309-8673-A6D16D9404DE}"/>
    <cellStyle name="Migliaia 7 4 3" xfId="5768" xr:uid="{835577E3-A207-477A-8D61-CDF29FE2CF12}"/>
    <cellStyle name="Migliaia 7 4 3 2" xfId="18279" xr:uid="{3919C56D-05D8-4D8C-9056-56D65E2A9B82}"/>
    <cellStyle name="Migliaia 7 4 3 2 2" xfId="34944" xr:uid="{BD630D7A-79E0-4CB9-8B60-F54BCEFEF6AF}"/>
    <cellStyle name="Migliaia 7 4 3 3" xfId="25743" xr:uid="{382B86CB-EB01-451A-B2D0-872D8AEFCC6E}"/>
    <cellStyle name="Migliaia 7 4 3 4" xfId="17073" xr:uid="{30857EB3-17F6-47C5-AADA-930ABF2E6BE6}"/>
    <cellStyle name="Migliaia 7 4 3 5" xfId="9225" xr:uid="{2FB9A5FE-A2BD-48D4-9AC2-F2BFFC35F869}"/>
    <cellStyle name="Migliaia 7 4 4" xfId="6934" xr:uid="{4736DBD1-8E8B-4099-BBBA-7F65146D4C5A}"/>
    <cellStyle name="Migliaia 7 4 4 2" xfId="34945" xr:uid="{B66D6F01-CCF9-40B3-BC9B-9D10A94AFE7A}"/>
    <cellStyle name="Migliaia 7 4 4 3" xfId="25744" xr:uid="{72D6DCA4-79C7-4F41-BB16-382D40323FDA}"/>
    <cellStyle name="Migliaia 7 4 4 4" xfId="12122" xr:uid="{36EC17CA-E8DA-42C7-962D-B501FF63D8BF}"/>
    <cellStyle name="Migliaia 7 4 5" xfId="4042" xr:uid="{A0FB0745-B555-42F7-9AC1-EF73EB14644A}"/>
    <cellStyle name="Migliaia 7 4 5 2" xfId="34946" xr:uid="{6184CCE0-8887-421F-A1D7-AAD1CD1155B9}"/>
    <cellStyle name="Migliaia 7 4 5 3" xfId="25745" xr:uid="{4A791A04-8413-4C2A-96B0-7477894E610D}"/>
    <cellStyle name="Migliaia 7 4 5 4" xfId="11473" xr:uid="{B48AF800-BF15-479C-BBAB-D569F07A0813}"/>
    <cellStyle name="Migliaia 7 4 6" xfId="11025" xr:uid="{3FF9851A-2570-4765-B21D-6CC5C4D282EF}"/>
    <cellStyle name="Migliaia 7 4 6 2" xfId="21660" xr:uid="{BE55732C-FE70-44B1-9CCC-9754B8BA345C}"/>
    <cellStyle name="Migliaia 7 4 6 2 2" xfId="34947" xr:uid="{C95C3BFA-7057-478F-832A-7DC8ECC80F6A}"/>
    <cellStyle name="Migliaia 7 4 6 3" xfId="25746" xr:uid="{615CBBC9-7310-4D53-B0D2-4479D5284AC0}"/>
    <cellStyle name="Migliaia 7 4 6 4" xfId="48548" xr:uid="{DF142C3C-7347-4F66-A5DE-D11554943DFC}"/>
    <cellStyle name="Migliaia 7 4 6 5" xfId="48918" xr:uid="{A17D265A-909F-4F80-9975-CE0D277E0D5E}"/>
    <cellStyle name="Migliaia 7 4 6 6" xfId="50675" xr:uid="{A90BB730-DDD1-4F17-A225-9DBCB2555F45}"/>
    <cellStyle name="Migliaia 7 4 6 7" xfId="53691" xr:uid="{1FFBEC8D-0123-4BAF-8922-9A9C26721AFE}"/>
    <cellStyle name="Migliaia 7 4 7" xfId="21183" xr:uid="{6DF9D8E7-B1F9-4647-BA1C-D168040BFE45}"/>
    <cellStyle name="Migliaia 7 4 7 2" xfId="34948" xr:uid="{5AF1FFBA-600D-4CB9-ACC8-B09D3BB0B6E5}"/>
    <cellStyle name="Migliaia 7 4 7 3" xfId="25747" xr:uid="{5BD4A82C-F5B7-44C7-807D-533711C881C6}"/>
    <cellStyle name="Migliaia 7 4 8" xfId="34940" xr:uid="{CC5DB62B-5A21-48AB-8B14-3550B9827287}"/>
    <cellStyle name="Migliaia 7 4 9" xfId="25739" xr:uid="{924E559B-857D-4D43-932F-5AC33F3B9DA4}"/>
    <cellStyle name="Migliaia 7 5" xfId="1950" xr:uid="{00000000-0005-0000-0000-0000D1040000}"/>
    <cellStyle name="Migliaia 7 5 2" xfId="5770" xr:uid="{002632B1-AB3C-4763-9AAF-83AA2D4BEB81}"/>
    <cellStyle name="Migliaia 7 5 2 2" xfId="18538" xr:uid="{DA575B2F-5F7A-4240-AF6E-AA6D316B2F61}"/>
    <cellStyle name="Migliaia 7 5 2 2 2" xfId="34950" xr:uid="{CE367DD4-8EF1-4308-A4FE-7AD69CC2F5BF}"/>
    <cellStyle name="Migliaia 7 5 2 3" xfId="21186" xr:uid="{84546DF0-23A7-426F-ABD8-56BE641DCD71}"/>
    <cellStyle name="Migliaia 7 5 2 4" xfId="25749" xr:uid="{69159985-0868-4659-B986-FC193B2E950D}"/>
    <cellStyle name="Migliaia 7 5 2 5" xfId="16934" xr:uid="{E896F8FB-FC1C-4BD3-9344-517F1DCDCB20}"/>
    <cellStyle name="Migliaia 7 5 2 6" xfId="8833" xr:uid="{E7092D9C-9F64-4E2F-B624-016CC0937387}"/>
    <cellStyle name="Migliaia 7 5 3" xfId="6935" xr:uid="{E1918868-936D-42BD-ADC3-E03688033D38}"/>
    <cellStyle name="Migliaia 7 5 3 2" xfId="34951" xr:uid="{BC16B10C-3593-49B2-84C7-B52FA1470FAB}"/>
    <cellStyle name="Migliaia 7 5 3 3" xfId="25750" xr:uid="{AFB8E326-B577-41C5-9B35-9AEA0B919216}"/>
    <cellStyle name="Migliaia 7 5 3 4" xfId="11475" xr:uid="{43CC46CF-0AF2-4AC5-A6CA-B9DE8F51EF09}"/>
    <cellStyle name="Migliaia 7 5 4" xfId="4044" xr:uid="{21AAB6AF-FB95-48C8-B2DC-F45D4F66FDFC}"/>
    <cellStyle name="Migliaia 7 5 4 2" xfId="21662" xr:uid="{6E0E003C-E758-4D57-9A18-5D9E63DC274F}"/>
    <cellStyle name="Migliaia 7 5 4 2 2" xfId="34952" xr:uid="{03E0FBF9-BE62-4E9E-B424-825126A8D3EC}"/>
    <cellStyle name="Migliaia 7 5 4 3" xfId="25751" xr:uid="{74C6DC52-C657-4A7B-A317-1C4E97388D41}"/>
    <cellStyle name="Migliaia 7 5 4 4" xfId="46264" xr:uid="{14574FD1-34C2-41EC-BDFC-4C5B9638BFF7}"/>
    <cellStyle name="Migliaia 7 5 4 5" xfId="48919" xr:uid="{22740228-D9A4-4734-8294-7B9E9C598C4A}"/>
    <cellStyle name="Migliaia 7 5 4 6" xfId="50677" xr:uid="{4DF1BFF5-2DF8-4A39-AE8D-29117C45CCCA}"/>
    <cellStyle name="Migliaia 7 5 4 7" xfId="53693" xr:uid="{0EFD0C76-6F65-4813-9D55-62744F98EF79}"/>
    <cellStyle name="Migliaia 7 5 4 8" xfId="11027" xr:uid="{009AB03B-D2A2-4355-83BE-4DBFFE75C5B8}"/>
    <cellStyle name="Migliaia 7 5 5" xfId="21185" xr:uid="{453A0D02-D55B-4B9F-80C9-E8A42AF9691C}"/>
    <cellStyle name="Migliaia 7 5 5 2" xfId="34953" xr:uid="{F005D585-9805-4CB1-947E-8ECF8029C2FE}"/>
    <cellStyle name="Migliaia 7 5 5 3" xfId="25752" xr:uid="{8AEED573-F762-4F96-B1A1-C8C8C808A048}"/>
    <cellStyle name="Migliaia 7 5 5 4" xfId="48920" xr:uid="{6ADE10FD-F72F-4EA5-871B-E3C953DC9896}"/>
    <cellStyle name="Migliaia 7 5 6" xfId="25753" xr:uid="{C1CDD871-87C2-4980-B9FA-8587C4A405D1}"/>
    <cellStyle name="Migliaia 7 5 6 2" xfId="34954" xr:uid="{600B85E5-304A-4749-998F-5AC2B3AA7945}"/>
    <cellStyle name="Migliaia 7 5 7" xfId="34949" xr:uid="{D515311B-4708-411D-BB27-D9CADE3DA4DD}"/>
    <cellStyle name="Migliaia 7 5 8" xfId="25748" xr:uid="{17E8AC3B-69CF-40B0-AADC-ACEC150D9D46}"/>
    <cellStyle name="Migliaia 7 5 9" xfId="7643" xr:uid="{3C254E8D-60D2-40B1-9A9B-4ADA5FD707E9}"/>
    <cellStyle name="Migliaia 7 6" xfId="4045" xr:uid="{45BB8103-A4D4-4395-A6DB-7E049D78584A}"/>
    <cellStyle name="Migliaia 7 6 2" xfId="5771" xr:uid="{4BD32CA3-F614-465A-B6B3-B55EEE94ABF5}"/>
    <cellStyle name="Migliaia 7 6 2 2" xfId="9997" xr:uid="{5E7C17FA-765A-459A-8C57-FF3727870481}"/>
    <cellStyle name="Migliaia 7 6 2 3" xfId="18595" xr:uid="{B599FE21-6715-4D97-AB6C-18EA81DA7013}"/>
    <cellStyle name="Migliaia 7 6 2 4" xfId="21188" xr:uid="{AFD70CFF-C79E-48DF-B8CB-E4B6318CF35F}"/>
    <cellStyle name="Migliaia 7 6 2 5" xfId="32492" xr:uid="{5D7CA130-0BEE-46EE-925C-126864B1BB3B}"/>
    <cellStyle name="Migliaia 7 6 2 6" xfId="16936" xr:uid="{B6E23629-2D5C-46B2-AEB5-139AF4179221}"/>
    <cellStyle name="Migliaia 7 6 2 7" xfId="8828" xr:uid="{6198FC9B-B19F-4CA5-BC49-50D20102BF3A}"/>
    <cellStyle name="Migliaia 7 6 3" xfId="6936" xr:uid="{0BA02215-AA6A-4C63-A68E-AD1425C93165}"/>
    <cellStyle name="Migliaia 7 6 3 2" xfId="35533" xr:uid="{86E12278-0EB6-4E79-954B-B0AECE035711}"/>
    <cellStyle name="Migliaia 7 6 3 2 2" xfId="40693" xr:uid="{A7474291-6CEF-4122-823C-F5EAF1ED428E}"/>
    <cellStyle name="Migliaia 7 6 3 2 3" xfId="45995" xr:uid="{244610C2-2D01-43DD-88B3-BBABF2B2AE6F}"/>
    <cellStyle name="Migliaia 7 6 3 3" xfId="38042" xr:uid="{A1076FC8-2347-486E-A2A3-6632D0E15748}"/>
    <cellStyle name="Migliaia 7 6 3 4" xfId="43344" xr:uid="{EAE472A8-8864-40E1-A58B-AF33716BE2ED}"/>
    <cellStyle name="Migliaia 7 6 3 5" xfId="9760" xr:uid="{CF0FFDDB-8C89-4660-A3F4-5B5E215A84E0}"/>
    <cellStyle name="Migliaia 7 6 4" xfId="21187" xr:uid="{F0190793-A242-4EC5-9678-E2394A3A5E15}"/>
    <cellStyle name="Migliaia 7 6 4 2" xfId="34955" xr:uid="{911B7BF8-4663-48A5-A3C9-BF7010250663}"/>
    <cellStyle name="Migliaia 7 6 5" xfId="25754" xr:uid="{1499B7D7-45D5-4E79-87C0-D36789E71B95}"/>
    <cellStyle name="Migliaia 7 6 6" xfId="16935" xr:uid="{2D7D882C-FF51-42E1-A6CF-2E1DEAC1F851}"/>
    <cellStyle name="Migliaia 7 6 7" xfId="7638" xr:uid="{258A1440-E529-4DAB-B0E9-1D4603F7DC00}"/>
    <cellStyle name="Migliaia 7 7" xfId="4046" xr:uid="{058B7C75-986B-4938-B9E1-BE8704A6BE63}"/>
    <cellStyle name="Migliaia 7 7 2" xfId="5772" xr:uid="{6C317DA2-D567-416A-99E9-5FF5B1EE2107}"/>
    <cellStyle name="Migliaia 7 7 2 2" xfId="35534" xr:uid="{28155C86-2A9E-486F-8077-B4BD662DB4E0}"/>
    <cellStyle name="Migliaia 7 7 2 2 2" xfId="40694" xr:uid="{029FC0A9-5D4C-4DEF-9068-D1D3E02F25AE}"/>
    <cellStyle name="Migliaia 7 7 2 2 3" xfId="45996" xr:uid="{3312E757-DECB-4A01-A357-7CC368A908D8}"/>
    <cellStyle name="Migliaia 7 7 2 3" xfId="38043" xr:uid="{54A65956-BA24-41C1-AAF7-25BBB4AB129D}"/>
    <cellStyle name="Migliaia 7 7 2 4" xfId="43345" xr:uid="{9569C81E-C5A2-412A-8E75-5C25DB459EB7}"/>
    <cellStyle name="Migliaia 7 7 2 5" xfId="14353" xr:uid="{06A2E369-68E3-429F-B839-C87BAD92C42B}"/>
    <cellStyle name="Migliaia 7 7 3" xfId="6937" xr:uid="{CD139268-3FE5-4F21-9C06-770ED01198AA}"/>
    <cellStyle name="Migliaia 7 7 3 2" xfId="34956" xr:uid="{DF56AF27-A215-4FB7-B018-DDA4BB585F70}"/>
    <cellStyle name="Migliaia 7 7 3 3" xfId="21189" xr:uid="{4C885129-53E6-4108-8BBC-E3C8B2344961}"/>
    <cellStyle name="Migliaia 7 7 4" xfId="25755" xr:uid="{0BCCB46E-BC69-4BF4-9DD7-74A6847CB45A}"/>
    <cellStyle name="Migliaia 7 7 5" xfId="16937" xr:uid="{F0821808-1FA4-464E-9D62-25C2DEBF8AFB}"/>
    <cellStyle name="Migliaia 7 7 6" xfId="8415" xr:uid="{9FB96027-CE29-4AF2-84F4-3C5399D1035A}"/>
    <cellStyle name="Migliaia 7 8" xfId="4047" xr:uid="{F291C5A0-E741-4085-896E-912335925A81}"/>
    <cellStyle name="Migliaia 7 8 2" xfId="5773" xr:uid="{004F08B0-91AA-44ED-8854-E2372DEC676E}"/>
    <cellStyle name="Migliaia 7 8 2 2" xfId="35535" xr:uid="{24C76989-F0D7-41A1-B1FB-FA705A65931C}"/>
    <cellStyle name="Migliaia 7 8 2 2 2" xfId="40695" xr:uid="{17E352E7-AD7D-4B9C-9E99-B44CA8E3BB7F}"/>
    <cellStyle name="Migliaia 7 8 2 2 3" xfId="45997" xr:uid="{1BE283D3-4C76-45B4-A161-5BF4E6476105}"/>
    <cellStyle name="Migliaia 7 8 2 3" xfId="38044" xr:uid="{8D4F9F3A-1D40-4DE6-944C-12F88AFD8382}"/>
    <cellStyle name="Migliaia 7 8 2 4" xfId="43346" xr:uid="{395FF946-4E21-4594-A3C1-1AB21939C2C9}"/>
    <cellStyle name="Migliaia 7 8 2 5" xfId="14058" xr:uid="{FFA990BE-07D1-4DDA-8881-71C29DDB791D}"/>
    <cellStyle name="Migliaia 7 8 3" xfId="6938" xr:uid="{2753721D-0928-4BF5-BD70-305E454C310F}"/>
    <cellStyle name="Migliaia 7 8 3 2" xfId="34957" xr:uid="{ABA3F3E6-35C9-4E5F-A82B-7E19F9DF8171}"/>
    <cellStyle name="Migliaia 7 8 3 3" xfId="21190" xr:uid="{70E8B24A-76F9-4BD1-AC28-409631F7F1DF}"/>
    <cellStyle name="Migliaia 7 8 4" xfId="25756" xr:uid="{EB367DC2-954B-4C2B-8E84-409AC2EA5EFA}"/>
    <cellStyle name="Migliaia 7 8 5" xfId="16938" xr:uid="{5F0F7160-27BD-4683-944C-A297426CB7B2}"/>
    <cellStyle name="Migliaia 7 8 6" xfId="8054" xr:uid="{0C4F2ED1-9B18-4B0A-85CF-747FA6AAA39E}"/>
    <cellStyle name="Migliaia 7 9" xfId="5758" xr:uid="{9AF9A528-99A9-4B7B-B9D0-CC06B09BAFA3}"/>
    <cellStyle name="Migliaia 7 9 2" xfId="34958" xr:uid="{FF9C768C-3D40-4CF8-859D-2E3D17C0A253}"/>
    <cellStyle name="Migliaia 7 9 3" xfId="25757" xr:uid="{152AE709-4FB2-45BC-94BD-CFC6268431B4}"/>
    <cellStyle name="Migliaia 7 9 4" xfId="17251" xr:uid="{7AC3B4D5-7E2B-4A73-A0E5-6D4BA410962A}"/>
    <cellStyle name="Migliaia 8" xfId="537" xr:uid="{00000000-0005-0000-0000-0000D2040000}"/>
    <cellStyle name="Migliaia 8 10" xfId="6939" xr:uid="{42732290-0D34-4357-9908-9669684615F5}"/>
    <cellStyle name="Migliaia 8 10 2" xfId="34959" xr:uid="{97FF1AD0-1DEE-48DE-A923-F0945546FE65}"/>
    <cellStyle name="Migliaia 8 10 3" xfId="21191" xr:uid="{EA2926A8-C077-4B08-8B95-5EB000440649}"/>
    <cellStyle name="Migliaia 8 11" xfId="4048" xr:uid="{EA5BE971-B2A5-4A9F-B3AD-9A906962C9A3}"/>
    <cellStyle name="Migliaia 8 11 2" xfId="25758" xr:uid="{40796EEC-28B1-49F6-B71B-0060EAD5195C}"/>
    <cellStyle name="Migliaia 8 12" xfId="7219" xr:uid="{D7CE8AD6-921F-4827-82C0-F01608A57CB6}"/>
    <cellStyle name="Migliaia 8 2" xfId="538" xr:uid="{00000000-0005-0000-0000-0000D3040000}"/>
    <cellStyle name="Migliaia 8 2 2" xfId="1951" xr:uid="{00000000-0005-0000-0000-0000D4040000}"/>
    <cellStyle name="Migliaia 8 2 2 2" xfId="5776" xr:uid="{198B8A53-891D-4DDE-8E39-BB5502252E55}"/>
    <cellStyle name="Migliaia 8 2 2 2 2" xfId="14422" xr:uid="{12CF2505-BF82-44C8-BA47-C8517906CE16}"/>
    <cellStyle name="Migliaia 8 2 2 2 2 2" xfId="34962" xr:uid="{07DA104F-9186-45F0-B44F-9E6F5385A15F}"/>
    <cellStyle name="Migliaia 8 2 2 2 3" xfId="18539" xr:uid="{E1BBE52F-F986-4B6D-9367-53AF1390E367}"/>
    <cellStyle name="Migliaia 8 2 2 2 4" xfId="21194" xr:uid="{FD7CCBE3-68D6-41B9-AF29-418E9BDD6FD3}"/>
    <cellStyle name="Migliaia 8 2 2 2 5" xfId="25761" xr:uid="{7B7CFC36-90C9-43F6-BC3E-B5F420ED3C0A}"/>
    <cellStyle name="Migliaia 8 2 2 2 6" xfId="16939" xr:uid="{1F431CE6-C7CD-490D-86F6-C0BF2AF118CB}"/>
    <cellStyle name="Migliaia 8 2 2 2 7" xfId="8835" xr:uid="{FBBBA0CB-DBFE-4CA2-A6A4-23934874F94C}"/>
    <cellStyle name="Migliaia 8 2 2 3" xfId="6941" xr:uid="{FF03437A-E241-474D-812F-59A357D88991}"/>
    <cellStyle name="Migliaia 8 2 2 3 2" xfId="35536" xr:uid="{2F982680-DB82-46CD-8BE5-2983F30CC054}"/>
    <cellStyle name="Migliaia 8 2 2 3 2 2" xfId="40696" xr:uid="{6F4A6449-8D41-4527-B760-828F8B5D50EB}"/>
    <cellStyle name="Migliaia 8 2 2 3 2 3" xfId="45998" xr:uid="{01804738-BAE4-42F2-9436-AE6F18AB04FA}"/>
    <cellStyle name="Migliaia 8 2 2 3 3" xfId="38045" xr:uid="{7BC83EA9-BE9B-4B64-8893-05715BC82644}"/>
    <cellStyle name="Migliaia 8 2 2 3 4" xfId="43347" xr:uid="{D7B37A79-3D5A-46AD-A26F-48F95B6F32F5}"/>
    <cellStyle name="Migliaia 8 2 2 3 5" xfId="11649" xr:uid="{D76FD867-4E42-4D25-9EE9-1C0FA63A858E}"/>
    <cellStyle name="Migliaia 8 2 2 4" xfId="4050" xr:uid="{C2966A30-CD7C-456B-8769-64314EC554C8}"/>
    <cellStyle name="Migliaia 8 2 2 4 2" xfId="21663" xr:uid="{05A6A728-AA0B-4A4D-89D2-24B725A94988}"/>
    <cellStyle name="Migliaia 8 2 2 4 3" xfId="34961" xr:uid="{BB947804-C4C3-4FB3-8DA4-ADEAFD67178C}"/>
    <cellStyle name="Migliaia 8 2 2 4 4" xfId="47005" xr:uid="{AE484FE4-737A-44DB-8285-0EA18C8CCDB6}"/>
    <cellStyle name="Migliaia 8 2 2 4 5" xfId="50678" xr:uid="{707290C9-A8D5-4F4E-B3CD-A96FD53A2CB2}"/>
    <cellStyle name="Migliaia 8 2 2 4 6" xfId="53694" xr:uid="{D03216C8-59DF-40D3-9666-915B83B1642D}"/>
    <cellStyle name="Migliaia 8 2 2 4 7" xfId="11028" xr:uid="{5B9FCB7A-A04C-44C0-BAE3-26BD264CC325}"/>
    <cellStyle name="Migliaia 8 2 2 5" xfId="21193" xr:uid="{D7C1AB24-293A-4C3E-9A76-7F48C922DC45}"/>
    <cellStyle name="Migliaia 8 2 2 6" xfId="25760" xr:uid="{63BF5A05-7A34-4A9A-99E2-AC285A8A5A6E}"/>
    <cellStyle name="Migliaia 8 2 2 7" xfId="7645" xr:uid="{AA767F48-493E-4C6A-87F3-6B8A750E6737}"/>
    <cellStyle name="Migliaia 8 2 3" xfId="4051" xr:uid="{19546196-290B-454C-BC62-71CA7E0989AE}"/>
    <cellStyle name="Migliaia 8 2 3 2" xfId="5777" xr:uid="{64BF85C6-DEB6-4A51-82CF-EDD32F712F22}"/>
    <cellStyle name="Migliaia 8 2 3 2 2" xfId="35537" xr:uid="{0929C6B6-953F-40A7-90DB-352209843457}"/>
    <cellStyle name="Migliaia 8 2 3 2 2 2" xfId="40697" xr:uid="{FDF9D135-E20E-4633-9F90-E247EE1FCC9B}"/>
    <cellStyle name="Migliaia 8 2 3 2 2 3" xfId="45999" xr:uid="{240456D9-A8EC-4FF5-A965-68C4F7476228}"/>
    <cellStyle name="Migliaia 8 2 3 2 3" xfId="38046" xr:uid="{188CA09B-8CEC-46C9-9159-EC85BD5D9230}"/>
    <cellStyle name="Migliaia 8 2 3 2 4" xfId="43348" xr:uid="{5D8F6450-C253-49A4-8705-6C4E75EB950C}"/>
    <cellStyle name="Migliaia 8 2 3 2 5" xfId="14357" xr:uid="{E2A45D1B-7411-4DC9-B3E5-30129F61D35A}"/>
    <cellStyle name="Migliaia 8 2 3 3" xfId="6942" xr:uid="{6976F27C-3C6B-41B5-939D-016EC96E0C2F}"/>
    <cellStyle name="Migliaia 8 2 3 3 2" xfId="34963" xr:uid="{62A4533D-E8F3-436E-AE46-8366096C6460}"/>
    <cellStyle name="Migliaia 8 2 3 3 3" xfId="21195" xr:uid="{394D8066-A88F-422D-8780-4093C55FC656}"/>
    <cellStyle name="Migliaia 8 2 3 4" xfId="25762" xr:uid="{625BD244-2EEB-4216-931E-0811D2754835}"/>
    <cellStyle name="Migliaia 8 2 3 5" xfId="16940" xr:uid="{0593F4FF-32A1-44A3-ACEE-EA6D5D0CD5E7}"/>
    <cellStyle name="Migliaia 8 2 3 6" xfId="8419" xr:uid="{E62DF4EB-C590-48B6-9108-6D0EE3917EEB}"/>
    <cellStyle name="Migliaia 8 2 4" xfId="5775" xr:uid="{A4B6968D-67E5-4C3E-B48F-38F3188C867D}"/>
    <cellStyle name="Migliaia 8 2 4 2" xfId="14062" xr:uid="{85017906-7861-491D-B9D6-334D309A4C01}"/>
    <cellStyle name="Migliaia 8 2 4 2 2" xfId="34964" xr:uid="{8DE16B60-B52F-4578-96AA-4B95EC6EADDE}"/>
    <cellStyle name="Migliaia 8 2 4 3" xfId="18029" xr:uid="{8A828822-E85C-459A-9C63-BDAFC85567CA}"/>
    <cellStyle name="Migliaia 8 2 4 4" xfId="21196" xr:uid="{A6B6B66E-EAA4-456C-B336-DCC7D8E4B952}"/>
    <cellStyle name="Migliaia 8 2 4 5" xfId="25763" xr:uid="{B170C743-1362-445D-8A35-82A54DEBE15B}"/>
    <cellStyle name="Migliaia 8 2 4 6" xfId="16941" xr:uid="{9590949A-A1F9-42C6-A6EC-2F31E552C71E}"/>
    <cellStyle name="Migliaia 8 2 4 7" xfId="8059" xr:uid="{559063F2-C089-4B0C-8666-3BC1F6A49341}"/>
    <cellStyle name="Migliaia 8 2 5" xfId="6940" xr:uid="{3CB1A946-BB27-429D-8F93-4F0C709B34FE}"/>
    <cellStyle name="Migliaia 8 2 5 2" xfId="34965" xr:uid="{F6EBFDA8-D477-4A06-BD73-BECFD2110F49}"/>
    <cellStyle name="Migliaia 8 2 5 3" xfId="25764" xr:uid="{7FF3C799-B044-4124-BDF8-C4C8BBEE99A5}"/>
    <cellStyle name="Migliaia 8 2 5 4" xfId="13162" xr:uid="{74BEBB57-1656-4A27-B31C-4611A9108068}"/>
    <cellStyle name="Migliaia 8 2 6" xfId="4049" xr:uid="{2412CB90-CD2D-470C-B126-6D85C0B70FA8}"/>
    <cellStyle name="Migliaia 8 2 6 2" xfId="34966" xr:uid="{D26DBAB2-6094-4E76-911D-620F1CB913BD}"/>
    <cellStyle name="Migliaia 8 2 6 3" xfId="25765" xr:uid="{C4F29345-5659-4862-A1B9-B1CF9E2C5F20}"/>
    <cellStyle name="Migliaia 8 2 6 4" xfId="21192" xr:uid="{4047F0C5-5D77-48D0-85A9-757F55FA5914}"/>
    <cellStyle name="Migliaia 8 2 7" xfId="34960" xr:uid="{9CB62C5F-F38E-4BE5-BA3E-2F2367F7AC36}"/>
    <cellStyle name="Migliaia 8 2 8" xfId="25759" xr:uid="{78F643CA-8339-41F3-A8D6-D2060F0213B8}"/>
    <cellStyle name="Migliaia 8 2 9" xfId="7220" xr:uid="{2FFC127C-AA39-4ECF-9D88-4E116260E83D}"/>
    <cellStyle name="Migliaia 8 3" xfId="539" xr:uid="{00000000-0005-0000-0000-0000D5040000}"/>
    <cellStyle name="Migliaia 8 3 10" xfId="25766" xr:uid="{2EF97081-129A-415A-928D-987CD9E85904}"/>
    <cellStyle name="Migliaia 8 3 11" xfId="16942" xr:uid="{BE2ED227-A80D-49F5-A246-8D285FB63088}"/>
    <cellStyle name="Migliaia 8 3 12" xfId="7221" xr:uid="{9A7D0293-8212-40DF-B3EC-30CC41466FE8}"/>
    <cellStyle name="Migliaia 8 3 2" xfId="540" xr:uid="{00000000-0005-0000-0000-0000D6040000}"/>
    <cellStyle name="Migliaia 8 3 2 2" xfId="1952" xr:uid="{00000000-0005-0000-0000-0000D7040000}"/>
    <cellStyle name="Migliaia 8 3 2 2 2" xfId="5780" xr:uid="{55476D72-608F-4B23-A911-953C4EE76FA3}"/>
    <cellStyle name="Migliaia 8 3 2 2 2 2" xfId="18540" xr:uid="{EC502423-BE99-4EB2-81A7-45D12B118235}"/>
    <cellStyle name="Migliaia 8 3 2 2 2 2 2" xfId="21900" xr:uid="{A9419A82-E706-4CD9-99DC-3DD10CB0A08E}"/>
    <cellStyle name="Migliaia 8 3 2 2 2 2 3" xfId="34970" xr:uid="{114C4623-C07E-47C4-ABBF-B31D7EC9AD30}"/>
    <cellStyle name="Migliaia 8 3 2 2 2 3" xfId="25769" xr:uid="{BF716321-83EF-469A-8112-BD849E73B193}"/>
    <cellStyle name="Migliaia 8 3 2 2 2 4" xfId="46754" xr:uid="{B918F143-9605-42E1-8FBF-CA1A95512203}"/>
    <cellStyle name="Migliaia 8 3 2 2 2 5" xfId="50928" xr:uid="{DE1A4E04-AE1B-4B9F-9E11-11B217C933F3}"/>
    <cellStyle name="Migliaia 8 3 2 2 2 6" xfId="53944" xr:uid="{722778E7-6EB5-4069-9FD4-A0BB69E940AF}"/>
    <cellStyle name="Migliaia 8 3 2 2 2 7" xfId="17699" xr:uid="{74EDFE5F-E900-48F9-98BE-2A56E9CC9AF2}"/>
    <cellStyle name="Migliaia 8 3 2 2 2 8" xfId="12123" xr:uid="{EF79F590-9474-40B4-8365-3B8711BC8CEF}"/>
    <cellStyle name="Migliaia 8 3 2 2 3" xfId="6945" xr:uid="{5BF4C390-7D92-48D5-AC2B-D0AF5D51F4DC}"/>
    <cellStyle name="Migliaia 8 3 2 2 3 2" xfId="34969" xr:uid="{2E7692BE-EE3E-4BE5-A952-1E382153A5D5}"/>
    <cellStyle name="Migliaia 8 3 2 2 3 3" xfId="11121" xr:uid="{ED5BBA2F-0FAA-4F64-AD3B-A54F65E185F3}"/>
    <cellStyle name="Migliaia 8 3 2 2 4" xfId="4054" xr:uid="{CC33838A-0484-4FD2-B4CB-4A04BC99661E}"/>
    <cellStyle name="Migliaia 8 3 2 2 4 2" xfId="21664" xr:uid="{FA907329-8A2D-44B6-A364-A9C7CCCCBE19}"/>
    <cellStyle name="Migliaia 8 3 2 2 4 3" xfId="48387" xr:uid="{C2F6CD7E-5341-4F59-9A62-D6CEE6B7BFCD}"/>
    <cellStyle name="Migliaia 8 3 2 2 4 4" xfId="50679" xr:uid="{28FD5CBB-E81B-46FA-A6AF-2F271BE0441B}"/>
    <cellStyle name="Migliaia 8 3 2 2 4 5" xfId="53695" xr:uid="{45B60E8C-6397-48CF-A6A0-8B9E7D2A9C0A}"/>
    <cellStyle name="Migliaia 8 3 2 2 4 6" xfId="11029" xr:uid="{BA78FF93-E190-41BA-A21E-0B6107B1F0C8}"/>
    <cellStyle name="Migliaia 8 3 2 2 5" xfId="21199" xr:uid="{13DFBE96-B202-4899-833A-F7666073DD14}"/>
    <cellStyle name="Migliaia 8 3 2 2 6" xfId="25768" xr:uid="{0A9E11F9-E0AB-48FB-BE46-9EC0370C15FA}"/>
    <cellStyle name="Migliaia 8 3 2 2 7" xfId="8837" xr:uid="{CE4167BD-C60A-4C17-961C-E85C9FEC7798}"/>
    <cellStyle name="Migliaia 8 3 2 3" xfId="5779" xr:uid="{240C5528-6D90-41D5-9DAB-AD2EC0A5B3A6}"/>
    <cellStyle name="Migliaia 8 3 2 3 2" xfId="12393" xr:uid="{EE39173D-793C-4AA0-9CF4-52456E917F6E}"/>
    <cellStyle name="Migliaia 8 3 2 3 2 2" xfId="34971" xr:uid="{5649EFCD-CFD0-4FDE-9A7F-EECC392EB63D}"/>
    <cellStyle name="Migliaia 8 3 2 3 3" xfId="12124" xr:uid="{AE7B153A-C1B4-4252-B501-41CD5B054726}"/>
    <cellStyle name="Migliaia 8 3 2 3 4" xfId="21200" xr:uid="{18746D50-84BA-4919-A3E8-0979C8C086CB}"/>
    <cellStyle name="Migliaia 8 3 2 3 5" xfId="25770" xr:uid="{73A37B0D-96E9-4E26-A2D7-29BBAABC0D6A}"/>
    <cellStyle name="Migliaia 8 3 2 3 6" xfId="16943" xr:uid="{5764B5F7-4A6D-4955-9EE9-16A0BA6629A9}"/>
    <cellStyle name="Migliaia 8 3 2 3 7" xfId="8061" xr:uid="{ADD52887-1EB0-4403-9DB0-E47D8E1DAEAD}"/>
    <cellStyle name="Migliaia 8 3 2 4" xfId="6944" xr:uid="{FE8F7CF1-3510-44EC-94E4-6A6F3D91E842}"/>
    <cellStyle name="Migliaia 8 3 2 4 2" xfId="18116" xr:uid="{1B466C25-86AE-47B1-80C8-412FD81D22C9}"/>
    <cellStyle name="Migliaia 8 3 2 4 2 2" xfId="34972" xr:uid="{CA218FD1-C8A8-423F-ADFE-23EE41B6276E}"/>
    <cellStyle name="Migliaia 8 3 2 4 3" xfId="25771" xr:uid="{35DD6FFA-6EF2-4358-BE40-2CA6FBF5C7ED}"/>
    <cellStyle name="Migliaia 8 3 2 4 4" xfId="17254" xr:uid="{2BC06D13-2117-4672-82EB-450B819974DD}"/>
    <cellStyle name="Migliaia 8 3 2 4 5" xfId="11476" xr:uid="{932DBEC3-EB41-4C04-86E5-4C760E3270DD}"/>
    <cellStyle name="Migliaia 8 3 2 5" xfId="4053" xr:uid="{63748CD9-23B2-458A-9389-288A13E7C255}"/>
    <cellStyle name="Migliaia 8 3 2 5 2" xfId="34973" xr:uid="{188A2232-FD0F-406C-A3C8-E98D9B72B3FE}"/>
    <cellStyle name="Migliaia 8 3 2 5 3" xfId="25772" xr:uid="{807E4555-652E-43E9-9F15-CF9AFDFE9B38}"/>
    <cellStyle name="Migliaia 8 3 2 5 4" xfId="17071" xr:uid="{6F646775-557C-4C21-9E12-D6EF412A7082}"/>
    <cellStyle name="Migliaia 8 3 2 6" xfId="21198" xr:uid="{CDD6C387-04ED-42BD-9A21-B29CEEA1A531}"/>
    <cellStyle name="Migliaia 8 3 2 6 2" xfId="34974" xr:uid="{786BC00E-DFE2-435F-AA46-ED5E30D1000F}"/>
    <cellStyle name="Migliaia 8 3 2 6 3" xfId="25773" xr:uid="{D41AD211-A96A-472C-87F2-1635C2C323E9}"/>
    <cellStyle name="Migliaia 8 3 2 7" xfId="34968" xr:uid="{2105843C-1F7C-464E-9A52-D32AABC3BEB2}"/>
    <cellStyle name="Migliaia 8 3 2 8" xfId="25767" xr:uid="{78B4A58E-C1DA-490D-815D-26FB5BB13F97}"/>
    <cellStyle name="Migliaia 8 3 2 9" xfId="7647" xr:uid="{BF4BF363-2575-42FF-9D8C-B4907C0AFC51}"/>
    <cellStyle name="Migliaia 8 3 3" xfId="4055" xr:uid="{4A2B5E83-2908-449A-86C4-CBCE3F3E554F}"/>
    <cellStyle name="Migliaia 8 3 3 2" xfId="5781" xr:uid="{5D9E08E2-8696-4AC9-B8A2-6311B65A2238}"/>
    <cellStyle name="Migliaia 8 3 3 2 2" xfId="10000" xr:uid="{EED4E24B-B97E-4F4F-A923-4E536E304070}"/>
    <cellStyle name="Migliaia 8 3 3 2 2 2" xfId="34976" xr:uid="{AD10F3A9-4B62-419D-88DA-5A28FC08DAD7}"/>
    <cellStyle name="Migliaia 8 3 3 2 3" xfId="18280" xr:uid="{0CC75BCE-9ABB-48EC-85F7-0D5EDB58993E}"/>
    <cellStyle name="Migliaia 8 3 3 2 4" xfId="21202" xr:uid="{A47960AB-1799-4E8F-A523-0E451FD67DD9}"/>
    <cellStyle name="Migliaia 8 3 3 2 5" xfId="25775" xr:uid="{6DAADA17-E34D-4B20-98D2-15AAA0DCD9AA}"/>
    <cellStyle name="Migliaia 8 3 3 2 6" xfId="16945" xr:uid="{9D62A238-74CA-400B-8305-2029C13E37DD}"/>
    <cellStyle name="Migliaia 8 3 3 2 7" xfId="8836" xr:uid="{75D64D0A-8009-4992-8DE1-605EECAD77E2}"/>
    <cellStyle name="Migliaia 8 3 3 3" xfId="6946" xr:uid="{9AC01286-4764-4805-B81A-9AB1788CD0CE}"/>
    <cellStyle name="Migliaia 8 3 3 3 2" xfId="34977" xr:uid="{999B3522-CDBA-494B-9EBB-E2C1654146B3}"/>
    <cellStyle name="Migliaia 8 3 3 3 3" xfId="25776" xr:uid="{9FA9A2EC-FA7E-4F09-BBCA-94765E29B235}"/>
    <cellStyle name="Migliaia 8 3 3 3 4" xfId="9763" xr:uid="{A3E33163-E962-4004-988B-3B51EC3ADC4F}"/>
    <cellStyle name="Migliaia 8 3 3 4" xfId="21201" xr:uid="{425D97D5-9FB9-4265-8C69-D278C3E5E394}"/>
    <cellStyle name="Migliaia 8 3 3 4 2" xfId="34978" xr:uid="{6066AC38-072C-4B2F-8327-5BD3C60F1C75}"/>
    <cellStyle name="Migliaia 8 3 3 4 3" xfId="25777" xr:uid="{4A258D42-19B1-48A2-869F-4C45686BE2AE}"/>
    <cellStyle name="Migliaia 8 3 3 4 4" xfId="48921" xr:uid="{2C271326-02BF-4379-8827-10431400FC28}"/>
    <cellStyle name="Migliaia 8 3 3 5" xfId="25778" xr:uid="{7927EA8C-67EB-4619-9709-905C969A748E}"/>
    <cellStyle name="Migliaia 8 3 3 5 2" xfId="34979" xr:uid="{21498A75-9D3A-449C-9FED-A7B2CD42A74E}"/>
    <cellStyle name="Migliaia 8 3 3 5 3" xfId="48922" xr:uid="{DDAE9DDC-25D4-4E8A-96EF-CF76A1DAC777}"/>
    <cellStyle name="Migliaia 8 3 3 6" xfId="34975" xr:uid="{F3F2B406-7344-451F-A377-2D3838D7F088}"/>
    <cellStyle name="Migliaia 8 3 3 7" xfId="25774" xr:uid="{110774A3-64B0-41CE-8AD8-AF3124BB69E1}"/>
    <cellStyle name="Migliaia 8 3 3 8" xfId="16944" xr:uid="{A5911C09-4D57-455C-BA7C-5BFD20FC20BB}"/>
    <cellStyle name="Migliaia 8 3 3 9" xfId="7646" xr:uid="{376E067D-68C9-4BAB-BA67-E80328FE7311}"/>
    <cellStyle name="Migliaia 8 3 4" xfId="4056" xr:uid="{D43ED737-AD63-48C3-9372-CD9B2B78B19D}"/>
    <cellStyle name="Migliaia 8 3 4 2" xfId="5782" xr:uid="{1F4BE67C-E4D0-4909-8759-788E90A4323F}"/>
    <cellStyle name="Migliaia 8 3 4 2 2" xfId="14482" xr:uid="{3083664A-CD49-4262-A481-50BAA1EA5227}"/>
    <cellStyle name="Migliaia 8 3 4 2 3" xfId="18138" xr:uid="{F0D15D7C-5706-410E-8F61-667EB57C0E13}"/>
    <cellStyle name="Migliaia 8 3 4 2 4" xfId="21204" xr:uid="{5147103E-A1A1-43F9-BEAE-DC5CC833082B}"/>
    <cellStyle name="Migliaia 8 3 4 2 5" xfId="32493" xr:uid="{CA1AD4E3-2E6A-4D93-980C-97EE590CB6FF}"/>
    <cellStyle name="Migliaia 8 3 4 2 6" xfId="16947" xr:uid="{57D07224-0F97-4B15-81BC-12ADDF15A87D}"/>
    <cellStyle name="Migliaia 8 3 4 2 7" xfId="8905" xr:uid="{FCC984D9-CA77-4B96-B8C5-62CBA26BAC68}"/>
    <cellStyle name="Migliaia 8 3 4 3" xfId="6947" xr:uid="{251EA692-6DCD-4682-8AD1-2D2D91A53C08}"/>
    <cellStyle name="Migliaia 8 3 4 3 2" xfId="35538" xr:uid="{B0417D94-77C6-466F-A8EB-FD14F40D129D}"/>
    <cellStyle name="Migliaia 8 3 4 3 2 2" xfId="40698" xr:uid="{AC504118-18B2-4658-AC53-58334D661708}"/>
    <cellStyle name="Migliaia 8 3 4 3 2 3" xfId="46000" xr:uid="{4DA24A22-25C5-4E74-89A8-9A9AD681CF39}"/>
    <cellStyle name="Migliaia 8 3 4 3 3" xfId="38047" xr:uid="{73F1FDBF-0E65-46B1-B7C0-7A259B93E6AB}"/>
    <cellStyle name="Migliaia 8 3 4 3 4" xfId="43349" xr:uid="{EC182E30-DC0A-4FC9-8D6C-80570F3FCDD4}"/>
    <cellStyle name="Migliaia 8 3 4 3 5" xfId="13730" xr:uid="{83FCEB35-8453-4428-84C2-FF9BDF3DD8D2}"/>
    <cellStyle name="Migliaia 8 3 4 4" xfId="21203" xr:uid="{61922515-71C3-497F-A915-B01744E58525}"/>
    <cellStyle name="Migliaia 8 3 4 4 2" xfId="34980" xr:uid="{A6144BB0-42B4-4468-8973-7AFC224CBFC2}"/>
    <cellStyle name="Migliaia 8 3 4 5" xfId="25779" xr:uid="{8021B574-64AC-49F8-9F60-E40FAFB7327E}"/>
    <cellStyle name="Migliaia 8 3 4 6" xfId="16946" xr:uid="{A64D83DB-B6F9-4FC6-82CD-E5D24789C574}"/>
    <cellStyle name="Migliaia 8 3 4 7" xfId="7715" xr:uid="{91E37383-FADE-4284-BC98-13F3BA1CD9B5}"/>
    <cellStyle name="Migliaia 8 3 5" xfId="4057" xr:uid="{3A2541F0-E259-4353-8C0F-7EC23A1265E5}"/>
    <cellStyle name="Migliaia 8 3 5 2" xfId="5783" xr:uid="{6F6E0E86-BA57-492E-8F0E-54BB2C166D42}"/>
    <cellStyle name="Migliaia 8 3 5 2 2" xfId="35539" xr:uid="{491863A6-C623-4FEA-B6C6-6A97193B71D9}"/>
    <cellStyle name="Migliaia 8 3 5 2 2 2" xfId="40699" xr:uid="{F3CD34B0-27FB-4EBA-A249-2C86EF3F969F}"/>
    <cellStyle name="Migliaia 8 3 5 2 2 3" xfId="46001" xr:uid="{3DA69BCA-F6EC-4EDD-91CA-B4593DB3C703}"/>
    <cellStyle name="Migliaia 8 3 5 2 3" xfId="38048" xr:uid="{FB8D2539-52F8-4982-BF16-3A5BC05E7A8F}"/>
    <cellStyle name="Migliaia 8 3 5 2 4" xfId="43350" xr:uid="{43F2DE22-A4CF-4C13-AA2E-0D4CF3B22A7C}"/>
    <cellStyle name="Migliaia 8 3 5 2 5" xfId="14358" xr:uid="{8AA36850-FADA-4F8B-A508-EBBA8EC74B72}"/>
    <cellStyle name="Migliaia 8 3 5 3" xfId="6948" xr:uid="{8B71E9BF-52E2-435E-8602-C73DF0DE60FD}"/>
    <cellStyle name="Migliaia 8 3 5 3 2" xfId="34981" xr:uid="{3894AFE9-8D09-4624-AEDC-C520828C1814}"/>
    <cellStyle name="Migliaia 8 3 5 3 3" xfId="21205" xr:uid="{FAFE60AD-DD84-44EA-B0A5-598EF01CC4CD}"/>
    <cellStyle name="Migliaia 8 3 5 4" xfId="25780" xr:uid="{DCB7DC6A-3EA7-4D7B-B1E5-01BA2467C34B}"/>
    <cellStyle name="Migliaia 8 3 5 5" xfId="16948" xr:uid="{B0321ED4-BEC5-462E-B3EC-05F24D8D798A}"/>
    <cellStyle name="Migliaia 8 3 5 6" xfId="8420" xr:uid="{BFCFA197-2ACD-4636-8D84-4DB42A653AC7}"/>
    <cellStyle name="Migliaia 8 3 6" xfId="5778" xr:uid="{638CC610-A0CF-423C-BC53-4E019F5F7ADD}"/>
    <cellStyle name="Migliaia 8 3 6 2" xfId="14063" xr:uid="{CD91F5AB-6D4D-45A7-BC36-5948BF5475E1}"/>
    <cellStyle name="Migliaia 8 3 6 2 2" xfId="34982" xr:uid="{34472D3B-0164-442F-B218-925299D94A5F}"/>
    <cellStyle name="Migliaia 8 3 6 3" xfId="18295" xr:uid="{CE3C8FBA-D8E0-4BFC-9CE1-B9D0DBE4B65E}"/>
    <cellStyle name="Migliaia 8 3 6 4" xfId="21206" xr:uid="{28A23009-CAEC-4FD3-81FA-C90D8E3AC05E}"/>
    <cellStyle name="Migliaia 8 3 6 5" xfId="25781" xr:uid="{87757FD7-2DA6-4190-B7C4-AF8EE227F8AF}"/>
    <cellStyle name="Migliaia 8 3 6 6" xfId="16949" xr:uid="{4DB432C5-57FE-4F73-86E8-92BFCAFC8335}"/>
    <cellStyle name="Migliaia 8 3 6 7" xfId="8060" xr:uid="{ECA13006-1D3B-4010-9B9A-FA2DD66F3508}"/>
    <cellStyle name="Migliaia 8 3 7" xfId="6943" xr:uid="{7C753410-109D-4320-A6D1-F7F5A111A278}"/>
    <cellStyle name="Migliaia 8 3 7 2" xfId="34983" xr:uid="{FE2ADB63-C011-4BAB-B46F-8D8131C28534}"/>
    <cellStyle name="Migliaia 8 3 7 3" xfId="25782" xr:uid="{45708F92-ECA1-4212-A6DE-3DC94EFE164A}"/>
    <cellStyle name="Migliaia 8 3 7 4" xfId="11528" xr:uid="{FF947D9A-04FB-41B2-9D53-5CBFE1280BB4}"/>
    <cellStyle name="Migliaia 8 3 8" xfId="4052" xr:uid="{625D4832-045F-4D5B-81E6-D0F7D30F88B0}"/>
    <cellStyle name="Migliaia 8 3 8 2" xfId="34984" xr:uid="{AC8A2C25-2908-470F-B75C-4E88BA266483}"/>
    <cellStyle name="Migliaia 8 3 8 3" xfId="25783" xr:uid="{D2C88710-5B06-4033-9108-4A0133DDEEDE}"/>
    <cellStyle name="Migliaia 8 3 8 4" xfId="17072" xr:uid="{2CAA3F20-2491-4864-B3B8-01E97A7EF1B4}"/>
    <cellStyle name="Migliaia 8 3 9" xfId="21197" xr:uid="{5AE3AF0A-F306-451F-8C26-096C85E5B1F4}"/>
    <cellStyle name="Migliaia 8 3 9 2" xfId="34967" xr:uid="{31F0CCB1-2117-47FE-9120-E544A224CAC9}"/>
    <cellStyle name="Migliaia 8 4" xfId="1953" xr:uid="{00000000-0005-0000-0000-0000D8040000}"/>
    <cellStyle name="Migliaia 8 4 10" xfId="7648" xr:uid="{ABB272F9-F28A-40D1-8D51-CA198B2570F9}"/>
    <cellStyle name="Migliaia 8 4 2" xfId="1954" xr:uid="{00000000-0005-0000-0000-0000D9040000}"/>
    <cellStyle name="Migliaia 8 4 2 2" xfId="5785" xr:uid="{28D47832-F7D1-4D5E-939F-7A316EDDD151}"/>
    <cellStyle name="Migliaia 8 4 2 2 2" xfId="34987" xr:uid="{10D71D22-D281-4C5F-A68F-8B08D2C5B0B7}"/>
    <cellStyle name="Migliaia 8 4 2 2 3" xfId="25786" xr:uid="{5097F723-5F07-42C7-A4BA-535B2FEC5144}"/>
    <cellStyle name="Migliaia 8 4 2 2 4" xfId="9226" xr:uid="{9E0FCA8D-FBD0-4B92-B694-4AFBE893FD50}"/>
    <cellStyle name="Migliaia 8 4 2 3" xfId="4059" xr:uid="{65C915E7-A5E6-4EBF-B3EE-CA36378182FE}"/>
    <cellStyle name="Migliaia 8 4 2 3 2" xfId="34988" xr:uid="{3F13A995-FDD5-415A-91B6-B0AB317068A8}"/>
    <cellStyle name="Migliaia 8 4 2 3 3" xfId="25787" xr:uid="{9FF7D592-D27A-4258-A0C4-7FD246C72BD4}"/>
    <cellStyle name="Migliaia 8 4 2 3 4" xfId="12125" xr:uid="{D543CB77-E8EC-4878-AFF3-93AF71187FD8}"/>
    <cellStyle name="Migliaia 8 4 2 4" xfId="11478" xr:uid="{D5C60B8F-EDF0-4B73-8101-2A81F0A9B45D}"/>
    <cellStyle name="Migliaia 8 4 2 4 2" xfId="34986" xr:uid="{15E4B1BB-9F59-4F3E-B9B8-E9EF7746D30E}"/>
    <cellStyle name="Migliaia 8 4 2 5" xfId="11031" xr:uid="{7F3AD5DF-D2BC-4341-ADFF-3C027709BB39}"/>
    <cellStyle name="Migliaia 8 4 2 5 2" xfId="21666" xr:uid="{19D92D1F-1C80-403A-9C27-52930119C96E}"/>
    <cellStyle name="Migliaia 8 4 2 5 3" xfId="47679" xr:uid="{6348B76F-129F-4AC2-8CBB-5D248BE7556F}"/>
    <cellStyle name="Migliaia 8 4 2 5 4" xfId="50681" xr:uid="{2A1BA575-E56B-489B-88C8-F546366C9C67}"/>
    <cellStyle name="Migliaia 8 4 2 5 5" xfId="53697" xr:uid="{F9B180E9-65BE-4645-BA1E-7BC7FC7900E6}"/>
    <cellStyle name="Migliaia 8 4 2 6" xfId="21208" xr:uid="{A1C96CC6-5F70-496F-8A5E-E515112CFE5A}"/>
    <cellStyle name="Migliaia 8 4 2 7" xfId="25785" xr:uid="{A0B522A5-2484-4F04-8035-8388A381844D}"/>
    <cellStyle name="Migliaia 8 4 2 8" xfId="8838" xr:uid="{BCA9FA97-DFDB-4AAC-BB4C-BBB7562B50A2}"/>
    <cellStyle name="Migliaia 8 4 3" xfId="5784" xr:uid="{70B376AC-BFF8-46B7-B59C-4D1BD74A381B}"/>
    <cellStyle name="Migliaia 8 4 3 2" xfId="18281" xr:uid="{F90D423A-E80D-4A38-9ECD-40D6F85F7312}"/>
    <cellStyle name="Migliaia 8 4 3 2 2" xfId="34989" xr:uid="{139623DB-7430-49FC-A5DB-500FB76693A4}"/>
    <cellStyle name="Migliaia 8 4 3 3" xfId="25788" xr:uid="{DD58A32D-B35D-4F8B-83EC-69EFABB95588}"/>
    <cellStyle name="Migliaia 8 4 3 4" xfId="17070" xr:uid="{0A11BB28-AADD-4773-9E1C-79B134AD62D3}"/>
    <cellStyle name="Migliaia 8 4 3 5" xfId="9227" xr:uid="{8E95F46E-BA01-4DA9-85A0-ADDAF6C96C78}"/>
    <cellStyle name="Migliaia 8 4 4" xfId="6949" xr:uid="{D16315A8-76E1-4735-A853-04F49591CE47}"/>
    <cellStyle name="Migliaia 8 4 4 2" xfId="34990" xr:uid="{BC1924EC-96DD-4133-9942-CD0A19570EBA}"/>
    <cellStyle name="Migliaia 8 4 4 3" xfId="25789" xr:uid="{91ECE1D7-0E03-4A2D-8D5B-31B790B226CD}"/>
    <cellStyle name="Migliaia 8 4 4 4" xfId="12126" xr:uid="{1D68E090-C3DE-4545-9A16-B5027557F5DE}"/>
    <cellStyle name="Migliaia 8 4 5" xfId="4058" xr:uid="{4730F66D-B654-44CF-B7BC-91EECFBF4C68}"/>
    <cellStyle name="Migliaia 8 4 5 2" xfId="34991" xr:uid="{2908A872-19D1-447D-9192-2E02A352145C}"/>
    <cellStyle name="Migliaia 8 4 5 3" xfId="25790" xr:uid="{C1666164-AA52-4EDE-9EA6-39480C29276D}"/>
    <cellStyle name="Migliaia 8 4 5 4" xfId="11477" xr:uid="{EA4DC004-C43D-4B90-AD7C-D9F115073703}"/>
    <cellStyle name="Migliaia 8 4 6" xfId="11030" xr:uid="{807D6B5B-2BC1-4775-AED7-DF5891AAF23E}"/>
    <cellStyle name="Migliaia 8 4 6 2" xfId="21665" xr:uid="{14FE3B6F-4CEF-4219-B478-7DF27C2FF882}"/>
    <cellStyle name="Migliaia 8 4 6 2 2" xfId="34992" xr:uid="{E17648DE-BB54-42BF-8A24-3D6A20D045C9}"/>
    <cellStyle name="Migliaia 8 4 6 3" xfId="25791" xr:uid="{C5AD1F45-86B9-4710-887E-EFB8AE953B95}"/>
    <cellStyle name="Migliaia 8 4 6 4" xfId="46714" xr:uid="{4BCFD92E-D1C0-46CF-A940-60A7B1FD22C4}"/>
    <cellStyle name="Migliaia 8 4 6 5" xfId="48923" xr:uid="{94AD1F9E-E83E-4593-AFB7-D04EE2B4DB70}"/>
    <cellStyle name="Migliaia 8 4 6 6" xfId="50680" xr:uid="{22090831-2DB2-4D9B-A568-2828F8A3D538}"/>
    <cellStyle name="Migliaia 8 4 6 7" xfId="53696" xr:uid="{A6C50489-F17D-416E-8252-EED98FA78BF1}"/>
    <cellStyle name="Migliaia 8 4 7" xfId="21207" xr:uid="{AC7B3EDB-145B-4673-BCD6-0571F9232F86}"/>
    <cellStyle name="Migliaia 8 4 7 2" xfId="34993" xr:uid="{C3D66CE0-CFFF-4B83-B17E-B8EC9A33D7F5}"/>
    <cellStyle name="Migliaia 8 4 7 3" xfId="25792" xr:uid="{8A07FC9C-77EF-4300-A8EA-9F95DB7D203D}"/>
    <cellStyle name="Migliaia 8 4 8" xfId="34985" xr:uid="{B339C7D7-102D-4DE8-8716-E6E549CD2A06}"/>
    <cellStyle name="Migliaia 8 4 9" xfId="25784" xr:uid="{8A9B3B72-BB59-4B10-AE7D-B2B91A7D67DA}"/>
    <cellStyle name="Migliaia 8 5" xfId="1955" xr:uid="{00000000-0005-0000-0000-0000DA040000}"/>
    <cellStyle name="Migliaia 8 5 2" xfId="5786" xr:uid="{3B4C5BEE-C3E6-4765-B446-ECC3C23FA290}"/>
    <cellStyle name="Migliaia 8 5 2 2" xfId="18541" xr:uid="{147D4634-C31A-4DC6-86DE-40CAC86251BB}"/>
    <cellStyle name="Migliaia 8 5 2 2 2" xfId="34995" xr:uid="{13EEE7CF-49A3-4B2F-9B62-5713CCC62375}"/>
    <cellStyle name="Migliaia 8 5 2 3" xfId="21210" xr:uid="{2CFE8F77-717A-4E7E-A2D6-CB8FB5C36326}"/>
    <cellStyle name="Migliaia 8 5 2 4" xfId="25794" xr:uid="{9F08236A-8148-4864-B6E4-34A404398F5C}"/>
    <cellStyle name="Migliaia 8 5 2 5" xfId="16950" xr:uid="{50E3FC8F-EB5D-42FF-BC33-AFFEA9AD1272}"/>
    <cellStyle name="Migliaia 8 5 2 6" xfId="8839" xr:uid="{D54E05FB-1816-41C1-8FBB-4F0DC867D971}"/>
    <cellStyle name="Migliaia 8 5 3" xfId="6950" xr:uid="{3B42F455-DB57-44A1-A34D-995449AC071B}"/>
    <cellStyle name="Migliaia 8 5 3 2" xfId="34996" xr:uid="{3B5BC207-4640-4FAC-886C-299DB4D2878D}"/>
    <cellStyle name="Migliaia 8 5 3 3" xfId="25795" xr:uid="{B3C23EA3-1531-4172-9705-AA2B24BB569C}"/>
    <cellStyle name="Migliaia 8 5 3 4" xfId="11479" xr:uid="{5C46E573-09F4-4DFF-AAF7-7CB81C532254}"/>
    <cellStyle name="Migliaia 8 5 4" xfId="4060" xr:uid="{C9B8C833-2DD0-43F3-B948-2D65B4D6F71D}"/>
    <cellStyle name="Migliaia 8 5 4 2" xfId="21667" xr:uid="{1F752105-E72A-4CEB-983C-B50F047C0822}"/>
    <cellStyle name="Migliaia 8 5 4 2 2" xfId="34997" xr:uid="{B3D09992-431B-4B40-9BE5-FBECB9D6CEB4}"/>
    <cellStyle name="Migliaia 8 5 4 3" xfId="25796" xr:uid="{CA9C1FAB-9BF1-4275-B6E5-8FF7FA7456E3}"/>
    <cellStyle name="Migliaia 8 5 4 4" xfId="48480" xr:uid="{28C86657-1C28-42BD-90EF-E8CADA5220E0}"/>
    <cellStyle name="Migliaia 8 5 4 5" xfId="48924" xr:uid="{B8CB55D6-CCEB-488B-BADA-72AE4F4E6450}"/>
    <cellStyle name="Migliaia 8 5 4 6" xfId="50682" xr:uid="{9C7F221E-9922-46D5-A5BD-00497931F9B2}"/>
    <cellStyle name="Migliaia 8 5 4 7" xfId="53698" xr:uid="{E86C177F-57E3-47CD-A0B9-AB6E66B527F0}"/>
    <cellStyle name="Migliaia 8 5 4 8" xfId="11032" xr:uid="{4195EE89-EDE9-44BC-A1EC-B3FFCBD5F85F}"/>
    <cellStyle name="Migliaia 8 5 5" xfId="21209" xr:uid="{F1E69CC8-48D0-4324-A6E4-4C79683FB9CB}"/>
    <cellStyle name="Migliaia 8 5 5 2" xfId="34998" xr:uid="{89D00C8D-E30A-4941-B797-B012CB104B17}"/>
    <cellStyle name="Migliaia 8 5 5 3" xfId="25797" xr:uid="{02BBD466-7D27-4B07-8ACF-F98E15F9B876}"/>
    <cellStyle name="Migliaia 8 5 5 4" xfId="48925" xr:uid="{C83737E0-A129-4F9B-ADB6-919F2B5EACA2}"/>
    <cellStyle name="Migliaia 8 5 6" xfId="25798" xr:uid="{4D6E1198-18F2-46F7-A6EA-D373EEB038E3}"/>
    <cellStyle name="Migliaia 8 5 6 2" xfId="34999" xr:uid="{7F88EE9C-DF22-4C1A-8D48-1CBEDC266D12}"/>
    <cellStyle name="Migliaia 8 5 7" xfId="34994" xr:uid="{0A1E8DC4-BAEA-4836-8476-3B1D47436067}"/>
    <cellStyle name="Migliaia 8 5 8" xfId="25793" xr:uid="{BB048E3E-0024-4CB0-9BA2-4F0E6F82FA9E}"/>
    <cellStyle name="Migliaia 8 5 9" xfId="7649" xr:uid="{607DC9C2-D629-4110-BE1A-660F6FA94335}"/>
    <cellStyle name="Migliaia 8 6" xfId="4061" xr:uid="{8A638CAF-47FB-4EFE-B908-A171043B8A32}"/>
    <cellStyle name="Migliaia 8 6 2" xfId="5787" xr:uid="{ABB338E6-8C8C-4772-9C6E-BE1099AAE38F}"/>
    <cellStyle name="Migliaia 8 6 2 2" xfId="9999" xr:uid="{3F87CB59-9E45-4AFF-8046-95C7364F5BC8}"/>
    <cellStyle name="Migliaia 8 6 2 3" xfId="18144" xr:uid="{CCC2BD5A-ADF6-4DBD-B9D5-F04DBC8A01F0}"/>
    <cellStyle name="Migliaia 8 6 2 4" xfId="21212" xr:uid="{4EAE7858-BC2D-4625-B82C-B9C68AE0E335}"/>
    <cellStyle name="Migliaia 8 6 2 5" xfId="32494" xr:uid="{72F46D16-A2A5-4084-B31F-91AF959C193E}"/>
    <cellStyle name="Migliaia 8 6 2 6" xfId="16952" xr:uid="{C2CAF8D0-F5FE-4F79-89B5-77D585C851E1}"/>
    <cellStyle name="Migliaia 8 6 2 7" xfId="8834" xr:uid="{FA3BE688-2923-42CD-9E44-E2DACB1D4A99}"/>
    <cellStyle name="Migliaia 8 6 3" xfId="6951" xr:uid="{86094E8F-8854-4E9F-95F5-5BF9F7A5201D}"/>
    <cellStyle name="Migliaia 8 6 3 2" xfId="35540" xr:uid="{1FD081A1-A8A3-4C7D-91DC-35B61D3798A1}"/>
    <cellStyle name="Migliaia 8 6 3 2 2" xfId="40700" xr:uid="{D3393BEC-24FF-4D4A-8AB0-297023B2E349}"/>
    <cellStyle name="Migliaia 8 6 3 2 3" xfId="46002" xr:uid="{730B2ECD-97E6-4B81-96AF-9ED87EADB3E3}"/>
    <cellStyle name="Migliaia 8 6 3 3" xfId="38049" xr:uid="{AD710B21-B9D0-4EE5-8C7A-3F05A2B359DD}"/>
    <cellStyle name="Migliaia 8 6 3 4" xfId="43351" xr:uid="{10F84E14-3837-434F-BBEC-FB1514016234}"/>
    <cellStyle name="Migliaia 8 6 3 5" xfId="9762" xr:uid="{A124A3A4-3828-4088-9CEC-DD5F2D016335}"/>
    <cellStyle name="Migliaia 8 6 4" xfId="21211" xr:uid="{DE3A05CA-23DF-4D0B-847F-4E98604072B7}"/>
    <cellStyle name="Migliaia 8 6 4 2" xfId="35000" xr:uid="{65652D2A-8E96-4589-B509-96333677545C}"/>
    <cellStyle name="Migliaia 8 6 5" xfId="25799" xr:uid="{9716E372-F2D8-40D5-B86B-7B6F58E59BF3}"/>
    <cellStyle name="Migliaia 8 6 6" xfId="16951" xr:uid="{0E831529-0CA7-42FC-87B9-3DC600E73D7E}"/>
    <cellStyle name="Migliaia 8 6 7" xfId="7644" xr:uid="{E0EC0EB2-55C1-4D45-A41C-8920F1B85B57}"/>
    <cellStyle name="Migliaia 8 7" xfId="4062" xr:uid="{600A349C-40BC-4971-A0D3-DC370A847046}"/>
    <cellStyle name="Migliaia 8 7 2" xfId="5788" xr:uid="{12577BCA-A006-4E2E-BE2E-AA46DADBBCB4}"/>
    <cellStyle name="Migliaia 8 7 2 2" xfId="35541" xr:uid="{41150B1A-EA80-42DA-B2EE-C4E942F05113}"/>
    <cellStyle name="Migliaia 8 7 2 2 2" xfId="40701" xr:uid="{ABC0AB2E-BA46-4DE6-9EE0-C19591D12BDE}"/>
    <cellStyle name="Migliaia 8 7 2 2 3" xfId="46003" xr:uid="{F76E6C21-8FDA-447C-AE7A-FED1753496CD}"/>
    <cellStyle name="Migliaia 8 7 2 3" xfId="38050" xr:uid="{40B248F1-4B1F-471E-BAA6-F691DC0FCC17}"/>
    <cellStyle name="Migliaia 8 7 2 4" xfId="43352" xr:uid="{4851BF2C-511A-42B5-8D43-112149FF8C0B}"/>
    <cellStyle name="Migliaia 8 7 2 5" xfId="14356" xr:uid="{C7C44FD9-F4C4-4451-8DF0-7F3A0752B537}"/>
    <cellStyle name="Migliaia 8 7 3" xfId="6952" xr:uid="{1BCEEC43-4416-4A33-8C78-E5A5EEA3BE56}"/>
    <cellStyle name="Migliaia 8 7 3 2" xfId="35001" xr:uid="{24C19B53-7B1F-4AAE-8245-C9493F965646}"/>
    <cellStyle name="Migliaia 8 7 3 3" xfId="21213" xr:uid="{60D82829-579A-4F27-9A35-4F5DC3DA8D44}"/>
    <cellStyle name="Migliaia 8 7 4" xfId="25800" xr:uid="{B8879FE7-8959-43AB-A1C9-7D1E15067E35}"/>
    <cellStyle name="Migliaia 8 7 5" xfId="16953" xr:uid="{C3B1383F-F395-45BA-AD8B-13A90961CE33}"/>
    <cellStyle name="Migliaia 8 7 6" xfId="8418" xr:uid="{0E1F9FFD-92B6-4133-84C1-914847E42C59}"/>
    <cellStyle name="Migliaia 8 8" xfId="4063" xr:uid="{A11AF05E-045B-4E5C-8375-FEA30196341A}"/>
    <cellStyle name="Migliaia 8 8 2" xfId="5789" xr:uid="{13CEB729-B818-4F86-A7EF-15FAAD3E43A2}"/>
    <cellStyle name="Migliaia 8 8 2 2" xfId="35542" xr:uid="{A99A463F-74B2-473B-9248-26CA16CD4A25}"/>
    <cellStyle name="Migliaia 8 8 2 2 2" xfId="40702" xr:uid="{DB1FBCB9-26FF-4DD2-B247-CC48AA0CC9E3}"/>
    <cellStyle name="Migliaia 8 8 2 2 3" xfId="46004" xr:uid="{89913422-3FFF-4D21-B748-DDDB3A69A727}"/>
    <cellStyle name="Migliaia 8 8 2 3" xfId="38051" xr:uid="{5E2C3E1B-8C02-4F1B-BEB5-1F363F692AA3}"/>
    <cellStyle name="Migliaia 8 8 2 4" xfId="43353" xr:uid="{8C9AA405-5393-465E-935A-DE252E6A27DC}"/>
    <cellStyle name="Migliaia 8 8 2 5" xfId="14061" xr:uid="{12ED683A-14B3-4371-A14C-ECBF76295D7B}"/>
    <cellStyle name="Migliaia 8 8 3" xfId="6953" xr:uid="{9D9FB119-9772-4BC0-A045-13AA2CDF0527}"/>
    <cellStyle name="Migliaia 8 8 3 2" xfId="35002" xr:uid="{342FDAE4-B1FE-459E-81FF-8D1D2AB34CDD}"/>
    <cellStyle name="Migliaia 8 8 3 3" xfId="21214" xr:uid="{4DA0D42A-E674-477E-8733-67EE273D908C}"/>
    <cellStyle name="Migliaia 8 8 4" xfId="25801" xr:uid="{9351ED71-CF51-4AC5-9D99-675608FAE76A}"/>
    <cellStyle name="Migliaia 8 8 5" xfId="16954" xr:uid="{624F8449-871F-4C5A-992B-3041F16E03BC}"/>
    <cellStyle name="Migliaia 8 8 6" xfId="8058" xr:uid="{37021BCD-010F-4697-AE66-2B569AB249C7}"/>
    <cellStyle name="Migliaia 8 9" xfId="5774" xr:uid="{3238EFD4-53D7-4188-823C-A2F7716EF350}"/>
    <cellStyle name="Migliaia 8 9 2" xfId="35003" xr:uid="{800FF788-91C4-47EE-8F52-21E8AE58C915}"/>
    <cellStyle name="Migliaia 8 9 3" xfId="25802" xr:uid="{CFFA3992-5B28-4DE3-AB5E-6B48AA3B5523}"/>
    <cellStyle name="Migliaia 8 9 4" xfId="17253" xr:uid="{E57B314C-0F44-4A5A-8CC5-18650B3D94DE}"/>
    <cellStyle name="Migliaia 9" xfId="541" xr:uid="{00000000-0005-0000-0000-0000DB040000}"/>
    <cellStyle name="Migliaia 9 10" xfId="6954" xr:uid="{9422089C-F3C7-4638-8D57-69992F6DA309}"/>
    <cellStyle name="Migliaia 9 10 2" xfId="35004" xr:uid="{FB7BBD44-E837-4E34-B311-2BD879879487}"/>
    <cellStyle name="Migliaia 9 10 3" xfId="21215" xr:uid="{42B815A0-7693-417A-B0B9-B7A7019DCA72}"/>
    <cellStyle name="Migliaia 9 11" xfId="4064" xr:uid="{5735C708-8682-4ABB-9B37-3CA1A8DAC16E}"/>
    <cellStyle name="Migliaia 9 11 2" xfId="25803" xr:uid="{25F172D0-A7A1-45A4-BCFB-B0C32406C38E}"/>
    <cellStyle name="Migliaia 9 12" xfId="7222" xr:uid="{BC7119AB-AFD6-4078-854E-EB12CA155F16}"/>
    <cellStyle name="Migliaia 9 2" xfId="542" xr:uid="{00000000-0005-0000-0000-0000DC040000}"/>
    <cellStyle name="Migliaia 9 2 2" xfId="1956" xr:uid="{00000000-0005-0000-0000-0000DD040000}"/>
    <cellStyle name="Migliaia 9 2 2 2" xfId="5792" xr:uid="{BFBFA100-FEB9-44C2-A459-B6BB61CB1B42}"/>
    <cellStyle name="Migliaia 9 2 2 2 2" xfId="14423" xr:uid="{B0BFA00D-C1FC-40A4-8244-A0424749F5FB}"/>
    <cellStyle name="Migliaia 9 2 2 2 2 2" xfId="35007" xr:uid="{AC3FE6A2-F222-43ED-BED0-6CBCB74FB50E}"/>
    <cellStyle name="Migliaia 9 2 2 2 3" xfId="18542" xr:uid="{88060C41-3F31-4DFD-BD45-7E22C772A760}"/>
    <cellStyle name="Migliaia 9 2 2 2 4" xfId="21218" xr:uid="{827A884F-2297-4927-AC98-1394BD57E0BA}"/>
    <cellStyle name="Migliaia 9 2 2 2 5" xfId="25806" xr:uid="{13C8F7EF-47CF-4AA4-B77B-0A3F3114722C}"/>
    <cellStyle name="Migliaia 9 2 2 2 6" xfId="16955" xr:uid="{3C52D432-37A0-40B9-A252-616280003333}"/>
    <cellStyle name="Migliaia 9 2 2 2 7" xfId="8841" xr:uid="{2BF70959-E540-4643-AEDA-4D8B69BDE9CA}"/>
    <cellStyle name="Migliaia 9 2 2 3" xfId="6956" xr:uid="{44D855AE-E350-4944-9A25-F268D33B01A0}"/>
    <cellStyle name="Migliaia 9 2 2 3 2" xfId="35543" xr:uid="{D58A5DFC-4847-4913-A39B-EB1580BF5B16}"/>
    <cellStyle name="Migliaia 9 2 2 3 2 2" xfId="40703" xr:uid="{F6797B22-9281-461B-8168-E9E3B87F37D6}"/>
    <cellStyle name="Migliaia 9 2 2 3 2 3" xfId="46005" xr:uid="{912214E5-A8CC-4DB6-BF7B-EA727514AE91}"/>
    <cellStyle name="Migliaia 9 2 2 3 3" xfId="38052" xr:uid="{7322B97F-31A9-4115-A3C0-64BF9600E8C8}"/>
    <cellStyle name="Migliaia 9 2 2 3 4" xfId="43354" xr:uid="{042AEE9C-7099-460F-83F7-9C0A2262130F}"/>
    <cellStyle name="Migliaia 9 2 2 3 5" xfId="11650" xr:uid="{5E7786CB-1BE5-4EE3-88E0-2BE010DCE88F}"/>
    <cellStyle name="Migliaia 9 2 2 4" xfId="4066" xr:uid="{EE74782A-71E4-437A-8373-E0D5CF5FF489}"/>
    <cellStyle name="Migliaia 9 2 2 4 2" xfId="21668" xr:uid="{489372CE-3DCA-4271-AA2B-B7DD10E29669}"/>
    <cellStyle name="Migliaia 9 2 2 4 3" xfId="35006" xr:uid="{1091D017-75F8-453E-B6F7-31467AEC38D9}"/>
    <cellStyle name="Migliaia 9 2 2 4 4" xfId="46265" xr:uid="{426D3242-2489-455E-AF44-8E5FE0510014}"/>
    <cellStyle name="Migliaia 9 2 2 4 5" xfId="50683" xr:uid="{5A3C253E-BBC5-4EB0-8D58-F5FE124CD56E}"/>
    <cellStyle name="Migliaia 9 2 2 4 6" xfId="53699" xr:uid="{779EBA15-D160-4626-A0C5-15B0150EB70D}"/>
    <cellStyle name="Migliaia 9 2 2 4 7" xfId="11033" xr:uid="{745BED47-C9A1-4AB7-812E-F46524A5525F}"/>
    <cellStyle name="Migliaia 9 2 2 5" xfId="21217" xr:uid="{A973D641-9C24-43E0-9B77-8E6DBA165D37}"/>
    <cellStyle name="Migliaia 9 2 2 6" xfId="25805" xr:uid="{5FA4BD26-484B-4E96-A5C4-3B092FC59014}"/>
    <cellStyle name="Migliaia 9 2 2 7" xfId="7651" xr:uid="{0A615E37-5462-4424-B951-38A1469AEA2C}"/>
    <cellStyle name="Migliaia 9 2 3" xfId="4067" xr:uid="{9E22674B-5FF0-441B-83AD-475A9E6778D4}"/>
    <cellStyle name="Migliaia 9 2 3 2" xfId="5793" xr:uid="{363E7D07-71C9-45DC-95CB-58BAE52DF23C}"/>
    <cellStyle name="Migliaia 9 2 3 2 2" xfId="35544" xr:uid="{9D8AEEF0-FA8B-45AE-B1A7-D50486DA4ADB}"/>
    <cellStyle name="Migliaia 9 2 3 2 2 2" xfId="40704" xr:uid="{C5DFF0E2-9D0E-4D5E-A210-6AE7FF1C0171}"/>
    <cellStyle name="Migliaia 9 2 3 2 2 3" xfId="46006" xr:uid="{7B9F585C-CE32-4E2D-B56D-8FA5C1448EEF}"/>
    <cellStyle name="Migliaia 9 2 3 2 3" xfId="38053" xr:uid="{4DB3D8F2-BDF9-4476-B9CE-92490160EFDE}"/>
    <cellStyle name="Migliaia 9 2 3 2 4" xfId="43355" xr:uid="{E6EE990B-FB8F-4CAE-82E9-9C6740947554}"/>
    <cellStyle name="Migliaia 9 2 3 2 5" xfId="14360" xr:uid="{3139646C-B71E-4962-91F7-41EF9F414FDE}"/>
    <cellStyle name="Migliaia 9 2 3 3" xfId="6957" xr:uid="{9B95BC2F-78B0-4070-A6C3-E57062AA2922}"/>
    <cellStyle name="Migliaia 9 2 3 3 2" xfId="35008" xr:uid="{F91BE782-0C85-47E1-A697-97F0C743BA3B}"/>
    <cellStyle name="Migliaia 9 2 3 3 3" xfId="21219" xr:uid="{D1D6EFF4-D32F-4314-ACF1-7302989C2CA7}"/>
    <cellStyle name="Migliaia 9 2 3 4" xfId="25807" xr:uid="{8AE75178-C814-4FAA-9144-C18AB37AA229}"/>
    <cellStyle name="Migliaia 9 2 3 5" xfId="16956" xr:uid="{01E7B165-386D-4C93-A219-BD62662E7AF4}"/>
    <cellStyle name="Migliaia 9 2 3 6" xfId="8422" xr:uid="{4194D04D-48CE-456A-8804-1B83897A8079}"/>
    <cellStyle name="Migliaia 9 2 4" xfId="5791" xr:uid="{A2FBE208-FC9C-4E2E-B897-66FEE0A66828}"/>
    <cellStyle name="Migliaia 9 2 4 2" xfId="14065" xr:uid="{133450F3-1E35-445F-B691-28ED4CF22AAF}"/>
    <cellStyle name="Migliaia 9 2 4 2 2" xfId="35009" xr:uid="{EFBBEE48-EF7E-4870-8480-5BC0D56F2680}"/>
    <cellStyle name="Migliaia 9 2 4 3" xfId="18598" xr:uid="{03D0C6D5-E80F-445F-95CF-8BCC7B640BB8}"/>
    <cellStyle name="Migliaia 9 2 4 4" xfId="21220" xr:uid="{D0F4CE51-21F4-4D3F-8E8B-9D8DBF13E4E2}"/>
    <cellStyle name="Migliaia 9 2 4 5" xfId="25808" xr:uid="{9C599DD5-70E0-462A-8165-3B1C2E4E48AF}"/>
    <cellStyle name="Migliaia 9 2 4 6" xfId="16957" xr:uid="{C303E8F6-F057-451B-9D4D-CA13AFFCAD84}"/>
    <cellStyle name="Migliaia 9 2 4 7" xfId="8063" xr:uid="{50EC7600-790B-4EDD-AE03-C0E247852BAA}"/>
    <cellStyle name="Migliaia 9 2 5" xfId="6955" xr:uid="{9DFCFE63-43AD-4B0B-9DF2-77553895702E}"/>
    <cellStyle name="Migliaia 9 2 5 2" xfId="35010" xr:uid="{323C26B2-8E18-43B9-B7EE-E624600F7C0D}"/>
    <cellStyle name="Migliaia 9 2 5 3" xfId="25809" xr:uid="{497484A1-8F29-4993-A26F-44DEBE046432}"/>
    <cellStyle name="Migliaia 9 2 5 4" xfId="13163" xr:uid="{61822D79-D1D9-40EC-BADF-B0C59D13FF3C}"/>
    <cellStyle name="Migliaia 9 2 6" xfId="4065" xr:uid="{9F46BD22-C030-415A-9919-4371D66019F8}"/>
    <cellStyle name="Migliaia 9 2 6 2" xfId="35011" xr:uid="{08405742-5BE4-4E6B-9485-739D146465D3}"/>
    <cellStyle name="Migliaia 9 2 6 3" xfId="25810" xr:uid="{501FFD06-E074-439C-A800-2428728A3874}"/>
    <cellStyle name="Migliaia 9 2 6 4" xfId="21216" xr:uid="{C042833D-07DC-4FF5-B5D9-9E0BF1F740B3}"/>
    <cellStyle name="Migliaia 9 2 7" xfId="35005" xr:uid="{D5A3AE35-E6A4-41C5-AAAA-B69FBCEB490E}"/>
    <cellStyle name="Migliaia 9 2 8" xfId="25804" xr:uid="{C310895E-96C6-4FAF-914C-AEFF5926A788}"/>
    <cellStyle name="Migliaia 9 2 9" xfId="7223" xr:uid="{B9888257-752F-42B5-8BEB-22652EB82BF4}"/>
    <cellStyle name="Migliaia 9 3" xfId="543" xr:uid="{00000000-0005-0000-0000-0000DE040000}"/>
    <cellStyle name="Migliaia 9 3 10" xfId="25811" xr:uid="{84B07822-CF42-4D46-9BE8-EFE065CF031C}"/>
    <cellStyle name="Migliaia 9 3 11" xfId="16958" xr:uid="{4817DEE2-38D2-4927-B822-4D72F4CE2225}"/>
    <cellStyle name="Migliaia 9 3 12" xfId="7224" xr:uid="{524E75A8-5333-4010-9601-48638774EF6D}"/>
    <cellStyle name="Migliaia 9 3 2" xfId="544" xr:uid="{00000000-0005-0000-0000-0000DF040000}"/>
    <cellStyle name="Migliaia 9 3 2 2" xfId="1957" xr:uid="{00000000-0005-0000-0000-0000E0040000}"/>
    <cellStyle name="Migliaia 9 3 2 2 2" xfId="5796" xr:uid="{CDDC0203-C21C-4A10-87F1-0F7AFE69FF84}"/>
    <cellStyle name="Migliaia 9 3 2 2 2 2" xfId="18543" xr:uid="{51EF434D-5979-46B4-86FA-E188850EEEBA}"/>
    <cellStyle name="Migliaia 9 3 2 2 2 2 2" xfId="21901" xr:uid="{BBECBCE8-9721-41ED-9CE9-E3E5148E5009}"/>
    <cellStyle name="Migliaia 9 3 2 2 2 2 3" xfId="35015" xr:uid="{77FE19C7-F144-4075-9C2A-D8C7F080C4C1}"/>
    <cellStyle name="Migliaia 9 3 2 2 2 3" xfId="25814" xr:uid="{84554CA1-42C2-47A6-8047-9C828F30999E}"/>
    <cellStyle name="Migliaia 9 3 2 2 2 4" xfId="25109" xr:uid="{426A5D12-126F-47FD-B8C5-0647E9C57BE9}"/>
    <cellStyle name="Migliaia 9 3 2 2 2 5" xfId="50929" xr:uid="{BC945CDD-3E6A-41EC-B1F3-6A9D65E258E7}"/>
    <cellStyle name="Migliaia 9 3 2 2 2 6" xfId="53945" xr:uid="{AEAE58E0-2ED5-42DF-B026-031EAC03A45B}"/>
    <cellStyle name="Migliaia 9 3 2 2 2 7" xfId="17700" xr:uid="{397391AB-CBE8-41F8-9C81-B2F6901FD152}"/>
    <cellStyle name="Migliaia 9 3 2 2 2 8" xfId="12127" xr:uid="{9830FBF7-8E85-434B-A5D8-F6DA775A6FAD}"/>
    <cellStyle name="Migliaia 9 3 2 2 3" xfId="6960" xr:uid="{321D3ECC-A31A-4337-85B1-97A8A40BE080}"/>
    <cellStyle name="Migliaia 9 3 2 2 3 2" xfId="35014" xr:uid="{1A29D507-E9AD-4862-A999-2F50052A6285}"/>
    <cellStyle name="Migliaia 9 3 2 2 3 3" xfId="12155" xr:uid="{64240603-F188-4651-9818-BC788C94A1CC}"/>
    <cellStyle name="Migliaia 9 3 2 2 4" xfId="4070" xr:uid="{F22EC6BA-7458-449F-80B0-06285C780B46}"/>
    <cellStyle name="Migliaia 9 3 2 2 4 2" xfId="21669" xr:uid="{10F74BB1-B9F0-44D1-AC4A-CAB8C547EB1A}"/>
    <cellStyle name="Migliaia 9 3 2 2 4 3" xfId="47006" xr:uid="{72574C5B-7C88-4285-876A-EEF81307C3F5}"/>
    <cellStyle name="Migliaia 9 3 2 2 4 4" xfId="50684" xr:uid="{076B6966-3EA0-4640-8BE1-3F57CEB354BD}"/>
    <cellStyle name="Migliaia 9 3 2 2 4 5" xfId="53700" xr:uid="{7F25C22D-DB00-4D09-90EA-D1E0A1C25451}"/>
    <cellStyle name="Migliaia 9 3 2 2 4 6" xfId="11034" xr:uid="{46D77535-3F8E-43FD-A388-77BB1CE786E6}"/>
    <cellStyle name="Migliaia 9 3 2 2 5" xfId="21223" xr:uid="{DFE29F63-C970-4CA7-BE2D-F23C18C7B736}"/>
    <cellStyle name="Migliaia 9 3 2 2 6" xfId="25813" xr:uid="{019C9F68-D5E2-4B2A-A909-2348ED4C5AC2}"/>
    <cellStyle name="Migliaia 9 3 2 2 7" xfId="8843" xr:uid="{BB507055-10A9-4793-8A3D-01830495F607}"/>
    <cellStyle name="Migliaia 9 3 2 3" xfId="5795" xr:uid="{6E8A4527-E654-499A-A49A-25D0CCB6B7C3}"/>
    <cellStyle name="Migliaia 9 3 2 3 2" xfId="12392" xr:uid="{D957121B-F2B6-4E03-B5BE-62C8D50E092B}"/>
    <cellStyle name="Migliaia 9 3 2 3 2 2" xfId="35016" xr:uid="{B0C87E26-0EE2-4FAF-B348-5704E7A680A6}"/>
    <cellStyle name="Migliaia 9 3 2 3 3" xfId="12128" xr:uid="{BAA94122-E8C7-4C80-A745-381D0461B546}"/>
    <cellStyle name="Migliaia 9 3 2 3 4" xfId="21224" xr:uid="{35226F61-C209-4632-AFC9-F713B0D69720}"/>
    <cellStyle name="Migliaia 9 3 2 3 5" xfId="25815" xr:uid="{85E9E823-388A-4B71-93C1-7A5AB415CDE0}"/>
    <cellStyle name="Migliaia 9 3 2 3 6" xfId="16959" xr:uid="{04464BE4-D2D2-49D5-924F-CFD89AA1C3D7}"/>
    <cellStyle name="Migliaia 9 3 2 3 7" xfId="8065" xr:uid="{ED40EE81-66F4-4DDC-84F4-F2481B3F6710}"/>
    <cellStyle name="Migliaia 9 3 2 4" xfId="6959" xr:uid="{52FD9F32-6FDE-4CC3-9498-4A84EDCE2A08}"/>
    <cellStyle name="Migliaia 9 3 2 4 2" xfId="18117" xr:uid="{DD07F4E7-8CAB-4692-B726-DDBB9D83A6EB}"/>
    <cellStyle name="Migliaia 9 3 2 4 2 2" xfId="35017" xr:uid="{187ED11E-2D68-45A1-BFCB-505B0228B8C1}"/>
    <cellStyle name="Migliaia 9 3 2 4 3" xfId="25816" xr:uid="{949C76A0-F05F-4200-8988-8CBF5B487B14}"/>
    <cellStyle name="Migliaia 9 3 2 4 4" xfId="17256" xr:uid="{83F7924C-51D0-47B8-8403-116E4BEB4FDB}"/>
    <cellStyle name="Migliaia 9 3 2 4 5" xfId="11480" xr:uid="{5BA2D00A-E0F5-4CE4-A481-9716CC750F43}"/>
    <cellStyle name="Migliaia 9 3 2 5" xfId="4069" xr:uid="{94EA7D00-2BD0-463C-B332-1F8FECCED5D0}"/>
    <cellStyle name="Migliaia 9 3 2 5 2" xfId="35018" xr:uid="{3C47FABB-3A38-48B8-AD90-B7BFFCCE67CF}"/>
    <cellStyle name="Migliaia 9 3 2 5 3" xfId="25817" xr:uid="{56D17547-0149-4D17-A1CF-E2C7FCB93280}"/>
    <cellStyle name="Migliaia 9 3 2 5 4" xfId="17068" xr:uid="{FBD1D2D5-E375-489A-B915-DAC93D605C79}"/>
    <cellStyle name="Migliaia 9 3 2 6" xfId="21222" xr:uid="{1D36E54B-7641-4A8C-9B2E-E5BE4BD2AFC1}"/>
    <cellStyle name="Migliaia 9 3 2 6 2" xfId="35019" xr:uid="{09FB56E1-BB63-48AD-9BAC-FA0139278360}"/>
    <cellStyle name="Migliaia 9 3 2 6 3" xfId="25818" xr:uid="{05A0C721-58A0-46BB-AA5D-B08792D50161}"/>
    <cellStyle name="Migliaia 9 3 2 7" xfId="35013" xr:uid="{6CF623DE-1FC1-4AB6-861F-7FF7DEFF6891}"/>
    <cellStyle name="Migliaia 9 3 2 8" xfId="25812" xr:uid="{3EBF86C8-4EE5-4F67-86CC-1E683193619D}"/>
    <cellStyle name="Migliaia 9 3 2 9" xfId="7653" xr:uid="{F32E78E6-2FAD-44B8-BD25-705187320D2D}"/>
    <cellStyle name="Migliaia 9 3 3" xfId="4071" xr:uid="{ACCBB988-B4CC-4E81-8161-8B8CC9D214CB}"/>
    <cellStyle name="Migliaia 9 3 3 2" xfId="5797" xr:uid="{5CC1DB42-7175-4C9A-BF4E-CE88C1FD1985}"/>
    <cellStyle name="Migliaia 9 3 3 2 2" xfId="10002" xr:uid="{E546449D-63E7-4A5B-A7E9-339A1B49C0E1}"/>
    <cellStyle name="Migliaia 9 3 3 2 2 2" xfId="35021" xr:uid="{626D95A4-8D79-4C61-8034-C909E415C944}"/>
    <cellStyle name="Migliaia 9 3 3 2 3" xfId="18282" xr:uid="{8905C512-4C70-4D01-A855-7A0CE70C6632}"/>
    <cellStyle name="Migliaia 9 3 3 2 4" xfId="21226" xr:uid="{2BD9055C-7BB5-49E9-898E-A3C1FD1BC9B9}"/>
    <cellStyle name="Migliaia 9 3 3 2 5" xfId="25820" xr:uid="{167F5678-2251-4271-80D1-2DCB9360DD91}"/>
    <cellStyle name="Migliaia 9 3 3 2 6" xfId="16961" xr:uid="{B1D6547E-791B-4C1F-9EFF-55C766EDE981}"/>
    <cellStyle name="Migliaia 9 3 3 2 7" xfId="8842" xr:uid="{D026CB18-7562-4771-8AF2-AE0566520233}"/>
    <cellStyle name="Migliaia 9 3 3 3" xfId="6961" xr:uid="{56A598A3-9B07-42EC-AA28-9AF25CBD90DE}"/>
    <cellStyle name="Migliaia 9 3 3 3 2" xfId="35022" xr:uid="{CD713A11-C175-48E7-8DF6-85F522F9BA60}"/>
    <cellStyle name="Migliaia 9 3 3 3 3" xfId="25821" xr:uid="{ECB85467-33C1-44CE-A165-56B0CDA1688D}"/>
    <cellStyle name="Migliaia 9 3 3 3 4" xfId="9765" xr:uid="{589573EA-9127-43C1-A1A4-DD54C8A65D0F}"/>
    <cellStyle name="Migliaia 9 3 3 4" xfId="21225" xr:uid="{89BC17DB-8A0C-489E-BCCA-1932767D3FFB}"/>
    <cellStyle name="Migliaia 9 3 3 4 2" xfId="35023" xr:uid="{A527CB08-7C9F-4F9E-B4FD-ED52507A431D}"/>
    <cellStyle name="Migliaia 9 3 3 4 3" xfId="25822" xr:uid="{7CDD60D7-AD26-40FF-9182-A40020CBE179}"/>
    <cellStyle name="Migliaia 9 3 3 4 4" xfId="48926" xr:uid="{6FAE8750-E170-45EB-821D-96AD40169D4A}"/>
    <cellStyle name="Migliaia 9 3 3 5" xfId="25823" xr:uid="{1621BB3E-8463-4BA9-82C8-F8D1363D92DB}"/>
    <cellStyle name="Migliaia 9 3 3 5 2" xfId="35024" xr:uid="{6BE8F888-735A-43BE-99AB-453218E87C58}"/>
    <cellStyle name="Migliaia 9 3 3 5 3" xfId="48927" xr:uid="{8A8C7BEA-954B-4D30-AB75-B13DE399F939}"/>
    <cellStyle name="Migliaia 9 3 3 6" xfId="35020" xr:uid="{2553E789-6FD0-4352-8A92-AAB986E64DA4}"/>
    <cellStyle name="Migliaia 9 3 3 7" xfId="25819" xr:uid="{155ECBD0-931F-4D60-81DE-CD0DDA2ED0F1}"/>
    <cellStyle name="Migliaia 9 3 3 8" xfId="16960" xr:uid="{1761E77F-4F05-4562-8D05-238E77C44AF7}"/>
    <cellStyle name="Migliaia 9 3 3 9" xfId="7652" xr:uid="{0A3B3DB9-8270-4987-A46C-3D29BF82A03D}"/>
    <cellStyle name="Migliaia 9 3 4" xfId="4072" xr:uid="{28EB31A9-0C2D-4A8A-8F64-C871DBEFFD12}"/>
    <cellStyle name="Migliaia 9 3 4 2" xfId="5798" xr:uid="{748AF8FE-108D-402E-BFF6-8EAC4EFFC186}"/>
    <cellStyle name="Migliaia 9 3 4 2 2" xfId="14483" xr:uid="{1CCDF4A9-74FA-4BC6-B96F-91715FE9A2CD}"/>
    <cellStyle name="Migliaia 9 3 4 2 3" xfId="18139" xr:uid="{6729FE85-F76D-425A-A56B-CADDDE510F69}"/>
    <cellStyle name="Migliaia 9 3 4 2 4" xfId="21228" xr:uid="{BCFB046D-EC41-4D68-939A-2511680F3C3A}"/>
    <cellStyle name="Migliaia 9 3 4 2 5" xfId="32495" xr:uid="{7AAC43D7-167A-44BB-A593-E98FE2BF31E7}"/>
    <cellStyle name="Migliaia 9 3 4 2 6" xfId="16963" xr:uid="{5A0FD6C4-EB28-43EC-BF2C-97733CD4C01A}"/>
    <cellStyle name="Migliaia 9 3 4 2 7" xfId="8906" xr:uid="{AA1F1B02-49F4-426E-944B-9A534B834FAB}"/>
    <cellStyle name="Migliaia 9 3 4 3" xfId="6962" xr:uid="{55D4BD7E-3B72-4671-B2A5-71BB2B8C1078}"/>
    <cellStyle name="Migliaia 9 3 4 3 2" xfId="35545" xr:uid="{B141E22B-4536-4689-AB85-43EE169E2A13}"/>
    <cellStyle name="Migliaia 9 3 4 3 2 2" xfId="40705" xr:uid="{515756AC-1409-4784-AA54-818BD013EA64}"/>
    <cellStyle name="Migliaia 9 3 4 3 2 3" xfId="46007" xr:uid="{89024393-EDFB-4696-A1F7-62D54493DF50}"/>
    <cellStyle name="Migliaia 9 3 4 3 3" xfId="38054" xr:uid="{29425DF4-7DD6-40F2-BD0E-8C36EC2560FC}"/>
    <cellStyle name="Migliaia 9 3 4 3 4" xfId="43356" xr:uid="{BD82AF49-D81C-4180-A647-715C52680A69}"/>
    <cellStyle name="Migliaia 9 3 4 3 5" xfId="13731" xr:uid="{CEBD1B28-3EEC-453E-B63E-07691DBC809C}"/>
    <cellStyle name="Migliaia 9 3 4 4" xfId="21227" xr:uid="{582EFDB7-6110-4FFF-9ED7-C1A229F183CE}"/>
    <cellStyle name="Migliaia 9 3 4 4 2" xfId="35025" xr:uid="{1E2613F1-D171-4894-A6C4-647C78155357}"/>
    <cellStyle name="Migliaia 9 3 4 5" xfId="25824" xr:uid="{B5AF64DD-67F8-4396-A9C4-D49D7B7B7929}"/>
    <cellStyle name="Migliaia 9 3 4 6" xfId="16962" xr:uid="{5B84465C-9CA7-4971-A8B2-6497B8474B93}"/>
    <cellStyle name="Migliaia 9 3 4 7" xfId="7716" xr:uid="{3816E0F3-06B8-4001-94F4-69D22D668A6B}"/>
    <cellStyle name="Migliaia 9 3 5" xfId="4073" xr:uid="{FE7CB2C8-0CE2-4DF1-BAD3-427B3D8C5331}"/>
    <cellStyle name="Migliaia 9 3 5 2" xfId="5799" xr:uid="{870833B1-1FE1-44F1-AD59-B76F4DCF9663}"/>
    <cellStyle name="Migliaia 9 3 5 2 2" xfId="35546" xr:uid="{E3F25165-05FF-45BF-9A43-1EE949FD8F67}"/>
    <cellStyle name="Migliaia 9 3 5 2 2 2" xfId="40706" xr:uid="{7378D3A8-597E-4C46-89BE-FDE29ACD06B8}"/>
    <cellStyle name="Migliaia 9 3 5 2 2 3" xfId="46008" xr:uid="{10F73268-0930-44A4-BF45-3B8326BAE18E}"/>
    <cellStyle name="Migliaia 9 3 5 2 3" xfId="38055" xr:uid="{C69EE27A-BFB4-4A68-84F7-ADF9EB93C7D6}"/>
    <cellStyle name="Migliaia 9 3 5 2 4" xfId="43357" xr:uid="{E690FB4D-B16D-4C24-9DAF-0990A8711B3C}"/>
    <cellStyle name="Migliaia 9 3 5 2 5" xfId="14361" xr:uid="{B2375B97-A58C-44C7-B274-6E970E248B31}"/>
    <cellStyle name="Migliaia 9 3 5 3" xfId="6963" xr:uid="{E6B56958-97E7-4BA1-8C07-B4634415B666}"/>
    <cellStyle name="Migliaia 9 3 5 3 2" xfId="35026" xr:uid="{88E5DD48-1837-4A08-AFEC-7F4C134D50CA}"/>
    <cellStyle name="Migliaia 9 3 5 3 3" xfId="21229" xr:uid="{6AB63477-581F-4580-BEB3-649273A4E382}"/>
    <cellStyle name="Migliaia 9 3 5 4" xfId="25825" xr:uid="{62947019-BFFB-4C39-9E0A-AE16BD854A50}"/>
    <cellStyle name="Migliaia 9 3 5 5" xfId="16964" xr:uid="{ED65BCF2-DD61-4054-B024-77BC770CBA95}"/>
    <cellStyle name="Migliaia 9 3 5 6" xfId="8423" xr:uid="{0A9D807C-1C14-4E13-9771-F3CB9F0906E7}"/>
    <cellStyle name="Migliaia 9 3 6" xfId="5794" xr:uid="{7A860B01-E80A-4046-89AE-ECBD52ACEE64}"/>
    <cellStyle name="Migliaia 9 3 6 2" xfId="14066" xr:uid="{ED9E5710-8C68-4B7E-A703-1A9C14E630BC}"/>
    <cellStyle name="Migliaia 9 3 6 2 2" xfId="35027" xr:uid="{FCCBA6D5-91DF-4B1B-9F22-31C5E8BDB9A5}"/>
    <cellStyle name="Migliaia 9 3 6 3" xfId="18030" xr:uid="{6EEEDB2A-EE48-4325-9CDB-C3BB5E5A78B8}"/>
    <cellStyle name="Migliaia 9 3 6 4" xfId="21230" xr:uid="{9DEA2B95-2DA2-4164-9BC1-FD952606BF10}"/>
    <cellStyle name="Migliaia 9 3 6 5" xfId="25826" xr:uid="{99B9F7CA-6ED7-487E-AC6A-4DFECE141FB3}"/>
    <cellStyle name="Migliaia 9 3 6 6" xfId="16965" xr:uid="{94FC6A7A-87E3-49C4-87E6-934AEE963555}"/>
    <cellStyle name="Migliaia 9 3 6 7" xfId="8064" xr:uid="{11D65983-3339-485D-8EFF-D20BF1637781}"/>
    <cellStyle name="Migliaia 9 3 7" xfId="6958" xr:uid="{CB9DC3F6-A8F6-487A-A899-FF20B6FEB8CA}"/>
    <cellStyle name="Migliaia 9 3 7 2" xfId="35028" xr:uid="{61263095-70BD-4B9F-B03E-EF8EEF75CC01}"/>
    <cellStyle name="Migliaia 9 3 7 3" xfId="25827" xr:uid="{3A0FB1B0-8662-481C-8101-392465449D05}"/>
    <cellStyle name="Migliaia 9 3 7 4" xfId="12289" xr:uid="{72C74E1F-0622-48EC-AF55-A55E67563EA6}"/>
    <cellStyle name="Migliaia 9 3 8" xfId="4068" xr:uid="{FE2D2938-20C8-44E3-839F-05F5401798B3}"/>
    <cellStyle name="Migliaia 9 3 8 2" xfId="35029" xr:uid="{C198B50B-0896-4075-A968-7C854C646B5D}"/>
    <cellStyle name="Migliaia 9 3 8 3" xfId="25828" xr:uid="{5A371847-2FBA-4791-B654-4617FA649A97}"/>
    <cellStyle name="Migliaia 9 3 8 4" xfId="17069" xr:uid="{971C2EE1-41BA-41C0-B463-603DE7D744AF}"/>
    <cellStyle name="Migliaia 9 3 9" xfId="21221" xr:uid="{B551B788-FD22-4059-AC7F-06F3441603E0}"/>
    <cellStyle name="Migliaia 9 3 9 2" xfId="35012" xr:uid="{5F2E0199-F5D9-49FB-BEFA-83FEDC5A1990}"/>
    <cellStyle name="Migliaia 9 4" xfId="1958" xr:uid="{00000000-0005-0000-0000-0000E1040000}"/>
    <cellStyle name="Migliaia 9 4 10" xfId="7654" xr:uid="{043134D7-C236-4A3E-AE70-9DEDCC922EEF}"/>
    <cellStyle name="Migliaia 9 4 2" xfId="1959" xr:uid="{00000000-0005-0000-0000-0000E2040000}"/>
    <cellStyle name="Migliaia 9 4 2 2" xfId="5801" xr:uid="{4441B9B0-3F93-4E61-8ADA-3E3A56CCF627}"/>
    <cellStyle name="Migliaia 9 4 2 2 2" xfId="35032" xr:uid="{647093B1-32B9-4775-8F8C-61191642D400}"/>
    <cellStyle name="Migliaia 9 4 2 2 3" xfId="25831" xr:uid="{1C958E6F-0FEC-420A-9811-5B063D33045A}"/>
    <cellStyle name="Migliaia 9 4 2 2 4" xfId="9228" xr:uid="{2BDC43E0-04EA-4071-8D6D-A6F036FC65D3}"/>
    <cellStyle name="Migliaia 9 4 2 3" xfId="4075" xr:uid="{CB3B3AF3-0326-470A-A417-3CE8AC3F69A0}"/>
    <cellStyle name="Migliaia 9 4 2 3 2" xfId="35033" xr:uid="{4DFBC43B-4DA9-4C68-8576-B0A523656056}"/>
    <cellStyle name="Migliaia 9 4 2 3 3" xfId="25832" xr:uid="{8A39FB0A-82A9-4B26-905B-5D3FE9201A0A}"/>
    <cellStyle name="Migliaia 9 4 2 3 4" xfId="12129" xr:uid="{7F59A072-FA73-4604-BE65-8F6F0258CCB9}"/>
    <cellStyle name="Migliaia 9 4 2 4" xfId="11482" xr:uid="{6840BFE6-BBF2-4B52-A5A9-5A3186EEDB7C}"/>
    <cellStyle name="Migliaia 9 4 2 4 2" xfId="35031" xr:uid="{E14CDE76-89CC-40CC-B152-D68713EA4109}"/>
    <cellStyle name="Migliaia 9 4 2 5" xfId="11036" xr:uid="{8047A570-A2A0-436D-863F-9EDB4D0B5247}"/>
    <cellStyle name="Migliaia 9 4 2 5 2" xfId="21671" xr:uid="{1985E927-F96E-4F5B-953A-D2313763F50D}"/>
    <cellStyle name="Migliaia 9 4 2 5 3" xfId="46715" xr:uid="{27747C98-2D0E-4D2D-B3DF-C4D4331868C1}"/>
    <cellStyle name="Migliaia 9 4 2 5 4" xfId="50686" xr:uid="{DDA31782-16E5-4BE5-B127-A96D92940065}"/>
    <cellStyle name="Migliaia 9 4 2 5 5" xfId="53702" xr:uid="{A00FA59A-438A-4067-B21C-F8B76F5C2479}"/>
    <cellStyle name="Migliaia 9 4 2 6" xfId="21232" xr:uid="{930506EB-EB37-49C8-8299-B6C397B877E8}"/>
    <cellStyle name="Migliaia 9 4 2 7" xfId="25830" xr:uid="{4CDE14C8-F52B-47CD-85EF-3E3C3139EF1F}"/>
    <cellStyle name="Migliaia 9 4 2 8" xfId="8844" xr:uid="{A17F92AE-2743-4BA0-BAA6-82EEBFC7800A}"/>
    <cellStyle name="Migliaia 9 4 3" xfId="5800" xr:uid="{B800EBF7-E588-4B1B-954C-B1D3D115C02F}"/>
    <cellStyle name="Migliaia 9 4 3 2" xfId="18283" xr:uid="{CB3CAB25-B73F-483A-83D7-B62439D42E5D}"/>
    <cellStyle name="Migliaia 9 4 3 2 2" xfId="35034" xr:uid="{4B2A86E2-8E52-4BAC-A393-C5E4E3D3BB52}"/>
    <cellStyle name="Migliaia 9 4 3 3" xfId="25833" xr:uid="{D39DEB47-77B2-4A21-9F9B-992710B1D636}"/>
    <cellStyle name="Migliaia 9 4 3 4" xfId="17067" xr:uid="{DF20BD73-6167-4D1A-BF10-09462E911910}"/>
    <cellStyle name="Migliaia 9 4 3 5" xfId="9229" xr:uid="{41517645-1E9C-4A03-821F-06A1EFF1AF9C}"/>
    <cellStyle name="Migliaia 9 4 4" xfId="6964" xr:uid="{E1A24F35-522C-490D-B37D-684CD12704B9}"/>
    <cellStyle name="Migliaia 9 4 4 2" xfId="35035" xr:uid="{6C6D3944-2D1D-4B75-A306-EA9BD1904EB1}"/>
    <cellStyle name="Migliaia 9 4 4 3" xfId="25834" xr:uid="{DD23E1A7-A0DC-40A6-9DF6-7F7E206F5B09}"/>
    <cellStyle name="Migliaia 9 4 4 4" xfId="12130" xr:uid="{01E695F9-B3AE-41E3-B853-B234E4E22ECC}"/>
    <cellStyle name="Migliaia 9 4 5" xfId="4074" xr:uid="{13735715-4017-443A-BD7A-B70E08B12325}"/>
    <cellStyle name="Migliaia 9 4 5 2" xfId="35036" xr:uid="{6DD36D7E-0607-4D0D-A540-1B62B9FBF65A}"/>
    <cellStyle name="Migliaia 9 4 5 3" xfId="25835" xr:uid="{E4DC3EFE-BF89-4A2F-AAB8-479E051D359F}"/>
    <cellStyle name="Migliaia 9 4 5 4" xfId="11481" xr:uid="{F8DF6D6B-ED86-4A86-A923-1DA29EC9E1F3}"/>
    <cellStyle name="Migliaia 9 4 6" xfId="11035" xr:uid="{749467CD-139F-4FDB-B0E8-35DB1AEE3B8C}"/>
    <cellStyle name="Migliaia 9 4 6 2" xfId="21670" xr:uid="{5E7582CB-500B-4C06-BFB3-F1CF9C6EC797}"/>
    <cellStyle name="Migliaia 9 4 6 2 2" xfId="35037" xr:uid="{1A1000BA-1F21-47DE-8144-253DE00DD929}"/>
    <cellStyle name="Migliaia 9 4 6 3" xfId="25836" xr:uid="{80F59D56-76CB-462F-88A5-97C49B303066}"/>
    <cellStyle name="Migliaia 9 4 6 4" xfId="47516" xr:uid="{FB401D88-5B0C-446D-8B19-7F3A43E68E30}"/>
    <cellStyle name="Migliaia 9 4 6 5" xfId="48928" xr:uid="{A5744524-52E8-44BA-90BA-7F76CB4973C2}"/>
    <cellStyle name="Migliaia 9 4 6 6" xfId="50685" xr:uid="{04CBB422-8A27-44E7-ADBB-5A7BB1AE5E91}"/>
    <cellStyle name="Migliaia 9 4 6 7" xfId="53701" xr:uid="{52E8C7F1-D695-40B0-A671-C249DD6870F8}"/>
    <cellStyle name="Migliaia 9 4 7" xfId="21231" xr:uid="{D505C79F-F378-4DFF-AF2F-92C341F2F4FC}"/>
    <cellStyle name="Migliaia 9 4 7 2" xfId="35038" xr:uid="{A34FF172-2B55-4E5C-B460-A58D4234F11B}"/>
    <cellStyle name="Migliaia 9 4 7 3" xfId="25837" xr:uid="{6C3C600F-0347-4A26-B164-EFE9542CA8C4}"/>
    <cellStyle name="Migliaia 9 4 8" xfId="35030" xr:uid="{55994591-D9B6-4E7F-A76E-E0D07BE52C21}"/>
    <cellStyle name="Migliaia 9 4 9" xfId="25829" xr:uid="{8F1F5023-3582-4A07-9689-9868571CD4B2}"/>
    <cellStyle name="Migliaia 9 5" xfId="1960" xr:uid="{00000000-0005-0000-0000-0000E3040000}"/>
    <cellStyle name="Migliaia 9 5 2" xfId="5802" xr:uid="{FB2698D1-A43A-4FAD-8626-45CACFE46F64}"/>
    <cellStyle name="Migliaia 9 5 2 2" xfId="18544" xr:uid="{479193F4-2BF8-4F81-9792-4998F1BF9FCB}"/>
    <cellStyle name="Migliaia 9 5 2 2 2" xfId="35040" xr:uid="{A2B81643-CD1D-4CBD-BCAC-9A85C092612E}"/>
    <cellStyle name="Migliaia 9 5 2 3" xfId="21234" xr:uid="{34DA00D1-C8FA-4C54-B72C-3457C3F98E06}"/>
    <cellStyle name="Migliaia 9 5 2 4" xfId="25839" xr:uid="{1FD3E17A-F09C-4A55-B3F8-C822998E76A3}"/>
    <cellStyle name="Migliaia 9 5 2 5" xfId="16966" xr:uid="{B5BDC54D-C439-41B3-AD99-91DFDA1E5147}"/>
    <cellStyle name="Migliaia 9 5 2 6" xfId="8845" xr:uid="{073D3E82-5982-4E3F-B608-6628B548B1CB}"/>
    <cellStyle name="Migliaia 9 5 3" xfId="6965" xr:uid="{4C01C900-B544-4381-B041-EE5DA3CF58F4}"/>
    <cellStyle name="Migliaia 9 5 3 2" xfId="35041" xr:uid="{DA2A1BCA-199A-4682-AD58-9985B4142F23}"/>
    <cellStyle name="Migliaia 9 5 3 3" xfId="25840" xr:uid="{BBF12B61-310E-4F1F-9781-C30282889546}"/>
    <cellStyle name="Migliaia 9 5 3 4" xfId="11483" xr:uid="{E9423140-03D3-47E3-BF17-334519C59A41}"/>
    <cellStyle name="Migliaia 9 5 4" xfId="4076" xr:uid="{C892A0DE-2216-424B-9103-E03B3A83A33C}"/>
    <cellStyle name="Migliaia 9 5 4 2" xfId="21672" xr:uid="{25E7D16B-A3F4-4956-BC18-468C973D4791}"/>
    <cellStyle name="Migliaia 9 5 4 2 2" xfId="35042" xr:uid="{C062FEEE-45EA-44A9-AA6F-07888A458220}"/>
    <cellStyle name="Migliaia 9 5 4 3" xfId="25841" xr:uid="{4101C909-EA74-477C-9F26-92150C11ECB0}"/>
    <cellStyle name="Migliaia 9 5 4 4" xfId="48260" xr:uid="{7FE9664C-F454-4F3D-A76A-EE42226F5766}"/>
    <cellStyle name="Migliaia 9 5 4 5" xfId="48929" xr:uid="{6428BB1A-BD27-45D8-97B3-E1F19F1ADA6E}"/>
    <cellStyle name="Migliaia 9 5 4 6" xfId="50687" xr:uid="{634F156D-500C-4CA4-A83E-7F82466023CD}"/>
    <cellStyle name="Migliaia 9 5 4 7" xfId="53703" xr:uid="{31C4F6B3-706B-4E93-8A8A-C57345E8E38C}"/>
    <cellStyle name="Migliaia 9 5 4 8" xfId="11037" xr:uid="{77AB1AE4-0526-4120-80DC-03D90B01FC97}"/>
    <cellStyle name="Migliaia 9 5 5" xfId="21233" xr:uid="{85BF6354-BE2F-4109-A104-CCC807C65F6C}"/>
    <cellStyle name="Migliaia 9 5 5 2" xfId="35043" xr:uid="{A69D6063-2B8B-4D93-8068-1FA9F2F5EB76}"/>
    <cellStyle name="Migliaia 9 5 5 3" xfId="25842" xr:uid="{1C2A0D31-5467-49A4-94B0-BD6B75816027}"/>
    <cellStyle name="Migliaia 9 5 5 4" xfId="48930" xr:uid="{56A0D999-7628-4E1D-8A1A-814153694534}"/>
    <cellStyle name="Migliaia 9 5 6" xfId="25843" xr:uid="{77665FD0-5E96-4D53-9BA3-973DD7825280}"/>
    <cellStyle name="Migliaia 9 5 6 2" xfId="35044" xr:uid="{4453CA8B-3D97-4AC8-AA23-FE8B18BF78E6}"/>
    <cellStyle name="Migliaia 9 5 7" xfId="35039" xr:uid="{C405E3FF-D5C0-433E-AD95-ADDE40E5789E}"/>
    <cellStyle name="Migliaia 9 5 8" xfId="25838" xr:uid="{9D52287A-41C3-41F3-A508-95FF60DB4BE3}"/>
    <cellStyle name="Migliaia 9 5 9" xfId="7655" xr:uid="{8E7CC24B-EA7A-4058-8136-3A4EF795D4E3}"/>
    <cellStyle name="Migliaia 9 6" xfId="4077" xr:uid="{AC151E29-A1AF-4C68-924F-815A5E009242}"/>
    <cellStyle name="Migliaia 9 6 2" xfId="5803" xr:uid="{54886909-D92F-4806-9016-78D7081B275C}"/>
    <cellStyle name="Migliaia 9 6 2 2" xfId="10001" xr:uid="{6C1F5EE2-12C7-4B10-A55A-F649B7B16990}"/>
    <cellStyle name="Migliaia 9 6 2 3" xfId="18594" xr:uid="{226C846D-EB80-4FB5-9202-61B45F9D9BA5}"/>
    <cellStyle name="Migliaia 9 6 2 4" xfId="21236" xr:uid="{1C98370E-5C32-4FC8-8BC6-8FFA0F7C6DF3}"/>
    <cellStyle name="Migliaia 9 6 2 5" xfId="32496" xr:uid="{781403E7-79FB-45D2-9E7E-75181173B1C4}"/>
    <cellStyle name="Migliaia 9 6 2 6" xfId="16968" xr:uid="{5BD6572D-3903-43CF-9276-18F592EA52E7}"/>
    <cellStyle name="Migliaia 9 6 2 7" xfId="8840" xr:uid="{B347AB4E-D4FF-40E5-AA13-EEA36B1A4F0E}"/>
    <cellStyle name="Migliaia 9 6 3" xfId="6966" xr:uid="{870C5297-9DCE-4C76-B85E-63B612C18B9A}"/>
    <cellStyle name="Migliaia 9 6 3 2" xfId="35547" xr:uid="{70426EC2-80D0-4D2D-9EA8-9601B4E57D8A}"/>
    <cellStyle name="Migliaia 9 6 3 2 2" xfId="40707" xr:uid="{18D61EAA-B53E-4A5A-955C-C0F5CA58581D}"/>
    <cellStyle name="Migliaia 9 6 3 2 3" xfId="46009" xr:uid="{F0D91B48-9C0B-4440-9C61-BF1B920687F5}"/>
    <cellStyle name="Migliaia 9 6 3 3" xfId="38056" xr:uid="{085C8F58-99DB-4848-B34E-AC7FDBAF01F9}"/>
    <cellStyle name="Migliaia 9 6 3 4" xfId="43358" xr:uid="{44710E45-88B0-44E3-B799-9910B57105F7}"/>
    <cellStyle name="Migliaia 9 6 3 5" xfId="9764" xr:uid="{0127F633-0C84-4362-BECE-26FEEC9611A7}"/>
    <cellStyle name="Migliaia 9 6 4" xfId="21235" xr:uid="{14AA7376-5557-449C-BF06-9D5C6F81A53F}"/>
    <cellStyle name="Migliaia 9 6 4 2" xfId="35045" xr:uid="{FE9FF43D-EED3-4F5C-9BC4-3235B157B6AC}"/>
    <cellStyle name="Migliaia 9 6 5" xfId="25844" xr:uid="{C7C635FA-D2CC-44A3-8C3F-73A8CFBADB2C}"/>
    <cellStyle name="Migliaia 9 6 6" xfId="16967" xr:uid="{9CBB6869-172F-4CA1-819C-D9703A234C39}"/>
    <cellStyle name="Migliaia 9 6 7" xfId="7650" xr:uid="{6EC0F1AF-457C-4E02-9168-5DAEAF1C6021}"/>
    <cellStyle name="Migliaia 9 7" xfId="4078" xr:uid="{992C413C-790E-4247-9C76-33C89B0CC7B1}"/>
    <cellStyle name="Migliaia 9 7 2" xfId="5804" xr:uid="{4F74F1E8-EE86-4F77-8E1B-31C5D8529E11}"/>
    <cellStyle name="Migliaia 9 7 2 2" xfId="35548" xr:uid="{016AAEAA-28B2-4E49-924F-3A5DB3233250}"/>
    <cellStyle name="Migliaia 9 7 2 2 2" xfId="40708" xr:uid="{14B7CD83-6818-47F6-A0DB-2C476AEBE747}"/>
    <cellStyle name="Migliaia 9 7 2 2 3" xfId="46010" xr:uid="{A324A435-FB0B-435E-A1F8-A18C9A6D4FC2}"/>
    <cellStyle name="Migliaia 9 7 2 3" xfId="38057" xr:uid="{935482EF-B838-4467-9BC2-ED04CD108E8C}"/>
    <cellStyle name="Migliaia 9 7 2 4" xfId="43359" xr:uid="{F2080A7A-71BE-4428-801C-969819B002EC}"/>
    <cellStyle name="Migliaia 9 7 2 5" xfId="14359" xr:uid="{404B528D-1429-40DF-A547-0CFDCC66FEA9}"/>
    <cellStyle name="Migliaia 9 7 3" xfId="6967" xr:uid="{9F1D38D3-D47E-44EB-8ABD-EC9889845EB0}"/>
    <cellStyle name="Migliaia 9 7 3 2" xfId="35046" xr:uid="{C1001A7D-278C-42AD-AEA8-DF861FC2C870}"/>
    <cellStyle name="Migliaia 9 7 3 3" xfId="21237" xr:uid="{8FD002C9-CB02-4815-BB91-2E7BCF7AC271}"/>
    <cellStyle name="Migliaia 9 7 4" xfId="25845" xr:uid="{B52BD695-4F62-422F-A945-BE046F681C6D}"/>
    <cellStyle name="Migliaia 9 7 5" xfId="16969" xr:uid="{504B94DE-32E6-46FE-8A45-7AC4B4A37A22}"/>
    <cellStyle name="Migliaia 9 7 6" xfId="8421" xr:uid="{A4DCB5AA-20C3-4E61-B570-9D97B91E44C4}"/>
    <cellStyle name="Migliaia 9 8" xfId="4079" xr:uid="{20B4D4BC-F145-4805-A6B0-84C6DA625243}"/>
    <cellStyle name="Migliaia 9 8 2" xfId="5805" xr:uid="{DD4C9894-6954-438B-957F-8A07AE879E66}"/>
    <cellStyle name="Migliaia 9 8 2 2" xfId="35549" xr:uid="{3C75C1D4-B5D2-4B28-8BB4-69BF5A133FA8}"/>
    <cellStyle name="Migliaia 9 8 2 2 2" xfId="40709" xr:uid="{635E5D68-5DD6-464E-80E1-0E316FC2EBF6}"/>
    <cellStyle name="Migliaia 9 8 2 2 3" xfId="46011" xr:uid="{32A10C0B-FBC6-4699-A5E1-9DED9F91DDD0}"/>
    <cellStyle name="Migliaia 9 8 2 3" xfId="38058" xr:uid="{C7A50851-4ABF-4255-94FE-429C59F15E42}"/>
    <cellStyle name="Migliaia 9 8 2 4" xfId="43360" xr:uid="{4D716847-50EC-46D3-9F55-D3118C2E9FCF}"/>
    <cellStyle name="Migliaia 9 8 2 5" xfId="14064" xr:uid="{16584684-89D4-41F7-8048-BB2764055A0B}"/>
    <cellStyle name="Migliaia 9 8 3" xfId="6968" xr:uid="{C71300A4-7314-4365-B508-262A5D358FB4}"/>
    <cellStyle name="Migliaia 9 8 3 2" xfId="35047" xr:uid="{A9FBE340-2204-4BC9-A9E7-9A8847150223}"/>
    <cellStyle name="Migliaia 9 8 3 3" xfId="21238" xr:uid="{A20CAA5A-E53E-4F7B-94C5-BC449FDDDD1E}"/>
    <cellStyle name="Migliaia 9 8 4" xfId="25846" xr:uid="{B1CCC46D-CC3B-4399-8750-ED6D662B5D19}"/>
    <cellStyle name="Migliaia 9 8 5" xfId="16970" xr:uid="{5A35876C-8A6E-4A4A-BD67-FEEE28635902}"/>
    <cellStyle name="Migliaia 9 8 6" xfId="8062" xr:uid="{ADA43F90-BA53-45A2-BB77-DBD185BECFD1}"/>
    <cellStyle name="Migliaia 9 9" xfId="5790" xr:uid="{69CC92EF-BF99-4C81-822E-6FF38615C59E}"/>
    <cellStyle name="Migliaia 9 9 2" xfId="35048" xr:uid="{CAF3A3BC-A10C-4FB4-82E5-3E501843C5B9}"/>
    <cellStyle name="Migliaia 9 9 3" xfId="25847" xr:uid="{F6FECE83-43F6-4EA8-9A96-102B4E1C8E6E}"/>
    <cellStyle name="Migliaia 9 9 4" xfId="17255" xr:uid="{299F2705-40D9-4655-A6D6-56F98384D707}"/>
    <cellStyle name="Neutral 2" xfId="1961" xr:uid="{00000000-0005-0000-0000-0000E4040000}"/>
    <cellStyle name="Neutral 2 2" xfId="12131" xr:uid="{C899570C-600D-4F6C-8939-A03F56BF4FFF}"/>
    <cellStyle name="Neutral 2 2 2" xfId="35050" xr:uid="{52B7C439-5DFB-4EA3-9A34-5C0D5AD01D08}"/>
    <cellStyle name="Neutral 2 2 3" xfId="25849" xr:uid="{A81A9AB3-E5D8-48BF-B653-931E3BEF8F40}"/>
    <cellStyle name="Neutral 2 3" xfId="11146" xr:uid="{744A3589-8C13-4F86-828A-5D898C77BD9D}"/>
    <cellStyle name="Neutral 2 3 2" xfId="35049" xr:uid="{4A3305C7-95BA-4CA0-B961-DDB4372857F2}"/>
    <cellStyle name="Neutral 2 4" xfId="25848" xr:uid="{CDAC301B-C671-490F-9DD2-19C1E16AEF8D}"/>
    <cellStyle name="Neutrale" xfId="545" xr:uid="{00000000-0005-0000-0000-0000E5040000}"/>
    <cellStyle name="Neutrale 2" xfId="35051" xr:uid="{13782016-4AA8-4263-B83B-488F0A145C86}"/>
    <cellStyle name="Neutrale 3" xfId="25850" xr:uid="{4882C3BE-1793-4667-BC74-5BD2B37607F4}"/>
    <cellStyle name="Normal" xfId="0" builtinId="0"/>
    <cellStyle name="Normal 10" xfId="546" xr:uid="{00000000-0005-0000-0000-0000E7040000}"/>
    <cellStyle name="Normal 10 2" xfId="547" xr:uid="{00000000-0005-0000-0000-0000E8040000}"/>
    <cellStyle name="Normal 10 2 2" xfId="13426" xr:uid="{ED16485E-6A34-461E-9D86-44D12FAFBDDE}"/>
    <cellStyle name="Normal 10 2 2 2" xfId="25854" xr:uid="{92D6837F-86F5-45FB-8CDA-2E941F3957E5}"/>
    <cellStyle name="Normal 10 2 2 3" xfId="25853" xr:uid="{377C935E-BD98-4390-99C3-F74794C10766}"/>
    <cellStyle name="Normal 10 2 3" xfId="25855" xr:uid="{4A727725-E9C3-4E0F-AAF8-979EFB5D38FE}"/>
    <cellStyle name="Normal 10 2 3 2" xfId="25856" xr:uid="{09BC3F57-5286-4672-8D7B-1482329C6C48}"/>
    <cellStyle name="Normal 10 2 4" xfId="25857" xr:uid="{EA9FAC10-C759-4383-8502-41C878A3C7AC}"/>
    <cellStyle name="Normal 10 2 5" xfId="25858" xr:uid="{F9B6C59B-D48A-4E96-89E1-C5F43AF401BD}"/>
    <cellStyle name="Normal 10 2 6" xfId="25852" xr:uid="{4940E4A1-BD78-4059-8E92-B52DFB49B63A}"/>
    <cellStyle name="Normal 10 3" xfId="13164" xr:uid="{30C8662A-8C44-44E3-AF3B-BDE83AA1B9E7}"/>
    <cellStyle name="Normal 10 3 2" xfId="25860" xr:uid="{15975EDF-3DCD-4AC9-976C-944EE02158CE}"/>
    <cellStyle name="Normal 10 3 3" xfId="25861" xr:uid="{C544083C-9CAA-436B-92A3-4EBA861B8E0A}"/>
    <cellStyle name="Normal 10 3 4" xfId="25859" xr:uid="{698DDAB6-AB14-481F-829D-62E1C80D0A6A}"/>
    <cellStyle name="Normal 10 3 5" xfId="48931" xr:uid="{802F1A7D-C47A-45EA-BDBD-52482F8FC287}"/>
    <cellStyle name="Normal 10 4" xfId="25862" xr:uid="{2948B177-5CE7-4576-8C58-A20D454A0558}"/>
    <cellStyle name="Normal 10 4 2" xfId="25863" xr:uid="{74044C66-629A-4017-AFE5-6B8F784973C1}"/>
    <cellStyle name="Normal 10 5" xfId="25864" xr:uid="{107EBD8A-1D43-4EA0-8338-A2DE2FAE44FF}"/>
    <cellStyle name="Normal 10 5 2" xfId="25865" xr:uid="{601B1830-485F-451E-9384-475658541BAB}"/>
    <cellStyle name="Normal 10 6" xfId="25866" xr:uid="{679A8AA2-C5CD-4D44-8CF2-288E7FFFD06D}"/>
    <cellStyle name="Normal 10 7" xfId="25867" xr:uid="{2A56D88B-755C-4AA5-AF22-D216DA85D015}"/>
    <cellStyle name="Normal 10 8" xfId="30228" xr:uid="{09619C9C-172B-42C3-8BC8-68ECD4D45236}"/>
    <cellStyle name="Normal 10 9" xfId="25851" xr:uid="{8AFA136F-B9D0-4985-958F-D1675FDCE046}"/>
    <cellStyle name="Normal 11" xfId="548" xr:uid="{00000000-0005-0000-0000-0000E9040000}"/>
    <cellStyle name="Normal 11 2" xfId="8908" xr:uid="{E3AAC0B1-47A8-477B-91AD-3C8E3FD3C0EF}"/>
    <cellStyle name="Normal 11 2 2" xfId="10005" xr:uid="{04FB841B-3F5F-47CD-8E74-8CF8A5E98596}"/>
    <cellStyle name="Normal 11 2 2 2" xfId="10313" xr:uid="{E59A7D61-26EE-4B2F-B756-DC1A0F1A8261}"/>
    <cellStyle name="Normal 11 2 2 2 2" xfId="12766" xr:uid="{ED1316D3-38BD-46F2-B859-A20D2ED29641}"/>
    <cellStyle name="Normal 11 2 2 2 2 2" xfId="46350" xr:uid="{D44A011F-666E-4862-96EE-0740FA56036C}"/>
    <cellStyle name="Normal 11 2 2 2 3" xfId="18895" xr:uid="{F6BE6463-78EC-499F-A05C-5681EDF03748}"/>
    <cellStyle name="Normal 11 2 2 3" xfId="12465" xr:uid="{EA39FB85-7A9D-4C1E-BC66-F8076B0B9619}"/>
    <cellStyle name="Normal 11 2 2 3 2" xfId="25868" xr:uid="{3F094415-55E1-45E7-85B0-8B194828078D}"/>
    <cellStyle name="Normal 11 2 2 4" xfId="18746" xr:uid="{A1D45337-812B-422D-A5B0-9F3B8A7817E3}"/>
    <cellStyle name="Normal 11 2 3" xfId="10079" xr:uid="{099887CE-B612-488B-9F67-407A0E13B576}"/>
    <cellStyle name="Normal 11 2 3 2" xfId="10392" xr:uid="{2A8CADFC-0A0B-4AED-814C-C81F0B2A3573}"/>
    <cellStyle name="Normal 11 2 3 2 2" xfId="12845" xr:uid="{432761A7-435D-4BE2-99B2-1D4D9497EBA3}"/>
    <cellStyle name="Normal 11 2 3 2 2 2" xfId="24690" xr:uid="{A20777B1-28F8-42C3-AB55-543803AF9E14}"/>
    <cellStyle name="Normal 11 2 3 2 3" xfId="18936" xr:uid="{7A1BFD2C-2E3D-4ABD-ADFE-DA5CC50D5A01}"/>
    <cellStyle name="Normal 11 2 3 3" xfId="12536" xr:uid="{B75E8823-2FB2-4A73-8FDD-13EB40211070}"/>
    <cellStyle name="Normal 11 2 3 3 2" xfId="32428" xr:uid="{88A9E4E2-C17C-410A-9D5F-AE6E1F39E99E}"/>
    <cellStyle name="Normal 11 2 3 4" xfId="18779" xr:uid="{859ADA94-BEDA-49FD-AA6C-50A5DA47885D}"/>
    <cellStyle name="Normal 11 2 4" xfId="10158" xr:uid="{A13575A4-7FE2-4BEA-920D-315BD90881F6}"/>
    <cellStyle name="Normal 11 2 4 2" xfId="10472" xr:uid="{666A1568-27D0-43A6-AC85-5BF6BEA546C7}"/>
    <cellStyle name="Normal 11 2 4 2 2" xfId="12925" xr:uid="{4DC447BC-9B03-48F5-ABD7-26E4DD9B8AF7}"/>
    <cellStyle name="Normal 11 2 4 2 2 2" xfId="47622" xr:uid="{0D01D32F-8309-47AE-9433-A287CD8A50F0}"/>
    <cellStyle name="Normal 11 2 4 2 3" xfId="18978" xr:uid="{ABC794F0-5C1D-4297-AD9D-544278CCF722}"/>
    <cellStyle name="Normal 11 2 4 3" xfId="12612" xr:uid="{180CA8A5-54F8-45D8-8973-F374214D4BDE}"/>
    <cellStyle name="Normal 11 2 4 3 2" xfId="46773" xr:uid="{99461D95-989E-41F7-9875-693D1C0C65F6}"/>
    <cellStyle name="Normal 11 2 4 4" xfId="18817" xr:uid="{7CC4B8DD-C940-4A8B-8615-51C0BAAB61F0}"/>
    <cellStyle name="Normal 11 2 5" xfId="10238" xr:uid="{036DD976-3430-4A7E-8D37-6E3D8231D839}"/>
    <cellStyle name="Normal 11 2 5 2" xfId="12691" xr:uid="{04915A62-CEE7-4568-97D8-015D7D636447}"/>
    <cellStyle name="Normal 11 2 5 2 2" xfId="47663" xr:uid="{FF6168FA-9772-4782-8E57-9F6B6B30C47E}"/>
    <cellStyle name="Normal 11 2 5 3" xfId="18858" xr:uid="{C5867C41-9578-4FE0-BD63-82D81889D717}"/>
    <cellStyle name="Normal 11 2 6" xfId="10552" xr:uid="{3CE1FF23-0C59-4967-AB6D-50416CFCE578}"/>
    <cellStyle name="Normal 11 2 6 2" xfId="13005" xr:uid="{C3939D86-FC95-4F46-A429-8B8550CF6C87}"/>
    <cellStyle name="Normal 11 2 6 2 2" xfId="32551" xr:uid="{4C96EE07-C3E1-453E-8D06-48F45FBD0211}"/>
    <cellStyle name="Normal 11 2 6 3" xfId="19020" xr:uid="{A3CADAD4-477E-41DE-9B18-71022A197905}"/>
    <cellStyle name="Normal 11 2 7" xfId="11676" xr:uid="{86D25780-0543-4DB1-BF22-7C6A98B62AAA}"/>
    <cellStyle name="Normal 11 2 7 2" xfId="48040" xr:uid="{3C311F0E-A003-431D-98D1-707BB215BC46}"/>
    <cellStyle name="Normal 11 2 8" xfId="17714" xr:uid="{623A42D8-876C-458A-92E5-A7FE3879F721}"/>
    <cellStyle name="Normal 11 3" xfId="6969" xr:uid="{19879A5A-36C3-4CBB-9C55-BD1705E3F3FB}"/>
    <cellStyle name="Normal 11 3 2" xfId="25870" xr:uid="{B16FD14C-AEF8-4581-8800-97058B016DB3}"/>
    <cellStyle name="Normal 11 3 2 2" xfId="25871" xr:uid="{60465B5E-D1A7-4A9C-8C39-DAB6E4241F15}"/>
    <cellStyle name="Normal 11 3 3" xfId="25872" xr:uid="{3D50152C-EC04-4376-823A-E2FCA6B5F07B}"/>
    <cellStyle name="Normal 11 3 3 2" xfId="25873" xr:uid="{2CB5C3C2-AB10-4F10-A58A-4B3ECB154D61}"/>
    <cellStyle name="Normal 11 3 4" xfId="25874" xr:uid="{A515B0E4-B1AD-4211-A845-CD0BD054CE84}"/>
    <cellStyle name="Normal 11 3 5" xfId="25875" xr:uid="{888E1E22-3E1D-4301-8725-E7A5A23694A0}"/>
    <cellStyle name="Normal 11 3 6" xfId="25869" xr:uid="{A9A0CE4C-AD85-4A26-858F-8E855054C0FA}"/>
    <cellStyle name="Normal 11 4" xfId="11578" xr:uid="{5B167E7E-BC69-4FE5-98D2-2322DF78161F}"/>
    <cellStyle name="Normal 11 4 2" xfId="25876" xr:uid="{EACFFD14-730C-4DC3-9224-92E9C8EC0ACF}"/>
    <cellStyle name="Normal 11 4 3" xfId="18158" xr:uid="{038F2501-6AD7-45BB-A44B-AE88F3EBC28A}"/>
    <cellStyle name="Normal 11 5" xfId="25877" xr:uid="{DA6847B2-B9EA-4FEA-98E2-F709F6745DE6}"/>
    <cellStyle name="Normal 11 5 2" xfId="25878" xr:uid="{60E531A7-6017-4219-B0F1-EDE20CACCC12}"/>
    <cellStyle name="Normal 11 6" xfId="25879" xr:uid="{733B8CC3-E986-4D84-9439-88370FFA0613}"/>
    <cellStyle name="Normal 11 6 2" xfId="25880" xr:uid="{FA701BF1-118D-452A-AD9B-D862F5F8315D}"/>
    <cellStyle name="Normal 11 7" xfId="25881" xr:uid="{F73167AE-C5B0-452B-A81E-05CE46E89E56}"/>
    <cellStyle name="Normal 11 8" xfId="25882" xr:uid="{BF1B6D55-955C-4CC4-ADB0-812CE6E37B94}"/>
    <cellStyle name="Normal 11 9" xfId="25883" xr:uid="{5815AE43-5610-41DD-8D96-D11A7F7B5E09}"/>
    <cellStyle name="Normal 11 9 2" xfId="30227" xr:uid="{1566F0D5-620F-4B55-BD3A-08F4C8F60D3A}"/>
    <cellStyle name="Normal 12" xfId="549" xr:uid="{00000000-0005-0000-0000-0000EA040000}"/>
    <cellStyle name="Normal 12 2" xfId="1962" xr:uid="{00000000-0005-0000-0000-0000EB040000}"/>
    <cellStyle name="Normal 12 2 2" xfId="14067" xr:uid="{C85D0616-4990-4D89-99E0-1BB7FEB95FA8}"/>
    <cellStyle name="Normal 12 2 2 2" xfId="25885" xr:uid="{DE88613E-F93F-46F1-AC66-F58E99229103}"/>
    <cellStyle name="Normal 12 2 2 3" xfId="25884" xr:uid="{40FF8891-40F1-4FDD-81FF-85C8007D0D49}"/>
    <cellStyle name="Normal 12 2 3" xfId="25886" xr:uid="{E692D5D0-575A-40BA-BB2F-B70A32DA17D5}"/>
    <cellStyle name="Normal 12 2 3 2" xfId="25887" xr:uid="{D7CFF064-805D-40EF-9822-C81883E008BD}"/>
    <cellStyle name="Normal 12 2 4" xfId="25888" xr:uid="{4154A3CA-6DC2-4335-8853-DA799FF0EEE6}"/>
    <cellStyle name="Normal 12 2 5" xfId="17790" xr:uid="{BE30F136-79AE-4163-B005-0B1108866E0E}"/>
    <cellStyle name="Normal 12 3" xfId="12132" xr:uid="{62FE28A8-A81D-46E5-BDB5-A2697A28CE70}"/>
    <cellStyle name="Normal 12 3 2" xfId="25890" xr:uid="{3787D45E-EF34-4973-8AA9-F4113C70D30D}"/>
    <cellStyle name="Normal 12 3 3" xfId="25889" xr:uid="{BE651B28-D39A-482A-AC58-97373A9EA0FE}"/>
    <cellStyle name="Normal 12 4" xfId="25891" xr:uid="{F2DEB5D2-42F7-4FC7-84D4-D7361E502A93}"/>
    <cellStyle name="Normal 12 4 2" xfId="25892" xr:uid="{6339C7A5-1621-4262-9C03-0D4D58E00802}"/>
    <cellStyle name="Normal 12 5" xfId="25893" xr:uid="{B64A0529-AF2C-4EA5-B4F5-6AA49FB043C5}"/>
    <cellStyle name="Normal 12 5 2" xfId="25894" xr:uid="{F80B3665-F025-4132-8B77-F700B030351B}"/>
    <cellStyle name="Normal 12 6" xfId="25895" xr:uid="{E13184D6-57D8-4258-AE89-77E87F93C48D}"/>
    <cellStyle name="Normal 12 7" xfId="25896" xr:uid="{DDD9E8B4-5498-4E5B-8778-B5CB2B9A521F}"/>
    <cellStyle name="Normal 12 8" xfId="25897" xr:uid="{10C470D2-36D6-4C97-B561-484B39BB4F4E}"/>
    <cellStyle name="Normal 13" xfId="1251" xr:uid="{00000000-0005-0000-0000-0000EC040000}"/>
    <cellStyle name="Normal 13 2" xfId="4080" xr:uid="{A5158115-D314-454E-8DC8-A75CAB1A8815}"/>
    <cellStyle name="Normal 13 2 2" xfId="18568" xr:uid="{96BDA1A6-79A9-4B86-93EC-88848E6939A6}"/>
    <cellStyle name="Normal 13 2 2 2" xfId="25901" xr:uid="{814D7447-147A-498A-95F2-A822CA516375}"/>
    <cellStyle name="Normal 13 2 2 3" xfId="25900" xr:uid="{FEA97028-883A-4A6D-A399-6B57D8CD18FE}"/>
    <cellStyle name="Normal 13 2 3" xfId="25902" xr:uid="{B9EB7D34-36A7-49DF-A894-3AC1DC848E6C}"/>
    <cellStyle name="Normal 13 2 3 2" xfId="25903" xr:uid="{002F5AE7-3AE9-4313-B2C1-20AEAFE7D207}"/>
    <cellStyle name="Normal 13 2 4" xfId="25904" xr:uid="{A8E0CA92-FF03-4AD8-AB1A-C17087391367}"/>
    <cellStyle name="Normal 13 2 5" xfId="25899" xr:uid="{54530EF4-CC40-4B89-BD0B-F9B9AD92868F}"/>
    <cellStyle name="Normal 13 3" xfId="11179" xr:uid="{37F75737-775C-4724-A963-164CE06AB033}"/>
    <cellStyle name="Normal 13 3 2" xfId="25906" xr:uid="{9145E8A6-95CE-49B7-863B-B30CA4F2D836}"/>
    <cellStyle name="Normal 13 3 3" xfId="25905" xr:uid="{F3044CFE-7601-4CA8-9755-3066590598D3}"/>
    <cellStyle name="Normal 13 4" xfId="25907" xr:uid="{FF02DF7A-5754-45CC-BB80-6B7F2966ADB7}"/>
    <cellStyle name="Normal 13 4 2" xfId="25908" xr:uid="{7DE84DFF-23C1-4B0D-A03F-3732F72B1A76}"/>
    <cellStyle name="Normal 13 5" xfId="25909" xr:uid="{9B36FF78-F0C5-4CB8-A141-BDCA62B03EA8}"/>
    <cellStyle name="Normal 13 5 2" xfId="25910" xr:uid="{32A9098C-6DD1-42CF-A395-5101967A578D}"/>
    <cellStyle name="Normal 13 6" xfId="25911" xr:uid="{9F696ADD-F42E-4CA5-9465-621E577B341C}"/>
    <cellStyle name="Normal 13 7" xfId="25912" xr:uid="{9C57606C-1C6D-4A70-8C05-69241C3A1515}"/>
    <cellStyle name="Normal 13 8" xfId="25913" xr:uid="{180004AA-83D1-42DA-9CD2-48C3E057AE66}"/>
    <cellStyle name="Normal 13 9" xfId="25898" xr:uid="{4E6A0F3E-4CF4-4287-87BE-F174C3D85A3F}"/>
    <cellStyle name="Normal 14" xfId="1963" xr:uid="{00000000-0005-0000-0000-0000ED040000}"/>
    <cellStyle name="Normal 14 10" xfId="7717" xr:uid="{FB84CD53-3E0C-463B-AF32-3F1B7937F5FF}"/>
    <cellStyle name="Normal 14 2" xfId="9875" xr:uid="{A1897E28-D80A-4629-9DB8-0A7123A2CE8D}"/>
    <cellStyle name="Normal 14 2 2" xfId="10298" xr:uid="{8DE30AC6-5559-43EE-85B8-330EACD9C3A1}"/>
    <cellStyle name="Normal 14 2 2 2" xfId="12751" xr:uid="{808B4025-91E0-48DB-A13F-000B7C942291}"/>
    <cellStyle name="Normal 14 2 2 2 2" xfId="46788" xr:uid="{9B35E8FF-8462-4BE3-A171-920D36239D76}"/>
    <cellStyle name="Normal 14 2 2 3" xfId="18881" xr:uid="{DFD8E134-7578-42B0-881B-03546243FB71}"/>
    <cellStyle name="Normal 14 2 3" xfId="12454" xr:uid="{02FE65F0-913E-4F71-833F-2491A1D6852A}"/>
    <cellStyle name="Normal 14 2 3 2" xfId="48487" xr:uid="{ADE9A540-D01B-400C-B0FB-93839D3F475D}"/>
    <cellStyle name="Normal 14 2 4" xfId="48932" xr:uid="{1C96FF1C-9B70-41FB-A3B3-49372C1C00E2}"/>
    <cellStyle name="Normal 14 2 5" xfId="18736" xr:uid="{FC4060D7-2160-4D4E-8247-935212671EDA}"/>
    <cellStyle name="Normal 14 3" xfId="10064" xr:uid="{78D4EDA8-C8BF-4C07-8E5B-39EFA029EAB8}"/>
    <cellStyle name="Normal 14 3 2" xfId="10373" xr:uid="{39E456B4-D638-4F91-91DC-ABC31E5352FB}"/>
    <cellStyle name="Normal 14 3 2 2" xfId="12826" xr:uid="{AE7E469C-F737-41D3-A325-9FC65689E7FB}"/>
    <cellStyle name="Normal 14 3 2 2 2" xfId="32535" xr:uid="{0A260DAB-8C16-4900-830E-CA5209A09156}"/>
    <cellStyle name="Normal 14 3 2 3" xfId="18918" xr:uid="{0E75A49E-83AC-4153-A5BD-DC360299706D}"/>
    <cellStyle name="Normal 14 3 3" xfId="12523" xr:uid="{F8207222-ED8F-42AF-9E73-F1CAD1B6A8E7}"/>
    <cellStyle name="Normal 14 3 3 2" xfId="46318" xr:uid="{C853FA77-DAAF-4865-8516-6E155C28AB14}"/>
    <cellStyle name="Normal 14 3 4" xfId="18767" xr:uid="{E95FEA04-A989-49C0-A43C-9F24124719CA}"/>
    <cellStyle name="Normal 14 4" xfId="10139" xr:uid="{9F85A2CA-0474-4EAF-858D-AF341261A811}"/>
    <cellStyle name="Normal 14 4 2" xfId="10453" xr:uid="{82CCEF86-012B-416B-BFA1-D3A43134292D}"/>
    <cellStyle name="Normal 14 4 2 2" xfId="12906" xr:uid="{75AD52C9-5824-4965-B392-DA4DE1E7A9DE}"/>
    <cellStyle name="Normal 14 4 2 2 2" xfId="47766" xr:uid="{47D4CAB4-5AA2-40C1-9B7B-6DD83BBED294}"/>
    <cellStyle name="Normal 14 4 2 3" xfId="18960" xr:uid="{494BCE03-3698-426E-A250-CA414761A8F7}"/>
    <cellStyle name="Normal 14 4 3" xfId="12595" xr:uid="{3BC5333C-1508-449B-99E4-1D43E60F3627}"/>
    <cellStyle name="Normal 14 4 3 2" xfId="46775" xr:uid="{65DFDB99-ECD3-4239-B31E-F05B411B2FF5}"/>
    <cellStyle name="Normal 14 4 4" xfId="18801" xr:uid="{8F2837C4-1864-4C35-B357-472D5CC9E42C}"/>
    <cellStyle name="Normal 14 5" xfId="10219" xr:uid="{7B3DF198-7AE6-45D2-921E-E95541EA3EA5}"/>
    <cellStyle name="Normal 14 5 2" xfId="12672" xr:uid="{FA5A68B8-B685-43FE-8CB5-DAED6E8988EE}"/>
    <cellStyle name="Normal 14 5 2 2" xfId="47320" xr:uid="{464BCDA2-B489-496F-90C0-75981F6A4203}"/>
    <cellStyle name="Normal 14 5 3" xfId="18840" xr:uid="{C896C38F-7121-4207-84C5-AE60F3B9505C}"/>
    <cellStyle name="Normal 14 6" xfId="10533" xr:uid="{9B0D05AA-2B3E-4F4C-ADB5-FCC78E1DAF44}"/>
    <cellStyle name="Normal 14 6 2" xfId="12986" xr:uid="{81156C90-5293-4561-B6C8-DCE340BC990B}"/>
    <cellStyle name="Normal 14 6 2 2" xfId="47025" xr:uid="{CA163365-4A79-4C0C-8034-0F902F85F63A}"/>
    <cellStyle name="Normal 14 6 3" xfId="19002" xr:uid="{7C0E6F31-97D1-4869-8258-2416DC2441EE}"/>
    <cellStyle name="Normal 14 7" xfId="11544" xr:uid="{79D12C48-E118-40F9-9420-9A45EA5F0EF9}"/>
    <cellStyle name="Normal 14 7 2" xfId="18150" xr:uid="{2AF2779F-1979-46A7-B58A-976765089A5D}"/>
    <cellStyle name="Normal 14 8" xfId="11038" xr:uid="{74B528EC-87F5-4172-BBCE-006D831A46CE}"/>
    <cellStyle name="Normal 14 9" xfId="16971" xr:uid="{06A3761E-45AA-4384-8730-CBBDD8CA0AE3}"/>
    <cellStyle name="Normal 15" xfId="1964" xr:uid="{00000000-0005-0000-0000-0000EE040000}"/>
    <cellStyle name="Normal 15 2" xfId="10003" xr:uid="{4664C86B-C6EF-422E-9800-46EA5CD70BF2}"/>
    <cellStyle name="Normal 15 2 2" xfId="10311" xr:uid="{526B75E3-11D7-40B7-9AB7-E631050584E8}"/>
    <cellStyle name="Normal 15 2 2 2" xfId="12764" xr:uid="{C4D1F214-1376-4C9D-9D3F-84B8207BC4D1}"/>
    <cellStyle name="Normal 15 2 2 2 2" xfId="25915" xr:uid="{5C4FB269-DAA7-48EC-81C6-CFF4FD3FC366}"/>
    <cellStyle name="Normal 15 2 2 2 3" xfId="25914" xr:uid="{6CF48F68-3867-4717-8088-0F463C2A3224}"/>
    <cellStyle name="Normal 15 2 2 3" xfId="25916" xr:uid="{95DC8ACD-83A0-4081-84BF-CFD091D217D6}"/>
    <cellStyle name="Normal 15 2 2 3 2" xfId="25917" xr:uid="{EA3F7113-205A-4EE0-B64D-F4567F066712}"/>
    <cellStyle name="Normal 15 2 2 4" xfId="25918" xr:uid="{7DC54709-B4C9-436B-B2EB-DFA60CE14312}"/>
    <cellStyle name="Normal 15 2 2 4 2" xfId="25919" xr:uid="{14F5E516-C5F6-4C04-8651-031B778B9F38}"/>
    <cellStyle name="Normal 15 2 2 5" xfId="25920" xr:uid="{CE1AAE5F-D68E-4850-8BF9-538B3DA85E67}"/>
    <cellStyle name="Normal 15 2 2 6" xfId="18893" xr:uid="{5BB3007F-C0E4-4152-B91E-D77C56B13AAB}"/>
    <cellStyle name="Normal 15 2 3" xfId="12463" xr:uid="{DA8AFE74-52E7-47D7-A98E-A9937ECE140C}"/>
    <cellStyle name="Normal 15 2 3 2" xfId="25922" xr:uid="{DDA569F3-96B0-48CA-A5AD-87CA7B72B9F0}"/>
    <cellStyle name="Normal 15 2 3 2 2" xfId="25923" xr:uid="{7CDF06DC-2F80-448C-8DAC-FE3776A9A4E6}"/>
    <cellStyle name="Normal 15 2 3 3" xfId="25924" xr:uid="{4689DAE7-576C-4CC1-AAC2-6774DA3E6A91}"/>
    <cellStyle name="Normal 15 2 3 3 2" xfId="25925" xr:uid="{7B031B0E-DC03-4047-BFF2-FFD56AFCDC20}"/>
    <cellStyle name="Normal 15 2 3 4" xfId="25926" xr:uid="{FC661C76-EB41-4BC0-A9E9-F547B61BA371}"/>
    <cellStyle name="Normal 15 2 3 4 2" xfId="25927" xr:uid="{23C918B5-1AB3-48BE-9D8E-11BA7F2A1881}"/>
    <cellStyle name="Normal 15 2 3 5" xfId="25928" xr:uid="{432E5D7D-08FC-4251-88C3-E31B2980F358}"/>
    <cellStyle name="Normal 15 2 3 6" xfId="25921" xr:uid="{A93E14E8-FB88-4DBC-8CFD-903331682BEB}"/>
    <cellStyle name="Normal 15 2 4" xfId="48933" xr:uid="{3A3ADBC0-E948-47C1-986C-B6AD9E79FA9B}"/>
    <cellStyle name="Normal 15 2 5" xfId="18744" xr:uid="{102BA565-79B2-49E0-8105-11328A5A6205}"/>
    <cellStyle name="Normal 15 3" xfId="10078" xr:uid="{FFE970CC-6C00-4E6A-A93C-D84E9B737E0B}"/>
    <cellStyle name="Normal 15 3 2" xfId="10390" xr:uid="{01411272-07DB-4B19-AF44-6CB872673FC5}"/>
    <cellStyle name="Normal 15 3 2 2" xfId="12843" xr:uid="{0086168D-1413-4412-AE3A-B14F4019D848}"/>
    <cellStyle name="Normal 15 3 2 2 2" xfId="32335" xr:uid="{54602AEB-7D53-4D09-8518-8DD6215551BA}"/>
    <cellStyle name="Normal 15 3 2 3" xfId="18934" xr:uid="{166C0EF1-82A2-4284-B869-A40ED5F74379}"/>
    <cellStyle name="Normal 15 3 3" xfId="12535" xr:uid="{215D0CEE-5402-4ADC-8278-3A5D343F0E57}"/>
    <cellStyle name="Normal 15 3 3 2" xfId="46320" xr:uid="{3D80B73A-25B9-4697-B622-80A9CD31E926}"/>
    <cellStyle name="Normal 15 3 4" xfId="48934" xr:uid="{5BC98056-C9ED-459C-B925-FEE83377E7F0}"/>
    <cellStyle name="Normal 15 3 5" xfId="18778" xr:uid="{B8CF2619-A109-4C50-96EC-0420EDC3EE34}"/>
    <cellStyle name="Normal 15 4" xfId="10156" xr:uid="{C412007C-E79F-42C5-B014-716C24700CBC}"/>
    <cellStyle name="Normal 15 4 2" xfId="10470" xr:uid="{6DE24923-DC10-4A0E-BE37-28013375CEDF}"/>
    <cellStyle name="Normal 15 4 2 2" xfId="12923" xr:uid="{D260FA33-EABF-476C-B644-5E629887FE51}"/>
    <cellStyle name="Normal 15 4 2 2 2" xfId="46812" xr:uid="{B871D421-74DF-471A-80C1-3643E4D2BE5F}"/>
    <cellStyle name="Normal 15 4 2 3" xfId="18976" xr:uid="{71EBA9AC-EDDE-46FA-983C-DEADE34F17BF}"/>
    <cellStyle name="Normal 15 4 3" xfId="12610" xr:uid="{1CF66200-3F5E-4675-8D13-05C2E56F0073}"/>
    <cellStyle name="Normal 15 4 3 2" xfId="34174" xr:uid="{7209509D-4509-4566-B845-9B0922435F35}"/>
    <cellStyle name="Normal 15 4 4" xfId="18815" xr:uid="{BC06F374-68AC-45A1-AA89-39CC9A36E699}"/>
    <cellStyle name="Normal 15 5" xfId="10236" xr:uid="{A591BB13-8220-4D8D-80DE-515E2B5D7072}"/>
    <cellStyle name="Normal 15 5 2" xfId="12689" xr:uid="{325F8D7D-AB08-4524-9E87-477EE86C775D}"/>
    <cellStyle name="Normal 15 5 2 2" xfId="25929" xr:uid="{2212EEAE-CA3B-4876-AE31-3FC9893E4815}"/>
    <cellStyle name="Normal 15 5 3" xfId="18856" xr:uid="{804FDC2E-15A0-416E-B01C-581CCACEF056}"/>
    <cellStyle name="Normal 15 6" xfId="10550" xr:uid="{90D8997A-37EE-4D64-8CDF-CF5DDACB8876}"/>
    <cellStyle name="Normal 15 6 2" xfId="13003" xr:uid="{0E94B98E-2C51-4505-92CE-B846C9C1D1E2}"/>
    <cellStyle name="Normal 15 6 2 2" xfId="25322" xr:uid="{3D4511D7-3B15-4640-A3BC-FA46A6F34E86}"/>
    <cellStyle name="Normal 15 6 3" xfId="19018" xr:uid="{CD1F67D3-8F16-4702-8A4C-85A651049E30}"/>
    <cellStyle name="Normal 15 7" xfId="12317" xr:uid="{A470DC12-F190-4855-94F8-38EC2F0895F9}"/>
    <cellStyle name="Normal 15 7 2" xfId="18626" xr:uid="{7C658FF7-C387-426A-99E9-2A030D726E7B}"/>
    <cellStyle name="Normal 15 8" xfId="11039" xr:uid="{17EF56D7-D4E9-4B51-A968-E609CF5695D9}"/>
    <cellStyle name="Normal 15 9" xfId="8907" xr:uid="{CE6BC9E3-BC26-412D-BE21-B0F1BB0238D7}"/>
    <cellStyle name="Normal 15_Trends fuels" xfId="25930" xr:uid="{DFE6332B-C5DC-4216-82E1-3392786AA97B}"/>
    <cellStyle name="Normal 16" xfId="1965" xr:uid="{00000000-0005-0000-0000-0000EF040000}"/>
    <cellStyle name="Normal 16 2" xfId="1966" xr:uid="{00000000-0005-0000-0000-0000F0040000}"/>
    <cellStyle name="Normal 16 2 2" xfId="10312" xr:uid="{4F47A049-7449-4EB2-9BBD-1636B406FF2D}"/>
    <cellStyle name="Normal 16 2 2 2" xfId="12765" xr:uid="{D6114FB9-6DA0-4DD0-AB07-E145A8F983FD}"/>
    <cellStyle name="Normal 16 2 2 2 2" xfId="48199" xr:uid="{45900CB6-BDE9-425B-979E-0812A81E25E9}"/>
    <cellStyle name="Normal 16 2 2 3" xfId="18894" xr:uid="{9C33D38D-DD44-4B1C-B8D9-560B41F7903F}"/>
    <cellStyle name="Normal 16 2 3" xfId="12464" xr:uid="{427042E3-B17D-46A5-9A07-29F46A5BF65E}"/>
    <cellStyle name="Normal 16 2 3 2" xfId="18745" xr:uid="{2EC926BB-38C1-480F-AC42-5655CDFBE532}"/>
    <cellStyle name="Normal 16 2 4" xfId="11041" xr:uid="{B6E41DE1-E386-44BF-862F-52DA1146EE6D}"/>
    <cellStyle name="Normal 16 2 5" xfId="10004" xr:uid="{1CB39161-76F0-4272-9F69-06695C001312}"/>
    <cellStyle name="Normal 16 3" xfId="1967" xr:uid="{00000000-0005-0000-0000-0000F1040000}"/>
    <cellStyle name="Normal 16 3 2" xfId="10391" xr:uid="{0A83CE65-260D-4D8C-AD84-B6DFA517568E}"/>
    <cellStyle name="Normal 16 3 2 2" xfId="12844" xr:uid="{0B6177A2-61CF-402E-AFDC-9F888B93393E}"/>
    <cellStyle name="Normal 16 3 2 2 2" xfId="46801" xr:uid="{B9D1DA2F-BF77-459C-BEE8-315D5A108F55}"/>
    <cellStyle name="Normal 16 3 2 3" xfId="18935" xr:uid="{BBB8E1A7-3EEF-4981-9745-CA2F39508A8D}"/>
    <cellStyle name="Normal 16 3 3" xfId="11042" xr:uid="{EDE06C8E-2D50-488B-B826-CAEB797C107C}"/>
    <cellStyle name="Normal 16 3 3 2" xfId="46716" xr:uid="{DFD77FC4-5039-4C8B-A8A2-51E852D165B2}"/>
    <cellStyle name="Normal 16 3 4" xfId="17792" xr:uid="{BE77ACE7-B595-4D25-AA09-8F0D3D6BF445}"/>
    <cellStyle name="Normal 16 4" xfId="6979" xr:uid="{376A5363-B223-4165-BD91-BD43E11122DF}"/>
    <cellStyle name="Normal 16 4 2" xfId="10471" xr:uid="{C44D4EC8-F14E-478E-A77E-3A7CE46E8738}"/>
    <cellStyle name="Normal 16 4 2 2" xfId="12924" xr:uid="{EB27161A-84AB-49C5-BD4B-8149AC5D6F15}"/>
    <cellStyle name="Normal 16 4 2 2 2" xfId="48056" xr:uid="{FB170481-E094-43E8-8136-B62E2CB109EB}"/>
    <cellStyle name="Normal 16 4 2 3" xfId="18977" xr:uid="{1DA5BA42-DD01-452D-813B-CACFEF85773D}"/>
    <cellStyle name="Normal 16 4 3" xfId="12611" xr:uid="{FA252D98-A344-488C-A143-4379FB6D1DDA}"/>
    <cellStyle name="Normal 16 4 3 2" xfId="47524" xr:uid="{B71AE72D-BF51-4FBB-B1DD-537A7992B0D1}"/>
    <cellStyle name="Normal 16 4 4" xfId="18816" xr:uid="{07967C5A-E1D1-4568-B7FB-AC3D71CF4005}"/>
    <cellStyle name="Normal 16 4 5" xfId="10157" xr:uid="{4C28333F-91CF-45E2-B867-DA62BAA1F4C1}"/>
    <cellStyle name="Normal 16 5" xfId="10237" xr:uid="{A85541D3-4879-4418-80B8-AF53099DF563}"/>
    <cellStyle name="Normal 16 5 2" xfId="12690" xr:uid="{4250DE48-6537-41A8-8024-A5D15D504A10}"/>
    <cellStyle name="Normal 16 5 2 2" xfId="24324" xr:uid="{15EEC67A-2CCC-4E0D-983C-396EDF0E9CAE}"/>
    <cellStyle name="Normal 16 5 3" xfId="18857" xr:uid="{55E74B8F-D836-4E40-876F-026B97F01382}"/>
    <cellStyle name="Normal 16 6" xfId="10551" xr:uid="{9B155FE7-8C78-4AFF-A532-6DB13A7CAACC}"/>
    <cellStyle name="Normal 16 6 2" xfId="13004" xr:uid="{C0ED4C61-0AF9-4A15-B11E-41447A9147A9}"/>
    <cellStyle name="Normal 16 6 2 2" xfId="47806" xr:uid="{537755C3-1CFD-479F-A40C-327A693806AD}"/>
    <cellStyle name="Normal 16 6 3" xfId="19019" xr:uid="{C1528B29-920C-47A2-BE9A-5AE7A57DE723}"/>
    <cellStyle name="Normal 16 7" xfId="11040" xr:uid="{D8112F0C-5AF9-4436-B7B5-17DB52B414DF}"/>
    <cellStyle name="Normal 16 7 2" xfId="25181" xr:uid="{1512B106-C7CC-4B9A-86AE-A9358538F2C5}"/>
    <cellStyle name="Normal 16 8" xfId="17791" xr:uid="{20254C31-0541-4D8A-BEB4-054C3E535481}"/>
    <cellStyle name="Normal 17" xfId="1968" xr:uid="{00000000-0005-0000-0000-0000F2040000}"/>
    <cellStyle name="Normal 17 2" xfId="1969" xr:uid="{00000000-0005-0000-0000-0000F3040000}"/>
    <cellStyle name="Normal 17 2 2" xfId="25933" xr:uid="{758BCACE-8BB2-426D-81F6-94E246D1AC36}"/>
    <cellStyle name="Normal 17 2 3" xfId="25934" xr:uid="{0E8695DF-DBD3-45CB-941A-85B964407EFD}"/>
    <cellStyle name="Normal 17 2 4" xfId="25932" xr:uid="{71FA2D9D-211B-4355-BC67-813DA4142611}"/>
    <cellStyle name="Normal 17 3" xfId="25935" xr:uid="{AB124E28-D9BA-41A6-9D8F-F4AE43E46322}"/>
    <cellStyle name="Normal 17 3 2" xfId="25936" xr:uid="{5D9C47CF-EA1F-4D39-B337-DB2960BF63C8}"/>
    <cellStyle name="Normal 17 4" xfId="25937" xr:uid="{93EF165B-98F2-4BC9-A1DE-5E496099FDEC}"/>
    <cellStyle name="Normal 17 4 2" xfId="25938" xr:uid="{D46160CE-A407-47B9-B1A0-A7F3700ED9E3}"/>
    <cellStyle name="Normal 17 5" xfId="25939" xr:uid="{A9E4216A-7F1D-4F26-9DE7-6ADC1ED164E0}"/>
    <cellStyle name="Normal 17 6" xfId="25940" xr:uid="{0E0CFE76-BB83-40BB-BBCF-5E963A8824D2}"/>
    <cellStyle name="Normal 17 7" xfId="25931" xr:uid="{5B7BB7AC-7FFB-4334-B239-397DE228005D}"/>
    <cellStyle name="Normal 18" xfId="1970" xr:uid="{00000000-0005-0000-0000-0000F4040000}"/>
    <cellStyle name="Normal 18 2" xfId="1971" xr:uid="{00000000-0005-0000-0000-0000F5040000}"/>
    <cellStyle name="Normal 18 2 2" xfId="25943" xr:uid="{FE64E695-4344-43EC-BAEF-74ED9949ACA0}"/>
    <cellStyle name="Normal 18 2 3" xfId="25944" xr:uid="{AF5CB2EA-7CC2-4A39-AEF1-EC73EC2BDC33}"/>
    <cellStyle name="Normal 18 2 4" xfId="25942" xr:uid="{02D6E8BA-B92A-4AB8-BFE3-CAA01A74551F}"/>
    <cellStyle name="Normal 18 3" xfId="25945" xr:uid="{1568298F-7101-4437-B116-26453687B0DF}"/>
    <cellStyle name="Normal 18 3 2" xfId="25946" xr:uid="{9739F7B1-17DA-45AC-A0BA-A5FA8A7785E2}"/>
    <cellStyle name="Normal 18 4" xfId="25947" xr:uid="{5C8A381F-A652-4C8B-826C-05386C2AA231}"/>
    <cellStyle name="Normal 18 4 2" xfId="25948" xr:uid="{A8C1F0FA-F397-4C78-A28A-47A695DF02F7}"/>
    <cellStyle name="Normal 18 5" xfId="25949" xr:uid="{B984410D-6CD1-4276-97DB-0B55D3C88AA1}"/>
    <cellStyle name="Normal 18 6" xfId="25950" xr:uid="{18886414-0524-4658-B0B7-76F5286A86E8}"/>
    <cellStyle name="Normal 18 7" xfId="25941" xr:uid="{E2CCB704-ADFE-412C-9EF9-DEEDFC969144}"/>
    <cellStyle name="Normal 19" xfId="1972" xr:uid="{00000000-0005-0000-0000-0000F6040000}"/>
    <cellStyle name="Normal 19 2" xfId="1973" xr:uid="{00000000-0005-0000-0000-0000F7040000}"/>
    <cellStyle name="Normal 19 2 2" xfId="25952" xr:uid="{27AC6C80-11A5-4E2F-84B5-E891083F7661}"/>
    <cellStyle name="Normal 19 2 3" xfId="25953" xr:uid="{89422BAB-D954-420B-8027-85861A203D6E}"/>
    <cellStyle name="Normal 19 2 4" xfId="25951" xr:uid="{C8A944B1-A093-4907-ABE7-71E2E0A46615}"/>
    <cellStyle name="Normal 19 3" xfId="1974" xr:uid="{00000000-0005-0000-0000-0000F8040000}"/>
    <cellStyle name="Normal 19 3 2" xfId="17794" xr:uid="{F5242784-B960-4EB7-A231-07A6F5EA1A8D}"/>
    <cellStyle name="Normal 19 4" xfId="17793" xr:uid="{C78111D5-5D60-43FA-A148-D8B4342CFE27}"/>
    <cellStyle name="Normal 2" xfId="550" xr:uid="{00000000-0005-0000-0000-0000F9040000}"/>
    <cellStyle name="Normal 2 10" xfId="6973" xr:uid="{B548D4D1-5A67-4899-8F1F-05782A70F1CE}"/>
    <cellStyle name="Normal 2 10 2" xfId="48935" xr:uid="{7B3015B3-F8C2-4A15-A1AF-CFAB835A47CA}"/>
    <cellStyle name="Normal 2 11" xfId="25954" xr:uid="{4E455E6C-6576-40E9-A603-A06D4E3C6A07}"/>
    <cellStyle name="Normal 2 11 2" xfId="25955" xr:uid="{E5F748DB-9DFF-45DA-9679-BE7B6BD72400}"/>
    <cellStyle name="Normal 2 11 2 2" xfId="25956" xr:uid="{66FFF264-F2AA-499B-B0AA-8F8980ACD10F}"/>
    <cellStyle name="Normal 2 11 3" xfId="25957" xr:uid="{A07412E7-2965-4BDC-9D82-E0303220F7CF}"/>
    <cellStyle name="Normal 2 12" xfId="25958" xr:uid="{C5048E45-C903-49D3-AAC1-81FDFD937311}"/>
    <cellStyle name="Normal 2 12 2" xfId="25959" xr:uid="{21D374B4-9600-4A94-BD47-496C96DEF535}"/>
    <cellStyle name="Normal 2 13" xfId="25960" xr:uid="{12EBADAA-11DA-49CC-AF80-9B0F1C3A92A3}"/>
    <cellStyle name="Normal 2 13 2" xfId="25961" xr:uid="{DB4BEE7B-BC48-4CFE-BF65-D6943C4A7ABE}"/>
    <cellStyle name="Normal 2 14" xfId="25962" xr:uid="{CFBB0187-21C5-489E-88A6-49718D84058C}"/>
    <cellStyle name="Normal 2 14 2" xfId="25963" xr:uid="{AC229BC2-E265-4AC8-B531-1185571B2E21}"/>
    <cellStyle name="Normal 2 15" xfId="25964" xr:uid="{F5D7F272-E4D4-46A7-8B97-146BC0F0F858}"/>
    <cellStyle name="Normal 2 15 2" xfId="48936" xr:uid="{D1F0B726-5DD7-4A82-A757-17A9E672B4F7}"/>
    <cellStyle name="Normal 2 2" xfId="551" xr:uid="{00000000-0005-0000-0000-0000FA040000}"/>
    <cellStyle name="Normal 2 2 2" xfId="552" xr:uid="{00000000-0005-0000-0000-0000FB040000}"/>
    <cellStyle name="Normal 2 2 2 2" xfId="1975" xr:uid="{00000000-0005-0000-0000-0000FC040000}"/>
    <cellStyle name="Normal 2 2 2 2 2" xfId="1976" xr:uid="{00000000-0005-0000-0000-0000FD040000}"/>
    <cellStyle name="Normal 2 2 2 2 2 2" xfId="1977" xr:uid="{00000000-0005-0000-0000-0000FE040000}"/>
    <cellStyle name="Normal 2 2 2 2 2 2 2" xfId="17797" xr:uid="{6177551A-495A-4BF3-B128-F7E12FDF920E}"/>
    <cellStyle name="Normal 2 2 2 2 2 3" xfId="14484" xr:uid="{8D5F3B70-9FC4-494F-8ACC-3B9FF55B7266}"/>
    <cellStyle name="Normal 2 2 2 2 2 4" xfId="17796" xr:uid="{46B98ABA-3CDA-41D9-BF09-790AE79F34F1}"/>
    <cellStyle name="Normal 2 2 2 2 3" xfId="1978" xr:uid="{00000000-0005-0000-0000-0000FF040000}"/>
    <cellStyle name="Normal 2 2 2 2 3 2" xfId="17798" xr:uid="{333F04AB-2873-4450-8F7A-A373FC007908}"/>
    <cellStyle name="Normal 2 2 2 2 4" xfId="4082" xr:uid="{9AA9FFB5-EF86-4C98-9A4F-85A1B6A4AB37}"/>
    <cellStyle name="Normal 2 2 2 2 4 2" xfId="25965" xr:uid="{0CA2E63F-5B9A-4170-B3CE-A80F75F25E89}"/>
    <cellStyle name="Normal 2 2 2 2 4 3" xfId="12133" xr:uid="{2D1DB450-5C49-4FE8-9848-CA1ABC3D19F4}"/>
    <cellStyle name="Normal 2 2 2 2 5" xfId="11485" xr:uid="{9E483A50-5802-4B72-A568-9CADAE7A63C4}"/>
    <cellStyle name="Normal 2 2 2 2 5 2" xfId="25966" xr:uid="{FE87A635-139E-4E32-BAAB-C03C573F1C04}"/>
    <cellStyle name="Normal 2 2 2 2 6" xfId="12199" xr:uid="{2B1F706B-7A3F-46F6-BDD4-D9F2E7FD9139}"/>
    <cellStyle name="Normal 2 2 2 2 7" xfId="11043" xr:uid="{487BCA6F-9CF6-4E2E-82BF-4DBED75BF30E}"/>
    <cellStyle name="Normal 2 2 2 2 7 2" xfId="17795" xr:uid="{E942BCF2-AE6C-4641-B020-CA5F1FD9AA03}"/>
    <cellStyle name="Normal 2 2 2 3" xfId="8066" xr:uid="{406264BF-5ACD-4756-98B7-554732035292}"/>
    <cellStyle name="Normal 2 2 2 3 2" xfId="11109" xr:uid="{02246D06-03F4-4540-9DC5-F91FA546D35A}"/>
    <cellStyle name="Normal 2 2 2 3 2 2" xfId="25969" xr:uid="{00D26139-2BAC-46C9-99CB-0A73E67C6B6C}"/>
    <cellStyle name="Normal 2 2 2 3 2 3" xfId="25968" xr:uid="{D6710EDA-83BC-41A6-96C6-93469F0A95A1}"/>
    <cellStyle name="Normal 2 2 2 3 3" xfId="11651" xr:uid="{81A224DD-FE31-433B-A1DF-649EC675E1E9}"/>
    <cellStyle name="Normal 2 2 2 3 3 2" xfId="25970" xr:uid="{5AC59EDF-8719-43BB-B8BD-9272443797C3}"/>
    <cellStyle name="Normal 2 2 2 3 4" xfId="25971" xr:uid="{9C9A5D48-0FCF-48FC-9441-8ED871334AA5}"/>
    <cellStyle name="Normal 2 2 2 3 5" xfId="25967" xr:uid="{0BCB8D8F-E6F4-4185-8A18-D845E6A6BFA3}"/>
    <cellStyle name="Normal 2 2 2 4" xfId="12134" xr:uid="{755D33AC-2D98-4791-A62C-8EA34455E81A}"/>
    <cellStyle name="Normal 2 2 2 4 2" xfId="25973" xr:uid="{13D2826B-0BCC-439D-99D7-A179C6D92CB5}"/>
    <cellStyle name="Normal 2 2 2 4 3" xfId="25974" xr:uid="{2005B056-D906-413E-A743-8D4A573F88F9}"/>
    <cellStyle name="Normal 2 2 2 4 4" xfId="25972" xr:uid="{4E08F3E6-9877-40BA-8819-EDF942371815}"/>
    <cellStyle name="Normal 2 2 2 5" xfId="11484" xr:uid="{760E8829-4339-43DA-A7B6-F8BE82D99CF1}"/>
    <cellStyle name="Normal 2 2 2 5 2" xfId="25976" xr:uid="{7CAC42D9-B5CF-4C1E-AAEF-C328AF6FC41D}"/>
    <cellStyle name="Normal 2 2 2 5 3" xfId="25975" xr:uid="{F526F61A-0A9E-48DB-A4FA-3DCB4A9ACA6A}"/>
    <cellStyle name="Normal 2 2 2 6" xfId="25977" xr:uid="{3937FC7C-3A26-4771-8671-F560FE54D73F}"/>
    <cellStyle name="Normal 2 2 2 7" xfId="25978" xr:uid="{E0A1AE21-9E0F-40A5-A6C2-96A1F5B0328B}"/>
    <cellStyle name="Normal 2 2 2 8" xfId="25979" xr:uid="{75A4D4E8-37FB-4830-9754-C2D685C44781}"/>
    <cellStyle name="Normal 2 2 2 8 2" xfId="48937" xr:uid="{4003BCF8-19CD-46A2-88C1-0D99BD363971}"/>
    <cellStyle name="Normal 2 2 3" xfId="553" xr:uid="{00000000-0005-0000-0000-000000050000}"/>
    <cellStyle name="Normal 2 2 3 2" xfId="1979" xr:uid="{00000000-0005-0000-0000-000001050000}"/>
    <cellStyle name="Normal 2 2 3 2 2" xfId="1980" xr:uid="{00000000-0005-0000-0000-000002050000}"/>
    <cellStyle name="Normal 2 2 3 2 2 2" xfId="11045" xr:uid="{5340040D-BAF6-4B78-A32F-C041E1024B70}"/>
    <cellStyle name="Normal 2 2 3 2 2 2 2" xfId="48327" xr:uid="{6054394D-617F-4CF7-A5DC-4175D2B0CC13}"/>
    <cellStyle name="Normal 2 2 3 2 2 3" xfId="17800" xr:uid="{E69BFCC8-8A19-4706-A962-0F373C8404BA}"/>
    <cellStyle name="Normal 2 2 3 2 3" xfId="11044" xr:uid="{1BE0C8AF-74C1-4850-9AAC-1680775A141E}"/>
    <cellStyle name="Normal 2 2 3 2 3 2" xfId="46717" xr:uid="{12F05AB4-D281-4804-A565-CC74805D1258}"/>
    <cellStyle name="Normal 2 2 3 2 4" xfId="17799" xr:uid="{5CCF37DC-7927-4064-8F4C-A1793517AB00}"/>
    <cellStyle name="Normal 2 2 3 3" xfId="1981" xr:uid="{00000000-0005-0000-0000-000003050000}"/>
    <cellStyle name="Normal 2 2 3 3 2" xfId="10376" xr:uid="{D359C4F9-0A7A-4819-8B95-F2A803A6D5AC}"/>
    <cellStyle name="Normal 2 2 3 3 2 2" xfId="12829" xr:uid="{21A2F6D4-6D09-42D9-8FD4-513C7357FA9D}"/>
    <cellStyle name="Normal 2 2 3 3 2 2 2" xfId="46360" xr:uid="{E50203EA-4BF8-47BA-9B66-18297ED910DE}"/>
    <cellStyle name="Normal 2 2 3 3 2 3" xfId="18921" xr:uid="{015B61D4-1310-4F60-AE8A-50875C862DA4}"/>
    <cellStyle name="Normal 2 2 3 3 3" xfId="11046" xr:uid="{210E3FF1-42F2-4E40-81F5-3C9A63AA9398}"/>
    <cellStyle name="Normal 2 2 3 3 3 2" xfId="47902" xr:uid="{CEEAE20F-2F6D-445E-A20F-205EDE0C71B4}"/>
    <cellStyle name="Normal 2 2 3 3 4" xfId="17801" xr:uid="{C0B1EDF3-5365-44C2-8576-85ECA7158EFF}"/>
    <cellStyle name="Normal 2 2 3 4" xfId="10142" xr:uid="{7C59EF78-2ECD-40F3-8098-05F45BA6D6F1}"/>
    <cellStyle name="Normal 2 2 3 4 2" xfId="10456" xr:uid="{06EC7F92-F44A-4E66-8F8F-E5F2986ECC90}"/>
    <cellStyle name="Normal 2 2 3 4 2 2" xfId="12909" xr:uid="{9FE85F37-7157-42EA-8491-674594D9E0E5}"/>
    <cellStyle name="Normal 2 2 3 4 2 2 2" xfId="32422" xr:uid="{781BFCB8-E168-486E-9798-8972AE41ACA3}"/>
    <cellStyle name="Normal 2 2 3 4 2 3" xfId="18963" xr:uid="{4DE9C2EE-B8DA-4B9B-A240-15D9C3EAB11D}"/>
    <cellStyle name="Normal 2 2 3 4 3" xfId="12598" xr:uid="{AF5B0A66-CF30-4C3E-ACF8-9FB203D14748}"/>
    <cellStyle name="Normal 2 2 3 4 3 2" xfId="47015" xr:uid="{316C5399-740C-4622-B89D-C1758B33589F}"/>
    <cellStyle name="Normal 2 2 3 4 4" xfId="18804" xr:uid="{CC673A2B-08EE-4222-964B-4BD44EE6AB8F}"/>
    <cellStyle name="Normal 2 2 3 5" xfId="10222" xr:uid="{D9F09BF0-EE8C-4FCA-B58C-F06C9B9BA52C}"/>
    <cellStyle name="Normal 2 2 3 5 2" xfId="12675" xr:uid="{325E3A74-5B28-4EC3-9330-A89F96B9F428}"/>
    <cellStyle name="Normal 2 2 3 5 2 2" xfId="48396" xr:uid="{E22B00D9-A058-43EA-9952-9259337CF95F}"/>
    <cellStyle name="Normal 2 2 3 5 3" xfId="18843" xr:uid="{7E4A82F8-9B9F-4DE1-9C50-6FC777808E79}"/>
    <cellStyle name="Normal 2 2 3 6" xfId="10536" xr:uid="{A0E0AF6D-8E78-478E-86C1-B828C9E98B61}"/>
    <cellStyle name="Normal 2 2 3 6 2" xfId="12989" xr:uid="{169BBD4F-743E-4C4A-AC28-B3507D91F494}"/>
    <cellStyle name="Normal 2 2 3 6 2 2" xfId="47763" xr:uid="{E0656424-6A6D-4CBD-B2C3-9CFEC26ECCD6}"/>
    <cellStyle name="Normal 2 2 3 6 3" xfId="19005" xr:uid="{5E689DB2-A767-4695-9D06-641BBDC5A111}"/>
    <cellStyle name="Normal 2 2 3 7" xfId="10604" xr:uid="{EE2C5754-2455-453F-B6B9-F44E9150516A}"/>
    <cellStyle name="Normal 2 2 3 7 2" xfId="47655" xr:uid="{C3C06811-680B-4EA5-BE1F-A5B2D0374755}"/>
    <cellStyle name="Normal 2 2 3 8" xfId="48938" xr:uid="{04E859D0-925C-4755-9485-6C1E89807737}"/>
    <cellStyle name="Normal 2 2 3 9" xfId="16972" xr:uid="{5006D756-0EB1-4BAF-8994-DCF158A87916}"/>
    <cellStyle name="Normal 2 2 4" xfId="1982" xr:uid="{00000000-0005-0000-0000-000004050000}"/>
    <cellStyle name="Normal 2 2 4 2" xfId="1983" xr:uid="{00000000-0005-0000-0000-000005050000}"/>
    <cellStyle name="Normal 2 2 4 2 2" xfId="25980" xr:uid="{6AE1DEF7-CFCA-48F4-800F-75904C3962F7}"/>
    <cellStyle name="Normal 2 2 4 2 3" xfId="17803" xr:uid="{86A8EFB8-6B31-497F-815F-C31E460330FC}"/>
    <cellStyle name="Normal 2 2 4 3" xfId="25981" xr:uid="{4E04E72B-CF2E-4C86-A7E5-174EE99C92A7}"/>
    <cellStyle name="Normal 2 2 4 4" xfId="17802" xr:uid="{9997C71F-4ABE-4980-88F4-7C8155C0F30F}"/>
    <cellStyle name="Normal 2 2 5" xfId="1984" xr:uid="{00000000-0005-0000-0000-000006050000}"/>
    <cellStyle name="Normal 2 2 5 2" xfId="25982" xr:uid="{5ACE6574-683D-4439-AF95-44A9B14AA6A3}"/>
    <cellStyle name="Normal 2 2 5 3" xfId="17804" xr:uid="{0D9D9CFD-AA9C-4CC3-B9DD-1D57B06E9B68}"/>
    <cellStyle name="Normal 2 2 6" xfId="4081" xr:uid="{5FF66FF3-7BC3-4D2F-9C86-3405FF7C5FD2}"/>
    <cellStyle name="Normal 2 2 6 2" xfId="25984" xr:uid="{31C82569-F8D6-484E-B8C7-0F6BAD4D0BFC}"/>
    <cellStyle name="Normal 2 2 6 3" xfId="25983" xr:uid="{46411090-80BC-484C-941D-C97C823CE288}"/>
    <cellStyle name="Normal 2 2 7" xfId="25985" xr:uid="{873E6B5E-F0D8-49B3-ACC9-219E27634749}"/>
    <cellStyle name="Normal 2 2 7 2" xfId="48939" xr:uid="{BC967B5A-BAE6-45EF-ABC1-63171D473FD7}"/>
    <cellStyle name="Normal 2 2 8" xfId="25986" xr:uid="{C4F7AEAA-4E93-487F-BF5D-6F81D2668768}"/>
    <cellStyle name="Normal 2 2 9" xfId="25987" xr:uid="{92E8545D-D3B3-421B-83D0-60C17220CAA6}"/>
    <cellStyle name="Normal 2 3" xfId="554" xr:uid="{00000000-0005-0000-0000-000007050000}"/>
    <cellStyle name="Normal 2 3 10" xfId="25989" xr:uid="{67A1DF85-1C74-4B2C-B5EF-C0BDD3488646}"/>
    <cellStyle name="Normal 2 3 11" xfId="30254" xr:uid="{CDADF718-2B30-49C5-9BF9-A80E78B0A56F}"/>
    <cellStyle name="Normal 2 3 12" xfId="25988" xr:uid="{1BF06E64-C126-4223-9523-068A8C96CDB6}"/>
    <cellStyle name="Normal 2 3 2" xfId="4083" xr:uid="{CE812BEB-0B05-48F1-B85D-DA6489CC357A}"/>
    <cellStyle name="Normal 2 3 2 2" xfId="25991" xr:uid="{ADEA2092-022E-4B15-A1F6-4A7E6109EE9B}"/>
    <cellStyle name="Normal 2 3 2 2 2" xfId="25992" xr:uid="{CAF5952A-0132-41B9-BA87-8AFDF1961766}"/>
    <cellStyle name="Normal 2 3 2 3" xfId="25993" xr:uid="{5EE113DD-F1CB-4111-8729-AD8FC33A5988}"/>
    <cellStyle name="Normal 2 3 2 3 2" xfId="25994" xr:uid="{C0BBC9C7-A995-4E6A-AEA3-144D9ADE3F76}"/>
    <cellStyle name="Normal 2 3 2 4" xfId="25995" xr:uid="{3B13B07B-3363-45AF-854D-89E03D6CCAEF}"/>
    <cellStyle name="Normal 2 3 2 5" xfId="25990" xr:uid="{772BEAD4-E241-4183-BF74-CDD6594F6D82}"/>
    <cellStyle name="Normal 2 3 3" xfId="4084" xr:uid="{D7D085DD-B1AB-4CE5-8D7A-31645E4285A1}"/>
    <cellStyle name="Normal 2 3 3 2" xfId="13427" xr:uid="{98158BF1-6CCB-4B09-86D2-F6248FDB48E2}"/>
    <cellStyle name="Normal 2 3 3 2 2" xfId="25997" xr:uid="{FD299A94-ED3C-4E0A-A53A-FF8F1A75D557}"/>
    <cellStyle name="Normal 2 3 3 3" xfId="18118" xr:uid="{C2E9792A-054F-452F-B561-84D9013DCD40}"/>
    <cellStyle name="Normal 2 3 3 4" xfId="25996" xr:uid="{8CEEA139-C1E6-499E-BBAE-036A5C7E0232}"/>
    <cellStyle name="Normal 2 3 3 5" xfId="11486" xr:uid="{A6AB8E3A-5686-4443-A265-D8B2781E7F9B}"/>
    <cellStyle name="Normal 2 3 4" xfId="25998" xr:uid="{4AA8527F-C4FE-4DAD-97D8-5399B401DE69}"/>
    <cellStyle name="Normal 2 3 4 2" xfId="25999" xr:uid="{642C894A-B37C-472B-8062-52DAC1B3F9A6}"/>
    <cellStyle name="Normal 2 3 5" xfId="26000" xr:uid="{DC089020-0012-42E5-B8E3-6A91DE12ADA4}"/>
    <cellStyle name="Normal 2 3 5 2" xfId="26001" xr:uid="{7D0D9B92-C802-4380-8CDA-A1082FDE7E6D}"/>
    <cellStyle name="Normal 2 3 6" xfId="26002" xr:uid="{F9DECC90-7CDC-4651-9E12-AF4A2E40F8A1}"/>
    <cellStyle name="Normal 2 3 6 2" xfId="26003" xr:uid="{6EB5872D-D7A6-4984-9CDF-4D584A005E08}"/>
    <cellStyle name="Normal 2 3 7" xfId="26004" xr:uid="{067EB478-9EFF-4CA3-9191-1AE297CCE443}"/>
    <cellStyle name="Normal 2 3 7 2" xfId="26005" xr:uid="{2DE1E3F5-CB64-4FA4-A046-0596E9CAB737}"/>
    <cellStyle name="Normal 2 3 8" xfId="26006" xr:uid="{67755135-496A-4D62-8022-335EB740ED42}"/>
    <cellStyle name="Normal 2 3 8 2" xfId="48940" xr:uid="{54C27EA9-684B-4419-B792-6A434532F325}"/>
    <cellStyle name="Normal 2 3 9" xfId="26007" xr:uid="{FD7E849E-97A2-4C4A-888A-6AE7BCC9A19E}"/>
    <cellStyle name="Normal 2 3 9 2" xfId="48941" xr:uid="{907A3753-22E0-4D7F-B23D-B42821DD2360}"/>
    <cellStyle name="Normal 2 4" xfId="555" xr:uid="{00000000-0005-0000-0000-000008050000}"/>
    <cellStyle name="Normal 2 4 2" xfId="1985" xr:uid="{00000000-0005-0000-0000-000009050000}"/>
    <cellStyle name="Normal 2 4 2 2" xfId="1986" xr:uid="{00000000-0005-0000-0000-00000A050000}"/>
    <cellStyle name="Normal 2 4 2 2 2" xfId="26008" xr:uid="{C7747BCB-E01A-4EBA-95E7-1A4BB63D9AC2}"/>
    <cellStyle name="Normal 2 4 2 2 3" xfId="17806" xr:uid="{63A3E9A6-E78F-43C3-AEBA-A230F7807F9C}"/>
    <cellStyle name="Normal 2 4 2 3" xfId="12135" xr:uid="{991CF921-EFE7-4A2B-AE49-EC1856999C67}"/>
    <cellStyle name="Normal 2 4 2 3 2" xfId="26010" xr:uid="{3CD747CA-A7E8-4C92-A212-A168BB1B0CFB}"/>
    <cellStyle name="Normal 2 4 2 3 3" xfId="26009" xr:uid="{29139BFD-D2AD-4FCD-80BB-6A6E2B658A97}"/>
    <cellStyle name="Normal 2 4 2 4" xfId="11652" xr:uid="{E5C8CC66-F4D4-41E3-BC3A-F4F2EF5CCC78}"/>
    <cellStyle name="Normal 2 4 2 4 2" xfId="26011" xr:uid="{C6E6DADA-54AA-4F23-BDB5-3B7BCB91595C}"/>
    <cellStyle name="Normal 2 4 2 5" xfId="11047" xr:uid="{6A3BB9DF-F2DE-4E2B-A07F-98994FF168BF}"/>
    <cellStyle name="Normal 2 4 2 5 2" xfId="26012" xr:uid="{E4739F95-5DE2-45F1-B801-852F59AB41C3}"/>
    <cellStyle name="Normal 2 4 2 6" xfId="26013" xr:uid="{7E9508BB-497A-46B3-B1BA-3DA34CAE2AB5}"/>
    <cellStyle name="Normal 2 4 2 7" xfId="17805" xr:uid="{092EA9CC-DE07-4669-91A3-7CFD57318BB8}"/>
    <cellStyle name="Normal 2 4 2 8" xfId="9230" xr:uid="{2DBA7BA7-8EEF-47D1-9D37-91839F511EBA}"/>
    <cellStyle name="Normal 2 4 3" xfId="1987" xr:uid="{00000000-0005-0000-0000-00000B050000}"/>
    <cellStyle name="Normal 2 4 3 2" xfId="26014" xr:uid="{2B0D404A-4121-451C-8A27-A17B8707670C}"/>
    <cellStyle name="Normal 2 4 3 3" xfId="17807" xr:uid="{98A64F62-51D9-4DCF-B41F-7B2B578AA75B}"/>
    <cellStyle name="Normal 2 4 4" xfId="12136" xr:uid="{F2E46824-49A4-41C4-9A2A-D22B48D38697}"/>
    <cellStyle name="Normal 2 4 4 2" xfId="26016" xr:uid="{EE66411F-5E1D-44BB-A8AB-FABC8540B013}"/>
    <cellStyle name="Normal 2 4 4 3" xfId="26015" xr:uid="{4207EB4D-8B29-490F-9C70-AA2507804D25}"/>
    <cellStyle name="Normal 2 4 5" xfId="26017" xr:uid="{27F28F2F-8A21-4412-8F24-3442F50B9691}"/>
    <cellStyle name="Normal 2 4 5 2" xfId="26018" xr:uid="{B20D9811-78FA-4032-B226-F43DDCEAC2D2}"/>
    <cellStyle name="Normal 2 4 6" xfId="26019" xr:uid="{5590BAB7-C03B-4E65-9DDA-761DAAA6F6F8}"/>
    <cellStyle name="Normal 2 4 6 2" xfId="26020" xr:uid="{34969C06-FA0C-4FA8-9F57-3D99D1DDE42D}"/>
    <cellStyle name="Normal 2 4 7" xfId="26021" xr:uid="{E574CB89-0DB3-44ED-849D-447983BBAC3D}"/>
    <cellStyle name="Normal 2 4 7 2" xfId="26022" xr:uid="{1C09A6B1-9DDE-4B90-80A1-B9D4798C19C6}"/>
    <cellStyle name="Normal 2 4 8" xfId="26023" xr:uid="{0188285F-D1C0-476A-AC94-53D0D8396279}"/>
    <cellStyle name="Normal 2 4 8 2" xfId="48942" xr:uid="{BA1EC366-A556-4563-B618-1A1A2F351764}"/>
    <cellStyle name="Normal 2 4 9" xfId="26024" xr:uid="{6893BEB8-0F63-453A-B8E6-3A6379E77034}"/>
    <cellStyle name="Normal 2 5" xfId="1988" xr:uid="{00000000-0005-0000-0000-00000C050000}"/>
    <cellStyle name="Normal 2 5 10" xfId="26025" xr:uid="{64CEA76E-E188-4296-BEC7-532935CC326A}"/>
    <cellStyle name="Normal 2 5 11" xfId="48943" xr:uid="{4E6F6B81-3633-49B5-9337-6DC238605601}"/>
    <cellStyle name="Normal 2 5 2" xfId="26026" xr:uid="{DEE0193F-6DE4-4D29-A5B5-2CA302366216}"/>
    <cellStyle name="Normal 2 5 2 2" xfId="26027" xr:uid="{442918E7-C9BA-47F2-ADC0-E1E153EFA80F}"/>
    <cellStyle name="Normal 2 5 2 2 2" xfId="26028" xr:uid="{89A647BF-61B6-49B9-A039-4A8A545AC1EF}"/>
    <cellStyle name="Normal 2 5 2 3" xfId="26029" xr:uid="{5AC786D3-E109-4DA4-A76D-C3840EAAC9F6}"/>
    <cellStyle name="Normal 2 5 2 3 2" xfId="26030" xr:uid="{1682CEFA-9DC7-47FE-9B29-87FDF39F831B}"/>
    <cellStyle name="Normal 2 5 2 4" xfId="26031" xr:uid="{CFA0A103-EB14-44B7-9886-D3D3648E2C5B}"/>
    <cellStyle name="Normal 2 5 3" xfId="26032" xr:uid="{5D36008F-E0C8-4C8F-B9FC-1531C0A48E5A}"/>
    <cellStyle name="Normal 2 5 3 2" xfId="26033" xr:uid="{AEE75CE0-3C93-4D70-A24C-2A6A83F207D7}"/>
    <cellStyle name="Normal 2 5 4" xfId="26034" xr:uid="{73673140-FC5A-4803-9A4D-360F754AEF11}"/>
    <cellStyle name="Normal 2 5 4 2" xfId="26035" xr:uid="{62FC8F9F-67E0-4890-9DBF-6B43FF6474CB}"/>
    <cellStyle name="Normal 2 5 5" xfId="26036" xr:uid="{634A8158-42B7-4D1B-AC03-711F4E1B1EEF}"/>
    <cellStyle name="Normal 2 5 5 2" xfId="26037" xr:uid="{A09565EC-DA60-4F5C-A077-5E39E31F9226}"/>
    <cellStyle name="Normal 2 5 6" xfId="26038" xr:uid="{D5AD8542-129A-498A-AEA7-C06436E66FAC}"/>
    <cellStyle name="Normal 2 5 6 2" xfId="26039" xr:uid="{E4EE9A77-A3AF-445F-A614-07F1C080B56F}"/>
    <cellStyle name="Normal 2 5 7" xfId="26040" xr:uid="{C3947C20-D269-43BD-832D-FFC6A08687A7}"/>
    <cellStyle name="Normal 2 5 7 2" xfId="48944" xr:uid="{0738BB52-5FD1-4DDB-BFDA-9223A3ADADA7}"/>
    <cellStyle name="Normal 2 5 8" xfId="26041" xr:uid="{D5FB66C6-0C06-48F4-8458-28DA2983901C}"/>
    <cellStyle name="Normal 2 5 8 2" xfId="48945" xr:uid="{6CB50DAC-7ABD-4ADA-92CD-9AE50BC627EC}"/>
    <cellStyle name="Normal 2 5 9" xfId="26042" xr:uid="{20E8148E-3E93-41A6-9AED-3FC1309A62BE}"/>
    <cellStyle name="Normal 2 6" xfId="26043" xr:uid="{340B750A-ED53-4DD0-86D1-1A7AAFBE2E87}"/>
    <cellStyle name="Normal 2 6 2" xfId="26044" xr:uid="{28BC664B-603D-48F4-91FE-53302B361D3A}"/>
    <cellStyle name="Normal 2 6 2 2" xfId="26045" xr:uid="{47CE0404-E7C6-4E64-878E-C221DA3A12B4}"/>
    <cellStyle name="Normal 2 6 2 2 2" xfId="26046" xr:uid="{3891D583-5021-4D3A-B9BB-2CDC2323B448}"/>
    <cellStyle name="Normal 2 6 2 3" xfId="26047" xr:uid="{434718F8-96EC-45C1-AFD6-9B95F1E6EAFE}"/>
    <cellStyle name="Normal 2 6 2 3 2" xfId="26048" xr:uid="{8B476A28-5C49-4198-8967-3BDF28D4A8CD}"/>
    <cellStyle name="Normal 2 6 2 4" xfId="26049" xr:uid="{E69DDEF5-D081-40AE-B548-C72101B823BE}"/>
    <cellStyle name="Normal 2 6 3" xfId="26050" xr:uid="{FE778A85-1EEE-404C-B6A5-2C323BF76B4F}"/>
    <cellStyle name="Normal 2 6 3 2" xfId="26051" xr:uid="{8A99DB48-23CF-43F3-9793-47E8785BC354}"/>
    <cellStyle name="Normal 2 6 4" xfId="26052" xr:uid="{3052A629-D98D-4A10-B7FC-E94550880021}"/>
    <cellStyle name="Normal 2 6 4 2" xfId="26053" xr:uid="{356E1B8B-82F8-41C2-B218-11CCF3A6AACB}"/>
    <cellStyle name="Normal 2 6 5" xfId="26054" xr:uid="{73DA08F9-3F21-4A9F-BA71-23172A851B5A}"/>
    <cellStyle name="Normal 2 6 5 2" xfId="26055" xr:uid="{24A2DB09-0421-4B1E-98BF-C41284C37494}"/>
    <cellStyle name="Normal 2 6 6" xfId="26056" xr:uid="{EFBFFB47-1411-49E2-A2D6-9316263FADA2}"/>
    <cellStyle name="Normal 2 6 6 2" xfId="26057" xr:uid="{5A1B7310-577B-4FBB-8D89-CEAB212D3FA6}"/>
    <cellStyle name="Normal 2 6 7" xfId="48946" xr:uid="{360798C8-9116-479F-B41A-FB4D957646E4}"/>
    <cellStyle name="Normal 2 7" xfId="26058" xr:uid="{0F55875A-DD73-4703-89C7-B55EF670BFBC}"/>
    <cellStyle name="Normal 2 7 2" xfId="26059" xr:uid="{70E15297-A8CD-4626-924E-7238DC8EC9B3}"/>
    <cellStyle name="Normal 2 7 2 2" xfId="26060" xr:uid="{E0A43B54-6AC2-4947-90EB-615D7DD044D7}"/>
    <cellStyle name="Normal 2 7 2 2 2" xfId="26061" xr:uid="{1346773B-F252-4A4E-9C8F-F3E1AE3EB187}"/>
    <cellStyle name="Normal 2 7 2 3" xfId="26062" xr:uid="{9052ABA2-7C99-45C9-A813-26A21FBECD7F}"/>
    <cellStyle name="Normal 2 7 2 3 2" xfId="26063" xr:uid="{DAE1855D-250A-46A6-A683-442EF17D6AD2}"/>
    <cellStyle name="Normal 2 7 2 4" xfId="26064" xr:uid="{274791D3-1CB9-4D64-8736-5ED87C4FA9A3}"/>
    <cellStyle name="Normal 2 7 3" xfId="26065" xr:uid="{FE4B02AF-7439-4DCA-B661-F088944D352C}"/>
    <cellStyle name="Normal 2 7 3 2" xfId="26066" xr:uid="{84632C96-75AE-4F18-8D20-EA4D0C62B008}"/>
    <cellStyle name="Normal 2 7 4" xfId="26067" xr:uid="{B9201B52-5125-4463-BF35-D1D420C3280B}"/>
    <cellStyle name="Normal 2 7 4 2" xfId="26068" xr:uid="{4F936754-32F5-4897-B7C6-B1BC442D49F9}"/>
    <cellStyle name="Normal 2 7 5" xfId="26069" xr:uid="{AF6E041C-1B75-4092-816D-63F27D128645}"/>
    <cellStyle name="Normal 2 7 5 2" xfId="26070" xr:uid="{455AFAA7-99C2-443B-BAC6-947E9B2861E0}"/>
    <cellStyle name="Normal 2 7 6" xfId="26071" xr:uid="{AF66AD4F-26D8-4515-B8BE-7D892E8407AF}"/>
    <cellStyle name="Normal 2 8" xfId="26072" xr:uid="{2A31173D-6808-4061-A961-32FFACDA3538}"/>
    <cellStyle name="Normal 2 8 2" xfId="26073" xr:uid="{503A469C-78FA-47E2-A743-88A1CFF97F14}"/>
    <cellStyle name="Normal 2 8 2 2" xfId="26074" xr:uid="{04A301DA-8ADB-4186-9D74-0762D647F888}"/>
    <cellStyle name="Normal 2 8 2 2 2" xfId="26075" xr:uid="{7C61FADD-9292-4ABA-A913-E3814626F474}"/>
    <cellStyle name="Normal 2 8 2 3" xfId="26076" xr:uid="{19E51D8B-6EE3-4A7A-BE75-B6114D1D3A50}"/>
    <cellStyle name="Normal 2 8 2 3 2" xfId="26077" xr:uid="{F8196CAE-3425-4D0F-88E7-79C4DBEE14ED}"/>
    <cellStyle name="Normal 2 8 2 4" xfId="26078" xr:uid="{0AC2FE7A-10AF-4E38-8150-8E2EA2F62361}"/>
    <cellStyle name="Normal 2 8 3" xfId="26079" xr:uid="{7CE01C13-F18D-4918-A2BE-527112C81A99}"/>
    <cellStyle name="Normal 2 8 3 2" xfId="26080" xr:uid="{DBD499B2-DD3B-43AC-80F4-F318D63D3F24}"/>
    <cellStyle name="Normal 2 8 4" xfId="26081" xr:uid="{221E8F1D-2788-4F2E-A732-17CE8606B67B}"/>
    <cellStyle name="Normal 2 8 4 2" xfId="26082" xr:uid="{BF222C33-2692-478E-91DB-61F53B1344CC}"/>
    <cellStyle name="Normal 2 8 5" xfId="26083" xr:uid="{9E34F5F7-31FD-4520-84FB-7FA3654E0861}"/>
    <cellStyle name="Normal 2 8 5 2" xfId="26084" xr:uid="{472185FF-F297-45B4-97BD-8C59FAE0BDE4}"/>
    <cellStyle name="Normal 2 8 6" xfId="26085" xr:uid="{7398CE4D-4ADA-4E2B-9938-80761A023040}"/>
    <cellStyle name="Normal 2 9" xfId="26086" xr:uid="{48C4C14B-6DD5-4333-BAA1-408481DB4940}"/>
    <cellStyle name="Normal 2 9 2" xfId="26087" xr:uid="{559DAC64-32D8-406A-AFE1-8C407B2BA389}"/>
    <cellStyle name="Normal 2 9 2 2" xfId="26088" xr:uid="{DB2603C3-D16C-43F3-876E-4E00B32B060D}"/>
    <cellStyle name="Normal 2 9 2 2 2" xfId="26089" xr:uid="{B7815A8C-E674-41CA-9CFA-63E1C5A47701}"/>
    <cellStyle name="Normal 2 9 2 3" xfId="26090" xr:uid="{047140B3-17F7-442C-9EAD-0FDD76FFDFC4}"/>
    <cellStyle name="Normal 2 9 2 3 2" xfId="26091" xr:uid="{0B24C816-2515-402B-8191-45284C68F863}"/>
    <cellStyle name="Normal 2 9 2 4" xfId="26092" xr:uid="{3E46BF7B-9560-4DC0-A5D9-8AEABE1BF510}"/>
    <cellStyle name="Normal 2 9 3" xfId="26093" xr:uid="{38829973-3567-4C0A-B0E0-96B11D7D4B2F}"/>
    <cellStyle name="Normal 2 9 3 2" xfId="26094" xr:uid="{6045CB2A-994A-4528-B483-F7889FEFC2BD}"/>
    <cellStyle name="Normal 2 9 4" xfId="26095" xr:uid="{BBA5644B-D314-421B-B094-5EFD0FFE8836}"/>
    <cellStyle name="Normal 2 9 4 2" xfId="26096" xr:uid="{E61F07F2-8ADA-42A5-A3C6-65435AAA455E}"/>
    <cellStyle name="Normal 2 9 5" xfId="26097" xr:uid="{B68AD298-10F4-4912-8B9C-3DC8343A9B91}"/>
    <cellStyle name="Normal 2_Plants" xfId="1989" xr:uid="{00000000-0005-0000-0000-00000D050000}"/>
    <cellStyle name="Normal 20" xfId="1990" xr:uid="{00000000-0005-0000-0000-00000E050000}"/>
    <cellStyle name="Normal 20 2" xfId="26099" xr:uid="{7DAD4F89-7828-4077-A27F-C9DF273B4B1A}"/>
    <cellStyle name="Normal 20 3" xfId="26100" xr:uid="{6AAFDE01-538E-45C6-80DA-5CAABDC385D9}"/>
    <cellStyle name="Normal 20 4" xfId="26098" xr:uid="{B1A09895-80F2-4E72-912F-A1AFC793CC7C}"/>
    <cellStyle name="Normal 21" xfId="1991" xr:uid="{00000000-0005-0000-0000-00000F050000}"/>
    <cellStyle name="Normal 21 2" xfId="26102" xr:uid="{2DE83324-6114-4ABF-AAB8-BFDBF2DFDE1D}"/>
    <cellStyle name="Normal 21 3" xfId="26103" xr:uid="{32E77219-CCDC-4D27-8B35-CBF583B075B7}"/>
    <cellStyle name="Normal 21 4" xfId="26101" xr:uid="{B5C5B7A7-ECA1-47AA-832A-13270CA09764}"/>
    <cellStyle name="Normal 22" xfId="1992" xr:uid="{00000000-0005-0000-0000-000010050000}"/>
    <cellStyle name="Normal 22 2" xfId="26105" xr:uid="{8BFA613A-F53A-4658-BFDF-7BA5171DEF6C}"/>
    <cellStyle name="Normal 22 3" xfId="26106" xr:uid="{5A8A9220-9760-4062-BBE2-610BC6063976}"/>
    <cellStyle name="Normal 22 4" xfId="26104" xr:uid="{FB2B9904-809D-4DA8-A99D-FA016E02FD52}"/>
    <cellStyle name="Normal 23" xfId="1993" xr:uid="{00000000-0005-0000-0000-000011050000}"/>
    <cellStyle name="Normal 23 2" xfId="26108" xr:uid="{49549CFF-0D7D-443E-A419-72B520196363}"/>
    <cellStyle name="Normal 23 3" xfId="26109" xr:uid="{9F097735-9F0D-4CDE-A116-C4B29D133384}"/>
    <cellStyle name="Normal 23 4" xfId="26107" xr:uid="{3615E7CD-78D9-47AB-8C68-DC9A4273A8B6}"/>
    <cellStyle name="Normal 24" xfId="1994" xr:uid="{00000000-0005-0000-0000-000012050000}"/>
    <cellStyle name="Normal 24 2" xfId="26111" xr:uid="{72FC3CEE-E588-40BB-8F27-DF4DF6963571}"/>
    <cellStyle name="Normal 24 3" xfId="26110" xr:uid="{47F1950F-5A16-4D92-8FAF-F499157DAB17}"/>
    <cellStyle name="Normal 24 4" xfId="48947" xr:uid="{8EE6DDF0-BD63-44E3-BB8A-F32CBE25882F}"/>
    <cellStyle name="Normal 25" xfId="1995" xr:uid="{00000000-0005-0000-0000-000013050000}"/>
    <cellStyle name="Normal 25 2" xfId="26113" xr:uid="{1AA6E246-B68E-44CD-9518-48A984A2D1ED}"/>
    <cellStyle name="Normal 25 3" xfId="26112" xr:uid="{47654DE6-AE74-4C39-B3F1-932A91CF4B22}"/>
    <cellStyle name="Normal 25 4" xfId="48948" xr:uid="{A2E26FD0-F89A-4E26-AC81-7984A6EA89FC}"/>
    <cellStyle name="Normal 26" xfId="1996" xr:uid="{00000000-0005-0000-0000-000014050000}"/>
    <cellStyle name="Normal 26 2" xfId="26115" xr:uid="{8EF6F8E0-50BF-4524-9328-C8BB4FD560A2}"/>
    <cellStyle name="Normal 26 3" xfId="26114" xr:uid="{AB7AC8C4-6198-45E3-998D-DAFB70D8FAAE}"/>
    <cellStyle name="Normal 26 4" xfId="48949" xr:uid="{EFF6C202-D407-480A-B0C1-33A7FCD3123F}"/>
    <cellStyle name="Normal 27" xfId="1997" xr:uid="{00000000-0005-0000-0000-000015050000}"/>
    <cellStyle name="Normal 27 2" xfId="26117" xr:uid="{F4F8FD33-7A99-4A04-B9BB-EB378E930646}"/>
    <cellStyle name="Normal 27 3" xfId="26116" xr:uid="{44B8E0F7-16CC-4A1F-8293-390DD17302E3}"/>
    <cellStyle name="Normal 27 4" xfId="48950" xr:uid="{7B06B54B-C9CF-449A-8547-F26E4A3E079C}"/>
    <cellStyle name="Normal 28" xfId="1998" xr:uid="{00000000-0005-0000-0000-000016050000}"/>
    <cellStyle name="Normal 28 2" xfId="26119" xr:uid="{7D72CD25-B0A3-406D-AE92-C69AE5E07D4E}"/>
    <cellStyle name="Normal 28 3" xfId="26118" xr:uid="{77F762D9-B064-4EAC-9B46-F3F8F41BD873}"/>
    <cellStyle name="Normal 28 4" xfId="48951" xr:uid="{BA575035-D3ED-4E3F-969B-AA821232FD04}"/>
    <cellStyle name="Normal 29" xfId="1999" xr:uid="{00000000-0005-0000-0000-000017050000}"/>
    <cellStyle name="Normal 29 2" xfId="2000" xr:uid="{00000000-0005-0000-0000-000018050000}"/>
    <cellStyle name="Normal 29 2 2" xfId="17809" xr:uid="{D8ED0CC1-ED96-4FC7-A383-CBC11E54F242}"/>
    <cellStyle name="Normal 29 3" xfId="26120" xr:uid="{6C6AAF8E-33A8-47D8-8B6D-8438A687D024}"/>
    <cellStyle name="Normal 29 4" xfId="48952" xr:uid="{53A13280-1074-4701-97DF-A707FE842019}"/>
    <cellStyle name="Normal 29 5" xfId="17808" xr:uid="{1BAE3121-0A18-4382-8488-672FB576C753}"/>
    <cellStyle name="Normal 3" xfId="556" xr:uid="{00000000-0005-0000-0000-000019050000}"/>
    <cellStyle name="Normal 3 10" xfId="2001" xr:uid="{00000000-0005-0000-0000-00001A050000}"/>
    <cellStyle name="Normal 3 10 2" xfId="12660" xr:uid="{04441DE3-9016-4CB4-AB7D-C8EA31BE87B1}"/>
    <cellStyle name="Normal 3 10 2 2" xfId="26121" xr:uid="{E3B80F01-F35C-454D-AF42-17EA80FE55E8}"/>
    <cellStyle name="Normal 3 10 2 3" xfId="18833" xr:uid="{7609301A-A385-4FCA-9856-E63D5374D4A6}"/>
    <cellStyle name="Normal 3 10 3" xfId="11048" xr:uid="{2483506D-07B3-411D-AA9C-9F23DC54E47A}"/>
    <cellStyle name="Normal 3 10 3 2" xfId="37518" xr:uid="{46ED8552-3A56-4E26-9F53-3B16385D0728}"/>
    <cellStyle name="Normal 3 10 3 3" xfId="26122" xr:uid="{EF85DE27-6B47-4486-A60A-A3C10BE72B1A}"/>
    <cellStyle name="Normal 3 10 4" xfId="26123" xr:uid="{EAA9913F-FABD-45CD-93EC-1A40291F91C4}"/>
    <cellStyle name="Normal 3 10 5" xfId="10207" xr:uid="{43E65694-37F5-4B19-9AB6-A0BD2F09B1B0}"/>
    <cellStyle name="Normal 3 11" xfId="2002" xr:uid="{00000000-0005-0000-0000-00001B050000}"/>
    <cellStyle name="Normal 3 11 2" xfId="12974" xr:uid="{29E2F27F-42B0-49BD-8E60-69A7057540F6}"/>
    <cellStyle name="Normal 3 11 2 2" xfId="18995" xr:uid="{0478C803-1793-46B0-AAB4-2A7FDAFC31C8}"/>
    <cellStyle name="Normal 3 11 3" xfId="11049" xr:uid="{86591EE1-BFB7-4666-A385-BCED4A36E93A}"/>
    <cellStyle name="Normal 3 11 3 2" xfId="48092" xr:uid="{B9BC2659-251C-486A-B489-DAE0F1B3F55D}"/>
    <cellStyle name="Normal 3 11 3 3" xfId="26124" xr:uid="{C848C920-A3FD-4D49-9779-73623CC34E09}"/>
    <cellStyle name="Normal 3 11 4" xfId="10521" xr:uid="{62EAE520-58D1-4789-8E1A-E1D039C6F0BF}"/>
    <cellStyle name="Normal 3 12" xfId="2003" xr:uid="{00000000-0005-0000-0000-00001C050000}"/>
    <cellStyle name="Normal 3 12 2" xfId="26126" xr:uid="{666B767D-DC19-4925-9B1F-623D0E10472B}"/>
    <cellStyle name="Normal 3 12 3" xfId="26127" xr:uid="{BA6EF3D4-B56D-409E-AC72-44635D06B2CC}"/>
    <cellStyle name="Normal 3 12 4" xfId="26125" xr:uid="{795EFC74-09E5-4B3D-9FD7-A83114032C6B}"/>
    <cellStyle name="Normal 3 13" xfId="2004" xr:uid="{00000000-0005-0000-0000-00001D050000}"/>
    <cellStyle name="Normal 3 13 2" xfId="26129" xr:uid="{35D92CD5-75F8-480E-BF0E-A8F934A1699D}"/>
    <cellStyle name="Normal 3 13 3" xfId="26130" xr:uid="{8DE988D7-5743-4ED9-B545-7904BEC9B260}"/>
    <cellStyle name="Normal 3 13 4" xfId="26128" xr:uid="{F512C8D0-5CFA-42A6-AE54-30D5936FC880}"/>
    <cellStyle name="Normal 3 14" xfId="2005" xr:uid="{00000000-0005-0000-0000-00001E050000}"/>
    <cellStyle name="Normal 3 14 2" xfId="26132" xr:uid="{F9C6EF2C-EA5D-45B0-945D-B9BE930FAB37}"/>
    <cellStyle name="Normal 3 14 3" xfId="26133" xr:uid="{33B940BF-C50E-4B6E-8CEB-38033FACC52A}"/>
    <cellStyle name="Normal 3 14 4" xfId="26131" xr:uid="{9853AD6F-AFF3-424F-9C55-B4D0C56AB956}"/>
    <cellStyle name="Normal 3 15" xfId="2006" xr:uid="{00000000-0005-0000-0000-00001F050000}"/>
    <cellStyle name="Normal 3 15 2" xfId="26135" xr:uid="{FE0AE2CB-D626-4FE6-80BE-DF4B1A485A82}"/>
    <cellStyle name="Normal 3 15 3" xfId="26134" xr:uid="{16F7872C-FE7A-4382-AE51-766383C0D1C2}"/>
    <cellStyle name="Normal 3 15 4" xfId="48953" xr:uid="{C997B44B-A72A-44A5-8A42-B1872A758FFD}"/>
    <cellStyle name="Normal 3 16" xfId="2007" xr:uid="{00000000-0005-0000-0000-000020050000}"/>
    <cellStyle name="Normal 3 16 2" xfId="26136" xr:uid="{5266C609-1BE6-4785-BCB4-0F40F03F2D1D}"/>
    <cellStyle name="Normal 3 16 3" xfId="48954" xr:uid="{E791E01B-1883-44CB-8137-F1124BC79BDF}"/>
    <cellStyle name="Normal 3 16 4" xfId="17810" xr:uid="{71A080E3-29E1-4033-9653-34316683CE58}"/>
    <cellStyle name="Normal 3 17" xfId="10605" xr:uid="{ACF6057F-FC24-40DD-B093-A275D02C7222}"/>
    <cellStyle name="Normal 3 17 2" xfId="46158" xr:uid="{A847BDCF-C006-4C21-890A-71423908245C}"/>
    <cellStyle name="Normal 3 18" xfId="16973" xr:uid="{35B24204-008E-4E44-BC7B-57019416F3AF}"/>
    <cellStyle name="Normal 3 2" xfId="557" xr:uid="{00000000-0005-0000-0000-000021050000}"/>
    <cellStyle name="Normal 3 2 10" xfId="10606" xr:uid="{6EB48CD1-6488-4BEB-B76E-BC1F0FE91E00}"/>
    <cellStyle name="Normal 3 2 10 2" xfId="47295" xr:uid="{7D67BA51-BB66-4DBD-8BBA-44551B4BD656}"/>
    <cellStyle name="Normal 3 2 11" xfId="16974" xr:uid="{93D4542A-56C2-4916-A40D-1D4883A8C181}"/>
    <cellStyle name="Normal 3 2 2" xfId="558" xr:uid="{00000000-0005-0000-0000-000022050000}"/>
    <cellStyle name="Normal 3 2 2 2" xfId="2008" xr:uid="{00000000-0005-0000-0000-000023050000}"/>
    <cellStyle name="Normal 3 2 2 2 2" xfId="4085" xr:uid="{20EFB8C9-9949-4054-98E5-B71FE73FB663}"/>
    <cellStyle name="Normal 3 2 2 2 2 2" xfId="10309" xr:uid="{97079813-CA6F-4D52-B25D-54C3F8818E5B}"/>
    <cellStyle name="Normal 3 2 2 2 2 2 2" xfId="12762" xr:uid="{4B87800D-3687-46B4-B3E0-C25E8933A727}"/>
    <cellStyle name="Normal 3 2 2 2 2 2 2 2" xfId="48273" xr:uid="{381EDA03-26A1-464B-A2C4-22C1456E8F2B}"/>
    <cellStyle name="Normal 3 2 2 2 2 2 3" xfId="18891" xr:uid="{FFE6792C-B1D1-4FDA-BEB5-74A633BADD87}"/>
    <cellStyle name="Normal 3 2 2 2 2 3" xfId="12461" xr:uid="{4AA39EAA-F9C9-47FE-A99E-14E1E838C054}"/>
    <cellStyle name="Normal 3 2 2 2 2 3 2" xfId="46309" xr:uid="{D545C542-3FB2-433E-9C7A-A9619DEE0798}"/>
    <cellStyle name="Normal 3 2 2 2 2 4" xfId="18742" xr:uid="{AB7E0D20-1E08-4C72-A6FA-A0EAD2460628}"/>
    <cellStyle name="Normal 3 2 2 2 3" xfId="10076" xr:uid="{21982FB5-F980-4039-B82E-6737687A3317}"/>
    <cellStyle name="Normal 3 2 2 2 3 2" xfId="10388" xr:uid="{306AC40D-F6D3-4D6E-8518-2FE7C2680F0A}"/>
    <cellStyle name="Normal 3 2 2 2 3 2 2" xfId="12841" xr:uid="{6F447464-87F4-428D-9967-D02B54FA5C98}"/>
    <cellStyle name="Normal 3 2 2 2 3 2 2 2" xfId="46362" xr:uid="{CDBB03F2-ACAD-468E-91AC-197726C1CD18}"/>
    <cellStyle name="Normal 3 2 2 2 3 2 3" xfId="18932" xr:uid="{2E260D67-E698-442E-AA83-F0B4EEC4C9DE}"/>
    <cellStyle name="Normal 3 2 2 2 3 3" xfId="12533" xr:uid="{3E7D13F5-B41D-4ADE-B202-510A158513E2}"/>
    <cellStyle name="Normal 3 2 2 2 3 3 2" xfId="48335" xr:uid="{DC70115C-2939-426F-BDE6-E3A35EDEB5AB}"/>
    <cellStyle name="Normal 3 2 2 2 3 4" xfId="18776" xr:uid="{CD7C024D-81AA-48FA-BCBB-7F9BB30CC54D}"/>
    <cellStyle name="Normal 3 2 2 2 4" xfId="10154" xr:uid="{5FE54D2D-47E2-4A6F-9AC3-E60B69EAE1FA}"/>
    <cellStyle name="Normal 3 2 2 2 4 2" xfId="10468" xr:uid="{2640CB69-50E8-4D5C-8BE7-BF7047CB40BA}"/>
    <cellStyle name="Normal 3 2 2 2 4 2 2" xfId="12921" xr:uid="{1A734615-A55D-4116-8400-C955242F8C37}"/>
    <cellStyle name="Normal 3 2 2 2 4 2 2 2" xfId="32421" xr:uid="{53B9F37C-52C2-4546-A4FD-A93FAFC7D179}"/>
    <cellStyle name="Normal 3 2 2 2 4 2 3" xfId="18974" xr:uid="{1A1F3C58-10D4-4CD0-AD08-D720A6574023}"/>
    <cellStyle name="Normal 3 2 2 2 4 3" xfId="12608" xr:uid="{B6D02529-1A55-41AE-B4E2-FD180E9E6F8D}"/>
    <cellStyle name="Normal 3 2 2 2 4 3 2" xfId="47916" xr:uid="{05107D5D-BF27-4CA5-8424-25C6B120FE75}"/>
    <cellStyle name="Normal 3 2 2 2 4 4" xfId="18813" xr:uid="{8DCE3C07-33F0-4BA9-B43E-390462187CEA}"/>
    <cellStyle name="Normal 3 2 2 2 5" xfId="10234" xr:uid="{33D15470-8665-4DEB-A840-5E71DA9824F9}"/>
    <cellStyle name="Normal 3 2 2 2 5 2" xfId="12687" xr:uid="{6CA69017-288C-421C-9D6E-329F87EA2534}"/>
    <cellStyle name="Normal 3 2 2 2 5 2 2" xfId="48093" xr:uid="{011543A7-641C-46CA-B219-9B8F911719F8}"/>
    <cellStyle name="Normal 3 2 2 2 5 3" xfId="18854" xr:uid="{0AFC4699-7CA1-48E0-AB0A-8A0D4351B49F}"/>
    <cellStyle name="Normal 3 2 2 2 6" xfId="10548" xr:uid="{9BF4E79A-29B5-45DA-9655-65EDC9627DDC}"/>
    <cellStyle name="Normal 3 2 2 2 6 2" xfId="13001" xr:uid="{8640394B-EB45-4E29-9E79-A8544342FAE5}"/>
    <cellStyle name="Normal 3 2 2 2 6 2 2" xfId="48341" xr:uid="{6EB24D71-2023-4BD3-A6A3-F9D6513B7CC7}"/>
    <cellStyle name="Normal 3 2 2 2 6 3" xfId="19016" xr:uid="{EAC6F4A9-100F-4B61-8959-8EB46069682A}"/>
    <cellStyle name="Normal 3 2 2 2 7" xfId="12318" xr:uid="{E2CFD978-B662-40DB-B49A-2800C4C2FACE}"/>
    <cellStyle name="Normal 3 2 2 2 7 2" xfId="18631" xr:uid="{E9ED9127-F197-41B8-A8AF-BBDEBEB77ABC}"/>
    <cellStyle name="Normal 3 2 2 2 8" xfId="11050" xr:uid="{2915DC79-E216-4085-90A5-0912E62B3652}"/>
    <cellStyle name="Normal 3 2 2 2 9" xfId="16976" xr:uid="{0E2D17F0-87BA-4B00-83B8-4708C9E51E2A}"/>
    <cellStyle name="Normal 3 2 2 3" xfId="2009" xr:uid="{00000000-0005-0000-0000-000024050000}"/>
    <cellStyle name="Normal 3 2 2 3 2" xfId="2010" xr:uid="{00000000-0005-0000-0000-000025050000}"/>
    <cellStyle name="Normal 3 2 2 3 2 2" xfId="14068" xr:uid="{A0CFA564-A352-4D66-9CE1-CC883C84E94B}"/>
    <cellStyle name="Normal 3 2 2 3 2 3" xfId="17812" xr:uid="{50036E50-CD3B-42B3-8E2C-B662CEB3A820}"/>
    <cellStyle name="Normal 3 2 2 3 3" xfId="11132" xr:uid="{6A89020C-3FEE-4112-BC4C-37A9023BAF33}"/>
    <cellStyle name="Normal 3 2 2 3 3 2" xfId="26137" xr:uid="{161850D8-AD52-4BAE-823A-A2F997270BB0}"/>
    <cellStyle name="Normal 3 2 2 3 4" xfId="11051" xr:uid="{DBD9F86C-9475-4B33-98B8-B981A4E80B03}"/>
    <cellStyle name="Normal 3 2 2 3 4 2" xfId="17811" xr:uid="{2CEEE4E3-8CAD-4B8B-874E-09A5F46AB4A4}"/>
    <cellStyle name="Normal 3 2 2 3 5" xfId="8067" xr:uid="{2B3B3DF3-3A7D-44FF-A4CF-5E717423559B}"/>
    <cellStyle name="Normal 3 2 2 4" xfId="2011" xr:uid="{00000000-0005-0000-0000-000026050000}"/>
    <cellStyle name="Normal 3 2 2 4 2" xfId="10295" xr:uid="{F74B0D49-92A1-4610-9B87-CCEBBA805736}"/>
    <cellStyle name="Normal 3 2 2 4 2 2" xfId="12748" xr:uid="{5279744D-03AE-4C23-8B3E-DF2BE83982EA}"/>
    <cellStyle name="Normal 3 2 2 4 2 2 2" xfId="46348" xr:uid="{9313C41D-1C3B-4A20-86D0-22C50A091019}"/>
    <cellStyle name="Normal 3 2 2 4 2 3" xfId="18879" xr:uid="{24FFDE9E-D52E-4679-B695-3CCC46AF5044}"/>
    <cellStyle name="Normal 3 2 2 4 3" xfId="11052" xr:uid="{A18650FD-E249-4C0F-BD1A-DFAF5BD0CE26}"/>
    <cellStyle name="Normal 3 2 2 4 3 2" xfId="32540" xr:uid="{10C5E935-BCA3-4E28-B962-757D3B154E06}"/>
    <cellStyle name="Normal 3 2 2 4 4" xfId="17813" xr:uid="{14B12029-1008-4267-AE83-B3C66093FC3A}"/>
    <cellStyle name="Normal 3 2 2 5" xfId="10061" xr:uid="{C59533FC-1B5D-4389-BF22-D5A5048A9525}"/>
    <cellStyle name="Normal 3 2 2 5 2" xfId="10369" xr:uid="{79EF18AC-A864-45B8-AC49-02072EEC5857}"/>
    <cellStyle name="Normal 3 2 2 5 2 2" xfId="12822" xr:uid="{98C19FD8-6326-439A-A73A-7073065DB7CD}"/>
    <cellStyle name="Normal 3 2 2 5 2 2 2" xfId="46358" xr:uid="{BEAB1A32-2020-43AD-A66B-05A3092F39A9}"/>
    <cellStyle name="Normal 3 2 2 5 2 3" xfId="18915" xr:uid="{9023FED3-F09C-4CDC-B5BB-F71041E5602B}"/>
    <cellStyle name="Normal 3 2 2 5 3" xfId="12520" xr:uid="{BA1356DD-8D0F-472C-8C05-110737685AAD}"/>
    <cellStyle name="Normal 3 2 2 5 3 2" xfId="46763" xr:uid="{4B33AACA-1D2D-46F9-9CCB-6E0909FF8F4F}"/>
    <cellStyle name="Normal 3 2 2 5 4" xfId="18765" xr:uid="{AE55F90C-7D0B-4D0B-9935-470E5AC93167}"/>
    <cellStyle name="Normal 3 2 2 6" xfId="10135" xr:uid="{04DC7B54-A4E7-4DDC-BD8F-38204D79F8A2}"/>
    <cellStyle name="Normal 3 2 2 6 2" xfId="10449" xr:uid="{4B6EF139-920B-48AF-8276-A316725A6028}"/>
    <cellStyle name="Normal 3 2 2 6 2 2" xfId="12902" xr:uid="{5B13C51A-C56C-4CC8-BC77-C2F34CE35B52}"/>
    <cellStyle name="Normal 3 2 2 6 2 2 2" xfId="46367" xr:uid="{C7A80337-506C-4DDB-89E2-4202808A287F}"/>
    <cellStyle name="Normal 3 2 2 6 2 3" xfId="18957" xr:uid="{4F03C8B7-64AA-40DE-AFD5-D29448F1B691}"/>
    <cellStyle name="Normal 3 2 2 6 3" xfId="12592" xr:uid="{2F87AE5D-0FD4-4E77-9400-F1AACCC4CE8D}"/>
    <cellStyle name="Normal 3 2 2 6 3 2" xfId="46327" xr:uid="{F393D580-A550-406E-87B8-A8A5BEE319B3}"/>
    <cellStyle name="Normal 3 2 2 6 4" xfId="18799" xr:uid="{5A5986EA-2A73-4AB8-8F1E-DE077B454E75}"/>
    <cellStyle name="Normal 3 2 2 7" xfId="10215" xr:uid="{AAC45652-BFAA-415D-B988-602A89A2B12B}"/>
    <cellStyle name="Normal 3 2 2 7 2" xfId="12668" xr:uid="{83392A4A-CF46-489E-BB2F-60B941F0F671}"/>
    <cellStyle name="Normal 3 2 2 7 2 2" xfId="25065" xr:uid="{43C37D24-0FBB-4A14-A8F0-A2201F22DD31}"/>
    <cellStyle name="Normal 3 2 2 7 3" xfId="18837" xr:uid="{9D754360-CE2F-40DC-BE3F-8B3C97141A9E}"/>
    <cellStyle name="Normal 3 2 2 8" xfId="10529" xr:uid="{6188F8EF-3C19-48E9-B09E-AF34E629D1BC}"/>
    <cellStyle name="Normal 3 2 2 8 2" xfId="12982" xr:uid="{AA4AA0D9-A840-432D-A588-88F750B71E3F}"/>
    <cellStyle name="Normal 3 2 2 8 2 2" xfId="46818" xr:uid="{286AF498-3BBB-4AA7-AEA9-87E0982AB098}"/>
    <cellStyle name="Normal 3 2 2 8 3" xfId="18999" xr:uid="{5C212349-1DC7-4FE0-990E-2C73B8F0B923}"/>
    <cellStyle name="Normal 3 2 2 9" xfId="16975" xr:uid="{59F3C6DD-5A81-45A1-A95F-BF29D070957F}"/>
    <cellStyle name="Normal 3 2 3" xfId="559" xr:uid="{00000000-0005-0000-0000-000027050000}"/>
    <cellStyle name="Normal 3 2 3 2" xfId="2012" xr:uid="{00000000-0005-0000-0000-000028050000}"/>
    <cellStyle name="Normal 3 2 3 2 2" xfId="2013" xr:uid="{00000000-0005-0000-0000-000029050000}"/>
    <cellStyle name="Normal 3 2 3 2 2 2" xfId="11054" xr:uid="{C6422F01-33F0-4D40-9B26-4ED6FE94A0E5}"/>
    <cellStyle name="Normal 3 2 3 2 2 2 2" xfId="47413" xr:uid="{D61A08B1-4B02-43ED-8D79-63A5983087A1}"/>
    <cellStyle name="Normal 3 2 3 2 2 3" xfId="17815" xr:uid="{35B191F3-91CC-44B0-93E0-427B83FB83B8}"/>
    <cellStyle name="Normal 3 2 3 2 3" xfId="11053" xr:uid="{A91562C1-5BA0-47B8-A93A-86705DCD682C}"/>
    <cellStyle name="Normal 3 2 3 2 3 2" xfId="47459" xr:uid="{EE3CEF5E-5103-4A63-9338-1F04669CD2C6}"/>
    <cellStyle name="Normal 3 2 3 2 4" xfId="17814" xr:uid="{29833302-D880-4259-B07F-F2214280CF8D}"/>
    <cellStyle name="Normal 3 2 3 3" xfId="2014" xr:uid="{00000000-0005-0000-0000-00002A050000}"/>
    <cellStyle name="Normal 3 2 3 3 2" xfId="10379" xr:uid="{4CE29ECE-506F-44C2-9BBD-BF3AF5A93B31}"/>
    <cellStyle name="Normal 3 2 3 3 2 2" xfId="12832" xr:uid="{5CED1565-C79B-428C-A7B7-09D7EA0C3E01}"/>
    <cellStyle name="Normal 3 2 3 3 2 2 2" xfId="46800" xr:uid="{3A2B08D3-13BE-47D7-8A4B-763EC7FDEE32}"/>
    <cellStyle name="Normal 3 2 3 3 2 3" xfId="18924" xr:uid="{D4D1A545-5292-418A-8DA9-4C63B95C2F2E}"/>
    <cellStyle name="Normal 3 2 3 3 3" xfId="11055" xr:uid="{B3CB2F14-91C9-4254-B226-46E3301ECB09}"/>
    <cellStyle name="Normal 3 2 3 3 3 2" xfId="25174" xr:uid="{FCE2E93F-51E2-4533-8CF0-508BA7BFAA80}"/>
    <cellStyle name="Normal 3 2 3 3 4" xfId="17816" xr:uid="{C0927E91-9B2B-446E-A55A-0D9336838E87}"/>
    <cellStyle name="Normal 3 2 3 4" xfId="10145" xr:uid="{F82806DA-E80B-4FF2-AD94-DCFC52C119A5}"/>
    <cellStyle name="Normal 3 2 3 4 2" xfId="10459" xr:uid="{E7F73BC9-0D21-43B4-9BEC-CA8E08456B5D}"/>
    <cellStyle name="Normal 3 2 3 4 2 2" xfId="12912" xr:uid="{0B81CBDC-F0EE-41CB-84C2-C8B9D3063C90}"/>
    <cellStyle name="Normal 3 2 3 4 2 2 2" xfId="48344" xr:uid="{0E8513C6-942A-492F-AF2D-63556630EC64}"/>
    <cellStyle name="Normal 3 2 3 4 2 3" xfId="18966" xr:uid="{28885040-83C9-420D-9BDA-BDAB75EFB67A}"/>
    <cellStyle name="Normal 3 2 3 4 3" xfId="12137" xr:uid="{994FF669-B81C-4C8C-B396-E32B1B1BFF78}"/>
    <cellStyle name="Normal 3 2 3 4 3 2" xfId="48012" xr:uid="{5EDF6345-6271-4738-B01E-48691AEA5056}"/>
    <cellStyle name="Normal 3 2 3 4 4" xfId="18545" xr:uid="{173EC239-AC9E-4EBF-9AD4-59EB65018170}"/>
    <cellStyle name="Normal 3 2 3 5" xfId="10225" xr:uid="{CEF81111-7B72-4E84-A467-BB84BCA49C4C}"/>
    <cellStyle name="Normal 3 2 3 5 2" xfId="12678" xr:uid="{0A477308-3314-4C58-A200-E9798BC1823D}"/>
    <cellStyle name="Normal 3 2 3 5 2 2" xfId="47918" xr:uid="{97304F9B-B302-44D8-87E1-2A0EDF2BECB2}"/>
    <cellStyle name="Normal 3 2 3 5 3" xfId="18846" xr:uid="{F4C02379-EA55-4221-978C-48BC41BB7EC7}"/>
    <cellStyle name="Normal 3 2 3 6" xfId="10539" xr:uid="{158C5B28-CBD7-446A-BFA0-AAC55D8823C9}"/>
    <cellStyle name="Normal 3 2 3 6 2" xfId="12992" xr:uid="{45577E25-D364-4D9F-BFCF-9AD99BD3922D}"/>
    <cellStyle name="Normal 3 2 3 6 2 2" xfId="47215" xr:uid="{F0916E8E-8D30-4DAA-9628-157F6AD0DE57}"/>
    <cellStyle name="Normal 3 2 3 6 3" xfId="19008" xr:uid="{53B4E278-E80B-406E-9AEC-9B9870EB870A}"/>
    <cellStyle name="Normal 3 2 3 7" xfId="10607" xr:uid="{3EA83C3A-E8E7-4511-96CE-392030CF60EC}"/>
    <cellStyle name="Normal 3 2 3 7 2" xfId="47410" xr:uid="{41AEE0B2-CDBF-4D8E-AE8D-93ADC87891ED}"/>
    <cellStyle name="Normal 3 2 3 8" xfId="16977" xr:uid="{7BA72C5E-A6F8-400D-85B4-0366B4746B8D}"/>
    <cellStyle name="Normal 3 2 4" xfId="2015" xr:uid="{00000000-0005-0000-0000-00002B050000}"/>
    <cellStyle name="Normal 3 2 4 2" xfId="2016" xr:uid="{00000000-0005-0000-0000-00002C050000}"/>
    <cellStyle name="Normal 3 2 4 2 2" xfId="10302" xr:uid="{54D44F06-0F0A-4F79-8068-DA29FED3FF03}"/>
    <cellStyle name="Normal 3 2 4 2 2 2" xfId="12755" xr:uid="{02D34694-2892-485F-BE62-B5CCC4B85945}"/>
    <cellStyle name="Normal 3 2 4 2 2 2 2" xfId="25059" xr:uid="{B0F7C8B2-19AF-4652-9E67-44B535483C93}"/>
    <cellStyle name="Normal 3 2 4 2 2 3" xfId="18885" xr:uid="{ED59A7F5-72C4-49AA-BB84-EC818E40E34B}"/>
    <cellStyle name="Normal 3 2 4 2 3" xfId="11057" xr:uid="{E0FBFB23-164B-4D1B-9E4D-C080A32664F5}"/>
    <cellStyle name="Normal 3 2 4 2 3 2" xfId="46718" xr:uid="{8C68F667-9156-4C44-A401-BCD3FCB167BD}"/>
    <cellStyle name="Normal 3 2 4 2 4" xfId="17817" xr:uid="{5BE9E6F1-CD63-4F99-89AF-E507A3E864D6}"/>
    <cellStyle name="Normal 3 2 4 3" xfId="10068" xr:uid="{3427040F-1CDB-4FFC-88D2-469D2841E0CF}"/>
    <cellStyle name="Normal 3 2 4 3 2" xfId="10378" xr:uid="{B4041505-FE23-4688-9BD9-78639EDC18F6}"/>
    <cellStyle name="Normal 3 2 4 3 2 2" xfId="12831" xr:uid="{686904FD-8F7A-4299-B082-1ECA200B4BD5}"/>
    <cellStyle name="Normal 3 2 4 3 2 2 2" xfId="48108" xr:uid="{6B750345-E736-44FB-B153-FEFD6FBEF568}"/>
    <cellStyle name="Normal 3 2 4 3 2 3" xfId="18923" xr:uid="{70E740C7-14EE-433E-9F43-BEE689EFE5A3}"/>
    <cellStyle name="Normal 3 2 4 3 3" xfId="12527" xr:uid="{07647A0D-B236-4C84-ACD9-7190131B6519}"/>
    <cellStyle name="Normal 3 2 4 3 3 2" xfId="47757" xr:uid="{ED1D5BE3-D7C7-4D34-9A85-A997AC605593}"/>
    <cellStyle name="Normal 3 2 4 3 4" xfId="18771" xr:uid="{5D159D1B-8C23-41B5-AFCD-298CB71558BF}"/>
    <cellStyle name="Normal 3 2 4 4" xfId="10144" xr:uid="{22ED4862-37C2-4A1F-AC80-214C2936F665}"/>
    <cellStyle name="Normal 3 2 4 4 2" xfId="10458" xr:uid="{4FC736F8-5BB8-4409-B5B7-9AC4A0BB7812}"/>
    <cellStyle name="Normal 3 2 4 4 2 2" xfId="12911" xr:uid="{C2B88CF5-E779-40F9-8084-670CDFE570E7}"/>
    <cellStyle name="Normal 3 2 4 4 2 2 2" xfId="46810" xr:uid="{ED745C6D-4483-480E-9692-CE153F94CC67}"/>
    <cellStyle name="Normal 3 2 4 4 2 3" xfId="18965" xr:uid="{D912F64B-5981-44B4-A688-7B6006636D4A}"/>
    <cellStyle name="Normal 3 2 4 4 3" xfId="12600" xr:uid="{F800B506-7A1B-4E99-A8F2-11E1F1BA6A11}"/>
    <cellStyle name="Normal 3 2 4 4 3 2" xfId="46771" xr:uid="{05BB1907-AB30-436E-BB14-85781C1DC03D}"/>
    <cellStyle name="Normal 3 2 4 4 4" xfId="18806" xr:uid="{4911EB8A-9436-4A84-9BAD-0CD3704D230A}"/>
    <cellStyle name="Normal 3 2 4 5" xfId="10224" xr:uid="{51D5C71D-B838-458F-8383-293A14FC776F}"/>
    <cellStyle name="Normal 3 2 4 5 2" xfId="12677" xr:uid="{170E3560-1161-4A69-BBFE-0AEFCCDAD4E7}"/>
    <cellStyle name="Normal 3 2 4 5 2 2" xfId="48338" xr:uid="{C422F38A-E1A9-4DFC-9608-D9591C24C326}"/>
    <cellStyle name="Normal 3 2 4 5 3" xfId="18845" xr:uid="{01A0838F-9F8C-4B5E-806E-09C2C1342872}"/>
    <cellStyle name="Normal 3 2 4 6" xfId="10538" xr:uid="{70094AAF-5501-4F0A-8B7E-13A5A99DE90C}"/>
    <cellStyle name="Normal 3 2 4 6 2" xfId="12991" xr:uid="{7B2768B6-0083-435D-9788-938333EC5C88}"/>
    <cellStyle name="Normal 3 2 4 6 2 2" xfId="32464" xr:uid="{CD924B37-5E33-49EF-8D56-A35D878C1FA6}"/>
    <cellStyle name="Normal 3 2 4 6 3" xfId="19007" xr:uid="{E3063396-EC96-43DE-90CC-0C35184E6B83}"/>
    <cellStyle name="Normal 3 2 4 7" xfId="11056" xr:uid="{AC257383-14A1-4FE6-B5BE-E87B660D0758}"/>
    <cellStyle name="Normal 3 2 4 7 2" xfId="47688" xr:uid="{5F555792-EE12-45EB-9E3C-CE4A52CE1AAF}"/>
    <cellStyle name="Normal 3 2 4 8" xfId="16978" xr:uid="{5FA44F41-1529-4D76-84F4-FA8F8D016197}"/>
    <cellStyle name="Normal 3 2 5" xfId="2017" xr:uid="{00000000-0005-0000-0000-00002D050000}"/>
    <cellStyle name="Normal 3 2 5 2" xfId="10288" xr:uid="{E4A64D2A-8653-4C6C-90C5-99EA77BD416D}"/>
    <cellStyle name="Normal 3 2 5 2 2" xfId="12741" xr:uid="{94A807F3-9AEF-4A23-8FE3-A6DEDB727660}"/>
    <cellStyle name="Normal 3 2 5 2 2 2" xfId="25324" xr:uid="{A16E4384-2652-492A-9527-E5034DA334BD}"/>
    <cellStyle name="Normal 3 2 5 2 3" xfId="18876" xr:uid="{99FC5848-125C-4B58-9D3A-E3794C84F7CE}"/>
    <cellStyle name="Normal 3 2 5 3" xfId="11058" xr:uid="{0C6335F5-4BD3-445C-858F-238826B017DA}"/>
    <cellStyle name="Normal 3 2 5 3 2" xfId="26138" xr:uid="{F2F01B62-BAA8-421A-93C8-76D6DEFAD4A2}"/>
    <cellStyle name="Normal 3 2 5 4" xfId="17818" xr:uid="{7239B199-6728-4523-8E1E-BBBD12EBEB22}"/>
    <cellStyle name="Normal 3 2 6" xfId="10054" xr:uid="{21C6132E-2393-4238-B5D0-14D7B04852A2}"/>
    <cellStyle name="Normal 3 2 6 2" xfId="10362" xr:uid="{1BC3CF14-C617-4315-9AD8-B28E612449B4}"/>
    <cellStyle name="Normal 3 2 6 2 2" xfId="12815" xr:uid="{ECE69015-CE5E-412D-9FAB-248640CF67FF}"/>
    <cellStyle name="Normal 3 2 6 2 2 2" xfId="46357" xr:uid="{13BD3EE1-CD52-4347-9C90-0BE7021ED0FC}"/>
    <cellStyle name="Normal 3 2 6 2 3" xfId="18912" xr:uid="{8DB01723-E88F-4C7F-B596-4AE316BB7217}"/>
    <cellStyle name="Normal 3 2 6 3" xfId="12138" xr:uid="{2B6BE014-5F48-4DE3-B8B4-2FF6F5B842B5}"/>
    <cellStyle name="Normal 3 2 6 3 2" xfId="47088" xr:uid="{0B5DA8E4-DE14-4DB7-AE74-ADC9DDD5B1D5}"/>
    <cellStyle name="Normal 3 2 6 4" xfId="18546" xr:uid="{050F3ACE-48AA-4712-B4F0-82A50D26AB08}"/>
    <cellStyle name="Normal 3 2 7" xfId="10128" xr:uid="{02F08D3B-5787-4B88-85D0-F90167A565E8}"/>
    <cellStyle name="Normal 3 2 7 2" xfId="10442" xr:uid="{164AE200-F138-4632-A632-41356F1C45C3}"/>
    <cellStyle name="Normal 3 2 7 2 2" xfId="12895" xr:uid="{B5C9CCF5-9DCD-4ABD-A693-9FE2AF408DE4}"/>
    <cellStyle name="Normal 3 2 7 2 2 2" xfId="46366" xr:uid="{5F1FE77F-1943-4F69-8838-7AFFD2542215}"/>
    <cellStyle name="Normal 3 2 7 2 3" xfId="18954" xr:uid="{D959D8F8-B73F-4CD7-846F-2E59D5EA4971}"/>
    <cellStyle name="Normal 3 2 7 3" xfId="12585" xr:uid="{45E6C338-10CE-48E5-9618-9514B71D7EF1}"/>
    <cellStyle name="Normal 3 2 7 3 2" xfId="25330" xr:uid="{21C45FD1-4192-476A-8760-5AE199B61D0F}"/>
    <cellStyle name="Normal 3 2 7 4" xfId="18796" xr:uid="{EE4CB540-C5ED-429A-838F-2AA5FF01717C}"/>
    <cellStyle name="Normal 3 2 8" xfId="10208" xr:uid="{49D3050D-1C9C-43A1-AE04-9B910AB21C02}"/>
    <cellStyle name="Normal 3 2 8 2" xfId="12661" xr:uid="{A2F1DD4A-F00A-4E51-A19F-485F7C55A9A8}"/>
    <cellStyle name="Normal 3 2 8 2 2" xfId="47094" xr:uid="{4E13E985-3EB2-4064-8C26-E824E1D9D111}"/>
    <cellStyle name="Normal 3 2 8 3" xfId="48955" xr:uid="{9F6F426E-7D2B-47FD-8CB4-FFB457BDBB26}"/>
    <cellStyle name="Normal 3 2 8 4" xfId="18834" xr:uid="{1F226EA0-3159-4568-A177-9FC401A3B8CC}"/>
    <cellStyle name="Normal 3 2 9" xfId="10522" xr:uid="{4A4B5765-0F52-4C4B-AB28-9EA060995F42}"/>
    <cellStyle name="Normal 3 2 9 2" xfId="12975" xr:uid="{DEA67BE3-6C0B-4372-841F-862810066460}"/>
    <cellStyle name="Normal 3 2 9 2 2" xfId="48561" xr:uid="{8405B6FD-A0F3-4F74-8805-0581CA8C0FFC}"/>
    <cellStyle name="Normal 3 2 9 3" xfId="18996" xr:uid="{E46801CB-705C-4D43-A49F-3BD87F79B720}"/>
    <cellStyle name="Normal 3 3" xfId="560" xr:uid="{00000000-0005-0000-0000-00002E050000}"/>
    <cellStyle name="Normal 3 3 2" xfId="2018" xr:uid="{00000000-0005-0000-0000-00002F050000}"/>
    <cellStyle name="Normal 3 3 2 2" xfId="2019" xr:uid="{00000000-0005-0000-0000-000030050000}"/>
    <cellStyle name="Normal 3 3 2 2 2" xfId="2020" xr:uid="{00000000-0005-0000-0000-000031050000}"/>
    <cellStyle name="Normal 3 3 2 2 2 2" xfId="11061" xr:uid="{8A4ABD6D-0C14-4B20-91A2-4274D592ED4F}"/>
    <cellStyle name="Normal 3 3 2 2 2 2 2" xfId="47007" xr:uid="{76F50B4F-13A7-40BB-9DC0-54C4898108FF}"/>
    <cellStyle name="Normal 3 3 2 2 2 3" xfId="17820" xr:uid="{F55A21E8-CBE8-46E4-AB14-95FF951F0363}"/>
    <cellStyle name="Normal 3 3 2 2 3" xfId="11060" xr:uid="{FD676D40-43B8-488B-B670-768859643336}"/>
    <cellStyle name="Normal 3 3 2 2 3 2" xfId="26139" xr:uid="{8D978203-DA79-47BB-B27F-E318D2DF41D6}"/>
    <cellStyle name="Normal 3 3 2 2 4" xfId="17819" xr:uid="{AA74505C-D3DE-4F4D-AF86-AAFFFE34232C}"/>
    <cellStyle name="Normal 3 3 2 3" xfId="2021" xr:uid="{00000000-0005-0000-0000-000032050000}"/>
    <cellStyle name="Normal 3 3 2 3 2" xfId="10380" xr:uid="{3307ECC6-B609-42E1-8275-18E3651F8975}"/>
    <cellStyle name="Normal 3 3 2 3 2 2" xfId="12833" xr:uid="{D74DB17A-4F8F-419C-ACE6-3C57477E1304}"/>
    <cellStyle name="Normal 3 3 2 3 2 2 2" xfId="47473" xr:uid="{A3CF96E7-599F-4217-93A9-F35C4FFF0ADC}"/>
    <cellStyle name="Normal 3 3 2 3 2 3" xfId="18925" xr:uid="{671DCC0C-3D8F-4CF6-8282-55CE7AAAA237}"/>
    <cellStyle name="Normal 3 3 2 3 3" xfId="11062" xr:uid="{B419E045-FF3A-459A-9E0B-38719EA2DB0C}"/>
    <cellStyle name="Normal 3 3 2 3 3 2" xfId="48269" xr:uid="{4629FBE4-CBA5-4E3D-A454-F5275D4BDCBA}"/>
    <cellStyle name="Normal 3 3 2 3 4" xfId="17821" xr:uid="{B650CAE3-35D2-4D9C-AF0F-943C05F9F59C}"/>
    <cellStyle name="Normal 3 3 2 4" xfId="10146" xr:uid="{6E658A4A-C2AA-4BD8-91C4-DFA4D3263DA9}"/>
    <cellStyle name="Normal 3 3 2 4 2" xfId="10460" xr:uid="{91C6E2DA-0846-43DB-968F-D2AF3E0AFBF6}"/>
    <cellStyle name="Normal 3 3 2 4 2 2" xfId="12913" xr:uid="{7DEA705A-D581-4B8C-9313-9B7E291CF6F8}"/>
    <cellStyle name="Normal 3 3 2 4 2 2 2" xfId="47923" xr:uid="{BEC22676-5575-4D03-842A-EACEAC70E3CB}"/>
    <cellStyle name="Normal 3 3 2 4 2 3" xfId="18967" xr:uid="{C192569D-E9BF-4D6E-A763-C0E1A732B2AE}"/>
    <cellStyle name="Normal 3 3 2 4 3" xfId="12139" xr:uid="{2A0252CB-7F13-49AD-A53C-E4893D1A6341}"/>
    <cellStyle name="Normal 3 3 2 4 3 2" xfId="32467" xr:uid="{9A971025-7E86-4ED0-BF82-52CA24632688}"/>
    <cellStyle name="Normal 3 3 2 4 4" xfId="18547" xr:uid="{48AD91B9-9DDB-48B2-99D8-947609DA75CC}"/>
    <cellStyle name="Normal 3 3 2 5" xfId="10226" xr:uid="{14E04B5F-DB54-4BF0-B955-9316BD2EAE86}"/>
    <cellStyle name="Normal 3 3 2 5 2" xfId="12679" xr:uid="{949E858C-7CC9-42FC-B807-54CD8AD419D5}"/>
    <cellStyle name="Normal 3 3 2 5 2 2" xfId="25329" xr:uid="{FB7E9E4B-1A6D-49F8-9D68-266DA9674176}"/>
    <cellStyle name="Normal 3 3 2 5 3" xfId="18847" xr:uid="{22088A59-85CC-4C64-9AB1-8B185E388555}"/>
    <cellStyle name="Normal 3 3 2 6" xfId="10540" xr:uid="{71A8A5A2-975B-4295-8F94-0CA81CE0B3EB}"/>
    <cellStyle name="Normal 3 3 2 6 2" xfId="12993" xr:uid="{F22A8B87-92DC-4D6C-A029-F1FABE778E54}"/>
    <cellStyle name="Normal 3 3 2 6 2 2" xfId="46674" xr:uid="{1FFAC18B-D0BE-4499-B4A4-C9CE1E6F9F93}"/>
    <cellStyle name="Normal 3 3 2 6 3" xfId="19009" xr:uid="{331662FA-1DAC-498D-ACEB-9ACCAB837C57}"/>
    <cellStyle name="Normal 3 3 2 7" xfId="11059" xr:uid="{19D28FA9-914C-49BE-96AB-EC0822E5B2C4}"/>
    <cellStyle name="Normal 3 3 2 7 2" xfId="48180" xr:uid="{E722C68F-CADE-4680-BB2A-F48D97100DD2}"/>
    <cellStyle name="Normal 3 3 2 8" xfId="16980" xr:uid="{1E654AED-B58E-4E1E-B487-C18CBEB96637}"/>
    <cellStyle name="Normal 3 3 3" xfId="2022" xr:uid="{00000000-0005-0000-0000-000033050000}"/>
    <cellStyle name="Normal 3 3 3 2" xfId="2023" xr:uid="{00000000-0005-0000-0000-000034050000}"/>
    <cellStyle name="Normal 3 3 3 2 2" xfId="11064" xr:uid="{8F4A6B30-87F6-4F6A-8EF8-EE806FC11C94}"/>
    <cellStyle name="Normal 3 3 3 2 2 2" xfId="47156" xr:uid="{5B7AD9D6-B28A-4B3A-BB55-025BBEEC851F}"/>
    <cellStyle name="Normal 3 3 3 2 3" xfId="17823" xr:uid="{588798CB-8EBD-4AF2-9FED-9055803973A6}"/>
    <cellStyle name="Normal 3 3 3 3" xfId="11063" xr:uid="{5E78B465-7275-46A5-A499-9E92683AA57C}"/>
    <cellStyle name="Normal 3 3 3 3 2" xfId="26140" xr:uid="{7475B5DD-2C94-47D9-8E2D-20B34058E7E8}"/>
    <cellStyle name="Normal 3 3 3 4" xfId="17822" xr:uid="{56A12C50-982B-417B-9BD7-5E5918036EEC}"/>
    <cellStyle name="Normal 3 3 4" xfId="2024" xr:uid="{00000000-0005-0000-0000-000035050000}"/>
    <cellStyle name="Normal 3 3 4 2" xfId="10370" xr:uid="{EFD716B1-A43C-4116-ADFA-7B7441B082AF}"/>
    <cellStyle name="Normal 3 3 4 2 2" xfId="12823" xr:uid="{3F8265C1-C86F-49DA-BEBB-CF935DD85423}"/>
    <cellStyle name="Normal 3 3 4 2 2 2" xfId="46359" xr:uid="{092B0CDF-6A51-4BEB-A475-0267660F2B37}"/>
    <cellStyle name="Normal 3 3 4 2 3" xfId="18916" xr:uid="{91C51D28-E7EA-4E33-966D-1E0410A57DDC}"/>
    <cellStyle name="Normal 3 3 4 3" xfId="11065" xr:uid="{41E7FCBF-FAE3-45B6-B92F-9B22EB82DE00}"/>
    <cellStyle name="Normal 3 3 4 3 2" xfId="26141" xr:uid="{533A8FA8-3596-4E09-AAC4-52941B6E3CF5}"/>
    <cellStyle name="Normal 3 3 4 4" xfId="17824" xr:uid="{3675B459-0D12-43FF-850D-A02B404852FD}"/>
    <cellStyle name="Normal 3 3 5" xfId="6972" xr:uid="{A63F98B2-E092-4EBD-8D68-52731810AA8E}"/>
    <cellStyle name="Normal 3 3 5 2" xfId="10450" xr:uid="{E4D183F6-D50F-44E5-A0F7-CAD28FC1DD23}"/>
    <cellStyle name="Normal 3 3 5 2 2" xfId="12903" xr:uid="{E6EC10CF-5670-4B4A-85B5-ADBED117F6DF}"/>
    <cellStyle name="Normal 3 3 5 2 2 2" xfId="25042" xr:uid="{D98DCB5C-8F63-406C-8BA2-0F321B4C9704}"/>
    <cellStyle name="Normal 3 3 5 2 3" xfId="18958" xr:uid="{6ED179D0-ED2B-435F-8090-B0EE5F923035}"/>
    <cellStyle name="Normal 3 3 5 3" xfId="12141" xr:uid="{F98947DA-960B-40D6-BDC6-B0903722EA2A}"/>
    <cellStyle name="Normal 3 3 5 3 2" xfId="46660" xr:uid="{28B2F1A5-9150-4A23-80C7-5FD65BB3D93A}"/>
    <cellStyle name="Normal 3 3 5 4" xfId="18548" xr:uid="{EBC06D00-1FD9-437C-B30A-B1A2943F1C35}"/>
    <cellStyle name="Normal 3 3 5 5" xfId="10136" xr:uid="{E8D789BF-E14D-4BBA-890B-24F37A247B5B}"/>
    <cellStyle name="Normal 3 3 6" xfId="10216" xr:uid="{32C08230-EC63-45E3-A880-CBEC8C6C768C}"/>
    <cellStyle name="Normal 3 3 6 2" xfId="12669" xr:uid="{28B1C55D-11E7-4856-81BD-D0106E5069D0}"/>
    <cellStyle name="Normal 3 3 6 2 2" xfId="26142" xr:uid="{8F8355F0-71BB-4A56-862A-298CFB5DD4D1}"/>
    <cellStyle name="Normal 3 3 6 3" xfId="18838" xr:uid="{F1DDB537-BCB5-4978-8763-E849E3F55AF0}"/>
    <cellStyle name="Normal 3 3 7" xfId="10530" xr:uid="{C8BDA6D2-BF86-4AF7-8C6D-8DF5E187A324}"/>
    <cellStyle name="Normal 3 3 7 2" xfId="12983" xr:uid="{98BA8C2C-D9BE-48CF-8ED1-BD37371AACF0}"/>
    <cellStyle name="Normal 3 3 7 2 2" xfId="47170" xr:uid="{C0D590CC-952A-4EF0-9EE7-71292925575F}"/>
    <cellStyle name="Normal 3 3 7 3" xfId="19000" xr:uid="{8F3AA57C-BC5B-4B56-A4E0-B0B2053D5FCF}"/>
    <cellStyle name="Normal 3 3 8" xfId="10608" xr:uid="{85B51ABF-10AD-440D-8EC9-185D1430271B}"/>
    <cellStyle name="Normal 3 3 8 2" xfId="26143" xr:uid="{F2063373-6200-4B28-9216-D56F0D03026B}"/>
    <cellStyle name="Normal 3 3 9" xfId="16979" xr:uid="{455024A0-5163-44E1-8822-957FBB636131}"/>
    <cellStyle name="Normal 3 4" xfId="561" xr:uid="{00000000-0005-0000-0000-000036050000}"/>
    <cellStyle name="Normal 3 4 10" xfId="16981" xr:uid="{C604B1A7-1CFB-4375-B9DD-1DA971C87E97}"/>
    <cellStyle name="Normal 3 4 2" xfId="2025" xr:uid="{00000000-0005-0000-0000-000037050000}"/>
    <cellStyle name="Normal 3 4 2 2" xfId="4086" xr:uid="{982A97FA-4A6D-48BC-BB6D-A5B7619499EB}"/>
    <cellStyle name="Normal 3 4 2 2 2" xfId="10308" xr:uid="{A829F642-6C4E-4CCF-8951-A7F810E8578F}"/>
    <cellStyle name="Normal 3 4 2 2 2 2" xfId="12761" xr:uid="{3FC46C51-C77C-4ADD-96EE-15774FE7D12A}"/>
    <cellStyle name="Normal 3 4 2 2 2 2 2" xfId="25057" xr:uid="{D0F46D73-1E77-45D2-9AAF-7DCA44A5185E}"/>
    <cellStyle name="Normal 3 4 2 2 2 3" xfId="18890" xr:uid="{1322A6E3-D458-4C60-9069-BC86F32128FD}"/>
    <cellStyle name="Normal 3 4 2 2 3" xfId="12460" xr:uid="{125F3050-E868-46F0-A357-A64EE4EC56AE}"/>
    <cellStyle name="Normal 3 4 2 2 3 2" xfId="48013" xr:uid="{7196B7A3-C2B3-429B-B098-C8B71DE078A3}"/>
    <cellStyle name="Normal 3 4 2 2 4" xfId="18741" xr:uid="{9A12EC44-28F5-475B-9637-11AB20D535B6}"/>
    <cellStyle name="Normal 3 4 2 3" xfId="10075" xr:uid="{4226AAC1-5969-425E-8D5B-84129A42CA70}"/>
    <cellStyle name="Normal 3 4 2 3 2" xfId="10387" xr:uid="{2C74D0E8-B1F2-46F2-9F5C-F7307B6F09FE}"/>
    <cellStyle name="Normal 3 4 2 3 2 2" xfId="12840" xr:uid="{96496C4E-E97B-4149-8ED9-771DFAFC9311}"/>
    <cellStyle name="Normal 3 4 2 3 2 2 2" xfId="47621" xr:uid="{E4E52E2C-2031-4108-A4B6-FFF63BF48216}"/>
    <cellStyle name="Normal 3 4 2 3 2 3" xfId="18931" xr:uid="{73671A91-2468-4B6A-B8C2-C8E0C2DB5622}"/>
    <cellStyle name="Normal 3 4 2 3 3" xfId="12532" xr:uid="{B311FEB9-BE65-45E0-9C5C-6FBBE10D12A5}"/>
    <cellStyle name="Normal 3 4 2 3 3 2" xfId="46765" xr:uid="{F726D0F5-FC44-454D-91AA-F9F9CCD96898}"/>
    <cellStyle name="Normal 3 4 2 3 4" xfId="18775" xr:uid="{1F8DB5B5-A6C7-461A-ABF5-0C3743357B9A}"/>
    <cellStyle name="Normal 3 4 2 4" xfId="10153" xr:uid="{A242BF8A-C7F0-4673-AC64-171799D2E9D6}"/>
    <cellStyle name="Normal 3 4 2 4 2" xfId="10467" xr:uid="{74EAD9A6-A7F7-4D65-9204-05693361C721}"/>
    <cellStyle name="Normal 3 4 2 4 2 2" xfId="12920" xr:uid="{5569E045-B211-4E7F-9558-060B5DDA4C4A}"/>
    <cellStyle name="Normal 3 4 2 4 2 2 2" xfId="46370" xr:uid="{E18CCDDE-9A36-4340-9CE4-8DEB0BE6436C}"/>
    <cellStyle name="Normal 3 4 2 4 2 3" xfId="18973" xr:uid="{2024D201-EC07-49B5-8A1A-EF29392B630D}"/>
    <cellStyle name="Normal 3 4 2 4 3" xfId="12607" xr:uid="{714E647E-54EB-454F-A936-C47A405FD274}"/>
    <cellStyle name="Normal 3 4 2 4 3 2" xfId="48336" xr:uid="{69703FEB-BC0D-4BB1-B1E5-A6C621BB8F94}"/>
    <cellStyle name="Normal 3 4 2 4 4" xfId="18812" xr:uid="{F5BB4133-F7EB-4C99-90DA-21DD7CA4E108}"/>
    <cellStyle name="Normal 3 4 2 5" xfId="10233" xr:uid="{77589AED-98A9-4460-9A51-150D56A86229}"/>
    <cellStyle name="Normal 3 4 2 5 2" xfId="12686" xr:uid="{90C72FF9-B51D-4843-8CE5-46405BB765A8}"/>
    <cellStyle name="Normal 3 4 2 5 2 2" xfId="25325" xr:uid="{943CFC2A-A8F6-41C8-9BCC-06DD121829E4}"/>
    <cellStyle name="Normal 3 4 2 5 3" xfId="18853" xr:uid="{0A521745-B407-4C5B-9865-6CBA7956AE54}"/>
    <cellStyle name="Normal 3 4 2 6" xfId="10547" xr:uid="{BD516B81-D860-45C2-BAFA-333C96597CC3}"/>
    <cellStyle name="Normal 3 4 2 6 2" xfId="13000" xr:uid="{32C1B685-CD9A-4D8E-8117-98E88C00938D}"/>
    <cellStyle name="Normal 3 4 2 6 2 2" xfId="46820" xr:uid="{1EC0A7E2-23E6-4B28-ABAD-1D9FEFE2681F}"/>
    <cellStyle name="Normal 3 4 2 6 3" xfId="19015" xr:uid="{C1754B61-BE41-4953-83B2-8831A6A3999C}"/>
    <cellStyle name="Normal 3 4 2 7" xfId="11492" xr:uid="{06C4F2F1-63DA-4D8D-BA03-4E7EC26172F7}"/>
    <cellStyle name="Normal 3 4 2 7 2" xfId="18121" xr:uid="{9DFB13B7-557D-4D11-913F-119D140BB699}"/>
    <cellStyle name="Normal 3 4 2 8" xfId="11066" xr:uid="{A1542CA1-CF74-40F5-90F3-9636D68EA2D4}"/>
    <cellStyle name="Normal 3 4 2 9" xfId="16982" xr:uid="{C21144CC-96BE-4B6F-A043-62C8E645011B}"/>
    <cellStyle name="Normal 3 4 3" xfId="8068" xr:uid="{5629B4EE-DD19-404C-995D-F156322B7CF9}"/>
    <cellStyle name="Normal 3 4 3 2" xfId="11661" xr:uid="{2D983834-7BDC-408B-948C-B4D01911366C}"/>
    <cellStyle name="Normal 3 4 3 2 2" xfId="26145" xr:uid="{F421AD24-1D49-4B53-8DA9-D6531E66D0DD}"/>
    <cellStyle name="Normal 3 4 3 3" xfId="11487" xr:uid="{55A547B1-6C57-40AA-ABF5-F89DB94D7927}"/>
    <cellStyle name="Normal 3 4 3 4" xfId="26144" xr:uid="{9829F2CA-C384-4C2F-8FF2-9730389D62C1}"/>
    <cellStyle name="Normal 3 4 4" xfId="9766" xr:uid="{89841084-E306-41E1-8969-11C83DF6C645}"/>
    <cellStyle name="Normal 3 4 4 2" xfId="10294" xr:uid="{CB8C576E-7A22-42FC-AB27-3B33726E18A4}"/>
    <cellStyle name="Normal 3 4 4 2 2" xfId="12747" xr:uid="{7E842B8A-3FD7-47B1-911D-5A83752DFC64}"/>
    <cellStyle name="Normal 3 4 4 2 2 2" xfId="47962" xr:uid="{C17407C9-A3A5-429D-9BA2-71B662D89D21}"/>
    <cellStyle name="Normal 3 4 4 2 3" xfId="18878" xr:uid="{572D6CB7-4DD2-4D03-8A7C-003AA83062D7}"/>
    <cellStyle name="Normal 3 4 4 3" xfId="12452" xr:uid="{364C1ED4-E4BE-4967-B5BE-0A8B7460CCB4}"/>
    <cellStyle name="Normal 3 4 4 3 2" xfId="46756" xr:uid="{F0E816A0-8CA2-4A40-889F-7265FFF62431}"/>
    <cellStyle name="Normal 3 4 4 4" xfId="18734" xr:uid="{7F8A54BD-7A5A-43D2-BEF0-56959CABF4CF}"/>
    <cellStyle name="Normal 3 4 5" xfId="10060" xr:uid="{DD45D6FD-4102-4DEF-B99E-01B4F0C846BB}"/>
    <cellStyle name="Normal 3 4 5 2" xfId="10368" xr:uid="{0B58E21C-A08A-4357-AA6C-4CE7C8F5BE91}"/>
    <cellStyle name="Normal 3 4 5 2 2" xfId="12821" xr:uid="{7A128275-E30D-40B9-9E36-D0553A7BB1E2}"/>
    <cellStyle name="Normal 3 4 5 2 2 2" xfId="47098" xr:uid="{0C7A9C01-A3DA-4273-B55F-EF52542E3D59}"/>
    <cellStyle name="Normal 3 4 5 2 3" xfId="18914" xr:uid="{8DA9866B-DB1C-430D-AB9D-8CC41C7B1F6A}"/>
    <cellStyle name="Normal 3 4 5 3" xfId="12519" xr:uid="{80648298-A2CD-48A4-A8C5-41B7E75E7923}"/>
    <cellStyle name="Normal 3 4 5 3 2" xfId="48104" xr:uid="{3CEA7BEC-84AC-4C97-975C-278AD07322D4}"/>
    <cellStyle name="Normal 3 4 5 4" xfId="18764" xr:uid="{17754154-FEAC-41C8-BCCB-D05DF85158EC}"/>
    <cellStyle name="Normal 3 4 6" xfId="10134" xr:uid="{ECCF33F1-2ABA-4436-9C0E-40BA4238CFE4}"/>
    <cellStyle name="Normal 3 4 6 2" xfId="10448" xr:uid="{39C98205-0BFD-4393-A3AE-04678889ECEC}"/>
    <cellStyle name="Normal 3 4 6 2 2" xfId="12901" xr:uid="{37C10A97-45F2-45D8-9032-73AA7F4964E6}"/>
    <cellStyle name="Normal 3 4 6 2 2 2" xfId="32289" xr:uid="{35026EB0-7C92-4053-8C1E-3A83490B6A6C}"/>
    <cellStyle name="Normal 3 4 6 2 3" xfId="18956" xr:uid="{94CA15E6-BCB6-4369-B078-CC5A08E3D942}"/>
    <cellStyle name="Normal 3 4 6 3" xfId="12591" xr:uid="{AA3CDA29-B905-4711-8C94-C371E89531CA}"/>
    <cellStyle name="Normal 3 4 6 3 2" xfId="47961" xr:uid="{D75DB446-6DC7-4034-9850-9F5F56E405C1}"/>
    <cellStyle name="Normal 3 4 6 4" xfId="18798" xr:uid="{0C3D6A4B-314C-48A8-ACB8-FFBD4EE4E481}"/>
    <cellStyle name="Normal 3 4 7" xfId="10214" xr:uid="{7F17FB2E-30D6-4A42-A50E-242C390CC632}"/>
    <cellStyle name="Normal 3 4 7 2" xfId="12667" xr:uid="{F6DEDA23-521B-480C-8076-A6A0A72A76B1}"/>
    <cellStyle name="Normal 3 4 7 2 2" xfId="46339" xr:uid="{A94B4896-7E51-4EFF-ACDD-ED90AF9A9D26}"/>
    <cellStyle name="Normal 3 4 7 3" xfId="18836" xr:uid="{512ECA1E-46A9-4D15-97B4-BE68705D754F}"/>
    <cellStyle name="Normal 3 4 8" xfId="10528" xr:uid="{A1192634-8AA3-49CE-A047-94114E74415F}"/>
    <cellStyle name="Normal 3 4 8 2" xfId="12981" xr:uid="{DC1D680E-5C64-4D1A-83D2-0B18E6D6DA1F}"/>
    <cellStyle name="Normal 3 4 8 2 2" xfId="47694" xr:uid="{7F1CE5E1-B713-4758-AD27-11817A5F83BD}"/>
    <cellStyle name="Normal 3 4 8 3" xfId="18998" xr:uid="{973DFEA2-3696-40D4-8166-147D5AB3BD7C}"/>
    <cellStyle name="Normal 3 4 9" xfId="12267" xr:uid="{1670B404-4DF1-4435-B883-5159A1F11F06}"/>
    <cellStyle name="Normal 3 4 9 2" xfId="18624" xr:uid="{54BBAEB0-367A-417D-BED4-E9DC29655768}"/>
    <cellStyle name="Normal 3 5" xfId="562" xr:uid="{00000000-0005-0000-0000-000038050000}"/>
    <cellStyle name="Normal 3 5 10" xfId="48956" xr:uid="{53F50C19-4920-4F33-8DEA-558ADC978472}"/>
    <cellStyle name="Normal 3 5 2" xfId="4087" xr:uid="{D50390D2-3E3E-43F5-8220-10DC2BBCACB8}"/>
    <cellStyle name="Normal 3 5 2 2" xfId="26148" xr:uid="{72E55F7D-33AA-424D-A64A-3AF104D8C4D1}"/>
    <cellStyle name="Normal 3 5 2 2 2" xfId="26149" xr:uid="{4A0CBA7A-690A-495A-AD48-7305A61BD7EA}"/>
    <cellStyle name="Normal 3 5 2 3" xfId="26150" xr:uid="{38F89E72-9B89-4278-B790-02F2B47E779B}"/>
    <cellStyle name="Normal 3 5 2 3 2" xfId="26151" xr:uid="{855CE5F6-CEEC-4E59-89B8-8DF0A29B4BFB}"/>
    <cellStyle name="Normal 3 5 2 4" xfId="26152" xr:uid="{2490173E-8867-424A-8B15-CC319242EA13}"/>
    <cellStyle name="Normal 3 5 2 5" xfId="26147" xr:uid="{0922B9AB-0F2E-43F6-9FFC-A4AD07ED9CFC}"/>
    <cellStyle name="Normal 3 5 3" xfId="8069" xr:uid="{31C77FFB-D94E-402D-B347-03BE6375886C}"/>
    <cellStyle name="Normal 3 5 3 2" xfId="26154" xr:uid="{2BA2E33D-9CA9-409C-9919-8E9B6B28CC62}"/>
    <cellStyle name="Normal 3 5 3 3" xfId="26153" xr:uid="{7F6E1363-74A6-4B6C-95B9-A4B93DB02CEA}"/>
    <cellStyle name="Normal 3 5 4" xfId="12161" xr:uid="{DD165294-7C12-4B0C-872D-67CFD66ED538}"/>
    <cellStyle name="Normal 3 5 4 2" xfId="26156" xr:uid="{B3267777-3D8C-4BA4-8261-7F094E0CEC69}"/>
    <cellStyle name="Normal 3 5 4 3" xfId="26155" xr:uid="{521EFD84-6249-45A3-B2B3-DCCCBB16B806}"/>
    <cellStyle name="Normal 3 5 5" xfId="26157" xr:uid="{81CC1442-77FC-454B-9C6F-72ACDD7EDF59}"/>
    <cellStyle name="Normal 3 5 5 2" xfId="26158" xr:uid="{08E520F3-FA13-4A9A-8053-287DD1DF2AA7}"/>
    <cellStyle name="Normal 3 5 6" xfId="26159" xr:uid="{A0806662-D658-4A75-A37D-0961D365667C}"/>
    <cellStyle name="Normal 3 5 7" xfId="26160" xr:uid="{328E01C4-6311-4CE9-9BEA-41BE4D45E0D0}"/>
    <cellStyle name="Normal 3 5 8" xfId="26161" xr:uid="{58C8159E-3847-4116-B697-211BC8D49B2C}"/>
    <cellStyle name="Normal 3 5 9" xfId="26146" xr:uid="{10586F55-6CFA-4D3C-AA6E-01C133D41B56}"/>
    <cellStyle name="Normal 3 6" xfId="2026" xr:uid="{00000000-0005-0000-0000-000039050000}"/>
    <cellStyle name="Normal 3 6 10" xfId="16983" xr:uid="{2452EC57-91C4-4AD7-B8A2-1B7F60589CDE}"/>
    <cellStyle name="Normal 3 6 2" xfId="2027" xr:uid="{00000000-0005-0000-0000-00003A050000}"/>
    <cellStyle name="Normal 3 6 2 2" xfId="10301" xr:uid="{51C998F9-AF0E-4D3F-9602-D38571B18BF3}"/>
    <cellStyle name="Normal 3 6 2 2 2" xfId="12754" xr:uid="{0F3F700D-3297-4140-B924-F73F545BB8A8}"/>
    <cellStyle name="Normal 3 6 2 2 2 2" xfId="26162" xr:uid="{0CA467FB-77C2-4C6E-A850-3C275EC9517B}"/>
    <cellStyle name="Normal 3 6 2 2 3" xfId="18884" xr:uid="{136C29BC-1DC9-4322-887A-38DBA8629E9A}"/>
    <cellStyle name="Normal 3 6 2 3" xfId="11068" xr:uid="{04109416-18AD-4218-89F0-0AE7F342C42A}"/>
    <cellStyle name="Normal 3 6 2 3 2" xfId="26164" xr:uid="{ACBFC6A1-584A-4421-B12A-945BFCF1B65B}"/>
    <cellStyle name="Normal 3 6 2 3 3" xfId="26163" xr:uid="{DD6291F8-05F8-4786-8B6C-A18D5954B3CE}"/>
    <cellStyle name="Normal 3 6 2 4" xfId="26165" xr:uid="{B8B5CF62-D4DA-4D8D-B3F0-120612BEE1CA}"/>
    <cellStyle name="Normal 3 6 2 5" xfId="17825" xr:uid="{8EAAA564-0161-41F7-8200-86695A4A6345}"/>
    <cellStyle name="Normal 3 6 3" xfId="10067" xr:uid="{65DE7A3B-3429-410A-A304-6B866A358FE1}"/>
    <cellStyle name="Normal 3 6 3 2" xfId="10377" xr:uid="{23E5B567-313A-48BC-AC09-E4E134D1CC0E}"/>
    <cellStyle name="Normal 3 6 3 2 2" xfId="12830" xr:uid="{71FCFF28-C92F-41DD-8A8E-6BFEDEB1F38F}"/>
    <cellStyle name="Normal 3 6 3 2 2 2" xfId="32424" xr:uid="{B4AD5C7F-7052-4A4E-AA63-2D32130563A3}"/>
    <cellStyle name="Normal 3 6 3 2 3" xfId="18922" xr:uid="{C6E3328A-FA98-4B0D-9B30-E214D0409158}"/>
    <cellStyle name="Normal 3 6 3 3" xfId="12526" xr:uid="{D6C80F7C-33E5-474E-9943-9C2757F40FBE}"/>
    <cellStyle name="Normal 3 6 3 3 2" xfId="46764" xr:uid="{9985495A-4207-45DB-BA09-1A91D3981C50}"/>
    <cellStyle name="Normal 3 6 3 4" xfId="18770" xr:uid="{06DB7F1F-8BDB-4E82-8729-3FE5652EDCC9}"/>
    <cellStyle name="Normal 3 6 4" xfId="10143" xr:uid="{FE5C4048-12DB-4F41-AE73-5137CBE61378}"/>
    <cellStyle name="Normal 3 6 4 2" xfId="10457" xr:uid="{000CC181-4FF5-48BC-B050-D84DAB99C095}"/>
    <cellStyle name="Normal 3 6 4 2 2" xfId="12910" xr:uid="{95C1090E-E2E8-4081-A902-09CF601D0A6C}"/>
    <cellStyle name="Normal 3 6 4 2 2 2" xfId="47528" xr:uid="{EF8E565B-C7B2-43E2-98CB-788BC5523E65}"/>
    <cellStyle name="Normal 3 6 4 2 3" xfId="18964" xr:uid="{7A2B7516-7336-4380-A372-318C271E03F1}"/>
    <cellStyle name="Normal 3 6 4 3" xfId="12599" xr:uid="{69ACA978-9067-4359-9483-9855BBF6D29A}"/>
    <cellStyle name="Normal 3 6 4 3 2" xfId="47820" xr:uid="{2630D599-54C7-4666-BDB0-F3E0E8D5FD91}"/>
    <cellStyle name="Normal 3 6 4 4" xfId="18805" xr:uid="{16CD8C56-DA89-4517-BC97-5B2BA539CC30}"/>
    <cellStyle name="Normal 3 6 5" xfId="10223" xr:uid="{0EF1880A-78E2-4AD7-B7D5-08F14F2388EF}"/>
    <cellStyle name="Normal 3 6 5 2" xfId="12676" xr:uid="{3DF9BF87-8A52-4251-B31E-DE61A4F78E60}"/>
    <cellStyle name="Normal 3 6 5 2 2" xfId="26166" xr:uid="{0B397C39-34E1-4764-90AD-79F01AF862E0}"/>
    <cellStyle name="Normal 3 6 5 3" xfId="18844" xr:uid="{F94C2DE7-F7EE-473C-955C-B97D867E7769}"/>
    <cellStyle name="Normal 3 6 6" xfId="10537" xr:uid="{787C8CAC-DCB2-439B-9486-EBF488136C8B}"/>
    <cellStyle name="Normal 3 6 6 2" xfId="12990" xr:uid="{336FE612-AEEC-4463-89BE-E6ECBFFB8816}"/>
    <cellStyle name="Normal 3 6 6 2 2" xfId="47078" xr:uid="{AA66CECA-4A77-4095-AC11-C4A8BF19821D}"/>
    <cellStyle name="Normal 3 6 6 3" xfId="19006" xr:uid="{D525BC79-1BFB-4BB6-8780-2E6698963F3F}"/>
    <cellStyle name="Normal 3 6 7" xfId="11067" xr:uid="{4B7A7AD0-1473-4174-A8E7-CF05CD30248D}"/>
    <cellStyle name="Normal 3 6 7 2" xfId="26167" xr:uid="{CCC69704-3A76-470D-A7C0-6718AE9F28C0}"/>
    <cellStyle name="Normal 3 6 8" xfId="26168" xr:uid="{1C3C3F18-4B97-471A-80E5-0B8F87EC8883}"/>
    <cellStyle name="Normal 3 6 9" xfId="48957" xr:uid="{D07BEB68-AB94-4436-B91A-42589FDCDDBA}"/>
    <cellStyle name="Normal 3 7" xfId="2028" xr:uid="{00000000-0005-0000-0000-00003B050000}"/>
    <cellStyle name="Normal 3 7 2" xfId="10287" xr:uid="{00DD26A2-5952-4039-9397-45E392F7209B}"/>
    <cellStyle name="Normal 3 7 2 2" xfId="12740" xr:uid="{BA2570EC-6F56-4AD8-8CC0-EF820728C05A}"/>
    <cellStyle name="Normal 3 7 2 2 2" xfId="26170" xr:uid="{38DDC089-849E-4C50-91D1-625C9242B786}"/>
    <cellStyle name="Normal 3 7 2 2 3" xfId="26169" xr:uid="{5B488BBF-8AA4-4B8A-A192-EDBA2DBDD1A9}"/>
    <cellStyle name="Normal 3 7 2 3" xfId="26171" xr:uid="{E821CE5C-8707-4E46-9D39-D996557D16EC}"/>
    <cellStyle name="Normal 3 7 2 3 2" xfId="26172" xr:uid="{DC428333-74C9-4A6C-B2D6-7245DE04203E}"/>
    <cellStyle name="Normal 3 7 2 4" xfId="26173" xr:uid="{05D1F44C-E1BF-4C10-810A-DC105FA5A53B}"/>
    <cellStyle name="Normal 3 7 2 5" xfId="18875" xr:uid="{5F8B2335-A0CD-4A7E-90B6-269DE4108B38}"/>
    <cellStyle name="Normal 3 7 3" xfId="12448" xr:uid="{FCEBAF92-FF86-4841-B7B9-A83DCF86121E}"/>
    <cellStyle name="Normal 3 7 3 2" xfId="26174" xr:uid="{E555909D-B63B-4FC0-86B1-952CE2F9A21D}"/>
    <cellStyle name="Normal 3 7 3 3" xfId="18733" xr:uid="{2AD2F008-A73B-44BA-B8BF-5AB97898A8A2}"/>
    <cellStyle name="Normal 3 7 4" xfId="11069" xr:uid="{E21B2B3F-0A1D-493F-B5F7-3A1F74DADB13}"/>
    <cellStyle name="Normal 3 7 4 2" xfId="26176" xr:uid="{FB955EDC-2E2D-4B17-82A6-A4CE137BE1E6}"/>
    <cellStyle name="Normal 3 7 4 3" xfId="46719" xr:uid="{9322FE1A-5874-4F6F-A5ED-2005DEBE010C}"/>
    <cellStyle name="Normal 3 7 4 4" xfId="26175" xr:uid="{6F523392-FD9D-451A-BC4F-71ACB24A2050}"/>
    <cellStyle name="Normal 3 7 5" xfId="26177" xr:uid="{3EBCAA6E-2B47-4345-8E5A-69C0438FEC0A}"/>
    <cellStyle name="Normal 3 7 5 2" xfId="26178" xr:uid="{E2270388-B05F-44BC-8B3B-4F76AEBF8C19}"/>
    <cellStyle name="Normal 3 7 6" xfId="26179" xr:uid="{F0CF014E-A284-4652-937E-1A9F30057764}"/>
    <cellStyle name="Normal 3 7 7" xfId="26180" xr:uid="{458ECE91-C8E9-4D76-BA3E-BFE2BF314174}"/>
    <cellStyle name="Normal 3 7 8" xfId="9595" xr:uid="{53122765-ABA1-4418-A35B-EDD440CB1095}"/>
    <cellStyle name="Normal 3 8" xfId="2029" xr:uid="{00000000-0005-0000-0000-00003C050000}"/>
    <cellStyle name="Normal 3 8 2" xfId="10361" xr:uid="{072C4DAE-5E7A-4F7D-BFDD-4A251D7D6ACB}"/>
    <cellStyle name="Normal 3 8 2 2" xfId="12814" xr:uid="{329682CF-E4E2-4268-BE59-977F960BAC13}"/>
    <cellStyle name="Normal 3 8 2 2 2" xfId="26182" xr:uid="{5FD82C94-C19A-4D10-A7F4-7092EE8B61E5}"/>
    <cellStyle name="Normal 3 8 2 2 3" xfId="26181" xr:uid="{34DFC214-53C2-4E6C-A228-8E8EA8FAAF29}"/>
    <cellStyle name="Normal 3 8 2 3" xfId="26183" xr:uid="{99138770-46D8-4D76-BE3D-2BA6195B261C}"/>
    <cellStyle name="Normal 3 8 2 3 2" xfId="26184" xr:uid="{8E7EA34D-20A8-40ED-B8C6-034E2A61CECF}"/>
    <cellStyle name="Normal 3 8 2 4" xfId="26185" xr:uid="{DF510C69-E4AB-4D61-8705-98B7827E667A}"/>
    <cellStyle name="Normal 3 8 2 5" xfId="18911" xr:uid="{7972704C-F519-4CA1-85A9-9CCFB1A932D8}"/>
    <cellStyle name="Normal 3 8 3" xfId="12513" xr:uid="{17BA11A4-07BF-4FD1-9F71-884E576CE098}"/>
    <cellStyle name="Normal 3 8 3 2" xfId="26186" xr:uid="{FB5DCCFD-64FF-43A6-BE7A-F3C62AE296FA}"/>
    <cellStyle name="Normal 3 8 3 3" xfId="18762" xr:uid="{C7A3EAF6-C0FC-46D0-A11F-CFF889C4F646}"/>
    <cellStyle name="Normal 3 8 4" xfId="11070" xr:uid="{7B1A2E0F-4D29-4D6F-A6A3-8E03A8FD257B}"/>
    <cellStyle name="Normal 3 8 4 2" xfId="26188" xr:uid="{582733BD-4776-4198-AF84-33D16FBCF62F}"/>
    <cellStyle name="Normal 3 8 4 3" xfId="47749" xr:uid="{3DBF1DE5-580B-4669-A464-9ED8B5497E40}"/>
    <cellStyle name="Normal 3 8 4 4" xfId="26187" xr:uid="{116FF335-F4DA-4BBE-8C19-589387A4C638}"/>
    <cellStyle name="Normal 3 8 5" xfId="26189" xr:uid="{DDAE4C33-AF3D-4DEB-9C94-770BE748A486}"/>
    <cellStyle name="Normal 3 8 5 2" xfId="26190" xr:uid="{0E489BA5-3F2C-490A-B947-8A1BDA974701}"/>
    <cellStyle name="Normal 3 8 6" xfId="26191" xr:uid="{24E93ACE-8AA6-4926-B1F8-328A15A55158}"/>
    <cellStyle name="Normal 3 8 7" xfId="26192" xr:uid="{2DC4ECA2-0273-4D45-B063-E0B370447816}"/>
    <cellStyle name="Normal 3 8 8" xfId="10053" xr:uid="{C8242F87-BE94-4573-9649-796C328B3A5A}"/>
    <cellStyle name="Normal 3 9" xfId="2030" xr:uid="{00000000-0005-0000-0000-00003D050000}"/>
    <cellStyle name="Normal 3 9 2" xfId="10441" xr:uid="{85FF29B7-7F3C-4402-8F7D-CB3030660282}"/>
    <cellStyle name="Normal 3 9 2 2" xfId="12894" xr:uid="{FA8641DE-CFC8-41C8-BE11-AA612A5EAAC7}"/>
    <cellStyle name="Normal 3 9 2 2 2" xfId="26193" xr:uid="{5C0B06CC-DEC5-40A9-B604-05D4B2ABFD1D}"/>
    <cellStyle name="Normal 3 9 2 3" xfId="18953" xr:uid="{1A1FC2F8-0398-42EA-B079-0FD3C0674352}"/>
    <cellStyle name="Normal 3 9 3" xfId="12584" xr:uid="{F5DA07F7-4679-4BA6-90A4-6AA2AF4006C0}"/>
    <cellStyle name="Normal 3 9 3 2" xfId="26194" xr:uid="{0D376E36-2F60-4774-899F-8107DD3E6CA7}"/>
    <cellStyle name="Normal 3 9 3 3" xfId="18795" xr:uid="{FD424412-13AC-4559-B746-99A92403CAAF}"/>
    <cellStyle name="Normal 3 9 4" xfId="11071" xr:uid="{92F9207A-1B0B-45D8-9D51-3B2F66CA77D8}"/>
    <cellStyle name="Normal 3 9 4 2" xfId="47073" xr:uid="{E3993960-841E-4AFD-8D75-199EA66A1C28}"/>
    <cellStyle name="Normal 3 9 4 3" xfId="26195" xr:uid="{95FBC2A3-2D85-4367-96F6-1C6E28E44564}"/>
    <cellStyle name="Normal 3 9 5" xfId="26196" xr:uid="{F116705D-81B5-485F-9EE4-8C6C2AEC1168}"/>
    <cellStyle name="Normal 3 9 6" xfId="10127" xr:uid="{2E53637E-F7BF-455C-8216-810097A4947C}"/>
    <cellStyle name="Normal 30" xfId="6970" xr:uid="{DDE9929B-9114-4C93-83CE-163391D71162}"/>
    <cellStyle name="Normal 30 2" xfId="26197" xr:uid="{4FA0161A-2F6D-417C-B049-C8F2C004C8CD}"/>
    <cellStyle name="Normal 30 3" xfId="48958" xr:uid="{19584C80-D0BC-44E6-8E6F-573D8B05E629}"/>
    <cellStyle name="Normal 30 4" xfId="18549" xr:uid="{06AC6D4D-AD3F-4C9B-A58A-F14A740B0AA5}"/>
    <cellStyle name="Normal 30 5" xfId="12142" xr:uid="{FFDE2A04-6EC2-4409-BBE0-7E781B116DC1}"/>
    <cellStyle name="Normal 31" xfId="2031" xr:uid="{00000000-0005-0000-0000-00003E050000}"/>
    <cellStyle name="Normal 31 2" xfId="26199" xr:uid="{3575A1B8-5F12-4CB9-99CA-C0710850BF7C}"/>
    <cellStyle name="Normal 31 3" xfId="26198" xr:uid="{BCE97F7F-33C7-4AEA-AF6B-A49444DAFD73}"/>
    <cellStyle name="Normal 31 4" xfId="48959" xr:uid="{1EFE0EC4-6557-45E6-B205-971423B54A49}"/>
    <cellStyle name="Normal 32" xfId="2032" xr:uid="{00000000-0005-0000-0000-00003F050000}"/>
    <cellStyle name="Normal 32 2" xfId="26201" xr:uid="{7F1FF435-4A74-4230-8918-F8B81221A457}"/>
    <cellStyle name="Normal 32 3" xfId="26200" xr:uid="{523AE943-F955-4615-A5B0-DA41920C856A}"/>
    <cellStyle name="Normal 32 4" xfId="48960" xr:uid="{F7F326A2-2B0A-4BC0-8A73-3AFF150BA595}"/>
    <cellStyle name="Normal 33" xfId="2033" xr:uid="{00000000-0005-0000-0000-000040050000}"/>
    <cellStyle name="Normal 33 2" xfId="26203" xr:uid="{F62C9027-1EE4-4E9A-A821-C1B56B6CE2A1}"/>
    <cellStyle name="Normal 33 3" xfId="26202" xr:uid="{7F235298-953A-47E6-B64C-317956F0F7BE}"/>
    <cellStyle name="Normal 33 4" xfId="48961" xr:uid="{58430EB5-AE46-4B05-A823-BE5A98F9009A}"/>
    <cellStyle name="Normal 34" xfId="2034" xr:uid="{00000000-0005-0000-0000-000041050000}"/>
    <cellStyle name="Normal 34 2" xfId="26204" xr:uid="{92FB3DC9-6B80-4FB1-A621-B4EDAFA73443}"/>
    <cellStyle name="Normal 35" xfId="6974" xr:uid="{61E3DF63-488D-4424-8D6F-7278F25B36BD}"/>
    <cellStyle name="Normal 35 2" xfId="30229" xr:uid="{40570083-4441-4AED-A2D7-3938C10AA2B1}"/>
    <cellStyle name="Normal 35 3" xfId="18731" xr:uid="{ABA01B6D-45FF-4154-ABD9-CC246EF08FD8}"/>
    <cellStyle name="Normal 35 4" xfId="12445" xr:uid="{9138A7C9-A537-4140-A6BC-308DD13C424B}"/>
    <cellStyle name="Normal 36" xfId="14485" xr:uid="{A2C7C234-B336-42BA-BF14-C7050AA5FB05}"/>
    <cellStyle name="Normal 36 2" xfId="35053" xr:uid="{017F5CDA-0E2B-431B-90EF-69C1D0E7ACF8}"/>
    <cellStyle name="Normal 36 3" xfId="30240" xr:uid="{C5898641-DA7B-4C42-A8F8-98B712007BF9}"/>
    <cellStyle name="Normal 36 4" xfId="19039" xr:uid="{F4C0C16B-6548-437D-B7AE-AF8582F99DA1}"/>
    <cellStyle name="Normal 37" xfId="14963" xr:uid="{3E781280-C7D7-438A-8A7D-D7D3059F5BE1}"/>
    <cellStyle name="Normal 37 2" xfId="19175" xr:uid="{53CA7C2B-941C-4F2E-9B7E-B73FFC734E76}"/>
    <cellStyle name="Normal 38" xfId="14965" xr:uid="{960CAE37-57EB-4C1E-BE97-88B7A3DF8B87}"/>
    <cellStyle name="Normal 38 2" xfId="19177" xr:uid="{99F3020E-C4BE-41B9-8E15-018C7E084286}"/>
    <cellStyle name="Normal 39" xfId="14970" xr:uid="{B1832F46-6084-409D-95D0-D705F0F702E1}"/>
    <cellStyle name="Normal 39 2" xfId="19178" xr:uid="{0997A15B-7983-4627-B66A-D582E60FFC95}"/>
    <cellStyle name="Normal 4" xfId="563" xr:uid="{00000000-0005-0000-0000-000042050000}"/>
    <cellStyle name="Normal 4 10" xfId="2035" xr:uid="{00000000-0005-0000-0000-000043050000}"/>
    <cellStyle name="Normal 4 10 2" xfId="26206" xr:uid="{4765D7AC-F7D1-41BD-960A-42290B03AD37}"/>
    <cellStyle name="Normal 4 11" xfId="2036" xr:uid="{00000000-0005-0000-0000-000044050000}"/>
    <cellStyle name="Normal 4 11 2" xfId="26207" xr:uid="{A66FFEE4-D876-4312-9BB0-74851E4D1E3E}"/>
    <cellStyle name="Normal 4 12" xfId="2037" xr:uid="{00000000-0005-0000-0000-000045050000}"/>
    <cellStyle name="Normal 4 12 2" xfId="26208" xr:uid="{CBE8B420-5D46-411B-84C8-0DC95D72C98B}"/>
    <cellStyle name="Normal 4 13" xfId="2038" xr:uid="{00000000-0005-0000-0000-000046050000}"/>
    <cellStyle name="Normal 4 13 2" xfId="26209" xr:uid="{DDC18EF2-509D-48D1-9758-014B4E4E4ABE}"/>
    <cellStyle name="Normal 4 14" xfId="2039" xr:uid="{00000000-0005-0000-0000-000047050000}"/>
    <cellStyle name="Normal 4 14 2" xfId="26210" xr:uid="{E3B01482-7F73-4662-96C1-0322AE43F2AC}"/>
    <cellStyle name="Normal 4 15" xfId="2040" xr:uid="{00000000-0005-0000-0000-000048050000}"/>
    <cellStyle name="Normal 4 15 2" xfId="26211" xr:uid="{45E695AD-F4CA-4E1B-AE56-BA0E1C21869C}"/>
    <cellStyle name="Normal 4 16" xfId="6977" xr:uid="{F6311D08-4CDB-4E16-B683-74129D6E834B}"/>
    <cellStyle name="Normal 4 17" xfId="26205" xr:uid="{3D035143-A0C6-4050-939D-CD07AB6CF5F0}"/>
    <cellStyle name="Normal 4 2" xfId="564" xr:uid="{00000000-0005-0000-0000-000049050000}"/>
    <cellStyle name="Normal 4 2 2" xfId="6976" xr:uid="{68268B91-3FBB-47FE-A29D-3196BE23EECF}"/>
    <cellStyle name="Normal 4 2 2 2" xfId="26213" xr:uid="{90D0E8CA-5642-4A2E-B32F-08AE1C82E4DE}"/>
    <cellStyle name="Normal 4 2 2 3" xfId="9231" xr:uid="{3277EE4B-B63D-478A-BB3B-B95498D6FC51}"/>
    <cellStyle name="Normal 4 2 3" xfId="26214" xr:uid="{3A496885-46BD-429E-B5C1-E4AF774DF5F2}"/>
    <cellStyle name="Normal 4 2 3 2" xfId="48962" xr:uid="{D6750E53-A079-47DC-9216-2C429A16A000}"/>
    <cellStyle name="Normal 4 2 4" xfId="26215" xr:uid="{C514DC07-9844-4C35-A462-8C2BF59737E6}"/>
    <cellStyle name="Normal 4 2 4 2" xfId="48963" xr:uid="{0D909273-85DA-4A81-A23F-35FAD528F6F0}"/>
    <cellStyle name="Normal 4 2 5" xfId="26212" xr:uid="{D7FC0F05-1E3E-42DD-A7EE-A5679C831877}"/>
    <cellStyle name="Normal 4 3" xfId="565" xr:uid="{00000000-0005-0000-0000-00004A050000}"/>
    <cellStyle name="Normal 4 3 2" xfId="26217" xr:uid="{D84DF192-4FBB-4899-AE5C-2491C235973F}"/>
    <cellStyle name="Normal 4 3 2 2" xfId="26218" xr:uid="{B73ADA63-93CD-4C0A-AFC3-F620285BF425}"/>
    <cellStyle name="Normal 4 3 3" xfId="26219" xr:uid="{978E391A-4B4D-4F0E-BBFF-70791CF601D5}"/>
    <cellStyle name="Normal 4 3 3 2" xfId="26220" xr:uid="{84C346B6-2B39-42EA-ADFF-3A2EBEF0D190}"/>
    <cellStyle name="Normal 4 3 4" xfId="26221" xr:uid="{4F61A8C5-3294-4DBE-A65A-5406FF3090E2}"/>
    <cellStyle name="Normal 4 3 4 2" xfId="48965" xr:uid="{1AB04E86-A7CB-4B60-ADA4-7E4D71E8D6A0}"/>
    <cellStyle name="Normal 4 3 5" xfId="26222" xr:uid="{BE274B72-0F55-403B-8837-3118120D33A9}"/>
    <cellStyle name="Normal 4 3 6" xfId="26223" xr:uid="{4735D3E5-A420-47E0-BE7E-DCCA1011D0EC}"/>
    <cellStyle name="Normal 4 3 7" xfId="26224" xr:uid="{D8F2E8FF-BE8D-4D55-804F-3FAA79CA98DC}"/>
    <cellStyle name="Normal 4 3 8" xfId="26216" xr:uid="{19AA330F-D72A-4C91-A941-E16BAD4A1AE9}"/>
    <cellStyle name="Normal 4 3 9" xfId="48964" xr:uid="{1E8363B4-8B4C-47A3-A814-796B1194C303}"/>
    <cellStyle name="Normal 4 4" xfId="566" xr:uid="{00000000-0005-0000-0000-00004B050000}"/>
    <cellStyle name="Normal 4 4 2" xfId="12144" xr:uid="{579F263B-944E-4446-BF19-E28875F07733}"/>
    <cellStyle name="Normal 4 4 2 2" xfId="26226" xr:uid="{99E1C4A3-B0F1-4F3C-AE67-357B0828B5E8}"/>
    <cellStyle name="Normal 4 4 3" xfId="26227" xr:uid="{0F0FAD41-DFCB-4738-AB74-4346036C09E0}"/>
    <cellStyle name="Normal 4 4 4" xfId="26225" xr:uid="{C5851707-9F73-47FD-BE48-56AF2CFD97EF}"/>
    <cellStyle name="Normal 4 5" xfId="2041" xr:uid="{00000000-0005-0000-0000-00004C050000}"/>
    <cellStyle name="Normal 4 5 2" xfId="14069" xr:uid="{5A1DC99C-BE5B-47F4-A73B-6C7C4AA48089}"/>
    <cellStyle name="Normal 4 5 2 2" xfId="26229" xr:uid="{7006E006-AE89-4F71-B840-A2A56EC9C3A4}"/>
    <cellStyle name="Normal 4 5 3" xfId="26230" xr:uid="{4ACA1189-01B0-4101-9A18-00660504E16A}"/>
    <cellStyle name="Normal 4 5 4" xfId="26228" xr:uid="{B996CBC4-20ED-4B94-9AE0-4740489259B4}"/>
    <cellStyle name="Normal 4 6" xfId="2042" xr:uid="{00000000-0005-0000-0000-00004D050000}"/>
    <cellStyle name="Normal 4 6 2" xfId="26231" xr:uid="{A9DBD876-E4DE-448F-B924-4FFB4E2D521E}"/>
    <cellStyle name="Normal 4 7" xfId="2043" xr:uid="{00000000-0005-0000-0000-00004E050000}"/>
    <cellStyle name="Normal 4 7 2" xfId="26233" xr:uid="{86C12B79-28CC-4AF9-9032-2770B2AD82D6}"/>
    <cellStyle name="Normal 4 7 3" xfId="26232" xr:uid="{5F727EAC-7589-44F1-BB63-587D538C5C36}"/>
    <cellStyle name="Normal 4 8" xfId="2044" xr:uid="{00000000-0005-0000-0000-00004F050000}"/>
    <cellStyle name="Normal 4 8 2" xfId="26235" xr:uid="{AA60170C-208F-4153-8B87-D959C9790DE1}"/>
    <cellStyle name="Normal 4 8 3" xfId="26234" xr:uid="{066759D0-3C5F-4D57-B056-1F3A1D89B4EA}"/>
    <cellStyle name="Normal 4 9" xfId="2045" xr:uid="{00000000-0005-0000-0000-000050050000}"/>
    <cellStyle name="Normal 4 9 2" xfId="26236" xr:uid="{F44FDFFA-D307-4151-AEC1-A9232471C8D8}"/>
    <cellStyle name="Normal 40" xfId="14964" xr:uid="{4F3AD861-3F3F-4D83-93EE-293878E7F982}"/>
    <cellStyle name="Normal 40 2" xfId="19176" xr:uid="{A69B0833-F2E7-459D-8065-079CB06BE7EB}"/>
    <cellStyle name="Normal 41" xfId="14971" xr:uid="{900838C4-802C-4F77-AF6A-186F3E99B72C}"/>
    <cellStyle name="Normal 41 2" xfId="19179" xr:uid="{6711411C-020E-4BA8-823E-2A71D7DD6EFF}"/>
    <cellStyle name="Normal 42" xfId="15076" xr:uid="{B5EA68C3-EEEA-41BC-B59C-324FDEFC71FC}"/>
    <cellStyle name="Normal 42 2" xfId="19212" xr:uid="{F1942FE4-2FA2-45F0-9CE4-10ECD6D6082C}"/>
    <cellStyle name="Normal 43" xfId="14975" xr:uid="{DD14D125-F022-4E67-9B34-F8FEEE575103}"/>
    <cellStyle name="Normal 43 2" xfId="19182" xr:uid="{1D3AE33A-1676-4881-8AB4-368E6A935925}"/>
    <cellStyle name="Normal 44" xfId="14977" xr:uid="{C1D91347-7954-4D7D-87D3-8030E4D40B70}"/>
    <cellStyle name="Normal 44 2" xfId="19183" xr:uid="{8B128D5A-5333-41D5-9A52-00893F0A8CD4}"/>
    <cellStyle name="Normal 45" xfId="15448" xr:uid="{912F9288-5177-4C38-8E55-B83CFD8E7017}"/>
    <cellStyle name="Normal 45 2" xfId="19318" xr:uid="{9B3963B9-BA0A-47B8-9D45-2D2E32168F51}"/>
    <cellStyle name="Normal 46" xfId="15451" xr:uid="{1293A573-FFAA-45EE-A4D6-6153411D57E2}"/>
    <cellStyle name="Normal 46 2" xfId="19321" xr:uid="{F708DE25-8E8D-4AE4-A52A-B775BA2211E6}"/>
    <cellStyle name="Normal 47" xfId="15456" xr:uid="{C0050DE5-40A1-45C3-AD40-65816DCE1FAE}"/>
    <cellStyle name="Normal 47 2" xfId="19322" xr:uid="{F1A050AF-F0C1-4A09-A995-96B9FEE33BA0}"/>
    <cellStyle name="Normal 48" xfId="15450" xr:uid="{F6ADAD53-7B55-454D-A1D8-13F6A9662126}"/>
    <cellStyle name="Normal 48 2" xfId="19320" xr:uid="{A234AFC5-D645-442E-A2AF-8D91D9AFD5F4}"/>
    <cellStyle name="Normal 49" xfId="15457" xr:uid="{2318E72D-DF3C-491E-8C15-463C555B9CE7}"/>
    <cellStyle name="Normal 49 2" xfId="19323" xr:uid="{01779194-6120-4C5E-959F-BB6B7CCE9E15}"/>
    <cellStyle name="Normal 5" xfId="567" xr:uid="{00000000-0005-0000-0000-000051050000}"/>
    <cellStyle name="Normal 5 10" xfId="26238" xr:uid="{6E1EA525-5FA4-44B8-9404-BDE53F7100FF}"/>
    <cellStyle name="Normal 5 10 2" xfId="26239" xr:uid="{03245E41-8AA4-4E40-8DE1-E8DD7DBF1A6B}"/>
    <cellStyle name="Normal 5 11" xfId="26240" xr:uid="{30763912-CD09-4A12-8080-EF677E9BBF3E}"/>
    <cellStyle name="Normal 5 11 2" xfId="26241" xr:uid="{28785CAF-0EEA-4C0C-B98A-EE5AFC4E3FA5}"/>
    <cellStyle name="Normal 5 12" xfId="26242" xr:uid="{77E42813-3479-4EB2-87FF-BA431F106E13}"/>
    <cellStyle name="Normal 5 12 2" xfId="26243" xr:uid="{2FB35BDB-5B6D-436C-A996-EAD59DF142E6}"/>
    <cellStyle name="Normal 5 13" xfId="26244" xr:uid="{1749EA97-A6C3-484C-B267-20EBF03C326D}"/>
    <cellStyle name="Normal 5 13 2" xfId="26245" xr:uid="{CFFEB22C-4BFB-41E2-885C-FA69C4E928E2}"/>
    <cellStyle name="Normal 5 14" xfId="26246" xr:uid="{D7D0F12A-1DA9-4349-84E3-CBF37FC9B4CE}"/>
    <cellStyle name="Normal 5 14 2" xfId="48966" xr:uid="{D9E40CDF-1C64-4D33-A5CF-65864F980B1A}"/>
    <cellStyle name="Normal 5 15" xfId="26247" xr:uid="{64EDA396-A88E-4F68-AA85-0FB4681EEEF7}"/>
    <cellStyle name="Normal 5 15 2" xfId="48967" xr:uid="{0D350CF0-CB49-4E82-ABF6-5643FEFD60BF}"/>
    <cellStyle name="Normal 5 16" xfId="26237" xr:uid="{864B46B1-5AE1-4A2D-86DA-A7929E941F17}"/>
    <cellStyle name="Normal 5 2" xfId="568" xr:uid="{00000000-0005-0000-0000-000052050000}"/>
    <cellStyle name="Normal 5 2 10" xfId="26248" xr:uid="{4EA74DC4-7A96-4F10-A40A-1CC44971FB65}"/>
    <cellStyle name="Normal 5 2 2" xfId="569" xr:uid="{00000000-0005-0000-0000-000053050000}"/>
    <cellStyle name="Normal 5 2 2 2" xfId="570" xr:uid="{00000000-0005-0000-0000-000054050000}"/>
    <cellStyle name="Normal 5 2 2 2 2" xfId="26251" xr:uid="{DBB825F0-A3A5-42A2-B0B6-B939ACE4B9C0}"/>
    <cellStyle name="Normal 5 2 2 2 3" xfId="26252" xr:uid="{33E9196B-C93C-4754-A017-D418C35C50CE}"/>
    <cellStyle name="Normal 5 2 2 2 4" xfId="26250" xr:uid="{036FB0A7-1CA4-415F-94B1-4A4A39D3672D}"/>
    <cellStyle name="Normal 5 2 2 3" xfId="2046" xr:uid="{00000000-0005-0000-0000-000055050000}"/>
    <cellStyle name="Normal 5 2 2 3 2" xfId="26254" xr:uid="{C322D886-C93A-4888-93E7-C3BAF9B41F01}"/>
    <cellStyle name="Normal 5 2 2 3 3" xfId="26255" xr:uid="{4FFBDC05-DB2E-48D3-BF0F-470D5BA1DAAC}"/>
    <cellStyle name="Normal 5 2 2 3 4" xfId="26253" xr:uid="{085C300F-6EB5-46AB-8A9F-25EC641E3912}"/>
    <cellStyle name="Normal 5 2 2 4" xfId="26256" xr:uid="{169DDAFE-AD64-473B-8711-35B17D307A67}"/>
    <cellStyle name="Normal 5 2 2 5" xfId="26257" xr:uid="{E7646EF8-4A01-4ED0-98A5-59ABACE0C332}"/>
    <cellStyle name="Normal 5 2 2 6" xfId="26249" xr:uid="{64E86DEC-5B7D-46E5-8950-6033AF741AE1}"/>
    <cellStyle name="Normal 5 2 3" xfId="2047" xr:uid="{00000000-0005-0000-0000-000056050000}"/>
    <cellStyle name="Normal 5 2 3 2" xfId="2048" xr:uid="{00000000-0005-0000-0000-000057050000}"/>
    <cellStyle name="Normal 5 2 3 2 2" xfId="26260" xr:uid="{8FB6ABAB-7EF7-47FC-9A88-AD6B0A7FDE28}"/>
    <cellStyle name="Normal 5 2 3 2 3" xfId="26259" xr:uid="{EA8DE149-86D7-4A1C-A2AC-C568D18B030A}"/>
    <cellStyle name="Normal 5 2 3 3" xfId="26261" xr:uid="{64941242-771F-4FE2-95E0-675A80892AA3}"/>
    <cellStyle name="Normal 5 2 3 4" xfId="26258" xr:uid="{B91A6BB0-3118-4421-896A-C8B7C23F13B6}"/>
    <cellStyle name="Normal 5 2 4" xfId="26262" xr:uid="{4CDD19F8-DA49-461B-B0E4-11EBC2D97754}"/>
    <cellStyle name="Normal 5 2 4 2" xfId="26263" xr:uid="{A3ADF8DB-0E6B-4469-8C05-974D67EC1C1F}"/>
    <cellStyle name="Normal 5 2 5" xfId="26264" xr:uid="{2C2B0AF3-EE65-44CA-A67B-7FAB4075A506}"/>
    <cellStyle name="Normal 5 2 5 2" xfId="26265" xr:uid="{57A66AFA-C584-4808-8758-58C954A7B270}"/>
    <cellStyle name="Normal 5 2 6" xfId="26266" xr:uid="{66420660-D274-48B3-9456-F3C6596E05A8}"/>
    <cellStyle name="Normal 5 2 6 2" xfId="26267" xr:uid="{594ADB93-F417-4F95-B270-21F93A2E965B}"/>
    <cellStyle name="Normal 5 2 7" xfId="26268" xr:uid="{4687A1A7-C4D8-4D9C-8B4D-782EC3554738}"/>
    <cellStyle name="Normal 5 2 7 2" xfId="26269" xr:uid="{9334C8AA-F2EC-457C-9BA3-2077E1593952}"/>
    <cellStyle name="Normal 5 2 8" xfId="26270" xr:uid="{7EDEA3CF-D277-4196-B069-BC54B122A991}"/>
    <cellStyle name="Normal 5 2 8 2" xfId="48968" xr:uid="{382D1140-618D-443A-BCDD-606074E69526}"/>
    <cellStyle name="Normal 5 2 9" xfId="26271" xr:uid="{3EFDB36B-7449-44A9-A73D-89DABAB1D697}"/>
    <cellStyle name="Normal 5 2 9 2" xfId="48969" xr:uid="{1FF56289-64FA-414F-BD9E-2B19FFC53B85}"/>
    <cellStyle name="Normal 5 3" xfId="2049" xr:uid="{00000000-0005-0000-0000-000058050000}"/>
    <cellStyle name="Normal 5 3 10" xfId="26272" xr:uid="{76035AAD-9476-42A0-B1FC-183B420F4792}"/>
    <cellStyle name="Normal 5 3 11" xfId="48970" xr:uid="{AAD28A2B-AEEB-4A73-8ADB-B0CB52BE31CA}"/>
    <cellStyle name="Normal 5 3 2" xfId="26273" xr:uid="{E3860411-2F76-4A2C-B322-59EB5D1B151F}"/>
    <cellStyle name="Normal 5 3 2 2" xfId="26274" xr:uid="{9A336E04-9A13-42B2-A13E-61B9684E53DC}"/>
    <cellStyle name="Normal 5 3 2 2 2" xfId="26275" xr:uid="{0BC52C49-F69F-4A4F-B5A1-6990DF556BD4}"/>
    <cellStyle name="Normal 5 3 2 3" xfId="26276" xr:uid="{F3E70D7A-8081-41F5-8ECA-46349EC5E076}"/>
    <cellStyle name="Normal 5 3 2 3 2" xfId="26277" xr:uid="{918300BB-C156-41BA-9015-85040381C5D8}"/>
    <cellStyle name="Normal 5 3 2 4" xfId="26278" xr:uid="{C70F6F45-53A4-4FE8-A965-54B44A229C33}"/>
    <cellStyle name="Normal 5 3 3" xfId="26279" xr:uid="{89CA4812-2F99-46EC-BEF9-5437AD5D67E5}"/>
    <cellStyle name="Normal 5 3 3 2" xfId="26280" xr:uid="{6FD3E08D-8EFA-4C62-AB55-3E0B9218DE85}"/>
    <cellStyle name="Normal 5 3 4" xfId="26281" xr:uid="{B5A2A17C-AB10-48F7-9742-79DD63145CF9}"/>
    <cellStyle name="Normal 5 3 4 2" xfId="26282" xr:uid="{862599BC-2866-4776-976A-BCE62D7E1E7A}"/>
    <cellStyle name="Normal 5 3 5" xfId="26283" xr:uid="{85D64586-D534-4024-917F-96A02F25AD30}"/>
    <cellStyle name="Normal 5 3 5 2" xfId="26284" xr:uid="{A9147402-CF5D-412B-ABB1-DF02CDD2A4C4}"/>
    <cellStyle name="Normal 5 3 6" xfId="26285" xr:uid="{BEBA495E-FD16-49A5-8E8D-50CFF388948B}"/>
    <cellStyle name="Normal 5 3 6 2" xfId="26286" xr:uid="{D50AD1B8-BAF0-4B74-B2FF-926CCD895891}"/>
    <cellStyle name="Normal 5 3 7" xfId="26287" xr:uid="{20D686DE-20D5-4E3F-A7FC-A6570E8133B3}"/>
    <cellStyle name="Normal 5 3 8" xfId="26288" xr:uid="{6B8B35A3-8D27-41BF-A789-333EA0FC0B14}"/>
    <cellStyle name="Normal 5 3 9" xfId="26289" xr:uid="{7999E148-C081-43B7-AF89-425BFD479161}"/>
    <cellStyle name="Normal 5 4" xfId="26290" xr:uid="{F0E32636-D19B-4198-A73E-1BE2285D1438}"/>
    <cellStyle name="Normal 5 4 2" xfId="26291" xr:uid="{02C3D07F-E04C-4A04-A0FD-97D01EB7A6F6}"/>
    <cellStyle name="Normal 5 4 2 2" xfId="26292" xr:uid="{19840EAA-17BC-444D-B74D-58AD0BE5D3AB}"/>
    <cellStyle name="Normal 5 4 2 2 2" xfId="26293" xr:uid="{CB0FDC83-34B9-4991-A3D9-BECF500B9778}"/>
    <cellStyle name="Normal 5 4 2 3" xfId="26294" xr:uid="{66CD1C24-0455-4CB2-8C87-2C60A42A7943}"/>
    <cellStyle name="Normal 5 4 2 3 2" xfId="26295" xr:uid="{C184C129-BFA3-4D6B-B1EA-62AEC68DEAB2}"/>
    <cellStyle name="Normal 5 4 2 4" xfId="26296" xr:uid="{3A5DEF3A-CBF7-4E07-8E97-C92FCDF1C813}"/>
    <cellStyle name="Normal 5 4 3" xfId="26297" xr:uid="{97FEDD41-7B91-41F8-B782-F1375BE7ABFF}"/>
    <cellStyle name="Normal 5 4 3 2" xfId="26298" xr:uid="{7D013A4A-AA5B-460D-918E-B8A30368E456}"/>
    <cellStyle name="Normal 5 4 4" xfId="26299" xr:uid="{6B711529-5DC9-4826-ADF2-9D17C0A9118F}"/>
    <cellStyle name="Normal 5 4 4 2" xfId="26300" xr:uid="{51EB0342-AC5F-48CB-80D3-7839D87ED9BB}"/>
    <cellStyle name="Normal 5 4 5" xfId="26301" xr:uid="{2E71DE11-D178-46EF-B068-0D934BEB98BD}"/>
    <cellStyle name="Normal 5 4 5 2" xfId="26302" xr:uid="{A60EECFA-9E8E-4521-87F7-CF472917618D}"/>
    <cellStyle name="Normal 5 4 6" xfId="26303" xr:uid="{F973F083-581C-4F8F-902C-AE2F2006BD69}"/>
    <cellStyle name="Normal 5 5" xfId="26304" xr:uid="{7884412B-3C27-48E0-B545-EE7587066676}"/>
    <cellStyle name="Normal 5 5 2" xfId="26305" xr:uid="{ED3F05ED-AA75-4213-929D-F25E1F1DDC5D}"/>
    <cellStyle name="Normal 5 5 2 2" xfId="26306" xr:uid="{52679342-43E5-4632-AE15-7E64B78E11D7}"/>
    <cellStyle name="Normal 5 5 2 2 2" xfId="26307" xr:uid="{AA5CADED-C313-4751-9E1B-7CD206B9EC59}"/>
    <cellStyle name="Normal 5 5 2 3" xfId="26308" xr:uid="{EBA4795C-FE2F-4BD7-B67D-BD98E2C7CE86}"/>
    <cellStyle name="Normal 5 5 2 3 2" xfId="26309" xr:uid="{5D791DF4-E64D-4855-8CAC-61CF5D6CEC71}"/>
    <cellStyle name="Normal 5 5 2 4" xfId="26310" xr:uid="{DC289FFD-D0AE-4F89-92A1-3F7516236A66}"/>
    <cellStyle name="Normal 5 5 3" xfId="26311" xr:uid="{E161AA34-A2AE-4753-A779-2D6731B88B1F}"/>
    <cellStyle name="Normal 5 5 3 2" xfId="26312" xr:uid="{F7EAC9A6-8A04-4776-874C-44F1124079BD}"/>
    <cellStyle name="Normal 5 5 4" xfId="26313" xr:uid="{70FDEE04-BB9D-4FD9-80F0-D8E62B673EE1}"/>
    <cellStyle name="Normal 5 5 4 2" xfId="26314" xr:uid="{6250D197-998A-4873-9284-3ED86B52D560}"/>
    <cellStyle name="Normal 5 5 5" xfId="26315" xr:uid="{AECB6C8C-FE17-4CE6-AEA9-66BB878E59BB}"/>
    <cellStyle name="Normal 5 5 5 2" xfId="26316" xr:uid="{A326A580-9543-417A-9CB8-DF8A470B73F8}"/>
    <cellStyle name="Normal 5 5 6" xfId="26317" xr:uid="{5E24069C-DA95-4860-AAE0-99801BD60A68}"/>
    <cellStyle name="Normal 5 6" xfId="26318" xr:uid="{9D4B2A21-C09D-4911-9112-3D042AEE5991}"/>
    <cellStyle name="Normal 5 6 2" xfId="26319" xr:uid="{9D201994-93AB-4E29-8B9D-2533092B924F}"/>
    <cellStyle name="Normal 5 6 2 2" xfId="26320" xr:uid="{0DA478B0-B504-4518-BBD4-E0176A313115}"/>
    <cellStyle name="Normal 5 6 2 2 2" xfId="26321" xr:uid="{33B52B06-61B0-43F6-8A60-774CB046CB58}"/>
    <cellStyle name="Normal 5 6 2 3" xfId="26322" xr:uid="{F588AD04-87BC-48AB-9EAC-8DFFFF2623C2}"/>
    <cellStyle name="Normal 5 6 2 3 2" xfId="26323" xr:uid="{9110817E-9E74-4024-A50A-6F015F77C76D}"/>
    <cellStyle name="Normal 5 6 2 4" xfId="26324" xr:uid="{946278A4-A10D-471A-8140-AE9DA6DFFB68}"/>
    <cellStyle name="Normal 5 6 3" xfId="26325" xr:uid="{44BA34CE-021C-4D35-9B8D-E43891B083AF}"/>
    <cellStyle name="Normal 5 6 3 2" xfId="26326" xr:uid="{4A868DB7-7671-4C35-98F8-9DE58774D7AE}"/>
    <cellStyle name="Normal 5 6 4" xfId="26327" xr:uid="{0CD9DBEF-3BE5-45B4-B7DE-C1E579B3DB93}"/>
    <cellStyle name="Normal 5 6 4 2" xfId="26328" xr:uid="{FD510D97-AC44-4401-B60F-ADC596A9DEAE}"/>
    <cellStyle name="Normal 5 6 5" xfId="26329" xr:uid="{F4EEE548-3CB9-4AE4-90B4-ECD392C74E3D}"/>
    <cellStyle name="Normal 5 6 5 2" xfId="26330" xr:uid="{759121B3-D978-4337-B433-E5CA79EA066A}"/>
    <cellStyle name="Normal 5 6 6" xfId="26331" xr:uid="{CE8BDCAB-BEB2-42AA-943F-74EBCBF854D9}"/>
    <cellStyle name="Normal 5 7" xfId="26332" xr:uid="{F51B4660-BD19-4FBB-A2DE-42FD13FEB5F5}"/>
    <cellStyle name="Normal 5 7 2" xfId="26333" xr:uid="{FB90D1CF-E71B-42E1-A822-7C8BBFF4B7A2}"/>
    <cellStyle name="Normal 5 7 2 2" xfId="26334" xr:uid="{EF4055C5-1B27-45BF-A748-3ACD021456A6}"/>
    <cellStyle name="Normal 5 7 2 2 2" xfId="26335" xr:uid="{F287068C-66A2-4051-B677-F240186191FA}"/>
    <cellStyle name="Normal 5 7 2 3" xfId="26336" xr:uid="{54D9556D-E867-4471-B1F2-8FC1E78AECEA}"/>
    <cellStyle name="Normal 5 7 2 3 2" xfId="26337" xr:uid="{4080845C-DA2C-4898-9884-F0C971139D35}"/>
    <cellStyle name="Normal 5 7 2 4" xfId="26338" xr:uid="{24A8E32F-E2ED-4AE5-B0D2-96956589ACE9}"/>
    <cellStyle name="Normal 5 7 3" xfId="26339" xr:uid="{6138244D-FF1C-4CE6-AC43-73A9FF561C79}"/>
    <cellStyle name="Normal 5 7 3 2" xfId="26340" xr:uid="{24146285-D80F-4F14-9A01-699A0F0B081F}"/>
    <cellStyle name="Normal 5 7 4" xfId="26341" xr:uid="{B98D8903-2B43-401E-9BF1-75D4A56C90CF}"/>
    <cellStyle name="Normal 5 7 4 2" xfId="26342" xr:uid="{8D7488B2-493A-410D-B4E7-6744531547D6}"/>
    <cellStyle name="Normal 5 7 5" xfId="26343" xr:uid="{008ECD04-71A3-4C04-9EE4-BA118232E8AD}"/>
    <cellStyle name="Normal 5 7 5 2" xfId="26344" xr:uid="{2B2A4763-3F94-4000-91CA-3AB3256FBA39}"/>
    <cellStyle name="Normal 5 7 6" xfId="26345" xr:uid="{3D63B4D8-4B8B-4927-BF71-DBFC8D8704B4}"/>
    <cellStyle name="Normal 5 8" xfId="26346" xr:uid="{7D7DDDCD-1674-4F38-ABA5-BB7165135439}"/>
    <cellStyle name="Normal 5 8 2" xfId="26347" xr:uid="{E299573A-70D3-4EBF-A381-B35C35C2FF78}"/>
    <cellStyle name="Normal 5 8 2 2" xfId="26348" xr:uid="{8EE8BCF0-F1D7-41B3-8E6A-A8C85CC9FB4D}"/>
    <cellStyle name="Normal 5 8 3" xfId="26349" xr:uid="{3CB5385E-99BF-4B6C-AF3E-6C806F125AF7}"/>
    <cellStyle name="Normal 5 8 3 2" xfId="26350" xr:uid="{4ACE2183-17B0-4D84-A7CE-DEE9097FA50D}"/>
    <cellStyle name="Normal 5 8 4" xfId="26351" xr:uid="{CA199265-9113-4718-BA75-9F224206A9A4}"/>
    <cellStyle name="Normal 5 9" xfId="26352" xr:uid="{FE0E0D18-A396-473F-AE2F-BA710F848020}"/>
    <cellStyle name="Normal 5 9 2" xfId="26353" xr:uid="{E8A63647-BDF9-4FA1-BD0E-1F88409D8681}"/>
    <cellStyle name="Normal 5 9 2 2" xfId="26354" xr:uid="{6ECD4B1C-C6AE-4BF3-A214-40CBC86AF645}"/>
    <cellStyle name="Normal 5 9 3" xfId="26355" xr:uid="{F63E7C38-98EF-43C9-8A06-2EDBBB75A90C}"/>
    <cellStyle name="Normal 50" xfId="15563" xr:uid="{5DCD23B2-F215-4CB1-97FB-14DEEA29C464}"/>
    <cellStyle name="Normal 50 2" xfId="19357" xr:uid="{8ED4985F-BF8D-4ABD-96B5-E30F5EEC49DB}"/>
    <cellStyle name="Normal 51" xfId="15462" xr:uid="{4315286A-5345-479E-AD49-C5431AAEBC6F}"/>
    <cellStyle name="Normal 51 2" xfId="19327" xr:uid="{6DD4432E-2593-4CAF-AC9F-824ECFDECE1D}"/>
    <cellStyle name="Normal 52" xfId="15464" xr:uid="{916E0E3C-DF36-4A74-B321-1EAF520C89B0}"/>
    <cellStyle name="Normal 52 2" xfId="19328" xr:uid="{04163A9E-36B3-480E-976B-67442CC5A4E3}"/>
    <cellStyle name="Normal 53" xfId="15449" xr:uid="{5B0ECCDD-D560-4085-9972-6081D4302797}"/>
    <cellStyle name="Normal 53 2" xfId="19319" xr:uid="{5321A1BB-C9C6-44BB-B499-CAD41B6002E6}"/>
    <cellStyle name="Normal 54" xfId="15458" xr:uid="{2714B744-F764-4378-AAAB-6AAE7838F4A5}"/>
    <cellStyle name="Normal 54 2" xfId="19324" xr:uid="{F52AB8CA-4362-4E19-907A-CFA2B8CB1383}"/>
    <cellStyle name="Normal 55" xfId="15886" xr:uid="{DECF5C4D-959A-4743-9084-C954409E7A1E}"/>
    <cellStyle name="Normal 55 2" xfId="19448" xr:uid="{FEFCB092-BE7C-4191-8A02-F2D5555CAD41}"/>
    <cellStyle name="Normal 56" xfId="15937" xr:uid="{1996EF94-0A35-441D-ADA0-69EDCBC416ED}"/>
    <cellStyle name="Normal 56 2" xfId="19465" xr:uid="{90C111CB-C9F7-47E9-88B0-E5D1822BC2ED}"/>
    <cellStyle name="Normal 57" xfId="15936" xr:uid="{4B69DC09-5956-41C5-BE25-EDC1CDBF7C3C}"/>
    <cellStyle name="Normal 57 2" xfId="19464" xr:uid="{31B6B1C6-20A8-47E5-BC7C-D37665866B79}"/>
    <cellStyle name="Normal 58" xfId="10601" xr:uid="{6EAE8DFA-CCA6-4EBA-829D-75374FEC1592}"/>
    <cellStyle name="Normal 58 2" xfId="47735" xr:uid="{09691AD0-FF16-4FD9-B7A0-BADE2DC9BF61}"/>
    <cellStyle name="Normal 59" xfId="48250" xr:uid="{77C0ABAF-DF0F-4A16-8B91-EB36DA9913D8}"/>
    <cellStyle name="Normal 6" xfId="571" xr:uid="{00000000-0005-0000-0000-000059050000}"/>
    <cellStyle name="Normal 6 10" xfId="10609" xr:uid="{02C30CED-C610-40DF-BA3A-58CE6CBC772D}"/>
    <cellStyle name="Normal 6 10 2" xfId="26357" xr:uid="{07D8E242-3CD1-4F42-A6B8-48DC3AFAA484}"/>
    <cellStyle name="Normal 6 10 3" xfId="26356" xr:uid="{94644688-9BCC-4A0A-9E0D-4BBD8A751BF6}"/>
    <cellStyle name="Normal 6 11" xfId="26358" xr:uid="{F82A1944-49EA-4D6A-89A0-F9FBEB1A1A67}"/>
    <cellStyle name="Normal 6 11 2" xfId="26359" xr:uid="{2BBA9B37-ECB1-4295-8584-89BF56DE6729}"/>
    <cellStyle name="Normal 6 12" xfId="26360" xr:uid="{E6913783-1C9B-42ED-B0CE-6408671D58B9}"/>
    <cellStyle name="Normal 6 12 2" xfId="26361" xr:uid="{7F4B0BC3-E83E-40BA-AB54-0D053267A524}"/>
    <cellStyle name="Normal 6 13" xfId="26362" xr:uid="{E40A0EFA-F000-46A4-8CBC-F671B3256A57}"/>
    <cellStyle name="Normal 6 13 2" xfId="26363" xr:uid="{6878FB9F-3F84-4895-9FFC-8D8CF1732D35}"/>
    <cellStyle name="Normal 6 14" xfId="26364" xr:uid="{171FFB99-83D4-4ACD-8792-66B65FFB1899}"/>
    <cellStyle name="Normal 6 15" xfId="26365" xr:uid="{97ACF207-F2E1-46A7-80A2-DF639F4DF011}"/>
    <cellStyle name="Normal 6 16" xfId="16984" xr:uid="{225B633C-CD6C-4EDA-8A11-ADB2ACCCA9E3}"/>
    <cellStyle name="Normal 6 2" xfId="572" xr:uid="{00000000-0005-0000-0000-00005A050000}"/>
    <cellStyle name="Normal 6 2 10" xfId="26366" xr:uid="{9ABB9C0B-DE45-48E0-9556-966A79C592BD}"/>
    <cellStyle name="Normal 6 2 10 2" xfId="48971" xr:uid="{37D1B535-2825-4924-A3ED-C33970507572}"/>
    <cellStyle name="Normal 6 2 11" xfId="16985" xr:uid="{A2A1A7A6-171B-4464-AFF2-2DC4DF1D7555}"/>
    <cellStyle name="Normal 6 2 2" xfId="2050" xr:uid="{00000000-0005-0000-0000-00005B050000}"/>
    <cellStyle name="Normal 6 2 2 2" xfId="4088" xr:uid="{60083ED1-180F-4F02-BB0F-6635A2563F18}"/>
    <cellStyle name="Normal 6 2 2 2 2" xfId="10310" xr:uid="{02A2C0EE-20CC-42A7-A149-76C002ABE55A}"/>
    <cellStyle name="Normal 6 2 2 2 2 2" xfId="12763" xr:uid="{14D7F4EC-35C0-44F1-AB07-01C1ADD6D63B}"/>
    <cellStyle name="Normal 6 2 2 2 2 2 2" xfId="46790" xr:uid="{03FE353B-F98A-49D7-A64A-0851B223E06F}"/>
    <cellStyle name="Normal 6 2 2 2 2 3" xfId="18892" xr:uid="{1B454EF4-C1F9-48DA-9D01-CC38ADFDE66D}"/>
    <cellStyle name="Normal 6 2 2 2 3" xfId="12462" xr:uid="{5E38A481-AB6E-4F6F-A784-FB4B3CB4675D}"/>
    <cellStyle name="Normal 6 2 2 2 3 2" xfId="32431" xr:uid="{373B5F4C-115B-4BA3-9B60-6978E3096B26}"/>
    <cellStyle name="Normal 6 2 2 2 4" xfId="18743" xr:uid="{6B9C8128-E67D-400A-A7FC-CA9A3C72706E}"/>
    <cellStyle name="Normal 6 2 2 3" xfId="10077" xr:uid="{AF88B393-8D68-47E8-AD17-D0C93986EB2C}"/>
    <cellStyle name="Normal 6 2 2 3 2" xfId="10389" xr:uid="{55EC623E-8EC1-472F-A6B8-41A231756863}"/>
    <cellStyle name="Normal 6 2 2 3 2 2" xfId="12842" xr:uid="{B299605A-9226-4340-BDDF-33F6A1FD22BF}"/>
    <cellStyle name="Normal 6 2 2 3 2 2 2" xfId="47022" xr:uid="{687398E3-6B44-4F79-8C86-D5D409355781}"/>
    <cellStyle name="Normal 6 2 2 3 2 3" xfId="18933" xr:uid="{002EC377-DA55-4BC7-8022-1898FC6111BF}"/>
    <cellStyle name="Normal 6 2 2 3 3" xfId="12534" xr:uid="{CB8135EE-57C5-4F90-A7EF-F1C848C0B26F}"/>
    <cellStyle name="Normal 6 2 2 3 3 2" xfId="32291" xr:uid="{7E7F5E2F-14A8-4916-9DA2-78D1E5F597E2}"/>
    <cellStyle name="Normal 6 2 2 3 4" xfId="18777" xr:uid="{7723B284-0282-45AF-9B90-73E9C2A76594}"/>
    <cellStyle name="Normal 6 2 2 4" xfId="10155" xr:uid="{6FDEA96A-177A-480F-B1BE-2739B0AE92E4}"/>
    <cellStyle name="Normal 6 2 2 4 2" xfId="10469" xr:uid="{EED58D87-26EA-40D3-812D-C1915C697A75}"/>
    <cellStyle name="Normal 6 2 2 4 2 2" xfId="12922" xr:uid="{494ECBB7-A69F-4FB4-80BD-78C3D7007029}"/>
    <cellStyle name="Normal 6 2 2 4 2 2 2" xfId="24478" xr:uid="{3C2F495C-2DE1-4492-A9CE-5840A1774C1A}"/>
    <cellStyle name="Normal 6 2 2 4 2 3" xfId="18975" xr:uid="{F8E48DB4-6DFD-4812-8B90-94212277B367}"/>
    <cellStyle name="Normal 6 2 2 4 3" xfId="12609" xr:uid="{3D4DE4CD-43B7-4876-B527-03E520C17922}"/>
    <cellStyle name="Normal 6 2 2 4 3 2" xfId="46329" xr:uid="{AD8392F9-FC04-4EE7-A388-129C7135DB08}"/>
    <cellStyle name="Normal 6 2 2 4 4" xfId="18814" xr:uid="{D4783D55-87F8-4853-B1DA-D9B114129BB3}"/>
    <cellStyle name="Normal 6 2 2 5" xfId="10235" xr:uid="{2A1DD66D-6373-4840-9AF9-DA2ACE19F203}"/>
    <cellStyle name="Normal 6 2 2 5 2" xfId="12688" xr:uid="{3A964658-51D0-49BE-912E-F5DD8410D9DC}"/>
    <cellStyle name="Normal 6 2 2 5 2 2" xfId="46666" xr:uid="{0EF4EF00-FA08-4ECA-8CD3-D175ACFAC4A2}"/>
    <cellStyle name="Normal 6 2 2 5 3" xfId="18855" xr:uid="{2BA88494-4798-4751-825A-8DF971B366A5}"/>
    <cellStyle name="Normal 6 2 2 6" xfId="10549" xr:uid="{71D533F3-5DD9-4FDB-984D-8FDC88FE6AC9}"/>
    <cellStyle name="Normal 6 2 2 6 2" xfId="13002" xr:uid="{3FD5F73D-A49B-485E-B954-1119B2A5F504}"/>
    <cellStyle name="Normal 6 2 2 6 2 2" xfId="47079" xr:uid="{3079F85F-2B22-4188-A2B3-9C99995C6055}"/>
    <cellStyle name="Normal 6 2 2 6 3" xfId="19017" xr:uid="{E1BC9A4C-3E94-4B09-8D35-7C7C16CDAB6B}"/>
    <cellStyle name="Normal 6 2 2 7" xfId="11493" xr:uid="{35BB2119-4B49-4847-B1F5-D661BEE3C131}"/>
    <cellStyle name="Normal 6 2 2 7 2" xfId="18122" xr:uid="{CD9DF533-4125-462A-95D0-079E151AD93A}"/>
    <cellStyle name="Normal 6 2 2 8" xfId="11072" xr:uid="{18438AC8-E498-4B3D-AB50-E672643D74A0}"/>
    <cellStyle name="Normal 6 2 2 9" xfId="16986" xr:uid="{66A12BE4-F7E9-4303-BF56-76E7965D3FF9}"/>
    <cellStyle name="Normal 6 2 3" xfId="2051" xr:uid="{00000000-0005-0000-0000-00005C050000}"/>
    <cellStyle name="Normal 6 2 3 2" xfId="2052" xr:uid="{00000000-0005-0000-0000-00005D050000}"/>
    <cellStyle name="Normal 6 2 3 2 2" xfId="14070" xr:uid="{2424B98D-EB6E-446E-90ED-23AE433944F4}"/>
    <cellStyle name="Normal 6 2 3 2 2 2" xfId="26367" xr:uid="{F40A7D20-09CB-4CC7-BEB2-2AE552D1A39E}"/>
    <cellStyle name="Normal 6 2 3 2 3" xfId="17827" xr:uid="{43ECE267-AD5A-48FE-BA14-BEE8C588E583}"/>
    <cellStyle name="Normal 6 2 3 3" xfId="11110" xr:uid="{7752FDBC-2021-47C0-9142-68A5D8560E3E}"/>
    <cellStyle name="Normal 6 2 3 3 2" xfId="26368" xr:uid="{92D944FE-DF38-46F6-84C4-02097DC7B6E0}"/>
    <cellStyle name="Normal 6 2 3 4" xfId="11073" xr:uid="{3D0DEDD2-82B0-40E1-B8F8-BAC90DA1F22B}"/>
    <cellStyle name="Normal 6 2 3 4 2" xfId="17826" xr:uid="{384D3E07-17A1-48DA-B038-E6F4463CA386}"/>
    <cellStyle name="Normal 6 2 3 5" xfId="8070" xr:uid="{1EC41DA4-3548-4779-8ACA-68D760C0349B}"/>
    <cellStyle name="Normal 6 2 4" xfId="2053" xr:uid="{00000000-0005-0000-0000-00005E050000}"/>
    <cellStyle name="Normal 6 2 4 2" xfId="10296" xr:uid="{AB24E985-BCD1-4996-B551-96930159F456}"/>
    <cellStyle name="Normal 6 2 4 2 2" xfId="12749" xr:uid="{E4739E04-BAA9-46FA-9F70-DF47B32F28E1}"/>
    <cellStyle name="Normal 6 2 4 2 2 2" xfId="25060" xr:uid="{74250D35-E25E-404E-B7C4-2C2138C41033}"/>
    <cellStyle name="Normal 6 2 4 2 3" xfId="18880" xr:uid="{18D36F6B-D6C4-4345-B30A-0135A59483CA}"/>
    <cellStyle name="Normal 6 2 4 3" xfId="11074" xr:uid="{2ACD1806-6D19-46A9-86E6-B749CE196867}"/>
    <cellStyle name="Normal 6 2 4 3 2" xfId="47689" xr:uid="{7B9F6DD4-46AA-48E6-BE2B-8E6E6DB40862}"/>
    <cellStyle name="Normal 6 2 4 4" xfId="17828" xr:uid="{764B910F-E8B2-4410-887E-95D19BC4302E}"/>
    <cellStyle name="Normal 6 2 5" xfId="10062" xr:uid="{40E9C109-96B1-410C-A909-F02281BACC46}"/>
    <cellStyle name="Normal 6 2 5 2" xfId="10371" xr:uid="{3E96248A-4B7E-49DF-A951-CA775398114C}"/>
    <cellStyle name="Normal 6 2 5 2 2" xfId="12824" xr:uid="{EABE3A47-8AA0-4E78-8B02-83C39BEF872C}"/>
    <cellStyle name="Normal 6 2 5 2 2 2" xfId="25048" xr:uid="{7FEDCFFF-4810-4FE3-B176-5DA4A43190C6}"/>
    <cellStyle name="Normal 6 2 5 2 3" xfId="18917" xr:uid="{B1568EBE-A39F-4213-9287-3238915266B9}"/>
    <cellStyle name="Normal 6 2 5 3" xfId="12521" xr:uid="{FAF3BA2B-FD21-46E3-A994-6306B2599CB1}"/>
    <cellStyle name="Normal 6 2 5 3 2" xfId="47164" xr:uid="{9F5897A8-F30C-4007-8073-18027E57B64C}"/>
    <cellStyle name="Normal 6 2 5 4" xfId="18766" xr:uid="{C9D3C138-49BC-4369-B0CD-4234CACB5942}"/>
    <cellStyle name="Normal 6 2 6" xfId="10137" xr:uid="{55AECC5B-C051-445D-8CFA-9B0741C66067}"/>
    <cellStyle name="Normal 6 2 6 2" xfId="10451" xr:uid="{9783613E-B10F-4C2E-8567-67A401A5BD1A}"/>
    <cellStyle name="Normal 6 2 6 2 2" xfId="12904" xr:uid="{778546F2-4B7D-40DF-BFC7-352D2E017579}"/>
    <cellStyle name="Normal 6 2 6 2 2 2" xfId="48399" xr:uid="{2B1153A4-C9CD-498E-B5B7-EBF8696745DB}"/>
    <cellStyle name="Normal 6 2 6 2 3" xfId="18959" xr:uid="{713090A2-853B-4C74-B934-03AAC03913F2}"/>
    <cellStyle name="Normal 6 2 6 3" xfId="12593" xr:uid="{37CC4A4D-9590-4221-8B72-6BC3E47BD7A5}"/>
    <cellStyle name="Normal 6 2 6 3 2" xfId="25072" xr:uid="{C7B27CC2-0120-4C23-BBD1-AEA3B8D74B70}"/>
    <cellStyle name="Normal 6 2 6 4" xfId="18800" xr:uid="{A6FA8DE5-C047-49F9-8899-26043F51B7B3}"/>
    <cellStyle name="Normal 6 2 7" xfId="10217" xr:uid="{C9A54947-227D-44A8-81BB-E8446F5AA722}"/>
    <cellStyle name="Normal 6 2 7 2" xfId="12670" xr:uid="{7A9F96F6-6F7E-4457-9E14-D24058194936}"/>
    <cellStyle name="Normal 6 2 7 2 2" xfId="26369" xr:uid="{42602055-88A8-4A40-8F5B-5588A28275D5}"/>
    <cellStyle name="Normal 6 2 7 3" xfId="18839" xr:uid="{27B36202-1770-426C-BC02-1846C5E9B351}"/>
    <cellStyle name="Normal 6 2 8" xfId="10531" xr:uid="{82A74E40-AA8E-412E-8B97-A53D28ABFDE4}"/>
    <cellStyle name="Normal 6 2 8 2" xfId="12984" xr:uid="{21B47E0A-F7FA-436D-B902-2BAEF64B3CA7}"/>
    <cellStyle name="Normal 6 2 8 2 2" xfId="24211" xr:uid="{103C0A93-C27E-4931-B9F3-388811261325}"/>
    <cellStyle name="Normal 6 2 8 3" xfId="19001" xr:uid="{656CE997-FB7F-4B0E-9F23-C638EAB3BCF9}"/>
    <cellStyle name="Normal 6 2 9" xfId="26370" xr:uid="{438E1D79-6D89-45DA-BD96-CCB31F7253C8}"/>
    <cellStyle name="Normal 6 3" xfId="573" xr:uid="{00000000-0005-0000-0000-00005F050000}"/>
    <cellStyle name="Normal 6 3 10" xfId="16987" xr:uid="{82EFB4A7-10A2-4F4C-8CBD-49AA5604F47E}"/>
    <cellStyle name="Normal 6 3 2" xfId="2054" xr:uid="{00000000-0005-0000-0000-000060050000}"/>
    <cellStyle name="Normal 6 3 2 2" xfId="2055" xr:uid="{00000000-0005-0000-0000-000061050000}"/>
    <cellStyle name="Normal 6 3 2 2 2" xfId="2056" xr:uid="{00000000-0005-0000-0000-000062050000}"/>
    <cellStyle name="Normal 6 3 2 2 2 2" xfId="17831" xr:uid="{69A48F6C-1A82-4ADD-A1BC-5C24B6489015}"/>
    <cellStyle name="Normal 6 3 2 2 3" xfId="11076" xr:uid="{95E519DE-9DE3-490E-87B8-9524C532B6DD}"/>
    <cellStyle name="Normal 6 3 2 2 3 2" xfId="47747" xr:uid="{59D32853-0E74-4FB1-AEDE-704F09FE4119}"/>
    <cellStyle name="Normal 6 3 2 2 4" xfId="17830" xr:uid="{8A820FE8-0D5E-4E7F-9D8D-8BE29DE75492}"/>
    <cellStyle name="Normal 6 3 2 3" xfId="2057" xr:uid="{00000000-0005-0000-0000-000063050000}"/>
    <cellStyle name="Normal 6 3 2 3 2" xfId="26371" xr:uid="{9E8BCCCD-816B-43BF-B27B-C80C69AEC92A}"/>
    <cellStyle name="Normal 6 3 2 3 3" xfId="17832" xr:uid="{4E0A2E98-8945-4492-9153-FF85DCC3F5DC}"/>
    <cellStyle name="Normal 6 3 2 4" xfId="11075" xr:uid="{63401A67-F0EE-4D95-9A41-ED8E0596C39A}"/>
    <cellStyle name="Normal 6 3 2 4 2" xfId="26372" xr:uid="{B305B268-8265-4164-8E36-1177806E9859}"/>
    <cellStyle name="Normal 6 3 2 5" xfId="26373" xr:uid="{BECCF119-89A3-4D09-98A6-DE1CD1613830}"/>
    <cellStyle name="Normal 6 3 2 6" xfId="17829" xr:uid="{E93AF44F-F1CA-4398-BEAD-45C6DCE6C7A1}"/>
    <cellStyle name="Normal 6 3 3" xfId="10070" xr:uid="{9C475D89-F04F-405B-B2D4-A63624070335}"/>
    <cellStyle name="Normal 6 3 3 2" xfId="10382" xr:uid="{B8DB2697-7780-454A-BF54-5C80B56E1579}"/>
    <cellStyle name="Normal 6 3 3 2 2" xfId="12835" xr:uid="{59A42511-FB05-4A4C-B512-400A32030B85}"/>
    <cellStyle name="Normal 6 3 3 2 2 2" xfId="46361" xr:uid="{95F5FBED-4FD8-45C5-84DC-DB578A6FA5A0}"/>
    <cellStyle name="Normal 6 3 3 2 3" xfId="18927" xr:uid="{8397FF70-710E-4F3B-A7AF-997A1358F36E}"/>
    <cellStyle name="Normal 6 3 3 3" xfId="12145" xr:uid="{1085D662-D079-48AB-94DA-E40D447F35EE}"/>
    <cellStyle name="Normal 6 3 3 3 2" xfId="25105" xr:uid="{149B04BE-CD1E-4B90-BB4A-1DE62A3C45FC}"/>
    <cellStyle name="Normal 6 3 3 4" xfId="18550" xr:uid="{C28C2977-55C9-4095-9C20-2928C8FACB77}"/>
    <cellStyle name="Normal 6 3 4" xfId="10148" xr:uid="{379612C7-6C9D-4D18-9C29-22834E36D7D8}"/>
    <cellStyle name="Normal 6 3 4 2" xfId="10462" xr:uid="{63C08EBD-BD97-4707-87D7-29AC99D6F520}"/>
    <cellStyle name="Normal 6 3 4 2 2" xfId="12915" xr:uid="{3F5A5B75-441C-436B-A4B4-601C1D0ED8FD}"/>
    <cellStyle name="Normal 6 3 4 2 2 2" xfId="25041" xr:uid="{47BD88CD-44E2-44E2-A2CC-F513D3F7359A}"/>
    <cellStyle name="Normal 6 3 4 2 3" xfId="18969" xr:uid="{88FAD949-EC4E-48EF-A042-FECCFECEB43E}"/>
    <cellStyle name="Normal 6 3 4 3" xfId="12602" xr:uid="{C117E380-46FF-4392-9084-44B404E8B320}"/>
    <cellStyle name="Normal 6 3 4 3 2" xfId="47318" xr:uid="{07206F6A-851D-405A-96F6-312EE645372A}"/>
    <cellStyle name="Normal 6 3 4 4" xfId="18808" xr:uid="{E5BAAC09-0246-4BCE-A1F8-3BC8E42D4936}"/>
    <cellStyle name="Normal 6 3 5" xfId="10228" xr:uid="{70FF8ED0-5543-46D6-883B-978A693F8433}"/>
    <cellStyle name="Normal 6 3 5 2" xfId="12681" xr:uid="{D794CF9A-2F72-4A2F-82B5-BD10866AAC02}"/>
    <cellStyle name="Normal 6 3 5 2 2" xfId="26374" xr:uid="{5A1A46DD-A197-4D59-AF3E-CCA734C86062}"/>
    <cellStyle name="Normal 6 3 5 3" xfId="18849" xr:uid="{005ABF8A-407F-4801-92B8-1A2E18D2E040}"/>
    <cellStyle name="Normal 6 3 6" xfId="10542" xr:uid="{4902B039-B411-4AB3-BEC1-09A558B7F8F2}"/>
    <cellStyle name="Normal 6 3 6 2" xfId="12995" xr:uid="{1EE5C68A-5EA2-4A06-B427-52D1CA119A22}"/>
    <cellStyle name="Normal 6 3 6 2 2" xfId="26375" xr:uid="{DA3E9F0F-4A9D-433F-B510-093D765C42BE}"/>
    <cellStyle name="Normal 6 3 6 3" xfId="19011" xr:uid="{A0B40885-1F69-474C-B844-E207C575D009}"/>
    <cellStyle name="Normal 6 3 7" xfId="10610" xr:uid="{DEFE9A28-D569-4D64-A9CD-FBE3B85FFCF8}"/>
    <cellStyle name="Normal 6 3 7 2" xfId="26377" xr:uid="{50CFA442-3443-4A21-B131-29BE71A2863F}"/>
    <cellStyle name="Normal 6 3 7 3" xfId="26376" xr:uid="{C07332AA-3467-45F0-A138-515C9B9B15E4}"/>
    <cellStyle name="Normal 6 3 8" xfId="26378" xr:uid="{B9184DC7-8BC2-4113-BF56-CB11ADE90864}"/>
    <cellStyle name="Normal 6 3 9" xfId="26379" xr:uid="{034B3FE6-7E7C-45DE-880E-2A79325020B3}"/>
    <cellStyle name="Normal 6 4" xfId="2058" xr:uid="{00000000-0005-0000-0000-000064050000}"/>
    <cellStyle name="Normal 6 4 2" xfId="2059" xr:uid="{00000000-0005-0000-0000-000065050000}"/>
    <cellStyle name="Normal 6 4 2 2" xfId="10303" xr:uid="{8E1DDB58-E4E6-4BB7-9692-53873CF68BCE}"/>
    <cellStyle name="Normal 6 4 2 2 2" xfId="12756" xr:uid="{75A26AFC-77FA-4F7F-802A-6533FAA9D412}"/>
    <cellStyle name="Normal 6 4 2 2 2 2" xfId="26380" xr:uid="{2677EB2A-FE3E-4917-8DED-EB071223AAC0}"/>
    <cellStyle name="Normal 6 4 2 2 3" xfId="18886" xr:uid="{61E8405F-2FBE-4E68-B088-48D43A7BE319}"/>
    <cellStyle name="Normal 6 4 2 3" xfId="11078" xr:uid="{F0BA996F-2080-400E-8EDE-311A5155A06C}"/>
    <cellStyle name="Normal 6 4 2 3 2" xfId="26382" xr:uid="{B3A46E5A-1E4B-4915-A5EC-76332BF8D44F}"/>
    <cellStyle name="Normal 6 4 2 3 3" xfId="26381" xr:uid="{B6501462-323A-44EB-818E-15114F456DFF}"/>
    <cellStyle name="Normal 6 4 2 4" xfId="26383" xr:uid="{2114D988-20E7-4C9C-B58D-92CFB6681F8E}"/>
    <cellStyle name="Normal 6 4 2 5" xfId="17833" xr:uid="{D23E21A8-9C6B-4912-A547-152C44844AD8}"/>
    <cellStyle name="Normal 6 4 3" xfId="10069" xr:uid="{E54C84B3-8A60-4E31-8EC5-A3015DB600B2}"/>
    <cellStyle name="Normal 6 4 3 2" xfId="10381" xr:uid="{BEA7B2A0-6B60-4D13-BB6B-CB5168300F7C}"/>
    <cellStyle name="Normal 6 4 3 2 2" xfId="12834" xr:uid="{C5DC0C63-E065-46E8-A985-09881C32EADB}"/>
    <cellStyle name="Normal 6 4 3 2 2 2" xfId="48496" xr:uid="{5E59A3FB-9249-479F-8A1D-AC8AE64AD9CC}"/>
    <cellStyle name="Normal 6 4 3 2 3" xfId="18926" xr:uid="{FE9C42DC-4ABF-44F7-9456-76C030B9D4E9}"/>
    <cellStyle name="Normal 6 4 3 3" xfId="12146" xr:uid="{CCEF2DD4-DE2B-440F-81B7-67B1C371E6C5}"/>
    <cellStyle name="Normal 6 4 3 3 2" xfId="47522" xr:uid="{826E092B-5A1C-4F64-998A-0AAE6279164F}"/>
    <cellStyle name="Normal 6 4 3 4" xfId="18551" xr:uid="{63FD1A32-077C-42A2-AA30-6F034DFF13E3}"/>
    <cellStyle name="Normal 6 4 4" xfId="10147" xr:uid="{2B7D382F-581B-45D9-90CA-1A54886E186B}"/>
    <cellStyle name="Normal 6 4 4 2" xfId="10461" xr:uid="{75C5A3D3-3283-478A-A65B-14DF981DC0A0}"/>
    <cellStyle name="Normal 6 4 4 2 2" xfId="12914" xr:uid="{5850B6CB-56EF-402D-8594-76B80A8C96B8}"/>
    <cellStyle name="Normal 6 4 4 2 2 2" xfId="46369" xr:uid="{A771FBF4-33D4-4A80-A2B7-17C372D08FB6}"/>
    <cellStyle name="Normal 6 4 4 2 3" xfId="18968" xr:uid="{F313E93F-B335-4D1F-9E39-C491BB0D2547}"/>
    <cellStyle name="Normal 6 4 4 3" xfId="12601" xr:uid="{C0548005-C6CA-4CBF-A8D9-B03B47B64B97}"/>
    <cellStyle name="Normal 6 4 4 3 2" xfId="47758" xr:uid="{3080CF5C-34E3-45E5-ADCC-44346804B591}"/>
    <cellStyle name="Normal 6 4 4 4" xfId="18807" xr:uid="{3860A266-AAE4-4DA4-BE0F-A1631FABB721}"/>
    <cellStyle name="Normal 6 4 5" xfId="10227" xr:uid="{18C5A83C-FE51-4E6F-895E-2EDBBE6FA1A6}"/>
    <cellStyle name="Normal 6 4 5 2" xfId="12680" xr:uid="{576A0A46-AECB-4A48-83B3-FE79F4C73CC9}"/>
    <cellStyle name="Normal 6 4 5 2 2" xfId="26384" xr:uid="{7E02840C-DB11-4C89-A6E6-6B076D8DF276}"/>
    <cellStyle name="Normal 6 4 5 3" xfId="18848" xr:uid="{896A32CD-2262-4DE1-BA70-C048E351CDB4}"/>
    <cellStyle name="Normal 6 4 6" xfId="10541" xr:uid="{32E2F1BB-824A-4FA4-8741-E8D783451A0A}"/>
    <cellStyle name="Normal 6 4 6 2" xfId="12994" xr:uid="{DC528CE5-28A1-4139-B197-49FB0EC3A096}"/>
    <cellStyle name="Normal 6 4 6 2 2" xfId="26385" xr:uid="{9FFA5DBD-C6F0-4EBE-AF59-B138C3F5872A}"/>
    <cellStyle name="Normal 6 4 6 3" xfId="19010" xr:uid="{1F8B6F25-11AB-4081-8292-D28AD811564A}"/>
    <cellStyle name="Normal 6 4 7" xfId="11077" xr:uid="{79B20DCF-9365-4056-B398-A0DB65404188}"/>
    <cellStyle name="Normal 6 4 7 2" xfId="26386" xr:uid="{CE61761B-AB3A-4C3F-BEC5-685A7457C4A8}"/>
    <cellStyle name="Normal 6 4 8" xfId="26387" xr:uid="{54524788-8F24-4AE9-A1B6-359A8014DC6B}"/>
    <cellStyle name="Normal 6 4 9" xfId="16988" xr:uid="{A168CE59-B2CA-4B67-AA3C-D54D8EAAC31F}"/>
    <cellStyle name="Normal 6 5" xfId="2060" xr:uid="{00000000-0005-0000-0000-000066050000}"/>
    <cellStyle name="Normal 6 5 2" xfId="10289" xr:uid="{8FA67956-864D-4DED-95C5-B1C7E51F2CB3}"/>
    <cellStyle name="Normal 6 5 2 2" xfId="12742" xr:uid="{56CBE741-026D-41F6-81B6-FEC9225DE227}"/>
    <cellStyle name="Normal 6 5 2 2 2" xfId="26389" xr:uid="{14CFAFAD-A486-49FE-B2EA-DB0B04E644DB}"/>
    <cellStyle name="Normal 6 5 2 2 3" xfId="26388" xr:uid="{83D09A6B-53E6-4321-82DD-DECE4D2B1322}"/>
    <cellStyle name="Normal 6 5 2 3" xfId="26390" xr:uid="{A7C89D78-09FB-4179-8EEC-9EF2C14F2BE7}"/>
    <cellStyle name="Normal 6 5 2 3 2" xfId="26391" xr:uid="{DFF13529-0F78-48C9-8A70-B8676855C84E}"/>
    <cellStyle name="Normal 6 5 2 4" xfId="26392" xr:uid="{F60D5B1C-107E-4346-B5F6-0A7AF895FC46}"/>
    <cellStyle name="Normal 6 5 2 5" xfId="18877" xr:uid="{7C97A051-FE7C-4A3B-A085-ACA3FEDFFA6F}"/>
    <cellStyle name="Normal 6 5 3" xfId="11079" xr:uid="{563EA0D8-378B-4FC8-A1EA-15EF640D7FE6}"/>
    <cellStyle name="Normal 6 5 3 2" xfId="26394" xr:uid="{9E0DE7A6-5A74-4B5E-BD67-E6F216EBCD13}"/>
    <cellStyle name="Normal 6 5 3 3" xfId="26393" xr:uid="{30605F59-61AD-4748-920C-824A47B22D2A}"/>
    <cellStyle name="Normal 6 5 4" xfId="26395" xr:uid="{FD41804A-74AB-4189-BF7D-5A97B815CC63}"/>
    <cellStyle name="Normal 6 5 4 2" xfId="26396" xr:uid="{C3787F2D-4D23-4650-BFA9-266E942CE5D7}"/>
    <cellStyle name="Normal 6 5 5" xfId="26397" xr:uid="{AD805A88-ECBA-4156-99CA-22DFA1D007DC}"/>
    <cellStyle name="Normal 6 5 5 2" xfId="26398" xr:uid="{80F5F740-ABD3-4AD6-B798-9A122A374A75}"/>
    <cellStyle name="Normal 6 5 6" xfId="26399" xr:uid="{A617F684-E86E-4DFE-9725-70AD7A8A70FF}"/>
    <cellStyle name="Normal 6 5 7" xfId="26400" xr:uid="{A3336C83-962B-4285-84D5-D6F489B619DA}"/>
    <cellStyle name="Normal 6 5 8" xfId="17834" xr:uid="{1C6F0C99-778D-4742-AB70-3DF9ACB17860}"/>
    <cellStyle name="Normal 6 6" xfId="6971" xr:uid="{8B4346A7-17DA-465F-BCDC-6962E3534189}"/>
    <cellStyle name="Normal 6 6 2" xfId="10363" xr:uid="{0EF0D14F-B331-47C8-8E09-0B29983B9A3C}"/>
    <cellStyle name="Normal 6 6 2 2" xfId="12816" xr:uid="{768BB3AA-9F4C-4A1C-A444-4AE894EE91B4}"/>
    <cellStyle name="Normal 6 6 2 2 2" xfId="26402" xr:uid="{E4B8E7BE-2D96-4E63-912B-085D46E2AE9F}"/>
    <cellStyle name="Normal 6 6 2 2 3" xfId="26401" xr:uid="{13436F56-6D28-4DF0-BDCE-C934027DBB31}"/>
    <cellStyle name="Normal 6 6 2 3" xfId="26403" xr:uid="{AB1B95C7-04F8-4574-8FE8-8168C0EB6ADE}"/>
    <cellStyle name="Normal 6 6 2 3 2" xfId="26404" xr:uid="{F51D148D-9517-4A0E-A1B8-8004318C836B}"/>
    <cellStyle name="Normal 6 6 2 4" xfId="26405" xr:uid="{82375810-0F28-427A-8B76-A736D340C1E4}"/>
    <cellStyle name="Normal 6 6 2 5" xfId="18913" xr:uid="{971EC556-BD3C-467E-ACF8-9F770B688765}"/>
    <cellStyle name="Normal 6 6 3" xfId="12514" xr:uid="{E94E0211-84D9-4A72-B44B-1354910CFE83}"/>
    <cellStyle name="Normal 6 6 3 2" xfId="26407" xr:uid="{F8A391C9-DC04-48E4-A8D7-A91C0C0BE954}"/>
    <cellStyle name="Normal 6 6 3 3" xfId="26406" xr:uid="{3A2B67D5-B608-4A90-A584-FB56AB82E2D1}"/>
    <cellStyle name="Normal 6 6 4" xfId="26408" xr:uid="{71D76A10-CB35-4500-B5B7-5563C07A2C92}"/>
    <cellStyle name="Normal 6 6 4 2" xfId="26409" xr:uid="{68228758-28C3-417B-8697-5668645A43A9}"/>
    <cellStyle name="Normal 6 6 5" xfId="26410" xr:uid="{AF9E2812-24D8-4609-9F82-37ED7234FA19}"/>
    <cellStyle name="Normal 6 6 5 2" xfId="26411" xr:uid="{3E7A12F8-D0A8-49AD-8840-21757F2E7BED}"/>
    <cellStyle name="Normal 6 6 6" xfId="26412" xr:uid="{686F323E-2938-46D5-A531-14B9E13C001A}"/>
    <cellStyle name="Normal 6 6 7" xfId="18763" xr:uid="{691202EE-E9AF-4A53-A46E-ED599FB7FCC5}"/>
    <cellStyle name="Normal 6 6 8" xfId="10055" xr:uid="{8948630A-4AC9-491A-B7B7-000C6E50727E}"/>
    <cellStyle name="Normal 6 7" xfId="10129" xr:uid="{BDD2A34F-E3DA-42EF-AC0C-8DA02CA709E6}"/>
    <cellStyle name="Normal 6 7 2" xfId="10443" xr:uid="{4AD616B7-D134-4439-80FF-F098326A4303}"/>
    <cellStyle name="Normal 6 7 2 2" xfId="12896" xr:uid="{FEF5855E-6C13-4D98-A8AA-94CCAF9283EC}"/>
    <cellStyle name="Normal 6 7 2 2 2" xfId="26414" xr:uid="{3465426A-6E83-4584-B27A-5E8496E9A7A0}"/>
    <cellStyle name="Normal 6 7 2 2 3" xfId="26413" xr:uid="{D7BC1A91-74B6-4A36-A2A0-B0771E24BA68}"/>
    <cellStyle name="Normal 6 7 2 3" xfId="26415" xr:uid="{9D495409-7965-4D2F-ADFB-83A93F3958C5}"/>
    <cellStyle name="Normal 6 7 2 3 2" xfId="26416" xr:uid="{C19CAC34-FD7C-4E7E-B5FA-4565884D65E0}"/>
    <cellStyle name="Normal 6 7 2 4" xfId="26417" xr:uid="{65265849-C2AA-4141-8BDB-1FA6490E0208}"/>
    <cellStyle name="Normal 6 7 2 5" xfId="18955" xr:uid="{FF86B0F8-21D0-4555-96A6-B654A5DA6B0C}"/>
    <cellStyle name="Normal 6 7 3" xfId="12586" xr:uid="{96EB0ABF-3F59-415C-85A7-983ED2242C94}"/>
    <cellStyle name="Normal 6 7 3 2" xfId="26419" xr:uid="{36B27C1A-7121-4076-8FB8-A03BACF15C55}"/>
    <cellStyle name="Normal 6 7 3 3" xfId="26418" xr:uid="{8152E69B-A70C-4356-8F2E-2DDCE39E2DDB}"/>
    <cellStyle name="Normal 6 7 4" xfId="26420" xr:uid="{61879B0F-B9A3-4F2C-B653-1111BE2792D4}"/>
    <cellStyle name="Normal 6 7 4 2" xfId="26421" xr:uid="{61A93638-9266-47F9-9EFD-44CAF8C9D017}"/>
    <cellStyle name="Normal 6 7 5" xfId="26422" xr:uid="{975616A6-94EA-45D1-BACD-0D3CCE8ADE6D}"/>
    <cellStyle name="Normal 6 7 5 2" xfId="26423" xr:uid="{383C0101-5A9B-4D2D-A91A-8A1E2D20DB9E}"/>
    <cellStyle name="Normal 6 7 6" xfId="26424" xr:uid="{DF4E975F-7013-403A-AF22-DD5CD0CF69A9}"/>
    <cellStyle name="Normal 6 7 7" xfId="18797" xr:uid="{D94BEC1D-DA57-48FA-9522-81ABF501A583}"/>
    <cellStyle name="Normal 6 8" xfId="10209" xr:uid="{48D2E025-C2B7-4E88-9D70-68C20FDEC7FA}"/>
    <cellStyle name="Normal 6 8 2" xfId="12662" xr:uid="{C822F596-33EE-4867-8863-CD90012BAE90}"/>
    <cellStyle name="Normal 6 8 2 2" xfId="26426" xr:uid="{0E1E89F3-C76C-457F-BE58-FAD069FC93D9}"/>
    <cellStyle name="Normal 6 8 2 3" xfId="26425" xr:uid="{9424A334-990A-47B4-B6C4-68921FA44C57}"/>
    <cellStyle name="Normal 6 8 3" xfId="26427" xr:uid="{55D2E8C9-CAC9-4CE5-8184-3136265D58DE}"/>
    <cellStyle name="Normal 6 8 3 2" xfId="26428" xr:uid="{71EF1CEA-956C-4F2B-BA66-95CD2E6A1D38}"/>
    <cellStyle name="Normal 6 8 4" xfId="26429" xr:uid="{5556CD0E-2F32-472D-AED9-28B679843923}"/>
    <cellStyle name="Normal 6 8 5" xfId="18835" xr:uid="{20C51072-6B69-40C9-871A-A9E1395C9BC0}"/>
    <cellStyle name="Normal 6 9" xfId="10523" xr:uid="{813A251D-D6BF-432D-8A47-F74BDE5D2E04}"/>
    <cellStyle name="Normal 6 9 2" xfId="12976" xr:uid="{54324D75-33E5-4E94-9FA3-75DC5F60A187}"/>
    <cellStyle name="Normal 6 9 2 2" xfId="26431" xr:uid="{06747E47-4D17-48F2-A019-65B9801E850B}"/>
    <cellStyle name="Normal 6 9 2 3" xfId="26430" xr:uid="{F911045E-07B7-45B8-B83B-9A1E86BFAF01}"/>
    <cellStyle name="Normal 6 9 3" xfId="26432" xr:uid="{006029F3-AE81-40A6-86DE-E419D4A46E6E}"/>
    <cellStyle name="Normal 6 9 4" xfId="18997" xr:uid="{CA24DEAC-B6B4-4574-BD41-2E64456AF45D}"/>
    <cellStyle name="Normal 60" xfId="47377" xr:uid="{DF2D57BF-BC59-45F1-BAF7-2703EA455FDC}"/>
    <cellStyle name="Normal 61" xfId="48251" xr:uid="{282DCB4B-FF59-48E6-AD68-023D913938FE}"/>
    <cellStyle name="Normal 62" xfId="46659" xr:uid="{864DD4AC-6158-4164-9CDC-89583BE19741}"/>
    <cellStyle name="Normal 63" xfId="47086" xr:uid="{2955FC5A-D292-4C29-A612-8D44416F0072}"/>
    <cellStyle name="Normal 64" xfId="47420" xr:uid="{60D62603-170C-4F9E-B31B-87B0ED52BF26}"/>
    <cellStyle name="Normal 65" xfId="49787" xr:uid="{8967BE25-767B-4C3F-AD09-DCA8A64B5159}"/>
    <cellStyle name="Normal 66" xfId="52802" xr:uid="{456E5176-DF68-4EE0-B2E9-91CB75ED3596}"/>
    <cellStyle name="Normal 67" xfId="52856" xr:uid="{6B60E35B-9A1B-4769-A2E4-FA886956D044}"/>
    <cellStyle name="Normal 68" xfId="15938" xr:uid="{5DECD1E5-7A00-4393-9A67-B06FF4EA45AA}"/>
    <cellStyle name="Normal 69" xfId="55818" xr:uid="{D931C62E-F484-4422-9861-063264948975}"/>
    <cellStyle name="Normal 7" xfId="574" xr:uid="{00000000-0005-0000-0000-000067050000}"/>
    <cellStyle name="Normal 7 10" xfId="26433" xr:uid="{0A60B9F6-7B5A-4E05-ADD6-1D8B5F4E8339}"/>
    <cellStyle name="Normal 7 2" xfId="575" xr:uid="{00000000-0005-0000-0000-000068050000}"/>
    <cellStyle name="Normal 7 2 2" xfId="12147" xr:uid="{48EAB45B-F868-4BE2-BC8F-8DE573F274F3}"/>
    <cellStyle name="Normal 7 2 2 2" xfId="26436" xr:uid="{9D97A880-7519-4552-9791-E4FB2E2C4CB5}"/>
    <cellStyle name="Normal 7 2 2 2 2" xfId="48973" xr:uid="{53F4BB7C-BB78-41B4-8516-B0E73631109C}"/>
    <cellStyle name="Normal 7 2 2 3" xfId="26437" xr:uid="{B3141F78-D837-4A5B-9BCD-9D738777EE41}"/>
    <cellStyle name="Normal 7 2 2 4" xfId="26438" xr:uid="{EDFB468B-E565-4C76-BA9B-F752AD150077}"/>
    <cellStyle name="Normal 7 2 2 5" xfId="26435" xr:uid="{286638B5-A80F-4801-9163-099023772AB0}"/>
    <cellStyle name="Normal 7 2 2 6" xfId="48972" xr:uid="{126638AD-534E-4545-99E5-08324F65E010}"/>
    <cellStyle name="Normal 7 2 3" xfId="11488" xr:uid="{089021D9-763A-44C4-BB4F-01F7B4EDDB0E}"/>
    <cellStyle name="Normal 7 2 3 2" xfId="26440" xr:uid="{9B651D8F-9156-4BDD-986D-60411744607C}"/>
    <cellStyle name="Normal 7 2 3 2 2" xfId="26441" xr:uid="{54892DF3-9DF9-4966-B1A2-A9A2E9D51E1D}"/>
    <cellStyle name="Normal 7 2 3 3" xfId="26442" xr:uid="{DD48B2E4-DE69-40A2-826E-1DFF9A4BADFF}"/>
    <cellStyle name="Normal 7 2 3 4" xfId="26439" xr:uid="{E8E2575C-AA44-43F3-8B2A-BC58B4BC0448}"/>
    <cellStyle name="Normal 7 2 4" xfId="26443" xr:uid="{A0BF5C59-C39C-4F92-BC95-70B4481AA48E}"/>
    <cellStyle name="Normal 7 2 4 2" xfId="48974" xr:uid="{A65D60A6-F1CD-4429-8129-2704C03DD292}"/>
    <cellStyle name="Normal 7 2 5" xfId="26444" xr:uid="{BD1D00C9-257F-4B9E-93EB-85EDEA78155A}"/>
    <cellStyle name="Normal 7 2 6" xfId="26445" xr:uid="{F39C00CF-23A3-4DB4-93B8-A8A9888B229D}"/>
    <cellStyle name="Normal 7 2 7" xfId="26434" xr:uid="{F9536466-B65F-4A1B-90AD-C41294DC48B5}"/>
    <cellStyle name="Normal 7 3" xfId="576" xr:uid="{00000000-0005-0000-0000-000069050000}"/>
    <cellStyle name="Normal 7 3 2" xfId="2061" xr:uid="{00000000-0005-0000-0000-00006A050000}"/>
    <cellStyle name="Normal 7 3 2 2" xfId="2062" xr:uid="{00000000-0005-0000-0000-00006B050000}"/>
    <cellStyle name="Normal 7 3 2 2 2" xfId="17836" xr:uid="{1A23F4CE-D8B6-4281-ABFA-40A879D56E98}"/>
    <cellStyle name="Normal 7 3 2 3" xfId="17835" xr:uid="{21D69EE0-BF65-4438-A9C3-7EE9FD042D58}"/>
    <cellStyle name="Normal 7 3 3" xfId="2063" xr:uid="{00000000-0005-0000-0000-00006C050000}"/>
    <cellStyle name="Normal 7 3 3 2" xfId="26446" xr:uid="{22636D6D-B1E8-4C45-A4E1-788CE1F0D943}"/>
    <cellStyle name="Normal 7 3 3 3" xfId="17837" xr:uid="{6BCCD087-2D98-4178-B7A1-82CD743635A5}"/>
    <cellStyle name="Normal 7 3 4" xfId="26447" xr:uid="{63D9695A-153D-47DF-91CE-060A9DFC90E7}"/>
    <cellStyle name="Normal 7 3 4 2" xfId="26448" xr:uid="{B4DA271A-FCDE-4C1A-BF8A-9430179A39A9}"/>
    <cellStyle name="Normal 7 3 5" xfId="26449" xr:uid="{0A77C418-99C6-4890-A172-0BC4598B8D5A}"/>
    <cellStyle name="Normal 7 4" xfId="4089" xr:uid="{29E4B45E-5ECC-409A-A027-13BD41D9D817}"/>
    <cellStyle name="Normal 7 4 2" xfId="26451" xr:uid="{030DC6D0-839C-44C7-A5D1-1ED444B8D9F7}"/>
    <cellStyle name="Normal 7 4 2 2" xfId="26452" xr:uid="{27197995-0510-4343-A0B7-FD1794220897}"/>
    <cellStyle name="Normal 7 4 3" xfId="26453" xr:uid="{CDA3FD78-746B-4FE8-9958-F0C40938683D}"/>
    <cellStyle name="Normal 7 4 3 2" xfId="26454" xr:uid="{2B953990-0EA6-4942-B31A-BE9A7F773032}"/>
    <cellStyle name="Normal 7 4 4" xfId="26455" xr:uid="{80D90590-CE09-4A7F-8B5A-8CD141CD1A96}"/>
    <cellStyle name="Normal 7 4 5" xfId="26450" xr:uid="{1BA0485F-995A-46FE-912B-40C8E2E8CC46}"/>
    <cellStyle name="Normal 7 5" xfId="26456" xr:uid="{4D4DB772-FCA6-4363-B627-D4365EF07CD6}"/>
    <cellStyle name="Normal 7 5 2" xfId="26457" xr:uid="{85A7C645-FDED-4BE0-8CD7-69F418C8679E}"/>
    <cellStyle name="Normal 7 6" xfId="26458" xr:uid="{1A41C6FC-EC9B-4E5B-871B-5EEFC4FF8EC0}"/>
    <cellStyle name="Normal 7 6 2" xfId="26459" xr:uid="{7E8A52A5-C87B-424F-8B33-81BA6D235A38}"/>
    <cellStyle name="Normal 7 7" xfId="26460" xr:uid="{6962534F-5ECA-4282-A82C-7CFBD5A05371}"/>
    <cellStyle name="Normal 7 7 2" xfId="26461" xr:uid="{4713DDB2-824B-4837-B45D-4C966B529FAF}"/>
    <cellStyle name="Normal 7 8" xfId="26462" xr:uid="{E292AE8C-0188-494F-888F-6A4B05176325}"/>
    <cellStyle name="Normal 7 8 2" xfId="26463" xr:uid="{13A7D4D7-EE91-4801-8B1A-A4546AFBE8E1}"/>
    <cellStyle name="Normal 7 9" xfId="26464" xr:uid="{260EEADE-AAC5-4020-8521-3FB345D846B5}"/>
    <cellStyle name="Normal 70" xfId="6980" xr:uid="{A0BB5359-37AC-431F-A43B-5A746E9EE210}"/>
    <cellStyle name="Normal 72" xfId="55821" xr:uid="{690D8D4A-6C7D-4CB1-B8AC-A2DBD7C6B101}"/>
    <cellStyle name="Normal 8" xfId="577" xr:uid="{00000000-0005-0000-0000-00006D050000}"/>
    <cellStyle name="Normal 8 2" xfId="578" xr:uid="{00000000-0005-0000-0000-00006E050000}"/>
    <cellStyle name="Normal 8 2 2" xfId="2064" xr:uid="{00000000-0005-0000-0000-00006F050000}"/>
    <cellStyle name="Normal 8 2 2 2" xfId="2065" xr:uid="{00000000-0005-0000-0000-000070050000}"/>
    <cellStyle name="Normal 8 2 2 2 2" xfId="2066" xr:uid="{00000000-0005-0000-0000-000071050000}"/>
    <cellStyle name="Normal 8 2 2 2 2 2" xfId="11082" xr:uid="{CB1B1BA2-7ACF-410E-9681-D855CE1DCF52}"/>
    <cellStyle name="Normal 8 2 2 2 2 2 2" xfId="46720" xr:uid="{F7D78A7E-9E13-4A6B-A0AB-7C81E42A64E7}"/>
    <cellStyle name="Normal 8 2 2 2 2 3" xfId="17840" xr:uid="{417993D1-1791-4DE1-ABE0-074F2A769826}"/>
    <cellStyle name="Normal 8 2 2 2 3" xfId="11081" xr:uid="{2F986DD7-BB98-4E11-B650-2395B5483DE0}"/>
    <cellStyle name="Normal 8 2 2 2 3 2" xfId="47221" xr:uid="{FEB3699E-3849-4D4F-AD1D-C971D5F9CFBD}"/>
    <cellStyle name="Normal 8 2 2 2 4" xfId="17839" xr:uid="{747511E6-044B-49DC-ADBC-3DC64CDA1DE5}"/>
    <cellStyle name="Normal 8 2 2 3" xfId="2067" xr:uid="{00000000-0005-0000-0000-000072050000}"/>
    <cellStyle name="Normal 8 2 2 3 2" xfId="10438" xr:uid="{3ECFF2DA-B5FE-41A1-ADEE-21F314A570B6}"/>
    <cellStyle name="Normal 8 2 2 3 2 2" xfId="12891" xr:uid="{99CAD355-9A8B-4CD0-B91E-366420F7F9E7}"/>
    <cellStyle name="Normal 8 2 2 3 2 2 2" xfId="48110" xr:uid="{ABEF63A4-C443-4830-A67A-CD257F3626FC}"/>
    <cellStyle name="Normal 8 2 2 3 2 3" xfId="18950" xr:uid="{6A01524C-4D29-41A9-B9B4-772A9DBD0828}"/>
    <cellStyle name="Normal 8 2 2 3 3" xfId="11083" xr:uid="{886A7AAE-F399-40BD-8C2E-5C59A99211A2}"/>
    <cellStyle name="Normal 8 2 2 3 3 2" xfId="47457" xr:uid="{9A95FB72-8C7C-4A24-A7EE-CC1F085556B6}"/>
    <cellStyle name="Normal 8 2 2 3 4" xfId="17841" xr:uid="{7600C262-86E0-4CEA-9EA8-3ED44604D075}"/>
    <cellStyle name="Normal 8 2 2 4" xfId="10204" xr:uid="{D95A78DB-C421-4F61-B554-F715C8BA2476}"/>
    <cellStyle name="Normal 8 2 2 4 2" xfId="10518" xr:uid="{BEF6C333-FF98-42BF-AF29-2B2AB8AF9E43}"/>
    <cellStyle name="Normal 8 2 2 4 2 2" xfId="12971" xr:uid="{19DF8EE1-B132-4249-893F-FE6427ED08D7}"/>
    <cellStyle name="Normal 8 2 2 4 2 2 2" xfId="46378" xr:uid="{6200E318-F82D-497E-B0D6-59CED374A715}"/>
    <cellStyle name="Normal 8 2 2 4 2 3" xfId="18992" xr:uid="{52C0E963-51C2-4D98-958B-2EA80B40551C}"/>
    <cellStyle name="Normal 8 2 2 4 3" xfId="12148" xr:uid="{D260ACC9-52DC-4B19-8B05-CD6322DEFACF}"/>
    <cellStyle name="Normal 8 2 2 4 3 2" xfId="47161" xr:uid="{1A0B4350-7CB7-47B3-8118-AA62C9EBE931}"/>
    <cellStyle name="Normal 8 2 2 4 4" xfId="18552" xr:uid="{D4ED6C5C-84D2-4DB7-930F-9C468891882A}"/>
    <cellStyle name="Normal 8 2 2 5" xfId="10284" xr:uid="{DCB99F5D-3E67-470E-B6DB-159D7ACCD8B9}"/>
    <cellStyle name="Normal 8 2 2 5 2" xfId="12737" xr:uid="{B61F9311-3ABE-47C0-88AF-7198C495047C}"/>
    <cellStyle name="Normal 8 2 2 5 2 2" xfId="47989" xr:uid="{4988269A-43CA-4A21-BAF8-258C1FD84370}"/>
    <cellStyle name="Normal 8 2 2 5 3" xfId="18872" xr:uid="{DEDF9B36-8837-4212-BB5F-E7A9B168979B}"/>
    <cellStyle name="Normal 8 2 2 6" xfId="10598" xr:uid="{4F594B56-2146-4779-B323-B1C37C157C23}"/>
    <cellStyle name="Normal 8 2 2 6 2" xfId="13051" xr:uid="{FF185220-A97B-4E22-A15B-EB5D290FC610}"/>
    <cellStyle name="Normal 8 2 2 6 2 2" xfId="47327" xr:uid="{77A88CC1-AFFA-4220-9026-9443B5FDC18F}"/>
    <cellStyle name="Normal 8 2 2 6 3" xfId="19034" xr:uid="{C084F1E8-6067-4C45-B250-4CD1C92832B1}"/>
    <cellStyle name="Normal 8 2 2 7" xfId="11080" xr:uid="{DB4C0ED5-F7E0-434A-B2EF-C2BADDE2983B}"/>
    <cellStyle name="Normal 8 2 2 7 2" xfId="25170" xr:uid="{B24ABF8B-1CF9-435D-8154-634BDA525A34}"/>
    <cellStyle name="Normal 8 2 2 8" xfId="17838" xr:uid="{D318347C-B4A6-47FE-A975-EA13B2E6DF5F}"/>
    <cellStyle name="Normal 8 2 3" xfId="9879" xr:uid="{BE3E7035-B716-4EF3-8755-9470C9457CFC}"/>
    <cellStyle name="Normal 8 2 3 2" xfId="10305" xr:uid="{190BE5E1-846E-4E96-8561-62FBBBE8F5E9}"/>
    <cellStyle name="Normal 8 2 3 2 2" xfId="12758" xr:uid="{4BBDEDE3-BF4B-43F4-A701-009C0FB8B985}"/>
    <cellStyle name="Normal 8 2 3 2 2 2" xfId="48051" xr:uid="{AF619FC9-576B-4625-B7CD-1D0B49C1B2D9}"/>
    <cellStyle name="Normal 8 2 3 2 3" xfId="18888" xr:uid="{73A9E24F-74CD-4256-A477-DCA22956483F}"/>
    <cellStyle name="Normal 8 2 3 3" xfId="12149" xr:uid="{2AB76305-B645-4660-BC21-7E6911FC194D}"/>
    <cellStyle name="Normal 8 2 3 3 2" xfId="26465" xr:uid="{F02E2129-C793-4017-9566-B4C5278A37F5}"/>
    <cellStyle name="Normal 8 2 3 4" xfId="18553" xr:uid="{7FEFE07B-0B75-4BD5-B98A-7A979A532D1F}"/>
    <cellStyle name="Normal 8 2 4" xfId="10072" xr:uid="{6B922791-70F3-4860-BCD4-0A96616BCF39}"/>
    <cellStyle name="Normal 8 2 4 2" xfId="10384" xr:uid="{EE7D9FEF-6C3A-4364-8181-50A6AB94ED52}"/>
    <cellStyle name="Normal 8 2 4 2 2" xfId="12837" xr:uid="{BDE9DCB7-0458-45ED-BC61-7DB6E438B778}"/>
    <cellStyle name="Normal 8 2 4 2 2 2" xfId="24479" xr:uid="{9603E27C-9046-4E4F-AEF6-A974DF6E9601}"/>
    <cellStyle name="Normal 8 2 4 2 3" xfId="18929" xr:uid="{AB9BEC53-EBB0-41CF-A335-7EFFF55B5AF0}"/>
    <cellStyle name="Normal 8 2 4 3" xfId="12529" xr:uid="{C3D04978-607C-41E9-A9CB-45C13580829E}"/>
    <cellStyle name="Normal 8 2 4 3 2" xfId="46319" xr:uid="{3B89B05D-611B-4EA8-8325-D609563EFEF3}"/>
    <cellStyle name="Normal 8 2 4 4" xfId="18773" xr:uid="{D53D7925-CACC-4518-86CA-05884EFA1ADE}"/>
    <cellStyle name="Normal 8 2 5" xfId="10150" xr:uid="{BAE3663F-D168-47B9-9435-123997C4792E}"/>
    <cellStyle name="Normal 8 2 5 2" xfId="10464" xr:uid="{9D80DFFA-7BED-45D9-A3CD-2B6A88261904}"/>
    <cellStyle name="Normal 8 2 5 2 2" xfId="12917" xr:uid="{C589C281-0F5B-48CC-A4EF-6FAADB92BB7F}"/>
    <cellStyle name="Normal 8 2 5 2 2 2" xfId="46811" xr:uid="{06979C03-69FB-4AE9-850D-3F639516382B}"/>
    <cellStyle name="Normal 8 2 5 2 3" xfId="18971" xr:uid="{959144B5-3A62-4ADF-93E4-FB3B66239233}"/>
    <cellStyle name="Normal 8 2 5 3" xfId="12604" xr:uid="{8500877E-EA07-40C9-B7BC-B89EF90500BD}"/>
    <cellStyle name="Normal 8 2 5 3 2" xfId="47016" xr:uid="{89F61657-9484-4D39-8F13-2D8032F9B368}"/>
    <cellStyle name="Normal 8 2 5 4" xfId="18810" xr:uid="{BCD1D9FE-DAD2-4514-BFA7-3A2188A2DA0F}"/>
    <cellStyle name="Normal 8 2 6" xfId="10230" xr:uid="{5F1598C3-905D-419A-BC98-F3B9DDDE2A90}"/>
    <cellStyle name="Normal 8 2 6 2" xfId="12683" xr:uid="{2B45560D-29B6-4770-B96C-228B3C11694A}"/>
    <cellStyle name="Normal 8 2 6 2 2" xfId="48141" xr:uid="{024DAC7E-F0E2-4ADC-BBD3-A1FA379D70DD}"/>
    <cellStyle name="Normal 8 2 6 3" xfId="18851" xr:uid="{17439E58-E06F-4070-A07F-FBD1857AE3C5}"/>
    <cellStyle name="Normal 8 2 7" xfId="10544" xr:uid="{19B905A4-72EF-4D24-ACC2-EDBCC1A57E91}"/>
    <cellStyle name="Normal 8 2 7 2" xfId="12997" xr:uid="{EB600B75-ABE5-4227-B2F7-75EE960369D9}"/>
    <cellStyle name="Normal 8 2 7 2 2" xfId="46381" xr:uid="{A45858F2-9126-4452-81A1-9EAA857E6C0F}"/>
    <cellStyle name="Normal 8 2 7 3" xfId="19013" xr:uid="{A874EBE3-ACDB-43C4-872D-CE5995E22C03}"/>
    <cellStyle name="Normal 8 2 8" xfId="10612" xr:uid="{B52AC69B-6F95-488B-AF97-786B7CA1C6DA}"/>
    <cellStyle name="Normal 8 2 8 2" xfId="46159" xr:uid="{431B0032-7568-4176-9566-C3682F590C8F}"/>
    <cellStyle name="Normal 8 2 9" xfId="16989" xr:uid="{3AEA64ED-E62A-437F-8B88-715B33E980A3}"/>
    <cellStyle name="Normal 8 3" xfId="579" xr:uid="{00000000-0005-0000-0000-000073050000}"/>
    <cellStyle name="Normal 8 3 2" xfId="12150" xr:uid="{17854968-3F09-4A5F-A9BA-B7E09C2CCF74}"/>
    <cellStyle name="Normal 8 3 2 2" xfId="14071" xr:uid="{F1999DFD-6C5B-41AD-99CA-83E58606AB8A}"/>
    <cellStyle name="Normal 8 3 2 2 2" xfId="26468" xr:uid="{3ECDB313-9626-4E84-9A45-0EF07C3AFEA7}"/>
    <cellStyle name="Normal 8 3 2 3" xfId="26467" xr:uid="{FCB94746-CDA0-4083-8CC3-E5263CD214D7}"/>
    <cellStyle name="Normal 8 3 3" xfId="26469" xr:uid="{77811CDB-B2B5-4C64-9659-5A2AAF3CC9B4}"/>
    <cellStyle name="Normal 8 3 3 2" xfId="26470" xr:uid="{1EB8FD36-BE71-44E0-A881-B05E74E86951}"/>
    <cellStyle name="Normal 8 3 4" xfId="26471" xr:uid="{03BBBDEF-2A2D-43C9-9D69-4E66AE1DE678}"/>
    <cellStyle name="Normal 8 3 5" xfId="26472" xr:uid="{A51A18CB-2241-4389-8D3B-47AD2DAA20E3}"/>
    <cellStyle name="Normal 8 3 6" xfId="26473" xr:uid="{6C6F343B-DCF0-41AC-92DB-1DF605D97AF6}"/>
    <cellStyle name="Normal 8 3 7" xfId="26466" xr:uid="{38CF106E-8BA9-4CD9-AA3C-FBDB58A52AD4}"/>
    <cellStyle name="Normal 8 4" xfId="4090" xr:uid="{1C3B8848-506F-4067-8C6C-B7CD2EF24ACC}"/>
    <cellStyle name="Normal 8 4 2" xfId="26475" xr:uid="{A316A215-B2A0-4071-90B3-215468DA9138}"/>
    <cellStyle name="Normal 8 4 3" xfId="26474" xr:uid="{E948F184-9078-4708-AB5A-F76DF2ED3642}"/>
    <cellStyle name="Normal 8 5" xfId="8071" xr:uid="{0ADAD2C6-0344-4189-ADCF-CEBDE01CAB67}"/>
    <cellStyle name="Normal 8 5 2" xfId="9878" xr:uid="{FDBCCF74-5594-4AE9-A6F5-4A71393E6731}"/>
    <cellStyle name="Normal 8 5 2 2" xfId="10304" xr:uid="{8A2BF9BE-B0FE-4B96-94B2-4B28BCD08349}"/>
    <cellStyle name="Normal 8 5 2 2 2" xfId="12757" xr:uid="{9413CF4A-8180-45D5-8D4A-37BB62C70995}"/>
    <cellStyle name="Normal 8 5 2 2 2 2" xfId="46789" xr:uid="{631E1F2E-AED1-4D60-9005-D00D7A517B4D}"/>
    <cellStyle name="Normal 8 5 2 2 3" xfId="18887" xr:uid="{647E9590-9D9B-4BD1-8147-8AE5D4CD7BB8}"/>
    <cellStyle name="Normal 8 5 2 3" xfId="12457" xr:uid="{65D22D6C-8BF3-4C3B-A875-319D9E1B29D7}"/>
    <cellStyle name="Normal 8 5 2 3 2" xfId="46662" xr:uid="{4626EE72-81DD-4B15-8D51-1B8A7610A21F}"/>
    <cellStyle name="Normal 8 5 2 4" xfId="18739" xr:uid="{F6D8E0C0-9B8E-4B89-A6F5-047CE1E25C8E}"/>
    <cellStyle name="Normal 8 5 3" xfId="10071" xr:uid="{5F8DE068-47E4-4BED-9953-D368A74F781D}"/>
    <cellStyle name="Normal 8 5 3 2" xfId="10383" xr:uid="{CDE92345-2F85-49E1-9DD2-717BF19DFEA9}"/>
    <cellStyle name="Normal 8 5 3 2 2" xfId="12836" xr:uid="{5E6040EE-468D-4077-B21C-BFCDBDA04130}"/>
    <cellStyle name="Normal 8 5 3 2 2 2" xfId="47021" xr:uid="{DD1E83BC-47AD-4DD8-96BA-739D71F59068}"/>
    <cellStyle name="Normal 8 5 3 2 3" xfId="18928" xr:uid="{47790DBF-29C3-4DBC-848F-486F5AE38265}"/>
    <cellStyle name="Normal 8 5 3 3" xfId="12528" xr:uid="{E8C99E73-F5BC-4A97-A2ED-E055274481F0}"/>
    <cellStyle name="Normal 8 5 3 3 2" xfId="24219" xr:uid="{168BD876-D34D-4069-9D26-F89D2CBB1FED}"/>
    <cellStyle name="Normal 8 5 3 4" xfId="18772" xr:uid="{4FED5467-BCD7-42FE-8C0C-CEAFB136D907}"/>
    <cellStyle name="Normal 8 5 4" xfId="10149" xr:uid="{D12A06CD-8BE8-46C0-BFB5-F1E28AAA88B5}"/>
    <cellStyle name="Normal 8 5 4 2" xfId="10463" xr:uid="{5F39F319-6810-4667-B7C2-53A3328CA016}"/>
    <cellStyle name="Normal 8 5 4 2 2" xfId="12916" xr:uid="{37168783-089B-421D-AF69-7C801B02EF44}"/>
    <cellStyle name="Normal 8 5 4 2 2 2" xfId="48109" xr:uid="{3EA2C0BC-F277-41AA-B3A3-B5C51897FFD6}"/>
    <cellStyle name="Normal 8 5 4 2 3" xfId="18970" xr:uid="{F0F75265-60D4-4DEA-BD1A-C151E65631B8}"/>
    <cellStyle name="Normal 8 5 4 3" xfId="12603" xr:uid="{091FCEBC-D33E-46F0-96C3-DB11E91A5816}"/>
    <cellStyle name="Normal 8 5 4 3 2" xfId="46328" xr:uid="{4B202ECF-7CB2-4721-9355-C23984B3553D}"/>
    <cellStyle name="Normal 8 5 4 4" xfId="18809" xr:uid="{CC460B56-E975-4D58-BF58-F5E4340154F8}"/>
    <cellStyle name="Normal 8 5 5" xfId="10229" xr:uid="{AA256D91-E6A7-4C63-95E4-5345F99563CF}"/>
    <cellStyle name="Normal 8 5 5 2" xfId="12682" xr:uid="{883AFF74-3F90-493E-97FE-BE4A2713EC03}"/>
    <cellStyle name="Normal 8 5 5 2 2" xfId="47451" xr:uid="{5ADD9018-B84C-4DE4-8372-0BB371311399}"/>
    <cellStyle name="Normal 8 5 5 3" xfId="18850" xr:uid="{321C26E1-9242-4C93-984E-A59DBE2D929A}"/>
    <cellStyle name="Normal 8 5 6" xfId="10543" xr:uid="{7C0D61B3-8EDB-46FD-A406-491C95CF9318}"/>
    <cellStyle name="Normal 8 5 6 2" xfId="12996" xr:uid="{BCF6E3FC-BC28-4DB7-BAB0-7BCEE2D170D9}"/>
    <cellStyle name="Normal 8 5 6 2 2" xfId="47963" xr:uid="{EAB58E3F-6D53-43E2-B5BF-E5F8B390A30F}"/>
    <cellStyle name="Normal 8 5 6 3" xfId="19012" xr:uid="{0EDAB7BF-207B-48D5-89F9-36225A01AAE3}"/>
    <cellStyle name="Normal 8 5 7" xfId="11662" xr:uid="{BBFCA1C6-3528-4EDF-B205-42A017717E18}"/>
    <cellStyle name="Normal 8 5 7 2" xfId="32338" xr:uid="{2938418F-8041-42E8-836A-852BFB19C309}"/>
    <cellStyle name="Normal 8 5 8" xfId="16990" xr:uid="{22993E2E-927D-4683-95BF-F4F9AF18FEF7}"/>
    <cellStyle name="Normal 8 6" xfId="10611" xr:uid="{1B020316-DB53-466B-B8FF-FA374DEE0783}"/>
    <cellStyle name="Normal 8 6 2" xfId="26477" xr:uid="{16526E75-A083-4717-9B44-258E5BE13552}"/>
    <cellStyle name="Normal 8 6 3" xfId="26476" xr:uid="{4F1DD762-2A5D-4090-8800-AEDB7EE42CD0}"/>
    <cellStyle name="Normal 8 7" xfId="26478" xr:uid="{8C9ABA2A-3F57-4B82-B040-9C42B29DF974}"/>
    <cellStyle name="Normal 8 7 2" xfId="26479" xr:uid="{1C3509E8-F6AE-48BA-ADFA-871836E6DCEC}"/>
    <cellStyle name="Normal 8 8" xfId="26480" xr:uid="{4700F530-F0AB-4460-89FC-A0D88B968022}"/>
    <cellStyle name="Normal 8 8 2" xfId="48975" xr:uid="{F4DEDDB3-4447-402A-B2A0-41B19ED95BB6}"/>
    <cellStyle name="Normal 9" xfId="580" xr:uid="{00000000-0005-0000-0000-000074050000}"/>
    <cellStyle name="Normal 9 2" xfId="2068" xr:uid="{00000000-0005-0000-0000-000075050000}"/>
    <cellStyle name="Normal 9 2 2" xfId="2069" xr:uid="{00000000-0005-0000-0000-000076050000}"/>
    <cellStyle name="Normal 9 2 2 2" xfId="26481" xr:uid="{53FCDD5E-0096-48F3-9752-A0D223698512}"/>
    <cellStyle name="Normal 9 2 2 3" xfId="17843" xr:uid="{296352D5-EC86-4936-BCA9-886966DF4B6F}"/>
    <cellStyle name="Normal 9 2 3" xfId="12143" xr:uid="{C71861E1-66C3-4325-857A-35A44634D5A4}"/>
    <cellStyle name="Normal 9 2 3 2" xfId="26483" xr:uid="{ABAC6EA5-09C8-4921-A75F-38094E4383EA}"/>
    <cellStyle name="Normal 9 2 3 3" xfId="26482" xr:uid="{DD54985A-BA7B-4EAD-94FB-0A8A965D43EE}"/>
    <cellStyle name="Normal 9 2 4" xfId="26484" xr:uid="{766DFA55-F55C-44F7-82F8-BEE539765AB8}"/>
    <cellStyle name="Normal 9 2 5" xfId="26485" xr:uid="{18FFE733-1BD6-493F-88F9-8213B2B738AF}"/>
    <cellStyle name="Normal 9 2 6" xfId="26486" xr:uid="{D8754571-5EFA-465F-9076-72F41B26075B}"/>
    <cellStyle name="Normal 9 2 7" xfId="17842" xr:uid="{E3444206-9157-4173-97DC-0001A3D391B2}"/>
    <cellStyle name="Normal 9 3" xfId="12151" xr:uid="{6AAF5E20-941B-40A7-812C-6B0D1E47AB7B}"/>
    <cellStyle name="Normal 9 3 2" xfId="26488" xr:uid="{56872304-334E-45E7-B188-B66639501B17}"/>
    <cellStyle name="Normal 9 3 3" xfId="26487" xr:uid="{8D14E640-8752-42C5-B273-F543564FBF08}"/>
    <cellStyle name="Normal 9 4" xfId="11489" xr:uid="{547DC85F-0157-4315-BB37-97AFAE6F0598}"/>
    <cellStyle name="Normal 9 4 2" xfId="26490" xr:uid="{E515A5A8-7764-4CA0-8DB5-E01D679C8F40}"/>
    <cellStyle name="Normal 9 4 3" xfId="26489" xr:uid="{897790D7-294F-472A-B6C7-3AFF351652BB}"/>
    <cellStyle name="Normal 9 5" xfId="12447" xr:uid="{46287A36-2F0C-40C1-99C8-B4147A89C820}"/>
    <cellStyle name="Normal 9 5 2" xfId="26492" xr:uid="{03EB9533-029F-42C5-94C2-CD44306DFB72}"/>
    <cellStyle name="Normal 9 5 3" xfId="26491" xr:uid="{A4FCBB26-5E68-4BEB-BCF2-80BFD02901CA}"/>
    <cellStyle name="Normal 9 6" xfId="26493" xr:uid="{DB8D255D-18CE-4C4E-ADFB-3F20C3136249}"/>
    <cellStyle name="Normal 9 7" xfId="26494" xr:uid="{988375E0-A9C9-438E-861D-0C4EC9E8F8CA}"/>
    <cellStyle name="Normal 9 8" xfId="26495" xr:uid="{6DB24E8C-601D-4332-AD7C-C0FAC7E95DBA}"/>
    <cellStyle name="Normal 9 8 2" xfId="48976" xr:uid="{E9C5DA2B-B977-4E04-8A7E-2F1F6A3898B4}"/>
    <cellStyle name="Normal GHG Numbers (0.00)" xfId="581" xr:uid="{00000000-0005-0000-0000-000077050000}"/>
    <cellStyle name="Normal GHG Numbers (0.00) 2" xfId="582" xr:uid="{00000000-0005-0000-0000-000078050000}"/>
    <cellStyle name="Normal GHG Numbers (0.00) 2 2" xfId="17445" xr:uid="{BD47A0C5-8A28-4917-A79E-BA9282F1857D}"/>
    <cellStyle name="Normal GHG Numbers (0.00) 2 2 2" xfId="32633" xr:uid="{F3294AA4-BB9B-4366-A1E9-61ACBE217987}"/>
    <cellStyle name="Normal GHG Numbers (0.00) 2 2 2 2" xfId="35585" xr:uid="{2BA6B7DD-CE13-4495-A1CC-2C4D04DFC2FB}"/>
    <cellStyle name="Normal GHG Numbers (0.00) 2 2 3" xfId="26498" xr:uid="{D81E02CA-A8BA-499C-B177-E9BDC69D740F}"/>
    <cellStyle name="Normal GHG Numbers (0.00) 2 3" xfId="26499" xr:uid="{E0BEDF66-72CA-4880-9883-8B9F85687D5D}"/>
    <cellStyle name="Normal GHG Numbers (0.00) 2 3 2" xfId="32634" xr:uid="{E09B3E2E-74EB-401F-9E9D-5531401992E9}"/>
    <cellStyle name="Normal GHG Numbers (0.00) 2 3 2 2" xfId="35586" xr:uid="{F934241E-C138-4DB7-BDC4-FDDD7881F880}"/>
    <cellStyle name="Normal GHG Numbers (0.00) 2 4" xfId="26500" xr:uid="{98C03C01-66E8-4654-860C-D90E484B4A0E}"/>
    <cellStyle name="Normal GHG Numbers (0.00) 2 4 2" xfId="32635" xr:uid="{A53DA7C0-FCAF-4A5B-9A75-37C1A4F9350F}"/>
    <cellStyle name="Normal GHG Numbers (0.00) 2 4 2 2" xfId="35587" xr:uid="{8355F2AB-F990-4E3F-8FE6-FC749B5148B2}"/>
    <cellStyle name="Normal GHG Numbers (0.00) 2 5" xfId="26501" xr:uid="{447E1FCA-2F1A-42EA-B7B5-F8A0A81A0F27}"/>
    <cellStyle name="Normal GHG Numbers (0.00) 2 5 2" xfId="32636" xr:uid="{4F476894-FC06-4E89-8D40-F97181CD3EDB}"/>
    <cellStyle name="Normal GHG Numbers (0.00) 2 5 2 2" xfId="35588" xr:uid="{58332B06-8BC6-45CE-AB9A-D8E4ECEC88E6}"/>
    <cellStyle name="Normal GHG Numbers (0.00) 2 6" xfId="32637" xr:uid="{0BFE0D60-0FE2-4102-BCA1-3152D05DCDB1}"/>
    <cellStyle name="Normal GHG Numbers (0.00) 2 6 2" xfId="35589" xr:uid="{7D921EAC-9A9E-455B-AF22-CF2967367D5E}"/>
    <cellStyle name="Normal GHG Numbers (0.00) 2 7" xfId="26497" xr:uid="{06CF0D8B-2241-4C23-A39B-3C1D862A2862}"/>
    <cellStyle name="Normal GHG Numbers (0.00) 3" xfId="583" xr:uid="{00000000-0005-0000-0000-000079050000}"/>
    <cellStyle name="Normal GHG Numbers (0.00) 3 2" xfId="17446" xr:uid="{37BE8050-0A93-4999-AAB8-58A620B10AC0}"/>
    <cellStyle name="Normal GHG Numbers (0.00) 3 2 2" xfId="35550" xr:uid="{8CFA723A-94B6-4B35-BFFE-AC2A5976E08A}"/>
    <cellStyle name="Normal GHG Numbers (0.00) 3 2 3" xfId="32497" xr:uid="{F90A5AC0-61FE-4BBD-87B8-DB0ECAD5E5CE}"/>
    <cellStyle name="Normal GHG Numbers (0.00) 3 3" xfId="26502" xr:uid="{EF81281A-5340-42AD-BC57-7D1F5B561867}"/>
    <cellStyle name="Normal GHG Numbers (0.00) 4" xfId="4091" xr:uid="{10A23B8A-311A-4A12-A912-77C16296408E}"/>
    <cellStyle name="Normal GHG Numbers (0.00) 4 2" xfId="32638" xr:uid="{55BBC4BE-8815-4F2B-B54B-BE48812E0CBB}"/>
    <cellStyle name="Normal GHG Numbers (0.00) 4 2 2" xfId="35590" xr:uid="{F1985A30-17DC-4C83-ADC7-E25523304496}"/>
    <cellStyle name="Normal GHG Numbers (0.00) 4 3" xfId="26503" xr:uid="{65C2E355-9F9E-4482-8C86-F6BCB8C0FFA5}"/>
    <cellStyle name="Normal GHG Numbers (0.00) 5" xfId="17706" xr:uid="{E7DE17BA-2821-44E7-B27E-AA2BCC452059}"/>
    <cellStyle name="Normal GHG Numbers (0.00) 5 2" xfId="21246" xr:uid="{F4944E17-99C8-4D55-B9EC-F627F1F0996E}"/>
    <cellStyle name="Normal GHG Numbers (0.00) 5 2 2" xfId="35591" xr:uid="{8958DFF7-EAF3-45CE-8035-5716C403BB1E}"/>
    <cellStyle name="Normal GHG Numbers (0.00) 5 2 3" xfId="32639" xr:uid="{7B4CC9E7-AC08-4393-ADC5-135FAC47D884}"/>
    <cellStyle name="Normal GHG Numbers (0.00) 5 3" xfId="26504" xr:uid="{CB57077F-CBC9-4AFA-9F5A-8D7FF449F4EA}"/>
    <cellStyle name="Normal GHG Numbers (0.00) 6" xfId="17685" xr:uid="{0879C2EB-DCD9-419A-AA87-DE6F2673B09B}"/>
    <cellStyle name="Normal GHG Numbers (0.00) 6 2" xfId="21245" xr:uid="{0703DEEF-07DD-4C1B-8209-9B78F66926EC}"/>
    <cellStyle name="Normal GHG Numbers (0.00) 6 2 2" xfId="35592" xr:uid="{7916F402-3370-4BA9-A746-C3E8CC3BEFEC}"/>
    <cellStyle name="Normal GHG Numbers (0.00) 6 2 3" xfId="32640" xr:uid="{92738244-76A2-4CE7-886D-7D95AD40AD8D}"/>
    <cellStyle name="Normal GHG Numbers (0.00) 6 3" xfId="26505" xr:uid="{E0595E94-E489-4356-94CF-AD7A0CAC2056}"/>
    <cellStyle name="Normal GHG Numbers (0.00) 7" xfId="32641" xr:uid="{A12EEFAA-8363-4C99-B537-7EA06C16DB5E}"/>
    <cellStyle name="Normal GHG Numbers (0.00) 7 2" xfId="35593" xr:uid="{5A66DF18-F999-4824-8A4B-CBFC22E653EF}"/>
    <cellStyle name="Normal GHG Numbers (0.00) 8" xfId="26496" xr:uid="{EF068D45-AEED-4372-8948-41797086F7ED}"/>
    <cellStyle name="Normal GHG Textfiels Bold" xfId="584" xr:uid="{00000000-0005-0000-0000-00007A050000}"/>
    <cellStyle name="Normal GHG Textfiels Bold 2" xfId="26506" xr:uid="{69837BAD-6FD6-469D-A305-03990C78BE20}"/>
    <cellStyle name="Normal GHG-Shade" xfId="585" xr:uid="{00000000-0005-0000-0000-00007B050000}"/>
    <cellStyle name="Normal GHG-Shade 2" xfId="4092" xr:uid="{959B814D-7EEC-4E72-8777-A08A97C06CCB}"/>
    <cellStyle name="Normal GHG-Shade 2 2" xfId="13428" xr:uid="{F21440D1-9CFB-40A7-81D2-51CFE2C76985}"/>
    <cellStyle name="Normal GHG-Shade 2 3" xfId="26508" xr:uid="{CFF1B33A-BC84-42D4-8E4E-0B94AC4D384F}"/>
    <cellStyle name="Normal GHG-Shade 3" xfId="13165" xr:uid="{28A6E3DE-4F36-4571-88C4-C9CCBF985E31}"/>
    <cellStyle name="Normal GHG-Shade 4" xfId="26507" xr:uid="{6CC6F1F0-D977-45CE-83F0-301492DA5255}"/>
    <cellStyle name="Normale 10" xfId="586" xr:uid="{00000000-0005-0000-0000-00007C050000}"/>
    <cellStyle name="Normale 10 2" xfId="587" xr:uid="{00000000-0005-0000-0000-00007D050000}"/>
    <cellStyle name="Normale 10 2 2" xfId="588" xr:uid="{00000000-0005-0000-0000-00007E050000}"/>
    <cellStyle name="Normale 10 2 2 2" xfId="13430" xr:uid="{A8F814CE-677F-4DDE-B980-30BFBD464B62}"/>
    <cellStyle name="Normale 10 2 2 3" xfId="26511" xr:uid="{BED1DA27-E3B6-43A1-8C3E-117D92C99B17}"/>
    <cellStyle name="Normale 10 2 3" xfId="13167" xr:uid="{EDA28762-69F2-4E8C-A5A6-776A4A7E0B88}"/>
    <cellStyle name="Normale 10 2 4" xfId="26510" xr:uid="{C2DA16A9-0235-4C3A-B002-4C95EB9C58BC}"/>
    <cellStyle name="Normale 10 3" xfId="589" xr:uid="{00000000-0005-0000-0000-00007F050000}"/>
    <cellStyle name="Normale 10 3 2" xfId="590" xr:uid="{00000000-0005-0000-0000-000080050000}"/>
    <cellStyle name="Normale 10 3 2 2" xfId="13431" xr:uid="{79488E86-4CCC-4E8A-8FA9-D62EDD2BD9F0}"/>
    <cellStyle name="Normale 10 3 2 3" xfId="26513" xr:uid="{C68BC043-813E-4EE5-8AA7-F27CC2E4C94D}"/>
    <cellStyle name="Normale 10 3 3" xfId="13168" xr:uid="{2F4AB1FE-2D79-456B-AC8D-217B75EF554B}"/>
    <cellStyle name="Normale 10 3 4" xfId="26512" xr:uid="{4D823D0B-4979-4718-8CF4-256DA22A9C58}"/>
    <cellStyle name="Normale 10 4" xfId="591" xr:uid="{00000000-0005-0000-0000-000081050000}"/>
    <cellStyle name="Normale 10 4 2" xfId="13429" xr:uid="{449188AD-2286-405C-80BA-9BD53794AB26}"/>
    <cellStyle name="Normale 10 4 3" xfId="26514" xr:uid="{8FA91A47-0B0F-46C5-A0AE-961D1BE5FBC0}"/>
    <cellStyle name="Normale 10 5" xfId="13166" xr:uid="{F05634E0-5124-47A8-92C5-94644FC9B92F}"/>
    <cellStyle name="Normale 10 6" xfId="26509" xr:uid="{5F16C0E1-1000-4414-B21A-A28B45D8C5F6}"/>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2 2 2" xfId="13433" xr:uid="{0F28DB52-3707-4C4C-A7E6-AF2A232A7DFB}"/>
    <cellStyle name="Normale 11 2 2 3" xfId="26517" xr:uid="{BBC5790E-EDCD-4E3B-BFE3-2FE9962DDEB5}"/>
    <cellStyle name="Normale 11 2 3" xfId="13170" xr:uid="{B8C58875-8A14-456B-8CEC-43FCF9B8024E}"/>
    <cellStyle name="Normale 11 2 4" xfId="26516" xr:uid="{ED8FEE1F-FF9D-4BD3-86D1-49F9DD8659E5}"/>
    <cellStyle name="Normale 11 3" xfId="596" xr:uid="{00000000-0005-0000-0000-000086050000}"/>
    <cellStyle name="Normale 11 3 2" xfId="597" xr:uid="{00000000-0005-0000-0000-000087050000}"/>
    <cellStyle name="Normale 11 3 2 2" xfId="13434" xr:uid="{50D54E64-B74E-435C-B8E5-32E91F5E5257}"/>
    <cellStyle name="Normale 11 3 2 3" xfId="26519" xr:uid="{697547EC-C453-44C0-A2B9-37F96253EE83}"/>
    <cellStyle name="Normale 11 3 3" xfId="13171" xr:uid="{0150E4F6-7895-4CC0-93A0-541F965744A0}"/>
    <cellStyle name="Normale 11 3 4" xfId="26518" xr:uid="{C3FE82D5-424F-4D41-9F82-BE6C08F6C3D6}"/>
    <cellStyle name="Normale 11 4" xfId="598" xr:uid="{00000000-0005-0000-0000-000088050000}"/>
    <cellStyle name="Normale 11 4 2" xfId="13432" xr:uid="{4057CC1B-3C43-4F39-8424-54911BA17976}"/>
    <cellStyle name="Normale 11 4 3" xfId="26520" xr:uid="{3BD80AB2-432D-4B43-9B4D-4C85EBC4BC76}"/>
    <cellStyle name="Normale 11 5" xfId="13169" xr:uid="{0BB85EFD-EAA8-46E4-A4D1-82A0FE242CA6}"/>
    <cellStyle name="Normale 11 6" xfId="26515" xr:uid="{FD79BD93-FA36-47DE-889B-F42E7E9815EC}"/>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2 2 2" xfId="13436" xr:uid="{90A134F4-F01B-4202-8EB5-985F4C4DDD8C}"/>
    <cellStyle name="Normale 12 2 2 3" xfId="26523" xr:uid="{64987905-6D46-4AED-BBA5-42B537538F7B}"/>
    <cellStyle name="Normale 12 2 3" xfId="13173" xr:uid="{F0FA5086-254C-4312-97F5-E767C612F93F}"/>
    <cellStyle name="Normale 12 2 4" xfId="26522" xr:uid="{9FBC366A-C47E-4AA3-9FBB-929534B2D99D}"/>
    <cellStyle name="Normale 12 3" xfId="603" xr:uid="{00000000-0005-0000-0000-00008D050000}"/>
    <cellStyle name="Normale 12 3 2" xfId="604" xr:uid="{00000000-0005-0000-0000-00008E050000}"/>
    <cellStyle name="Normale 12 3 2 2" xfId="13437" xr:uid="{E4AA6FF7-14BF-4404-AEF9-F85765563D2C}"/>
    <cellStyle name="Normale 12 3 2 3" xfId="26525" xr:uid="{46E4479D-6EE6-40F0-ACCD-49A69A3FEE04}"/>
    <cellStyle name="Normale 12 3 3" xfId="13174" xr:uid="{B610E0A5-EBA5-43D4-8E86-579C88BFBEBB}"/>
    <cellStyle name="Normale 12 3 4" xfId="26524" xr:uid="{6E974B70-7533-4A47-BE95-7E01059CA4F8}"/>
    <cellStyle name="Normale 12 4" xfId="605" xr:uid="{00000000-0005-0000-0000-00008F050000}"/>
    <cellStyle name="Normale 12 4 2" xfId="13435" xr:uid="{01F07CC9-422C-498E-ADCA-17A05AE414B9}"/>
    <cellStyle name="Normale 12 4 3" xfId="26526" xr:uid="{24A43135-6178-47D8-9D46-8DA648EDA76F}"/>
    <cellStyle name="Normale 12 5" xfId="13172" xr:uid="{0824D37E-DCFF-4EEA-9E49-A8A0E401F3DE}"/>
    <cellStyle name="Normale 12 6" xfId="26521" xr:uid="{BD468766-C76E-4F7F-9642-BA1C35FBE218}"/>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2 2 2" xfId="13439" xr:uid="{1497CA83-6410-4D77-82C4-76EE319FBEC3}"/>
    <cellStyle name="Normale 13 2 2 3" xfId="26529" xr:uid="{46A6329A-B40C-4AE6-B9B8-C221C797260D}"/>
    <cellStyle name="Normale 13 2 3" xfId="13176" xr:uid="{D251ADA3-4F28-47F1-8A28-FBB15FC33FC6}"/>
    <cellStyle name="Normale 13 2 4" xfId="26528" xr:uid="{8A7493FA-1C76-4D92-B2F4-BCA42C7276AA}"/>
    <cellStyle name="Normale 13 3" xfId="610" xr:uid="{00000000-0005-0000-0000-000094050000}"/>
    <cellStyle name="Normale 13 3 2" xfId="611" xr:uid="{00000000-0005-0000-0000-000095050000}"/>
    <cellStyle name="Normale 13 3 2 2" xfId="13440" xr:uid="{4FA898AC-C893-4C1C-A2DD-B1B3A124B788}"/>
    <cellStyle name="Normale 13 3 2 3" xfId="26531" xr:uid="{937F3FDD-19AE-4E84-B0BA-CEBDA3597FBC}"/>
    <cellStyle name="Normale 13 3 3" xfId="13177" xr:uid="{68566AEC-2580-4354-95DB-C2AD26FAB1F8}"/>
    <cellStyle name="Normale 13 3 4" xfId="26530" xr:uid="{A2DF840E-BF99-4D59-AA2B-D0ED7A3BAFA9}"/>
    <cellStyle name="Normale 13 4" xfId="612" xr:uid="{00000000-0005-0000-0000-000096050000}"/>
    <cellStyle name="Normale 13 4 2" xfId="13438" xr:uid="{73572DD7-A7F6-4D6B-BE92-AAA27D9F3F84}"/>
    <cellStyle name="Normale 13 4 3" xfId="26532" xr:uid="{246512EF-EF1F-46A6-B865-07BAFC22E35E}"/>
    <cellStyle name="Normale 13 5" xfId="13175" xr:uid="{709C50D5-CEAD-4688-B0B3-EE2E6D755F7C}"/>
    <cellStyle name="Normale 13 6" xfId="26527" xr:uid="{FAF379F8-8F97-4122-BCF4-10FA4AB50A87}"/>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2 2 2" xfId="13442" xr:uid="{4B6518FD-65CA-45AF-82FB-8DB7FA4B607A}"/>
    <cellStyle name="Normale 14 2 2 3" xfId="26535" xr:uid="{5FAFF940-F491-49C8-BAE9-6F0CF2D3FF9E}"/>
    <cellStyle name="Normale 14 2 3" xfId="13179" xr:uid="{07112093-510A-4FD5-A62A-F5E5D6FDD2DB}"/>
    <cellStyle name="Normale 14 2 4" xfId="26534" xr:uid="{505F60F3-ECEF-4720-B286-804A51B6E715}"/>
    <cellStyle name="Normale 14 3" xfId="617" xr:uid="{00000000-0005-0000-0000-00009B050000}"/>
    <cellStyle name="Normale 14 3 2" xfId="618" xr:uid="{00000000-0005-0000-0000-00009C050000}"/>
    <cellStyle name="Normale 14 3 2 2" xfId="13443" xr:uid="{43C532F8-571C-4D59-941D-05FB29D968F6}"/>
    <cellStyle name="Normale 14 3 2 3" xfId="26537" xr:uid="{FAF3C4AC-B17E-4C23-8A96-37D6DA8C57DE}"/>
    <cellStyle name="Normale 14 3 3" xfId="13180" xr:uid="{926746C1-1F17-45D5-9FC2-451EB14B1B1A}"/>
    <cellStyle name="Normale 14 3 4" xfId="26536" xr:uid="{2A91D37B-64FF-459A-B493-CDB0B189AA9D}"/>
    <cellStyle name="Normale 14 4" xfId="619" xr:uid="{00000000-0005-0000-0000-00009D050000}"/>
    <cellStyle name="Normale 14 4 2" xfId="13441" xr:uid="{A2C49144-D12C-4D3C-B780-A422F5A5E982}"/>
    <cellStyle name="Normale 14 4 3" xfId="26538" xr:uid="{C2BC9F7F-28D6-46E3-BAB9-16FACB9D9C42}"/>
    <cellStyle name="Normale 14 5" xfId="13178" xr:uid="{7B2DE2E4-1441-4B20-AA31-5A8AC93310C5}"/>
    <cellStyle name="Normale 14 6" xfId="26533" xr:uid="{CC2A1AFB-A9BD-4D59-B1F7-C98DBD3E6527}"/>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2 2 2" xfId="13445" xr:uid="{D2DD63EC-E465-4434-BF3D-5B0AA39A11D5}"/>
    <cellStyle name="Normale 15 2 2 3" xfId="26541" xr:uid="{91818688-A175-4C19-8A72-6C9D10508C7D}"/>
    <cellStyle name="Normale 15 2 3" xfId="13182" xr:uid="{A2957F15-0712-4DF3-830C-1A36047E2240}"/>
    <cellStyle name="Normale 15 2 4" xfId="26540" xr:uid="{AC3C4A84-F2A6-4DE0-AABE-38FD38A1CB9E}"/>
    <cellStyle name="Normale 15 3" xfId="624" xr:uid="{00000000-0005-0000-0000-0000A2050000}"/>
    <cellStyle name="Normale 15 3 2" xfId="625" xr:uid="{00000000-0005-0000-0000-0000A3050000}"/>
    <cellStyle name="Normale 15 3 2 2" xfId="13446" xr:uid="{C898F81D-6D8A-41A1-8065-788AAAB74E36}"/>
    <cellStyle name="Normale 15 3 2 3" xfId="26543" xr:uid="{AEB50399-380B-49D6-B737-982E9D0A2774}"/>
    <cellStyle name="Normale 15 3 3" xfId="13183" xr:uid="{CBB89086-7DFB-425C-830E-0E0BEFAE2FEA}"/>
    <cellStyle name="Normale 15 3 4" xfId="26542" xr:uid="{16E22B8B-A27A-4779-AE65-BAF5E3E54158}"/>
    <cellStyle name="Normale 15 4" xfId="626" xr:uid="{00000000-0005-0000-0000-0000A4050000}"/>
    <cellStyle name="Normale 15 4 2" xfId="13444" xr:uid="{32D117D2-8FD8-4039-8C3D-D0871840B3E1}"/>
    <cellStyle name="Normale 15 4 3" xfId="26544" xr:uid="{60964F35-DE73-4FE4-A4DA-58CB032D2D58}"/>
    <cellStyle name="Normale 15 5" xfId="13181" xr:uid="{FB52FEC8-AE76-45B2-A1C5-4163DA3B7354}"/>
    <cellStyle name="Normale 15 6" xfId="26539" xr:uid="{916935EA-51E7-4B68-9271-2FD314A911A5}"/>
    <cellStyle name="Normale 15_EDEN industria 2008 rev" xfId="627" xr:uid="{00000000-0005-0000-0000-0000A5050000}"/>
    <cellStyle name="Normale 16" xfId="628" xr:uid="{00000000-0005-0000-0000-0000A6050000}"/>
    <cellStyle name="Normale 16 2" xfId="629" xr:uid="{00000000-0005-0000-0000-0000A7050000}"/>
    <cellStyle name="Normale 16 2 2" xfId="13447" xr:uid="{E1B343A3-B255-4F7A-BA5B-B848C61127FF}"/>
    <cellStyle name="Normale 16 2 3" xfId="26546" xr:uid="{3F7262AB-EB56-4CDD-8020-3177E3A16E28}"/>
    <cellStyle name="Normale 16 3" xfId="13184" xr:uid="{E03B9BD5-7899-43D3-88A9-D7BAEAD7DFBE}"/>
    <cellStyle name="Normale 16 4" xfId="26545" xr:uid="{5EE6994D-0BD9-4286-9284-71077A4947C3}"/>
    <cellStyle name="Normale 17" xfId="630" xr:uid="{00000000-0005-0000-0000-0000A8050000}"/>
    <cellStyle name="Normale 17 2" xfId="631" xr:uid="{00000000-0005-0000-0000-0000A9050000}"/>
    <cellStyle name="Normale 17 2 2" xfId="13448" xr:uid="{A2A1FF0A-E339-4EE0-9902-31D33B85BE14}"/>
    <cellStyle name="Normale 17 2 3" xfId="26548" xr:uid="{6C59727B-7798-45DB-B444-89005A33B882}"/>
    <cellStyle name="Normale 17 3" xfId="13185" xr:uid="{BC368B59-2C74-4265-B3DE-09D20A2B155E}"/>
    <cellStyle name="Normale 17 4" xfId="26547" xr:uid="{0F70E433-03C1-4793-BB5A-08C9D54F0734}"/>
    <cellStyle name="Normale 18" xfId="632" xr:uid="{00000000-0005-0000-0000-0000AA050000}"/>
    <cellStyle name="Normale 18 2" xfId="633" xr:uid="{00000000-0005-0000-0000-0000AB050000}"/>
    <cellStyle name="Normale 18 2 2" xfId="26550" xr:uid="{9BA62BD7-AEDC-4C63-A635-6AD9D9795387}"/>
    <cellStyle name="Normale 18 3" xfId="26549" xr:uid="{76569935-51CA-4DF8-8E88-FFBBAC7FE55A}"/>
    <cellStyle name="Normale 19" xfId="634" xr:uid="{00000000-0005-0000-0000-0000AC050000}"/>
    <cellStyle name="Normale 19 2" xfId="635" xr:uid="{00000000-0005-0000-0000-0000AD050000}"/>
    <cellStyle name="Normale 19 2 2" xfId="26552" xr:uid="{7274C602-D9AD-4DC1-B298-BDB8068134D3}"/>
    <cellStyle name="Normale 19 3" xfId="26551" xr:uid="{7653A989-E6B5-48B7-B1A8-D105C40C7B25}"/>
    <cellStyle name="Normale 2" xfId="636" xr:uid="{00000000-0005-0000-0000-0000AE050000}"/>
    <cellStyle name="Normale 2 2" xfId="637" xr:uid="{00000000-0005-0000-0000-0000AF050000}"/>
    <cellStyle name="Normale 2 2 2" xfId="638" xr:uid="{00000000-0005-0000-0000-0000B0050000}"/>
    <cellStyle name="Normale 2 2 2 2" xfId="13450" xr:uid="{A3C9A395-95E5-42E2-B360-973A1256CC0D}"/>
    <cellStyle name="Normale 2 2 2 3" xfId="26555" xr:uid="{37983C18-83C5-49AA-96F0-22D2BD427A4A}"/>
    <cellStyle name="Normale 2 2 3" xfId="13187" xr:uid="{5E24BF66-221C-4205-B79A-02EADCD602B7}"/>
    <cellStyle name="Normale 2 2 4" xfId="26554" xr:uid="{84314B29-E5B5-48E8-A9B8-3543C3CBD564}"/>
    <cellStyle name="Normale 2 3" xfId="639" xr:uid="{00000000-0005-0000-0000-0000B1050000}"/>
    <cellStyle name="Normale 2 3 2" xfId="13449" xr:uid="{9DD5D0CF-F276-4A2F-907F-D9C2DA6485EA}"/>
    <cellStyle name="Normale 2 3 3" xfId="26556" xr:uid="{C8BD1E10-DDB0-484B-BCD6-CC70F329F69F}"/>
    <cellStyle name="Normale 2 4" xfId="13186" xr:uid="{D9A4E2FB-50B6-472E-A4E5-9F7D306C7D4C}"/>
    <cellStyle name="Normale 2 5" xfId="26553" xr:uid="{8DBF76EF-41EB-41D4-9F52-54846C130A05}"/>
    <cellStyle name="Normale 2_EDEN industria 2008 rev" xfId="640" xr:uid="{00000000-0005-0000-0000-0000B2050000}"/>
    <cellStyle name="Normale 20" xfId="641" xr:uid="{00000000-0005-0000-0000-0000B3050000}"/>
    <cellStyle name="Normale 20 2" xfId="642" xr:uid="{00000000-0005-0000-0000-0000B4050000}"/>
    <cellStyle name="Normale 20 2 2" xfId="13451" xr:uid="{4B1D49A2-7BA2-437F-B30C-114FF73F1667}"/>
    <cellStyle name="Normale 20 2 3" xfId="26558" xr:uid="{AB4471DA-18F4-46E1-8D0F-D9C701693A09}"/>
    <cellStyle name="Normale 20 3" xfId="13188" xr:uid="{9BAC3C4D-3A99-4167-B3FD-836F06A872BA}"/>
    <cellStyle name="Normale 20 4" xfId="26557" xr:uid="{B36434F7-028F-468B-98E9-B2BFADDE7C83}"/>
    <cellStyle name="Normale 21" xfId="643" xr:uid="{00000000-0005-0000-0000-0000B5050000}"/>
    <cellStyle name="Normale 21 2" xfId="644" xr:uid="{00000000-0005-0000-0000-0000B6050000}"/>
    <cellStyle name="Normale 21 2 2" xfId="13452" xr:uid="{3DC14ED4-BBF9-43FE-B0DC-8026AC26DC6B}"/>
    <cellStyle name="Normale 21 2 3" xfId="26560" xr:uid="{F3BE4475-8FC4-4B80-9551-1F3D3DF8E8F3}"/>
    <cellStyle name="Normale 21 3" xfId="13189" xr:uid="{7E66DBC6-C94A-4FC1-8046-CED6E75C280F}"/>
    <cellStyle name="Normale 21 4" xfId="26559" xr:uid="{519016B2-42F7-4830-9168-B31054299CB9}"/>
    <cellStyle name="Normale 22" xfId="645" xr:uid="{00000000-0005-0000-0000-0000B7050000}"/>
    <cellStyle name="Normale 22 2" xfId="646" xr:uid="{00000000-0005-0000-0000-0000B8050000}"/>
    <cellStyle name="Normale 22 2 2" xfId="13453" xr:uid="{7D06C3E6-FE28-45A0-91A9-7E9B58F60A41}"/>
    <cellStyle name="Normale 22 2 3" xfId="26562" xr:uid="{92A2C325-7B8B-4B3E-8E9E-C2ED359E3FAB}"/>
    <cellStyle name="Normale 22 3" xfId="13190" xr:uid="{9ABFBB53-E322-4E3B-9E04-D8EC56A5876D}"/>
    <cellStyle name="Normale 22 4" xfId="26561" xr:uid="{C950FA08-7814-4155-961D-CF4FCF603567}"/>
    <cellStyle name="Normale 23" xfId="647" xr:uid="{00000000-0005-0000-0000-0000B9050000}"/>
    <cellStyle name="Normale 23 2" xfId="648" xr:uid="{00000000-0005-0000-0000-0000BA050000}"/>
    <cellStyle name="Normale 23 2 2" xfId="13454" xr:uid="{24E6EA32-9118-4D36-9C41-131A90F7A225}"/>
    <cellStyle name="Normale 23 2 3" xfId="26564" xr:uid="{A3F7A614-8EC7-41D7-8BE3-256F975CAFB9}"/>
    <cellStyle name="Normale 23 3" xfId="13191" xr:uid="{42F3F59B-8DCA-4679-A977-3E8F0894A2F4}"/>
    <cellStyle name="Normale 23 4" xfId="26563" xr:uid="{06F70293-C0CE-48B8-BC08-90ED73428AD6}"/>
    <cellStyle name="Normale 24" xfId="649" xr:uid="{00000000-0005-0000-0000-0000BB050000}"/>
    <cellStyle name="Normale 24 2" xfId="650" xr:uid="{00000000-0005-0000-0000-0000BC050000}"/>
    <cellStyle name="Normale 24 2 2" xfId="13455" xr:uid="{597A6BED-2672-4916-A749-3FB129869431}"/>
    <cellStyle name="Normale 24 2 3" xfId="26566" xr:uid="{0FFDB4A6-8E93-4CC1-B633-436FB4AE0744}"/>
    <cellStyle name="Normale 24 3" xfId="13192" xr:uid="{3AC85107-C59E-4D5B-B02E-5953B9D08746}"/>
    <cellStyle name="Normale 24 4" xfId="26565" xr:uid="{594C8761-F496-445B-BC7F-CEEB319E3600}"/>
    <cellStyle name="Normale 25" xfId="651" xr:uid="{00000000-0005-0000-0000-0000BD050000}"/>
    <cellStyle name="Normale 25 2" xfId="652" xr:uid="{00000000-0005-0000-0000-0000BE050000}"/>
    <cellStyle name="Normale 25 2 2" xfId="13456" xr:uid="{60A12DCF-DF4B-4D68-AC75-7FA0F6A17E0F}"/>
    <cellStyle name="Normale 25 2 3" xfId="26568" xr:uid="{1571B6F9-EA38-43A2-9C57-FDB05291E187}"/>
    <cellStyle name="Normale 25 3" xfId="13193" xr:uid="{FB2689FF-529A-41AB-82A1-3FD3C2E806D3}"/>
    <cellStyle name="Normale 25 4" xfId="26567" xr:uid="{5F01B50B-0E78-46B4-A6D4-DC2796F8A15E}"/>
    <cellStyle name="Normale 26" xfId="653" xr:uid="{00000000-0005-0000-0000-0000BF050000}"/>
    <cellStyle name="Normale 26 2" xfId="654" xr:uid="{00000000-0005-0000-0000-0000C0050000}"/>
    <cellStyle name="Normale 26 2 2" xfId="13457" xr:uid="{4D4085C1-981A-4F7D-8CA1-F8EBEAF78DC1}"/>
    <cellStyle name="Normale 26 2 3" xfId="26570" xr:uid="{ADD0F4FA-A653-4F3B-B23A-4714F709DE13}"/>
    <cellStyle name="Normale 26 3" xfId="13194" xr:uid="{B13ADFA6-824B-440A-A766-8BB30468256D}"/>
    <cellStyle name="Normale 26 4" xfId="26569" xr:uid="{63B05BE0-FA98-4592-86DE-CD9E5C7F22F3}"/>
    <cellStyle name="Normale 27" xfId="655" xr:uid="{00000000-0005-0000-0000-0000C1050000}"/>
    <cellStyle name="Normale 27 2" xfId="656" xr:uid="{00000000-0005-0000-0000-0000C2050000}"/>
    <cellStyle name="Normale 27 2 2" xfId="13458" xr:uid="{E91D0C35-4D1F-4574-A619-A9A503987993}"/>
    <cellStyle name="Normale 27 2 3" xfId="26572" xr:uid="{EE1EE963-F0AD-4954-AA9C-3B37FCE081CF}"/>
    <cellStyle name="Normale 27 3" xfId="13195" xr:uid="{2445B2FE-A74B-4799-B848-087DB7ACDC14}"/>
    <cellStyle name="Normale 27 4" xfId="26571" xr:uid="{E3A0A7B3-93A6-42E4-A5D4-7DB5F155C674}"/>
    <cellStyle name="Normale 28" xfId="657" xr:uid="{00000000-0005-0000-0000-0000C3050000}"/>
    <cellStyle name="Normale 28 2" xfId="658" xr:uid="{00000000-0005-0000-0000-0000C4050000}"/>
    <cellStyle name="Normale 28 2 2" xfId="13459" xr:uid="{FC6FA0DD-DA60-44D4-A5F6-9C9CF60035A3}"/>
    <cellStyle name="Normale 28 2 3" xfId="26574" xr:uid="{3796901C-3072-4908-B77D-6C840AA15E0B}"/>
    <cellStyle name="Normale 28 3" xfId="13196" xr:uid="{C617E7F1-276A-4168-830A-3AACDEF6ED85}"/>
    <cellStyle name="Normale 28 4" xfId="26573" xr:uid="{B0AA0E24-5CF4-4B88-9D3A-99A447156076}"/>
    <cellStyle name="Normale 29" xfId="659" xr:uid="{00000000-0005-0000-0000-0000C5050000}"/>
    <cellStyle name="Normale 29 2" xfId="660" xr:uid="{00000000-0005-0000-0000-0000C6050000}"/>
    <cellStyle name="Normale 29 2 2" xfId="13460" xr:uid="{6D4D0D1B-268A-487C-8EC9-B4438F3A305F}"/>
    <cellStyle name="Normale 29 2 3" xfId="26576" xr:uid="{F6C676C5-94E8-4032-9980-760A7AB7DE04}"/>
    <cellStyle name="Normale 29 3" xfId="13197" xr:uid="{D9CB8B9F-04AB-40A1-9870-B362B65D04CE}"/>
    <cellStyle name="Normale 29 4" xfId="26575" xr:uid="{8DC24EB9-2D4B-48AC-BDED-9C50314D71F6}"/>
    <cellStyle name="Normale 3" xfId="661" xr:uid="{00000000-0005-0000-0000-0000C7050000}"/>
    <cellStyle name="Normale 3 2" xfId="662" xr:uid="{00000000-0005-0000-0000-0000C8050000}"/>
    <cellStyle name="Normale 3 2 2" xfId="663" xr:uid="{00000000-0005-0000-0000-0000C9050000}"/>
    <cellStyle name="Normale 3 2 2 2" xfId="13462" xr:uid="{247AC841-C745-404C-93BC-C2D80AF2F55B}"/>
    <cellStyle name="Normale 3 2 2 3" xfId="26579" xr:uid="{87575125-529A-4223-B134-FC600669B16D}"/>
    <cellStyle name="Normale 3 2 3" xfId="13199" xr:uid="{A773C592-E38D-490F-A091-C51FC4426D3A}"/>
    <cellStyle name="Normale 3 2 4" xfId="26578" xr:uid="{E3108FE4-C323-4413-BA03-32A852CD6BE8}"/>
    <cellStyle name="Normale 3 3" xfId="664" xr:uid="{00000000-0005-0000-0000-0000CA050000}"/>
    <cellStyle name="Normale 3 3 2" xfId="665" xr:uid="{00000000-0005-0000-0000-0000CB050000}"/>
    <cellStyle name="Normale 3 3 2 2" xfId="13463" xr:uid="{F128BF2E-8C9E-4A10-8EFD-0502D1AFBCD9}"/>
    <cellStyle name="Normale 3 3 2 3" xfId="26581" xr:uid="{55AAA1BB-46D6-477F-BE33-6AEB1AF7A46E}"/>
    <cellStyle name="Normale 3 3 3" xfId="13200" xr:uid="{9B5102B5-E738-454B-9803-14320FB0F6B7}"/>
    <cellStyle name="Normale 3 3 4" xfId="26580" xr:uid="{E7B36EC1-63FC-4E27-8333-CA3DC0CED956}"/>
    <cellStyle name="Normale 3 4" xfId="666" xr:uid="{00000000-0005-0000-0000-0000CC050000}"/>
    <cellStyle name="Normale 3 4 2" xfId="13461" xr:uid="{BAC910FA-D0CF-4BC9-BA02-44A640EBE3A2}"/>
    <cellStyle name="Normale 3 4 3" xfId="26582" xr:uid="{92A2007A-1EEA-4BA6-A0F3-10FA2EC1EC5E}"/>
    <cellStyle name="Normale 3 5" xfId="13198" xr:uid="{04464832-00A0-4AA2-96C5-6D351EBDC169}"/>
    <cellStyle name="Normale 3 6" xfId="26577" xr:uid="{FBA0418D-88A0-4AB8-B352-E654092E6694}"/>
    <cellStyle name="Normale 3_EDEN industria 2008 rev" xfId="667" xr:uid="{00000000-0005-0000-0000-0000CD050000}"/>
    <cellStyle name="Normale 30" xfId="668" xr:uid="{00000000-0005-0000-0000-0000CE050000}"/>
    <cellStyle name="Normale 30 2" xfId="669" xr:uid="{00000000-0005-0000-0000-0000CF050000}"/>
    <cellStyle name="Normale 30 2 2" xfId="13464" xr:uid="{6F7D5461-789B-4952-B569-D4373037BDD8}"/>
    <cellStyle name="Normale 30 2 3" xfId="26584" xr:uid="{0D5CBFE0-E662-4598-9418-30F4423C34C4}"/>
    <cellStyle name="Normale 30 3" xfId="13201" xr:uid="{E49AA84F-3D5A-43F2-95FF-527BD98EFD81}"/>
    <cellStyle name="Normale 30 4" xfId="26583" xr:uid="{7421E45F-E05E-403F-846A-2DCCD9583BD5}"/>
    <cellStyle name="Normale 31" xfId="670" xr:uid="{00000000-0005-0000-0000-0000D0050000}"/>
    <cellStyle name="Normale 31 2" xfId="671" xr:uid="{00000000-0005-0000-0000-0000D1050000}"/>
    <cellStyle name="Normale 31 2 2" xfId="13465" xr:uid="{4772882B-9A95-4A37-88C8-2F5AA0AFB942}"/>
    <cellStyle name="Normale 31 2 3" xfId="26586" xr:uid="{925C03BD-3A6B-4675-9B4B-EC388543CDC5}"/>
    <cellStyle name="Normale 31 3" xfId="13202" xr:uid="{95D0A218-9A43-434B-A664-D321CBE01A91}"/>
    <cellStyle name="Normale 31 4" xfId="26585" xr:uid="{DDD315F5-FD86-4B02-A20E-E4EBCE38D3E4}"/>
    <cellStyle name="Normale 32" xfId="672" xr:uid="{00000000-0005-0000-0000-0000D2050000}"/>
    <cellStyle name="Normale 32 2" xfId="673" xr:uid="{00000000-0005-0000-0000-0000D3050000}"/>
    <cellStyle name="Normale 32 2 2" xfId="13466" xr:uid="{2BA985A0-9C66-4DEE-9F10-993EE27C18EE}"/>
    <cellStyle name="Normale 32 2 3" xfId="26588" xr:uid="{BD5AABF2-ECD3-453E-B444-1181453551AB}"/>
    <cellStyle name="Normale 32 3" xfId="13203" xr:uid="{547A135E-C0E2-4F94-88E8-43FAFB204776}"/>
    <cellStyle name="Normale 32 4" xfId="26587" xr:uid="{DE83427D-A242-4C66-808D-78CC8C27E456}"/>
    <cellStyle name="Normale 33" xfId="674" xr:uid="{00000000-0005-0000-0000-0000D4050000}"/>
    <cellStyle name="Normale 33 2" xfId="675" xr:uid="{00000000-0005-0000-0000-0000D5050000}"/>
    <cellStyle name="Normale 33 2 2" xfId="13467" xr:uid="{09C2A5C7-2E9C-41F7-955B-E7715A7C6CB6}"/>
    <cellStyle name="Normale 33 2 3" xfId="26590" xr:uid="{92E4D345-C9FC-4348-8681-B0D815B96E2C}"/>
    <cellStyle name="Normale 33 3" xfId="13204" xr:uid="{D548BC84-DEDA-4F11-850F-989B19868ADE}"/>
    <cellStyle name="Normale 33 4" xfId="26589" xr:uid="{36AB3790-E040-4E39-8C94-1601D4C9E6B9}"/>
    <cellStyle name="Normale 34" xfId="676" xr:uid="{00000000-0005-0000-0000-0000D6050000}"/>
    <cellStyle name="Normale 34 2" xfId="677" xr:uid="{00000000-0005-0000-0000-0000D7050000}"/>
    <cellStyle name="Normale 34 2 2" xfId="13468" xr:uid="{BA69115A-5CC3-44EC-9521-771689369BBC}"/>
    <cellStyle name="Normale 34 2 3" xfId="26592" xr:uid="{AD5EFD83-0C42-4A49-8BEA-94BFAB859344}"/>
    <cellStyle name="Normale 34 3" xfId="13205" xr:uid="{D0A8A2B4-8AF8-4FDA-9162-E6A0883802AB}"/>
    <cellStyle name="Normale 34 4" xfId="26591" xr:uid="{A65E25F2-7EA0-40FE-9DCF-00CB74CC32B0}"/>
    <cellStyle name="Normale 35" xfId="678" xr:uid="{00000000-0005-0000-0000-0000D8050000}"/>
    <cellStyle name="Normale 35 2" xfId="679" xr:uid="{00000000-0005-0000-0000-0000D9050000}"/>
    <cellStyle name="Normale 35 2 2" xfId="13469" xr:uid="{1F38A2AE-AA26-446F-8798-BE36920D8271}"/>
    <cellStyle name="Normale 35 2 3" xfId="26594" xr:uid="{E4DB0D3C-2F90-42CE-B37D-CB5FE87C814B}"/>
    <cellStyle name="Normale 35 3" xfId="13206" xr:uid="{33778B17-EA0E-4511-8728-D1C8EADBF6A9}"/>
    <cellStyle name="Normale 35 4" xfId="26593" xr:uid="{E2582F64-BD84-4945-A6EB-21DBC591F54F}"/>
    <cellStyle name="Normale 36" xfId="680" xr:uid="{00000000-0005-0000-0000-0000DA050000}"/>
    <cellStyle name="Normale 36 2" xfId="681" xr:uid="{00000000-0005-0000-0000-0000DB050000}"/>
    <cellStyle name="Normale 36 2 2" xfId="13470" xr:uid="{B18F6F9E-FA21-4F43-B4D9-6E8D4EF71501}"/>
    <cellStyle name="Normale 36 2 3" xfId="26596" xr:uid="{B3EBE7B9-5BC3-4F0D-A965-4921ED2A5F45}"/>
    <cellStyle name="Normale 36 3" xfId="13207" xr:uid="{F2B72FDC-37BB-4F43-A950-07870BE9CEC5}"/>
    <cellStyle name="Normale 36 4" xfId="26595" xr:uid="{D6CBF05B-29AB-41F6-842B-D10C26B2C01E}"/>
    <cellStyle name="Normale 37" xfId="682" xr:uid="{00000000-0005-0000-0000-0000DC050000}"/>
    <cellStyle name="Normale 37 2" xfId="683" xr:uid="{00000000-0005-0000-0000-0000DD050000}"/>
    <cellStyle name="Normale 37 2 2" xfId="13471" xr:uid="{D41DBB45-8DC4-4F81-824B-59F1F5733D8C}"/>
    <cellStyle name="Normale 37 2 3" xfId="26598" xr:uid="{AC2B8F44-4F90-4FDB-91F2-68548EB65937}"/>
    <cellStyle name="Normale 37 3" xfId="13208" xr:uid="{1B0CF4B2-DA42-4DBB-99C5-27C4626C65EC}"/>
    <cellStyle name="Normale 37 4" xfId="26597" xr:uid="{E9820BF5-1EF1-4EF0-90EB-0F5E1E0CA973}"/>
    <cellStyle name="Normale 38" xfId="684" xr:uid="{00000000-0005-0000-0000-0000DE050000}"/>
    <cellStyle name="Normale 38 2" xfId="685" xr:uid="{00000000-0005-0000-0000-0000DF050000}"/>
    <cellStyle name="Normale 38 2 2" xfId="13472" xr:uid="{A6567DD6-237A-4D16-B24D-19D3ACA329B4}"/>
    <cellStyle name="Normale 38 2 3" xfId="26600" xr:uid="{707A4CBC-46BD-455F-A918-A0CF12602BF6}"/>
    <cellStyle name="Normale 38 3" xfId="13209" xr:uid="{1F8620F4-E287-4365-982B-0B21840D3321}"/>
    <cellStyle name="Normale 38 4" xfId="26599" xr:uid="{EFEB3358-7E0A-4DBB-9A35-911AEB062C08}"/>
    <cellStyle name="Normale 39" xfId="686" xr:uid="{00000000-0005-0000-0000-0000E0050000}"/>
    <cellStyle name="Normale 39 2" xfId="687" xr:uid="{00000000-0005-0000-0000-0000E1050000}"/>
    <cellStyle name="Normale 39 2 2" xfId="13473" xr:uid="{9A8671F2-D800-4723-AAFA-D91C24A3BB1C}"/>
    <cellStyle name="Normale 39 2 3" xfId="26602" xr:uid="{F44DE2D0-C4BF-4D42-A65D-56FCA7468D42}"/>
    <cellStyle name="Normale 39 3" xfId="13210" xr:uid="{74C29E2E-D0C0-4AE3-8008-104904969037}"/>
    <cellStyle name="Normale 39 4" xfId="26601" xr:uid="{B546FA44-627B-4A5B-8E49-D19199274BDD}"/>
    <cellStyle name="Normale 4" xfId="688" xr:uid="{00000000-0005-0000-0000-0000E2050000}"/>
    <cellStyle name="Normale 4 2" xfId="689" xr:uid="{00000000-0005-0000-0000-0000E3050000}"/>
    <cellStyle name="Normale 4 2 2" xfId="690" xr:uid="{00000000-0005-0000-0000-0000E4050000}"/>
    <cellStyle name="Normale 4 2 2 2" xfId="13475" xr:uid="{F590C70F-1272-4F42-BB33-05BC383122C4}"/>
    <cellStyle name="Normale 4 2 2 3" xfId="26605" xr:uid="{D93B1EE2-7296-46EF-ACF5-E2958A3F4373}"/>
    <cellStyle name="Normale 4 2 3" xfId="13212" xr:uid="{46436C78-6CAA-4F93-8702-91091BC5AD92}"/>
    <cellStyle name="Normale 4 2 4" xfId="26604" xr:uid="{CC7AA46C-70ED-4593-B8EF-454875CBCF54}"/>
    <cellStyle name="Normale 4 3" xfId="691" xr:uid="{00000000-0005-0000-0000-0000E5050000}"/>
    <cellStyle name="Normale 4 3 2" xfId="692" xr:uid="{00000000-0005-0000-0000-0000E6050000}"/>
    <cellStyle name="Normale 4 3 2 2" xfId="13476" xr:uid="{CF203EDC-E6D4-46D1-B5FF-95284ECA3F2C}"/>
    <cellStyle name="Normale 4 3 2 3" xfId="26607" xr:uid="{E9D1B159-5FCD-4CC1-A765-F122041E8DEF}"/>
    <cellStyle name="Normale 4 3 3" xfId="13213" xr:uid="{FC2851AA-19C8-4400-BF1F-AB1551683FF2}"/>
    <cellStyle name="Normale 4 3 4" xfId="26606" xr:uid="{421C6C32-C814-42FB-9837-1AE8F1F95BB2}"/>
    <cellStyle name="Normale 4 4" xfId="693" xr:uid="{00000000-0005-0000-0000-0000E7050000}"/>
    <cellStyle name="Normale 4 4 2" xfId="13474" xr:uid="{5E576451-1E28-4DE1-A942-A9CA16E06697}"/>
    <cellStyle name="Normale 4 4 3" xfId="26608" xr:uid="{D016AB1D-8F53-42F9-8BBF-33D5A764804D}"/>
    <cellStyle name="Normale 4 5" xfId="13211" xr:uid="{04AA19F3-F320-401E-9208-D477D91BAA95}"/>
    <cellStyle name="Normale 4 6" xfId="26603" xr:uid="{DCBFD719-E43F-438F-8C94-B884CCD0B241}"/>
    <cellStyle name="Normale 4_EDEN industria 2008 rev" xfId="694" xr:uid="{00000000-0005-0000-0000-0000E8050000}"/>
    <cellStyle name="Normale 40" xfId="695" xr:uid="{00000000-0005-0000-0000-0000E9050000}"/>
    <cellStyle name="Normale 40 2" xfId="696" xr:uid="{00000000-0005-0000-0000-0000EA050000}"/>
    <cellStyle name="Normale 40 2 2" xfId="13477" xr:uid="{7F5C26D0-A35C-44CB-A44A-5A994D0346EA}"/>
    <cellStyle name="Normale 40 2 3" xfId="26610" xr:uid="{F53B8403-D06A-4DEA-9194-3AC9BA912FF0}"/>
    <cellStyle name="Normale 40 3" xfId="13214" xr:uid="{8B7FE2E9-85D5-46D4-A6F0-381E5372D3FA}"/>
    <cellStyle name="Normale 40 4" xfId="26609" xr:uid="{494264C1-60D2-4DBA-B77B-39727AABAE59}"/>
    <cellStyle name="Normale 41" xfId="697" xr:uid="{00000000-0005-0000-0000-0000EB050000}"/>
    <cellStyle name="Normale 41 2" xfId="698" xr:uid="{00000000-0005-0000-0000-0000EC050000}"/>
    <cellStyle name="Normale 41 2 2" xfId="13478" xr:uid="{7B2B4A0D-C9C3-4D91-AFA2-C3499553FCD0}"/>
    <cellStyle name="Normale 41 2 3" xfId="26612" xr:uid="{59402AF0-7CCB-4BB2-B960-F101E87BDA56}"/>
    <cellStyle name="Normale 41 3" xfId="13215" xr:uid="{51556CC9-DD63-4F68-995E-7B361F87E1B9}"/>
    <cellStyle name="Normale 41 4" xfId="26611" xr:uid="{D5504061-5FB6-4A90-9EEB-93F1596C75A3}"/>
    <cellStyle name="Normale 42" xfId="699" xr:uid="{00000000-0005-0000-0000-0000ED050000}"/>
    <cellStyle name="Normale 42 2" xfId="700" xr:uid="{00000000-0005-0000-0000-0000EE050000}"/>
    <cellStyle name="Normale 42 2 2" xfId="13479" xr:uid="{260413BA-CF84-446E-B242-B67A0ED72C09}"/>
    <cellStyle name="Normale 42 2 3" xfId="26614" xr:uid="{B3A0B1DF-8685-404E-8F1C-6A2ED32FECDC}"/>
    <cellStyle name="Normale 42 3" xfId="13216" xr:uid="{447CDD61-8ADF-49C0-8C50-2DA1B2FF409F}"/>
    <cellStyle name="Normale 42 4" xfId="26613" xr:uid="{0A244961-C325-4658-AF3D-C60C1B20D46C}"/>
    <cellStyle name="Normale 43" xfId="701" xr:uid="{00000000-0005-0000-0000-0000EF050000}"/>
    <cellStyle name="Normale 43 2" xfId="702" xr:uid="{00000000-0005-0000-0000-0000F0050000}"/>
    <cellStyle name="Normale 43 2 2" xfId="13480" xr:uid="{FE25C291-52CA-4B9F-A551-A449264CC5BD}"/>
    <cellStyle name="Normale 43 2 3" xfId="26616" xr:uid="{BE24CD83-9101-4016-996B-18015BB0D213}"/>
    <cellStyle name="Normale 43 3" xfId="13217" xr:uid="{D86B0AA1-0358-4887-9312-09F61CB0B690}"/>
    <cellStyle name="Normale 43 4" xfId="26615" xr:uid="{51DA3DD5-C6D7-418D-A2A0-858990C5771E}"/>
    <cellStyle name="Normale 44" xfId="703" xr:uid="{00000000-0005-0000-0000-0000F1050000}"/>
    <cellStyle name="Normale 44 2" xfId="704" xr:uid="{00000000-0005-0000-0000-0000F2050000}"/>
    <cellStyle name="Normale 44 2 2" xfId="13481" xr:uid="{591F5399-43AE-40DE-A54C-37BC48A93159}"/>
    <cellStyle name="Normale 44 2 3" xfId="26618" xr:uid="{0BBA10A7-1F13-4531-B97F-ABA3BB2E8527}"/>
    <cellStyle name="Normale 44 3" xfId="13218" xr:uid="{2F338E19-08AB-43FF-B642-771850C100B8}"/>
    <cellStyle name="Normale 44 4" xfId="26617" xr:uid="{FD379033-34FA-4B2E-A222-36865BDCAC49}"/>
    <cellStyle name="Normale 45" xfId="705" xr:uid="{00000000-0005-0000-0000-0000F3050000}"/>
    <cellStyle name="Normale 45 2" xfId="706" xr:uid="{00000000-0005-0000-0000-0000F4050000}"/>
    <cellStyle name="Normale 45 2 2" xfId="13482" xr:uid="{420A11D4-1D05-4E5B-8B46-AFC41C87CAA7}"/>
    <cellStyle name="Normale 45 2 3" xfId="26620" xr:uid="{6E5DEDE9-8909-42BE-BF42-C6D405A1724A}"/>
    <cellStyle name="Normale 45 3" xfId="13219" xr:uid="{B247D582-9AAD-403E-88A5-DC00FB7460C7}"/>
    <cellStyle name="Normale 45 4" xfId="26619" xr:uid="{5E57785E-CEE1-459F-BF16-2060B73D042F}"/>
    <cellStyle name="Normale 46" xfId="707" xr:uid="{00000000-0005-0000-0000-0000F5050000}"/>
    <cellStyle name="Normale 46 2" xfId="708" xr:uid="{00000000-0005-0000-0000-0000F6050000}"/>
    <cellStyle name="Normale 46 2 2" xfId="13483" xr:uid="{BDEF8E50-3275-4E09-B180-7E89C0514CBF}"/>
    <cellStyle name="Normale 46 2 3" xfId="26622" xr:uid="{F7C5C21F-2D14-4431-956B-D08AC78EF4D4}"/>
    <cellStyle name="Normale 46 3" xfId="13220" xr:uid="{C00EEB14-A10E-498D-8C63-8615B972D92D}"/>
    <cellStyle name="Normale 46 4" xfId="26621" xr:uid="{F2B061E2-F4D2-4981-9595-656CBF83610B}"/>
    <cellStyle name="Normale 47" xfId="709" xr:uid="{00000000-0005-0000-0000-0000F7050000}"/>
    <cellStyle name="Normale 47 2" xfId="710" xr:uid="{00000000-0005-0000-0000-0000F8050000}"/>
    <cellStyle name="Normale 47 2 2" xfId="13484" xr:uid="{2331FB6B-AC39-4E28-9ECF-58862BFBF721}"/>
    <cellStyle name="Normale 47 2 3" xfId="26624" xr:uid="{015EBC96-081C-43CB-A2C5-5D2083A54FC3}"/>
    <cellStyle name="Normale 47 3" xfId="13221" xr:uid="{CB9DDA30-E822-4CD8-B232-C8B834AA8580}"/>
    <cellStyle name="Normale 47 4" xfId="26623" xr:uid="{FC854A77-5616-4776-AE52-9875C3B609DA}"/>
    <cellStyle name="Normale 48" xfId="711" xr:uid="{00000000-0005-0000-0000-0000F9050000}"/>
    <cellStyle name="Normale 48 2" xfId="712" xr:uid="{00000000-0005-0000-0000-0000FA050000}"/>
    <cellStyle name="Normale 48 2 2" xfId="13485" xr:uid="{4E2D3CA8-4636-4FD0-B93C-40338977A4D6}"/>
    <cellStyle name="Normale 48 2 3" xfId="26626" xr:uid="{4C9F14AB-9816-49E1-A4A1-7DEF8484E313}"/>
    <cellStyle name="Normale 48 3" xfId="13222" xr:uid="{D8E67EA3-71B1-41B5-A571-2283C7294099}"/>
    <cellStyle name="Normale 48 4" xfId="26625" xr:uid="{00233539-FE60-4286-B3BF-3C9929C5A429}"/>
    <cellStyle name="Normale 49" xfId="713" xr:uid="{00000000-0005-0000-0000-0000FB050000}"/>
    <cellStyle name="Normale 49 2" xfId="714" xr:uid="{00000000-0005-0000-0000-0000FC050000}"/>
    <cellStyle name="Normale 49 2 2" xfId="13486" xr:uid="{221B7582-5024-47C4-B397-53E9523F04BB}"/>
    <cellStyle name="Normale 49 2 3" xfId="26628" xr:uid="{570F714E-4C12-4498-849D-964F08A35610}"/>
    <cellStyle name="Normale 49 3" xfId="13223" xr:uid="{3223E72B-9C28-4D27-9690-590392A2DC26}"/>
    <cellStyle name="Normale 49 4" xfId="26627" xr:uid="{83F89BEE-EEEB-4EAF-832D-E50A8B70F9EA}"/>
    <cellStyle name="Normale 5" xfId="715" xr:uid="{00000000-0005-0000-0000-0000FD050000}"/>
    <cellStyle name="Normale 5 2" xfId="716" xr:uid="{00000000-0005-0000-0000-0000FE050000}"/>
    <cellStyle name="Normale 5 2 2" xfId="717" xr:uid="{00000000-0005-0000-0000-0000FF050000}"/>
    <cellStyle name="Normale 5 2 2 2" xfId="13488" xr:uid="{8D04A784-10DE-41ED-ACE7-69FF2DCBE52B}"/>
    <cellStyle name="Normale 5 2 2 3" xfId="26631" xr:uid="{CCEC3E95-3FBD-4FDD-B547-D05DD8F1C4DB}"/>
    <cellStyle name="Normale 5 2 3" xfId="13225" xr:uid="{04BEEB42-892A-456B-B0A9-7CF60F5FFBEA}"/>
    <cellStyle name="Normale 5 2 4" xfId="26630" xr:uid="{C571386B-9A81-4C38-89D0-CE5AC587A5D9}"/>
    <cellStyle name="Normale 5 3" xfId="718" xr:uid="{00000000-0005-0000-0000-000000060000}"/>
    <cellStyle name="Normale 5 3 2" xfId="719" xr:uid="{00000000-0005-0000-0000-000001060000}"/>
    <cellStyle name="Normale 5 3 2 2" xfId="13489" xr:uid="{75B5FF28-DC4B-4E1C-B694-9CF85AB5BE42}"/>
    <cellStyle name="Normale 5 3 2 3" xfId="26633" xr:uid="{6E4C05AE-C585-43E9-9902-461892D1F772}"/>
    <cellStyle name="Normale 5 3 3" xfId="13226" xr:uid="{7710BD57-51CE-4CB8-BBC8-B87DFC7DC6E9}"/>
    <cellStyle name="Normale 5 3 4" xfId="26632" xr:uid="{8A6821B3-4895-49E9-9511-9AD566926758}"/>
    <cellStyle name="Normale 5 4" xfId="720" xr:uid="{00000000-0005-0000-0000-000002060000}"/>
    <cellStyle name="Normale 5 4 2" xfId="13487" xr:uid="{403A58D7-8FCF-4A91-B9B2-762D708383EE}"/>
    <cellStyle name="Normale 5 4 3" xfId="26634" xr:uid="{1E0AA705-082C-4844-A626-5CA6EABABE8F}"/>
    <cellStyle name="Normale 5 5" xfId="13224" xr:uid="{C826482C-894C-4020-8801-20598B716A5E}"/>
    <cellStyle name="Normale 5 6" xfId="26629" xr:uid="{1E069F9C-BFF7-405A-AE0F-56CEA4A6128B}"/>
    <cellStyle name="Normale 5_EDEN industria 2008 rev" xfId="721" xr:uid="{00000000-0005-0000-0000-000003060000}"/>
    <cellStyle name="Normale 50" xfId="722" xr:uid="{00000000-0005-0000-0000-000004060000}"/>
    <cellStyle name="Normale 50 2" xfId="723" xr:uid="{00000000-0005-0000-0000-000005060000}"/>
    <cellStyle name="Normale 50 2 2" xfId="13490" xr:uid="{330A4027-4058-46AE-B900-F886C66FC741}"/>
    <cellStyle name="Normale 50 2 3" xfId="26636" xr:uid="{BE276201-9BB5-4612-A086-690212E65F45}"/>
    <cellStyle name="Normale 50 3" xfId="13227" xr:uid="{07A6FE91-0915-4884-B4A1-545DAC3D09EC}"/>
    <cellStyle name="Normale 50 4" xfId="26635" xr:uid="{9305BDBD-9191-4318-9C9A-3CD09EE82925}"/>
    <cellStyle name="Normale 51" xfId="724" xr:uid="{00000000-0005-0000-0000-000006060000}"/>
    <cellStyle name="Normale 51 2" xfId="725" xr:uid="{00000000-0005-0000-0000-000007060000}"/>
    <cellStyle name="Normale 51 2 2" xfId="13491" xr:uid="{DC7FDAD1-EE6B-4637-8362-227352A2CB1E}"/>
    <cellStyle name="Normale 51 2 3" xfId="26638" xr:uid="{00231BC9-835E-4AAB-84D0-4DA15BC35F77}"/>
    <cellStyle name="Normale 51 3" xfId="13228" xr:uid="{4C561223-633A-415F-BD5D-741189D6B129}"/>
    <cellStyle name="Normale 51 4" xfId="26637" xr:uid="{0E4FF3F7-DFBF-43AF-8902-4C33EFC15B98}"/>
    <cellStyle name="Normale 52" xfId="726" xr:uid="{00000000-0005-0000-0000-000008060000}"/>
    <cellStyle name="Normale 52 2" xfId="727" xr:uid="{00000000-0005-0000-0000-000009060000}"/>
    <cellStyle name="Normale 52 2 2" xfId="13492" xr:uid="{EBBCE616-B87D-41E5-B7B3-179CCB59670D}"/>
    <cellStyle name="Normale 52 2 3" xfId="26640" xr:uid="{645A77CA-64B4-472E-94D2-44D100026721}"/>
    <cellStyle name="Normale 52 3" xfId="13229" xr:uid="{B957CE43-648D-4895-8DE6-4ECB8DF15C03}"/>
    <cellStyle name="Normale 52 4" xfId="26639" xr:uid="{A388E880-18E7-4AC8-84D5-8ADA4EA61B2A}"/>
    <cellStyle name="Normale 53" xfId="728" xr:uid="{00000000-0005-0000-0000-00000A060000}"/>
    <cellStyle name="Normale 53 2" xfId="729" xr:uid="{00000000-0005-0000-0000-00000B060000}"/>
    <cellStyle name="Normale 53 2 2" xfId="13493" xr:uid="{8838C5E5-3C24-482E-A2A0-36239DB40844}"/>
    <cellStyle name="Normale 53 2 3" xfId="26642" xr:uid="{14F8EDAE-4B9B-4BBC-A95F-9E60FFEF9202}"/>
    <cellStyle name="Normale 53 3" xfId="13230" xr:uid="{DA7F9812-9AD7-46D1-BF4D-E6BE0F3D868D}"/>
    <cellStyle name="Normale 53 4" xfId="26641" xr:uid="{B4DCA91C-5C3C-4188-8357-463448989F0B}"/>
    <cellStyle name="Normale 54" xfId="730" xr:uid="{00000000-0005-0000-0000-00000C060000}"/>
    <cellStyle name="Normale 54 2" xfId="731" xr:uid="{00000000-0005-0000-0000-00000D060000}"/>
    <cellStyle name="Normale 54 2 2" xfId="13494" xr:uid="{D62A902D-3311-483F-82B6-D3DDC87C5EAF}"/>
    <cellStyle name="Normale 54 2 3" xfId="26644" xr:uid="{3C9D1953-9A02-4314-B7AB-B46B1E3E0E9F}"/>
    <cellStyle name="Normale 54 3" xfId="13231" xr:uid="{03A6CA82-261A-4353-BA38-FBB94BDF92DA}"/>
    <cellStyle name="Normale 54 4" xfId="26643" xr:uid="{D30A2773-21FF-493A-AC64-F27C49FD2867}"/>
    <cellStyle name="Normale 55" xfId="732" xr:uid="{00000000-0005-0000-0000-00000E060000}"/>
    <cellStyle name="Normale 55 2" xfId="733" xr:uid="{00000000-0005-0000-0000-00000F060000}"/>
    <cellStyle name="Normale 55 2 2" xfId="13495" xr:uid="{92AB5C51-BA00-4A0F-879A-262D90239856}"/>
    <cellStyle name="Normale 55 2 3" xfId="26646" xr:uid="{B7968E9B-B8C3-41FC-B15A-75FCEF093D58}"/>
    <cellStyle name="Normale 55 3" xfId="13232" xr:uid="{5D5F3DB1-BEF8-45D4-8AC2-D52D7E0705EF}"/>
    <cellStyle name="Normale 55 4" xfId="26645" xr:uid="{49853305-EA00-45A6-9847-287B605567C1}"/>
    <cellStyle name="Normale 56" xfId="734" xr:uid="{00000000-0005-0000-0000-000010060000}"/>
    <cellStyle name="Normale 56 2" xfId="735" xr:uid="{00000000-0005-0000-0000-000011060000}"/>
    <cellStyle name="Normale 56 2 2" xfId="13496" xr:uid="{D57E23FC-E656-4FC9-AEA3-1BAF420877F8}"/>
    <cellStyle name="Normale 56 2 3" xfId="26648" xr:uid="{5CD9B61F-7239-48E8-A5D0-AD7E703742E9}"/>
    <cellStyle name="Normale 56 3" xfId="13233" xr:uid="{76EBB083-8FEE-48A5-8F27-D82A3B982658}"/>
    <cellStyle name="Normale 56 4" xfId="26647" xr:uid="{5851B607-FCE1-4401-BA91-567778B3DD25}"/>
    <cellStyle name="Normale 57" xfId="736" xr:uid="{00000000-0005-0000-0000-000012060000}"/>
    <cellStyle name="Normale 57 2" xfId="737" xr:uid="{00000000-0005-0000-0000-000013060000}"/>
    <cellStyle name="Normale 57 2 2" xfId="13497" xr:uid="{8100225D-9F66-4197-BB3B-600E1F4050CA}"/>
    <cellStyle name="Normale 57 2 3" xfId="26650" xr:uid="{AA94115A-1F67-439B-B327-401EC7674CEC}"/>
    <cellStyle name="Normale 57 3" xfId="13234" xr:uid="{679841F2-7761-4DE5-954A-A50FDCF05FB0}"/>
    <cellStyle name="Normale 57 4" xfId="26649" xr:uid="{0B87B7F3-63F2-478E-9A43-3F174BD85033}"/>
    <cellStyle name="Normale 58" xfId="738" xr:uid="{00000000-0005-0000-0000-000014060000}"/>
    <cellStyle name="Normale 58 2" xfId="739" xr:uid="{00000000-0005-0000-0000-000015060000}"/>
    <cellStyle name="Normale 58 2 2" xfId="13498" xr:uid="{37F14728-C790-4D2A-ACAC-F0BCC3B9B059}"/>
    <cellStyle name="Normale 58 2 3" xfId="26652" xr:uid="{5C3F5FC6-E2D5-4A78-B8E0-A45A4BBEEE90}"/>
    <cellStyle name="Normale 58 3" xfId="13235" xr:uid="{FAAEE55B-70CD-4FC1-B220-48C5E3A2882F}"/>
    <cellStyle name="Normale 58 4" xfId="26651" xr:uid="{A8085905-1835-46DB-A372-8CA1A5F6B7DE}"/>
    <cellStyle name="Normale 59" xfId="740" xr:uid="{00000000-0005-0000-0000-000016060000}"/>
    <cellStyle name="Normale 59 2" xfId="741" xr:uid="{00000000-0005-0000-0000-000017060000}"/>
    <cellStyle name="Normale 59 2 2" xfId="13499" xr:uid="{7694778A-C900-42FE-B0FF-FC36DA974273}"/>
    <cellStyle name="Normale 59 2 3" xfId="26654" xr:uid="{FDA36CBB-757A-4BAA-BDBE-CA207EB9E1F3}"/>
    <cellStyle name="Normale 59 3" xfId="13236" xr:uid="{9A0FFC13-A8B0-4BD3-955C-B93EC50496D1}"/>
    <cellStyle name="Normale 59 4" xfId="26653" xr:uid="{2618A925-B9D7-4F4C-B2DB-7E1D6F4A3BF5}"/>
    <cellStyle name="Normale 6" xfId="742" xr:uid="{00000000-0005-0000-0000-000018060000}"/>
    <cellStyle name="Normale 6 2" xfId="743" xr:uid="{00000000-0005-0000-0000-000019060000}"/>
    <cellStyle name="Normale 6 2 2" xfId="744" xr:uid="{00000000-0005-0000-0000-00001A060000}"/>
    <cellStyle name="Normale 6 2 2 2" xfId="13501" xr:uid="{23637299-61F3-43A1-A0E3-66814ED5C94C}"/>
    <cellStyle name="Normale 6 2 2 3" xfId="26657" xr:uid="{D75EFE8A-9EEE-4E16-A470-ED4D302387B3}"/>
    <cellStyle name="Normale 6 2 3" xfId="13238" xr:uid="{90D26A6F-4B8E-43D0-B19F-266DF5A24ACC}"/>
    <cellStyle name="Normale 6 2 4" xfId="26656" xr:uid="{DEBCFE88-3D6A-4F30-B542-09983819A368}"/>
    <cellStyle name="Normale 6 3" xfId="745" xr:uid="{00000000-0005-0000-0000-00001B060000}"/>
    <cellStyle name="Normale 6 3 2" xfId="746" xr:uid="{00000000-0005-0000-0000-00001C060000}"/>
    <cellStyle name="Normale 6 3 2 2" xfId="13502" xr:uid="{0A18FCA2-8122-42A1-B040-922F49A22CC5}"/>
    <cellStyle name="Normale 6 3 2 3" xfId="26659" xr:uid="{CB201946-EFDC-461F-BB4E-E8CABA85612A}"/>
    <cellStyle name="Normale 6 3 3" xfId="13239" xr:uid="{53B5C6C1-8392-4CE1-AE92-C7B280B88277}"/>
    <cellStyle name="Normale 6 3 4" xfId="26658" xr:uid="{11F9A046-FB61-49C4-AF29-269CC1B7824E}"/>
    <cellStyle name="Normale 6 4" xfId="747" xr:uid="{00000000-0005-0000-0000-00001D060000}"/>
    <cellStyle name="Normale 6 4 2" xfId="13500" xr:uid="{BC6BE46F-92C9-4D7B-939F-07B8BF5AB7FB}"/>
    <cellStyle name="Normale 6 4 3" xfId="26660" xr:uid="{0E9B995E-C7F1-425A-8C1B-73C73D5C3B52}"/>
    <cellStyle name="Normale 6 5" xfId="13237" xr:uid="{2AEECFC7-B94F-479B-83C7-952ACE8A6023}"/>
    <cellStyle name="Normale 6 6" xfId="26655" xr:uid="{0CC986AF-BC33-421B-8134-59F823881FB5}"/>
    <cellStyle name="Normale 6_EDEN industria 2008 rev" xfId="748" xr:uid="{00000000-0005-0000-0000-00001E060000}"/>
    <cellStyle name="Normale 60" xfId="749" xr:uid="{00000000-0005-0000-0000-00001F060000}"/>
    <cellStyle name="Normale 60 2" xfId="750" xr:uid="{00000000-0005-0000-0000-000020060000}"/>
    <cellStyle name="Normale 60 2 2" xfId="13503" xr:uid="{CD903034-8011-4EED-BAA7-64BEF015DF72}"/>
    <cellStyle name="Normale 60 2 3" xfId="26662" xr:uid="{7A49EFF3-C5E0-421B-A898-29BD09F53726}"/>
    <cellStyle name="Normale 60 3" xfId="13240" xr:uid="{8E49CA04-DCAE-43B4-9A56-25B99A8A8F36}"/>
    <cellStyle name="Normale 60 4" xfId="26661" xr:uid="{93E29BF5-115C-402F-A2AB-9BF1A0F64A24}"/>
    <cellStyle name="Normale 61" xfId="751" xr:uid="{00000000-0005-0000-0000-000021060000}"/>
    <cellStyle name="Normale 61 2" xfId="752" xr:uid="{00000000-0005-0000-0000-000022060000}"/>
    <cellStyle name="Normale 61 2 2" xfId="13504" xr:uid="{3B1D6171-E077-445E-B238-A662014E920B}"/>
    <cellStyle name="Normale 61 2 3" xfId="26664" xr:uid="{050AFDB1-4634-4A69-8FD2-AE7E0BC1A721}"/>
    <cellStyle name="Normale 61 3" xfId="13241" xr:uid="{DF93C380-F5A8-4109-A824-EA874CA0B635}"/>
    <cellStyle name="Normale 61 4" xfId="26663" xr:uid="{B6843D0D-9EC3-480B-BE15-E61885BEEAC3}"/>
    <cellStyle name="Normale 62" xfId="753" xr:uid="{00000000-0005-0000-0000-000023060000}"/>
    <cellStyle name="Normale 62 2" xfId="754" xr:uid="{00000000-0005-0000-0000-000024060000}"/>
    <cellStyle name="Normale 62 2 2" xfId="13505" xr:uid="{8EC4782A-76ED-40D9-B574-EB1745EB52FF}"/>
    <cellStyle name="Normale 62 2 3" xfId="26666" xr:uid="{5616E69A-A4D2-467A-B99B-6BA2D6DF07CA}"/>
    <cellStyle name="Normale 62 3" xfId="13242" xr:uid="{808B16E4-57C0-4231-8CBB-EA7825D69179}"/>
    <cellStyle name="Normale 62 4" xfId="26665" xr:uid="{4688096E-0065-4122-B780-042A08748171}"/>
    <cellStyle name="Normale 63" xfId="755" xr:uid="{00000000-0005-0000-0000-000025060000}"/>
    <cellStyle name="Normale 63 2" xfId="756" xr:uid="{00000000-0005-0000-0000-000026060000}"/>
    <cellStyle name="Normale 63 2 2" xfId="13506" xr:uid="{82F22B25-53BA-4334-9034-3F113A73B044}"/>
    <cellStyle name="Normale 63 2 3" xfId="26668" xr:uid="{1D7B3264-2147-4BC7-BFC5-7939A5B1258B}"/>
    <cellStyle name="Normale 63 3" xfId="13243" xr:uid="{35AD0FB8-8CD3-427E-B3EC-3009FB8E4EE4}"/>
    <cellStyle name="Normale 63 4" xfId="26667" xr:uid="{C8F0C85C-ADBC-489E-A3AF-44BE81F3AB59}"/>
    <cellStyle name="Normale 64" xfId="757" xr:uid="{00000000-0005-0000-0000-000027060000}"/>
    <cellStyle name="Normale 64 2" xfId="758" xr:uid="{00000000-0005-0000-0000-000028060000}"/>
    <cellStyle name="Normale 64 2 2" xfId="13507" xr:uid="{A7E7D7BA-2A2D-41B4-B686-25962F3BB9ED}"/>
    <cellStyle name="Normale 64 2 3" xfId="26670" xr:uid="{FF396A60-8D44-4FA0-8760-614F534B9D65}"/>
    <cellStyle name="Normale 64 3" xfId="13244" xr:uid="{EEDC1192-D15F-46C4-8B5A-605402FE735E}"/>
    <cellStyle name="Normale 64 4" xfId="26669" xr:uid="{767612A6-840B-47FF-A091-000A184F0D2E}"/>
    <cellStyle name="Normale 65" xfId="759" xr:uid="{00000000-0005-0000-0000-000029060000}"/>
    <cellStyle name="Normale 65 2" xfId="760" xr:uid="{00000000-0005-0000-0000-00002A060000}"/>
    <cellStyle name="Normale 65 2 2" xfId="13508" xr:uid="{3E049862-8BA0-44E8-9F42-9CE3228BC978}"/>
    <cellStyle name="Normale 65 2 3" xfId="26672" xr:uid="{4699D664-7761-4BC4-8D95-4563F11FB602}"/>
    <cellStyle name="Normale 65 3" xfId="13245" xr:uid="{30F72BAC-E6C4-443A-A67A-7B19395CCF98}"/>
    <cellStyle name="Normale 65 4" xfId="26671" xr:uid="{90A3B9AC-3637-4DCC-B0BB-C40CCC07887F}"/>
    <cellStyle name="Normale 7" xfId="761" xr:uid="{00000000-0005-0000-0000-00002B060000}"/>
    <cellStyle name="Normale 7 2" xfId="762" xr:uid="{00000000-0005-0000-0000-00002C060000}"/>
    <cellStyle name="Normale 7 2 2" xfId="763" xr:uid="{00000000-0005-0000-0000-00002D060000}"/>
    <cellStyle name="Normale 7 2 2 2" xfId="13510" xr:uid="{4AA6D427-35D4-4C4A-99E7-A56C00887211}"/>
    <cellStyle name="Normale 7 2 2 3" xfId="26675" xr:uid="{FA38BE2A-7973-4C8A-83C4-5AAF02F15842}"/>
    <cellStyle name="Normale 7 2 3" xfId="13247" xr:uid="{63D06842-063F-4A70-9131-C48E31119C5D}"/>
    <cellStyle name="Normale 7 2 4" xfId="26674" xr:uid="{72AC0559-C485-4D9E-B3B9-B5DC2BC7A14B}"/>
    <cellStyle name="Normale 7 3" xfId="764" xr:uid="{00000000-0005-0000-0000-00002E060000}"/>
    <cellStyle name="Normale 7 3 2" xfId="765" xr:uid="{00000000-0005-0000-0000-00002F060000}"/>
    <cellStyle name="Normale 7 3 2 2" xfId="13511" xr:uid="{462257A5-CE34-4319-B1F2-320AE8D4A8DD}"/>
    <cellStyle name="Normale 7 3 2 3" xfId="26677" xr:uid="{07047716-0616-418B-B6EF-51DD46555977}"/>
    <cellStyle name="Normale 7 3 3" xfId="13248" xr:uid="{809CB64F-D444-4D65-A0A0-B1B70160917D}"/>
    <cellStyle name="Normale 7 3 4" xfId="26676" xr:uid="{D76DC9BA-893F-4DAA-955D-780C63AA541A}"/>
    <cellStyle name="Normale 7 4" xfId="766" xr:uid="{00000000-0005-0000-0000-000030060000}"/>
    <cellStyle name="Normale 7 4 2" xfId="13509" xr:uid="{EC5D3C1D-1745-4D1F-8061-5A19772FE9F6}"/>
    <cellStyle name="Normale 7 4 3" xfId="26678" xr:uid="{F60E4C47-C215-4769-8649-79D0CD0D134B}"/>
    <cellStyle name="Normale 7 5" xfId="13246" xr:uid="{5C554234-610C-4FDB-B5EC-1D7B1E926A23}"/>
    <cellStyle name="Normale 7 6" xfId="26673" xr:uid="{E9351115-4E59-4198-A5B7-0C749D4DD1DC}"/>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2 2 2" xfId="13513" xr:uid="{ECDA71A5-010C-48E0-936B-416A85258921}"/>
    <cellStyle name="Normale 8 2 2 3" xfId="26681" xr:uid="{CD16C241-39C5-4995-A566-A7EA67E5E28F}"/>
    <cellStyle name="Normale 8 2 3" xfId="13250" xr:uid="{F6953B84-F527-43FA-BD2B-7E55BDA66F70}"/>
    <cellStyle name="Normale 8 2 4" xfId="26680" xr:uid="{23B5C6D1-6107-4244-BDAF-4AC8AA002A92}"/>
    <cellStyle name="Normale 8 3" xfId="771" xr:uid="{00000000-0005-0000-0000-000035060000}"/>
    <cellStyle name="Normale 8 3 2" xfId="772" xr:uid="{00000000-0005-0000-0000-000036060000}"/>
    <cellStyle name="Normale 8 3 2 2" xfId="13514" xr:uid="{D1FD96E8-CB85-4973-A87D-818B9056CEE4}"/>
    <cellStyle name="Normale 8 3 2 3" xfId="26683" xr:uid="{D74F93A8-5195-4066-A432-00D896C6E0D8}"/>
    <cellStyle name="Normale 8 3 3" xfId="13251" xr:uid="{906E6ADA-8BBA-46CC-9084-4B3D540A4717}"/>
    <cellStyle name="Normale 8 3 4" xfId="26682" xr:uid="{632094EB-D509-435A-9270-6DECB005E4D2}"/>
    <cellStyle name="Normale 8 4" xfId="773" xr:uid="{00000000-0005-0000-0000-000037060000}"/>
    <cellStyle name="Normale 8 4 2" xfId="13512" xr:uid="{FBBE6D52-311E-43D7-8C0A-B2201B60B1B0}"/>
    <cellStyle name="Normale 8 4 3" xfId="26684" xr:uid="{52CBCD97-1ED4-4D7A-AB9C-B363B15E0EB9}"/>
    <cellStyle name="Normale 8 5" xfId="13249" xr:uid="{D945D9A3-1F2C-4638-B96D-BA6EC9CD2269}"/>
    <cellStyle name="Normale 8 6" xfId="26679" xr:uid="{7CE9BC07-1F23-4990-A43D-F59B16E1F266}"/>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2 2 2" xfId="13516" xr:uid="{18236570-8E28-425E-95C9-6F37E58357DE}"/>
    <cellStyle name="Normale 9 2 2 3" xfId="26687" xr:uid="{DCE445A9-42BE-4949-80B8-197E158BF5A8}"/>
    <cellStyle name="Normale 9 2 3" xfId="13253" xr:uid="{3F2AEBA2-D101-469D-A155-E419D2A493E2}"/>
    <cellStyle name="Normale 9 2 4" xfId="26686" xr:uid="{2E4BA16B-CD62-4A65-B2A9-9F2E0AEC2856}"/>
    <cellStyle name="Normale 9 3" xfId="778" xr:uid="{00000000-0005-0000-0000-00003C060000}"/>
    <cellStyle name="Normale 9 3 2" xfId="779" xr:uid="{00000000-0005-0000-0000-00003D060000}"/>
    <cellStyle name="Normale 9 3 2 2" xfId="13517" xr:uid="{A4758B9C-1133-4C9F-833E-1C9716CF4B1A}"/>
    <cellStyle name="Normale 9 3 2 3" xfId="26689" xr:uid="{0762319C-789C-444D-A19A-72213EC99B2E}"/>
    <cellStyle name="Normale 9 3 3" xfId="13254" xr:uid="{B6AD9C70-BCDA-4883-A9D6-865F6B23CDAF}"/>
    <cellStyle name="Normale 9 3 4" xfId="26688" xr:uid="{3CCB2BB5-B789-4F76-A5FB-1CE85261139F}"/>
    <cellStyle name="Normale 9 4" xfId="780" xr:uid="{00000000-0005-0000-0000-00003E060000}"/>
    <cellStyle name="Normale 9 4 2" xfId="13515" xr:uid="{96AF77B0-AA0D-47D1-999F-42091EDFC4BD}"/>
    <cellStyle name="Normale 9 4 3" xfId="26690" xr:uid="{3A7AB1E5-72ED-4320-811D-27241223C1B5}"/>
    <cellStyle name="Normale 9 5" xfId="13252" xr:uid="{3EC5706B-2B75-4D6E-9527-97E9D93F88E9}"/>
    <cellStyle name="Normale 9 6" xfId="26685" xr:uid="{51519371-6BBF-4B6E-8569-40ACFD562EFC}"/>
    <cellStyle name="Normale 9_EDEN industria 2008 rev" xfId="781" xr:uid="{00000000-0005-0000-0000-00003F060000}"/>
    <cellStyle name="Normale_B2020" xfId="782" xr:uid="{00000000-0005-0000-0000-000040060000}"/>
    <cellStyle name="Nota" xfId="783" xr:uid="{00000000-0005-0000-0000-000041060000}"/>
    <cellStyle name="Nota 10" xfId="9232" xr:uid="{17604FBB-0533-42AF-8385-274CE8EF9671}"/>
    <cellStyle name="Nota 10 2" xfId="26692" xr:uid="{D1E1B6F1-03D3-4620-9BB4-2AFB92CAF242}"/>
    <cellStyle name="Nota 11" xfId="26691" xr:uid="{952B7A6A-215C-492A-9215-FFFE9DDCFA0B}"/>
    <cellStyle name="Nota 2" xfId="784" xr:uid="{00000000-0005-0000-0000-000042060000}"/>
    <cellStyle name="Nota 2 2" xfId="2070" xr:uid="{00000000-0005-0000-0000-000043060000}"/>
    <cellStyle name="Nota 2 2 2" xfId="13518" xr:uid="{1F71E99E-FDB1-4671-AD7B-0C935F9CD678}"/>
    <cellStyle name="Nota 2 2 2 2" xfId="19037" xr:uid="{71FC2C49-5FA9-4B8B-B04E-6BC8F82B8A83}"/>
    <cellStyle name="Nota 2 2 3" xfId="17710" xr:uid="{A1DC160B-A197-41C0-858C-CC92A5A47BF1}"/>
    <cellStyle name="Nota 2 2 4" xfId="26694" xr:uid="{DA5E8CCE-2E23-4570-8466-C473B01E4337}"/>
    <cellStyle name="Nota 2 3" xfId="9233" xr:uid="{7575769A-D1A9-42DC-AA59-45745CB90D93}"/>
    <cellStyle name="Nota 2 3 2" xfId="18625" xr:uid="{E5801005-2221-4E10-9606-18DF0FEFB912}"/>
    <cellStyle name="Nota 2 3 3" xfId="26695" xr:uid="{719E3BC8-FA75-45A4-9218-98EEED09DE91}"/>
    <cellStyle name="Nota 2 4" xfId="9234" xr:uid="{CA99AD1C-5A50-4D5E-8F68-B652326DA694}"/>
    <cellStyle name="Nota 2 4 2" xfId="26696" xr:uid="{8191615F-E1C9-40C1-B708-3B503A0E0091}"/>
    <cellStyle name="Nota 2 5" xfId="9235" xr:uid="{5A9D2A33-B521-45FB-824F-3369B83D1BFB}"/>
    <cellStyle name="Nota 2 5 2" xfId="26697" xr:uid="{AD2CF813-8DE3-42BF-AEE1-325C431F3004}"/>
    <cellStyle name="Nota 2 6" xfId="9236" xr:uid="{1D167E10-5408-4F68-8D3C-66D64B15804A}"/>
    <cellStyle name="Nota 2 6 2" xfId="26698" xr:uid="{F9CEB985-BEA3-4EF8-86F9-0351CBC83BF0}"/>
    <cellStyle name="Nota 2 7" xfId="26693" xr:uid="{A795E788-9130-45D0-863E-D625FE7A3EF5}"/>
    <cellStyle name="Nota 3" xfId="785" xr:uid="{00000000-0005-0000-0000-000044060000}"/>
    <cellStyle name="Nota 3 2" xfId="786" xr:uid="{00000000-0005-0000-0000-000045060000}"/>
    <cellStyle name="Nota 3 2 2" xfId="2071" xr:uid="{00000000-0005-0000-0000-000046060000}"/>
    <cellStyle name="Nota 3 2 2 2" xfId="2072" xr:uid="{00000000-0005-0000-0000-000047060000}"/>
    <cellStyle name="Nota 3 2 2 2 2" xfId="17844" xr:uid="{7A81B047-270C-4E49-AC07-3CFDBEE31E91}"/>
    <cellStyle name="Nota 3 2 2 2 3" xfId="26702" xr:uid="{76779240-1689-41A6-9A9E-CD9AA7F42E28}"/>
    <cellStyle name="Nota 3 2 2 3" xfId="17712" xr:uid="{F978474E-0BAF-45EE-92D8-71A57A631A5D}"/>
    <cellStyle name="Nota 3 2 2 4" xfId="26701" xr:uid="{C440A37F-1CDD-4309-9890-37C4782494D2}"/>
    <cellStyle name="Nota 3 2 3" xfId="2073" xr:uid="{00000000-0005-0000-0000-000048060000}"/>
    <cellStyle name="Nota 3 2 3 2" xfId="14072" xr:uid="{19E015DD-216D-42D3-89F4-5A7CD0DCEBC0}"/>
    <cellStyle name="Nota 3 2 3 2 2" xfId="26704" xr:uid="{DFD72275-BDD2-450E-80DB-9156A129820F}"/>
    <cellStyle name="Nota 3 2 3 3" xfId="17845" xr:uid="{D70A0E09-CE77-49E9-B475-509B31D730C0}"/>
    <cellStyle name="Nota 3 2 3 4" xfId="26703" xr:uid="{951468D8-B1DE-433D-AACE-1EA984F0D8AE}"/>
    <cellStyle name="Nota 3 2 3 5" xfId="48977" xr:uid="{CAC5C9AB-E216-4797-8FB3-4DD712CDD3B5}"/>
    <cellStyle name="Nota 3 2 4" xfId="9237" xr:uid="{16B53B15-4EB9-49EC-9851-AC74B812650E}"/>
    <cellStyle name="Nota 3 2 4 2" xfId="18149" xr:uid="{06E3589D-D937-4A01-A261-9087664652F8}"/>
    <cellStyle name="Nota 3 2 4 3" xfId="21242" xr:uid="{19E7B223-C810-41CF-B90A-B6CEB987D8AA}"/>
    <cellStyle name="Nota 3 2 4 4" xfId="26705" xr:uid="{F089EE80-1436-4CF2-BF44-B276B9495CE4}"/>
    <cellStyle name="Nota 3 2 4 5" xfId="17468" xr:uid="{80385EB8-B28C-4445-AC91-C2563B8FCF06}"/>
    <cellStyle name="Nota 3 2 5" xfId="9238" xr:uid="{FF665BE5-482D-4B13-AD74-C7BCA3A7AB59}"/>
    <cellStyle name="Nota 3 2 5 2" xfId="18567" xr:uid="{F7D0A4ED-3814-46C8-AE53-D0CDDC34E891}"/>
    <cellStyle name="Nota 3 2 5 3" xfId="26706" xr:uid="{E2846075-349D-4D93-9D6A-865C2743C5A9}"/>
    <cellStyle name="Nota 3 2 5 4" xfId="17462" xr:uid="{5DB7A828-99F6-48AA-A74A-3228593EF56D}"/>
    <cellStyle name="Nota 3 2 6" xfId="9239" xr:uid="{83FCB1D8-A46B-4FFE-B770-3154B56545A1}"/>
    <cellStyle name="Nota 3 2 6 2" xfId="26707" xr:uid="{8B7AF7C2-986F-436B-8DE7-18755A157E19}"/>
    <cellStyle name="Nota 3 2 7" xfId="26700" xr:uid="{EE1488C7-48DF-4B66-A57B-3EFA5294306F}"/>
    <cellStyle name="Nota 3 3" xfId="2074" xr:uid="{00000000-0005-0000-0000-000049060000}"/>
    <cellStyle name="Nota 3 3 2" xfId="9240" xr:uid="{A6528DA4-4FD2-442B-95E3-7557C16125E6}"/>
    <cellStyle name="Nota 3 3 2 2" xfId="18296" xr:uid="{CF1D5370-3246-4BCA-9C14-C78198320995}"/>
    <cellStyle name="Nota 3 3 2 3" xfId="26709" xr:uid="{00F19E2E-CEB8-400F-BC15-97EC7325942C}"/>
    <cellStyle name="Nota 3 3 3" xfId="17711" xr:uid="{2DA72051-3388-4061-9363-1FFF4CA82FFC}"/>
    <cellStyle name="Nota 3 3 4" xfId="26708" xr:uid="{5AA55BB6-F6A4-4A99-9833-2C0CA00DBE33}"/>
    <cellStyle name="Nota 3 4" xfId="4093" xr:uid="{5AAEDC52-1C55-42E7-B8E6-D0223E699AC7}"/>
    <cellStyle name="Nota 3 4 2" xfId="13732" xr:uid="{7B32ADA0-FD7F-41C9-9E52-C8641C5B21EE}"/>
    <cellStyle name="Nota 3 4 2 2" xfId="19038" xr:uid="{E5C77765-DC44-4EB7-9E7A-D0835B6465A4}"/>
    <cellStyle name="Nota 3 4 3" xfId="17713" xr:uid="{5F7DD80F-1591-4FDA-AF53-B42728335F8D}"/>
    <cellStyle name="Nota 3 4 4" xfId="26710" xr:uid="{CE92B5E9-C99D-4C59-87F8-1FEEBC2E707C}"/>
    <cellStyle name="Nota 3 5" xfId="9241" xr:uid="{43053810-B8CA-4486-A66F-D81DF4B5AAD2}"/>
    <cellStyle name="Nota 3 5 2" xfId="18141" xr:uid="{9FE4B626-DA12-4D30-ACE2-DEEA8EC88B84}"/>
    <cellStyle name="Nota 3 5 3" xfId="26711" xr:uid="{1492A781-0580-4AA0-BCF0-AD7A797A0312}"/>
    <cellStyle name="Nota 3 6" xfId="9242" xr:uid="{CFFB3110-1C3A-456D-BE5B-CEAC37110583}"/>
    <cellStyle name="Nota 3 6 2" xfId="26712" xr:uid="{7E7A8CD8-12DE-4EC6-B0A9-A7C7AFB69FCA}"/>
    <cellStyle name="Nota 3 7" xfId="9243" xr:uid="{0EC9B1EA-B60A-4602-931C-FD8612FA430E}"/>
    <cellStyle name="Nota 3 7 2" xfId="26713" xr:uid="{85A69E0D-590F-4A4D-A5CB-574198C9D25E}"/>
    <cellStyle name="Nota 3 8" xfId="26699" xr:uid="{D938E483-79DA-4998-BE83-3281C8E32F26}"/>
    <cellStyle name="Nota 4" xfId="787" xr:uid="{00000000-0005-0000-0000-00004A060000}"/>
    <cellStyle name="Nota 4 2" xfId="2075" xr:uid="{00000000-0005-0000-0000-00004B060000}"/>
    <cellStyle name="Nota 4 2 2" xfId="2076" xr:uid="{00000000-0005-0000-0000-00004C060000}"/>
    <cellStyle name="Nota 4 2 2 2" xfId="26716" xr:uid="{370B8D88-92F6-46E8-A7FE-16B9EBFD3B27}"/>
    <cellStyle name="Nota 4 2 3" xfId="17846" xr:uid="{C326065A-21AC-4244-9747-5D5AF4D25C1E}"/>
    <cellStyle name="Nota 4 2 4" xfId="21239" xr:uid="{B7F2738B-C2BB-4ED1-A1B7-83E02FAC80F4}"/>
    <cellStyle name="Nota 4 2 5" xfId="26715" xr:uid="{87436515-FCBE-442D-8897-85DADEFD6720}"/>
    <cellStyle name="Nota 4 2 6" xfId="17009" xr:uid="{2AFE020A-3A33-4CF1-8497-C80ED43B0727}"/>
    <cellStyle name="Nota 4 3" xfId="2077" xr:uid="{00000000-0005-0000-0000-00004D060000}"/>
    <cellStyle name="Nota 4 3 2" xfId="17847" xr:uid="{3D8AC9A8-EC7B-4DD9-98C9-59B3DCD6ADD6}"/>
    <cellStyle name="Nota 4 3 3" xfId="26717" xr:uid="{8AD539DA-2427-4CE0-A72C-64EFF765F2FB}"/>
    <cellStyle name="Nota 4 4" xfId="9244" xr:uid="{1CD62225-FF8A-4008-A05C-CD2288FA3637}"/>
    <cellStyle name="Nota 4 4 2" xfId="26718" xr:uid="{A3DE78C5-7C5C-4814-B64E-B3AF17361434}"/>
    <cellStyle name="Nota 4 5" xfId="9245" xr:uid="{A870E056-F11E-48AD-B093-C05F76C700AE}"/>
    <cellStyle name="Nota 4 5 2" xfId="26719" xr:uid="{D835BED8-E6B2-4901-A346-157A0C31ACD7}"/>
    <cellStyle name="Nota 4 6" xfId="9246" xr:uid="{FE8106DE-A971-4567-A6B4-88CB2C10EB0F}"/>
    <cellStyle name="Nota 4 6 2" xfId="26720" xr:uid="{1FCB8216-8DA4-4540-8AF9-066E5BFFEC04}"/>
    <cellStyle name="Nota 4 7" xfId="26714" xr:uid="{9457E34D-3801-4864-8A87-CE8EA9C18F95}"/>
    <cellStyle name="Nota 5" xfId="2078" xr:uid="{00000000-0005-0000-0000-00004E060000}"/>
    <cellStyle name="Nota 5 2" xfId="2079" xr:uid="{00000000-0005-0000-0000-00004F060000}"/>
    <cellStyle name="Nota 5 2 2" xfId="17848" xr:uid="{004DEDFB-9831-47A9-A361-AC71165420F9}"/>
    <cellStyle name="Nota 5 2 3" xfId="26722" xr:uid="{451BA248-87EC-43BA-A117-01F750A75346}"/>
    <cellStyle name="Nota 5 3" xfId="9247" xr:uid="{DC476628-7F8B-41BE-B6F3-62E751348284}"/>
    <cellStyle name="Nota 5 3 2" xfId="26723" xr:uid="{E118D133-3AC6-41C7-B66B-6D6330ECB059}"/>
    <cellStyle name="Nota 5 4" xfId="9248" xr:uid="{7EBB9226-B7F2-4FC1-ABA7-E31A413970E1}"/>
    <cellStyle name="Nota 5 4 2" xfId="26724" xr:uid="{CE72DB18-1512-4C63-993C-D1131F0C5B16}"/>
    <cellStyle name="Nota 5 5" xfId="9249" xr:uid="{F6481A90-0286-4633-AEDD-FDF877302B17}"/>
    <cellStyle name="Nota 5 5 2" xfId="26725" xr:uid="{62569D9F-B5DF-44D1-827C-AE36335551C1}"/>
    <cellStyle name="Nota 5 6" xfId="9250" xr:uid="{B461005B-8CDF-4F21-B710-442790950A5A}"/>
    <cellStyle name="Nota 5 6 2" xfId="26726" xr:uid="{E66E7BAB-E553-4FAF-81F0-DC2566D364B8}"/>
    <cellStyle name="Nota 5 7" xfId="26721" xr:uid="{5283CCBD-83DB-4584-993B-5D02FEFCD2A8}"/>
    <cellStyle name="Nota 6" xfId="2080" xr:uid="{00000000-0005-0000-0000-000050060000}"/>
    <cellStyle name="Nota 6 2" xfId="9767" xr:uid="{F8021FA0-C8C3-43A5-B9EA-96B20A84D8B3}"/>
    <cellStyle name="Nota 6 2 2" xfId="18735" xr:uid="{0B9CE564-B019-43DA-905A-C57DE42DB3E4}"/>
    <cellStyle name="Nota 6 3" xfId="17709" xr:uid="{5217F364-F39D-47DE-93B2-451DE1882013}"/>
    <cellStyle name="Nota 6 4" xfId="26727" xr:uid="{6412B124-13FA-4FE2-BAF3-D278C8A6EF74}"/>
    <cellStyle name="Nota 7" xfId="4094" xr:uid="{B8D2523C-DF13-48FA-A53C-8A3604A97DB6}"/>
    <cellStyle name="Nota 7 2" xfId="17515" xr:uid="{E57C4B43-D62F-4324-8C88-C3E4FA9A3AF9}"/>
    <cellStyle name="Nota 7 3" xfId="26728" xr:uid="{768ADD7F-0CBD-46BE-ACDC-661DC2AB3085}"/>
    <cellStyle name="Nota 8" xfId="9251" xr:uid="{75DD9BC4-F3CB-4615-B6DD-3E5904F5275C}"/>
    <cellStyle name="Nota 8 2" xfId="26729" xr:uid="{6CDFC767-6317-446B-950C-9D35DE08AFA3}"/>
    <cellStyle name="Nota 9" xfId="9252" xr:uid="{5DFFDE3E-CB86-4B13-B77C-70189DF1B1BE}"/>
    <cellStyle name="Nota 9 2" xfId="26730" xr:uid="{576FBDFF-8B80-4E88-80B5-10FEF1FFED61}"/>
    <cellStyle name="Note 2" xfId="2081" xr:uid="{00000000-0005-0000-0000-000051060000}"/>
    <cellStyle name="Note 2 2" xfId="2082" xr:uid="{00000000-0005-0000-0000-000052060000}"/>
    <cellStyle name="Note 2 2 2" xfId="2083" xr:uid="{00000000-0005-0000-0000-000053060000}"/>
    <cellStyle name="Note 2 2 2 2" xfId="26733" xr:uid="{B5D38532-EA04-4E3D-900E-9BD0797EEC61}"/>
    <cellStyle name="Note 2 2 2 3" xfId="17851" xr:uid="{728127E1-D783-48D9-8028-370D222C09DF}"/>
    <cellStyle name="Note 2 2 3" xfId="26734" xr:uid="{64349127-6E69-4227-8E11-A6B1CE87DE1F}"/>
    <cellStyle name="Note 2 2 4" xfId="26732" xr:uid="{F2C60866-2989-4D4A-AF3B-1375B12D0C08}"/>
    <cellStyle name="Note 2 2 5" xfId="48979" xr:uid="{F413384D-A0DA-4271-B1CB-1B20C27FEAF3}"/>
    <cellStyle name="Note 2 2 6" xfId="17850" xr:uid="{483E6FA9-DEE5-4883-86B1-4C39AA8B01A0}"/>
    <cellStyle name="Note 2 3" xfId="2084" xr:uid="{00000000-0005-0000-0000-000054060000}"/>
    <cellStyle name="Note 2 3 2" xfId="26735" xr:uid="{51457BD8-B0D6-442A-8E85-C3098DCEEEEE}"/>
    <cellStyle name="Note 2 3 3" xfId="17852" xr:uid="{5DFD9276-F9AD-48F2-BE8E-2283B3278473}"/>
    <cellStyle name="Note 2 4" xfId="26736" xr:uid="{67F3A8EB-F3B6-4AD1-8402-68EDF2C09C60}"/>
    <cellStyle name="Note 2 5" xfId="26731" xr:uid="{11EE935D-4488-4368-AF98-AAF49639AFA2}"/>
    <cellStyle name="Note 2 6" xfId="48978" xr:uid="{61456FD9-A1E5-44EF-B7A4-749E4CE1FC2C}"/>
    <cellStyle name="Note 2 7" xfId="17849" xr:uid="{8C67D7D7-6E5C-4D91-9413-AB9B7AE265F0}"/>
    <cellStyle name="Note 3" xfId="26737" xr:uid="{BE9DDFBE-0C62-4FD4-9B8A-639AD67A94BC}"/>
    <cellStyle name="Note 3 2" xfId="48980" xr:uid="{50D51BF1-1A86-47D4-A41C-1E51E0A22DC9}"/>
    <cellStyle name="Note 4" xfId="26738" xr:uid="{95299712-E502-49D8-B228-6518B8855A4C}"/>
    <cellStyle name="Note 4 2" xfId="48981" xr:uid="{3009F920-F1A1-412B-9073-3E1CCE6D60B4}"/>
    <cellStyle name="Nuovo" xfId="788" xr:uid="{00000000-0005-0000-0000-000055060000}"/>
    <cellStyle name="Nuovo 10" xfId="789" xr:uid="{00000000-0005-0000-0000-000056060000}"/>
    <cellStyle name="Nuovo 10 2" xfId="790" xr:uid="{00000000-0005-0000-0000-000057060000}"/>
    <cellStyle name="Nuovo 10 2 2" xfId="4095" xr:uid="{723A12F6-28DB-44D7-B59B-154C35212950}"/>
    <cellStyle name="Nuovo 10 2 2 2" xfId="13519" xr:uid="{3DDF913E-21EA-494D-ACB5-27AE16723BC0}"/>
    <cellStyle name="Nuovo 10 2 2 3" xfId="26742" xr:uid="{670C7151-4A39-4863-86DF-D5FCA124DCE3}"/>
    <cellStyle name="Nuovo 10 2 3" xfId="13255" xr:uid="{FC9B2A64-AC16-4873-9537-4C80F78CA456}"/>
    <cellStyle name="Nuovo 10 2 4" xfId="26741" xr:uid="{4458848A-5F79-4A25-90AC-864AB900AC1B}"/>
    <cellStyle name="Nuovo 10 3" xfId="791" xr:uid="{00000000-0005-0000-0000-000058060000}"/>
    <cellStyle name="Nuovo 10 3 2" xfId="792" xr:uid="{00000000-0005-0000-0000-000059060000}"/>
    <cellStyle name="Nuovo 10 3 2 2" xfId="2085" xr:uid="{00000000-0005-0000-0000-00005A060000}"/>
    <cellStyle name="Nuovo 10 3 2 2 2" xfId="26745" xr:uid="{061443BB-794F-4D35-93A2-442FF3CBD9C7}"/>
    <cellStyle name="Nuovo 10 3 2 3" xfId="8072" xr:uid="{F570F39B-A7C8-4C67-B54F-3A91C0DB0185}"/>
    <cellStyle name="Nuovo 10 3 2 3 2" xfId="14073" xr:uid="{C486105F-A458-44F7-94B6-D8E201917BE7}"/>
    <cellStyle name="Nuovo 10 3 2 4" xfId="26744" xr:uid="{461A24A3-76C8-4114-B5C6-D310C907E7DE}"/>
    <cellStyle name="Nuovo 10 3 3" xfId="4096" xr:uid="{F075B04C-37FC-401E-BD8C-3E355D86CC7C}"/>
    <cellStyle name="Nuovo 10 3 3 2" xfId="9253" xr:uid="{CFA04913-5CC5-46CB-9533-5586659724D8}"/>
    <cellStyle name="Nuovo 10 3 3 2 2" xfId="26747" xr:uid="{6E0240D3-EEC3-4DE2-B28A-193DF9C0184A}"/>
    <cellStyle name="Nuovo 10 3 3 3" xfId="26746" xr:uid="{8C368F65-4293-4EFC-B737-A8CE112CC546}"/>
    <cellStyle name="Nuovo 10 3 4" xfId="4097" xr:uid="{E024607C-4B24-4063-8375-7852027ADA13}"/>
    <cellStyle name="Nuovo 10 3 4 2" xfId="13733" xr:uid="{06432194-A02B-49F3-B065-FBF7B5DCC179}"/>
    <cellStyle name="Nuovo 10 3 4 3" xfId="26748" xr:uid="{9F2F0693-5771-4DD9-8E77-FD237EBB32C0}"/>
    <cellStyle name="Nuovo 10 3 5" xfId="12288" xr:uid="{24A3CC10-267B-4CD8-9CD8-C05C72D58AEB}"/>
    <cellStyle name="Nuovo 10 3 6" xfId="26743" xr:uid="{F71DCA7D-5CDF-4683-9BF0-053D18337D86}"/>
    <cellStyle name="Nuovo 10 4" xfId="2086" xr:uid="{00000000-0005-0000-0000-00005B060000}"/>
    <cellStyle name="Nuovo 10 4 2" xfId="2087" xr:uid="{00000000-0005-0000-0000-00005C060000}"/>
    <cellStyle name="Nuovo 10 4 2 2" xfId="9254" xr:uid="{36E878D6-CAAE-4DC9-BBB8-676D0F4EA900}"/>
    <cellStyle name="Nuovo 10 4 2 2 2" xfId="26751" xr:uid="{AC0C1D0A-9119-4F5D-A0C7-41C201E25E32}"/>
    <cellStyle name="Nuovo 10 4 2 3" xfId="17853" xr:uid="{D9AE4C95-B27D-45F2-A10F-C7ACF3164BAD}"/>
    <cellStyle name="Nuovo 10 4 2 4" xfId="26750" xr:uid="{3BE9728F-D3DC-4771-9486-510F73150F1B}"/>
    <cellStyle name="Nuovo 10 4 2 5" xfId="17008" xr:uid="{865E42A3-DC86-471C-9297-728CAC097BAC}"/>
    <cellStyle name="Nuovo 10 4 3" xfId="9255" xr:uid="{E82EEBFA-06E0-4310-9617-6CD6F4222BC2}"/>
    <cellStyle name="Nuovo 10 4 3 2" xfId="26752" xr:uid="{7AFF745F-B412-45FD-8400-060DA0324C21}"/>
    <cellStyle name="Nuovo 10 4 4" xfId="26749" xr:uid="{DBBE18D3-2ABD-484A-B127-E5E5A7B212EE}"/>
    <cellStyle name="Nuovo 10 5" xfId="2088" xr:uid="{00000000-0005-0000-0000-00005D060000}"/>
    <cellStyle name="Nuovo 10 5 2" xfId="26753" xr:uid="{B3B2E7E6-B4CB-44D0-86C6-BCC15F5845A6}"/>
    <cellStyle name="Nuovo 10 6" xfId="4098" xr:uid="{3455894D-00B6-4B93-9B16-2A725F420E69}"/>
    <cellStyle name="Nuovo 10 6 2" xfId="9769" xr:uid="{7CE52E3E-7D3B-4751-8967-4F8B654D924F}"/>
    <cellStyle name="Nuovo 10 7" xfId="26740" xr:uid="{75A05192-91BB-4EBB-AAD4-D3907035078C}"/>
    <cellStyle name="Nuovo 11" xfId="793" xr:uid="{00000000-0005-0000-0000-00005E060000}"/>
    <cellStyle name="Nuovo 11 2" xfId="794" xr:uid="{00000000-0005-0000-0000-00005F060000}"/>
    <cellStyle name="Nuovo 11 2 2" xfId="4099" xr:uid="{0A1E126E-5882-483B-9E07-21B2D77FA1AB}"/>
    <cellStyle name="Nuovo 11 2 2 2" xfId="13520" xr:uid="{3CC22825-B816-4D1A-B5B2-A1AA16D97635}"/>
    <cellStyle name="Nuovo 11 2 2 3" xfId="26756" xr:uid="{7DD647E0-7980-4D7A-812C-7D4747703F09}"/>
    <cellStyle name="Nuovo 11 2 3" xfId="13256" xr:uid="{D780665E-4735-409C-B91F-E3D16DD92DF0}"/>
    <cellStyle name="Nuovo 11 2 4" xfId="26755" xr:uid="{094ECED3-5840-4730-8E69-BE199D16E3D6}"/>
    <cellStyle name="Nuovo 11 3" xfId="795" xr:uid="{00000000-0005-0000-0000-000060060000}"/>
    <cellStyle name="Nuovo 11 3 2" xfId="796" xr:uid="{00000000-0005-0000-0000-000061060000}"/>
    <cellStyle name="Nuovo 11 3 2 2" xfId="2089" xr:uid="{00000000-0005-0000-0000-000062060000}"/>
    <cellStyle name="Nuovo 11 3 2 2 2" xfId="26759" xr:uid="{CF619BA6-A031-4BB4-B8CB-1E5EBB5C2361}"/>
    <cellStyle name="Nuovo 11 3 2 3" xfId="8073" xr:uid="{D76B8C5A-4BF3-4491-95C8-039CF6EF2E00}"/>
    <cellStyle name="Nuovo 11 3 2 3 2" xfId="14074" xr:uid="{5B5FBC4F-283F-4734-B14D-0F9F799A304A}"/>
    <cellStyle name="Nuovo 11 3 2 4" xfId="26758" xr:uid="{4BFBA962-E788-4D99-A8F2-8590DCAD9AA8}"/>
    <cellStyle name="Nuovo 11 3 3" xfId="4100" xr:uid="{103F5CDB-A1C1-41D3-9E40-6F0FDD65AABA}"/>
    <cellStyle name="Nuovo 11 3 3 2" xfId="9256" xr:uid="{1B2B4762-5E1C-4DAA-8D32-0F3F1EA98EA7}"/>
    <cellStyle name="Nuovo 11 3 3 2 2" xfId="26761" xr:uid="{44F1DD7A-395F-4F45-AD05-6A6B721476F9}"/>
    <cellStyle name="Nuovo 11 3 3 3" xfId="26760" xr:uid="{45AA8E7A-1FDA-416E-894E-4AF9BFA382D5}"/>
    <cellStyle name="Nuovo 11 3 4" xfId="4101" xr:uid="{C08DC5C1-4605-439C-BBFD-14A18D78FADF}"/>
    <cellStyle name="Nuovo 11 3 4 2" xfId="13734" xr:uid="{52AF50FA-2486-4316-961E-E5FB2403A24D}"/>
    <cellStyle name="Nuovo 11 3 4 3" xfId="26762" xr:uid="{A671DBF7-3A64-4219-A50D-B42A78677F96}"/>
    <cellStyle name="Nuovo 11 3 5" xfId="11527" xr:uid="{394963BF-513C-4F37-A172-62CB25F13A8F}"/>
    <cellStyle name="Nuovo 11 3 6" xfId="26757" xr:uid="{A6B8E787-928A-4A3B-970E-D12114F92EB7}"/>
    <cellStyle name="Nuovo 11 4" xfId="2090" xr:uid="{00000000-0005-0000-0000-000063060000}"/>
    <cellStyle name="Nuovo 11 4 2" xfId="2091" xr:uid="{00000000-0005-0000-0000-000064060000}"/>
    <cellStyle name="Nuovo 11 4 2 2" xfId="9257" xr:uid="{7468D6CF-6013-4412-995A-B8EC0F7E5B46}"/>
    <cellStyle name="Nuovo 11 4 2 2 2" xfId="26765" xr:uid="{4881E6FB-5F48-4346-92A3-D41BA051F285}"/>
    <cellStyle name="Nuovo 11 4 2 3" xfId="17854" xr:uid="{5F0BFFD4-80CC-4194-8716-C1CC41FBD414}"/>
    <cellStyle name="Nuovo 11 4 2 4" xfId="26764" xr:uid="{6527456B-2DE8-4015-86EE-C1A8AD3438FD}"/>
    <cellStyle name="Nuovo 11 4 2 5" xfId="17007" xr:uid="{DC3B97B2-8A7D-4FA0-A6F6-328FEF820980}"/>
    <cellStyle name="Nuovo 11 4 3" xfId="9258" xr:uid="{98561E7A-D31F-4487-A372-BF04E692AB26}"/>
    <cellStyle name="Nuovo 11 4 3 2" xfId="26766" xr:uid="{8F5F2385-1F5C-4D18-8D19-BB6764D77FBC}"/>
    <cellStyle name="Nuovo 11 4 4" xfId="26763" xr:uid="{9584B009-E7A3-48E9-BF2E-FE3C7C2956DF}"/>
    <cellStyle name="Nuovo 11 5" xfId="2092" xr:uid="{00000000-0005-0000-0000-000065060000}"/>
    <cellStyle name="Nuovo 11 5 2" xfId="26767" xr:uid="{F6214029-5E1E-443C-A4E0-6853756B80B0}"/>
    <cellStyle name="Nuovo 11 6" xfId="4102" xr:uid="{7DC4FA71-46B2-4A44-B776-322E5564491C}"/>
    <cellStyle name="Nuovo 11 6 2" xfId="9770" xr:uid="{60915CE5-A156-4137-9E5B-AA33920CC38A}"/>
    <cellStyle name="Nuovo 11 7" xfId="26754" xr:uid="{5D38CA62-2887-41C3-8FAE-05F4ABE719E7}"/>
    <cellStyle name="Nuovo 12" xfId="797" xr:uid="{00000000-0005-0000-0000-000066060000}"/>
    <cellStyle name="Nuovo 12 2" xfId="798" xr:uid="{00000000-0005-0000-0000-000067060000}"/>
    <cellStyle name="Nuovo 12 2 2" xfId="4103" xr:uid="{CE9F6DA8-2307-4B1F-8EE0-D0903E3B7D3F}"/>
    <cellStyle name="Nuovo 12 2 2 2" xfId="13521" xr:uid="{FD97A397-A6F4-4677-A979-AE05CC6CBA8E}"/>
    <cellStyle name="Nuovo 12 2 2 3" xfId="26770" xr:uid="{AB1BC61A-B479-43E4-B74A-5818CBC4995C}"/>
    <cellStyle name="Nuovo 12 2 3" xfId="13257" xr:uid="{91AC9634-50F9-47E1-ADD3-0DDA32EF53BB}"/>
    <cellStyle name="Nuovo 12 2 4" xfId="26769" xr:uid="{B057237E-DC8E-4CF4-A06A-460680346ED1}"/>
    <cellStyle name="Nuovo 12 3" xfId="799" xr:uid="{00000000-0005-0000-0000-000068060000}"/>
    <cellStyle name="Nuovo 12 3 2" xfId="800" xr:uid="{00000000-0005-0000-0000-000069060000}"/>
    <cellStyle name="Nuovo 12 3 2 2" xfId="2093" xr:uid="{00000000-0005-0000-0000-00006A060000}"/>
    <cellStyle name="Nuovo 12 3 2 2 2" xfId="26773" xr:uid="{7F4D5554-EDC8-4C33-94F8-6E00BF34AD59}"/>
    <cellStyle name="Nuovo 12 3 2 3" xfId="8074" xr:uid="{5B238DB2-0828-4CA1-B48B-E2120CC635DB}"/>
    <cellStyle name="Nuovo 12 3 2 3 2" xfId="14075" xr:uid="{800CA528-1DEA-4A7D-AD89-26E81F916C2B}"/>
    <cellStyle name="Nuovo 12 3 2 4" xfId="26772" xr:uid="{3B72E384-AB63-49BA-B16A-9CBD291AC55B}"/>
    <cellStyle name="Nuovo 12 3 3" xfId="4104" xr:uid="{5EE056CA-855F-427E-9B21-25D361241825}"/>
    <cellStyle name="Nuovo 12 3 3 2" xfId="9259" xr:uid="{39836A22-9243-4BB7-B505-8549BF4804A3}"/>
    <cellStyle name="Nuovo 12 3 3 2 2" xfId="26775" xr:uid="{D7706CA5-50D9-4B25-804F-B04DFE3397F1}"/>
    <cellStyle name="Nuovo 12 3 3 3" xfId="26774" xr:uid="{986052D1-833E-409B-ADC8-CEBCB91FEED6}"/>
    <cellStyle name="Nuovo 12 3 4" xfId="4105" xr:uid="{52F7B937-3D51-4B64-96EC-BA61D5C9C092}"/>
    <cellStyle name="Nuovo 12 3 4 2" xfId="13735" xr:uid="{82D5FB87-4DA7-4F7D-9B6F-BFD436CE25C4}"/>
    <cellStyle name="Nuovo 12 3 4 3" xfId="26776" xr:uid="{FCB18BD0-BEC9-42F7-B654-002DCDD9FFF4}"/>
    <cellStyle name="Nuovo 12 3 5" xfId="11214" xr:uid="{077EB9D7-B08D-4A48-B25F-E43206E240D4}"/>
    <cellStyle name="Nuovo 12 3 6" xfId="26771" xr:uid="{EE6CA4C6-ABA6-43FC-A3BC-D34054399F6B}"/>
    <cellStyle name="Nuovo 12 4" xfId="2094" xr:uid="{00000000-0005-0000-0000-00006B060000}"/>
    <cellStyle name="Nuovo 12 4 2" xfId="2095" xr:uid="{00000000-0005-0000-0000-00006C060000}"/>
    <cellStyle name="Nuovo 12 4 2 2" xfId="9260" xr:uid="{B17C5DF4-4A13-46D3-A10B-2E27AFA59D6F}"/>
    <cellStyle name="Nuovo 12 4 2 2 2" xfId="26779" xr:uid="{FA3D81D3-4A42-4BF9-BBF4-FDD510D2B1C0}"/>
    <cellStyle name="Nuovo 12 4 2 3" xfId="17855" xr:uid="{3D9B6291-96FD-4D73-B022-DE6C7F0BB922}"/>
    <cellStyle name="Nuovo 12 4 2 4" xfId="26778" xr:uid="{3FF85937-F612-4798-8662-00EFB6D28D5F}"/>
    <cellStyle name="Nuovo 12 4 2 5" xfId="17006" xr:uid="{540DD186-DEAA-4F0B-8C1E-2E10239D388A}"/>
    <cellStyle name="Nuovo 12 4 3" xfId="9261" xr:uid="{B9C85AB7-B505-4260-BA7F-B88058E831BA}"/>
    <cellStyle name="Nuovo 12 4 3 2" xfId="26780" xr:uid="{5D4BF611-ED69-4F39-954B-1DC8D4D559C8}"/>
    <cellStyle name="Nuovo 12 4 4" xfId="26777" xr:uid="{7057C2FB-ED42-4455-BA68-880FE01CD95F}"/>
    <cellStyle name="Nuovo 12 5" xfId="2096" xr:uid="{00000000-0005-0000-0000-00006D060000}"/>
    <cellStyle name="Nuovo 12 5 2" xfId="26781" xr:uid="{AA1AFE88-DDA1-4373-8580-0D301B7DE326}"/>
    <cellStyle name="Nuovo 12 6" xfId="4106" xr:uid="{3730AC5A-78BB-47C2-9940-80600D3C069C}"/>
    <cellStyle name="Nuovo 12 6 2" xfId="9771" xr:uid="{DF7BDED5-1DBB-4345-8BC2-741752C68838}"/>
    <cellStyle name="Nuovo 12 7" xfId="26768" xr:uid="{55B3D81F-853A-4B15-8E5D-69D0CB4626E3}"/>
    <cellStyle name="Nuovo 13" xfId="801" xr:uid="{00000000-0005-0000-0000-00006E060000}"/>
    <cellStyle name="Nuovo 13 2" xfId="802" xr:uid="{00000000-0005-0000-0000-00006F060000}"/>
    <cellStyle name="Nuovo 13 2 2" xfId="4107" xr:uid="{B3462424-B903-4D82-A94E-BCECF8331C67}"/>
    <cellStyle name="Nuovo 13 2 2 2" xfId="13522" xr:uid="{8FAC9277-9C7E-4BA8-A58C-D4397947D95C}"/>
    <cellStyle name="Nuovo 13 2 2 3" xfId="26784" xr:uid="{F99144CC-9601-4CE1-9030-2E8E6D85D8D3}"/>
    <cellStyle name="Nuovo 13 2 3" xfId="13258" xr:uid="{4DA01CB3-1817-4DE0-804B-957DB3C12410}"/>
    <cellStyle name="Nuovo 13 2 4" xfId="26783" xr:uid="{9DC1F15C-ACDE-4E68-9ADE-C6CF57E1EDC1}"/>
    <cellStyle name="Nuovo 13 3" xfId="803" xr:uid="{00000000-0005-0000-0000-000070060000}"/>
    <cellStyle name="Nuovo 13 3 2" xfId="804" xr:uid="{00000000-0005-0000-0000-000071060000}"/>
    <cellStyle name="Nuovo 13 3 2 2" xfId="2097" xr:uid="{00000000-0005-0000-0000-000072060000}"/>
    <cellStyle name="Nuovo 13 3 2 2 2" xfId="26787" xr:uid="{876B868F-303F-4F2E-9307-2407FC5A9655}"/>
    <cellStyle name="Nuovo 13 3 2 3" xfId="8075" xr:uid="{313A5975-6E81-497D-A0D9-29A4C47EB2EF}"/>
    <cellStyle name="Nuovo 13 3 2 3 2" xfId="14076" xr:uid="{7E800E01-5931-4363-B899-7C6CA386FBFA}"/>
    <cellStyle name="Nuovo 13 3 2 4" xfId="26786" xr:uid="{B74CD543-C158-4CE4-B492-6C3B12597B99}"/>
    <cellStyle name="Nuovo 13 3 3" xfId="4108" xr:uid="{8C85CC36-9D93-48FB-9F67-A21796D5E438}"/>
    <cellStyle name="Nuovo 13 3 3 2" xfId="9262" xr:uid="{435A33B8-648E-4CA1-BFC1-C67A4E013C4F}"/>
    <cellStyle name="Nuovo 13 3 3 2 2" xfId="26789" xr:uid="{AC060B3B-DE0C-4C95-B7B6-6C52CC4D8AE4}"/>
    <cellStyle name="Nuovo 13 3 3 3" xfId="26788" xr:uid="{9BFE8DA2-35B4-4A47-A9C9-C825195D2E83}"/>
    <cellStyle name="Nuovo 13 3 4" xfId="4109" xr:uid="{0EADFF64-4EF5-46E4-B7E2-5C5D69BB536C}"/>
    <cellStyle name="Nuovo 13 3 4 2" xfId="13736" xr:uid="{4E768A53-0479-4F15-B05B-2CD38AEAA32F}"/>
    <cellStyle name="Nuovo 13 3 4 3" xfId="26790" xr:uid="{A947F57C-151D-4E56-89C1-D0100B90F22B}"/>
    <cellStyle name="Nuovo 13 3 5" xfId="12254" xr:uid="{B1808459-2124-4FD0-8245-61EA411F58BA}"/>
    <cellStyle name="Nuovo 13 3 6" xfId="26785" xr:uid="{188194A9-60DA-4B9E-BD3E-C09D9EF52655}"/>
    <cellStyle name="Nuovo 13 4" xfId="2098" xr:uid="{00000000-0005-0000-0000-000073060000}"/>
    <cellStyle name="Nuovo 13 4 2" xfId="2099" xr:uid="{00000000-0005-0000-0000-000074060000}"/>
    <cellStyle name="Nuovo 13 4 2 2" xfId="9263" xr:uid="{04C39DD4-D347-4679-8D4A-075A73C67DE1}"/>
    <cellStyle name="Nuovo 13 4 2 2 2" xfId="26793" xr:uid="{FDBBDB7B-E66F-4860-A9B9-94801E413C1D}"/>
    <cellStyle name="Nuovo 13 4 2 3" xfId="17856" xr:uid="{18C6BCE1-508B-41CE-A240-0DD50F3E9B53}"/>
    <cellStyle name="Nuovo 13 4 2 4" xfId="26792" xr:uid="{5C9DF202-8451-49ED-85C7-AFB45CBB3154}"/>
    <cellStyle name="Nuovo 13 4 2 5" xfId="17005" xr:uid="{3C82AC3C-B550-48B0-B431-9EAEC9ABF5EA}"/>
    <cellStyle name="Nuovo 13 4 3" xfId="9264" xr:uid="{FF42DEC1-6622-47F0-BE8B-2D4101A1F59B}"/>
    <cellStyle name="Nuovo 13 4 3 2" xfId="26794" xr:uid="{97DAFC4C-55BE-49A4-9C87-CF646FDEE778}"/>
    <cellStyle name="Nuovo 13 4 4" xfId="26791" xr:uid="{47CD00BD-3689-4667-A2F2-ED003F072873}"/>
    <cellStyle name="Nuovo 13 5" xfId="2100" xr:uid="{00000000-0005-0000-0000-000075060000}"/>
    <cellStyle name="Nuovo 13 5 2" xfId="26795" xr:uid="{2EFB7276-F1A2-4BF5-AB34-B118DE2AAD58}"/>
    <cellStyle name="Nuovo 13 6" xfId="4110" xr:uid="{A1EA4960-875F-47FA-B5CE-F431BDC81CF2}"/>
    <cellStyle name="Nuovo 13 6 2" xfId="9772" xr:uid="{78BBC712-D163-4802-82B6-F5B64A1DE003}"/>
    <cellStyle name="Nuovo 13 7" xfId="26782" xr:uid="{457F099B-D566-43D8-B53D-0202A3569CCA}"/>
    <cellStyle name="Nuovo 14" xfId="805" xr:uid="{00000000-0005-0000-0000-000076060000}"/>
    <cellStyle name="Nuovo 14 2" xfId="806" xr:uid="{00000000-0005-0000-0000-000077060000}"/>
    <cellStyle name="Nuovo 14 2 2" xfId="4111" xr:uid="{D6A59815-0321-4B32-8EC5-0E679D9B4B50}"/>
    <cellStyle name="Nuovo 14 2 2 2" xfId="13523" xr:uid="{3B99CDEE-6C9E-45E2-855C-55AB00C200B8}"/>
    <cellStyle name="Nuovo 14 2 2 3" xfId="26798" xr:uid="{1B7B0488-2649-4382-AAA1-4FBE66305D9B}"/>
    <cellStyle name="Nuovo 14 2 3" xfId="13259" xr:uid="{A929E4E3-A0A6-465A-AA4C-3DF468D912BF}"/>
    <cellStyle name="Nuovo 14 2 4" xfId="26797" xr:uid="{3ACF895C-0DC0-47E6-AABA-2E29E005CA1F}"/>
    <cellStyle name="Nuovo 14 3" xfId="807" xr:uid="{00000000-0005-0000-0000-000078060000}"/>
    <cellStyle name="Nuovo 14 3 2" xfId="808" xr:uid="{00000000-0005-0000-0000-000079060000}"/>
    <cellStyle name="Nuovo 14 3 2 2" xfId="2101" xr:uid="{00000000-0005-0000-0000-00007A060000}"/>
    <cellStyle name="Nuovo 14 3 2 2 2" xfId="26801" xr:uid="{AF5D2E07-9C4F-469A-9C49-7DD3FAED533C}"/>
    <cellStyle name="Nuovo 14 3 2 3" xfId="8076" xr:uid="{A02A803D-0DE6-477B-9920-03E3CB3A468F}"/>
    <cellStyle name="Nuovo 14 3 2 3 2" xfId="14077" xr:uid="{1935A461-CA2A-4D5C-9A77-7F4DC89825B8}"/>
    <cellStyle name="Nuovo 14 3 2 4" xfId="26800" xr:uid="{912A36F2-CE30-4DA4-BC69-C92EAB5E9D86}"/>
    <cellStyle name="Nuovo 14 3 3" xfId="4112" xr:uid="{297A7DB0-45E5-415E-870B-5D0B90C128A3}"/>
    <cellStyle name="Nuovo 14 3 3 2" xfId="9265" xr:uid="{6FFE195A-EDD2-4817-BE07-F4C93951AA38}"/>
    <cellStyle name="Nuovo 14 3 3 2 2" xfId="26803" xr:uid="{71E554E7-3286-4928-B2D7-F650E97248C2}"/>
    <cellStyle name="Nuovo 14 3 3 3" xfId="26802" xr:uid="{19855C95-E8D5-4ECE-BA26-730F55D99C66}"/>
    <cellStyle name="Nuovo 14 3 4" xfId="4113" xr:uid="{740D2CAD-EB4C-448A-AB31-17E15720012C}"/>
    <cellStyle name="Nuovo 14 3 4 2" xfId="13737" xr:uid="{EDFECB3E-24C9-4760-B8E5-8B81E1DD8981}"/>
    <cellStyle name="Nuovo 14 3 4 3" xfId="26804" xr:uid="{DC49F379-BF69-4000-83F0-E97DC1374C2B}"/>
    <cellStyle name="Nuovo 14 3 5" xfId="12165" xr:uid="{50EA7597-6F8E-4B60-8CDD-D7A35DAD393A}"/>
    <cellStyle name="Nuovo 14 3 6" xfId="26799" xr:uid="{AD1A064F-00B6-4E17-AF72-08FBBB8BD425}"/>
    <cellStyle name="Nuovo 14 4" xfId="2102" xr:uid="{00000000-0005-0000-0000-00007B060000}"/>
    <cellStyle name="Nuovo 14 4 2" xfId="2103" xr:uid="{00000000-0005-0000-0000-00007C060000}"/>
    <cellStyle name="Nuovo 14 4 2 2" xfId="9266" xr:uid="{C6A7768E-72DA-4119-8402-01A7D39F53C4}"/>
    <cellStyle name="Nuovo 14 4 2 2 2" xfId="26807" xr:uid="{C53B601F-2C46-4A13-B62B-C1089E7E2DCC}"/>
    <cellStyle name="Nuovo 14 4 2 3" xfId="17857" xr:uid="{C57F1EF2-442D-4F25-9C35-5D2046677F29}"/>
    <cellStyle name="Nuovo 14 4 2 4" xfId="26806" xr:uid="{6A25BE5A-2F33-4747-A68A-AE9AC4BDEFA6}"/>
    <cellStyle name="Nuovo 14 4 2 5" xfId="17004" xr:uid="{5257A9A7-57EB-4AB7-8110-074A78A7F75D}"/>
    <cellStyle name="Nuovo 14 4 3" xfId="9267" xr:uid="{2EE604C0-3F1D-4230-A041-BFB9640B3647}"/>
    <cellStyle name="Nuovo 14 4 3 2" xfId="26808" xr:uid="{D54C1E61-1AB0-490C-88F6-1823397CBDE3}"/>
    <cellStyle name="Nuovo 14 4 4" xfId="26805" xr:uid="{E8ED559B-D14C-4400-AD16-F706C426C077}"/>
    <cellStyle name="Nuovo 14 5" xfId="2104" xr:uid="{00000000-0005-0000-0000-00007D060000}"/>
    <cellStyle name="Nuovo 14 5 2" xfId="26809" xr:uid="{ECBACA2C-B3DF-4B2E-B189-5C83C5E310B6}"/>
    <cellStyle name="Nuovo 14 6" xfId="4114" xr:uid="{DB155427-2CA2-4D2B-A63C-86F196AD5154}"/>
    <cellStyle name="Nuovo 14 6 2" xfId="9773" xr:uid="{A8670B5D-025B-4595-B2F5-1A0523F845BD}"/>
    <cellStyle name="Nuovo 14 7" xfId="26796" xr:uid="{6FB5CC97-0BFD-4BDB-B4C2-E80A314D9FBE}"/>
    <cellStyle name="Nuovo 15" xfId="809" xr:uid="{00000000-0005-0000-0000-00007E060000}"/>
    <cellStyle name="Nuovo 15 2" xfId="810" xr:uid="{00000000-0005-0000-0000-00007F060000}"/>
    <cellStyle name="Nuovo 15 2 2" xfId="4115" xr:uid="{B6450B25-85C1-410F-94F3-6F3C3EE65A91}"/>
    <cellStyle name="Nuovo 15 2 2 2" xfId="13524" xr:uid="{63ED82C3-0436-4568-AD97-BD1E46D2CDA3}"/>
    <cellStyle name="Nuovo 15 2 2 3" xfId="26812" xr:uid="{215729D3-1ADD-40F2-87D0-9E8B4F955538}"/>
    <cellStyle name="Nuovo 15 2 3" xfId="13260" xr:uid="{D4CE24B7-DA08-4EA6-8436-ECF7379C0553}"/>
    <cellStyle name="Nuovo 15 2 4" xfId="26811" xr:uid="{7CC9756F-E66A-4C51-B61A-9195CC556C37}"/>
    <cellStyle name="Nuovo 15 3" xfId="811" xr:uid="{00000000-0005-0000-0000-000080060000}"/>
    <cellStyle name="Nuovo 15 3 2" xfId="812" xr:uid="{00000000-0005-0000-0000-000081060000}"/>
    <cellStyle name="Nuovo 15 3 2 2" xfId="2105" xr:uid="{00000000-0005-0000-0000-000082060000}"/>
    <cellStyle name="Nuovo 15 3 2 2 2" xfId="26815" xr:uid="{3888F2C6-898B-41CA-8E09-4514944CC2EA}"/>
    <cellStyle name="Nuovo 15 3 2 3" xfId="8077" xr:uid="{E33F15C0-B8EF-4DE3-9972-5D1764918CC8}"/>
    <cellStyle name="Nuovo 15 3 2 3 2" xfId="14078" xr:uid="{DF6BDEE3-2D2A-418F-BC7B-4B8B3A1A32E0}"/>
    <cellStyle name="Nuovo 15 3 2 4" xfId="26814" xr:uid="{F83252AF-F7F5-4139-B5CD-F9B2E3AF004F}"/>
    <cellStyle name="Nuovo 15 3 3" xfId="4116" xr:uid="{D1C30CCD-9832-4582-BED6-A70C5191CA94}"/>
    <cellStyle name="Nuovo 15 3 3 2" xfId="9268" xr:uid="{0E3AD4E6-9F84-48ED-89A8-53257D84B1C8}"/>
    <cellStyle name="Nuovo 15 3 3 2 2" xfId="26817" xr:uid="{1C636180-9805-4C73-B4E4-58A6042BEDFC}"/>
    <cellStyle name="Nuovo 15 3 3 3" xfId="26816" xr:uid="{5D624AF0-6F80-4741-8860-5642A7DDD85F}"/>
    <cellStyle name="Nuovo 15 3 4" xfId="4117" xr:uid="{8AEAE1A3-272A-4158-A711-3BB33F95F417}"/>
    <cellStyle name="Nuovo 15 3 4 2" xfId="13738" xr:uid="{693FA69D-CED0-41EF-B8ED-39913784792E}"/>
    <cellStyle name="Nuovo 15 3 4 3" xfId="26818" xr:uid="{F21AF9A9-5DCD-41F8-9ECD-E0B677D52C6C}"/>
    <cellStyle name="Nuovo 15 3 5" xfId="11526" xr:uid="{B17050D1-8CED-4D4D-9604-E64F69964961}"/>
    <cellStyle name="Nuovo 15 3 6" xfId="26813" xr:uid="{8FD6D04B-0600-4268-B380-BAC4746629EA}"/>
    <cellStyle name="Nuovo 15 4" xfId="2106" xr:uid="{00000000-0005-0000-0000-000083060000}"/>
    <cellStyle name="Nuovo 15 4 2" xfId="2107" xr:uid="{00000000-0005-0000-0000-000084060000}"/>
    <cellStyle name="Nuovo 15 4 2 2" xfId="9269" xr:uid="{2CFBF946-815D-4756-A19A-D7C98599DBDB}"/>
    <cellStyle name="Nuovo 15 4 2 2 2" xfId="26821" xr:uid="{663B764A-EF13-4CE8-B778-11395218367A}"/>
    <cellStyle name="Nuovo 15 4 2 3" xfId="17858" xr:uid="{08D7E112-7585-4976-B0D7-1160780BABFC}"/>
    <cellStyle name="Nuovo 15 4 2 4" xfId="26820" xr:uid="{F1CEAACD-E809-455D-AF69-66926260B027}"/>
    <cellStyle name="Nuovo 15 4 2 5" xfId="17003" xr:uid="{1116C68F-F7F1-4708-B2C3-E58583D37E94}"/>
    <cellStyle name="Nuovo 15 4 3" xfId="9270" xr:uid="{F696F87C-B2FF-464D-8C5D-8C9241FD2963}"/>
    <cellStyle name="Nuovo 15 4 3 2" xfId="26822" xr:uid="{B06D3ED0-A8D5-491F-8E00-B425AB67E897}"/>
    <cellStyle name="Nuovo 15 4 4" xfId="26819" xr:uid="{5D4204A4-ABA8-4DE7-8704-EB9496436DF4}"/>
    <cellStyle name="Nuovo 15 5" xfId="2108" xr:uid="{00000000-0005-0000-0000-000085060000}"/>
    <cellStyle name="Nuovo 15 5 2" xfId="26823" xr:uid="{EE66ADCC-5AE4-42D5-A6E9-93004A1CE1A9}"/>
    <cellStyle name="Nuovo 15 6" xfId="4118" xr:uid="{EAC982BB-9C75-41FB-80A2-09932D31C774}"/>
    <cellStyle name="Nuovo 15 6 2" xfId="9774" xr:uid="{2B860115-CBF0-4D87-956A-02E8FBF80344}"/>
    <cellStyle name="Nuovo 15 7" xfId="26810" xr:uid="{3D4E834E-3F6D-428E-8DB9-EC3D210CC8C0}"/>
    <cellStyle name="Nuovo 16" xfId="813" xr:uid="{00000000-0005-0000-0000-000086060000}"/>
    <cellStyle name="Nuovo 16 2" xfId="814" xr:uid="{00000000-0005-0000-0000-000087060000}"/>
    <cellStyle name="Nuovo 16 2 2" xfId="4119" xr:uid="{674E81C1-15FC-48CE-82A3-C9A86B0EC722}"/>
    <cellStyle name="Nuovo 16 2 2 2" xfId="13525" xr:uid="{0BFA7FE3-6E2E-46F2-84BC-9B3F8F8A390C}"/>
    <cellStyle name="Nuovo 16 2 2 3" xfId="26826" xr:uid="{E826885B-CAC9-4E83-B0CF-B27DB64FCDF3}"/>
    <cellStyle name="Nuovo 16 2 3" xfId="13261" xr:uid="{BD0C9426-3D6B-4B4A-8E81-01F31D6668DF}"/>
    <cellStyle name="Nuovo 16 2 4" xfId="26825" xr:uid="{31062CA0-4CE9-49DE-8961-DAFA0B4A3810}"/>
    <cellStyle name="Nuovo 16 3" xfId="815" xr:uid="{00000000-0005-0000-0000-000088060000}"/>
    <cellStyle name="Nuovo 16 3 2" xfId="816" xr:uid="{00000000-0005-0000-0000-000089060000}"/>
    <cellStyle name="Nuovo 16 3 2 2" xfId="2109" xr:uid="{00000000-0005-0000-0000-00008A060000}"/>
    <cellStyle name="Nuovo 16 3 2 2 2" xfId="26829" xr:uid="{49AADD98-BCE9-453F-9C5F-2972B7C149DF}"/>
    <cellStyle name="Nuovo 16 3 2 3" xfId="8078" xr:uid="{CF5F2C7F-99CE-4926-B34C-539D24E85646}"/>
    <cellStyle name="Nuovo 16 3 2 3 2" xfId="14079" xr:uid="{914D4537-29C0-47F8-BD21-6B2310C99250}"/>
    <cellStyle name="Nuovo 16 3 2 4" xfId="26828" xr:uid="{92B3EF71-987C-4D60-8DAA-30A5862697B5}"/>
    <cellStyle name="Nuovo 16 3 3" xfId="4120" xr:uid="{732E2F74-9831-459D-996F-B14AB6D6AA93}"/>
    <cellStyle name="Nuovo 16 3 3 2" xfId="9271" xr:uid="{A404155A-8959-4121-B33E-8AC1EF9D4F8C}"/>
    <cellStyle name="Nuovo 16 3 3 2 2" xfId="26831" xr:uid="{CCCC3D13-E4ED-4848-8E74-DBC5A3E2248E}"/>
    <cellStyle name="Nuovo 16 3 3 3" xfId="26830" xr:uid="{FAC76E03-198D-4146-9BE4-69B7DFDC66EA}"/>
    <cellStyle name="Nuovo 16 3 4" xfId="4121" xr:uid="{D0C9F8CE-B331-4CEC-BA70-E5E2AF66290F}"/>
    <cellStyle name="Nuovo 16 3 4 2" xfId="13739" xr:uid="{BCD7D23E-15AA-40C3-88BC-F884AE3D2B7E}"/>
    <cellStyle name="Nuovo 16 3 4 3" xfId="26832" xr:uid="{CDEF79EE-FB9D-4A55-B32D-5CE7896FC532}"/>
    <cellStyle name="Nuovo 16 3 5" xfId="11124" xr:uid="{38D30BF8-A156-4DB7-9749-5325AAE2DB84}"/>
    <cellStyle name="Nuovo 16 3 6" xfId="26827" xr:uid="{5466334B-6D0F-4F46-9604-531FEE379345}"/>
    <cellStyle name="Nuovo 16 4" xfId="2110" xr:uid="{00000000-0005-0000-0000-00008B060000}"/>
    <cellStyle name="Nuovo 16 4 2" xfId="2111" xr:uid="{00000000-0005-0000-0000-00008C060000}"/>
    <cellStyle name="Nuovo 16 4 2 2" xfId="9272" xr:uid="{37A7AEC5-4E71-485B-84D7-12BF6BBF592C}"/>
    <cellStyle name="Nuovo 16 4 2 2 2" xfId="26835" xr:uid="{2FB9223B-D8FE-4E06-A2BE-1E8CF1B1C38A}"/>
    <cellStyle name="Nuovo 16 4 2 3" xfId="17859" xr:uid="{E4B0FACB-31B1-408D-90E0-74F628AF3094}"/>
    <cellStyle name="Nuovo 16 4 2 4" xfId="26834" xr:uid="{0D6E15ED-9569-4EAD-8902-4D8476BA1034}"/>
    <cellStyle name="Nuovo 16 4 2 5" xfId="17000" xr:uid="{71E8DCA5-67E5-40EB-BD32-0CD54A94B997}"/>
    <cellStyle name="Nuovo 16 4 3" xfId="9273" xr:uid="{C886ED95-3103-4DC6-9982-51AFC6CEFD2A}"/>
    <cellStyle name="Nuovo 16 4 3 2" xfId="26836" xr:uid="{7D28022C-0AD7-4085-95E8-AC9BA4E6EE28}"/>
    <cellStyle name="Nuovo 16 4 4" xfId="26833" xr:uid="{FC46FC3C-484C-4055-BEB4-C7BE21417500}"/>
    <cellStyle name="Nuovo 16 5" xfId="2112" xr:uid="{00000000-0005-0000-0000-00008D060000}"/>
    <cellStyle name="Nuovo 16 5 2" xfId="26837" xr:uid="{DF1271FD-2234-4C87-A573-46054AAA56EA}"/>
    <cellStyle name="Nuovo 16 6" xfId="4122" xr:uid="{6A3142C1-60C7-4085-8046-8BB8F78E1344}"/>
    <cellStyle name="Nuovo 16 6 2" xfId="9775" xr:uid="{FDB0036C-4369-4CA3-B688-64B2DE287A72}"/>
    <cellStyle name="Nuovo 16 7" xfId="26824" xr:uid="{0E8A1D69-B479-4BE3-B5C7-E7A1B0889293}"/>
    <cellStyle name="Nuovo 17" xfId="817" xr:uid="{00000000-0005-0000-0000-00008E060000}"/>
    <cellStyle name="Nuovo 17 2" xfId="818" xr:uid="{00000000-0005-0000-0000-00008F060000}"/>
    <cellStyle name="Nuovo 17 2 2" xfId="4123" xr:uid="{5680E20D-068A-478C-92E7-F135E9BF847C}"/>
    <cellStyle name="Nuovo 17 2 2 2" xfId="13526" xr:uid="{B9A90D01-2691-4386-BBC2-574AEBB4AB03}"/>
    <cellStyle name="Nuovo 17 2 2 3" xfId="26840" xr:uid="{3DA4EFCF-9789-4852-9D8C-06FD1C73252B}"/>
    <cellStyle name="Nuovo 17 2 3" xfId="13262" xr:uid="{64F3475B-DC25-49DE-A9DE-9DEDEBCF66D9}"/>
    <cellStyle name="Nuovo 17 2 4" xfId="26839" xr:uid="{386A8292-AF3E-4839-BD94-CE458B00352F}"/>
    <cellStyle name="Nuovo 17 3" xfId="819" xr:uid="{00000000-0005-0000-0000-000090060000}"/>
    <cellStyle name="Nuovo 17 3 2" xfId="820" xr:uid="{00000000-0005-0000-0000-000091060000}"/>
    <cellStyle name="Nuovo 17 3 2 2" xfId="2113" xr:uid="{00000000-0005-0000-0000-000092060000}"/>
    <cellStyle name="Nuovo 17 3 2 2 2" xfId="26843" xr:uid="{56E082A9-2329-4B2E-8012-A727DE988668}"/>
    <cellStyle name="Nuovo 17 3 2 3" xfId="8079" xr:uid="{22749D5B-D498-44DE-9DD0-569619B7EE33}"/>
    <cellStyle name="Nuovo 17 3 2 3 2" xfId="14080" xr:uid="{ED25BF14-5C7A-406F-9D3D-B1D5EDB3BBA7}"/>
    <cellStyle name="Nuovo 17 3 2 4" xfId="26842" xr:uid="{9415B1BC-D2CF-4865-908F-CEB36BD187C1}"/>
    <cellStyle name="Nuovo 17 3 3" xfId="4124" xr:uid="{6E633A86-78F0-48E6-A391-B054F0BF6D9A}"/>
    <cellStyle name="Nuovo 17 3 3 2" xfId="9274" xr:uid="{0E562992-A542-445C-94CB-2D3F7B98FDA4}"/>
    <cellStyle name="Nuovo 17 3 3 2 2" xfId="26845" xr:uid="{324D4E74-4DE5-4073-A101-56B0E7D66508}"/>
    <cellStyle name="Nuovo 17 3 3 3" xfId="26844" xr:uid="{25DCA003-27B8-4B81-B549-117447310214}"/>
    <cellStyle name="Nuovo 17 3 4" xfId="4125" xr:uid="{540D7934-7F25-4A18-B460-B6BA43E1E95E}"/>
    <cellStyle name="Nuovo 17 3 4 2" xfId="13740" xr:uid="{9D7B899C-7FA4-42AD-8C14-29E2EBD52C43}"/>
    <cellStyle name="Nuovo 17 3 4 3" xfId="26846" xr:uid="{9DF310C7-50B2-4C17-8864-EB38A63D2CEB}"/>
    <cellStyle name="Nuovo 17 3 5" xfId="12255" xr:uid="{66D6BFDC-4D1A-481C-A0B3-00A568E424BF}"/>
    <cellStyle name="Nuovo 17 3 6" xfId="26841" xr:uid="{D367C54E-DF59-4C72-B0EA-02CD522D50E3}"/>
    <cellStyle name="Nuovo 17 4" xfId="2114" xr:uid="{00000000-0005-0000-0000-000093060000}"/>
    <cellStyle name="Nuovo 17 4 2" xfId="2115" xr:uid="{00000000-0005-0000-0000-000094060000}"/>
    <cellStyle name="Nuovo 17 4 2 2" xfId="9275" xr:uid="{B7D72153-BBDD-4612-884E-B6C25E637A81}"/>
    <cellStyle name="Nuovo 17 4 2 2 2" xfId="26849" xr:uid="{90CAFA27-2605-4743-8440-79F7CF803FBB}"/>
    <cellStyle name="Nuovo 17 4 2 3" xfId="17860" xr:uid="{6C72D77F-20CD-4A69-854C-8B0AED43D0CD}"/>
    <cellStyle name="Nuovo 17 4 2 4" xfId="26848" xr:uid="{6A9181B2-4892-4523-AF14-27C35C16CC65}"/>
    <cellStyle name="Nuovo 17 4 2 5" xfId="16999" xr:uid="{C85BF479-FFE8-4464-9ECE-20071E35EEEB}"/>
    <cellStyle name="Nuovo 17 4 3" xfId="9276" xr:uid="{FC923EB8-9BEC-4EF9-B12D-C011A2EAFDAA}"/>
    <cellStyle name="Nuovo 17 4 3 2" xfId="26850" xr:uid="{896B88F7-E541-41C1-AE56-A67ECDB11B85}"/>
    <cellStyle name="Nuovo 17 4 4" xfId="26847" xr:uid="{93C7EB35-EFF8-4A62-8BA1-476CF484B611}"/>
    <cellStyle name="Nuovo 17 5" xfId="2116" xr:uid="{00000000-0005-0000-0000-000095060000}"/>
    <cellStyle name="Nuovo 17 5 2" xfId="26851" xr:uid="{1EB9EE26-08FA-4304-BA7A-BF0F969D8475}"/>
    <cellStyle name="Nuovo 17 6" xfId="4126" xr:uid="{685BADFE-6FEA-4AF5-852B-24E28B30987F}"/>
    <cellStyle name="Nuovo 17 6 2" xfId="9776" xr:uid="{B106A9A8-3012-452E-95D6-07DF7FEB9FC4}"/>
    <cellStyle name="Nuovo 17 7" xfId="26838" xr:uid="{82D1893F-8EAA-42C9-AA67-CD5381DE10A6}"/>
    <cellStyle name="Nuovo 18" xfId="821" xr:uid="{00000000-0005-0000-0000-000096060000}"/>
    <cellStyle name="Nuovo 18 2" xfId="822" xr:uid="{00000000-0005-0000-0000-000097060000}"/>
    <cellStyle name="Nuovo 18 2 2" xfId="4127" xr:uid="{16C23854-7301-45A9-A809-4071B3DB4052}"/>
    <cellStyle name="Nuovo 18 2 2 2" xfId="13527" xr:uid="{9768A9CE-6474-4FFC-AE6A-294E34508D64}"/>
    <cellStyle name="Nuovo 18 2 2 3" xfId="26854" xr:uid="{D85E5B60-EFB8-4363-A8E2-D2711A47650E}"/>
    <cellStyle name="Nuovo 18 2 3" xfId="13263" xr:uid="{0E7FAC49-7F66-4521-AC23-E3DEE0FD6280}"/>
    <cellStyle name="Nuovo 18 2 4" xfId="26853" xr:uid="{73B1D0CD-E1E2-412C-9815-286335A29032}"/>
    <cellStyle name="Nuovo 18 3" xfId="823" xr:uid="{00000000-0005-0000-0000-000098060000}"/>
    <cellStyle name="Nuovo 18 3 2" xfId="824" xr:uid="{00000000-0005-0000-0000-000099060000}"/>
    <cellStyle name="Nuovo 18 3 2 2" xfId="2117" xr:uid="{00000000-0005-0000-0000-00009A060000}"/>
    <cellStyle name="Nuovo 18 3 2 2 2" xfId="26857" xr:uid="{15A88CE9-3D55-427E-8F77-9DE6419F3A02}"/>
    <cellStyle name="Nuovo 18 3 2 3" xfId="8080" xr:uid="{1F9CCCD2-B19A-41BA-9A17-C6DF2044982A}"/>
    <cellStyle name="Nuovo 18 3 2 3 2" xfId="14081" xr:uid="{66A866B8-195A-48B4-B993-457A25ED944F}"/>
    <cellStyle name="Nuovo 18 3 2 4" xfId="26856" xr:uid="{A5905077-9D5B-4A1F-A2B2-2406AC1B4898}"/>
    <cellStyle name="Nuovo 18 3 3" xfId="4128" xr:uid="{E7417115-6237-478F-BE88-ABFB7AE2A3E1}"/>
    <cellStyle name="Nuovo 18 3 3 2" xfId="9277" xr:uid="{BF06A6A8-2F31-4E0E-BFB2-791EE3A98C6F}"/>
    <cellStyle name="Nuovo 18 3 3 2 2" xfId="26859" xr:uid="{C9808807-8068-4A17-914E-81330856D67B}"/>
    <cellStyle name="Nuovo 18 3 3 3" xfId="26858" xr:uid="{BD8B7010-B6FB-42B4-AE6B-9B6F53F36666}"/>
    <cellStyle name="Nuovo 18 3 4" xfId="4129" xr:uid="{12395711-7F7B-41F0-A4FD-E716E0CD77AD}"/>
    <cellStyle name="Nuovo 18 3 4 2" xfId="13741" xr:uid="{F6369F1C-BAAC-447C-A394-B604C62D95C0}"/>
    <cellStyle name="Nuovo 18 3 4 3" xfId="26860" xr:uid="{C0ABE044-CD93-478D-8F0A-41A9FC4AA8C6}"/>
    <cellStyle name="Nuovo 18 3 5" xfId="12290" xr:uid="{51E97831-DE30-4F67-B249-638A3449A4E8}"/>
    <cellStyle name="Nuovo 18 3 6" xfId="26855" xr:uid="{E738C5C2-9464-421E-BE24-0A8255F4A9A0}"/>
    <cellStyle name="Nuovo 18 4" xfId="2118" xr:uid="{00000000-0005-0000-0000-00009B060000}"/>
    <cellStyle name="Nuovo 18 4 2" xfId="2119" xr:uid="{00000000-0005-0000-0000-00009C060000}"/>
    <cellStyle name="Nuovo 18 4 2 2" xfId="9278" xr:uid="{D967E8D8-5884-439D-BD7F-DD5773323B10}"/>
    <cellStyle name="Nuovo 18 4 2 2 2" xfId="26863" xr:uid="{0703A6D8-6774-4119-8864-05B53A96F8FB}"/>
    <cellStyle name="Nuovo 18 4 2 3" xfId="17861" xr:uid="{56281425-C6F4-4229-A553-044764CC93EC}"/>
    <cellStyle name="Nuovo 18 4 2 4" xfId="26862" xr:uid="{ED5F36BC-EA8D-4E26-B144-EE6990728A4C}"/>
    <cellStyle name="Nuovo 18 4 2 5" xfId="16998" xr:uid="{B51137B3-D72C-4E7E-8341-0AC6CC6D1C87}"/>
    <cellStyle name="Nuovo 18 4 3" xfId="9279" xr:uid="{A4290608-DE32-4FB1-89C0-D213BF4A7FA4}"/>
    <cellStyle name="Nuovo 18 4 3 2" xfId="26864" xr:uid="{93825D5A-812D-4CB1-B778-EC7FF73455CE}"/>
    <cellStyle name="Nuovo 18 4 4" xfId="26861" xr:uid="{4D653D8A-C343-4870-865E-BCB38569F991}"/>
    <cellStyle name="Nuovo 18 5" xfId="2120" xr:uid="{00000000-0005-0000-0000-00009D060000}"/>
    <cellStyle name="Nuovo 18 5 2" xfId="26865" xr:uid="{B07D87C7-FCDE-4F77-82A2-780242742D21}"/>
    <cellStyle name="Nuovo 18 6" xfId="4130" xr:uid="{97BBC2CC-FD9F-4A01-82CE-0168A96D7A4B}"/>
    <cellStyle name="Nuovo 18 6 2" xfId="9777" xr:uid="{F2588A6C-4E2A-42E2-AB5A-3135F836BD23}"/>
    <cellStyle name="Nuovo 18 7" xfId="26852" xr:uid="{9A96B299-920D-4D6E-8A3B-371F13CE1C8B}"/>
    <cellStyle name="Nuovo 19" xfId="825" xr:uid="{00000000-0005-0000-0000-00009E060000}"/>
    <cellStyle name="Nuovo 19 2" xfId="826" xr:uid="{00000000-0005-0000-0000-00009F060000}"/>
    <cellStyle name="Nuovo 19 2 2" xfId="4131" xr:uid="{0469468D-0A85-41AA-881E-0E4239FFFFB2}"/>
    <cellStyle name="Nuovo 19 2 2 2" xfId="13528" xr:uid="{A9383297-0837-4399-A982-21BFFC973597}"/>
    <cellStyle name="Nuovo 19 2 2 3" xfId="26868" xr:uid="{B2754FAB-AA69-4DAE-BD82-5046063B0173}"/>
    <cellStyle name="Nuovo 19 2 3" xfId="13264" xr:uid="{0A66C863-075A-4702-A359-FFF1659E2DFC}"/>
    <cellStyle name="Nuovo 19 2 4" xfId="26867" xr:uid="{AC207970-DCF2-42FD-B586-7042F1ABEEF0}"/>
    <cellStyle name="Nuovo 19 3" xfId="827" xr:uid="{00000000-0005-0000-0000-0000A0060000}"/>
    <cellStyle name="Nuovo 19 3 2" xfId="828" xr:uid="{00000000-0005-0000-0000-0000A1060000}"/>
    <cellStyle name="Nuovo 19 3 2 2" xfId="2121" xr:uid="{00000000-0005-0000-0000-0000A2060000}"/>
    <cellStyle name="Nuovo 19 3 2 2 2" xfId="26871" xr:uid="{6DA514FB-F091-45E7-B4CC-158E6058686C}"/>
    <cellStyle name="Nuovo 19 3 2 3" xfId="8081" xr:uid="{8554760E-C743-41A6-863D-6FA0D653F441}"/>
    <cellStyle name="Nuovo 19 3 2 3 2" xfId="14082" xr:uid="{64E414CB-3AE7-4CD6-8A48-E5DE4811C721}"/>
    <cellStyle name="Nuovo 19 3 2 4" xfId="26870" xr:uid="{8264C23A-BEED-4C4F-B12F-89039CF980C4}"/>
    <cellStyle name="Nuovo 19 3 3" xfId="4132" xr:uid="{3527E782-8BAD-4E82-B406-EAA2BB25A9BC}"/>
    <cellStyle name="Nuovo 19 3 3 2" xfId="9280" xr:uid="{197C0E0F-3E47-4D9F-B92E-DF42AC41BF72}"/>
    <cellStyle name="Nuovo 19 3 3 2 2" xfId="26873" xr:uid="{F8E282C5-5696-4610-8B34-2A8FDA110222}"/>
    <cellStyle name="Nuovo 19 3 3 3" xfId="26872" xr:uid="{002AF38F-B9D6-457D-B8C1-5315DD0F9B76}"/>
    <cellStyle name="Nuovo 19 3 4" xfId="4133" xr:uid="{48E805F6-9715-4CBD-AC54-5C6A713CB2F7}"/>
    <cellStyle name="Nuovo 19 3 4 2" xfId="13742" xr:uid="{028E0C8A-7258-413F-813D-E8B09C237F78}"/>
    <cellStyle name="Nuovo 19 3 4 3" xfId="26874" xr:uid="{785C1D9F-5D28-4E4F-B29D-B0EA91310E65}"/>
    <cellStyle name="Nuovo 19 3 5" xfId="12253" xr:uid="{0A2C0C76-2656-4DD5-B9F3-1400D0805DD6}"/>
    <cellStyle name="Nuovo 19 3 6" xfId="26869" xr:uid="{92464BFB-AE89-48DE-8BE1-D78533CD2558}"/>
    <cellStyle name="Nuovo 19 4" xfId="2122" xr:uid="{00000000-0005-0000-0000-0000A3060000}"/>
    <cellStyle name="Nuovo 19 4 2" xfId="2123" xr:uid="{00000000-0005-0000-0000-0000A4060000}"/>
    <cellStyle name="Nuovo 19 4 2 2" xfId="9281" xr:uid="{4BEAAB3B-E061-493C-99AA-9B65B476AD21}"/>
    <cellStyle name="Nuovo 19 4 2 2 2" xfId="26877" xr:uid="{E7138712-F1DB-49F4-A0F2-9509BCF2F21F}"/>
    <cellStyle name="Nuovo 19 4 2 3" xfId="17862" xr:uid="{E15C583D-4508-43F6-AA2A-4878D49D2FC2}"/>
    <cellStyle name="Nuovo 19 4 2 4" xfId="26876" xr:uid="{0D6FA945-9A3B-4376-86F0-3F5450DF661F}"/>
    <cellStyle name="Nuovo 19 4 2 5" xfId="16997" xr:uid="{CBBBDF0C-FF1E-467C-8431-B0BE9ACC9FD8}"/>
    <cellStyle name="Nuovo 19 4 3" xfId="9282" xr:uid="{CCBA7983-C22F-40B1-81E7-A434A0B0399E}"/>
    <cellStyle name="Nuovo 19 4 3 2" xfId="26878" xr:uid="{66E37BA2-8819-4A09-A2BF-E5D6E3815D85}"/>
    <cellStyle name="Nuovo 19 4 4" xfId="26875" xr:uid="{DB556F40-0D41-4028-8E78-B3CB529FF6BB}"/>
    <cellStyle name="Nuovo 19 5" xfId="2124" xr:uid="{00000000-0005-0000-0000-0000A5060000}"/>
    <cellStyle name="Nuovo 19 5 2" xfId="26879" xr:uid="{2C8BD08C-060D-4C58-9255-3F3AB50D16DF}"/>
    <cellStyle name="Nuovo 19 6" xfId="4134" xr:uid="{2523D6B6-F43D-4715-946F-6ED9B7ED078C}"/>
    <cellStyle name="Nuovo 19 6 2" xfId="9778" xr:uid="{E6E07AF0-555D-4F0B-AB66-0937EF185238}"/>
    <cellStyle name="Nuovo 19 7" xfId="26866" xr:uid="{5351655E-5ADA-481A-B4B2-433AD41D51F0}"/>
    <cellStyle name="Nuovo 2" xfId="829" xr:uid="{00000000-0005-0000-0000-0000A6060000}"/>
    <cellStyle name="Nuovo 2 2" xfId="830" xr:uid="{00000000-0005-0000-0000-0000A7060000}"/>
    <cellStyle name="Nuovo 2 2 2" xfId="4135" xr:uid="{E53EEAB2-42F8-43AC-A993-346B1C133123}"/>
    <cellStyle name="Nuovo 2 2 2 2" xfId="13529" xr:uid="{CF3AACCE-B9B6-47B1-A5F2-CC41BB7EAD18}"/>
    <cellStyle name="Nuovo 2 2 2 3" xfId="26882" xr:uid="{E28B7FDF-C241-46C8-83AD-08B4D5C320B2}"/>
    <cellStyle name="Nuovo 2 2 3" xfId="13265" xr:uid="{C5071D0A-4695-4A4E-9868-FB2197466240}"/>
    <cellStyle name="Nuovo 2 2 4" xfId="26881" xr:uid="{E27EF1DD-8F45-4BA8-9727-909EF930F38F}"/>
    <cellStyle name="Nuovo 2 3" xfId="831" xr:uid="{00000000-0005-0000-0000-0000A8060000}"/>
    <cellStyle name="Nuovo 2 3 2" xfId="832" xr:uid="{00000000-0005-0000-0000-0000A9060000}"/>
    <cellStyle name="Nuovo 2 3 2 2" xfId="2125" xr:uid="{00000000-0005-0000-0000-0000AA060000}"/>
    <cellStyle name="Nuovo 2 3 2 2 2" xfId="26885" xr:uid="{D3CA7663-8E75-4FE8-8381-12B0859E8069}"/>
    <cellStyle name="Nuovo 2 3 2 3" xfId="8082" xr:uid="{83B0C817-DCB3-4FF9-A76E-1D2A582D6FD9}"/>
    <cellStyle name="Nuovo 2 3 2 3 2" xfId="14083" xr:uid="{B217C8EA-5ED2-4824-9010-3C768CED4CCC}"/>
    <cellStyle name="Nuovo 2 3 2 4" xfId="26884" xr:uid="{0AD56391-B97F-411C-A4E8-196209FB4A11}"/>
    <cellStyle name="Nuovo 2 3 3" xfId="4136" xr:uid="{71E8C56B-7BD8-4CA0-A7C2-ABF6955CB7A2}"/>
    <cellStyle name="Nuovo 2 3 3 2" xfId="9283" xr:uid="{8750224F-C0C4-4599-9536-C10AA28672EB}"/>
    <cellStyle name="Nuovo 2 3 3 2 2" xfId="26887" xr:uid="{F82082E3-4BA4-4B74-9ECD-4E0EAED9EFC8}"/>
    <cellStyle name="Nuovo 2 3 3 3" xfId="26886" xr:uid="{5CFDC2CE-D9F7-4588-ADD8-4569503B0561}"/>
    <cellStyle name="Nuovo 2 3 4" xfId="4137" xr:uid="{D5F7A0F4-288E-43E4-AA47-4F708922E956}"/>
    <cellStyle name="Nuovo 2 3 4 2" xfId="13743" xr:uid="{123B02DF-E764-422E-8FA5-04F51B773FFF}"/>
    <cellStyle name="Nuovo 2 3 4 3" xfId="26888" xr:uid="{75E28F60-BDF5-4D5F-9668-A240F7256F71}"/>
    <cellStyle name="Nuovo 2 3 5" xfId="11705" xr:uid="{4A301821-E690-4E74-80BE-47144F62E6F1}"/>
    <cellStyle name="Nuovo 2 3 6" xfId="26883" xr:uid="{9A012426-037C-4DB6-9D95-CD72B0E3E122}"/>
    <cellStyle name="Nuovo 2 4" xfId="2126" xr:uid="{00000000-0005-0000-0000-0000AB060000}"/>
    <cellStyle name="Nuovo 2 4 2" xfId="2127" xr:uid="{00000000-0005-0000-0000-0000AC060000}"/>
    <cellStyle name="Nuovo 2 4 2 2" xfId="9284" xr:uid="{FA05B748-F6D7-4282-9417-4068F646F139}"/>
    <cellStyle name="Nuovo 2 4 2 2 2" xfId="26891" xr:uid="{DDD0B65B-87EA-45F8-9D64-D9929CA99D61}"/>
    <cellStyle name="Nuovo 2 4 2 3" xfId="17863" xr:uid="{9AE4382F-14BC-4335-A131-58090E4F73F8}"/>
    <cellStyle name="Nuovo 2 4 2 4" xfId="26890" xr:uid="{89826831-9964-4BF2-A8F7-FC1ACC6F1FEA}"/>
    <cellStyle name="Nuovo 2 4 2 5" xfId="16996" xr:uid="{88C0F7C6-D9EC-4FA3-AC73-8C14321B5380}"/>
    <cellStyle name="Nuovo 2 4 3" xfId="9285" xr:uid="{E4183768-FDAB-4EF7-AD79-5B4F984A82DE}"/>
    <cellStyle name="Nuovo 2 4 3 2" xfId="26892" xr:uid="{53DD65C1-2657-41F8-A4A3-60CC8DB33E2F}"/>
    <cellStyle name="Nuovo 2 4 4" xfId="26889" xr:uid="{E9D5446B-6F5E-445C-9C70-0439090B9A4D}"/>
    <cellStyle name="Nuovo 2 5" xfId="2128" xr:uid="{00000000-0005-0000-0000-0000AD060000}"/>
    <cellStyle name="Nuovo 2 5 2" xfId="26893" xr:uid="{87D010B8-706E-41A4-B875-2A707925782E}"/>
    <cellStyle name="Nuovo 2 6" xfId="4138" xr:uid="{9DAE8486-7251-47E8-B4DF-8963FA0B0B0F}"/>
    <cellStyle name="Nuovo 2 6 2" xfId="9779" xr:uid="{8700AF4E-9784-4C1E-B031-75C25C430442}"/>
    <cellStyle name="Nuovo 2 7" xfId="26880" xr:uid="{DA15F51C-0E02-4CE8-BBE3-DBFE9E0F5B5C}"/>
    <cellStyle name="Nuovo 20" xfId="833" xr:uid="{00000000-0005-0000-0000-0000AE060000}"/>
    <cellStyle name="Nuovo 20 2" xfId="834" xr:uid="{00000000-0005-0000-0000-0000AF060000}"/>
    <cellStyle name="Nuovo 20 2 2" xfId="4139" xr:uid="{E2D7AAF1-48E6-4223-98C5-DFB33D211CC2}"/>
    <cellStyle name="Nuovo 20 2 2 2" xfId="13530" xr:uid="{8BF1B432-129D-48CF-A50D-5607533991EC}"/>
    <cellStyle name="Nuovo 20 2 2 3" xfId="26896" xr:uid="{F38F6526-C50E-4A76-AE03-E4483014EBD5}"/>
    <cellStyle name="Nuovo 20 2 3" xfId="13266" xr:uid="{0B30220A-1F9E-4E08-8F15-D20E91FAE283}"/>
    <cellStyle name="Nuovo 20 2 4" xfId="26895" xr:uid="{E08AB5F9-2E38-489F-91A2-EE369D784F2A}"/>
    <cellStyle name="Nuovo 20 3" xfId="835" xr:uid="{00000000-0005-0000-0000-0000B0060000}"/>
    <cellStyle name="Nuovo 20 3 2" xfId="836" xr:uid="{00000000-0005-0000-0000-0000B1060000}"/>
    <cellStyle name="Nuovo 20 3 2 2" xfId="2129" xr:uid="{00000000-0005-0000-0000-0000B2060000}"/>
    <cellStyle name="Nuovo 20 3 2 2 2" xfId="26899" xr:uid="{3618DAC7-7F62-47A0-8C54-B88540EA02C2}"/>
    <cellStyle name="Nuovo 20 3 2 3" xfId="8083" xr:uid="{A8ECA68B-3215-4EA5-B83B-2291D676F514}"/>
    <cellStyle name="Nuovo 20 3 2 3 2" xfId="14084" xr:uid="{9959E310-618B-4A5C-B3A9-88C8FC874783}"/>
    <cellStyle name="Nuovo 20 3 2 4" xfId="26898" xr:uid="{6BBB6A8B-5694-4982-9847-13FF85E23600}"/>
    <cellStyle name="Nuovo 20 3 3" xfId="4140" xr:uid="{FA7120B4-F2EA-4B18-8870-925291E037C3}"/>
    <cellStyle name="Nuovo 20 3 3 2" xfId="9286" xr:uid="{FD3C2A68-023C-46C8-8AAD-642351264874}"/>
    <cellStyle name="Nuovo 20 3 3 2 2" xfId="26901" xr:uid="{2D2055F6-487D-423B-9B1B-5CBCB0967270}"/>
    <cellStyle name="Nuovo 20 3 3 3" xfId="26900" xr:uid="{1E0D7019-C07E-46E7-921B-F182AD9E194F}"/>
    <cellStyle name="Nuovo 20 3 4" xfId="4141" xr:uid="{F4742C02-B8A7-4197-A3B4-02427543E0C7}"/>
    <cellStyle name="Nuovo 20 3 4 2" xfId="13744" xr:uid="{CD21DF07-F5DC-4D35-9AE3-12E37CF8CD68}"/>
    <cellStyle name="Nuovo 20 3 4 3" xfId="26902" xr:uid="{32E4E636-CED1-4E71-A661-B2F2D3B1C432}"/>
    <cellStyle name="Nuovo 20 3 5" xfId="11168" xr:uid="{3EE3E568-510F-42D6-9790-C17ADD78C17B}"/>
    <cellStyle name="Nuovo 20 3 6" xfId="26897" xr:uid="{3FE60A8F-DDE9-42FE-9BF7-AB44906ACFFD}"/>
    <cellStyle name="Nuovo 20 4" xfId="2130" xr:uid="{00000000-0005-0000-0000-0000B3060000}"/>
    <cellStyle name="Nuovo 20 4 2" xfId="2131" xr:uid="{00000000-0005-0000-0000-0000B4060000}"/>
    <cellStyle name="Nuovo 20 4 2 2" xfId="9287" xr:uid="{62FC077E-DA6A-47AF-8B2A-E12DEA9C67F2}"/>
    <cellStyle name="Nuovo 20 4 2 2 2" xfId="26905" xr:uid="{DD39E68C-E667-4605-A11A-DCAC649C3DA8}"/>
    <cellStyle name="Nuovo 20 4 2 3" xfId="17864" xr:uid="{0D52ADBE-578F-46BB-8D57-D99C8345F69B}"/>
    <cellStyle name="Nuovo 20 4 2 4" xfId="26904" xr:uid="{543502C6-69B4-48C2-A9F3-8275C97ED810}"/>
    <cellStyle name="Nuovo 20 4 2 5" xfId="16995" xr:uid="{20FE1FC0-9B62-419C-9E4B-ADB49F63BB7E}"/>
    <cellStyle name="Nuovo 20 4 3" xfId="9288" xr:uid="{ECA4473F-0CA1-4471-BA38-F328B4EB9B11}"/>
    <cellStyle name="Nuovo 20 4 3 2" xfId="26906" xr:uid="{11A63F4B-4DA8-47CA-B334-6C8553A4957A}"/>
    <cellStyle name="Nuovo 20 4 4" xfId="26903" xr:uid="{19CFF423-01F7-481A-8FDE-F0AECF6F67A6}"/>
    <cellStyle name="Nuovo 20 5" xfId="2132" xr:uid="{00000000-0005-0000-0000-0000B5060000}"/>
    <cellStyle name="Nuovo 20 5 2" xfId="26907" xr:uid="{E66D1887-23AA-47A1-AAFE-0EF26071BE00}"/>
    <cellStyle name="Nuovo 20 6" xfId="4142" xr:uid="{042B3763-822C-4B3D-ADD5-8D2060976542}"/>
    <cellStyle name="Nuovo 20 6 2" xfId="9780" xr:uid="{8C1202AE-9BA0-43DC-8421-157D25E60532}"/>
    <cellStyle name="Nuovo 20 7" xfId="26894" xr:uid="{AF5E165B-FBC5-4473-8E10-B8A7993C81FB}"/>
    <cellStyle name="Nuovo 21" xfId="837" xr:uid="{00000000-0005-0000-0000-0000B6060000}"/>
    <cellStyle name="Nuovo 21 2" xfId="838" xr:uid="{00000000-0005-0000-0000-0000B7060000}"/>
    <cellStyle name="Nuovo 21 2 2" xfId="4143" xr:uid="{4FCC9E5D-23AC-4097-858A-DEEE69DC2237}"/>
    <cellStyle name="Nuovo 21 2 2 2" xfId="13531" xr:uid="{3835966C-FDB5-4943-BD00-9211BD5AB32E}"/>
    <cellStyle name="Nuovo 21 2 2 3" xfId="26910" xr:uid="{61E02F47-4534-4B55-8BF1-BF4DD57C4213}"/>
    <cellStyle name="Nuovo 21 2 3" xfId="13267" xr:uid="{4C348923-1D27-417F-93DB-27E3F01A6285}"/>
    <cellStyle name="Nuovo 21 2 4" xfId="26909" xr:uid="{9FFB159F-4D4E-4238-A5BB-964D9D6D7ACB}"/>
    <cellStyle name="Nuovo 21 3" xfId="839" xr:uid="{00000000-0005-0000-0000-0000B8060000}"/>
    <cellStyle name="Nuovo 21 3 2" xfId="840" xr:uid="{00000000-0005-0000-0000-0000B9060000}"/>
    <cellStyle name="Nuovo 21 3 2 2" xfId="2133" xr:uid="{00000000-0005-0000-0000-0000BA060000}"/>
    <cellStyle name="Nuovo 21 3 2 2 2" xfId="26913" xr:uid="{3DBCF29A-390A-4D35-9DA1-464543FE763B}"/>
    <cellStyle name="Nuovo 21 3 2 3" xfId="8084" xr:uid="{46DF2E57-C185-40BA-9F13-C4058784610C}"/>
    <cellStyle name="Nuovo 21 3 2 3 2" xfId="14085" xr:uid="{82321EDC-29F2-404D-B662-A5AD67256190}"/>
    <cellStyle name="Nuovo 21 3 2 4" xfId="26912" xr:uid="{D6FE727E-59AC-4F8D-95BD-5A3B960D08F6}"/>
    <cellStyle name="Nuovo 21 3 3" xfId="4144" xr:uid="{E46D2CAC-B7D0-43C9-892D-D9B54741D312}"/>
    <cellStyle name="Nuovo 21 3 3 2" xfId="9289" xr:uid="{E56BD314-6953-433B-8B6C-ECCEB3328936}"/>
    <cellStyle name="Nuovo 21 3 3 2 2" xfId="26915" xr:uid="{DFEC5A0F-A653-4BB7-997E-DDA0127E14A1}"/>
    <cellStyle name="Nuovo 21 3 3 3" xfId="26914" xr:uid="{7DE7B663-308E-4FD2-9BCB-C0A8D95A5859}"/>
    <cellStyle name="Nuovo 21 3 4" xfId="4145" xr:uid="{6FE9A12F-CFE3-4CC9-9C01-DDF910E5B743}"/>
    <cellStyle name="Nuovo 21 3 4 2" xfId="13745" xr:uid="{D9894C71-5ADF-4AC2-8FCE-F5106C77095C}"/>
    <cellStyle name="Nuovo 21 3 4 3" xfId="26916" xr:uid="{2C3C9C46-1B22-492B-A19B-3D88FFF69669}"/>
    <cellStyle name="Nuovo 21 3 5" xfId="11213" xr:uid="{D1017293-AA7A-433E-A7C1-0E300E6135F3}"/>
    <cellStyle name="Nuovo 21 3 6" xfId="26911" xr:uid="{496FBD82-649A-44B5-9AA9-B8353F5BC381}"/>
    <cellStyle name="Nuovo 21 4" xfId="2134" xr:uid="{00000000-0005-0000-0000-0000BB060000}"/>
    <cellStyle name="Nuovo 21 4 2" xfId="2135" xr:uid="{00000000-0005-0000-0000-0000BC060000}"/>
    <cellStyle name="Nuovo 21 4 2 2" xfId="9290" xr:uid="{88541B4E-2E4C-4E7B-8FD9-12E06D4A53F6}"/>
    <cellStyle name="Nuovo 21 4 2 2 2" xfId="26919" xr:uid="{DCAA7E5C-5026-4A6A-8C3B-3740C3B2478C}"/>
    <cellStyle name="Nuovo 21 4 2 3" xfId="17865" xr:uid="{865A2B65-72B9-4F43-B859-046D7D5C1801}"/>
    <cellStyle name="Nuovo 21 4 2 4" xfId="26918" xr:uid="{A7D3E78A-4501-4C4B-B716-9B2839DC5E83}"/>
    <cellStyle name="Nuovo 21 4 2 5" xfId="16994" xr:uid="{4B2E93D3-6DAA-4BAB-99C6-FB8842C9A926}"/>
    <cellStyle name="Nuovo 21 4 3" xfId="9291" xr:uid="{B97FC420-B54C-4D0F-A299-763C7407E88A}"/>
    <cellStyle name="Nuovo 21 4 3 2" xfId="26920" xr:uid="{4E855A64-67C8-4527-B36F-DAC1CF7211D5}"/>
    <cellStyle name="Nuovo 21 4 4" xfId="26917" xr:uid="{8896FAFE-07B8-4783-A3B2-055DB3C698D6}"/>
    <cellStyle name="Nuovo 21 5" xfId="2136" xr:uid="{00000000-0005-0000-0000-0000BD060000}"/>
    <cellStyle name="Nuovo 21 5 2" xfId="26921" xr:uid="{C4117D1C-6A8B-46B4-ACAC-47140F1A7383}"/>
    <cellStyle name="Nuovo 21 6" xfId="4146" xr:uid="{3A3FB840-1EB6-4965-9D89-22B6DB6D0BD6}"/>
    <cellStyle name="Nuovo 21 6 2" xfId="9781" xr:uid="{10DCCE7E-9FE7-4129-9DF0-F8F2516E710D}"/>
    <cellStyle name="Nuovo 21 7" xfId="26908" xr:uid="{A314BAD9-69F3-4976-8115-0D05E8089570}"/>
    <cellStyle name="Nuovo 22" xfId="841" xr:uid="{00000000-0005-0000-0000-0000BE060000}"/>
    <cellStyle name="Nuovo 22 2" xfId="842" xr:uid="{00000000-0005-0000-0000-0000BF060000}"/>
    <cellStyle name="Nuovo 22 2 2" xfId="4147" xr:uid="{190D5F54-5CAE-4DBC-A781-BFE482AAF63F}"/>
    <cellStyle name="Nuovo 22 2 2 2" xfId="13532" xr:uid="{AF42D2DE-DAC3-4CEC-A96C-1A73DBF8F076}"/>
    <cellStyle name="Nuovo 22 2 2 3" xfId="26924" xr:uid="{3EE2EC7F-2CC2-45E0-A74D-633A54A6BC2E}"/>
    <cellStyle name="Nuovo 22 2 3" xfId="13268" xr:uid="{3D651447-71A3-4153-AE09-1BF8F82C1AAF}"/>
    <cellStyle name="Nuovo 22 2 4" xfId="26923" xr:uid="{5F4ACDB5-3114-4A6E-AE62-855145B97412}"/>
    <cellStyle name="Nuovo 22 3" xfId="843" xr:uid="{00000000-0005-0000-0000-0000C0060000}"/>
    <cellStyle name="Nuovo 22 3 2" xfId="844" xr:uid="{00000000-0005-0000-0000-0000C1060000}"/>
    <cellStyle name="Nuovo 22 3 2 2" xfId="2137" xr:uid="{00000000-0005-0000-0000-0000C2060000}"/>
    <cellStyle name="Nuovo 22 3 2 2 2" xfId="26927" xr:uid="{9F64602D-7D66-4BAA-A21C-ADC74727261A}"/>
    <cellStyle name="Nuovo 22 3 2 3" xfId="8085" xr:uid="{4D90E068-A7A7-458D-BE60-D68B9E8953A6}"/>
    <cellStyle name="Nuovo 22 3 2 3 2" xfId="14086" xr:uid="{0F66BCF0-91A4-4352-9943-79FECC0924A4}"/>
    <cellStyle name="Nuovo 22 3 2 4" xfId="26926" xr:uid="{4AAFE26C-1190-4A25-8585-0A7628830735}"/>
    <cellStyle name="Nuovo 22 3 3" xfId="4148" xr:uid="{C98F360E-D3DB-4833-9FCC-FBFA2AB35062}"/>
    <cellStyle name="Nuovo 22 3 3 2" xfId="9292" xr:uid="{DDED313F-0434-41E3-9272-6EC311D80A73}"/>
    <cellStyle name="Nuovo 22 3 3 2 2" xfId="26929" xr:uid="{B236D636-28E3-494D-BC34-A5C3DAE17452}"/>
    <cellStyle name="Nuovo 22 3 3 3" xfId="26928" xr:uid="{8523AE93-D8BA-4286-8DEB-20584BCD25E2}"/>
    <cellStyle name="Nuovo 22 3 4" xfId="4149" xr:uid="{978C556F-C091-4EF3-A925-EB25B90AD6F3}"/>
    <cellStyle name="Nuovo 22 3 4 2" xfId="13746" xr:uid="{0AB1F027-3125-45CC-9446-4C07978D4D14}"/>
    <cellStyle name="Nuovo 22 3 4 3" xfId="26930" xr:uid="{F4EC456B-80DF-4FE3-8E84-D262DC1D0394}"/>
    <cellStyle name="Nuovo 22 3 5" xfId="12441" xr:uid="{DA71808A-93B4-46F5-9A6B-05B2CAC30642}"/>
    <cellStyle name="Nuovo 22 3 6" xfId="26925" xr:uid="{D6FBD180-A1F6-4420-9FCD-404B5942E0CB}"/>
    <cellStyle name="Nuovo 22 4" xfId="2138" xr:uid="{00000000-0005-0000-0000-0000C3060000}"/>
    <cellStyle name="Nuovo 22 4 2" xfId="2139" xr:uid="{00000000-0005-0000-0000-0000C4060000}"/>
    <cellStyle name="Nuovo 22 4 2 2" xfId="9293" xr:uid="{3BEB77F3-B40E-4DBF-9C32-144E1756DD50}"/>
    <cellStyle name="Nuovo 22 4 2 2 2" xfId="26933" xr:uid="{F73D5991-F436-4771-9B41-2C3458285F4C}"/>
    <cellStyle name="Nuovo 22 4 2 3" xfId="17866" xr:uid="{4C74D2E4-6664-48A8-840F-B7B04F438A18}"/>
    <cellStyle name="Nuovo 22 4 2 4" xfId="26932" xr:uid="{99595AE8-085C-4373-A851-98EA2F64CD6B}"/>
    <cellStyle name="Nuovo 22 4 2 5" xfId="16993" xr:uid="{3D3E100A-85C6-4CA9-A5E0-D03F4B7F05A8}"/>
    <cellStyle name="Nuovo 22 4 3" xfId="9294" xr:uid="{1A612FEE-693C-40A0-A36B-69102887DF72}"/>
    <cellStyle name="Nuovo 22 4 3 2" xfId="26934" xr:uid="{4E9CC583-B40A-43F6-82A5-2D032522A11C}"/>
    <cellStyle name="Nuovo 22 4 4" xfId="26931" xr:uid="{73F00FF1-A9B2-449C-A73C-39FBA2D16A75}"/>
    <cellStyle name="Nuovo 22 5" xfId="2140" xr:uid="{00000000-0005-0000-0000-0000C5060000}"/>
    <cellStyle name="Nuovo 22 5 2" xfId="26935" xr:uid="{7FF71506-D332-41BF-BCFC-67BAE9DE9987}"/>
    <cellStyle name="Nuovo 22 6" xfId="4150" xr:uid="{22ED8B9C-7D0C-44A3-B896-1D738241FB86}"/>
    <cellStyle name="Nuovo 22 6 2" xfId="9782" xr:uid="{AC88AF60-74BD-49E4-B7C8-97724859F800}"/>
    <cellStyle name="Nuovo 22 7" xfId="26922" xr:uid="{8C620ABC-984B-4D9D-87E2-2167F64FC60F}"/>
    <cellStyle name="Nuovo 23" xfId="845" xr:uid="{00000000-0005-0000-0000-0000C6060000}"/>
    <cellStyle name="Nuovo 23 2" xfId="846" xr:uid="{00000000-0005-0000-0000-0000C7060000}"/>
    <cellStyle name="Nuovo 23 2 2" xfId="4151" xr:uid="{7157CD31-4BAF-4EF6-839C-1BF23EFCA065}"/>
    <cellStyle name="Nuovo 23 2 2 2" xfId="13533" xr:uid="{427B8CFC-F87B-46D2-AA55-D09ADFC68975}"/>
    <cellStyle name="Nuovo 23 2 2 3" xfId="26938" xr:uid="{3FD1B108-CD1A-4DE2-BF36-31D72573611E}"/>
    <cellStyle name="Nuovo 23 2 3" xfId="13269" xr:uid="{7E809C5C-A02E-46FA-BB0C-C3EFCD1BAD14}"/>
    <cellStyle name="Nuovo 23 2 4" xfId="26937" xr:uid="{E6DCC4F0-B566-4394-9854-95886E56FFC7}"/>
    <cellStyle name="Nuovo 23 3" xfId="847" xr:uid="{00000000-0005-0000-0000-0000C8060000}"/>
    <cellStyle name="Nuovo 23 3 2" xfId="848" xr:uid="{00000000-0005-0000-0000-0000C9060000}"/>
    <cellStyle name="Nuovo 23 3 2 2" xfId="2141" xr:uid="{00000000-0005-0000-0000-0000CA060000}"/>
    <cellStyle name="Nuovo 23 3 2 2 2" xfId="26941" xr:uid="{C23081FC-61C7-4497-8328-045615CC728F}"/>
    <cellStyle name="Nuovo 23 3 2 3" xfId="8086" xr:uid="{532FE1A5-7649-4ADC-ABC9-8C60E9F8EEE6}"/>
    <cellStyle name="Nuovo 23 3 2 3 2" xfId="14087" xr:uid="{36FE240C-B563-49C5-8A61-6630A4B9D235}"/>
    <cellStyle name="Nuovo 23 3 2 4" xfId="26940" xr:uid="{54508881-C1C0-42F6-B055-0964718B9835}"/>
    <cellStyle name="Nuovo 23 3 3" xfId="4152" xr:uid="{14F9BE04-39CB-446F-93DE-2163740E8775}"/>
    <cellStyle name="Nuovo 23 3 3 2" xfId="9295" xr:uid="{AD1592CB-D337-4A8E-A738-874B40F32EA1}"/>
    <cellStyle name="Nuovo 23 3 3 2 2" xfId="26943" xr:uid="{620FECFA-4C72-4E93-BF73-8ACB0F07F12E}"/>
    <cellStyle name="Nuovo 23 3 3 3" xfId="26942" xr:uid="{BF90D167-7ADE-4CE1-8AB8-2B083DB9328B}"/>
    <cellStyle name="Nuovo 23 3 4" xfId="4153" xr:uid="{9DDA326C-DB94-4779-89B3-F731903B993B}"/>
    <cellStyle name="Nuovo 23 3 4 2" xfId="13747" xr:uid="{89D9B1C4-511D-4886-B0C9-BEA4965E9D11}"/>
    <cellStyle name="Nuovo 23 3 4 3" xfId="26944" xr:uid="{83EA0422-BA57-4AF4-ACB6-E940857373CD}"/>
    <cellStyle name="Nuovo 23 3 5" xfId="12257" xr:uid="{CD96B730-31F5-4CC8-9408-319B10E57DEC}"/>
    <cellStyle name="Nuovo 23 3 6" xfId="26939" xr:uid="{758A672E-CC6B-45BE-9042-85735A3062F4}"/>
    <cellStyle name="Nuovo 23 4" xfId="2142" xr:uid="{00000000-0005-0000-0000-0000CB060000}"/>
    <cellStyle name="Nuovo 23 4 2" xfId="2143" xr:uid="{00000000-0005-0000-0000-0000CC060000}"/>
    <cellStyle name="Nuovo 23 4 2 2" xfId="9296" xr:uid="{208A6234-EB87-467E-91D6-FDEDB8A15D78}"/>
    <cellStyle name="Nuovo 23 4 2 2 2" xfId="26947" xr:uid="{A3613FF5-942E-4482-8610-93EA81298BA0}"/>
    <cellStyle name="Nuovo 23 4 2 3" xfId="17867" xr:uid="{726438BD-E924-42F2-904C-E90E8F8743CC}"/>
    <cellStyle name="Nuovo 23 4 2 4" xfId="26946" xr:uid="{85D1FF94-AEB5-4973-85CF-509361A62265}"/>
    <cellStyle name="Nuovo 23 4 2 5" xfId="17479" xr:uid="{D1A88F4F-51F2-42BA-B7E0-208206310B85}"/>
    <cellStyle name="Nuovo 23 4 3" xfId="9297" xr:uid="{A79C7BD6-A2EB-4C6E-97E5-68E7DDF26468}"/>
    <cellStyle name="Nuovo 23 4 3 2" xfId="26948" xr:uid="{091A4766-522A-4997-87FC-7B5E641D71F2}"/>
    <cellStyle name="Nuovo 23 4 4" xfId="26945" xr:uid="{4CBCF245-1CA5-4DA8-9641-B24D824C4FB1}"/>
    <cellStyle name="Nuovo 23 5" xfId="2144" xr:uid="{00000000-0005-0000-0000-0000CD060000}"/>
    <cellStyle name="Nuovo 23 5 2" xfId="26949" xr:uid="{53F1E59F-ABA9-45BC-BF24-058DAB0B2D06}"/>
    <cellStyle name="Nuovo 23 6" xfId="4154" xr:uid="{D23FF2C2-A02C-4783-990C-742974AB7F70}"/>
    <cellStyle name="Nuovo 23 6 2" xfId="9783" xr:uid="{18ADBEE7-2A09-4C08-8F38-F5A7FD24D0D5}"/>
    <cellStyle name="Nuovo 23 7" xfId="26936" xr:uid="{8144A409-EE30-49AF-932A-24EF93D1949F}"/>
    <cellStyle name="Nuovo 24" xfId="849" xr:uid="{00000000-0005-0000-0000-0000CE060000}"/>
    <cellStyle name="Nuovo 24 2" xfId="850" xr:uid="{00000000-0005-0000-0000-0000CF060000}"/>
    <cellStyle name="Nuovo 24 2 2" xfId="4155" xr:uid="{07EF2E84-99D0-417C-8416-17D77CA7FEFD}"/>
    <cellStyle name="Nuovo 24 2 2 2" xfId="13534" xr:uid="{3D19811E-A749-4874-8EA7-176C1B7566DE}"/>
    <cellStyle name="Nuovo 24 2 2 3" xfId="26952" xr:uid="{C556097A-7E58-4C4A-8292-DB10169655BB}"/>
    <cellStyle name="Nuovo 24 2 3" xfId="13270" xr:uid="{3199F6F0-16DC-43F8-BEE6-784D690BFB98}"/>
    <cellStyle name="Nuovo 24 2 4" xfId="26951" xr:uid="{95E1236B-EA71-485D-A9FE-A4800B99BB2B}"/>
    <cellStyle name="Nuovo 24 3" xfId="851" xr:uid="{00000000-0005-0000-0000-0000D0060000}"/>
    <cellStyle name="Nuovo 24 3 2" xfId="852" xr:uid="{00000000-0005-0000-0000-0000D1060000}"/>
    <cellStyle name="Nuovo 24 3 2 2" xfId="2145" xr:uid="{00000000-0005-0000-0000-0000D2060000}"/>
    <cellStyle name="Nuovo 24 3 2 2 2" xfId="26955" xr:uid="{2EC2882D-EC61-4476-B42B-42690D5F8B56}"/>
    <cellStyle name="Nuovo 24 3 2 3" xfId="8087" xr:uid="{1BBBACE9-D904-4197-8444-F3BB646EE5A9}"/>
    <cellStyle name="Nuovo 24 3 2 3 2" xfId="14088" xr:uid="{4A581B01-9885-4DA2-B187-9ACDFC4739FD}"/>
    <cellStyle name="Nuovo 24 3 2 4" xfId="26954" xr:uid="{3C8CD56F-B18B-4D40-BCF3-5CD7BC4BCA3A}"/>
    <cellStyle name="Nuovo 24 3 3" xfId="4156" xr:uid="{56D43F84-2932-4CD3-BA6E-BF4F10A37A82}"/>
    <cellStyle name="Nuovo 24 3 3 2" xfId="9298" xr:uid="{E319618B-EF8F-470E-90C9-74A3F7100A43}"/>
    <cellStyle name="Nuovo 24 3 3 2 2" xfId="26957" xr:uid="{2555E9DC-14DF-4BF0-A90E-15E3065889F8}"/>
    <cellStyle name="Nuovo 24 3 3 3" xfId="26956" xr:uid="{FB91A124-528A-4F70-8824-3D8D01B30646}"/>
    <cellStyle name="Nuovo 24 3 4" xfId="4157" xr:uid="{470A1564-651A-4F1E-8B49-BC23ECDFCF37}"/>
    <cellStyle name="Nuovo 24 3 4 2" xfId="13748" xr:uid="{7252FCA1-AFC4-4B89-847A-334395A576BD}"/>
    <cellStyle name="Nuovo 24 3 4 3" xfId="26958" xr:uid="{1F943625-1B52-43DB-907B-BA3300D7A66C}"/>
    <cellStyle name="Nuovo 24 3 5" xfId="11127" xr:uid="{8FBA518D-FA75-4C37-B3FC-68937CAACC0D}"/>
    <cellStyle name="Nuovo 24 3 6" xfId="26953" xr:uid="{D7857E65-CE03-4CDF-9FE5-B60C11FAF06F}"/>
    <cellStyle name="Nuovo 24 4" xfId="2146" xr:uid="{00000000-0005-0000-0000-0000D3060000}"/>
    <cellStyle name="Nuovo 24 4 2" xfId="2147" xr:uid="{00000000-0005-0000-0000-0000D4060000}"/>
    <cellStyle name="Nuovo 24 4 2 2" xfId="9299" xr:uid="{51F42825-DAAC-46EF-A0B5-26D9C14FB498}"/>
    <cellStyle name="Nuovo 24 4 2 2 2" xfId="26961" xr:uid="{F2F8F5C6-4DEE-4A34-97D8-46DCCFDA7AC0}"/>
    <cellStyle name="Nuovo 24 4 2 3" xfId="17868" xr:uid="{67071843-D935-46FE-A6EF-79FC172B36C3}"/>
    <cellStyle name="Nuovo 24 4 2 4" xfId="26960" xr:uid="{A3B0CFAE-8897-44B9-9D06-0C69F2623849}"/>
    <cellStyle name="Nuovo 24 4 2 5" xfId="17481" xr:uid="{17E735F9-0AAE-40C6-A0D8-74D9930580C5}"/>
    <cellStyle name="Nuovo 24 4 3" xfId="9300" xr:uid="{21C4C983-F336-4523-91F9-01EE8E1A3C54}"/>
    <cellStyle name="Nuovo 24 4 3 2" xfId="26962" xr:uid="{4823D8C7-1344-430F-B66E-F24D7A2A649C}"/>
    <cellStyle name="Nuovo 24 4 4" xfId="26959" xr:uid="{7B237A87-2426-425B-9276-59C40410DF16}"/>
    <cellStyle name="Nuovo 24 5" xfId="2148" xr:uid="{00000000-0005-0000-0000-0000D5060000}"/>
    <cellStyle name="Nuovo 24 5 2" xfId="26963" xr:uid="{2DEACB00-F916-4EEA-819E-FFFE0DEF8255}"/>
    <cellStyle name="Nuovo 24 6" xfId="4158" xr:uid="{0962563C-1A01-4B00-B3AD-1CE8D47F7A08}"/>
    <cellStyle name="Nuovo 24 6 2" xfId="9784" xr:uid="{C16A3C2E-2ADD-4D9C-A467-B653D77E9348}"/>
    <cellStyle name="Nuovo 24 7" xfId="26950" xr:uid="{89225950-EDA2-4B72-BBF1-06B43CF715E7}"/>
    <cellStyle name="Nuovo 25" xfId="853" xr:uid="{00000000-0005-0000-0000-0000D6060000}"/>
    <cellStyle name="Nuovo 25 2" xfId="854" xr:uid="{00000000-0005-0000-0000-0000D7060000}"/>
    <cellStyle name="Nuovo 25 2 2" xfId="4159" xr:uid="{D8170EE6-B489-4C48-990E-0EA828ED6D8B}"/>
    <cellStyle name="Nuovo 25 2 2 2" xfId="13535" xr:uid="{9F5FAB29-339A-485F-91DA-C74F41D0F175}"/>
    <cellStyle name="Nuovo 25 2 2 3" xfId="26966" xr:uid="{017F06E5-A4FE-414D-AE3C-13697F768A5C}"/>
    <cellStyle name="Nuovo 25 2 3" xfId="13271" xr:uid="{3DCCCFC5-0996-4963-909A-C8BCFEBEBEDD}"/>
    <cellStyle name="Nuovo 25 2 4" xfId="26965" xr:uid="{4BAB185A-1348-4D36-8ED6-DF2D9112A9FB}"/>
    <cellStyle name="Nuovo 25 3" xfId="855" xr:uid="{00000000-0005-0000-0000-0000D8060000}"/>
    <cellStyle name="Nuovo 25 3 2" xfId="856" xr:uid="{00000000-0005-0000-0000-0000D9060000}"/>
    <cellStyle name="Nuovo 25 3 2 2" xfId="2149" xr:uid="{00000000-0005-0000-0000-0000DA060000}"/>
    <cellStyle name="Nuovo 25 3 2 2 2" xfId="26969" xr:uid="{EA5FFE06-443E-4A8B-B368-CBD854B77467}"/>
    <cellStyle name="Nuovo 25 3 2 3" xfId="8088" xr:uid="{CE1E4BED-43CE-4C49-8B2A-D01A356EB35E}"/>
    <cellStyle name="Nuovo 25 3 2 3 2" xfId="14089" xr:uid="{92220596-EC5C-4F70-B01B-74DEDE0E8ADF}"/>
    <cellStyle name="Nuovo 25 3 2 4" xfId="26968" xr:uid="{C9E43AD9-5728-4B27-B8A8-5B7AFE41B552}"/>
    <cellStyle name="Nuovo 25 3 3" xfId="4160" xr:uid="{76D5FDE6-7908-477A-B000-AC5DEAA09139}"/>
    <cellStyle name="Nuovo 25 3 3 2" xfId="9301" xr:uid="{C1997639-D819-4441-8F2B-2296D4F0F47B}"/>
    <cellStyle name="Nuovo 25 3 3 2 2" xfId="26971" xr:uid="{BE54E165-90C2-4D5B-991F-5071F315955E}"/>
    <cellStyle name="Nuovo 25 3 3 3" xfId="26970" xr:uid="{BA8552D3-F79E-41B0-86D4-FE3E1881B850}"/>
    <cellStyle name="Nuovo 25 3 4" xfId="4161" xr:uid="{A6A4EB4B-270C-43EE-B8BA-36DEC1EAEC6B}"/>
    <cellStyle name="Nuovo 25 3 4 2" xfId="13749" xr:uid="{D27E7559-59D4-4EA4-AF54-D1170C85BCCD}"/>
    <cellStyle name="Nuovo 25 3 4 3" xfId="26972" xr:uid="{28FCC7F2-3FAE-44E2-BA40-AB909C47C160}"/>
    <cellStyle name="Nuovo 25 3 5" xfId="11212" xr:uid="{37229BE2-A995-4B2A-A638-621B3A42E422}"/>
    <cellStyle name="Nuovo 25 3 6" xfId="26967" xr:uid="{6C0CE3EC-25A3-4675-BCC8-BE3861A5E9A0}"/>
    <cellStyle name="Nuovo 25 4" xfId="2150" xr:uid="{00000000-0005-0000-0000-0000DB060000}"/>
    <cellStyle name="Nuovo 25 4 2" xfId="2151" xr:uid="{00000000-0005-0000-0000-0000DC060000}"/>
    <cellStyle name="Nuovo 25 4 2 2" xfId="9302" xr:uid="{C7DEDADA-7E6C-44AD-BB82-9872BC911F01}"/>
    <cellStyle name="Nuovo 25 4 2 2 2" xfId="26975" xr:uid="{1FFD4884-956D-4D13-A7AB-5D32E23F3271}"/>
    <cellStyle name="Nuovo 25 4 2 3" xfId="17869" xr:uid="{E8247006-6F2E-4563-A2C9-425ED3727F4B}"/>
    <cellStyle name="Nuovo 25 4 2 4" xfId="26974" xr:uid="{821890DF-3CF0-4A0F-B1BC-2F3000802409}"/>
    <cellStyle name="Nuovo 25 4 2 5" xfId="17482" xr:uid="{B0E86E53-D7B5-4B5F-BF16-DB5F83A075EC}"/>
    <cellStyle name="Nuovo 25 4 3" xfId="9303" xr:uid="{DF6A0FA5-0BC6-4C90-A318-B078CF48A6BA}"/>
    <cellStyle name="Nuovo 25 4 3 2" xfId="26976" xr:uid="{EDA163A3-5717-493E-B4C6-D77030A5A4DC}"/>
    <cellStyle name="Nuovo 25 4 4" xfId="26973" xr:uid="{9AB378B0-E4C6-4E40-9A60-8937B8C37E1E}"/>
    <cellStyle name="Nuovo 25 5" xfId="2152" xr:uid="{00000000-0005-0000-0000-0000DD060000}"/>
    <cellStyle name="Nuovo 25 5 2" xfId="26977" xr:uid="{78B82A02-3059-4A38-AEC0-F19EF4F93B47}"/>
    <cellStyle name="Nuovo 25 6" xfId="4162" xr:uid="{74402205-FB7F-4276-8DFE-E6124C7D96FD}"/>
    <cellStyle name="Nuovo 25 6 2" xfId="9785" xr:uid="{26265561-0006-46BB-ABF2-ADBCCF2B0883}"/>
    <cellStyle name="Nuovo 25 7" xfId="26964" xr:uid="{2297E1B2-BF69-43F5-8D7D-F1C6B3747FE6}"/>
    <cellStyle name="Nuovo 26" xfId="857" xr:uid="{00000000-0005-0000-0000-0000DE060000}"/>
    <cellStyle name="Nuovo 26 2" xfId="858" xr:uid="{00000000-0005-0000-0000-0000DF060000}"/>
    <cellStyle name="Nuovo 26 2 2" xfId="4163" xr:uid="{EF14F0FD-8A37-4CE3-A40E-3CE8534B8C5B}"/>
    <cellStyle name="Nuovo 26 2 2 2" xfId="13536" xr:uid="{2217D1C9-EA97-4996-9322-2BD6E797FEFE}"/>
    <cellStyle name="Nuovo 26 2 2 3" xfId="26980" xr:uid="{DFF117F4-1366-45C8-BF2D-EBE80C57BF72}"/>
    <cellStyle name="Nuovo 26 2 3" xfId="13272" xr:uid="{D4156714-7C64-4C2C-8E3A-F7D7D426A896}"/>
    <cellStyle name="Nuovo 26 2 4" xfId="26979" xr:uid="{90798280-258D-498B-A420-EB576C538EE1}"/>
    <cellStyle name="Nuovo 26 3" xfId="859" xr:uid="{00000000-0005-0000-0000-0000E0060000}"/>
    <cellStyle name="Nuovo 26 3 2" xfId="860" xr:uid="{00000000-0005-0000-0000-0000E1060000}"/>
    <cellStyle name="Nuovo 26 3 2 2" xfId="2153" xr:uid="{00000000-0005-0000-0000-0000E2060000}"/>
    <cellStyle name="Nuovo 26 3 2 2 2" xfId="26983" xr:uid="{AABF13E1-B45F-4E4B-A059-B4F8AD127FB0}"/>
    <cellStyle name="Nuovo 26 3 2 3" xfId="8089" xr:uid="{94E36746-D424-467D-A2C1-8F1930F09992}"/>
    <cellStyle name="Nuovo 26 3 2 3 2" xfId="14090" xr:uid="{E0D52043-4D25-4F7F-A00A-D55598B2447B}"/>
    <cellStyle name="Nuovo 26 3 2 3 3" xfId="26984" xr:uid="{8C5F94D3-BE10-459A-BA03-50EDAB9623D0}"/>
    <cellStyle name="Nuovo 26 3 2 4" xfId="26982" xr:uid="{28E170CB-4ADD-4545-8699-4F692FC81332}"/>
    <cellStyle name="Nuovo 26 3 3" xfId="4164" xr:uid="{D276A25C-4144-498C-9A7D-2D275B778B96}"/>
    <cellStyle name="Nuovo 26 3 3 2" xfId="9304" xr:uid="{2A2F734C-D9D5-4D7A-96E3-9C052A0EBB52}"/>
    <cellStyle name="Nuovo 26 3 3 2 2" xfId="26986" xr:uid="{64566191-182C-48FD-9228-FA59C38F1C9E}"/>
    <cellStyle name="Nuovo 26 3 3 3" xfId="26987" xr:uid="{7A2044E9-5CB3-4E1F-9DBD-5257BF253A5A}"/>
    <cellStyle name="Nuovo 26 3 3 3 2" xfId="48982" xr:uid="{1C5B3DCB-C0A0-4D0B-8815-02129E5717A8}"/>
    <cellStyle name="Nuovo 26 3 3 4" xfId="26985" xr:uid="{76903C65-BE79-4711-AC88-2513F2B772A0}"/>
    <cellStyle name="Nuovo 26 3 4" xfId="4165" xr:uid="{6B877239-17AA-4D20-8268-EBA90573F64C}"/>
    <cellStyle name="Nuovo 26 3 4 2" xfId="13750" xr:uid="{D18D1676-DA70-4BCD-8045-2A7FB9680B90}"/>
    <cellStyle name="Nuovo 26 3 4 3" xfId="26988" xr:uid="{4A98CBFB-EC72-423B-AC1A-C643791D1B48}"/>
    <cellStyle name="Nuovo 26 3 5" xfId="11525" xr:uid="{D694070D-B0ED-4A0C-81F8-7E336C4C7110}"/>
    <cellStyle name="Nuovo 26 3 6" xfId="26981" xr:uid="{06D89117-333E-47BA-9FDC-77497AE221FE}"/>
    <cellStyle name="Nuovo 26 4" xfId="2154" xr:uid="{00000000-0005-0000-0000-0000E3060000}"/>
    <cellStyle name="Nuovo 26 4 2" xfId="2155" xr:uid="{00000000-0005-0000-0000-0000E4060000}"/>
    <cellStyle name="Nuovo 26 4 2 2" xfId="9305" xr:uid="{2EFBC1D8-521B-4D92-8BED-05A2E96DD197}"/>
    <cellStyle name="Nuovo 26 4 2 2 2" xfId="26991" xr:uid="{95ADC8BB-BD55-4E72-AE9B-06198DF6F369}"/>
    <cellStyle name="Nuovo 26 4 2 3" xfId="17870" xr:uid="{01A8D4E6-B6B0-4D70-B7D5-E0D948E2E1A7}"/>
    <cellStyle name="Nuovo 26 4 2 3 2" xfId="26992" xr:uid="{F1C808A6-3305-4F8A-8AF6-CB0910926AC6}"/>
    <cellStyle name="Nuovo 26 4 2 4" xfId="26990" xr:uid="{410497B3-B2E5-4245-A106-6B65F46962C7}"/>
    <cellStyle name="Nuovo 26 4 2 5" xfId="17483" xr:uid="{1C3EFE3D-E838-4085-A428-5E081D7FECB9}"/>
    <cellStyle name="Nuovo 26 4 3" xfId="9306" xr:uid="{5C6B8450-F27D-49B8-948B-D0FB2C2C4D31}"/>
    <cellStyle name="Nuovo 26 4 3 2" xfId="26993" xr:uid="{06769474-708F-4B0B-B66C-3FCECFAEC92E}"/>
    <cellStyle name="Nuovo 26 4 4" xfId="26994" xr:uid="{B6A5D8C9-5A39-46B4-8051-DF98D31DBD56}"/>
    <cellStyle name="Nuovo 26 4 4 2" xfId="48983" xr:uid="{EEDD10D2-1B28-4FC2-9050-F2F61054D30E}"/>
    <cellStyle name="Nuovo 26 4 5" xfId="26995" xr:uid="{D28E0155-EED8-4C32-8585-BC3A3EA79288}"/>
    <cellStyle name="Nuovo 26 4 6" xfId="26989" xr:uid="{CD9D3ED0-B880-42ED-9B0A-9EE3EA0D9FCC}"/>
    <cellStyle name="Nuovo 26 5" xfId="2156" xr:uid="{00000000-0005-0000-0000-0000E5060000}"/>
    <cellStyle name="Nuovo 26 5 2" xfId="26997" xr:uid="{90C97666-E77D-4A07-A65A-08ACF63A96D7}"/>
    <cellStyle name="Nuovo 26 5 2 2" xfId="48984" xr:uid="{3675AF6A-7347-4FEC-AD77-C5470B62BF08}"/>
    <cellStyle name="Nuovo 26 5 3" xfId="26998" xr:uid="{42BB239D-EBB1-4562-BFDF-41F5F2D329AB}"/>
    <cellStyle name="Nuovo 26 5 4" xfId="26996" xr:uid="{DD69BD77-B63C-4DC8-BD8F-AA37A0E6CD68}"/>
    <cellStyle name="Nuovo 26 6" xfId="4166" xr:uid="{BFD5F675-45CF-4014-BDC9-8E5281593A98}"/>
    <cellStyle name="Nuovo 26 6 2" xfId="9786" xr:uid="{06822B21-48A3-4B92-BDBC-E68AAE961D52}"/>
    <cellStyle name="Nuovo 26 7" xfId="26978" xr:uid="{73D118E2-7B80-41EE-AA10-8DF3A342FE98}"/>
    <cellStyle name="Nuovo 27" xfId="861" xr:uid="{00000000-0005-0000-0000-0000E6060000}"/>
    <cellStyle name="Nuovo 27 2" xfId="862" xr:uid="{00000000-0005-0000-0000-0000E7060000}"/>
    <cellStyle name="Nuovo 27 2 2" xfId="4167" xr:uid="{1F728945-5824-486B-9260-438B6B452C93}"/>
    <cellStyle name="Nuovo 27 2 2 2" xfId="13537" xr:uid="{ADC6E738-3D29-43C2-8AF6-D9D060A280E5}"/>
    <cellStyle name="Nuovo 27 2 2 3" xfId="27001" xr:uid="{29B249B4-AB44-4ADA-A952-246358690BA8}"/>
    <cellStyle name="Nuovo 27 2 3" xfId="13273" xr:uid="{3B9E0D04-55A2-43A1-94C3-38810649E02D}"/>
    <cellStyle name="Nuovo 27 2 3 2" xfId="27002" xr:uid="{DF7C1C4C-DB32-4505-9A96-2F598154F937}"/>
    <cellStyle name="Nuovo 27 2 4" xfId="27003" xr:uid="{19BD68A2-98C0-4C0E-B74A-FCC35D3C684C}"/>
    <cellStyle name="Nuovo 27 2 5" xfId="27000" xr:uid="{D32CBADF-9E1A-48E4-8DF2-F4FF033B8BFD}"/>
    <cellStyle name="Nuovo 27 3" xfId="863" xr:uid="{00000000-0005-0000-0000-0000E8060000}"/>
    <cellStyle name="Nuovo 27 3 2" xfId="864" xr:uid="{00000000-0005-0000-0000-0000E9060000}"/>
    <cellStyle name="Nuovo 27 3 2 2" xfId="2157" xr:uid="{00000000-0005-0000-0000-0000EA060000}"/>
    <cellStyle name="Nuovo 27 3 2 2 2" xfId="27006" xr:uid="{43A580AF-16BC-4A2B-B87A-27D227A1BA35}"/>
    <cellStyle name="Nuovo 27 3 2 3" xfId="8090" xr:uid="{7E9E3C4F-E111-4718-A1CD-22198948FB71}"/>
    <cellStyle name="Nuovo 27 3 2 3 2" xfId="14091" xr:uid="{AE34A3A1-F6DA-4ACF-B43A-FE1B6FA52A7C}"/>
    <cellStyle name="Nuovo 27 3 2 3 3" xfId="27007" xr:uid="{3C4B8813-F57E-4AE9-9005-51B9B89BF5BD}"/>
    <cellStyle name="Nuovo 27 3 2 4" xfId="27005" xr:uid="{2260AE4F-94E4-457F-9641-96D226346A59}"/>
    <cellStyle name="Nuovo 27 3 3" xfId="4168" xr:uid="{3D8CBF6F-3206-4603-B160-2B5A35715C28}"/>
    <cellStyle name="Nuovo 27 3 3 2" xfId="9307" xr:uid="{C789D64D-E054-48DD-ABC2-8826B9B861E4}"/>
    <cellStyle name="Nuovo 27 3 3 2 2" xfId="27009" xr:uid="{B194616D-5E8E-47C6-9B69-C8B3B98034BE}"/>
    <cellStyle name="Nuovo 27 3 3 3" xfId="27010" xr:uid="{D66AE1AE-8A38-419F-A542-8D54C08D90F1}"/>
    <cellStyle name="Nuovo 27 3 3 3 2" xfId="48985" xr:uid="{E2A5282C-CA1C-441F-8C8B-1C8B73C5AC4E}"/>
    <cellStyle name="Nuovo 27 3 3 4" xfId="27008" xr:uid="{DE7A8F8F-673F-4373-AF41-D921738AEB70}"/>
    <cellStyle name="Nuovo 27 3 4" xfId="4169" xr:uid="{87E1DEC4-2B49-4E49-8D5C-702822A341A5}"/>
    <cellStyle name="Nuovo 27 3 4 2" xfId="13751" xr:uid="{DEE0B21C-87CD-4B55-B4EB-7ACE770698FA}"/>
    <cellStyle name="Nuovo 27 3 4 3" xfId="27011" xr:uid="{10064725-131E-435B-BCB8-456295D14AF0}"/>
    <cellStyle name="Nuovo 27 3 5" xfId="12292" xr:uid="{D36D05FE-8DDF-4F01-8C98-6CFD84875D48}"/>
    <cellStyle name="Nuovo 27 3 5 2" xfId="27012" xr:uid="{C52B07CA-CCE0-4E56-97FE-0256ACE83794}"/>
    <cellStyle name="Nuovo 27 3 6" xfId="27013" xr:uid="{DA4ACAFF-5669-4949-AA49-F32F31FFA7DD}"/>
    <cellStyle name="Nuovo 27 3 7" xfId="27004" xr:uid="{E7B00F36-0258-4EAC-9027-36DF98AEF0E0}"/>
    <cellStyle name="Nuovo 27 4" xfId="2158" xr:uid="{00000000-0005-0000-0000-0000EB060000}"/>
    <cellStyle name="Nuovo 27 4 2" xfId="2159" xr:uid="{00000000-0005-0000-0000-0000EC060000}"/>
    <cellStyle name="Nuovo 27 4 2 2" xfId="9308" xr:uid="{CD1D1EF6-CCDD-45D5-9894-EF4F46638985}"/>
    <cellStyle name="Nuovo 27 4 2 2 2" xfId="27016" xr:uid="{4833EFD1-03DA-4B4C-8362-D221C871D2C8}"/>
    <cellStyle name="Nuovo 27 4 2 3" xfId="17871" xr:uid="{82AA1000-B2A1-42D2-AFA4-E54AE547BE3D}"/>
    <cellStyle name="Nuovo 27 4 2 3 2" xfId="27017" xr:uid="{F3EA65CC-B299-4BD2-8900-8E0C0C60DCA0}"/>
    <cellStyle name="Nuovo 27 4 2 4" xfId="27015" xr:uid="{F6C8BE89-4D81-4D62-8655-2815EF72E4C9}"/>
    <cellStyle name="Nuovo 27 4 2 5" xfId="17484" xr:uid="{CE95577F-FF77-485E-8065-0A4D6691A69D}"/>
    <cellStyle name="Nuovo 27 4 3" xfId="9309" xr:uid="{648FEC54-3B69-4191-882A-7807F0390925}"/>
    <cellStyle name="Nuovo 27 4 3 2" xfId="27018" xr:uid="{EB5BF957-9667-4A41-BFCC-6A41C2C84882}"/>
    <cellStyle name="Nuovo 27 4 4" xfId="27019" xr:uid="{BE3BBB84-825C-4212-8256-3D23E8778705}"/>
    <cellStyle name="Nuovo 27 4 4 2" xfId="48986" xr:uid="{F495EC05-5524-4BAC-B164-1BF72F9BBED2}"/>
    <cellStyle name="Nuovo 27 4 5" xfId="27020" xr:uid="{F1432F30-CBB2-418E-9088-F76ECD6149D7}"/>
    <cellStyle name="Nuovo 27 4 6" xfId="27014" xr:uid="{9E3E4A5D-B36E-4883-9A9F-0611C9BBBF20}"/>
    <cellStyle name="Nuovo 27 5" xfId="2160" xr:uid="{00000000-0005-0000-0000-0000ED060000}"/>
    <cellStyle name="Nuovo 27 5 2" xfId="27022" xr:uid="{98CB5B47-7351-4B1B-B936-6F3F207406B1}"/>
    <cellStyle name="Nuovo 27 5 2 2" xfId="48987" xr:uid="{7F35B425-7281-4465-9480-433ECDC5B41A}"/>
    <cellStyle name="Nuovo 27 5 3" xfId="27023" xr:uid="{76C2F13C-79C8-4F36-A936-B075BD0D61C0}"/>
    <cellStyle name="Nuovo 27 5 4" xfId="27021" xr:uid="{7D6D5053-83E9-466C-B9B4-862B54B6784B}"/>
    <cellStyle name="Nuovo 27 6" xfId="4170" xr:uid="{82E0C6F6-CF92-44FB-A4C7-EA23D3D1C610}"/>
    <cellStyle name="Nuovo 27 6 2" xfId="9787" xr:uid="{2CFC2FD0-10D9-4F6E-A850-ACA13D6FA110}"/>
    <cellStyle name="Nuovo 27 6 3" xfId="27024" xr:uid="{34C42F56-7767-49F2-ACED-B5D3CDFDB34B}"/>
    <cellStyle name="Nuovo 27 7" xfId="26999" xr:uid="{EC3ADD76-CA6D-4CCB-8E44-A6C1BF96ABD1}"/>
    <cellStyle name="Nuovo 28" xfId="865" xr:uid="{00000000-0005-0000-0000-0000EE060000}"/>
    <cellStyle name="Nuovo 28 2" xfId="866" xr:uid="{00000000-0005-0000-0000-0000EF060000}"/>
    <cellStyle name="Nuovo 28 2 2" xfId="4171" xr:uid="{9DE10C6A-FE3D-43FF-946A-165F4E283575}"/>
    <cellStyle name="Nuovo 28 2 2 2" xfId="13538" xr:uid="{EDCE01BA-E4DF-4651-B0F1-26BF1DD3CBB0}"/>
    <cellStyle name="Nuovo 28 2 2 3" xfId="27027" xr:uid="{68CAE817-C56D-48BD-8912-C7B9B16EC53D}"/>
    <cellStyle name="Nuovo 28 2 3" xfId="13274" xr:uid="{A2973573-094F-44BE-BBDA-9D25EABE9D1E}"/>
    <cellStyle name="Nuovo 28 2 3 2" xfId="27028" xr:uid="{1BDE885C-C5DA-47F7-A7A1-C72EC0C36AF6}"/>
    <cellStyle name="Nuovo 28 2 4" xfId="27029" xr:uid="{64B6D246-DFC2-4A32-A73B-9638DB746B25}"/>
    <cellStyle name="Nuovo 28 2 5" xfId="27026" xr:uid="{459FABE7-F54C-4FB2-B271-129DA9D0D736}"/>
    <cellStyle name="Nuovo 28 3" xfId="867" xr:uid="{00000000-0005-0000-0000-0000F0060000}"/>
    <cellStyle name="Nuovo 28 3 2" xfId="868" xr:uid="{00000000-0005-0000-0000-0000F1060000}"/>
    <cellStyle name="Nuovo 28 3 2 2" xfId="2161" xr:uid="{00000000-0005-0000-0000-0000F2060000}"/>
    <cellStyle name="Nuovo 28 3 2 2 2" xfId="27032" xr:uid="{FFD89313-B6FC-4B87-B1A7-B375BAB190CB}"/>
    <cellStyle name="Nuovo 28 3 2 3" xfId="8091" xr:uid="{1F771462-38B1-455D-AE2E-C354033B478A}"/>
    <cellStyle name="Nuovo 28 3 2 3 2" xfId="14092" xr:uid="{01E14D76-B450-40B7-AA77-A613F146F358}"/>
    <cellStyle name="Nuovo 28 3 2 3 3" xfId="27033" xr:uid="{A63EE8C3-B05F-4B54-9F00-70FBE8832751}"/>
    <cellStyle name="Nuovo 28 3 2 4" xfId="27031" xr:uid="{EA6DCFB0-4E23-4AA3-9049-22758FF7D985}"/>
    <cellStyle name="Nuovo 28 3 3" xfId="4172" xr:uid="{3D0B2B9F-C859-40DC-818C-F674FD5D97AC}"/>
    <cellStyle name="Nuovo 28 3 3 2" xfId="9310" xr:uid="{04E1E97C-4D13-4B96-8A05-E3B6D4260140}"/>
    <cellStyle name="Nuovo 28 3 3 2 2" xfId="27035" xr:uid="{0ED43991-74D4-4D44-9807-35F0E07216EC}"/>
    <cellStyle name="Nuovo 28 3 3 3" xfId="27036" xr:uid="{6FD50CA1-7918-45FA-9FE3-23E59E8C4255}"/>
    <cellStyle name="Nuovo 28 3 3 3 2" xfId="48988" xr:uid="{581B5636-19E7-47AC-935B-D826152DC248}"/>
    <cellStyle name="Nuovo 28 3 3 4" xfId="27034" xr:uid="{669272D9-7827-4C11-AAD7-366AF43BAAF8}"/>
    <cellStyle name="Nuovo 28 3 4" xfId="4173" xr:uid="{3E3BC6D1-600C-4056-BFE1-E2376EFB2EBF}"/>
    <cellStyle name="Nuovo 28 3 4 2" xfId="13752" xr:uid="{21A086AD-99BB-4CF1-8E14-9491E4F2BB3C}"/>
    <cellStyle name="Nuovo 28 3 4 3" xfId="27037" xr:uid="{270DF688-092C-4488-A5B4-E2A24B9ADF29}"/>
    <cellStyle name="Nuovo 28 3 5" xfId="12291" xr:uid="{7A77D1A4-DBC3-4942-AC1E-42245EA9035A}"/>
    <cellStyle name="Nuovo 28 3 5 2" xfId="27038" xr:uid="{ED24C9F9-449A-4BBB-AE7C-22D5B67DF35D}"/>
    <cellStyle name="Nuovo 28 3 6" xfId="27039" xr:uid="{2D6CA83D-645A-4F2A-A5DD-575F2A25DC74}"/>
    <cellStyle name="Nuovo 28 3 7" xfId="27030" xr:uid="{B6E15135-F125-435C-AEE4-9FACE4BF58DB}"/>
    <cellStyle name="Nuovo 28 4" xfId="2162" xr:uid="{00000000-0005-0000-0000-0000F3060000}"/>
    <cellStyle name="Nuovo 28 4 2" xfId="2163" xr:uid="{00000000-0005-0000-0000-0000F4060000}"/>
    <cellStyle name="Nuovo 28 4 2 2" xfId="9311" xr:uid="{CB292B8B-67FA-495F-8896-ABC62D287F52}"/>
    <cellStyle name="Nuovo 28 4 2 2 2" xfId="27042" xr:uid="{86E44C93-E077-41D8-8469-7D7E545CDD07}"/>
    <cellStyle name="Nuovo 28 4 2 3" xfId="17872" xr:uid="{29A91B33-18FB-4BEB-9F2D-8EF923DAD7D1}"/>
    <cellStyle name="Nuovo 28 4 2 3 2" xfId="27043" xr:uid="{CBF5F259-7CDF-4B0C-9AAB-5D858F12217A}"/>
    <cellStyle name="Nuovo 28 4 2 4" xfId="27041" xr:uid="{E1444A47-24B7-489F-AF63-EF5D64058008}"/>
    <cellStyle name="Nuovo 28 4 2 5" xfId="17485" xr:uid="{6D551685-EA9E-49BC-A073-422F363DD6B8}"/>
    <cellStyle name="Nuovo 28 4 3" xfId="9312" xr:uid="{5069DDCD-D354-4A47-829C-AEDE85C75C82}"/>
    <cellStyle name="Nuovo 28 4 3 2" xfId="27044" xr:uid="{6E9B80A0-27DC-4109-A70E-3FB2D35ADA35}"/>
    <cellStyle name="Nuovo 28 4 4" xfId="27045" xr:uid="{4B8E075A-EB00-4A1C-B7D9-306211032246}"/>
    <cellStyle name="Nuovo 28 4 4 2" xfId="48989" xr:uid="{70C45A30-7BE2-41A4-9839-70796AA4A29A}"/>
    <cellStyle name="Nuovo 28 4 5" xfId="27046" xr:uid="{8890A385-35A1-48E9-AF58-3F52A23B4453}"/>
    <cellStyle name="Nuovo 28 4 6" xfId="27040" xr:uid="{66084D60-3E47-4041-B4B7-36E8E1DE79CF}"/>
    <cellStyle name="Nuovo 28 5" xfId="2164" xr:uid="{00000000-0005-0000-0000-0000F5060000}"/>
    <cellStyle name="Nuovo 28 5 2" xfId="27048" xr:uid="{80D85BDA-4BD8-466F-A728-687E9A95E43B}"/>
    <cellStyle name="Nuovo 28 5 2 2" xfId="48990" xr:uid="{BE3009F8-D243-4001-A46D-9B77DBA2FB39}"/>
    <cellStyle name="Nuovo 28 5 3" xfId="27049" xr:uid="{4CFD1199-C71F-44D9-AA46-BBE09A4FDF4A}"/>
    <cellStyle name="Nuovo 28 5 4" xfId="27047" xr:uid="{98FAA14E-0A80-4198-96DC-26308CAF7E87}"/>
    <cellStyle name="Nuovo 28 6" xfId="4174" xr:uid="{98B1C2A4-D4FE-41D6-8D83-6ED5CDB8F70C}"/>
    <cellStyle name="Nuovo 28 6 2" xfId="9788" xr:uid="{809C2581-0581-430C-A89B-E14CCA585737}"/>
    <cellStyle name="Nuovo 28 6 3" xfId="27050" xr:uid="{95FE7660-F940-4909-9445-6537E7C363A2}"/>
    <cellStyle name="Nuovo 28 7" xfId="27025" xr:uid="{053DF3EA-3C3A-4CD7-9707-BB12CB2C79AD}"/>
    <cellStyle name="Nuovo 29" xfId="869" xr:uid="{00000000-0005-0000-0000-0000F6060000}"/>
    <cellStyle name="Nuovo 29 2" xfId="870" xr:uid="{00000000-0005-0000-0000-0000F7060000}"/>
    <cellStyle name="Nuovo 29 2 2" xfId="4175" xr:uid="{F435162C-D3E3-4A9E-AA6A-5B0C3198D196}"/>
    <cellStyle name="Nuovo 29 2 2 2" xfId="13539" xr:uid="{12B77F1A-7FF1-4CBD-980A-EABC675C94C1}"/>
    <cellStyle name="Nuovo 29 2 2 3" xfId="27053" xr:uid="{56F2E217-1D85-4889-A1BB-2F59E247C6A4}"/>
    <cellStyle name="Nuovo 29 2 3" xfId="13275" xr:uid="{D2202FDF-7420-4E5B-A95A-BB99CE5F028B}"/>
    <cellStyle name="Nuovo 29 2 3 2" xfId="27054" xr:uid="{D94AEA0E-ECF5-4E4B-BFBE-B711342DD453}"/>
    <cellStyle name="Nuovo 29 2 4" xfId="27055" xr:uid="{AE1510D8-E5E8-4DA2-8254-B63FB2B7A2DD}"/>
    <cellStyle name="Nuovo 29 2 5" xfId="27052" xr:uid="{CA163873-39F8-46C9-A5EA-448543F2B683}"/>
    <cellStyle name="Nuovo 29 3" xfId="871" xr:uid="{00000000-0005-0000-0000-0000F8060000}"/>
    <cellStyle name="Nuovo 29 3 2" xfId="872" xr:uid="{00000000-0005-0000-0000-0000F9060000}"/>
    <cellStyle name="Nuovo 29 3 2 2" xfId="2165" xr:uid="{00000000-0005-0000-0000-0000FA060000}"/>
    <cellStyle name="Nuovo 29 3 2 2 2" xfId="27058" xr:uid="{0780EC9E-09B2-44C8-B1DB-F412C6F66746}"/>
    <cellStyle name="Nuovo 29 3 2 3" xfId="8092" xr:uid="{FAED8526-9FD9-4E37-9F42-8756C64D71E2}"/>
    <cellStyle name="Nuovo 29 3 2 3 2" xfId="14093" xr:uid="{1D00A76A-401B-4A69-9D69-A2F82DA42D76}"/>
    <cellStyle name="Nuovo 29 3 2 3 3" xfId="27059" xr:uid="{8B328D4C-2BE6-4CD6-8DBF-63766DC54725}"/>
    <cellStyle name="Nuovo 29 3 2 4" xfId="27057" xr:uid="{9919B9D8-A1B7-4926-A456-109E39CBBC67}"/>
    <cellStyle name="Nuovo 29 3 3" xfId="4176" xr:uid="{5E205E26-4F26-47BD-A075-68C265ED28E6}"/>
    <cellStyle name="Nuovo 29 3 3 2" xfId="9313" xr:uid="{DCB942EB-66D6-4A3E-819B-F7DB68915B58}"/>
    <cellStyle name="Nuovo 29 3 3 2 2" xfId="27061" xr:uid="{4F72C81A-7B22-4466-B3BD-0D45810D2298}"/>
    <cellStyle name="Nuovo 29 3 3 3" xfId="27062" xr:uid="{6FB506F1-2CC2-4029-A2CA-7EC4A5D3862C}"/>
    <cellStyle name="Nuovo 29 3 3 3 2" xfId="48991" xr:uid="{E6FC0753-6999-4571-B733-35E2240B0EB5}"/>
    <cellStyle name="Nuovo 29 3 3 4" xfId="27060" xr:uid="{1E366760-D3D4-46A1-AD51-F7C17B786138}"/>
    <cellStyle name="Nuovo 29 3 4" xfId="4177" xr:uid="{A702743B-FFF0-4DA4-AE77-ABC8D8146F26}"/>
    <cellStyle name="Nuovo 29 3 4 2" xfId="13753" xr:uid="{2164E247-DA34-41CA-B376-B43769D5DD3F}"/>
    <cellStyle name="Nuovo 29 3 4 3" xfId="27063" xr:uid="{221E72DD-6DD6-49C2-B160-99745C98FBB8}"/>
    <cellStyle name="Nuovo 29 3 5" xfId="11524" xr:uid="{57D55DA6-CD8F-42E4-AF02-F2FC4BF9061B}"/>
    <cellStyle name="Nuovo 29 3 5 2" xfId="27064" xr:uid="{0ED34D48-DE25-44A4-95FF-1B3747337F11}"/>
    <cellStyle name="Nuovo 29 3 6" xfId="27065" xr:uid="{67C01637-9EAB-41E8-98A4-7340D100D8AF}"/>
    <cellStyle name="Nuovo 29 3 7" xfId="27056" xr:uid="{2FDD8740-ED1F-46CB-AE42-FEFCD84E6C13}"/>
    <cellStyle name="Nuovo 29 4" xfId="2166" xr:uid="{00000000-0005-0000-0000-0000FB060000}"/>
    <cellStyle name="Nuovo 29 4 2" xfId="2167" xr:uid="{00000000-0005-0000-0000-0000FC060000}"/>
    <cellStyle name="Nuovo 29 4 2 2" xfId="9314" xr:uid="{6AA47B0A-7018-4255-9330-FBADE8DE6F51}"/>
    <cellStyle name="Nuovo 29 4 2 2 2" xfId="27068" xr:uid="{BA424540-2468-46C9-B27E-8EA482E2EDAF}"/>
    <cellStyle name="Nuovo 29 4 2 3" xfId="17873" xr:uid="{4A0A6548-ECF7-4967-8A95-4D2B41BC4370}"/>
    <cellStyle name="Nuovo 29 4 2 3 2" xfId="27069" xr:uid="{BF20B2F0-F200-4CC8-97F4-8BB3DA1618C0}"/>
    <cellStyle name="Nuovo 29 4 2 4" xfId="27067" xr:uid="{DD0240C9-CB60-41A0-882B-43F891D03106}"/>
    <cellStyle name="Nuovo 29 4 2 5" xfId="17486" xr:uid="{839FA5B3-B92D-4489-BF14-BAC1CE69F644}"/>
    <cellStyle name="Nuovo 29 4 3" xfId="9315" xr:uid="{70ECB1F7-6A6B-4A0A-BF34-122713F3E35C}"/>
    <cellStyle name="Nuovo 29 4 3 2" xfId="27070" xr:uid="{9A182BFC-B220-4B1A-AFE0-CF84539C09C0}"/>
    <cellStyle name="Nuovo 29 4 4" xfId="27071" xr:uid="{BBD6AAE2-4A66-404A-8DAA-CFA2AE61195B}"/>
    <cellStyle name="Nuovo 29 4 4 2" xfId="48992" xr:uid="{8CDF61EB-B64B-4A38-8E1B-FF3C9CD5733B}"/>
    <cellStyle name="Nuovo 29 4 5" xfId="27072" xr:uid="{CDF0B523-65FE-4E2C-B2BA-F7CA4D774720}"/>
    <cellStyle name="Nuovo 29 4 6" xfId="27066" xr:uid="{43EC8547-3EBF-48DC-A2C8-1A5898F49A1A}"/>
    <cellStyle name="Nuovo 29 5" xfId="2168" xr:uid="{00000000-0005-0000-0000-0000FD060000}"/>
    <cellStyle name="Nuovo 29 5 2" xfId="27074" xr:uid="{00699010-7B76-4B83-BEF7-E3694EEE4D30}"/>
    <cellStyle name="Nuovo 29 5 2 2" xfId="48993" xr:uid="{FDE3D809-1BAA-4D00-BFA9-FAA6477DB64F}"/>
    <cellStyle name="Nuovo 29 5 3" xfId="27075" xr:uid="{A64257BC-32D7-47DA-807C-0E50CB8E1913}"/>
    <cellStyle name="Nuovo 29 5 4" xfId="27073" xr:uid="{DB2BEFFB-4B62-46CA-8079-8FAA9E877BD9}"/>
    <cellStyle name="Nuovo 29 6" xfId="4178" xr:uid="{7BD67813-54AA-4A51-803B-115A1461BE48}"/>
    <cellStyle name="Nuovo 29 6 2" xfId="9789" xr:uid="{3387D594-E7A4-485C-831C-41C67CFC3E80}"/>
    <cellStyle name="Nuovo 29 6 3" xfId="27076" xr:uid="{B5B349DA-C672-4EE7-AFD3-2BFA0DD6186C}"/>
    <cellStyle name="Nuovo 29 7" xfId="27051" xr:uid="{D0C24B72-89C7-4AB5-9CD4-C2BDC30CF520}"/>
    <cellStyle name="Nuovo 3" xfId="873" xr:uid="{00000000-0005-0000-0000-0000FE060000}"/>
    <cellStyle name="Nuovo 3 2" xfId="874" xr:uid="{00000000-0005-0000-0000-0000FF060000}"/>
    <cellStyle name="Nuovo 3 2 2" xfId="4179" xr:uid="{B7732E74-5E32-47C5-9255-120C3F735E80}"/>
    <cellStyle name="Nuovo 3 2 2 2" xfId="13540" xr:uid="{8B584F29-6802-4F6C-911A-42AC34E16BAF}"/>
    <cellStyle name="Nuovo 3 2 2 3" xfId="27079" xr:uid="{660B5E1D-4317-4CC1-A2A5-402C6A821E66}"/>
    <cellStyle name="Nuovo 3 2 3" xfId="13276" xr:uid="{81104CD3-5064-497F-B476-92447DC261FD}"/>
    <cellStyle name="Nuovo 3 2 3 2" xfId="27080" xr:uid="{5A873772-086F-4DE5-8415-61EAC4FFA962}"/>
    <cellStyle name="Nuovo 3 2 4" xfId="27081" xr:uid="{DC63CA28-8184-469A-89ED-B600163F027D}"/>
    <cellStyle name="Nuovo 3 2 5" xfId="27078" xr:uid="{9AC86300-9197-4A35-947D-E0A17B08A14F}"/>
    <cellStyle name="Nuovo 3 3" xfId="875" xr:uid="{00000000-0005-0000-0000-000000070000}"/>
    <cellStyle name="Nuovo 3 3 2" xfId="876" xr:uid="{00000000-0005-0000-0000-000001070000}"/>
    <cellStyle name="Nuovo 3 3 2 2" xfId="2169" xr:uid="{00000000-0005-0000-0000-000002070000}"/>
    <cellStyle name="Nuovo 3 3 2 2 2" xfId="27084" xr:uid="{137E65E0-906C-4C27-8E6B-878A2A3BE240}"/>
    <cellStyle name="Nuovo 3 3 2 3" xfId="8093" xr:uid="{A34B6EF5-63C3-40E2-A0FB-6AD732FED9A0}"/>
    <cellStyle name="Nuovo 3 3 2 3 2" xfId="14094" xr:uid="{EA62BB25-E173-4026-A3B9-7AB40AF1BFC4}"/>
    <cellStyle name="Nuovo 3 3 2 3 3" xfId="27085" xr:uid="{79868F73-6D21-44A8-86FF-3A745DCD3ED9}"/>
    <cellStyle name="Nuovo 3 3 2 4" xfId="27083" xr:uid="{FC76A9C0-8F60-4851-B793-4843CFE00538}"/>
    <cellStyle name="Nuovo 3 3 3" xfId="4180" xr:uid="{9744309A-C547-42CE-8175-02E4C23E7535}"/>
    <cellStyle name="Nuovo 3 3 3 2" xfId="9316" xr:uid="{13562002-BF8F-4447-B699-6DD7DB814D71}"/>
    <cellStyle name="Nuovo 3 3 3 2 2" xfId="27087" xr:uid="{8909DE2F-6FB3-4DAF-891C-33C57394DB2B}"/>
    <cellStyle name="Nuovo 3 3 3 3" xfId="27088" xr:uid="{AAF17F9E-001F-40D4-BBBE-E4B7C347389C}"/>
    <cellStyle name="Nuovo 3 3 3 3 2" xfId="48994" xr:uid="{DB6FB91E-F351-49F6-BCDC-71D58E797A4B}"/>
    <cellStyle name="Nuovo 3 3 3 4" xfId="27086" xr:uid="{8C9E9B9F-2A93-41E9-B445-EE25C6FCC0B0}"/>
    <cellStyle name="Nuovo 3 3 4" xfId="4181" xr:uid="{EFAD7141-6CE2-487E-9383-987D46DE267F}"/>
    <cellStyle name="Nuovo 3 3 4 2" xfId="13754" xr:uid="{B0609979-CDF4-47BA-8E3C-D78C1ED7BB99}"/>
    <cellStyle name="Nuovo 3 3 4 3" xfId="27089" xr:uid="{84B36260-F5C0-49BB-93D1-F9AD96F3D2B8}"/>
    <cellStyle name="Nuovo 3 3 5" xfId="11151" xr:uid="{A25707B0-C13F-41EE-B58B-B55F73979D0C}"/>
    <cellStyle name="Nuovo 3 3 5 2" xfId="27090" xr:uid="{D74A6D82-4FB2-4AF1-8BE7-3534D25F30AC}"/>
    <cellStyle name="Nuovo 3 3 6" xfId="27091" xr:uid="{018C7DE8-DD61-48EF-B99F-465858BDEF66}"/>
    <cellStyle name="Nuovo 3 3 7" xfId="27082" xr:uid="{51A35C29-891B-40FE-9636-7D7DF885A1D7}"/>
    <cellStyle name="Nuovo 3 4" xfId="2170" xr:uid="{00000000-0005-0000-0000-000003070000}"/>
    <cellStyle name="Nuovo 3 4 2" xfId="2171" xr:uid="{00000000-0005-0000-0000-000004070000}"/>
    <cellStyle name="Nuovo 3 4 2 2" xfId="9317" xr:uid="{ACBDFD2A-6662-4C88-B4B3-40275280BD07}"/>
    <cellStyle name="Nuovo 3 4 2 2 2" xfId="27094" xr:uid="{FDECEA14-CAFA-4E5F-8324-99C64A40883B}"/>
    <cellStyle name="Nuovo 3 4 2 3" xfId="17874" xr:uid="{1959E11B-B3F9-4BF0-94E8-69BBCDA2B461}"/>
    <cellStyle name="Nuovo 3 4 2 3 2" xfId="27095" xr:uid="{596C7552-E433-4B0C-AD71-B61E2C913868}"/>
    <cellStyle name="Nuovo 3 4 2 4" xfId="27093" xr:uid="{B60BD6C6-838B-49A4-9975-81AB9FB81BF6}"/>
    <cellStyle name="Nuovo 3 4 2 5" xfId="17487" xr:uid="{0229D477-C565-40E4-B4AC-3276FB7B2981}"/>
    <cellStyle name="Nuovo 3 4 3" xfId="9318" xr:uid="{AA6C6428-3ACD-4B2A-9C56-3DDFE4108B41}"/>
    <cellStyle name="Nuovo 3 4 3 2" xfId="27096" xr:uid="{85649D8C-75E6-420B-AFBC-2751B8504C04}"/>
    <cellStyle name="Nuovo 3 4 4" xfId="27097" xr:uid="{C5886140-E960-4745-BD29-6D5888871D5F}"/>
    <cellStyle name="Nuovo 3 4 4 2" xfId="48995" xr:uid="{C074807C-E136-4E38-955C-5E6E1F3439AA}"/>
    <cellStyle name="Nuovo 3 4 5" xfId="27098" xr:uid="{F358EA1A-CF1D-4811-91A8-F6CC3194BAB1}"/>
    <cellStyle name="Nuovo 3 4 6" xfId="27092" xr:uid="{00F38E65-57E9-44FF-AAEC-EC35FFEE1D71}"/>
    <cellStyle name="Nuovo 3 5" xfId="2172" xr:uid="{00000000-0005-0000-0000-000005070000}"/>
    <cellStyle name="Nuovo 3 5 2" xfId="27100" xr:uid="{4FD5FC88-D8E9-4F0F-994B-A893DDB914E1}"/>
    <cellStyle name="Nuovo 3 5 2 2" xfId="48996" xr:uid="{39FE75D6-1562-46ED-A371-F2BF3B6B8A3A}"/>
    <cellStyle name="Nuovo 3 5 3" xfId="27101" xr:uid="{D7132089-BD57-43F7-96D7-786ECAFD6DEA}"/>
    <cellStyle name="Nuovo 3 5 4" xfId="27099" xr:uid="{07D27B1A-5660-4493-B333-F9EB2AB9FB6C}"/>
    <cellStyle name="Nuovo 3 6" xfId="4182" xr:uid="{38791E31-885B-4766-B109-B252BEE0E935}"/>
    <cellStyle name="Nuovo 3 6 2" xfId="9790" xr:uid="{8436F9AD-1ED2-49FE-9B0E-1EF7EAF8CBF4}"/>
    <cellStyle name="Nuovo 3 6 3" xfId="27102" xr:uid="{BBA92BF8-1B8C-4A9F-A89A-94B16125B325}"/>
    <cellStyle name="Nuovo 3 7" xfId="27077" xr:uid="{C3B21BE5-8861-4B6E-BCA4-1AEE49C0D2C4}"/>
    <cellStyle name="Nuovo 30" xfId="877" xr:uid="{00000000-0005-0000-0000-000006070000}"/>
    <cellStyle name="Nuovo 30 2" xfId="878" xr:uid="{00000000-0005-0000-0000-000007070000}"/>
    <cellStyle name="Nuovo 30 2 2" xfId="4183" xr:uid="{FDDDBA86-EDE1-4E4A-BF91-2E8C2901BE3C}"/>
    <cellStyle name="Nuovo 30 2 2 2" xfId="13541" xr:uid="{9785960D-A04C-4154-9CC9-C44A459D52D3}"/>
    <cellStyle name="Nuovo 30 2 2 3" xfId="27105" xr:uid="{F722DC2C-2516-43F5-B1F1-6ADE98D39902}"/>
    <cellStyle name="Nuovo 30 2 3" xfId="13277" xr:uid="{301201DF-0FC5-49CD-BC52-C0355FD082EF}"/>
    <cellStyle name="Nuovo 30 2 3 2" xfId="27106" xr:uid="{B5D35993-FDA5-4CDC-8191-322BD73AA02F}"/>
    <cellStyle name="Nuovo 30 2 4" xfId="27107" xr:uid="{27120E87-5EBC-4506-9264-E47EBAD7091B}"/>
    <cellStyle name="Nuovo 30 2 5" xfId="27104" xr:uid="{6C494895-BBB5-4DB1-A80D-847191BED4E5}"/>
    <cellStyle name="Nuovo 30 3" xfId="879" xr:uid="{00000000-0005-0000-0000-000008070000}"/>
    <cellStyle name="Nuovo 30 3 2" xfId="880" xr:uid="{00000000-0005-0000-0000-000009070000}"/>
    <cellStyle name="Nuovo 30 3 2 2" xfId="2173" xr:uid="{00000000-0005-0000-0000-00000A070000}"/>
    <cellStyle name="Nuovo 30 3 2 2 2" xfId="27110" xr:uid="{58CB00EB-CA3A-4B33-8DF5-331A83925EEA}"/>
    <cellStyle name="Nuovo 30 3 2 3" xfId="8094" xr:uid="{4AC88854-BB0F-44B1-A4A4-E15D072AC66F}"/>
    <cellStyle name="Nuovo 30 3 2 3 2" xfId="14095" xr:uid="{9119FA69-E811-4816-BCAF-FDBE7173EEDF}"/>
    <cellStyle name="Nuovo 30 3 2 3 3" xfId="27111" xr:uid="{56BB9BF1-1498-43D5-898F-9EBA1D43EC40}"/>
    <cellStyle name="Nuovo 30 3 2 4" xfId="27109" xr:uid="{CB3C50CD-C82C-40A0-91D2-D738AD2BC834}"/>
    <cellStyle name="Nuovo 30 3 3" xfId="4184" xr:uid="{465EDB66-FB94-4FF7-8B14-18C1B4E6070A}"/>
    <cellStyle name="Nuovo 30 3 3 2" xfId="9319" xr:uid="{83B6B7F5-BA52-4BB3-BC97-B9A67BFEE564}"/>
    <cellStyle name="Nuovo 30 3 3 2 2" xfId="27113" xr:uid="{9F37583B-9997-496F-9702-53C99D7D524C}"/>
    <cellStyle name="Nuovo 30 3 3 3" xfId="27114" xr:uid="{5D752706-8113-4896-9057-584287ED57BB}"/>
    <cellStyle name="Nuovo 30 3 3 3 2" xfId="48997" xr:uid="{84718A53-3D1C-4098-BAC7-B74AA92DA661}"/>
    <cellStyle name="Nuovo 30 3 3 4" xfId="27112" xr:uid="{E8ABA294-83B0-4BAE-8209-9AF9C21D4A2E}"/>
    <cellStyle name="Nuovo 30 3 4" xfId="4185" xr:uid="{02347DE2-C03F-465F-A55C-73A80116BC11}"/>
    <cellStyle name="Nuovo 30 3 4 2" xfId="13755" xr:uid="{3DF574E3-2694-427F-875D-81A46C531A23}"/>
    <cellStyle name="Nuovo 30 3 4 3" xfId="27115" xr:uid="{6ADC1C3E-24EA-48AD-A7D1-8FDB219D901D}"/>
    <cellStyle name="Nuovo 30 3 5" xfId="12258" xr:uid="{D88614A1-594E-42DA-94D0-02549FB25C11}"/>
    <cellStyle name="Nuovo 30 3 5 2" xfId="27116" xr:uid="{2D9AAA43-067E-40BE-9225-ADE0163D712A}"/>
    <cellStyle name="Nuovo 30 3 6" xfId="27117" xr:uid="{3C07120D-307A-44C2-B500-53CDC07A020C}"/>
    <cellStyle name="Nuovo 30 3 7" xfId="27108" xr:uid="{BF025DD4-7CAA-4AD5-8AC0-9FB02253C973}"/>
    <cellStyle name="Nuovo 30 4" xfId="2174" xr:uid="{00000000-0005-0000-0000-00000B070000}"/>
    <cellStyle name="Nuovo 30 4 2" xfId="2175" xr:uid="{00000000-0005-0000-0000-00000C070000}"/>
    <cellStyle name="Nuovo 30 4 2 2" xfId="9320" xr:uid="{AC721AE7-6732-40B0-8331-93E3091A4439}"/>
    <cellStyle name="Nuovo 30 4 2 2 2" xfId="27120" xr:uid="{AE96A513-5D96-45AA-BB0B-4E412C9EAE80}"/>
    <cellStyle name="Nuovo 30 4 2 3" xfId="17875" xr:uid="{990354C8-F2DB-404A-BEAE-9196DEE3E108}"/>
    <cellStyle name="Nuovo 30 4 2 3 2" xfId="27121" xr:uid="{08958A1D-84AE-4433-B38E-90C7F62F9E5C}"/>
    <cellStyle name="Nuovo 30 4 2 4" xfId="27119" xr:uid="{7973A965-8F83-443E-8CCE-429E8F29273D}"/>
    <cellStyle name="Nuovo 30 4 2 5" xfId="17488" xr:uid="{E8EF0141-1EED-440D-A889-9295C6805654}"/>
    <cellStyle name="Nuovo 30 4 3" xfId="9321" xr:uid="{0474AF8B-223F-430E-AE45-11AFA663A22E}"/>
    <cellStyle name="Nuovo 30 4 3 2" xfId="27122" xr:uid="{64D62BF9-D572-4DF7-AE30-4911CC233906}"/>
    <cellStyle name="Nuovo 30 4 4" xfId="27123" xr:uid="{1B9F00EB-FF20-48F3-8DEF-2978B30A7CDE}"/>
    <cellStyle name="Nuovo 30 4 4 2" xfId="48998" xr:uid="{3E8E7918-C52A-47A5-80B2-209650CF6D3E}"/>
    <cellStyle name="Nuovo 30 4 5" xfId="27124" xr:uid="{3900FEE6-AE1E-4C00-86E2-892A04FFDB47}"/>
    <cellStyle name="Nuovo 30 4 6" xfId="27118" xr:uid="{FECAEC8B-20F6-46DF-A293-49CD60B905AC}"/>
    <cellStyle name="Nuovo 30 5" xfId="2176" xr:uid="{00000000-0005-0000-0000-00000D070000}"/>
    <cellStyle name="Nuovo 30 5 2" xfId="27126" xr:uid="{48B0FCC9-838E-4FF6-817B-B9043D382DB8}"/>
    <cellStyle name="Nuovo 30 5 2 2" xfId="48999" xr:uid="{90B9BC6E-DDBC-48B9-B17B-D385A06A89A4}"/>
    <cellStyle name="Nuovo 30 5 3" xfId="27127" xr:uid="{4B3D0FE6-8E24-4C96-8BBD-9C403BE9589E}"/>
    <cellStyle name="Nuovo 30 5 4" xfId="27125" xr:uid="{DBA9255F-E1DC-41FB-A245-618698CB2403}"/>
    <cellStyle name="Nuovo 30 6" xfId="4186" xr:uid="{E3B22F56-BF24-467E-BF96-5333ECD8B194}"/>
    <cellStyle name="Nuovo 30 6 2" xfId="9791" xr:uid="{2F0D4FAC-6A9F-4F05-9924-899B173D59E2}"/>
    <cellStyle name="Nuovo 30 6 3" xfId="27128" xr:uid="{50F6B7AF-3160-4808-A790-A781283A6689}"/>
    <cellStyle name="Nuovo 30 7" xfId="27103" xr:uid="{A59FDA06-1C8C-47C4-B7ED-52001EC4255D}"/>
    <cellStyle name="Nuovo 31" xfId="881" xr:uid="{00000000-0005-0000-0000-00000E070000}"/>
    <cellStyle name="Nuovo 31 2" xfId="882" xr:uid="{00000000-0005-0000-0000-00000F070000}"/>
    <cellStyle name="Nuovo 31 2 2" xfId="4187" xr:uid="{E9E1DCB1-4C5F-4D84-B38A-F351F78CC572}"/>
    <cellStyle name="Nuovo 31 2 2 2" xfId="13542" xr:uid="{37622C64-1894-4239-8BA1-AE3FF61ECBAE}"/>
    <cellStyle name="Nuovo 31 2 2 3" xfId="27131" xr:uid="{1640E42F-69AB-4272-82A4-8B185A50A1FB}"/>
    <cellStyle name="Nuovo 31 2 3" xfId="13278" xr:uid="{CBE1FC21-7727-4B56-9BEA-B99FE1AF3C6B}"/>
    <cellStyle name="Nuovo 31 2 3 2" xfId="27132" xr:uid="{0147F21C-31F0-4F51-BA31-65A6022FABCB}"/>
    <cellStyle name="Nuovo 31 2 4" xfId="27133" xr:uid="{E7E3B89A-CE69-4DDB-BC43-8D8084FEDE5F}"/>
    <cellStyle name="Nuovo 31 2 5" xfId="27130" xr:uid="{BF3F1BEC-F592-4007-A984-388E149A8AB5}"/>
    <cellStyle name="Nuovo 31 3" xfId="883" xr:uid="{00000000-0005-0000-0000-000010070000}"/>
    <cellStyle name="Nuovo 31 3 2" xfId="884" xr:uid="{00000000-0005-0000-0000-000011070000}"/>
    <cellStyle name="Nuovo 31 3 2 2" xfId="2177" xr:uid="{00000000-0005-0000-0000-000012070000}"/>
    <cellStyle name="Nuovo 31 3 2 2 2" xfId="27136" xr:uid="{5BB90CEB-3047-40FD-9A27-A246F5417454}"/>
    <cellStyle name="Nuovo 31 3 2 3" xfId="8095" xr:uid="{B0F16EDA-58C8-4484-B287-8EC7871D243B}"/>
    <cellStyle name="Nuovo 31 3 2 3 2" xfId="14096" xr:uid="{14D6FD21-0330-48E9-B4F2-D214A29A064B}"/>
    <cellStyle name="Nuovo 31 3 2 3 3" xfId="27137" xr:uid="{36EA4428-E291-4287-932E-6A222C0E1BD5}"/>
    <cellStyle name="Nuovo 31 3 2 4" xfId="27135" xr:uid="{CEABFF9E-0508-47B3-81CF-2C95D2EDBD14}"/>
    <cellStyle name="Nuovo 31 3 3" xfId="4188" xr:uid="{9037ED7C-BA02-401F-845D-0144FB6019FC}"/>
    <cellStyle name="Nuovo 31 3 3 2" xfId="9322" xr:uid="{71754337-5EEC-4331-9342-7BBF3DBE9AB4}"/>
    <cellStyle name="Nuovo 31 3 3 2 2" xfId="27139" xr:uid="{6E5308AD-40DD-431F-9C8C-32C78D584385}"/>
    <cellStyle name="Nuovo 31 3 3 3" xfId="27140" xr:uid="{48075BA7-12DC-4661-8B2D-439AB617C266}"/>
    <cellStyle name="Nuovo 31 3 3 3 2" xfId="49000" xr:uid="{275F38C9-5E03-4A3E-9EDA-441E74CE0536}"/>
    <cellStyle name="Nuovo 31 3 3 4" xfId="27138" xr:uid="{43EF8886-98C9-429D-B59F-B18E05E3CE71}"/>
    <cellStyle name="Nuovo 31 3 4" xfId="4189" xr:uid="{B65D84CB-B22C-4FE3-806F-168847179C1E}"/>
    <cellStyle name="Nuovo 31 3 4 2" xfId="13756" xr:uid="{27381C3C-10B3-4A0F-9C0D-76B160088216}"/>
    <cellStyle name="Nuovo 31 3 4 3" xfId="27141" xr:uid="{05DC2052-8434-45D9-A45C-44D01441D539}"/>
    <cellStyle name="Nuovo 31 3 5" xfId="11093" xr:uid="{387F2B93-D10A-4290-A3F3-2DF721B40726}"/>
    <cellStyle name="Nuovo 31 3 5 2" xfId="27142" xr:uid="{FF412BAD-010B-4D05-A858-75FF78C8F1FF}"/>
    <cellStyle name="Nuovo 31 3 6" xfId="27143" xr:uid="{894C7A40-226D-4969-901A-798874C02D4B}"/>
    <cellStyle name="Nuovo 31 3 7" xfId="27134" xr:uid="{BBB18440-1F08-4DFA-939A-8A740692122D}"/>
    <cellStyle name="Nuovo 31 4" xfId="2178" xr:uid="{00000000-0005-0000-0000-000013070000}"/>
    <cellStyle name="Nuovo 31 4 2" xfId="2179" xr:uid="{00000000-0005-0000-0000-000014070000}"/>
    <cellStyle name="Nuovo 31 4 2 2" xfId="9323" xr:uid="{ECC86338-7718-431A-8064-A6AE81A6AE21}"/>
    <cellStyle name="Nuovo 31 4 2 2 2" xfId="27146" xr:uid="{3F4AB99D-FDB0-4459-82FE-9D3D55403E7C}"/>
    <cellStyle name="Nuovo 31 4 2 3" xfId="17876" xr:uid="{9BD2F7CE-F9EF-49C2-A4C1-5C952BAA359B}"/>
    <cellStyle name="Nuovo 31 4 2 3 2" xfId="27147" xr:uid="{09174108-CFDA-4F9E-8451-7AC90B5757C3}"/>
    <cellStyle name="Nuovo 31 4 2 4" xfId="27145" xr:uid="{57A2112D-4D8A-4094-B6DD-51DE38AA80FF}"/>
    <cellStyle name="Nuovo 31 4 2 5" xfId="17489" xr:uid="{EAFEFA9C-5006-41CD-BB96-8695623A5580}"/>
    <cellStyle name="Nuovo 31 4 3" xfId="9324" xr:uid="{4777369C-21EB-4756-A3E2-CA51F86F560C}"/>
    <cellStyle name="Nuovo 31 4 3 2" xfId="27148" xr:uid="{45DD7763-BECD-4EAB-BB40-D257ACA30547}"/>
    <cellStyle name="Nuovo 31 4 4" xfId="27149" xr:uid="{0F423BA6-93F4-4CED-9CAE-38821B555D40}"/>
    <cellStyle name="Nuovo 31 4 4 2" xfId="49001" xr:uid="{6C486599-C44D-4C61-863B-384D7E8CA082}"/>
    <cellStyle name="Nuovo 31 4 5" xfId="27150" xr:uid="{ACA7AD7E-CB1E-4EB0-BB81-E08B2F2B5112}"/>
    <cellStyle name="Nuovo 31 4 6" xfId="27144" xr:uid="{8137556F-E1E1-4460-A0F2-79B798B6B20D}"/>
    <cellStyle name="Nuovo 31 5" xfId="2180" xr:uid="{00000000-0005-0000-0000-000015070000}"/>
    <cellStyle name="Nuovo 31 5 2" xfId="27152" xr:uid="{58F762C6-0629-4CD3-B283-454C16AE3F07}"/>
    <cellStyle name="Nuovo 31 5 2 2" xfId="49002" xr:uid="{9442B76D-B9D7-4871-8D31-33946B296863}"/>
    <cellStyle name="Nuovo 31 5 3" xfId="27153" xr:uid="{F23CB5C0-A160-415E-9814-939F1BFB1C47}"/>
    <cellStyle name="Nuovo 31 5 4" xfId="27151" xr:uid="{88E49587-CC4B-4317-8D8A-17544A7A758C}"/>
    <cellStyle name="Nuovo 31 6" xfId="4190" xr:uid="{1D018E73-AF8A-407F-873F-7FE11FCAD5A8}"/>
    <cellStyle name="Nuovo 31 6 2" xfId="9792" xr:uid="{84E6DAD2-9C12-4361-B04F-E10BECECF9D1}"/>
    <cellStyle name="Nuovo 31 6 3" xfId="27154" xr:uid="{6A05D25C-95B7-4762-8F7E-6E7FC463D423}"/>
    <cellStyle name="Nuovo 31 7" xfId="27129" xr:uid="{2E6CDBE2-F231-4B24-A555-2525F2238083}"/>
    <cellStyle name="Nuovo 32" xfId="885" xr:uid="{00000000-0005-0000-0000-000016070000}"/>
    <cellStyle name="Nuovo 32 2" xfId="886" xr:uid="{00000000-0005-0000-0000-000017070000}"/>
    <cellStyle name="Nuovo 32 2 2" xfId="4191" xr:uid="{8073B24D-5183-4C64-A33C-1EAB1CCE37F9}"/>
    <cellStyle name="Nuovo 32 2 2 2" xfId="13543" xr:uid="{708F25F9-FE27-4125-A040-A964AFAC6ECC}"/>
    <cellStyle name="Nuovo 32 2 2 3" xfId="27157" xr:uid="{C856EFC0-9799-4983-83B1-714E99E54903}"/>
    <cellStyle name="Nuovo 32 2 3" xfId="13279" xr:uid="{AF0A1A35-DF2E-41E2-83EE-501FDB2CC999}"/>
    <cellStyle name="Nuovo 32 2 3 2" xfId="27158" xr:uid="{515CDF23-1D51-4818-84FD-60B187F44BF1}"/>
    <cellStyle name="Nuovo 32 2 4" xfId="27159" xr:uid="{B65287E0-E631-40DD-920F-4234C2B480D6}"/>
    <cellStyle name="Nuovo 32 2 5" xfId="27156" xr:uid="{F982DA15-D038-4EC9-83C6-15579D0C7622}"/>
    <cellStyle name="Nuovo 32 3" xfId="887" xr:uid="{00000000-0005-0000-0000-000018070000}"/>
    <cellStyle name="Nuovo 32 3 2" xfId="888" xr:uid="{00000000-0005-0000-0000-000019070000}"/>
    <cellStyle name="Nuovo 32 3 2 2" xfId="2181" xr:uid="{00000000-0005-0000-0000-00001A070000}"/>
    <cellStyle name="Nuovo 32 3 2 2 2" xfId="27162" xr:uid="{63D5D95B-BDCE-4F71-93DC-3C50FE7D5C86}"/>
    <cellStyle name="Nuovo 32 3 2 3" xfId="8096" xr:uid="{CE1D831E-4BD3-4D4C-B4E1-362AD3FF6B55}"/>
    <cellStyle name="Nuovo 32 3 2 3 2" xfId="14097" xr:uid="{579F7EF1-BC4F-40AA-9FB1-3F1485C0136B}"/>
    <cellStyle name="Nuovo 32 3 2 3 3" xfId="27163" xr:uid="{CFE364A6-E1A7-481C-9902-B9898ECF9C6D}"/>
    <cellStyle name="Nuovo 32 3 2 4" xfId="27161" xr:uid="{A3F0C5CE-B492-400B-B8BE-2BCDA95791D5}"/>
    <cellStyle name="Nuovo 32 3 3" xfId="4192" xr:uid="{BD37E39D-AB41-4F8B-BF68-5F6FBE80EE1A}"/>
    <cellStyle name="Nuovo 32 3 3 2" xfId="9325" xr:uid="{30462EE7-087D-4E24-8083-8B50BBB8007B}"/>
    <cellStyle name="Nuovo 32 3 3 2 2" xfId="27165" xr:uid="{D825B2F2-31BA-4BEA-8B3B-8798C2136217}"/>
    <cellStyle name="Nuovo 32 3 3 3" xfId="27166" xr:uid="{F53F43F8-611E-432F-AAD8-77C72EA69250}"/>
    <cellStyle name="Nuovo 32 3 3 3 2" xfId="49003" xr:uid="{1A9FFA1E-8E4B-495F-B238-946FFA9A6878}"/>
    <cellStyle name="Nuovo 32 3 3 4" xfId="27164" xr:uid="{0E6CF306-58B8-4565-8323-ADDAE86AFF83}"/>
    <cellStyle name="Nuovo 32 3 4" xfId="4193" xr:uid="{F612A47E-9F57-463F-AFC0-6F060DFC7345}"/>
    <cellStyle name="Nuovo 32 3 4 2" xfId="13757" xr:uid="{93ECAD73-61FB-47A6-985E-A3D7308FB392}"/>
    <cellStyle name="Nuovo 32 3 4 3" xfId="27167" xr:uid="{7969DC61-2A47-41C0-A5BC-8AE9A963DEA6}"/>
    <cellStyle name="Nuovo 32 3 5" xfId="12256" xr:uid="{85C910E9-81D8-45F7-914A-68407EC6B5B8}"/>
    <cellStyle name="Nuovo 32 3 5 2" xfId="27168" xr:uid="{956BB4AF-1AB8-4AF2-A49D-6EE7746472C5}"/>
    <cellStyle name="Nuovo 32 3 6" xfId="27169" xr:uid="{AD1B6D85-B639-4520-B584-8B18C02F2FA2}"/>
    <cellStyle name="Nuovo 32 3 7" xfId="27160" xr:uid="{D216D338-728D-4A02-8967-BC94F30C6A1D}"/>
    <cellStyle name="Nuovo 32 4" xfId="2182" xr:uid="{00000000-0005-0000-0000-00001B070000}"/>
    <cellStyle name="Nuovo 32 4 2" xfId="2183" xr:uid="{00000000-0005-0000-0000-00001C070000}"/>
    <cellStyle name="Nuovo 32 4 2 2" xfId="9326" xr:uid="{EBD2F2DD-0D9D-4320-905F-9D6258FC8FA4}"/>
    <cellStyle name="Nuovo 32 4 2 2 2" xfId="27172" xr:uid="{26B64F80-8D0F-45BE-BDE5-A1C9109B19BE}"/>
    <cellStyle name="Nuovo 32 4 2 3" xfId="17877" xr:uid="{9B8F42FF-A2BE-47CA-A8E3-C54F940A25D8}"/>
    <cellStyle name="Nuovo 32 4 2 3 2" xfId="27173" xr:uid="{B12F05D6-7240-4B51-9A11-FBCFDDC4F7ED}"/>
    <cellStyle name="Nuovo 32 4 2 4" xfId="27171" xr:uid="{B0C4C5CB-A274-4481-97C5-CC6B6E1DEB9C}"/>
    <cellStyle name="Nuovo 32 4 2 5" xfId="17490" xr:uid="{E190F978-AE8C-4E6A-B0BF-E95E21614763}"/>
    <cellStyle name="Nuovo 32 4 3" xfId="9327" xr:uid="{AC99EA2A-9B5F-48FA-BCBB-899C026D8F92}"/>
    <cellStyle name="Nuovo 32 4 3 2" xfId="27174" xr:uid="{3257A2EA-B72A-4A4B-9E8F-F8C1C5FC1B3C}"/>
    <cellStyle name="Nuovo 32 4 4" xfId="27175" xr:uid="{5BFA4F7D-5CC7-4E60-8521-3BB8A3D9917C}"/>
    <cellStyle name="Nuovo 32 4 4 2" xfId="49004" xr:uid="{FC488498-D9C2-4B02-96FC-E2893E81AE7E}"/>
    <cellStyle name="Nuovo 32 4 5" xfId="27176" xr:uid="{09036DCD-EEEB-40FA-A10F-ADF8212FC3CE}"/>
    <cellStyle name="Nuovo 32 4 6" xfId="27170" xr:uid="{66B4F4CC-BAD1-4C8C-A634-80767886E980}"/>
    <cellStyle name="Nuovo 32 5" xfId="2184" xr:uid="{00000000-0005-0000-0000-00001D070000}"/>
    <cellStyle name="Nuovo 32 5 2" xfId="27178" xr:uid="{99B96F78-33F2-455D-A3D6-B3F7293806D6}"/>
    <cellStyle name="Nuovo 32 5 2 2" xfId="49005" xr:uid="{F35F360E-8B3E-4F52-90DD-6F77A872A3A2}"/>
    <cellStyle name="Nuovo 32 5 3" xfId="27179" xr:uid="{259BE631-B074-4C34-9647-098A35FEAB2D}"/>
    <cellStyle name="Nuovo 32 5 4" xfId="27177" xr:uid="{98DFD118-AE84-4099-A663-2E11094F6377}"/>
    <cellStyle name="Nuovo 32 6" xfId="4194" xr:uid="{EE24F8B6-634D-49B3-B532-AEA4C0175AEF}"/>
    <cellStyle name="Nuovo 32 6 2" xfId="9793" xr:uid="{DED478D7-7FD6-4821-8599-5BADD0A862F3}"/>
    <cellStyle name="Nuovo 32 6 3" xfId="27180" xr:uid="{26A4975C-5B0C-4F86-ADCF-7CB40A2DB21C}"/>
    <cellStyle name="Nuovo 32 7" xfId="27155" xr:uid="{954A0EA4-115B-4755-AF5B-35061BECE65E}"/>
    <cellStyle name="Nuovo 33" xfId="889" xr:uid="{00000000-0005-0000-0000-00001E070000}"/>
    <cellStyle name="Nuovo 33 2" xfId="890" xr:uid="{00000000-0005-0000-0000-00001F070000}"/>
    <cellStyle name="Nuovo 33 2 2" xfId="4195" xr:uid="{62ADB340-5E6B-4703-81F7-D70A6E1E35DC}"/>
    <cellStyle name="Nuovo 33 2 2 2" xfId="13544" xr:uid="{50AB1A74-AAB2-4682-94C3-906C8AFAB373}"/>
    <cellStyle name="Nuovo 33 2 2 3" xfId="27183" xr:uid="{3EB330F9-EE70-4FF2-9B28-97487C0CEE01}"/>
    <cellStyle name="Nuovo 33 2 3" xfId="13280" xr:uid="{0ED4FD4D-2DB1-4F96-B31F-E517AF68EDB5}"/>
    <cellStyle name="Nuovo 33 2 3 2" xfId="27184" xr:uid="{B6D2BD3D-28B3-488E-A740-AA9D5D08EE4E}"/>
    <cellStyle name="Nuovo 33 2 4" xfId="27185" xr:uid="{CEBD66E1-6FBB-4C08-95B5-F45E01C05C53}"/>
    <cellStyle name="Nuovo 33 2 5" xfId="27182" xr:uid="{F4E63E77-239F-41FE-AE8F-5E959B3F439E}"/>
    <cellStyle name="Nuovo 33 3" xfId="891" xr:uid="{00000000-0005-0000-0000-000020070000}"/>
    <cellStyle name="Nuovo 33 3 2" xfId="892" xr:uid="{00000000-0005-0000-0000-000021070000}"/>
    <cellStyle name="Nuovo 33 3 2 2" xfId="2185" xr:uid="{00000000-0005-0000-0000-000022070000}"/>
    <cellStyle name="Nuovo 33 3 2 2 2" xfId="27188" xr:uid="{2EE5AE18-774D-455D-A7FD-29FE48EC3529}"/>
    <cellStyle name="Nuovo 33 3 2 3" xfId="8097" xr:uid="{5066487D-A056-4DA8-B9B8-8CA876BC288B}"/>
    <cellStyle name="Nuovo 33 3 2 3 2" xfId="14098" xr:uid="{BE435E32-8C59-4209-97D6-240E5DF52D67}"/>
    <cellStyle name="Nuovo 33 3 2 3 3" xfId="27189" xr:uid="{7C86C599-CAEB-49B5-B622-90DCF51F28D3}"/>
    <cellStyle name="Nuovo 33 3 2 4" xfId="27187" xr:uid="{B92B5FC1-306E-4F00-B07F-87D9EBEC3FA5}"/>
    <cellStyle name="Nuovo 33 3 3" xfId="4196" xr:uid="{9F85EC94-8A08-4689-A3AB-00452B12ECE7}"/>
    <cellStyle name="Nuovo 33 3 3 2" xfId="9328" xr:uid="{64CE5116-176C-468E-8FA6-01AB98C0F993}"/>
    <cellStyle name="Nuovo 33 3 3 2 2" xfId="27191" xr:uid="{2058D5D1-591F-4F33-8C03-9A5FA159377A}"/>
    <cellStyle name="Nuovo 33 3 3 3" xfId="27192" xr:uid="{16C75CFC-F516-4513-ADBC-A7187DE67A2B}"/>
    <cellStyle name="Nuovo 33 3 3 3 2" xfId="49006" xr:uid="{A3676BE7-62D7-4165-812D-12897B82B232}"/>
    <cellStyle name="Nuovo 33 3 3 4" xfId="27190" xr:uid="{DB273DEE-56D1-4660-A6A6-553182B28855}"/>
    <cellStyle name="Nuovo 33 3 4" xfId="4197" xr:uid="{754AD26F-2146-4481-BF38-22CA85809A56}"/>
    <cellStyle name="Nuovo 33 3 4 2" xfId="13758" xr:uid="{7F19D354-C6FA-4C50-B567-1935AACC51B3}"/>
    <cellStyle name="Nuovo 33 3 4 3" xfId="27193" xr:uid="{9B249BD8-5668-4878-9582-E4E3AE91ACB1}"/>
    <cellStyle name="Nuovo 33 3 5" xfId="12294" xr:uid="{A312C3AE-2B69-4089-A545-FC39FCF757CE}"/>
    <cellStyle name="Nuovo 33 3 5 2" xfId="27194" xr:uid="{58561CA9-86FF-4C21-B06F-50AFC32D354D}"/>
    <cellStyle name="Nuovo 33 3 6" xfId="27195" xr:uid="{555CF545-F60B-4EE6-B6ED-87080D63E6EF}"/>
    <cellStyle name="Nuovo 33 3 7" xfId="27186" xr:uid="{14F20FD0-EC4C-437B-AE9D-C608357F643E}"/>
    <cellStyle name="Nuovo 33 4" xfId="2186" xr:uid="{00000000-0005-0000-0000-000023070000}"/>
    <cellStyle name="Nuovo 33 4 2" xfId="2187" xr:uid="{00000000-0005-0000-0000-000024070000}"/>
    <cellStyle name="Nuovo 33 4 2 2" xfId="9329" xr:uid="{F7000AFD-087D-426D-8578-3DC1017F8008}"/>
    <cellStyle name="Nuovo 33 4 2 2 2" xfId="27198" xr:uid="{A1B2F0BB-C321-49B8-ADFC-1D0AB73DB746}"/>
    <cellStyle name="Nuovo 33 4 2 3" xfId="17878" xr:uid="{D9B58261-394B-445A-8346-DE74570AF915}"/>
    <cellStyle name="Nuovo 33 4 2 3 2" xfId="27199" xr:uid="{42EFF72D-FCAC-4E5C-B35E-A9ECF28F65BD}"/>
    <cellStyle name="Nuovo 33 4 2 4" xfId="27197" xr:uid="{F65A87E1-8D7D-45CA-B637-799BD1137587}"/>
    <cellStyle name="Nuovo 33 4 2 5" xfId="17491" xr:uid="{66F51640-F46B-4E22-B921-3C6756ECE9AB}"/>
    <cellStyle name="Nuovo 33 4 3" xfId="9330" xr:uid="{68B102D0-1F83-4117-B3FA-5C5D89621DE3}"/>
    <cellStyle name="Nuovo 33 4 3 2" xfId="27200" xr:uid="{5AEBF1E6-CA1B-4458-B6DB-1AA9B74E7C5D}"/>
    <cellStyle name="Nuovo 33 4 4" xfId="27201" xr:uid="{3B2DD171-B62D-4651-AAA2-9E6047F74279}"/>
    <cellStyle name="Nuovo 33 4 4 2" xfId="49007" xr:uid="{877590C9-FB73-49E4-9A1D-369AA6AD4489}"/>
    <cellStyle name="Nuovo 33 4 5" xfId="27202" xr:uid="{D5FE7A98-A47A-40C1-AEA8-7E6DEB11A978}"/>
    <cellStyle name="Nuovo 33 4 6" xfId="27196" xr:uid="{EA834F2A-E98E-4AE8-9FE0-0AA7AB7FDFAF}"/>
    <cellStyle name="Nuovo 33 5" xfId="2188" xr:uid="{00000000-0005-0000-0000-000025070000}"/>
    <cellStyle name="Nuovo 33 5 2" xfId="27204" xr:uid="{36012286-C7D2-4F08-8AAF-F8D2AB33AEF5}"/>
    <cellStyle name="Nuovo 33 5 2 2" xfId="49008" xr:uid="{FC69466D-41E1-4890-8FF6-909966B78A1A}"/>
    <cellStyle name="Nuovo 33 5 3" xfId="27205" xr:uid="{F8FC96DA-A744-4560-8D11-491A3CB24A68}"/>
    <cellStyle name="Nuovo 33 5 4" xfId="27203" xr:uid="{542A594D-2389-4DCA-8057-D565FD217EFF}"/>
    <cellStyle name="Nuovo 33 6" xfId="4198" xr:uid="{FBED8D55-7227-4078-840F-0D474F8727B7}"/>
    <cellStyle name="Nuovo 33 6 2" xfId="9794" xr:uid="{8C95B018-7B18-463B-9CB0-AAB5CB15E477}"/>
    <cellStyle name="Nuovo 33 6 3" xfId="27206" xr:uid="{4BBBF63F-09B0-40D3-A152-5A1A9246083E}"/>
    <cellStyle name="Nuovo 33 7" xfId="27181" xr:uid="{53614CDA-4915-4972-B974-D6890C6FB978}"/>
    <cellStyle name="Nuovo 34" xfId="893" xr:uid="{00000000-0005-0000-0000-000026070000}"/>
    <cellStyle name="Nuovo 34 2" xfId="894" xr:uid="{00000000-0005-0000-0000-000027070000}"/>
    <cellStyle name="Nuovo 34 2 2" xfId="4199" xr:uid="{4760C67D-B602-4944-B63E-417E03357B6B}"/>
    <cellStyle name="Nuovo 34 2 2 2" xfId="13545" xr:uid="{C44D2FA2-D668-43ED-A5B4-BBF5ADDB3182}"/>
    <cellStyle name="Nuovo 34 2 2 3" xfId="27209" xr:uid="{9F5ABEDF-EC36-403A-9823-7C344A1C26AE}"/>
    <cellStyle name="Nuovo 34 2 3" xfId="13281" xr:uid="{E68759C0-081C-463D-8764-7DDAC910CB20}"/>
    <cellStyle name="Nuovo 34 2 3 2" xfId="27210" xr:uid="{B7549B9E-CFAA-4B63-AA52-25D3D8580156}"/>
    <cellStyle name="Nuovo 34 2 4" xfId="27211" xr:uid="{61A281B4-4C8F-4627-AC07-4B4A6B4A7305}"/>
    <cellStyle name="Nuovo 34 2 5" xfId="27208" xr:uid="{D4DF9D50-24D7-4975-8F89-FD8928F4092C}"/>
    <cellStyle name="Nuovo 34 3" xfId="895" xr:uid="{00000000-0005-0000-0000-000028070000}"/>
    <cellStyle name="Nuovo 34 3 2" xfId="896" xr:uid="{00000000-0005-0000-0000-000029070000}"/>
    <cellStyle name="Nuovo 34 3 2 2" xfId="2189" xr:uid="{00000000-0005-0000-0000-00002A070000}"/>
    <cellStyle name="Nuovo 34 3 2 2 2" xfId="27214" xr:uid="{21DAD0F5-1BB7-4357-B475-1087327BFA0F}"/>
    <cellStyle name="Nuovo 34 3 2 3" xfId="8098" xr:uid="{4F7FA860-F1F6-4C53-9A99-A395FE36FA46}"/>
    <cellStyle name="Nuovo 34 3 2 3 2" xfId="14099" xr:uid="{B67569B9-200C-4C05-8461-1CC17D040097}"/>
    <cellStyle name="Nuovo 34 3 2 3 3" xfId="27215" xr:uid="{4AD66738-49D2-474B-B1DA-496BE59D3C8A}"/>
    <cellStyle name="Nuovo 34 3 2 4" xfId="27213" xr:uid="{B07F219F-EF7E-4183-84F6-DBAB0FF17EAF}"/>
    <cellStyle name="Nuovo 34 3 3" xfId="4200" xr:uid="{D0EF8D5A-0058-465E-BCC6-BFEED23F1AF9}"/>
    <cellStyle name="Nuovo 34 3 3 2" xfId="9331" xr:uid="{AED031EE-BEFC-44A0-BB19-830202603881}"/>
    <cellStyle name="Nuovo 34 3 3 2 2" xfId="27217" xr:uid="{0679097B-32C5-4C19-BBE9-F37594A8B57D}"/>
    <cellStyle name="Nuovo 34 3 3 3" xfId="27218" xr:uid="{B3122453-FF9B-4AFB-9270-8959AA2B4B73}"/>
    <cellStyle name="Nuovo 34 3 3 3 2" xfId="49009" xr:uid="{95A6C1BC-D684-4277-8A53-19472303F7F8}"/>
    <cellStyle name="Nuovo 34 3 3 4" xfId="27216" xr:uid="{845A3798-AE6B-4A3E-AC6F-59685C534423}"/>
    <cellStyle name="Nuovo 34 3 4" xfId="4201" xr:uid="{3F8DD797-F9E4-468E-95F0-FC1E5EE53A73}"/>
    <cellStyle name="Nuovo 34 3 4 2" xfId="13759" xr:uid="{F49E5246-F1F4-4457-A006-682DB7760200}"/>
    <cellStyle name="Nuovo 34 3 4 3" xfId="27219" xr:uid="{9D46EAD2-DC7A-49D1-B156-F7F83E027802}"/>
    <cellStyle name="Nuovo 34 3 5" xfId="11523" xr:uid="{BF0C249E-E8EF-4D40-8C1A-F68B4F857B9E}"/>
    <cellStyle name="Nuovo 34 3 5 2" xfId="27220" xr:uid="{D9ED0A95-41AE-45B0-AA08-C45A0C13BDAC}"/>
    <cellStyle name="Nuovo 34 3 6" xfId="27221" xr:uid="{37F17EA5-380D-42CD-B4D7-B3A50548A2C5}"/>
    <cellStyle name="Nuovo 34 3 7" xfId="27212" xr:uid="{3CA0B4EF-AE5B-46F1-AE40-8D8AF965E545}"/>
    <cellStyle name="Nuovo 34 4" xfId="2190" xr:uid="{00000000-0005-0000-0000-00002B070000}"/>
    <cellStyle name="Nuovo 34 4 2" xfId="2191" xr:uid="{00000000-0005-0000-0000-00002C070000}"/>
    <cellStyle name="Nuovo 34 4 2 2" xfId="9332" xr:uid="{A3208215-197D-4879-BC0B-3DE5D8FD960F}"/>
    <cellStyle name="Nuovo 34 4 2 2 2" xfId="27224" xr:uid="{218A7458-F481-4855-948F-25DED7A1FB05}"/>
    <cellStyle name="Nuovo 34 4 2 3" xfId="17879" xr:uid="{80EB1D46-1C1E-4D10-A6F9-DC87B4835F7D}"/>
    <cellStyle name="Nuovo 34 4 2 3 2" xfId="27225" xr:uid="{D3B8F0A8-91DA-49A2-AFB9-E1229F31CDA4}"/>
    <cellStyle name="Nuovo 34 4 2 4" xfId="27223" xr:uid="{D2FCDD28-C7D2-4725-8038-3D87601EB4BB}"/>
    <cellStyle name="Nuovo 34 4 2 5" xfId="17492" xr:uid="{562B0D64-39BE-4395-9662-2F1595DD6FDD}"/>
    <cellStyle name="Nuovo 34 4 3" xfId="9333" xr:uid="{792E2068-7B49-4B27-83A8-841C8C770348}"/>
    <cellStyle name="Nuovo 34 4 3 2" xfId="27226" xr:uid="{1A2B48CA-5055-48A2-BB02-7AB2AA13A7D8}"/>
    <cellStyle name="Nuovo 34 4 4" xfId="27227" xr:uid="{F3A15C62-1B13-4133-9437-C7D569ADB996}"/>
    <cellStyle name="Nuovo 34 4 4 2" xfId="49010" xr:uid="{80E1A729-BB91-4ADB-B609-57754AFC6A35}"/>
    <cellStyle name="Nuovo 34 4 5" xfId="27228" xr:uid="{AF551834-E82F-416F-91D4-BAA0EF221AA1}"/>
    <cellStyle name="Nuovo 34 4 6" xfId="27222" xr:uid="{733D0E1D-8759-46AF-A422-88CE342DCBFE}"/>
    <cellStyle name="Nuovo 34 5" xfId="2192" xr:uid="{00000000-0005-0000-0000-00002D070000}"/>
    <cellStyle name="Nuovo 34 5 2" xfId="27230" xr:uid="{93B71085-518C-4934-B49B-8719272EF676}"/>
    <cellStyle name="Nuovo 34 5 2 2" xfId="49011" xr:uid="{E31D8145-9F6E-4170-BE91-D6F032F967CF}"/>
    <cellStyle name="Nuovo 34 5 3" xfId="27231" xr:uid="{6BF96C64-37EE-4894-8297-DAB936FCD9C3}"/>
    <cellStyle name="Nuovo 34 5 4" xfId="27229" xr:uid="{34AFEFBF-52B8-4030-965C-2B4A15A5C2C0}"/>
    <cellStyle name="Nuovo 34 6" xfId="4202" xr:uid="{6F1E2B6F-DB7F-49B8-BFCE-7D6C72323D19}"/>
    <cellStyle name="Nuovo 34 6 2" xfId="9795" xr:uid="{76CB15C1-AD00-4DF9-AF38-6CBE77320AAA}"/>
    <cellStyle name="Nuovo 34 6 3" xfId="27232" xr:uid="{95C0648A-B0E5-4428-A8D4-9719AEF4687D}"/>
    <cellStyle name="Nuovo 34 7" xfId="27207" xr:uid="{E03ECC80-CA1F-430B-9806-8299C17875FD}"/>
    <cellStyle name="Nuovo 35" xfId="897" xr:uid="{00000000-0005-0000-0000-00002E070000}"/>
    <cellStyle name="Nuovo 35 2" xfId="898" xr:uid="{00000000-0005-0000-0000-00002F070000}"/>
    <cellStyle name="Nuovo 35 2 2" xfId="4203" xr:uid="{3C68626D-0530-49F3-9A9F-8B05D0D1F455}"/>
    <cellStyle name="Nuovo 35 2 2 2" xfId="13546" xr:uid="{F4FE96F9-C04C-47BC-B6E7-6539BE77FB87}"/>
    <cellStyle name="Nuovo 35 2 2 3" xfId="27235" xr:uid="{833DF92F-FDA7-4F34-9A57-79AD959C0FCD}"/>
    <cellStyle name="Nuovo 35 2 3" xfId="13282" xr:uid="{E56E96C8-643F-41DA-8D28-A9ECA2F6D81C}"/>
    <cellStyle name="Nuovo 35 2 3 2" xfId="27236" xr:uid="{EBA50F5A-5C58-4126-9290-AACE2705BB9F}"/>
    <cellStyle name="Nuovo 35 2 4" xfId="27237" xr:uid="{B9073B77-D877-41C3-A63D-D5AF98415DB4}"/>
    <cellStyle name="Nuovo 35 2 5" xfId="27234" xr:uid="{55B3D2B0-77BB-4D47-9BCB-AAEE9542BFF8}"/>
    <cellStyle name="Nuovo 35 3" xfId="899" xr:uid="{00000000-0005-0000-0000-000030070000}"/>
    <cellStyle name="Nuovo 35 3 2" xfId="900" xr:uid="{00000000-0005-0000-0000-000031070000}"/>
    <cellStyle name="Nuovo 35 3 2 2" xfId="2193" xr:uid="{00000000-0005-0000-0000-000032070000}"/>
    <cellStyle name="Nuovo 35 3 2 2 2" xfId="27240" xr:uid="{2325484B-C178-4DE2-9E5F-9C96832C6ACF}"/>
    <cellStyle name="Nuovo 35 3 2 3" xfId="8099" xr:uid="{A0572E57-CBFA-4DA2-BA5E-5D98696789FD}"/>
    <cellStyle name="Nuovo 35 3 2 3 2" xfId="14100" xr:uid="{BB401603-18B0-4E57-9ECB-840073667616}"/>
    <cellStyle name="Nuovo 35 3 2 3 3" xfId="27241" xr:uid="{02903AF1-33CC-41D6-98B1-019C98492852}"/>
    <cellStyle name="Nuovo 35 3 2 4" xfId="27239" xr:uid="{198D4E41-F6A3-413D-9CE4-2DE6951467AF}"/>
    <cellStyle name="Nuovo 35 3 3" xfId="4204" xr:uid="{D3ABC173-4E1D-4ED0-B63C-0D64734FEE24}"/>
    <cellStyle name="Nuovo 35 3 3 2" xfId="9334" xr:uid="{D187EA62-D9BD-485E-BC18-514FE9131EB4}"/>
    <cellStyle name="Nuovo 35 3 3 2 2" xfId="27243" xr:uid="{C0CF2C0C-AE35-49E1-920F-BCB2E39D8E3D}"/>
    <cellStyle name="Nuovo 35 3 3 3" xfId="27244" xr:uid="{97766AEE-1D8D-47AF-BCBE-D2F08EC6DFA4}"/>
    <cellStyle name="Nuovo 35 3 3 3 2" xfId="49012" xr:uid="{DAB825AD-4423-49F2-8D52-CAAC6C3C90B0}"/>
    <cellStyle name="Nuovo 35 3 3 4" xfId="27242" xr:uid="{10BE030E-5610-4A57-BB09-1DB992382EF5}"/>
    <cellStyle name="Nuovo 35 3 4" xfId="4205" xr:uid="{4D1924AE-1D26-48C5-89BA-E0C03E0815B4}"/>
    <cellStyle name="Nuovo 35 3 4 2" xfId="13760" xr:uid="{DD9989AC-E89D-4E39-B23D-DA8838F2FD5E}"/>
    <cellStyle name="Nuovo 35 3 4 3" xfId="27245" xr:uid="{7A9FDA2A-2114-425E-80CC-C818F5E7AE9F}"/>
    <cellStyle name="Nuovo 35 3 5" xfId="12293" xr:uid="{385DEBF5-8E47-4BD8-971F-478C2399551A}"/>
    <cellStyle name="Nuovo 35 3 5 2" xfId="27246" xr:uid="{C6C435DF-76AF-4EF3-98AC-797AA14C72A5}"/>
    <cellStyle name="Nuovo 35 3 6" xfId="27247" xr:uid="{630C00AB-3761-436B-8A1C-DC1C38C643F2}"/>
    <cellStyle name="Nuovo 35 3 7" xfId="27238" xr:uid="{59D8FF75-E591-41B9-9461-6982995DB784}"/>
    <cellStyle name="Nuovo 35 4" xfId="2194" xr:uid="{00000000-0005-0000-0000-000033070000}"/>
    <cellStyle name="Nuovo 35 4 2" xfId="2195" xr:uid="{00000000-0005-0000-0000-000034070000}"/>
    <cellStyle name="Nuovo 35 4 2 2" xfId="9335" xr:uid="{EBA84BC7-37D3-4AEE-B865-8FC9853D31F3}"/>
    <cellStyle name="Nuovo 35 4 2 2 2" xfId="27250" xr:uid="{8719544B-5D12-4E37-8A37-6EC4D2FF55B9}"/>
    <cellStyle name="Nuovo 35 4 2 3" xfId="17880" xr:uid="{3B328E38-3E27-46DB-9C3C-C34DC60DFC3A}"/>
    <cellStyle name="Nuovo 35 4 2 3 2" xfId="27251" xr:uid="{002330BE-80B0-4351-B9A5-98136BFCD4CD}"/>
    <cellStyle name="Nuovo 35 4 2 4" xfId="27249" xr:uid="{84984614-2027-40D0-97C7-B29589073C79}"/>
    <cellStyle name="Nuovo 35 4 2 5" xfId="17493" xr:uid="{FF85A63D-3256-494E-A7B6-4D11BDFC8A42}"/>
    <cellStyle name="Nuovo 35 4 3" xfId="9336" xr:uid="{ACD4AA53-8D27-4AD3-93DF-C7867EC62402}"/>
    <cellStyle name="Nuovo 35 4 3 2" xfId="27252" xr:uid="{9160050D-D164-42E7-B414-5F0279C22023}"/>
    <cellStyle name="Nuovo 35 4 4" xfId="27253" xr:uid="{BC5F70AF-6370-44E1-A513-BF6F17F2F76F}"/>
    <cellStyle name="Nuovo 35 4 4 2" xfId="49013" xr:uid="{73AE7455-EF64-40AC-BBA5-7CFE441B8D4F}"/>
    <cellStyle name="Nuovo 35 4 5" xfId="27254" xr:uid="{51875896-46B2-4A59-954E-9F6A37BE292A}"/>
    <cellStyle name="Nuovo 35 4 6" xfId="27248" xr:uid="{27B8C873-CD0C-4945-9BC0-785D9B23E7AA}"/>
    <cellStyle name="Nuovo 35 5" xfId="2196" xr:uid="{00000000-0005-0000-0000-000035070000}"/>
    <cellStyle name="Nuovo 35 5 2" xfId="27256" xr:uid="{CF857EBD-B595-47F2-9AFC-BA5825C30305}"/>
    <cellStyle name="Nuovo 35 5 2 2" xfId="49014" xr:uid="{7C923DEF-FA17-41B2-985B-28EB3BE02D94}"/>
    <cellStyle name="Nuovo 35 5 3" xfId="27257" xr:uid="{58D343D5-13A8-4D8E-AFE8-7417DEC797CF}"/>
    <cellStyle name="Nuovo 35 5 4" xfId="27255" xr:uid="{57CB669C-F40E-46CF-AE3C-B0C73C8FD5C6}"/>
    <cellStyle name="Nuovo 35 6" xfId="4206" xr:uid="{A00A477E-7DA4-4521-8B51-E29DF5333F8A}"/>
    <cellStyle name="Nuovo 35 6 2" xfId="9796" xr:uid="{6CCA797E-296E-44F5-919D-77A3936F437D}"/>
    <cellStyle name="Nuovo 35 6 3" xfId="27258" xr:uid="{F9B26A35-6ACD-4222-9678-C452817B53B3}"/>
    <cellStyle name="Nuovo 35 7" xfId="27233" xr:uid="{F80F16F1-EB8B-4A4B-87D9-87EE53E5DBF5}"/>
    <cellStyle name="Nuovo 36" xfId="901" xr:uid="{00000000-0005-0000-0000-000036070000}"/>
    <cellStyle name="Nuovo 36 2" xfId="902" xr:uid="{00000000-0005-0000-0000-000037070000}"/>
    <cellStyle name="Nuovo 36 2 2" xfId="4207" xr:uid="{BAB3A3CA-3D4A-489D-AE94-AA1754033E98}"/>
    <cellStyle name="Nuovo 36 2 2 2" xfId="13547" xr:uid="{68BDEC0F-745C-49A5-97FE-97B58B7260D5}"/>
    <cellStyle name="Nuovo 36 2 2 3" xfId="27261" xr:uid="{5B14F0B3-0E37-44D7-A444-E1BFD3475BF1}"/>
    <cellStyle name="Nuovo 36 2 3" xfId="13283" xr:uid="{66748A89-6206-406D-9191-1854C7E4A55E}"/>
    <cellStyle name="Nuovo 36 2 3 2" xfId="27262" xr:uid="{3C16ABF0-9E4C-4105-9F54-9C3026D5DEA5}"/>
    <cellStyle name="Nuovo 36 2 4" xfId="27263" xr:uid="{1AE642CD-3C56-4A3A-80AB-E4B1098BB351}"/>
    <cellStyle name="Nuovo 36 2 5" xfId="27260" xr:uid="{942C864B-5F9C-4BB8-9C38-328068CA356C}"/>
    <cellStyle name="Nuovo 36 3" xfId="903" xr:uid="{00000000-0005-0000-0000-000038070000}"/>
    <cellStyle name="Nuovo 36 3 2" xfId="904" xr:uid="{00000000-0005-0000-0000-000039070000}"/>
    <cellStyle name="Nuovo 36 3 2 2" xfId="2197" xr:uid="{00000000-0005-0000-0000-00003A070000}"/>
    <cellStyle name="Nuovo 36 3 2 2 2" xfId="27266" xr:uid="{8D001364-04CC-449B-A0DF-0020F8C44CDB}"/>
    <cellStyle name="Nuovo 36 3 2 3" xfId="8100" xr:uid="{6B885DB8-483A-4A4B-8179-87C183F91748}"/>
    <cellStyle name="Nuovo 36 3 2 3 2" xfId="14101" xr:uid="{10B2A099-2DDF-49E9-8E9F-3CFA8928145D}"/>
    <cellStyle name="Nuovo 36 3 2 3 3" xfId="27267" xr:uid="{BE8B8FB5-2C1F-49A3-9904-4D1A2352FB28}"/>
    <cellStyle name="Nuovo 36 3 2 4" xfId="27265" xr:uid="{7BD93DA0-FBC8-45FE-9804-77E0FDC46DB8}"/>
    <cellStyle name="Nuovo 36 3 3" xfId="4208" xr:uid="{1A6BB515-873D-4047-B086-90A7F6DAD89A}"/>
    <cellStyle name="Nuovo 36 3 3 2" xfId="9337" xr:uid="{D92DA56D-7839-4070-A440-3DB93589BF04}"/>
    <cellStyle name="Nuovo 36 3 3 2 2" xfId="27269" xr:uid="{EA70AF1D-365D-4F7E-A4B1-1B0EEF1A305A}"/>
    <cellStyle name="Nuovo 36 3 3 3" xfId="27270" xr:uid="{BC055A74-BFDF-4452-A8B8-0A327E43C95E}"/>
    <cellStyle name="Nuovo 36 3 3 3 2" xfId="49015" xr:uid="{28E4ABFF-1404-4585-AACA-4DA5FE6BA1DE}"/>
    <cellStyle name="Nuovo 36 3 3 4" xfId="27268" xr:uid="{5CCEAF92-3ADF-4775-A04B-21454658042C}"/>
    <cellStyle name="Nuovo 36 3 4" xfId="4209" xr:uid="{348D861D-3051-4B69-A74B-58B7624BB565}"/>
    <cellStyle name="Nuovo 36 3 4 2" xfId="13761" xr:uid="{71A37468-4F6C-4EB0-9217-37F929FCAD78}"/>
    <cellStyle name="Nuovo 36 3 4 3" xfId="27271" xr:uid="{59271178-8E4A-4F4E-A4A4-E510B9389DBD}"/>
    <cellStyle name="Nuovo 36 3 5" xfId="11159" xr:uid="{51FE554E-3909-4EE5-8D39-5EAAA78E8AE9}"/>
    <cellStyle name="Nuovo 36 3 5 2" xfId="27272" xr:uid="{9AA71921-D11F-471C-A6EB-0B08112D2558}"/>
    <cellStyle name="Nuovo 36 3 6" xfId="27273" xr:uid="{AA3AEF3E-4DE2-46E8-93E3-450C01152F52}"/>
    <cellStyle name="Nuovo 36 3 7" xfId="27264" xr:uid="{9C48865C-5A4D-442C-9CA8-12A04AD1586F}"/>
    <cellStyle name="Nuovo 36 4" xfId="2198" xr:uid="{00000000-0005-0000-0000-00003B070000}"/>
    <cellStyle name="Nuovo 36 4 2" xfId="2199" xr:uid="{00000000-0005-0000-0000-00003C070000}"/>
    <cellStyle name="Nuovo 36 4 2 2" xfId="9338" xr:uid="{3584AA7C-FF76-4F52-A05C-FC4F4AC699EA}"/>
    <cellStyle name="Nuovo 36 4 2 2 2" xfId="27276" xr:uid="{11D42E05-3795-425A-8E26-78B040A5E643}"/>
    <cellStyle name="Nuovo 36 4 2 3" xfId="17881" xr:uid="{26CDCDD3-C842-404E-9B89-187CCE8CD2D5}"/>
    <cellStyle name="Nuovo 36 4 2 3 2" xfId="27277" xr:uid="{93AC6444-0834-4D0E-89B0-B0A50FC412F7}"/>
    <cellStyle name="Nuovo 36 4 2 4" xfId="27275" xr:uid="{FD6550FA-0386-42C3-B875-322C734FD08E}"/>
    <cellStyle name="Nuovo 36 4 2 5" xfId="17494" xr:uid="{5843FF36-F4EC-4188-95C5-9D4FCDCF774C}"/>
    <cellStyle name="Nuovo 36 4 3" xfId="9339" xr:uid="{66FFB423-8454-4DFA-8CE8-3391FB109B3A}"/>
    <cellStyle name="Nuovo 36 4 3 2" xfId="27278" xr:uid="{9101A21E-AB0A-4D60-A873-FF86035DC60B}"/>
    <cellStyle name="Nuovo 36 4 4" xfId="27279" xr:uid="{AAD892AB-8627-4AD3-AD1F-7922F3E2387D}"/>
    <cellStyle name="Nuovo 36 4 4 2" xfId="49016" xr:uid="{29A1643B-1430-44DA-9755-7A35118D7540}"/>
    <cellStyle name="Nuovo 36 4 5" xfId="27280" xr:uid="{960C0113-3E7E-43E4-AB7E-C67A9BA8A7F9}"/>
    <cellStyle name="Nuovo 36 4 6" xfId="27274" xr:uid="{8D5DE362-6DC1-4ADF-A218-9775BD6812A8}"/>
    <cellStyle name="Nuovo 36 5" xfId="2200" xr:uid="{00000000-0005-0000-0000-00003D070000}"/>
    <cellStyle name="Nuovo 36 5 2" xfId="27282" xr:uid="{85C24804-1692-492C-997C-0B1F91B9A4CC}"/>
    <cellStyle name="Nuovo 36 5 2 2" xfId="49017" xr:uid="{EA240E77-63FD-4985-A8E4-200C1C271D24}"/>
    <cellStyle name="Nuovo 36 5 3" xfId="27283" xr:uid="{FE0F2D3B-4FB4-44B6-8629-8503203BCE7C}"/>
    <cellStyle name="Nuovo 36 5 4" xfId="27281" xr:uid="{5F2B8A92-8F32-47B4-B73F-6130D5BBE552}"/>
    <cellStyle name="Nuovo 36 6" xfId="4210" xr:uid="{9EB4B771-343D-4179-846D-2C6EB25139AB}"/>
    <cellStyle name="Nuovo 36 6 2" xfId="9797" xr:uid="{D6026942-016B-4B9A-8B65-9F0D1AF2FDF4}"/>
    <cellStyle name="Nuovo 36 6 3" xfId="27284" xr:uid="{237D0C3E-FBDA-4DCC-9841-9521C9DCC51B}"/>
    <cellStyle name="Nuovo 36 7" xfId="27259" xr:uid="{3809480F-D2BC-4AB3-829B-C056122C5920}"/>
    <cellStyle name="Nuovo 37" xfId="905" xr:uid="{00000000-0005-0000-0000-00003E070000}"/>
    <cellStyle name="Nuovo 37 2" xfId="906" xr:uid="{00000000-0005-0000-0000-00003F070000}"/>
    <cellStyle name="Nuovo 37 2 2" xfId="4211" xr:uid="{451C8C83-4265-4C80-897F-9F90B06ACB10}"/>
    <cellStyle name="Nuovo 37 2 2 2" xfId="13548" xr:uid="{8FF510A7-8449-4F2C-A187-CDFDD943F7CA}"/>
    <cellStyle name="Nuovo 37 2 2 3" xfId="27287" xr:uid="{9418FE32-D825-4663-848F-3CB7BE0EDF04}"/>
    <cellStyle name="Nuovo 37 2 3" xfId="13284" xr:uid="{CDE741B1-6954-4F4F-9BE2-7B8A2F76C731}"/>
    <cellStyle name="Nuovo 37 2 3 2" xfId="27288" xr:uid="{211FEE41-F345-4399-989E-CC8E1594F4C5}"/>
    <cellStyle name="Nuovo 37 2 4" xfId="27289" xr:uid="{EA2546FB-7C56-4760-AB30-A7D602F678C1}"/>
    <cellStyle name="Nuovo 37 2 5" xfId="27286" xr:uid="{F3CA66AE-E43B-492D-AB56-6360650718B8}"/>
    <cellStyle name="Nuovo 37 3" xfId="907" xr:uid="{00000000-0005-0000-0000-000040070000}"/>
    <cellStyle name="Nuovo 37 3 2" xfId="908" xr:uid="{00000000-0005-0000-0000-000041070000}"/>
    <cellStyle name="Nuovo 37 3 2 2" xfId="2201" xr:uid="{00000000-0005-0000-0000-000042070000}"/>
    <cellStyle name="Nuovo 37 3 2 2 2" xfId="27292" xr:uid="{4ED65A9B-E4F9-446A-86BC-35EC784D90B6}"/>
    <cellStyle name="Nuovo 37 3 2 3" xfId="8101" xr:uid="{74744676-D7D3-4088-8BF1-E6AE5E150F50}"/>
    <cellStyle name="Nuovo 37 3 2 3 2" xfId="14102" xr:uid="{A63372C9-38E8-43D2-A053-4030A20ECF19}"/>
    <cellStyle name="Nuovo 37 3 2 3 3" xfId="27293" xr:uid="{1C150145-47C5-4C65-848B-5E100A3443CB}"/>
    <cellStyle name="Nuovo 37 3 2 4" xfId="27291" xr:uid="{DD77FE7E-CB94-4714-BD1A-1C6A399EB4D4}"/>
    <cellStyle name="Nuovo 37 3 3" xfId="4212" xr:uid="{709C5631-21BA-463E-ABE6-53AAADF9E01E}"/>
    <cellStyle name="Nuovo 37 3 3 2" xfId="9340" xr:uid="{B78E1A1E-8669-424D-865E-C0F0B351116D}"/>
    <cellStyle name="Nuovo 37 3 3 2 2" xfId="27295" xr:uid="{906B7EC4-4C1C-4BA6-9F48-E9EB0063A09D}"/>
    <cellStyle name="Nuovo 37 3 3 3" xfId="27296" xr:uid="{57D578E5-6C7C-4A5F-8F97-A3816240425E}"/>
    <cellStyle name="Nuovo 37 3 3 3 2" xfId="49018" xr:uid="{D7EA5D61-1D51-4599-BD42-80E3BEBEB135}"/>
    <cellStyle name="Nuovo 37 3 3 4" xfId="27294" xr:uid="{816DA027-8356-4CED-B02D-D54DFBCD2E42}"/>
    <cellStyle name="Nuovo 37 3 4" xfId="4213" xr:uid="{E14B18BF-3A3A-4791-B319-5A5A89AF164F}"/>
    <cellStyle name="Nuovo 37 3 4 2" xfId="13762" xr:uid="{EC0B03A5-41FA-4C95-BA67-756600455CA6}"/>
    <cellStyle name="Nuovo 37 3 4 3" xfId="27297" xr:uid="{E2C54552-5A01-4235-82F0-B59C5C326C37}"/>
    <cellStyle name="Nuovo 37 3 5" xfId="11211" xr:uid="{88701065-F8B7-4254-8D91-DAC47CEAD6A6}"/>
    <cellStyle name="Nuovo 37 3 5 2" xfId="27298" xr:uid="{ED218180-DA8E-4C95-B8C9-0234E056D26C}"/>
    <cellStyle name="Nuovo 37 3 6" xfId="27299" xr:uid="{84044522-4E91-4028-ABF0-86FDA4ACA927}"/>
    <cellStyle name="Nuovo 37 3 7" xfId="27290" xr:uid="{58F32333-1549-40CC-9114-E4D67D226801}"/>
    <cellStyle name="Nuovo 37 4" xfId="2202" xr:uid="{00000000-0005-0000-0000-000043070000}"/>
    <cellStyle name="Nuovo 37 4 2" xfId="2203" xr:uid="{00000000-0005-0000-0000-000044070000}"/>
    <cellStyle name="Nuovo 37 4 2 2" xfId="9341" xr:uid="{C1D6E32C-608B-49EF-9D71-2CD606168399}"/>
    <cellStyle name="Nuovo 37 4 2 2 2" xfId="27302" xr:uid="{B4B46885-9B01-4289-9219-59A22B15E6DC}"/>
    <cellStyle name="Nuovo 37 4 2 3" xfId="17882" xr:uid="{297FA0F4-5AD3-473A-827C-B657B98D0C0D}"/>
    <cellStyle name="Nuovo 37 4 2 3 2" xfId="27303" xr:uid="{9ADAAF37-B8EF-41E5-AFFD-6C81A48A6BD9}"/>
    <cellStyle name="Nuovo 37 4 2 4" xfId="27301" xr:uid="{A73D1DF8-1831-4694-B46E-A04F59B8A983}"/>
    <cellStyle name="Nuovo 37 4 2 5" xfId="17495" xr:uid="{EDB606B6-5318-4A1E-AE25-C7690FC5DC7F}"/>
    <cellStyle name="Nuovo 37 4 3" xfId="9342" xr:uid="{88FB8414-3692-4FA8-AF72-CA71124927BC}"/>
    <cellStyle name="Nuovo 37 4 3 2" xfId="27304" xr:uid="{BCC96947-F6C2-42A9-9844-2FBF31F6A95B}"/>
    <cellStyle name="Nuovo 37 4 4" xfId="27305" xr:uid="{1D0A1468-4536-49B1-A3AC-421535DC015C}"/>
    <cellStyle name="Nuovo 37 4 4 2" xfId="49019" xr:uid="{2EFAC234-D12A-4573-ADEF-5A9A40CB66C5}"/>
    <cellStyle name="Nuovo 37 4 5" xfId="27306" xr:uid="{55838139-EF42-4DE8-804A-5627AD39ADD9}"/>
    <cellStyle name="Nuovo 37 4 6" xfId="27300" xr:uid="{C509B4E1-1CCB-4B25-881B-2E830E2874D5}"/>
    <cellStyle name="Nuovo 37 5" xfId="2204" xr:uid="{00000000-0005-0000-0000-000045070000}"/>
    <cellStyle name="Nuovo 37 5 2" xfId="27308" xr:uid="{11B2EC6C-878E-4582-812E-405DAC955122}"/>
    <cellStyle name="Nuovo 37 5 2 2" xfId="49020" xr:uid="{B22353DA-B4EE-4188-A525-3632D609AC4C}"/>
    <cellStyle name="Nuovo 37 5 3" xfId="27309" xr:uid="{49C9CD0E-6090-41FD-BAD8-E3E1889A8D54}"/>
    <cellStyle name="Nuovo 37 5 4" xfId="27307" xr:uid="{4D4A73CB-F448-441E-A9CA-951626857D6F}"/>
    <cellStyle name="Nuovo 37 6" xfId="4214" xr:uid="{755877FC-1C24-4FEF-A1CD-1F4E95F8A063}"/>
    <cellStyle name="Nuovo 37 6 2" xfId="9798" xr:uid="{0C547E96-0FBA-490C-A298-196EEE77D30A}"/>
    <cellStyle name="Nuovo 37 6 3" xfId="27310" xr:uid="{DD31F1C5-6D9D-476A-B0F4-2388DD487633}"/>
    <cellStyle name="Nuovo 37 7" xfId="27285" xr:uid="{ABC330D2-11D5-414E-9E3D-53853BF03E05}"/>
    <cellStyle name="Nuovo 38" xfId="909" xr:uid="{00000000-0005-0000-0000-000046070000}"/>
    <cellStyle name="Nuovo 38 2" xfId="910" xr:uid="{00000000-0005-0000-0000-000047070000}"/>
    <cellStyle name="Nuovo 38 2 2" xfId="4215" xr:uid="{857CA0DB-A952-4D08-A180-C69C09EBF2FA}"/>
    <cellStyle name="Nuovo 38 2 2 2" xfId="13549" xr:uid="{212EA283-B1E2-4512-A9AD-E0D5B20E8AD4}"/>
    <cellStyle name="Nuovo 38 2 2 3" xfId="27313" xr:uid="{539A2166-0B1F-4802-BCC5-C84D34EFC1C5}"/>
    <cellStyle name="Nuovo 38 2 3" xfId="13285" xr:uid="{86B415F9-3E34-4288-82AF-997214192512}"/>
    <cellStyle name="Nuovo 38 2 3 2" xfId="27314" xr:uid="{EB3ECC36-7FC2-4A7A-B43D-C94C506562D6}"/>
    <cellStyle name="Nuovo 38 2 4" xfId="27315" xr:uid="{328E90C4-687F-44D5-A68C-19C0D447B547}"/>
    <cellStyle name="Nuovo 38 2 5" xfId="27312" xr:uid="{C8CE8A74-EBC9-4D54-9EC2-C7AF8D5A627E}"/>
    <cellStyle name="Nuovo 38 3" xfId="911" xr:uid="{00000000-0005-0000-0000-000048070000}"/>
    <cellStyle name="Nuovo 38 3 2" xfId="912" xr:uid="{00000000-0005-0000-0000-000049070000}"/>
    <cellStyle name="Nuovo 38 3 2 2" xfId="2205" xr:uid="{00000000-0005-0000-0000-00004A070000}"/>
    <cellStyle name="Nuovo 38 3 2 2 2" xfId="27318" xr:uid="{DEDB8531-4C79-4145-B970-EBF407AEAB18}"/>
    <cellStyle name="Nuovo 38 3 2 3" xfId="8102" xr:uid="{4D077069-81DE-4CCF-9A1C-26441F4089ED}"/>
    <cellStyle name="Nuovo 38 3 2 3 2" xfId="14103" xr:uid="{FAB01DAC-51C3-4953-B851-2D011F1266BD}"/>
    <cellStyle name="Nuovo 38 3 2 3 3" xfId="27319" xr:uid="{C88955ED-FED5-4E8B-80AC-1D212F1E9AC9}"/>
    <cellStyle name="Nuovo 38 3 2 4" xfId="27317" xr:uid="{CD803731-0A8A-4C9C-BFC3-9EBFAC7B53F8}"/>
    <cellStyle name="Nuovo 38 3 3" xfId="4216" xr:uid="{8E2433B2-F028-445A-9123-AF98EDF70BD8}"/>
    <cellStyle name="Nuovo 38 3 3 2" xfId="9343" xr:uid="{70FB8AA2-0BEA-4467-8960-58FC820B40F3}"/>
    <cellStyle name="Nuovo 38 3 3 2 2" xfId="27321" xr:uid="{D402D7AE-F280-423D-8104-A9E7FA28AAE9}"/>
    <cellStyle name="Nuovo 38 3 3 3" xfId="27322" xr:uid="{615D1B7C-3597-43D5-9264-9F13DA7C6EB7}"/>
    <cellStyle name="Nuovo 38 3 3 3 2" xfId="49021" xr:uid="{9D6E82D4-80B2-4745-84CE-C1D58EB3FD05}"/>
    <cellStyle name="Nuovo 38 3 3 4" xfId="27320" xr:uid="{DB5E77EC-AE71-4794-8AED-1BB4EA655937}"/>
    <cellStyle name="Nuovo 38 3 4" xfId="4217" xr:uid="{2AB2AD28-91AE-46D4-AF6B-DC30B0D982D8}"/>
    <cellStyle name="Nuovo 38 3 4 2" xfId="13763" xr:uid="{FDBFBF46-C933-4BBD-8DA0-EAC528319EAF}"/>
    <cellStyle name="Nuovo 38 3 4 3" xfId="27323" xr:uid="{13B35CB4-1A62-4175-A1A9-9937AB061E21}"/>
    <cellStyle name="Nuovo 38 3 5" xfId="12166" xr:uid="{3495FD65-535B-43D1-BD94-5C8180DB9AA8}"/>
    <cellStyle name="Nuovo 38 3 5 2" xfId="27324" xr:uid="{F7F70BFA-DAC3-4AE0-8818-8492B880525D}"/>
    <cellStyle name="Nuovo 38 3 6" xfId="27325" xr:uid="{E3F5AAD4-A859-4A69-AA9D-BE682B7F0F10}"/>
    <cellStyle name="Nuovo 38 3 7" xfId="27316" xr:uid="{5A04C8EC-4DDF-439D-AF84-F150BAD69CA6}"/>
    <cellStyle name="Nuovo 38 4" xfId="2206" xr:uid="{00000000-0005-0000-0000-00004B070000}"/>
    <cellStyle name="Nuovo 38 4 2" xfId="2207" xr:uid="{00000000-0005-0000-0000-00004C070000}"/>
    <cellStyle name="Nuovo 38 4 2 2" xfId="9344" xr:uid="{82E2E064-7EA6-4CFB-B2F6-D133DBADDE7C}"/>
    <cellStyle name="Nuovo 38 4 2 2 2" xfId="27328" xr:uid="{78DF7F13-5EED-4059-BD29-8A53758CCD12}"/>
    <cellStyle name="Nuovo 38 4 2 3" xfId="17883" xr:uid="{219C4AA9-C937-491B-9404-257DA9CFDC10}"/>
    <cellStyle name="Nuovo 38 4 2 3 2" xfId="27329" xr:uid="{8052CB63-865D-4589-A917-A86415C45D7D}"/>
    <cellStyle name="Nuovo 38 4 2 4" xfId="27327" xr:uid="{08049F89-5AF9-4B92-BD8A-CFA8EF457B9B}"/>
    <cellStyle name="Nuovo 38 4 2 5" xfId="17496" xr:uid="{4950C5CD-CC6E-40AD-84F0-F6E444A8EA1B}"/>
    <cellStyle name="Nuovo 38 4 3" xfId="9345" xr:uid="{1A269A71-F28A-4AD7-8140-F54F5858D5B2}"/>
    <cellStyle name="Nuovo 38 4 3 2" xfId="27330" xr:uid="{BBD301DF-3267-4D3F-8DEA-13D3432EA64B}"/>
    <cellStyle name="Nuovo 38 4 4" xfId="27331" xr:uid="{97B22414-D356-4F02-84D5-8004DB566752}"/>
    <cellStyle name="Nuovo 38 4 4 2" xfId="49022" xr:uid="{27D0EC1D-EB0C-4DFC-8603-D8F08ABE9B1E}"/>
    <cellStyle name="Nuovo 38 4 5" xfId="27332" xr:uid="{AFCAD945-1D8B-4862-9390-7DE97C29A140}"/>
    <cellStyle name="Nuovo 38 4 6" xfId="27326" xr:uid="{42BF52F5-0008-4484-B6B2-918EEB9DD1D3}"/>
    <cellStyle name="Nuovo 38 5" xfId="2208" xr:uid="{00000000-0005-0000-0000-00004D070000}"/>
    <cellStyle name="Nuovo 38 5 2" xfId="27334" xr:uid="{62CFD9EC-492F-4C60-A851-23A075CCF487}"/>
    <cellStyle name="Nuovo 38 5 2 2" xfId="49023" xr:uid="{D27E00E0-71FF-473F-BA80-12340D262CE4}"/>
    <cellStyle name="Nuovo 38 5 3" xfId="27335" xr:uid="{5C8F73D6-856A-41CC-B8D4-40C1BD7625F9}"/>
    <cellStyle name="Nuovo 38 5 4" xfId="27333" xr:uid="{34DF1E85-FDD2-4C4F-AC2A-316F57F9EB51}"/>
    <cellStyle name="Nuovo 38 6" xfId="4218" xr:uid="{8D70B16F-9F06-48CE-B7E4-B3E2D2BA6946}"/>
    <cellStyle name="Nuovo 38 6 2" xfId="9799" xr:uid="{64EE41C2-8EEC-4C11-B490-39858E53B766}"/>
    <cellStyle name="Nuovo 38 6 3" xfId="27336" xr:uid="{0675A832-8230-4939-8379-978717077623}"/>
    <cellStyle name="Nuovo 38 7" xfId="27311" xr:uid="{F706656D-7672-4831-8314-306650A395EA}"/>
    <cellStyle name="Nuovo 39" xfId="913" xr:uid="{00000000-0005-0000-0000-00004E070000}"/>
    <cellStyle name="Nuovo 39 2" xfId="914" xr:uid="{00000000-0005-0000-0000-00004F070000}"/>
    <cellStyle name="Nuovo 39 2 2" xfId="4219" xr:uid="{BF9C7FF7-BD0C-441F-9DA4-F117A547FE12}"/>
    <cellStyle name="Nuovo 39 2 2 2" xfId="13550" xr:uid="{9F9DBFB2-A7FA-49AD-9C5E-54946DDDA4D3}"/>
    <cellStyle name="Nuovo 39 2 2 3" xfId="27339" xr:uid="{0C524C89-8FC6-496C-BBB2-614FCF056AD6}"/>
    <cellStyle name="Nuovo 39 2 3" xfId="13286" xr:uid="{76E3B4F6-3EE2-4534-9B62-3A9AC5421079}"/>
    <cellStyle name="Nuovo 39 2 3 2" xfId="27340" xr:uid="{B61EDB77-62D0-4605-8641-FD5E3CA89171}"/>
    <cellStyle name="Nuovo 39 2 4" xfId="27341" xr:uid="{92B74338-9F15-47D3-AC74-0A6A1A715944}"/>
    <cellStyle name="Nuovo 39 2 5" xfId="27338" xr:uid="{FA3650C5-3754-41D0-82D0-0357FD063214}"/>
    <cellStyle name="Nuovo 39 3" xfId="915" xr:uid="{00000000-0005-0000-0000-000050070000}"/>
    <cellStyle name="Nuovo 39 3 2" xfId="916" xr:uid="{00000000-0005-0000-0000-000051070000}"/>
    <cellStyle name="Nuovo 39 3 2 2" xfId="2209" xr:uid="{00000000-0005-0000-0000-000052070000}"/>
    <cellStyle name="Nuovo 39 3 2 2 2" xfId="27344" xr:uid="{48225E26-C82C-465A-B9C3-480EBEFDFEBA}"/>
    <cellStyle name="Nuovo 39 3 2 3" xfId="8103" xr:uid="{596C5E91-F4A9-4FAD-BA3C-9884D92EE564}"/>
    <cellStyle name="Nuovo 39 3 2 3 2" xfId="14104" xr:uid="{61E68AF7-9A0D-4130-A60D-C84D86349C28}"/>
    <cellStyle name="Nuovo 39 3 2 3 3" xfId="27345" xr:uid="{66B3CCA7-3BFF-44FA-B2D0-9E869C17D5B7}"/>
    <cellStyle name="Nuovo 39 3 2 4" xfId="27343" xr:uid="{1D514E32-1C3E-4992-9829-FE1E29F5C761}"/>
    <cellStyle name="Nuovo 39 3 3" xfId="4220" xr:uid="{84BD995A-CF21-444C-BEE3-8301AA9C3CB4}"/>
    <cellStyle name="Nuovo 39 3 3 2" xfId="9346" xr:uid="{0DC2E48D-07AA-487D-BF51-597EE3B54941}"/>
    <cellStyle name="Nuovo 39 3 3 2 2" xfId="27347" xr:uid="{47DDC783-2CF7-4A54-B04A-C1418579194F}"/>
    <cellStyle name="Nuovo 39 3 3 3" xfId="27348" xr:uid="{EA130F99-81B6-4E1F-8994-0738F51BCD79}"/>
    <cellStyle name="Nuovo 39 3 3 3 2" xfId="49024" xr:uid="{1538ECC1-4F6C-4850-BEDC-721DC361AB40}"/>
    <cellStyle name="Nuovo 39 3 3 4" xfId="27346" xr:uid="{4EEE07AB-45FA-4FB4-8773-A7BB5483BBFF}"/>
    <cellStyle name="Nuovo 39 3 4" xfId="4221" xr:uid="{06B3BC52-BED8-486D-894F-576CCD3B75FA}"/>
    <cellStyle name="Nuovo 39 3 4 2" xfId="13764" xr:uid="{1473B520-3F3D-4716-A1A0-C5CE5FE6E77D}"/>
    <cellStyle name="Nuovo 39 3 4 3" xfId="27349" xr:uid="{30A07C10-11D4-4035-8D33-FE6A4F0DB50C}"/>
    <cellStyle name="Nuovo 39 3 5" xfId="11517" xr:uid="{83EA8FE6-18CC-4A1E-A33E-43D1BC64DC49}"/>
    <cellStyle name="Nuovo 39 3 5 2" xfId="27350" xr:uid="{2BA2AAD6-3A66-457E-BBDC-5D0193E8CB59}"/>
    <cellStyle name="Nuovo 39 3 6" xfId="27351" xr:uid="{AEA6FD27-AA64-4264-A7BF-81F309E926E2}"/>
    <cellStyle name="Nuovo 39 3 7" xfId="27342" xr:uid="{EB139388-6C43-4955-BEB9-11BEC697A78A}"/>
    <cellStyle name="Nuovo 39 4" xfId="2210" xr:uid="{00000000-0005-0000-0000-000053070000}"/>
    <cellStyle name="Nuovo 39 4 2" xfId="2211" xr:uid="{00000000-0005-0000-0000-000054070000}"/>
    <cellStyle name="Nuovo 39 4 2 2" xfId="9347" xr:uid="{DF0E42F9-576C-47D5-92E0-5F9C03F62513}"/>
    <cellStyle name="Nuovo 39 4 2 2 2" xfId="27354" xr:uid="{BAA68EB5-9ECD-4DA1-8B5F-53CD6AA3F157}"/>
    <cellStyle name="Nuovo 39 4 2 3" xfId="17884" xr:uid="{596D9FD1-7C5B-4D10-87D4-A637BCCAF0C5}"/>
    <cellStyle name="Nuovo 39 4 2 3 2" xfId="27355" xr:uid="{00AAE152-CF37-4924-B3B0-31D06838F153}"/>
    <cellStyle name="Nuovo 39 4 2 4" xfId="27353" xr:uid="{1ED75F13-4DEA-4AF2-9BAC-B5CF49DF7002}"/>
    <cellStyle name="Nuovo 39 4 2 5" xfId="17497" xr:uid="{EBED77DE-40C6-492E-8C34-A1DC4B4BCF6D}"/>
    <cellStyle name="Nuovo 39 4 3" xfId="9348" xr:uid="{6EB26866-CA1F-49BD-A129-887F45E328AF}"/>
    <cellStyle name="Nuovo 39 4 3 2" xfId="27356" xr:uid="{E7892FC2-DBB0-4143-BAC2-7E352502DC5B}"/>
    <cellStyle name="Nuovo 39 4 4" xfId="27357" xr:uid="{3C06FE52-0CAF-4241-AE85-628A7E70A82E}"/>
    <cellStyle name="Nuovo 39 4 4 2" xfId="49025" xr:uid="{79217679-4E68-4A61-B91A-D59ABDCDEE96}"/>
    <cellStyle name="Nuovo 39 4 5" xfId="27358" xr:uid="{6750D8B4-B573-4F54-AFB3-A27797A91DB7}"/>
    <cellStyle name="Nuovo 39 4 6" xfId="27352" xr:uid="{413040E0-C874-4AB7-B917-FAAB6D0F4E93}"/>
    <cellStyle name="Nuovo 39 5" xfId="2212" xr:uid="{00000000-0005-0000-0000-000055070000}"/>
    <cellStyle name="Nuovo 39 5 2" xfId="27360" xr:uid="{670BB942-C5C9-48FC-B1B3-849FE3DDF47C}"/>
    <cellStyle name="Nuovo 39 5 2 2" xfId="49026" xr:uid="{9A241577-2823-493A-90AC-DF36CE6F18C7}"/>
    <cellStyle name="Nuovo 39 5 3" xfId="27361" xr:uid="{1EB36258-BA26-4D64-8D18-28D5FE7B5A70}"/>
    <cellStyle name="Nuovo 39 5 4" xfId="27359" xr:uid="{B057090B-57A5-4E05-B235-B6521CEB8E2F}"/>
    <cellStyle name="Nuovo 39 6" xfId="4222" xr:uid="{983A5BD4-589B-4E00-AFAF-446FEB0DF76C}"/>
    <cellStyle name="Nuovo 39 6 2" xfId="9800" xr:uid="{03A714E9-0030-4266-A524-2F25E8291BB7}"/>
    <cellStyle name="Nuovo 39 6 3" xfId="27362" xr:uid="{6CB410D2-6CF6-43E1-BCD0-5302BC72FF80}"/>
    <cellStyle name="Nuovo 39 7" xfId="27337" xr:uid="{306B3D4F-3480-483C-9A69-59CA3E6549DB}"/>
    <cellStyle name="Nuovo 4" xfId="917" xr:uid="{00000000-0005-0000-0000-000056070000}"/>
    <cellStyle name="Nuovo 4 2" xfId="918" xr:uid="{00000000-0005-0000-0000-000057070000}"/>
    <cellStyle name="Nuovo 4 2 2" xfId="4223" xr:uid="{FCC138C4-366E-47A8-87F8-7E63EDD151A2}"/>
    <cellStyle name="Nuovo 4 2 2 2" xfId="13551" xr:uid="{6989DE48-9085-47CF-B2D9-13D9559C0758}"/>
    <cellStyle name="Nuovo 4 2 2 3" xfId="27365" xr:uid="{5FD48D02-60FC-444C-8AE6-A255BC3C8FC3}"/>
    <cellStyle name="Nuovo 4 2 3" xfId="13287" xr:uid="{C042C07A-34BB-4886-B92B-8A415E6F8CD0}"/>
    <cellStyle name="Nuovo 4 2 3 2" xfId="27366" xr:uid="{9DB79B1B-3F20-421C-B2CC-D4B5643D28E0}"/>
    <cellStyle name="Nuovo 4 2 4" xfId="27367" xr:uid="{6A925CE1-C356-453A-BB32-FAC4E39B08F0}"/>
    <cellStyle name="Nuovo 4 2 5" xfId="27364" xr:uid="{241F2536-4275-4084-8924-F0B68DA94107}"/>
    <cellStyle name="Nuovo 4 3" xfId="919" xr:uid="{00000000-0005-0000-0000-000058070000}"/>
    <cellStyle name="Nuovo 4 3 2" xfId="920" xr:uid="{00000000-0005-0000-0000-000059070000}"/>
    <cellStyle name="Nuovo 4 3 2 2" xfId="2213" xr:uid="{00000000-0005-0000-0000-00005A070000}"/>
    <cellStyle name="Nuovo 4 3 2 2 2" xfId="27370" xr:uid="{2DD331DB-D3CF-4062-A24D-86F935D31330}"/>
    <cellStyle name="Nuovo 4 3 2 3" xfId="8104" xr:uid="{8C1C30B2-ACC7-4465-9416-06BA63FA33D7}"/>
    <cellStyle name="Nuovo 4 3 2 3 2" xfId="14105" xr:uid="{75F21795-BDF1-4453-8DFC-30458AB5B3A5}"/>
    <cellStyle name="Nuovo 4 3 2 3 3" xfId="27371" xr:uid="{3F702709-90AB-4484-939A-CAA8B180A017}"/>
    <cellStyle name="Nuovo 4 3 2 4" xfId="27369" xr:uid="{85D3DC13-1825-4D19-9D46-0F5C46EBED4C}"/>
    <cellStyle name="Nuovo 4 3 3" xfId="4224" xr:uid="{5574D065-638B-4D74-B8E5-18B7E011A848}"/>
    <cellStyle name="Nuovo 4 3 3 2" xfId="9349" xr:uid="{22E1D41A-A102-4519-9C19-A1CFD7702EA7}"/>
    <cellStyle name="Nuovo 4 3 3 2 2" xfId="27373" xr:uid="{88B27AB4-BD5E-4310-8F1F-FA1504F19B6F}"/>
    <cellStyle name="Nuovo 4 3 3 3" xfId="27374" xr:uid="{32DF1EA7-5AC1-428D-8875-3AEA31C4AA2B}"/>
    <cellStyle name="Nuovo 4 3 3 3 2" xfId="49027" xr:uid="{5A412A1A-FB2E-428F-9ADD-A05DC7AB6C9D}"/>
    <cellStyle name="Nuovo 4 3 3 4" xfId="27372" xr:uid="{F4B3FEB7-F2C6-47AE-B20F-795550FD4A34}"/>
    <cellStyle name="Nuovo 4 3 4" xfId="4225" xr:uid="{F8DC0B41-B601-49DC-8830-DFCBEB854319}"/>
    <cellStyle name="Nuovo 4 3 4 2" xfId="13765" xr:uid="{80F7F3D9-E92F-42A1-9A2D-7005F1238A8A}"/>
    <cellStyle name="Nuovo 4 3 4 3" xfId="27375" xr:uid="{15031EA8-E82A-4350-ACB6-600E28C55AE2}"/>
    <cellStyle name="Nuovo 4 3 5" xfId="11125" xr:uid="{625E87B1-E496-4D26-9E3B-809016D040DF}"/>
    <cellStyle name="Nuovo 4 3 5 2" xfId="27376" xr:uid="{5CACAF69-1413-4527-B125-AE8D33AEB4A5}"/>
    <cellStyle name="Nuovo 4 3 6" xfId="27377" xr:uid="{36E9A1E1-4021-4F21-9752-4D8272666CA4}"/>
    <cellStyle name="Nuovo 4 3 7" xfId="27368" xr:uid="{21F630F4-EC82-4982-8D6C-1B822F7E45F3}"/>
    <cellStyle name="Nuovo 4 4" xfId="2214" xr:uid="{00000000-0005-0000-0000-00005B070000}"/>
    <cellStyle name="Nuovo 4 4 2" xfId="2215" xr:uid="{00000000-0005-0000-0000-00005C070000}"/>
    <cellStyle name="Nuovo 4 4 2 2" xfId="9350" xr:uid="{5C308950-2226-4F71-9AB2-83C73093596E}"/>
    <cellStyle name="Nuovo 4 4 2 2 2" xfId="27380" xr:uid="{30D579F7-D724-4703-B9DB-38AF7079A727}"/>
    <cellStyle name="Nuovo 4 4 2 3" xfId="17885" xr:uid="{58B8A53D-7EBE-49DC-8D9E-C39C70DD4D2B}"/>
    <cellStyle name="Nuovo 4 4 2 3 2" xfId="27381" xr:uid="{27446D1F-C032-4FCA-8454-0F18A8BBF5CD}"/>
    <cellStyle name="Nuovo 4 4 2 4" xfId="27379" xr:uid="{301C064A-2854-4EAD-B726-FB939FA1E421}"/>
    <cellStyle name="Nuovo 4 4 2 5" xfId="17498" xr:uid="{392F37BF-BB32-4049-BDA5-9E769657E8EA}"/>
    <cellStyle name="Nuovo 4 4 3" xfId="9351" xr:uid="{EB7D0048-36BB-44F1-B295-451D13F87053}"/>
    <cellStyle name="Nuovo 4 4 3 2" xfId="27382" xr:uid="{FF71786A-05E7-4B77-89CC-22A3755B187A}"/>
    <cellStyle name="Nuovo 4 4 4" xfId="27383" xr:uid="{7489607A-C702-463A-A701-8580DB983F13}"/>
    <cellStyle name="Nuovo 4 4 4 2" xfId="49028" xr:uid="{7F028850-EB7A-461E-9664-B97658F59B85}"/>
    <cellStyle name="Nuovo 4 4 5" xfId="27384" xr:uid="{1A36E2B4-901E-4936-AE5E-A8C26F923DD4}"/>
    <cellStyle name="Nuovo 4 4 6" xfId="27378" xr:uid="{E55E154A-9140-40F9-9942-54D7DB3FBC2B}"/>
    <cellStyle name="Nuovo 4 5" xfId="2216" xr:uid="{00000000-0005-0000-0000-00005D070000}"/>
    <cellStyle name="Nuovo 4 5 2" xfId="27386" xr:uid="{5AAF7EF2-789E-44E1-8649-33A502F5455B}"/>
    <cellStyle name="Nuovo 4 5 2 2" xfId="49029" xr:uid="{BF983976-3173-4463-B3A3-CB8890172176}"/>
    <cellStyle name="Nuovo 4 5 3" xfId="27387" xr:uid="{96B19299-26D0-41A8-9BF9-D6F99B40FC13}"/>
    <cellStyle name="Nuovo 4 5 4" xfId="27385" xr:uid="{D81BEFBD-EC4F-4AC4-BB91-43DEF691DC7A}"/>
    <cellStyle name="Nuovo 4 6" xfId="4226" xr:uid="{C431B80A-2152-4ED3-9A4F-8782E172FAD0}"/>
    <cellStyle name="Nuovo 4 6 2" xfId="9801" xr:uid="{481234EE-22B1-4B81-A0C8-42A442EE1FF2}"/>
    <cellStyle name="Nuovo 4 6 3" xfId="27388" xr:uid="{6F0BC83C-9708-48BD-B613-C30E647C7FF1}"/>
    <cellStyle name="Nuovo 4 7" xfId="27363" xr:uid="{626347A4-2C50-4794-976F-8BCA4597F5AF}"/>
    <cellStyle name="Nuovo 40" xfId="921" xr:uid="{00000000-0005-0000-0000-00005E070000}"/>
    <cellStyle name="Nuovo 40 2" xfId="922" xr:uid="{00000000-0005-0000-0000-00005F070000}"/>
    <cellStyle name="Nuovo 40 2 2" xfId="4227" xr:uid="{F2C6464D-D72D-4FEC-80EE-67679F85F15C}"/>
    <cellStyle name="Nuovo 40 2 2 2" xfId="13552" xr:uid="{641FF729-9083-404C-8293-22F2E47ECFEC}"/>
    <cellStyle name="Nuovo 40 2 2 3" xfId="27391" xr:uid="{8BFE84E9-0269-412C-9BD7-8815B4A7F5FB}"/>
    <cellStyle name="Nuovo 40 2 3" xfId="13288" xr:uid="{28081397-1405-46F7-8929-4FC76BABFBDB}"/>
    <cellStyle name="Nuovo 40 2 3 2" xfId="27392" xr:uid="{D7373CF7-7177-4041-ACAE-12591350268A}"/>
    <cellStyle name="Nuovo 40 2 4" xfId="27393" xr:uid="{D116166A-439A-43A2-99FF-DC159869F775}"/>
    <cellStyle name="Nuovo 40 2 5" xfId="27390" xr:uid="{600FF025-1B0B-4FFB-B02D-8791F7C594AA}"/>
    <cellStyle name="Nuovo 40 3" xfId="923" xr:uid="{00000000-0005-0000-0000-000060070000}"/>
    <cellStyle name="Nuovo 40 3 2" xfId="924" xr:uid="{00000000-0005-0000-0000-000061070000}"/>
    <cellStyle name="Nuovo 40 3 2 2" xfId="2217" xr:uid="{00000000-0005-0000-0000-000062070000}"/>
    <cellStyle name="Nuovo 40 3 2 2 2" xfId="27396" xr:uid="{2A018241-500D-404F-84DB-64F07DC2B4E1}"/>
    <cellStyle name="Nuovo 40 3 2 3" xfId="8105" xr:uid="{644E6713-AEF1-4401-BCC8-BDC2ADC6688B}"/>
    <cellStyle name="Nuovo 40 3 2 3 2" xfId="14106" xr:uid="{4398B1CF-0471-44C1-AB0F-ABACE171D439}"/>
    <cellStyle name="Nuovo 40 3 2 3 3" xfId="27397" xr:uid="{DD7C0C3C-2027-4872-86E3-07F35BB81DE4}"/>
    <cellStyle name="Nuovo 40 3 2 4" xfId="27395" xr:uid="{0CA8AEE9-0F15-4B7C-BD7F-3A923DD5311C}"/>
    <cellStyle name="Nuovo 40 3 3" xfId="4228" xr:uid="{9D55557E-02EB-43F2-8E75-AE93BAEA0100}"/>
    <cellStyle name="Nuovo 40 3 3 2" xfId="9352" xr:uid="{9C4AD7ED-3BAF-48FB-9CA8-A39C65467B21}"/>
    <cellStyle name="Nuovo 40 3 3 2 2" xfId="27399" xr:uid="{3CE32D1A-88B8-4F70-9F2E-73B3063A923B}"/>
    <cellStyle name="Nuovo 40 3 3 3" xfId="27400" xr:uid="{33D3B0D8-125E-45F1-A543-0C3CA79647C7}"/>
    <cellStyle name="Nuovo 40 3 3 3 2" xfId="49030" xr:uid="{9F96F28A-C801-4045-9268-9213969F7E86}"/>
    <cellStyle name="Nuovo 40 3 3 4" xfId="27398" xr:uid="{46B8D835-10E3-4773-BE9F-29D2C9A823F1}"/>
    <cellStyle name="Nuovo 40 3 4" xfId="4229" xr:uid="{B1FDBF2D-E656-426E-97B4-F901BE4B45F3}"/>
    <cellStyle name="Nuovo 40 3 4 2" xfId="13766" xr:uid="{96AF1580-1502-469C-8B41-B935196BD228}"/>
    <cellStyle name="Nuovo 40 3 4 3" xfId="27401" xr:uid="{6298F553-CFC8-49BB-A441-D015AB937868}"/>
    <cellStyle name="Nuovo 40 3 5" xfId="11506" xr:uid="{0EBD3E00-2A0A-48F4-81FE-570ED6D09A5E}"/>
    <cellStyle name="Nuovo 40 3 5 2" xfId="27402" xr:uid="{4CF57DB2-7A94-4698-86C9-5D6BF42D57AC}"/>
    <cellStyle name="Nuovo 40 3 6" xfId="27403" xr:uid="{65321793-F32F-41BB-AB73-BE6D29C839D1}"/>
    <cellStyle name="Nuovo 40 3 7" xfId="27394" xr:uid="{D780DBF1-2945-4B1A-B005-4A18B27AB8BA}"/>
    <cellStyle name="Nuovo 40 4" xfId="2218" xr:uid="{00000000-0005-0000-0000-000063070000}"/>
    <cellStyle name="Nuovo 40 4 2" xfId="2219" xr:uid="{00000000-0005-0000-0000-000064070000}"/>
    <cellStyle name="Nuovo 40 4 2 2" xfId="9353" xr:uid="{5FDC19C4-F9C6-408B-86BA-330176A1943A}"/>
    <cellStyle name="Nuovo 40 4 2 2 2" xfId="27406" xr:uid="{6FB0081A-EE4B-4666-9199-0072038B4210}"/>
    <cellStyle name="Nuovo 40 4 2 3" xfId="17886" xr:uid="{76C6EAA4-B5DE-418D-A2AE-9E89DC0B5A30}"/>
    <cellStyle name="Nuovo 40 4 2 3 2" xfId="27407" xr:uid="{7D32BBD2-C6A7-4BC2-AC59-A5F48E1F4238}"/>
    <cellStyle name="Nuovo 40 4 2 4" xfId="27405" xr:uid="{8A9C3579-0002-466C-902A-DB282C859ACD}"/>
    <cellStyle name="Nuovo 40 4 2 5" xfId="17499" xr:uid="{3361396E-B125-4E8F-9F67-D6DA398C4061}"/>
    <cellStyle name="Nuovo 40 4 3" xfId="9354" xr:uid="{5A96451D-FE77-4EF6-AD19-AC673B8CFE51}"/>
    <cellStyle name="Nuovo 40 4 3 2" xfId="27408" xr:uid="{7112FA63-B991-4C91-AFD4-A38B92B590FD}"/>
    <cellStyle name="Nuovo 40 4 4" xfId="27409" xr:uid="{A45F98B2-6EB8-411C-8D0C-59A13DD14183}"/>
    <cellStyle name="Nuovo 40 4 4 2" xfId="49031" xr:uid="{174B56E4-128B-4AA0-A9EF-74E36A2D98CD}"/>
    <cellStyle name="Nuovo 40 4 5" xfId="27410" xr:uid="{4B16595E-C7C2-46EF-BA87-898971D64972}"/>
    <cellStyle name="Nuovo 40 4 6" xfId="27404" xr:uid="{9B3923D2-301D-4DB3-812E-1F87626D308C}"/>
    <cellStyle name="Nuovo 40 5" xfId="2220" xr:uid="{00000000-0005-0000-0000-000065070000}"/>
    <cellStyle name="Nuovo 40 5 2" xfId="27412" xr:uid="{0AAC9643-2087-4C99-8D82-092EB4B9623E}"/>
    <cellStyle name="Nuovo 40 5 2 2" xfId="49032" xr:uid="{391BB20D-2969-4888-A68B-12EAE4BEFB91}"/>
    <cellStyle name="Nuovo 40 5 3" xfId="27413" xr:uid="{15941032-2F47-4B72-BDDA-9BF28A109E73}"/>
    <cellStyle name="Nuovo 40 5 4" xfId="27411" xr:uid="{D287FDF7-97E6-486B-B4DB-6A9C015F57D3}"/>
    <cellStyle name="Nuovo 40 6" xfId="4230" xr:uid="{B86B75D1-C360-480C-91C7-B9FA73136C2E}"/>
    <cellStyle name="Nuovo 40 6 2" xfId="9802" xr:uid="{A8EB0168-A74C-4590-8624-9D4F637194C3}"/>
    <cellStyle name="Nuovo 40 6 3" xfId="27414" xr:uid="{381972C9-BD9A-4F3E-83C0-41B697150258}"/>
    <cellStyle name="Nuovo 40 7" xfId="27389" xr:uid="{B595D215-CAA8-4ABF-B265-CE9308656E1B}"/>
    <cellStyle name="Nuovo 41" xfId="925" xr:uid="{00000000-0005-0000-0000-000066070000}"/>
    <cellStyle name="Nuovo 41 2" xfId="926" xr:uid="{00000000-0005-0000-0000-000067070000}"/>
    <cellStyle name="Nuovo 41 2 2" xfId="4231" xr:uid="{47F07A4F-570A-42E1-B5AE-FF8155903F97}"/>
    <cellStyle name="Nuovo 41 2 2 2" xfId="13553" xr:uid="{C853AF0B-2642-474A-8ECC-397A8B5AEAAB}"/>
    <cellStyle name="Nuovo 41 2 2 3" xfId="27417" xr:uid="{B28820B4-170B-4F2B-8627-04874A83AB2F}"/>
    <cellStyle name="Nuovo 41 2 3" xfId="13289" xr:uid="{21B4CF05-BA85-44E0-B404-A925686077B7}"/>
    <cellStyle name="Nuovo 41 2 3 2" xfId="27418" xr:uid="{4309EB0A-91DE-473C-91E5-F86A5BBB4552}"/>
    <cellStyle name="Nuovo 41 2 4" xfId="27419" xr:uid="{DE1462F9-126C-41B1-998C-EFE37B7D3DB2}"/>
    <cellStyle name="Nuovo 41 2 5" xfId="27416" xr:uid="{115E62B4-6265-44A5-B0EC-733ACDA71297}"/>
    <cellStyle name="Nuovo 41 3" xfId="927" xr:uid="{00000000-0005-0000-0000-000068070000}"/>
    <cellStyle name="Nuovo 41 3 2" xfId="928" xr:uid="{00000000-0005-0000-0000-000069070000}"/>
    <cellStyle name="Nuovo 41 3 2 2" xfId="2221" xr:uid="{00000000-0005-0000-0000-00006A070000}"/>
    <cellStyle name="Nuovo 41 3 2 2 2" xfId="27422" xr:uid="{7558402F-C6CE-4208-B5BA-ECD6C3710531}"/>
    <cellStyle name="Nuovo 41 3 2 3" xfId="8106" xr:uid="{83451AEA-E4DF-42FE-A94D-6384AD85904E}"/>
    <cellStyle name="Nuovo 41 3 2 3 2" xfId="14107" xr:uid="{B64C4CB0-0400-420C-9B54-A93F342A56DE}"/>
    <cellStyle name="Nuovo 41 3 2 3 3" xfId="27423" xr:uid="{E80C1A22-523C-4140-A688-F7A1A2591BF8}"/>
    <cellStyle name="Nuovo 41 3 2 4" xfId="27421" xr:uid="{71C95623-FD24-41F0-9FAE-922F7F96C690}"/>
    <cellStyle name="Nuovo 41 3 3" xfId="4232" xr:uid="{D662131F-5360-44BD-B5DA-E1DC1C354A71}"/>
    <cellStyle name="Nuovo 41 3 3 2" xfId="9355" xr:uid="{3F0CA7AE-4E26-4519-86CA-4E031824DA2E}"/>
    <cellStyle name="Nuovo 41 3 3 2 2" xfId="27425" xr:uid="{A287A994-3655-4DB6-9DA4-B4D9B8A417F1}"/>
    <cellStyle name="Nuovo 41 3 3 3" xfId="27426" xr:uid="{B6C5576F-91A0-46DA-8F9F-1BE4F0BC3616}"/>
    <cellStyle name="Nuovo 41 3 3 3 2" xfId="49033" xr:uid="{108EB885-3008-4337-8259-4C733523E210}"/>
    <cellStyle name="Nuovo 41 3 3 4" xfId="27424" xr:uid="{A85B5BB7-D7E7-45DE-A65B-1E96919D69D4}"/>
    <cellStyle name="Nuovo 41 3 4" xfId="4233" xr:uid="{1E350850-1D2C-4188-B57A-68067EDA607A}"/>
    <cellStyle name="Nuovo 41 3 4 2" xfId="13767" xr:uid="{8E41E019-9F09-471C-B24A-C02E5CDAB0B9}"/>
    <cellStyle name="Nuovo 41 3 4 3" xfId="27427" xr:uid="{BD3EBB48-6D61-449B-97F8-E7F61E0C36F0}"/>
    <cellStyle name="Nuovo 41 3 5" xfId="12259" xr:uid="{AF51816D-BCAD-4706-AB37-AE7F62B3BABB}"/>
    <cellStyle name="Nuovo 41 3 5 2" xfId="27428" xr:uid="{C0774907-4B5E-4F93-B1A9-D2E8D0A89140}"/>
    <cellStyle name="Nuovo 41 3 6" xfId="27429" xr:uid="{AEC9A3EE-8FC4-4859-B4D0-66FC035F9075}"/>
    <cellStyle name="Nuovo 41 3 7" xfId="27420" xr:uid="{3115FF8C-6E3F-4FB1-8C12-622D7322BBBB}"/>
    <cellStyle name="Nuovo 41 4" xfId="2222" xr:uid="{00000000-0005-0000-0000-00006B070000}"/>
    <cellStyle name="Nuovo 41 4 2" xfId="2223" xr:uid="{00000000-0005-0000-0000-00006C070000}"/>
    <cellStyle name="Nuovo 41 4 2 2" xfId="9356" xr:uid="{DED4A323-089D-4B33-B4E7-A02702D99FD7}"/>
    <cellStyle name="Nuovo 41 4 2 2 2" xfId="27432" xr:uid="{6B3DE1F5-D48A-4D24-A242-642FD0F0ED58}"/>
    <cellStyle name="Nuovo 41 4 2 3" xfId="17887" xr:uid="{092DDAD1-6223-4EF5-BAA7-54DFEA312294}"/>
    <cellStyle name="Nuovo 41 4 2 3 2" xfId="27433" xr:uid="{6EE94C29-5CE0-4F12-96D0-BC813A193CE3}"/>
    <cellStyle name="Nuovo 41 4 2 4" xfId="27431" xr:uid="{B3497F9D-A00E-42DA-9A0F-5518A19E4C4B}"/>
    <cellStyle name="Nuovo 41 4 2 5" xfId="17500" xr:uid="{BB1E8136-4D04-4D3A-8440-DDAD05081416}"/>
    <cellStyle name="Nuovo 41 4 3" xfId="9357" xr:uid="{293282FC-7E3B-4ECB-89E3-4996658B321D}"/>
    <cellStyle name="Nuovo 41 4 3 2" xfId="27434" xr:uid="{59191DD1-00D8-4DCC-B918-FA5F70E6AEAB}"/>
    <cellStyle name="Nuovo 41 4 4" xfId="27435" xr:uid="{FD40547F-8ADE-4387-AA57-6AF2688B8FB3}"/>
    <cellStyle name="Nuovo 41 4 4 2" xfId="49034" xr:uid="{A2D7B7AD-5A02-499E-8D91-01815BBA87CC}"/>
    <cellStyle name="Nuovo 41 4 5" xfId="27436" xr:uid="{531EF71D-DB82-423B-8B0A-FDA9F459E812}"/>
    <cellStyle name="Nuovo 41 4 6" xfId="27430" xr:uid="{1384EB83-3199-4EFD-B00D-2E17C6683525}"/>
    <cellStyle name="Nuovo 41 5" xfId="2224" xr:uid="{00000000-0005-0000-0000-00006D070000}"/>
    <cellStyle name="Nuovo 41 5 2" xfId="27438" xr:uid="{A45ADB5F-127F-428A-B6FE-0DABB271D3F9}"/>
    <cellStyle name="Nuovo 41 5 2 2" xfId="49035" xr:uid="{91A8A6AB-8A82-4258-B425-4871409502F7}"/>
    <cellStyle name="Nuovo 41 5 3" xfId="27439" xr:uid="{BCDC39B3-26E9-4F54-8C0B-572A220FB3B5}"/>
    <cellStyle name="Nuovo 41 5 4" xfId="27437" xr:uid="{8CD44681-4113-44AD-95A6-8596B702E830}"/>
    <cellStyle name="Nuovo 41 6" xfId="4234" xr:uid="{B50168E3-ED89-4D6F-9970-96210F30D562}"/>
    <cellStyle name="Nuovo 41 6 2" xfId="9803" xr:uid="{BBFF2EE1-771F-4D13-B9A4-DFE19BE6E679}"/>
    <cellStyle name="Nuovo 41 6 3" xfId="27440" xr:uid="{C70DF693-3DD2-4425-9B04-1C51AD129502}"/>
    <cellStyle name="Nuovo 41 7" xfId="27415" xr:uid="{0D903C38-07C1-496D-A1DC-30B5ADB231F9}"/>
    <cellStyle name="Nuovo 42" xfId="929" xr:uid="{00000000-0005-0000-0000-00006E070000}"/>
    <cellStyle name="Nuovo 42 2" xfId="930" xr:uid="{00000000-0005-0000-0000-00006F070000}"/>
    <cellStyle name="Nuovo 42 2 2" xfId="4235" xr:uid="{E983E35F-B760-4232-8485-B35E3A0B314F}"/>
    <cellStyle name="Nuovo 42 2 2 2" xfId="13554" xr:uid="{7D5FB86A-512E-4769-B527-EFB032311013}"/>
    <cellStyle name="Nuovo 42 2 2 3" xfId="27443" xr:uid="{0E167F37-5FA6-4503-B1B9-F47188600826}"/>
    <cellStyle name="Nuovo 42 2 3" xfId="13290" xr:uid="{4F39CCC8-1BDE-4B7F-BEC0-5269851E6453}"/>
    <cellStyle name="Nuovo 42 2 3 2" xfId="27444" xr:uid="{2D8D6DAC-27C5-4215-BD16-F292D9D60821}"/>
    <cellStyle name="Nuovo 42 2 4" xfId="27445" xr:uid="{DC2B5CF4-35B3-4AFC-BC14-1CD3BCAA2748}"/>
    <cellStyle name="Nuovo 42 2 5" xfId="27442" xr:uid="{70898D5D-92DD-475D-BC35-FDDDCC391511}"/>
    <cellStyle name="Nuovo 42 3" xfId="931" xr:uid="{00000000-0005-0000-0000-000070070000}"/>
    <cellStyle name="Nuovo 42 3 2" xfId="932" xr:uid="{00000000-0005-0000-0000-000071070000}"/>
    <cellStyle name="Nuovo 42 3 2 2" xfId="2225" xr:uid="{00000000-0005-0000-0000-000072070000}"/>
    <cellStyle name="Nuovo 42 3 2 2 2" xfId="27448" xr:uid="{166BE200-0829-4491-99B0-7EAA7C12E89C}"/>
    <cellStyle name="Nuovo 42 3 2 3" xfId="8107" xr:uid="{DE62A838-4C33-498D-951E-0584D374EF0E}"/>
    <cellStyle name="Nuovo 42 3 2 3 2" xfId="14108" xr:uid="{F4079A6B-6753-4F70-A1D7-77BE75BC1125}"/>
    <cellStyle name="Nuovo 42 3 2 3 3" xfId="27449" xr:uid="{E64296F4-42DB-4669-9FAD-40EF731B3E09}"/>
    <cellStyle name="Nuovo 42 3 2 4" xfId="27447" xr:uid="{C3A22AFE-FDED-4764-A68A-E58717D1E294}"/>
    <cellStyle name="Nuovo 42 3 3" xfId="4236" xr:uid="{E383CD04-E6AC-4A24-9C9C-944607354ADF}"/>
    <cellStyle name="Nuovo 42 3 3 2" xfId="9358" xr:uid="{2FC40068-3828-41E1-8A22-0727CCF89246}"/>
    <cellStyle name="Nuovo 42 3 3 2 2" xfId="27451" xr:uid="{584815B8-90B2-486D-81A7-4CEFB6EED023}"/>
    <cellStyle name="Nuovo 42 3 3 3" xfId="27452" xr:uid="{F33E1D25-32B5-4626-BBB3-E57EC0BB8AA0}"/>
    <cellStyle name="Nuovo 42 3 3 3 2" xfId="49036" xr:uid="{92024D4F-A20A-48BB-B0EE-2C0A70995B6C}"/>
    <cellStyle name="Nuovo 42 3 3 4" xfId="27450" xr:uid="{B9344DC7-251B-42C7-841D-270E725150ED}"/>
    <cellStyle name="Nuovo 42 3 4" xfId="4237" xr:uid="{186D1FFC-3361-4697-A5B2-B054656489ED}"/>
    <cellStyle name="Nuovo 42 3 4 2" xfId="13768" xr:uid="{16CD5B62-2A82-4175-87D0-F5BB843F7DB6}"/>
    <cellStyle name="Nuovo 42 3 4 3" xfId="27453" xr:uid="{74E12FAE-732F-4A39-BBC9-D8FEA56119ED}"/>
    <cellStyle name="Nuovo 42 3 5" xfId="12295" xr:uid="{4D92CF54-9553-4EAA-B5A3-229EDA109AE5}"/>
    <cellStyle name="Nuovo 42 3 5 2" xfId="27454" xr:uid="{163B304D-2A8D-4532-AB94-9D3C41B4CC77}"/>
    <cellStyle name="Nuovo 42 3 6" xfId="27455" xr:uid="{EBC7E1F8-2226-4936-95A2-B2ACC902C589}"/>
    <cellStyle name="Nuovo 42 3 7" xfId="27446" xr:uid="{D08BB18F-0A3C-4D21-8C82-C531FBA99409}"/>
    <cellStyle name="Nuovo 42 4" xfId="2226" xr:uid="{00000000-0005-0000-0000-000073070000}"/>
    <cellStyle name="Nuovo 42 4 2" xfId="2227" xr:uid="{00000000-0005-0000-0000-000074070000}"/>
    <cellStyle name="Nuovo 42 4 2 2" xfId="9359" xr:uid="{FDC3C202-C10A-4AF3-AA96-C93485D76368}"/>
    <cellStyle name="Nuovo 42 4 2 2 2" xfId="27458" xr:uid="{4587DE43-42FE-44AB-9F4D-04AAFA48FB01}"/>
    <cellStyle name="Nuovo 42 4 2 3" xfId="17888" xr:uid="{690F8A2A-C076-4CE7-BE1A-114AC6E80BF5}"/>
    <cellStyle name="Nuovo 42 4 2 3 2" xfId="27459" xr:uid="{09ACE294-5C24-4A51-A1BE-E330A8BB9853}"/>
    <cellStyle name="Nuovo 42 4 2 4" xfId="27457" xr:uid="{76542AD5-FD54-44E5-93EC-F1F109AF0A7C}"/>
    <cellStyle name="Nuovo 42 4 2 5" xfId="17501" xr:uid="{BACBB7F8-6190-4D9E-AC05-47EC0F298641}"/>
    <cellStyle name="Nuovo 42 4 3" xfId="9360" xr:uid="{1F345309-C5AD-4BFE-9C77-3DE7BFA50E1D}"/>
    <cellStyle name="Nuovo 42 4 3 2" xfId="27460" xr:uid="{DD775CE3-2930-4400-989F-7CFC588EEC25}"/>
    <cellStyle name="Nuovo 42 4 4" xfId="27461" xr:uid="{A68B0A32-DA95-4E28-9602-C0AE7F45B093}"/>
    <cellStyle name="Nuovo 42 4 4 2" xfId="49037" xr:uid="{A5B2E487-1A5D-4158-9F04-31125035D89F}"/>
    <cellStyle name="Nuovo 42 4 5" xfId="27462" xr:uid="{B57D27D0-06BA-4E39-B7A4-8D50AFB9DA7B}"/>
    <cellStyle name="Nuovo 42 4 6" xfId="27456" xr:uid="{41C583D3-0CAE-491A-9ACB-0BA232A6C116}"/>
    <cellStyle name="Nuovo 42 5" xfId="2228" xr:uid="{00000000-0005-0000-0000-000075070000}"/>
    <cellStyle name="Nuovo 42 5 2" xfId="27464" xr:uid="{0989BFB6-44F7-4848-8055-BB2C93223E69}"/>
    <cellStyle name="Nuovo 42 5 2 2" xfId="49038" xr:uid="{20376ECA-4A80-4DC7-A9C7-0797BD873803}"/>
    <cellStyle name="Nuovo 42 5 3" xfId="27465" xr:uid="{3F37C983-EE1F-4B3B-80EE-53C91CA136CB}"/>
    <cellStyle name="Nuovo 42 5 4" xfId="27463" xr:uid="{41209F0C-58BE-42B9-A504-B4DBAEEA1888}"/>
    <cellStyle name="Nuovo 42 6" xfId="4238" xr:uid="{FD1B599A-9539-4DB2-96AA-B6E53B61EDBD}"/>
    <cellStyle name="Nuovo 42 6 2" xfId="9804" xr:uid="{E9CCB6CE-3D9D-4310-AEAA-2AD8BFBFC8F6}"/>
    <cellStyle name="Nuovo 42 6 3" xfId="27466" xr:uid="{81096BD0-2126-41F9-9C6F-20D81E28B10C}"/>
    <cellStyle name="Nuovo 42 7" xfId="27441" xr:uid="{82D8D53F-3477-45D2-8830-83BF5BA80788}"/>
    <cellStyle name="Nuovo 43" xfId="933" xr:uid="{00000000-0005-0000-0000-000076070000}"/>
    <cellStyle name="Nuovo 43 2" xfId="934" xr:uid="{00000000-0005-0000-0000-000077070000}"/>
    <cellStyle name="Nuovo 43 2 2" xfId="4239" xr:uid="{F58D121A-CAED-4167-B93F-F720212665F9}"/>
    <cellStyle name="Nuovo 43 2 2 2" xfId="13555" xr:uid="{AE490368-1864-4FE1-A75B-5DF315B3FD1B}"/>
    <cellStyle name="Nuovo 43 2 2 3" xfId="27469" xr:uid="{753E1CA8-507E-4AE8-B15B-C437F5B78490}"/>
    <cellStyle name="Nuovo 43 2 3" xfId="13291" xr:uid="{20B09CE2-78A3-47E7-829C-2C683CF4B4B7}"/>
    <cellStyle name="Nuovo 43 2 3 2" xfId="27470" xr:uid="{997ADE05-B6C7-451A-A2F2-E88D4A6BA76F}"/>
    <cellStyle name="Nuovo 43 2 4" xfId="27471" xr:uid="{4E86F120-EF84-410E-A5C6-AFE7C026F52B}"/>
    <cellStyle name="Nuovo 43 2 5" xfId="27468" xr:uid="{D9E08842-55F3-4093-9F7A-A152EC940D1E}"/>
    <cellStyle name="Nuovo 43 3" xfId="935" xr:uid="{00000000-0005-0000-0000-000078070000}"/>
    <cellStyle name="Nuovo 43 3 2" xfId="936" xr:uid="{00000000-0005-0000-0000-000079070000}"/>
    <cellStyle name="Nuovo 43 3 2 2" xfId="2229" xr:uid="{00000000-0005-0000-0000-00007A070000}"/>
    <cellStyle name="Nuovo 43 3 2 2 2" xfId="27474" xr:uid="{D8F0E5BA-7B1C-4153-B675-42582EA8B63C}"/>
    <cellStyle name="Nuovo 43 3 2 3" xfId="8108" xr:uid="{70D9CF10-C145-4085-803E-B6C61C04C305}"/>
    <cellStyle name="Nuovo 43 3 2 3 2" xfId="14109" xr:uid="{CBD3043A-0F64-4B85-AE33-5A59EFD0D461}"/>
    <cellStyle name="Nuovo 43 3 2 3 3" xfId="27475" xr:uid="{52FEC4AE-B9B0-4035-9B46-055BB6CB1CA1}"/>
    <cellStyle name="Nuovo 43 3 2 4" xfId="27473" xr:uid="{76405459-541F-4576-BD39-48467ACF7F73}"/>
    <cellStyle name="Nuovo 43 3 3" xfId="4240" xr:uid="{60C1BE02-10F5-414A-AD7C-02D87E30FDC6}"/>
    <cellStyle name="Nuovo 43 3 3 2" xfId="9361" xr:uid="{E61EAD8B-F1B1-45E7-A3D4-DBF92215A21B}"/>
    <cellStyle name="Nuovo 43 3 3 2 2" xfId="27477" xr:uid="{3E5C25D7-EB4B-481E-B0A9-CD601CD63361}"/>
    <cellStyle name="Nuovo 43 3 3 3" xfId="27478" xr:uid="{AB37D76D-15AE-404A-A62B-10241409871A}"/>
    <cellStyle name="Nuovo 43 3 3 3 2" xfId="49039" xr:uid="{8B6955BA-C69D-4FC4-8E1A-1165A17C1F68}"/>
    <cellStyle name="Nuovo 43 3 3 4" xfId="27476" xr:uid="{40CDC631-9A4A-4DBD-9516-5424E64BEDC9}"/>
    <cellStyle name="Nuovo 43 3 4" xfId="4241" xr:uid="{1395E531-5F25-4717-A8AD-37407DC09562}"/>
    <cellStyle name="Nuovo 43 3 4 2" xfId="13769" xr:uid="{456DD57F-3372-4B60-89EA-CDB74AB33E92}"/>
    <cellStyle name="Nuovo 43 3 4 3" xfId="27479" xr:uid="{EA997B1F-3059-4E81-8A0F-C40C3FD12895}"/>
    <cellStyle name="Nuovo 43 3 5" xfId="11102" xr:uid="{4677E653-CBA2-4807-A6BB-5FFC1C40B254}"/>
    <cellStyle name="Nuovo 43 3 5 2" xfId="27480" xr:uid="{71DF3EDE-1EA1-45B4-BC7E-EBA8855FFAE7}"/>
    <cellStyle name="Nuovo 43 3 6" xfId="27481" xr:uid="{36A95138-AB1B-4F86-A82F-EE2458636E43}"/>
    <cellStyle name="Nuovo 43 3 7" xfId="27472" xr:uid="{6E9F1C09-9E1E-4C16-A763-80A6929935CF}"/>
    <cellStyle name="Nuovo 43 4" xfId="2230" xr:uid="{00000000-0005-0000-0000-00007B070000}"/>
    <cellStyle name="Nuovo 43 4 2" xfId="2231" xr:uid="{00000000-0005-0000-0000-00007C070000}"/>
    <cellStyle name="Nuovo 43 4 2 2" xfId="9362" xr:uid="{52A84AF0-F21D-4902-ADA8-567321904766}"/>
    <cellStyle name="Nuovo 43 4 2 2 2" xfId="27484" xr:uid="{95268933-A2F7-47DD-AA21-177304E04F69}"/>
    <cellStyle name="Nuovo 43 4 2 3" xfId="17889" xr:uid="{C2F85690-C1F6-420C-AAD7-66A56CDF39E2}"/>
    <cellStyle name="Nuovo 43 4 2 3 2" xfId="27485" xr:uid="{2B007F46-C06B-403F-89C4-D37A7110C8A2}"/>
    <cellStyle name="Nuovo 43 4 2 4" xfId="27483" xr:uid="{D8B44857-973D-4E98-86D4-B1114F75D989}"/>
    <cellStyle name="Nuovo 43 4 2 5" xfId="17502" xr:uid="{E57068BC-9B90-45E1-A2A8-53E76B0BBD25}"/>
    <cellStyle name="Nuovo 43 4 3" xfId="9363" xr:uid="{079E685D-D719-49FC-A122-6B2EC6F39E73}"/>
    <cellStyle name="Nuovo 43 4 3 2" xfId="27486" xr:uid="{0486B805-D3ED-42EE-B4BD-FF671908D776}"/>
    <cellStyle name="Nuovo 43 4 4" xfId="27487" xr:uid="{1988EF15-A932-4972-AE82-21BD77DBA9D7}"/>
    <cellStyle name="Nuovo 43 4 4 2" xfId="49040" xr:uid="{CEA64891-8B8F-4353-94D0-C0874E78D418}"/>
    <cellStyle name="Nuovo 43 4 5" xfId="27488" xr:uid="{73FBC8E5-A076-4840-82C5-4986C959D394}"/>
    <cellStyle name="Nuovo 43 4 6" xfId="27482" xr:uid="{32C7E86C-7F0E-4CC3-BF9F-6E6BC8954FCA}"/>
    <cellStyle name="Nuovo 43 5" xfId="2232" xr:uid="{00000000-0005-0000-0000-00007D070000}"/>
    <cellStyle name="Nuovo 43 5 2" xfId="27490" xr:uid="{83762256-9B0E-4844-90AE-D850B69048FF}"/>
    <cellStyle name="Nuovo 43 5 2 2" xfId="49041" xr:uid="{F991EBFD-B9CC-4A87-BB5B-810D8D0E568E}"/>
    <cellStyle name="Nuovo 43 5 3" xfId="27491" xr:uid="{ED17ECA7-03BD-4012-98F1-372B41AFB70F}"/>
    <cellStyle name="Nuovo 43 5 4" xfId="27489" xr:uid="{19470A84-63C3-44FF-AE60-B62A00E9E3AF}"/>
    <cellStyle name="Nuovo 43 6" xfId="4242" xr:uid="{E49E4BD8-4582-4D5D-8EC1-8DC7BA72CDD2}"/>
    <cellStyle name="Nuovo 43 6 2" xfId="9805" xr:uid="{60896836-9774-4628-9542-BB11C2F82338}"/>
    <cellStyle name="Nuovo 43 6 3" xfId="27492" xr:uid="{40A439D6-BA56-462C-9F19-D5583D9912AE}"/>
    <cellStyle name="Nuovo 43 7" xfId="27467" xr:uid="{A491DA48-F8DB-46D6-8CB3-5BC12CDFE1D9}"/>
    <cellStyle name="Nuovo 44" xfId="937" xr:uid="{00000000-0005-0000-0000-00007E070000}"/>
    <cellStyle name="Nuovo 44 2" xfId="938" xr:uid="{00000000-0005-0000-0000-00007F070000}"/>
    <cellStyle name="Nuovo 44 2 2" xfId="4243" xr:uid="{725E2A75-4E69-4022-A8F2-DC2F4886D07F}"/>
    <cellStyle name="Nuovo 44 2 2 2" xfId="13556" xr:uid="{A6BB7DD5-39E8-4AE6-9D9D-BF650C178D12}"/>
    <cellStyle name="Nuovo 44 2 2 3" xfId="27495" xr:uid="{0C8E9BF5-7336-417A-BCE0-6D5829D89E56}"/>
    <cellStyle name="Nuovo 44 2 3" xfId="13292" xr:uid="{83F2D722-8ACF-4D9B-8DD9-C7795F429F91}"/>
    <cellStyle name="Nuovo 44 2 3 2" xfId="27496" xr:uid="{36C6DD71-BA58-406B-9B86-5DA32789CB1D}"/>
    <cellStyle name="Nuovo 44 2 4" xfId="27497" xr:uid="{D720A89A-A338-424F-8B85-655424650389}"/>
    <cellStyle name="Nuovo 44 2 5" xfId="27494" xr:uid="{488D46FA-B7D6-4974-8BC7-2B14393E5B77}"/>
    <cellStyle name="Nuovo 44 3" xfId="939" xr:uid="{00000000-0005-0000-0000-000080070000}"/>
    <cellStyle name="Nuovo 44 3 2" xfId="940" xr:uid="{00000000-0005-0000-0000-000081070000}"/>
    <cellStyle name="Nuovo 44 3 2 2" xfId="2233" xr:uid="{00000000-0005-0000-0000-000082070000}"/>
    <cellStyle name="Nuovo 44 3 2 2 2" xfId="27500" xr:uid="{5D781ACC-66FF-4AF1-8FB3-76009FD0EC3A}"/>
    <cellStyle name="Nuovo 44 3 2 3" xfId="8109" xr:uid="{35BF3E47-869C-404F-8404-0116363EB7EF}"/>
    <cellStyle name="Nuovo 44 3 2 3 2" xfId="14110" xr:uid="{0957E4E4-6E90-4067-B4A1-2EFB5207A47B}"/>
    <cellStyle name="Nuovo 44 3 2 3 3" xfId="27501" xr:uid="{15D72809-3C6F-4129-BDC2-5A93A2345DDB}"/>
    <cellStyle name="Nuovo 44 3 2 4" xfId="27499" xr:uid="{7461EFC0-A5F0-4B67-BF9A-17012898673D}"/>
    <cellStyle name="Nuovo 44 3 3" xfId="4244" xr:uid="{1442BC76-35CB-4B68-9136-1160ABA90BE2}"/>
    <cellStyle name="Nuovo 44 3 3 2" xfId="9364" xr:uid="{2DC2299A-AD06-474E-985E-271F8E80C913}"/>
    <cellStyle name="Nuovo 44 3 3 2 2" xfId="27503" xr:uid="{0C3DF488-331D-44DB-96AE-14F05D39E6FB}"/>
    <cellStyle name="Nuovo 44 3 3 3" xfId="27504" xr:uid="{0427BE10-E3F6-45E2-9097-AEA59E9C56EA}"/>
    <cellStyle name="Nuovo 44 3 3 3 2" xfId="49042" xr:uid="{9D1985B6-4810-4789-B80D-7F907FFD1594}"/>
    <cellStyle name="Nuovo 44 3 3 4" xfId="27502" xr:uid="{70B8E45E-5644-483D-8479-889566833D64}"/>
    <cellStyle name="Nuovo 44 3 4" xfId="4245" xr:uid="{C416F728-FC04-462E-98EE-9FF7C36164B7}"/>
    <cellStyle name="Nuovo 44 3 4 2" xfId="13770" xr:uid="{B7032E34-3B1A-435F-AFE7-9C37B330F641}"/>
    <cellStyle name="Nuovo 44 3 4 3" xfId="27505" xr:uid="{6A0264AA-F385-4E38-91D8-AE1416820352}"/>
    <cellStyle name="Nuovo 44 3 5" xfId="11210" xr:uid="{E6EB8D2C-5F30-43FC-9F72-B4AF445824F5}"/>
    <cellStyle name="Nuovo 44 3 5 2" xfId="27506" xr:uid="{A771024C-CF25-4449-9930-2583F4812185}"/>
    <cellStyle name="Nuovo 44 3 6" xfId="27507" xr:uid="{53E95EC2-5022-430B-A6EB-1D3E1B89D5DC}"/>
    <cellStyle name="Nuovo 44 3 7" xfId="27498" xr:uid="{64771E2D-E491-4D33-A3E8-4CF8A73B1E20}"/>
    <cellStyle name="Nuovo 44 4" xfId="2234" xr:uid="{00000000-0005-0000-0000-000083070000}"/>
    <cellStyle name="Nuovo 44 4 2" xfId="2235" xr:uid="{00000000-0005-0000-0000-000084070000}"/>
    <cellStyle name="Nuovo 44 4 2 2" xfId="9365" xr:uid="{3F002460-1D34-489E-9018-0BB1E51167FF}"/>
    <cellStyle name="Nuovo 44 4 2 2 2" xfId="27510" xr:uid="{1F85B9E7-13A4-4D2A-9478-FC3E3554266D}"/>
    <cellStyle name="Nuovo 44 4 2 3" xfId="17890" xr:uid="{17FE5F1A-F071-45AD-B66C-1BF6440ED857}"/>
    <cellStyle name="Nuovo 44 4 2 3 2" xfId="27511" xr:uid="{ADAEA5C9-124F-4221-9BC2-446C376D1F04}"/>
    <cellStyle name="Nuovo 44 4 2 4" xfId="27509" xr:uid="{A4655556-0198-48E4-9FD1-4E3917D418A0}"/>
    <cellStyle name="Nuovo 44 4 2 5" xfId="17503" xr:uid="{6E9B35F0-AF9B-41BD-B34C-E1A3A6E021FC}"/>
    <cellStyle name="Nuovo 44 4 3" xfId="9366" xr:uid="{EECE90A9-8685-4C89-A76B-48AD110A9AD4}"/>
    <cellStyle name="Nuovo 44 4 3 2" xfId="27512" xr:uid="{800C5257-B624-43C7-B1D3-9F8B7340FDF8}"/>
    <cellStyle name="Nuovo 44 4 4" xfId="27513" xr:uid="{BE68038C-C321-4593-9177-9394D85DED7F}"/>
    <cellStyle name="Nuovo 44 4 4 2" xfId="49043" xr:uid="{23958D2F-D4A7-41C7-B693-0BDF260DEAD8}"/>
    <cellStyle name="Nuovo 44 4 5" xfId="27514" xr:uid="{CFFD085B-6621-4EB4-94D4-FF4DC79F459E}"/>
    <cellStyle name="Nuovo 44 4 6" xfId="27508" xr:uid="{57CFE911-90DE-4D47-A8C9-A047A0CC3210}"/>
    <cellStyle name="Nuovo 44 5" xfId="2236" xr:uid="{00000000-0005-0000-0000-000085070000}"/>
    <cellStyle name="Nuovo 44 5 2" xfId="27516" xr:uid="{3B20BCF9-C663-4EE9-B156-3C47A87EBBDA}"/>
    <cellStyle name="Nuovo 44 5 2 2" xfId="49044" xr:uid="{756A358E-D020-45C3-9944-5FA7968BF8E9}"/>
    <cellStyle name="Nuovo 44 5 3" xfId="27517" xr:uid="{EAB32B0D-3618-4592-A356-A70BE7B6AF5B}"/>
    <cellStyle name="Nuovo 44 5 4" xfId="27515" xr:uid="{090F1EA8-95C5-4A5B-908B-899A9A855FF5}"/>
    <cellStyle name="Nuovo 44 6" xfId="4246" xr:uid="{551B11CE-2F5D-4A4E-85E5-B9BA6FA0AD87}"/>
    <cellStyle name="Nuovo 44 6 2" xfId="9806" xr:uid="{A13A3F3D-4C4E-4EBA-B3D5-18AE4643C5FA}"/>
    <cellStyle name="Nuovo 44 6 3" xfId="27518" xr:uid="{17D4B1E0-9401-4EBD-855B-CDF7F07CA469}"/>
    <cellStyle name="Nuovo 44 7" xfId="27493" xr:uid="{36314486-03D7-40B0-B1E2-EBCB72420120}"/>
    <cellStyle name="Nuovo 45" xfId="941" xr:uid="{00000000-0005-0000-0000-000086070000}"/>
    <cellStyle name="Nuovo 45 2" xfId="4247" xr:uid="{51B4E3DC-427A-4DD9-8464-9980F714BA31}"/>
    <cellStyle name="Nuovo 45 2 2" xfId="13557" xr:uid="{7BE65B03-CB10-41D8-B07D-33F0E606DF61}"/>
    <cellStyle name="Nuovo 45 2 3" xfId="27520" xr:uid="{668C6937-6AFF-43C3-ADC0-2FF2D7062BB4}"/>
    <cellStyle name="Nuovo 45 3" xfId="13293" xr:uid="{AE0FD160-5D37-486E-A623-3B942587BCE9}"/>
    <cellStyle name="Nuovo 45 3 2" xfId="27521" xr:uid="{BAF08B12-8837-4EA4-AFEA-67A0736A20CE}"/>
    <cellStyle name="Nuovo 45 4" xfId="27522" xr:uid="{89D81CE0-10A5-4376-9465-1A57E982F507}"/>
    <cellStyle name="Nuovo 45 5" xfId="27519" xr:uid="{EF8878F4-8720-478A-813A-313BC825D93D}"/>
    <cellStyle name="Nuovo 46" xfId="942" xr:uid="{00000000-0005-0000-0000-000087070000}"/>
    <cellStyle name="Nuovo 46 2" xfId="943" xr:uid="{00000000-0005-0000-0000-000088070000}"/>
    <cellStyle name="Nuovo 46 2 2" xfId="2237" xr:uid="{00000000-0005-0000-0000-000089070000}"/>
    <cellStyle name="Nuovo 46 2 2 2" xfId="27525" xr:uid="{9BC0BE86-6414-40E3-AA1E-F9486CF569B4}"/>
    <cellStyle name="Nuovo 46 2 3" xfId="8110" xr:uid="{A5DE3B68-B3E9-4B97-9E35-911C22E0F2A4}"/>
    <cellStyle name="Nuovo 46 2 3 2" xfId="14111" xr:uid="{29C7520E-6E27-4968-8AB3-E24163B1A435}"/>
    <cellStyle name="Nuovo 46 2 3 3" xfId="27526" xr:uid="{DBC272F3-EAFD-43B3-B43B-9347E1859E6E}"/>
    <cellStyle name="Nuovo 46 2 4" xfId="27524" xr:uid="{2E47C198-8FBA-43E3-BB96-6DCF9ADF6F7D}"/>
    <cellStyle name="Nuovo 46 3" xfId="4248" xr:uid="{A95D3D39-4DC9-4775-81EB-EDF330EE94AC}"/>
    <cellStyle name="Nuovo 46 3 2" xfId="9367" xr:uid="{BF05284E-C478-49D7-8C50-7DE500BC6DBF}"/>
    <cellStyle name="Nuovo 46 3 2 2" xfId="27528" xr:uid="{93BD987E-974A-407E-8896-A4E96C8770CD}"/>
    <cellStyle name="Nuovo 46 3 3" xfId="27529" xr:uid="{6AB144F1-583A-4FE7-9101-D17CA0129A4C}"/>
    <cellStyle name="Nuovo 46 3 3 2" xfId="49045" xr:uid="{0E3DC7C1-A0C4-4362-B0CE-BA72F6A4D401}"/>
    <cellStyle name="Nuovo 46 3 4" xfId="27527" xr:uid="{64C224F3-B78B-4888-ADC7-BC5A37D1C1D0}"/>
    <cellStyle name="Nuovo 46 4" xfId="4249" xr:uid="{74D4AFBE-8B66-454D-B78A-7016B6B581AA}"/>
    <cellStyle name="Nuovo 46 4 2" xfId="13771" xr:uid="{207D6CFE-BCBA-4919-890F-A4B709774235}"/>
    <cellStyle name="Nuovo 46 4 3" xfId="27530" xr:uid="{694702D6-2718-4518-9EEA-0AE3024C8FE5}"/>
    <cellStyle name="Nuovo 46 5" xfId="11431" xr:uid="{961D22AD-51FB-4DD0-A569-915EEE7E9BB0}"/>
    <cellStyle name="Nuovo 46 5 2" xfId="27531" xr:uid="{DEBC53D1-7B51-4213-BFFF-AAB925634188}"/>
    <cellStyle name="Nuovo 46 6" xfId="27532" xr:uid="{8F764D14-68C7-4BEC-A5A4-AD53CB0454D5}"/>
    <cellStyle name="Nuovo 46 7" xfId="27523" xr:uid="{905E0ECE-9E70-434B-B31B-DEE8E2AFA90F}"/>
    <cellStyle name="Nuovo 47" xfId="2238" xr:uid="{00000000-0005-0000-0000-00008A070000}"/>
    <cellStyle name="Nuovo 47 2" xfId="2239" xr:uid="{00000000-0005-0000-0000-00008B070000}"/>
    <cellStyle name="Nuovo 47 2 2" xfId="9368" xr:uid="{B96EE238-344F-4A65-B40B-E8D42606D229}"/>
    <cellStyle name="Nuovo 47 2 2 2" xfId="27535" xr:uid="{59A34169-96D2-4D9D-8924-161558F550C1}"/>
    <cellStyle name="Nuovo 47 2 3" xfId="17891" xr:uid="{EFE66F63-18B6-49A9-8678-4E465ABECFDF}"/>
    <cellStyle name="Nuovo 47 2 3 2" xfId="27536" xr:uid="{BC2AA4FA-3A20-4996-853A-E4497C08DE3C}"/>
    <cellStyle name="Nuovo 47 2 4" xfId="27534" xr:uid="{791387FF-EB1E-4C7C-9DFD-91A068CE979A}"/>
    <cellStyle name="Nuovo 47 2 5" xfId="17504" xr:uid="{0BDAB4A5-EEBB-4534-B20A-C2EA1516B5FB}"/>
    <cellStyle name="Nuovo 47 3" xfId="9369" xr:uid="{E90871A8-9ADD-49AE-A286-E4B696A3899A}"/>
    <cellStyle name="Nuovo 47 3 2" xfId="27537" xr:uid="{DCC9C453-95ED-4C4F-9DBE-9E8B42F23EAB}"/>
    <cellStyle name="Nuovo 47 4" xfId="27538" xr:uid="{A853EE9D-E419-4BFA-8908-18350E111D90}"/>
    <cellStyle name="Nuovo 47 4 2" xfId="49046" xr:uid="{9A701349-1F3C-494F-BA04-879F1B7E88DE}"/>
    <cellStyle name="Nuovo 47 5" xfId="27539" xr:uid="{81596562-53DB-471D-AE0A-38391DF2CC39}"/>
    <cellStyle name="Nuovo 47 6" xfId="27533" xr:uid="{09535227-7D5F-4378-B243-9D3CADD702DF}"/>
    <cellStyle name="Nuovo 48" xfId="2240" xr:uid="{00000000-0005-0000-0000-00008C070000}"/>
    <cellStyle name="Nuovo 48 2" xfId="27541" xr:uid="{E014B888-6D01-4CFA-A18E-E755BADFE3BF}"/>
    <cellStyle name="Nuovo 48 2 2" xfId="49047" xr:uid="{470BFD08-BFF1-42C8-A7CB-6C9E77459DD3}"/>
    <cellStyle name="Nuovo 48 3" xfId="27542" xr:uid="{8A7BFBE8-F7D6-4718-A20E-5D93CF4EC811}"/>
    <cellStyle name="Nuovo 48 4" xfId="27540" xr:uid="{C206980C-508E-4055-89D1-D3FC8AAC8645}"/>
    <cellStyle name="Nuovo 49" xfId="4250" xr:uid="{D584F898-B09F-4EE0-BA51-80009E1C7D50}"/>
    <cellStyle name="Nuovo 49 2" xfId="9768" xr:uid="{B65EBE59-533F-49E7-BB12-002DB451CF4A}"/>
    <cellStyle name="Nuovo 5" xfId="944" xr:uid="{00000000-0005-0000-0000-00008D070000}"/>
    <cellStyle name="Nuovo 5 2" xfId="945" xr:uid="{00000000-0005-0000-0000-00008E070000}"/>
    <cellStyle name="Nuovo 5 2 2" xfId="4251" xr:uid="{C9D2D1BE-103A-4ABA-BD46-8DB596B4AEBC}"/>
    <cellStyle name="Nuovo 5 2 2 2" xfId="13558" xr:uid="{CE61E862-8304-4592-9CE1-FE857DE7BB11}"/>
    <cellStyle name="Nuovo 5 2 2 3" xfId="27545" xr:uid="{0F128794-D2B9-46A7-86D3-EFF2D1799161}"/>
    <cellStyle name="Nuovo 5 2 3" xfId="13294" xr:uid="{0B9C6A03-6883-4F7E-9ADA-DCC40FC3E9A2}"/>
    <cellStyle name="Nuovo 5 2 3 2" xfId="27546" xr:uid="{CD23A9CA-8195-4841-BD85-55A0394C5907}"/>
    <cellStyle name="Nuovo 5 2 4" xfId="27547" xr:uid="{FB81FE35-E253-47C9-B8EA-242EC3B4C11D}"/>
    <cellStyle name="Nuovo 5 2 5" xfId="27544" xr:uid="{76973505-648B-46A3-8678-D5CB17F2308D}"/>
    <cellStyle name="Nuovo 5 3" xfId="946" xr:uid="{00000000-0005-0000-0000-00008F070000}"/>
    <cellStyle name="Nuovo 5 3 2" xfId="947" xr:uid="{00000000-0005-0000-0000-000090070000}"/>
    <cellStyle name="Nuovo 5 3 2 2" xfId="2241" xr:uid="{00000000-0005-0000-0000-000091070000}"/>
    <cellStyle name="Nuovo 5 3 2 2 2" xfId="27550" xr:uid="{79B27388-C558-4C2A-86D8-A52EB8314802}"/>
    <cellStyle name="Nuovo 5 3 2 3" xfId="8111" xr:uid="{A89EFCB1-7A63-4EC4-B790-B24CB4ECC627}"/>
    <cellStyle name="Nuovo 5 3 2 3 2" xfId="14112" xr:uid="{16D2DB01-703C-4BAA-81A8-A1E48CEB35B8}"/>
    <cellStyle name="Nuovo 5 3 2 3 3" xfId="27551" xr:uid="{446FDB79-98DA-4CD8-A921-51A535A9FD1C}"/>
    <cellStyle name="Nuovo 5 3 2 4" xfId="27549" xr:uid="{2E2D8E5A-3323-4CBD-9CB6-6DF2351AB903}"/>
    <cellStyle name="Nuovo 5 3 3" xfId="4252" xr:uid="{1EBC5A5F-FCDC-4CEA-BC01-804D469B4A94}"/>
    <cellStyle name="Nuovo 5 3 3 2" xfId="9370" xr:uid="{A85F899E-BB67-4AA1-8048-AD18AD0B5206}"/>
    <cellStyle name="Nuovo 5 3 3 2 2" xfId="27553" xr:uid="{36FBD4CB-FE7E-4985-BE3B-AA15B7B7AEDB}"/>
    <cellStyle name="Nuovo 5 3 3 3" xfId="27554" xr:uid="{D72F6C4A-DB62-4E0D-98E0-9EE95D45BD38}"/>
    <cellStyle name="Nuovo 5 3 3 3 2" xfId="49048" xr:uid="{DEAF9AB6-D58B-4191-8B2A-0B0CD969506D}"/>
    <cellStyle name="Nuovo 5 3 3 4" xfId="27552" xr:uid="{31CCA164-4B1F-485D-B541-986D3890710C}"/>
    <cellStyle name="Nuovo 5 3 4" xfId="4253" xr:uid="{646838B4-BA06-47DF-8AA6-417C13BD827C}"/>
    <cellStyle name="Nuovo 5 3 4 2" xfId="13772" xr:uid="{A410DAD1-E9C5-49A6-BFBE-20696A78F8D5}"/>
    <cellStyle name="Nuovo 5 3 4 3" xfId="27555" xr:uid="{08D6F9F0-4F2C-43D7-A41A-5FB9B2ADB667}"/>
    <cellStyle name="Nuovo 5 3 5" xfId="11209" xr:uid="{03E14634-5CC8-4CC5-9304-74D812FFC581}"/>
    <cellStyle name="Nuovo 5 3 5 2" xfId="27556" xr:uid="{8CA150FA-301C-4A73-8BC2-D004F798135D}"/>
    <cellStyle name="Nuovo 5 3 6" xfId="27557" xr:uid="{4C4AF041-9E0B-4956-91A9-6F28404D2E6A}"/>
    <cellStyle name="Nuovo 5 3 7" xfId="27548" xr:uid="{902422A1-6D7E-4674-BD4F-2B3C930D625D}"/>
    <cellStyle name="Nuovo 5 4" xfId="2242" xr:uid="{00000000-0005-0000-0000-000092070000}"/>
    <cellStyle name="Nuovo 5 4 2" xfId="2243" xr:uid="{00000000-0005-0000-0000-000093070000}"/>
    <cellStyle name="Nuovo 5 4 2 2" xfId="9371" xr:uid="{4B4093E6-5E13-43CB-A682-CAE0AC0E9126}"/>
    <cellStyle name="Nuovo 5 4 2 2 2" xfId="27560" xr:uid="{4EBAFC53-2C29-4052-A1F9-3BB1C7D5EA60}"/>
    <cellStyle name="Nuovo 5 4 2 3" xfId="17892" xr:uid="{356E20D0-C182-4B3B-B188-A32CE38C7149}"/>
    <cellStyle name="Nuovo 5 4 2 3 2" xfId="27561" xr:uid="{2C7F3790-7198-43AE-A118-B7B64BAD8D97}"/>
    <cellStyle name="Nuovo 5 4 2 4" xfId="27559" xr:uid="{86DDCC4C-4A33-4F33-A2EF-62C1D1720431}"/>
    <cellStyle name="Nuovo 5 4 2 5" xfId="17505" xr:uid="{323838BC-A503-469D-A9EA-4287B9036DC3}"/>
    <cellStyle name="Nuovo 5 4 3" xfId="9372" xr:uid="{F1928F7E-C99E-4A50-8A63-42D0C846ACA7}"/>
    <cellStyle name="Nuovo 5 4 3 2" xfId="27562" xr:uid="{70B3854A-5020-4F7E-B5A5-A8BB9A094CBC}"/>
    <cellStyle name="Nuovo 5 4 4" xfId="27563" xr:uid="{7ABE1074-434D-4295-8185-C25DD23EBAFD}"/>
    <cellStyle name="Nuovo 5 4 4 2" xfId="49049" xr:uid="{E3C902FE-D9A3-463C-990A-C673BE9B01D7}"/>
    <cellStyle name="Nuovo 5 4 5" xfId="27564" xr:uid="{A4718FF0-FF86-4C4E-BBF2-39C47F5FD496}"/>
    <cellStyle name="Nuovo 5 4 6" xfId="27558" xr:uid="{D2F77BAD-821F-4604-8D6C-C1A26A5ADE37}"/>
    <cellStyle name="Nuovo 5 5" xfId="2244" xr:uid="{00000000-0005-0000-0000-000094070000}"/>
    <cellStyle name="Nuovo 5 5 2" xfId="27566" xr:uid="{2D62E0E2-83FF-4ED4-8263-1F71FE0DA7B6}"/>
    <cellStyle name="Nuovo 5 5 2 2" xfId="49050" xr:uid="{3FBB0A4B-5EEC-498D-8228-B3DE53A8663D}"/>
    <cellStyle name="Nuovo 5 5 3" xfId="27567" xr:uid="{C0E9EFB5-EE3B-4958-9C3E-0594D85E9FD3}"/>
    <cellStyle name="Nuovo 5 5 4" xfId="27565" xr:uid="{F5C3DBCC-A883-4307-BF65-6AADF5B5A5A0}"/>
    <cellStyle name="Nuovo 5 6" xfId="4254" xr:uid="{2B6B3E87-CB89-4B76-A64C-941635A9A278}"/>
    <cellStyle name="Nuovo 5 6 2" xfId="9807" xr:uid="{91F5DE2D-7263-4144-A2EC-FB8976CC0A42}"/>
    <cellStyle name="Nuovo 5 6 3" xfId="27568" xr:uid="{ADF3C345-A0D9-4A9C-8598-BA3569DE914A}"/>
    <cellStyle name="Nuovo 5 7" xfId="27543" xr:uid="{6D72D656-E0F2-4255-A6F9-FF5460C0594D}"/>
    <cellStyle name="Nuovo 50" xfId="26739" xr:uid="{BF661738-37B7-4F6E-80CB-34F8716D60AD}"/>
    <cellStyle name="Nuovo 6" xfId="948" xr:uid="{00000000-0005-0000-0000-000095070000}"/>
    <cellStyle name="Nuovo 6 2" xfId="949" xr:uid="{00000000-0005-0000-0000-000096070000}"/>
    <cellStyle name="Nuovo 6 2 2" xfId="4255" xr:uid="{A16280CF-C1D4-4D43-9678-4CB49D308F39}"/>
    <cellStyle name="Nuovo 6 2 2 2" xfId="13559" xr:uid="{4A00C849-6038-4B7F-9E09-0A6551EEA2AB}"/>
    <cellStyle name="Nuovo 6 2 2 3" xfId="27571" xr:uid="{F1480303-89E6-4431-92E6-CAB859ACF801}"/>
    <cellStyle name="Nuovo 6 2 3" xfId="13295" xr:uid="{23706738-B054-489B-944A-DEE078A9FAD1}"/>
    <cellStyle name="Nuovo 6 2 3 2" xfId="27572" xr:uid="{37EDE959-D3AE-4770-BD4D-61763B15C338}"/>
    <cellStyle name="Nuovo 6 2 4" xfId="27573" xr:uid="{5F54A842-6950-4DD0-B85F-E0B1EFA0E364}"/>
    <cellStyle name="Nuovo 6 2 5" xfId="27570" xr:uid="{D799C99B-98EB-4BD7-8AF8-22D875B16F44}"/>
    <cellStyle name="Nuovo 6 3" xfId="950" xr:uid="{00000000-0005-0000-0000-000097070000}"/>
    <cellStyle name="Nuovo 6 3 2" xfId="951" xr:uid="{00000000-0005-0000-0000-000098070000}"/>
    <cellStyle name="Nuovo 6 3 2 2" xfId="2245" xr:uid="{00000000-0005-0000-0000-000099070000}"/>
    <cellStyle name="Nuovo 6 3 2 2 2" xfId="27576" xr:uid="{BE01D72C-1DF8-4F5D-AB3B-364D90824056}"/>
    <cellStyle name="Nuovo 6 3 2 3" xfId="8112" xr:uid="{D2FB17E4-2953-4130-9C91-49279761E671}"/>
    <cellStyle name="Nuovo 6 3 2 3 2" xfId="14113" xr:uid="{60EB3245-2713-4508-B855-B5A48B120EC6}"/>
    <cellStyle name="Nuovo 6 3 2 3 3" xfId="27577" xr:uid="{C3737989-E023-4DF7-B19A-EE34B37A34AF}"/>
    <cellStyle name="Nuovo 6 3 2 4" xfId="27575" xr:uid="{A1A21810-73C4-4CB3-B1D8-77A6A20EBD47}"/>
    <cellStyle name="Nuovo 6 3 3" xfId="4256" xr:uid="{7EB22C18-A38E-4F93-B665-29C8D5D77733}"/>
    <cellStyle name="Nuovo 6 3 3 2" xfId="9373" xr:uid="{0E0E96BF-EDCC-4D35-B70F-A15490C00BDC}"/>
    <cellStyle name="Nuovo 6 3 3 2 2" xfId="27579" xr:uid="{EA7B6230-6C1A-4336-8A84-8F2009BD0FC2}"/>
    <cellStyle name="Nuovo 6 3 3 3" xfId="27580" xr:uid="{3CE787CF-15F9-42B3-A755-7E11A9B3141A}"/>
    <cellStyle name="Nuovo 6 3 3 3 2" xfId="49051" xr:uid="{C1000D78-746C-4CE2-8D69-64B9E06BEB50}"/>
    <cellStyle name="Nuovo 6 3 3 4" xfId="27578" xr:uid="{A2AF7156-53C5-450C-98A2-02921E6F24D3}"/>
    <cellStyle name="Nuovo 6 3 4" xfId="4257" xr:uid="{9B83DCD6-2BEA-429B-AAED-A8F73C5D282E}"/>
    <cellStyle name="Nuovo 6 3 4 2" xfId="13773" xr:uid="{2CB50CA4-6DE3-4593-A247-0C44269B3054}"/>
    <cellStyle name="Nuovo 6 3 4 3" xfId="27581" xr:uid="{94AF759C-F3B3-433A-9004-D73EDD85DEBD}"/>
    <cellStyle name="Nuovo 6 3 5" xfId="12442" xr:uid="{56F268BC-BCD2-4973-AD13-4DB732345241}"/>
    <cellStyle name="Nuovo 6 3 5 2" xfId="27582" xr:uid="{9443FFE6-0884-4006-9304-72661BA86B56}"/>
    <cellStyle name="Nuovo 6 3 6" xfId="27583" xr:uid="{C6EB6DD6-78CB-4A7C-B1D6-5CB15D5DC333}"/>
    <cellStyle name="Nuovo 6 3 7" xfId="27574" xr:uid="{8A79E714-7705-4B36-B968-25FB34DFBDF2}"/>
    <cellStyle name="Nuovo 6 4" xfId="2246" xr:uid="{00000000-0005-0000-0000-00009A070000}"/>
    <cellStyle name="Nuovo 6 4 2" xfId="2247" xr:uid="{00000000-0005-0000-0000-00009B070000}"/>
    <cellStyle name="Nuovo 6 4 2 2" xfId="9374" xr:uid="{9D913E4B-5449-44E1-926B-7B85A2854643}"/>
    <cellStyle name="Nuovo 6 4 2 2 2" xfId="27586" xr:uid="{1757BCB3-F4A8-4A00-B017-751740FF1994}"/>
    <cellStyle name="Nuovo 6 4 2 3" xfId="17893" xr:uid="{E92D80BC-3FCA-4D8B-AA8E-043E49BA7046}"/>
    <cellStyle name="Nuovo 6 4 2 3 2" xfId="27587" xr:uid="{B31C68BC-9AA7-45F3-B248-9F5DDB51148F}"/>
    <cellStyle name="Nuovo 6 4 2 4" xfId="27585" xr:uid="{042854FC-52C4-49F7-8993-2ACB824AF721}"/>
    <cellStyle name="Nuovo 6 4 2 5" xfId="17506" xr:uid="{9BCF03F5-0F68-4871-8F57-465D91A41CB7}"/>
    <cellStyle name="Nuovo 6 4 3" xfId="9375" xr:uid="{8FF10DC9-B327-4724-901E-3F84F76C50D9}"/>
    <cellStyle name="Nuovo 6 4 3 2" xfId="27588" xr:uid="{9E2494F0-472F-441D-8AAB-623E5F4C1F18}"/>
    <cellStyle name="Nuovo 6 4 4" xfId="27589" xr:uid="{FCF5028C-1E1E-4391-95DD-580F8336F59D}"/>
    <cellStyle name="Nuovo 6 4 4 2" xfId="49052" xr:uid="{AC28C146-BD48-4663-B645-A8733776BDDE}"/>
    <cellStyle name="Nuovo 6 4 5" xfId="27590" xr:uid="{32892D99-8159-4539-96F4-5BAAE760F38B}"/>
    <cellStyle name="Nuovo 6 4 6" xfId="27584" xr:uid="{ADF6FBE8-3220-4F13-8321-7588FD50F2F8}"/>
    <cellStyle name="Nuovo 6 5" xfId="2248" xr:uid="{00000000-0005-0000-0000-00009C070000}"/>
    <cellStyle name="Nuovo 6 5 2" xfId="27592" xr:uid="{71B4BE97-B8AF-4C9E-A807-939883E67F92}"/>
    <cellStyle name="Nuovo 6 5 2 2" xfId="49053" xr:uid="{C313C4D4-B5D6-40AE-BE78-3829ADAD1B1C}"/>
    <cellStyle name="Nuovo 6 5 3" xfId="27593" xr:uid="{0291F871-C95A-4EC6-A87A-47DC88EC83F7}"/>
    <cellStyle name="Nuovo 6 5 4" xfId="27591" xr:uid="{4FA73DF4-8EBA-4A5E-8F58-A035783C2196}"/>
    <cellStyle name="Nuovo 6 6" xfId="4258" xr:uid="{4BFB4BF1-0EB4-4082-BB69-B8A50C280552}"/>
    <cellStyle name="Nuovo 6 6 2" xfId="9808" xr:uid="{C0540513-5A79-4FFB-AA2B-420F95AA1B1D}"/>
    <cellStyle name="Nuovo 6 6 3" xfId="27594" xr:uid="{6E87283A-C77D-4941-B340-425CB749DF4B}"/>
    <cellStyle name="Nuovo 6 7" xfId="27569" xr:uid="{7961D58B-BC39-4C54-BC0D-81632641286C}"/>
    <cellStyle name="Nuovo 7" xfId="952" xr:uid="{00000000-0005-0000-0000-00009D070000}"/>
    <cellStyle name="Nuovo 7 2" xfId="953" xr:uid="{00000000-0005-0000-0000-00009E070000}"/>
    <cellStyle name="Nuovo 7 2 2" xfId="4259" xr:uid="{A18CFF9B-3E30-408B-8959-FC08DDCCC841}"/>
    <cellStyle name="Nuovo 7 2 2 2" xfId="13560" xr:uid="{CE37D472-842E-4D49-9F43-F6383E1E7636}"/>
    <cellStyle name="Nuovo 7 2 2 3" xfId="27597" xr:uid="{F8F9AF36-5458-46F0-8BE2-115707CAD1AB}"/>
    <cellStyle name="Nuovo 7 2 3" xfId="13296" xr:uid="{190A8EDE-694D-4615-AED9-5715B7FAC940}"/>
    <cellStyle name="Nuovo 7 2 3 2" xfId="27598" xr:uid="{FE9785CE-9DC4-490E-948E-C4887A6D6CA1}"/>
    <cellStyle name="Nuovo 7 2 4" xfId="27599" xr:uid="{9E01B1E3-66FF-4F8E-BEAD-3C92684A5AB0}"/>
    <cellStyle name="Nuovo 7 2 5" xfId="27596" xr:uid="{DE8D7E79-9E26-4943-ACB2-5379BFF24196}"/>
    <cellStyle name="Nuovo 7 3" xfId="954" xr:uid="{00000000-0005-0000-0000-00009F070000}"/>
    <cellStyle name="Nuovo 7 3 2" xfId="955" xr:uid="{00000000-0005-0000-0000-0000A0070000}"/>
    <cellStyle name="Nuovo 7 3 2 2" xfId="2249" xr:uid="{00000000-0005-0000-0000-0000A1070000}"/>
    <cellStyle name="Nuovo 7 3 2 2 2" xfId="27602" xr:uid="{3903CC4B-9E9B-4B2D-838F-BA98D49BD944}"/>
    <cellStyle name="Nuovo 7 3 2 3" xfId="8113" xr:uid="{2ADF2B46-3C1A-4235-80CF-A18CEC54E694}"/>
    <cellStyle name="Nuovo 7 3 2 3 2" xfId="14114" xr:uid="{81EE0085-A5D2-496F-92B9-2ECD12F14D43}"/>
    <cellStyle name="Nuovo 7 3 2 3 3" xfId="27603" xr:uid="{A7C54183-0785-4425-8AD9-E3CB64D5BA6B}"/>
    <cellStyle name="Nuovo 7 3 2 4" xfId="27601" xr:uid="{574A491E-6013-46D0-B0A8-0F56C96FA3C0}"/>
    <cellStyle name="Nuovo 7 3 3" xfId="4260" xr:uid="{1D8F7DD5-D19C-49C4-B565-7EA6012AF29A}"/>
    <cellStyle name="Nuovo 7 3 3 2" xfId="9376" xr:uid="{0F719FC5-DFCB-403F-ACC6-30F371E918BF}"/>
    <cellStyle name="Nuovo 7 3 3 2 2" xfId="27605" xr:uid="{46B2AA90-1DBA-482A-AA0F-B03CDE50D476}"/>
    <cellStyle name="Nuovo 7 3 3 3" xfId="27606" xr:uid="{3EFD14C5-0966-40A9-894E-46B67FE61DA8}"/>
    <cellStyle name="Nuovo 7 3 3 3 2" xfId="49054" xr:uid="{9DC0B190-2983-4AC6-912F-38CEFDF0A94D}"/>
    <cellStyle name="Nuovo 7 3 3 4" xfId="27604" xr:uid="{09D6BF25-946C-443D-8677-1CB9BCD61490}"/>
    <cellStyle name="Nuovo 7 3 4" xfId="4261" xr:uid="{BB9B5E1E-25C1-41E7-8460-057039421166}"/>
    <cellStyle name="Nuovo 7 3 4 2" xfId="13774" xr:uid="{40E6B499-74E9-41AF-8885-C128631FD87D}"/>
    <cellStyle name="Nuovo 7 3 4 3" xfId="27607" xr:uid="{F1B191F0-C12F-46A3-B4AF-15A6436F01B4}"/>
    <cellStyle name="Nuovo 7 3 5" xfId="12428" xr:uid="{527CFAD6-F901-405A-8BE0-A0653D78BEE6}"/>
    <cellStyle name="Nuovo 7 3 5 2" xfId="27608" xr:uid="{D5C76E45-89F5-46C3-A0A3-6EC9B75D673E}"/>
    <cellStyle name="Nuovo 7 3 6" xfId="27609" xr:uid="{B88810D6-8374-4B92-BDB8-933BD27BFE51}"/>
    <cellStyle name="Nuovo 7 3 7" xfId="27600" xr:uid="{57658E27-7B81-4151-B2E2-210BE1DF179B}"/>
    <cellStyle name="Nuovo 7 4" xfId="2250" xr:uid="{00000000-0005-0000-0000-0000A2070000}"/>
    <cellStyle name="Nuovo 7 4 2" xfId="2251" xr:uid="{00000000-0005-0000-0000-0000A3070000}"/>
    <cellStyle name="Nuovo 7 4 2 2" xfId="9377" xr:uid="{EF1AD18B-B843-4AC1-95B3-185C4245E187}"/>
    <cellStyle name="Nuovo 7 4 2 2 2" xfId="27612" xr:uid="{DFB3D34B-E155-4D1F-97FB-F11257BBFCBE}"/>
    <cellStyle name="Nuovo 7 4 2 3" xfId="17894" xr:uid="{481E5048-3806-47F0-9BCA-B9C86B5E6317}"/>
    <cellStyle name="Nuovo 7 4 2 3 2" xfId="27613" xr:uid="{EC620163-D22D-48B2-A609-9437B8CA5F55}"/>
    <cellStyle name="Nuovo 7 4 2 4" xfId="27611" xr:uid="{7F1E14BE-F274-414F-80C7-B10BD9A9522B}"/>
    <cellStyle name="Nuovo 7 4 2 5" xfId="17507" xr:uid="{A1C3090C-3298-4FE4-819B-2BE1D4DD0C70}"/>
    <cellStyle name="Nuovo 7 4 3" xfId="9378" xr:uid="{73EEFB6A-7DB4-47DD-AC2B-287B571906F2}"/>
    <cellStyle name="Nuovo 7 4 3 2" xfId="27614" xr:uid="{3C676558-E417-4383-9664-8ABCA747A2A1}"/>
    <cellStyle name="Nuovo 7 4 4" xfId="27615" xr:uid="{190BFF21-3C37-4132-8439-3E335E63175B}"/>
    <cellStyle name="Nuovo 7 4 4 2" xfId="49055" xr:uid="{FB38B2E7-106A-49AA-BC62-4C79FA862269}"/>
    <cellStyle name="Nuovo 7 4 5" xfId="27616" xr:uid="{1E6B95A7-8604-4CE6-8DCF-2A4A6DAF58CF}"/>
    <cellStyle name="Nuovo 7 4 6" xfId="27610" xr:uid="{E5AC8D7C-3DD3-4D8E-9BF7-0EDD0E3BDADC}"/>
    <cellStyle name="Nuovo 7 5" xfId="2252" xr:uid="{00000000-0005-0000-0000-0000A4070000}"/>
    <cellStyle name="Nuovo 7 5 2" xfId="27618" xr:uid="{6B286BF6-E7C8-43BC-83F2-2255C7C019B2}"/>
    <cellStyle name="Nuovo 7 5 2 2" xfId="49056" xr:uid="{4506C8E6-4B4B-453B-BD62-AF6B9CAB055B}"/>
    <cellStyle name="Nuovo 7 5 3" xfId="27619" xr:uid="{BE67BA52-B7F2-4F45-AD7F-B340E0F9A95A}"/>
    <cellStyle name="Nuovo 7 5 4" xfId="27617" xr:uid="{1EADB06A-FB7C-4977-8233-4F4097C11EEC}"/>
    <cellStyle name="Nuovo 7 6" xfId="4262" xr:uid="{48B2D8B1-6E01-43EF-9F92-21446BD5348B}"/>
    <cellStyle name="Nuovo 7 6 2" xfId="9809" xr:uid="{AD0B34CD-5E3F-493F-B5DF-3C719FDF39FD}"/>
    <cellStyle name="Nuovo 7 6 3" xfId="27620" xr:uid="{FE14D476-5B3F-4270-B9A0-835FDB2282D3}"/>
    <cellStyle name="Nuovo 7 7" xfId="27595" xr:uid="{DF00AC14-F2E1-488D-8C1D-97F9E0EDDB59}"/>
    <cellStyle name="Nuovo 8" xfId="956" xr:uid="{00000000-0005-0000-0000-0000A5070000}"/>
    <cellStyle name="Nuovo 8 2" xfId="957" xr:uid="{00000000-0005-0000-0000-0000A6070000}"/>
    <cellStyle name="Nuovo 8 2 2" xfId="4263" xr:uid="{0557C983-A97E-48DB-82E8-9889A9AE4B81}"/>
    <cellStyle name="Nuovo 8 2 2 2" xfId="13561" xr:uid="{82B08641-460A-4130-AEE2-AEBC3CE2523B}"/>
    <cellStyle name="Nuovo 8 2 2 3" xfId="27623" xr:uid="{594391A0-97BC-42F0-9704-873D49F5E31C}"/>
    <cellStyle name="Nuovo 8 2 3" xfId="13297" xr:uid="{74121BB4-D63D-4BA1-8683-7642CEF20E20}"/>
    <cellStyle name="Nuovo 8 2 3 2" xfId="27624" xr:uid="{28EDC50B-CA3A-43B3-93D0-7C415A02194A}"/>
    <cellStyle name="Nuovo 8 2 4" xfId="27625" xr:uid="{15740138-3280-47EE-A937-47D52A1F35E6}"/>
    <cellStyle name="Nuovo 8 2 5" xfId="27622" xr:uid="{4604EC1A-A606-4803-A84B-A5EAD9DF1DC6}"/>
    <cellStyle name="Nuovo 8 3" xfId="958" xr:uid="{00000000-0005-0000-0000-0000A7070000}"/>
    <cellStyle name="Nuovo 8 3 2" xfId="959" xr:uid="{00000000-0005-0000-0000-0000A8070000}"/>
    <cellStyle name="Nuovo 8 3 2 2" xfId="2253" xr:uid="{00000000-0005-0000-0000-0000A9070000}"/>
    <cellStyle name="Nuovo 8 3 2 2 2" xfId="27628" xr:uid="{675D14BC-83F8-4852-B9F8-36864CFAFAAC}"/>
    <cellStyle name="Nuovo 8 3 2 3" xfId="8114" xr:uid="{8ABBE721-0C0E-47D4-AA39-1B585C3350BF}"/>
    <cellStyle name="Nuovo 8 3 2 3 2" xfId="14115" xr:uid="{EE2B4075-85BE-411A-A63F-2D59B2AE0925}"/>
    <cellStyle name="Nuovo 8 3 2 3 3" xfId="27629" xr:uid="{9A270E35-5BFD-4836-B184-F34990E1459C}"/>
    <cellStyle name="Nuovo 8 3 2 4" xfId="27627" xr:uid="{908270EC-49AD-4205-9412-17D1B52B2B48}"/>
    <cellStyle name="Nuovo 8 3 3" xfId="4264" xr:uid="{98EB0646-F80A-4B37-ACE4-F8CA8FD2ABD0}"/>
    <cellStyle name="Nuovo 8 3 3 2" xfId="9379" xr:uid="{156E2F9B-9CBF-413C-BFC1-F64AE6B0B41C}"/>
    <cellStyle name="Nuovo 8 3 3 2 2" xfId="27631" xr:uid="{CB779E07-CBDF-42AE-A88C-511C8709890D}"/>
    <cellStyle name="Nuovo 8 3 3 3" xfId="27632" xr:uid="{8F8D2037-471F-489C-A182-222F894076BD}"/>
    <cellStyle name="Nuovo 8 3 3 3 2" xfId="49057" xr:uid="{ABD93CEB-D32F-4FDB-A39C-4C00E18AD1BA}"/>
    <cellStyle name="Nuovo 8 3 3 4" xfId="27630" xr:uid="{7C04087F-D12F-4952-ACB1-133683F4736E}"/>
    <cellStyle name="Nuovo 8 3 4" xfId="4265" xr:uid="{C6D261C3-4162-4C07-BBEA-2E0CBAEC3DAE}"/>
    <cellStyle name="Nuovo 8 3 4 2" xfId="13775" xr:uid="{FE856675-6991-43F3-9140-8B8A5304545D}"/>
    <cellStyle name="Nuovo 8 3 4 3" xfId="27633" xr:uid="{4CB7D5A3-E502-42CF-AF16-D693143B65D9}"/>
    <cellStyle name="Nuovo 8 3 5" xfId="12426" xr:uid="{9CA6F147-CCF0-4CE4-AEFB-D383642EAACF}"/>
    <cellStyle name="Nuovo 8 3 5 2" xfId="27634" xr:uid="{E7C660EB-D3CA-4BA9-AAB0-B328E54E2A22}"/>
    <cellStyle name="Nuovo 8 3 6" xfId="27635" xr:uid="{0CFCDAEA-CC9D-4D8B-8166-721785ED46E6}"/>
    <cellStyle name="Nuovo 8 3 7" xfId="27626" xr:uid="{F47A47B2-F280-4343-A0F7-527D9285345E}"/>
    <cellStyle name="Nuovo 8 4" xfId="2254" xr:uid="{00000000-0005-0000-0000-0000AA070000}"/>
    <cellStyle name="Nuovo 8 4 2" xfId="2255" xr:uid="{00000000-0005-0000-0000-0000AB070000}"/>
    <cellStyle name="Nuovo 8 4 2 2" xfId="9380" xr:uid="{D5B864CC-95B3-42E6-A838-403A31E46EA5}"/>
    <cellStyle name="Nuovo 8 4 2 2 2" xfId="27638" xr:uid="{1C5CA88A-18B2-40D8-B483-352EF06094C5}"/>
    <cellStyle name="Nuovo 8 4 2 3" xfId="17895" xr:uid="{9073A59E-F619-4168-81AA-B7C844424274}"/>
    <cellStyle name="Nuovo 8 4 2 3 2" xfId="27639" xr:uid="{5055B333-A4ED-4E9D-B169-F2BDA9F10EFE}"/>
    <cellStyle name="Nuovo 8 4 2 4" xfId="27637" xr:uid="{136B2064-87C4-4D87-B6E2-CC894F3D7E3B}"/>
    <cellStyle name="Nuovo 8 4 2 5" xfId="17508" xr:uid="{292F2B7E-4BDF-4857-BBE1-1B2BACF623A6}"/>
    <cellStyle name="Nuovo 8 4 3" xfId="9381" xr:uid="{29199976-D891-4E09-866E-132FBEBD4A9C}"/>
    <cellStyle name="Nuovo 8 4 3 2" xfId="27640" xr:uid="{994FE372-49FE-49E2-B9CC-CBDF6E6151CA}"/>
    <cellStyle name="Nuovo 8 4 4" xfId="27641" xr:uid="{722C908E-8B10-462C-90F2-7A973E20CCE6}"/>
    <cellStyle name="Nuovo 8 4 4 2" xfId="49058" xr:uid="{B152B089-C567-4A30-9378-F34CACF91CDE}"/>
    <cellStyle name="Nuovo 8 4 5" xfId="27642" xr:uid="{E9563F0D-44AD-4428-B9A1-E279C9A5CBE0}"/>
    <cellStyle name="Nuovo 8 4 6" xfId="27636" xr:uid="{1C5A8550-474A-4D53-B642-B67BFFCFBFD2}"/>
    <cellStyle name="Nuovo 8 5" xfId="2256" xr:uid="{00000000-0005-0000-0000-0000AC070000}"/>
    <cellStyle name="Nuovo 8 5 2" xfId="27644" xr:uid="{D2217FDA-D525-458D-BD8D-94F4309FA879}"/>
    <cellStyle name="Nuovo 8 5 2 2" xfId="49059" xr:uid="{C378EE7A-9A5F-41D2-B722-A19DC29F91C5}"/>
    <cellStyle name="Nuovo 8 5 3" xfId="27645" xr:uid="{E52A0A00-799C-408E-AEB8-9C22580D9279}"/>
    <cellStyle name="Nuovo 8 5 4" xfId="27643" xr:uid="{1E664E34-1713-41B1-B4F2-610CA3AED1CE}"/>
    <cellStyle name="Nuovo 8 6" xfId="4266" xr:uid="{62832EDB-E12B-49BA-A4E4-AC88F202EDC6}"/>
    <cellStyle name="Nuovo 8 6 2" xfId="9810" xr:uid="{ACCD1074-D364-478E-B5D4-E261A48081EB}"/>
    <cellStyle name="Nuovo 8 6 3" xfId="27646" xr:uid="{42116B00-A7B7-432F-8903-93E04BE55620}"/>
    <cellStyle name="Nuovo 8 7" xfId="27621" xr:uid="{7F50FF96-19AE-404F-ABAD-0452F5B67D04}"/>
    <cellStyle name="Nuovo 9" xfId="960" xr:uid="{00000000-0005-0000-0000-0000AD070000}"/>
    <cellStyle name="Nuovo 9 2" xfId="961" xr:uid="{00000000-0005-0000-0000-0000AE070000}"/>
    <cellStyle name="Nuovo 9 2 2" xfId="4267" xr:uid="{0515F40D-5790-4E64-9041-F42946477797}"/>
    <cellStyle name="Nuovo 9 2 2 2" xfId="13562" xr:uid="{877393F3-EB5D-4ED0-9062-8F3E9B797E83}"/>
    <cellStyle name="Nuovo 9 2 2 3" xfId="27649" xr:uid="{8C57D5EB-27E5-4BB3-947C-76C174A4B6D1}"/>
    <cellStyle name="Nuovo 9 2 3" xfId="13298" xr:uid="{974524CD-3A10-4DE6-928B-35A0F98074D3}"/>
    <cellStyle name="Nuovo 9 2 3 2" xfId="27650" xr:uid="{CAFFE88B-C50A-4D2D-A7B2-01C3B4F51ABA}"/>
    <cellStyle name="Nuovo 9 2 4" xfId="27651" xr:uid="{27074224-8027-4A65-9BD6-38ABC342D6EA}"/>
    <cellStyle name="Nuovo 9 2 5" xfId="27648" xr:uid="{4D332229-29E8-4D28-86D9-E306CA9151F3}"/>
    <cellStyle name="Nuovo 9 3" xfId="962" xr:uid="{00000000-0005-0000-0000-0000AF070000}"/>
    <cellStyle name="Nuovo 9 3 2" xfId="963" xr:uid="{00000000-0005-0000-0000-0000B0070000}"/>
    <cellStyle name="Nuovo 9 3 2 2" xfId="2257" xr:uid="{00000000-0005-0000-0000-0000B1070000}"/>
    <cellStyle name="Nuovo 9 3 2 2 2" xfId="27654" xr:uid="{395D2E4F-427D-4104-A782-C7DC614881F4}"/>
    <cellStyle name="Nuovo 9 3 2 3" xfId="8115" xr:uid="{BEB9FBE9-1601-4BB3-81D9-FD59494AD35F}"/>
    <cellStyle name="Nuovo 9 3 2 3 2" xfId="14116" xr:uid="{197CA9DF-5291-49F2-8D67-D7D99A880D2D}"/>
    <cellStyle name="Nuovo 9 3 2 3 3" xfId="27655" xr:uid="{76B6B87D-7630-47FC-AEC3-252296397064}"/>
    <cellStyle name="Nuovo 9 3 2 4" xfId="27653" xr:uid="{DC723FC5-0B1B-48BA-B7C8-7069F4ADDA00}"/>
    <cellStyle name="Nuovo 9 3 3" xfId="4268" xr:uid="{07640148-ECD8-4142-8CC5-28D875F382CD}"/>
    <cellStyle name="Nuovo 9 3 3 2" xfId="9382" xr:uid="{75D230FF-D387-4E14-8373-69A9B5B40844}"/>
    <cellStyle name="Nuovo 9 3 3 2 2" xfId="27657" xr:uid="{1F43C410-E7B7-4131-BBF5-11EB05E31656}"/>
    <cellStyle name="Nuovo 9 3 3 3" xfId="27658" xr:uid="{0D125005-F70E-4CD2-84FC-5E8DCB7568D7}"/>
    <cellStyle name="Nuovo 9 3 3 3 2" xfId="49060" xr:uid="{4E60C56C-15F1-4323-B1B5-A05216C14704}"/>
    <cellStyle name="Nuovo 9 3 3 4" xfId="27656" xr:uid="{DD3564F0-DE2D-41CA-BD45-6E2877229CC9}"/>
    <cellStyle name="Nuovo 9 3 4" xfId="4269" xr:uid="{F7A607BC-E8A0-40E4-9A85-0C1205978F47}"/>
    <cellStyle name="Nuovo 9 3 4 2" xfId="13776" xr:uid="{1800BF06-CA0A-4CC3-9E5B-3AF35E3BACCE}"/>
    <cellStyle name="Nuovo 9 3 4 3" xfId="27659" xr:uid="{E4224A23-E464-478C-83AF-9302450CBE66}"/>
    <cellStyle name="Nuovo 9 3 5" xfId="11704" xr:uid="{6A2DF135-10B9-4C7E-B521-C4F25878417F}"/>
    <cellStyle name="Nuovo 9 3 5 2" xfId="27660" xr:uid="{41F0DE39-051D-4F2D-9592-916EC3D6AEAB}"/>
    <cellStyle name="Nuovo 9 3 6" xfId="27661" xr:uid="{4619559F-4414-4921-B469-FDB2C0BFAE27}"/>
    <cellStyle name="Nuovo 9 3 7" xfId="27652" xr:uid="{13F545F3-3DF7-465A-9A30-64A7470C855F}"/>
    <cellStyle name="Nuovo 9 4" xfId="2258" xr:uid="{00000000-0005-0000-0000-0000B2070000}"/>
    <cellStyle name="Nuovo 9 4 2" xfId="2259" xr:uid="{00000000-0005-0000-0000-0000B3070000}"/>
    <cellStyle name="Nuovo 9 4 2 2" xfId="9383" xr:uid="{CA96A9D5-1AB5-4AD7-8DDF-50344E3BAB25}"/>
    <cellStyle name="Nuovo 9 4 2 2 2" xfId="27664" xr:uid="{70BF94BA-6177-4FC6-A1A1-18E5420F8173}"/>
    <cellStyle name="Nuovo 9 4 2 3" xfId="17896" xr:uid="{9D600810-C463-4833-8A30-C3E2A347FB9C}"/>
    <cellStyle name="Nuovo 9 4 2 3 2" xfId="27665" xr:uid="{88F02450-13C5-443C-886D-0B2E250CE01C}"/>
    <cellStyle name="Nuovo 9 4 2 4" xfId="27663" xr:uid="{C42E2B64-03BD-493C-86A5-CD8DB418E1C7}"/>
    <cellStyle name="Nuovo 9 4 2 5" xfId="17509" xr:uid="{85D6197A-3BA3-4D3A-86CC-B530BEE83963}"/>
    <cellStyle name="Nuovo 9 4 3" xfId="9384" xr:uid="{17FC93E2-4433-4334-9790-C955BCC810C8}"/>
    <cellStyle name="Nuovo 9 4 3 2" xfId="27666" xr:uid="{3D53BE0F-D5FF-42CA-8278-94B9156A03CC}"/>
    <cellStyle name="Nuovo 9 4 4" xfId="27667" xr:uid="{BE903DDF-62F1-4DD7-A054-63B493DE1DEE}"/>
    <cellStyle name="Nuovo 9 4 4 2" xfId="49061" xr:uid="{33B61CA9-8F6B-4A2B-A4F4-4803E98CDCF9}"/>
    <cellStyle name="Nuovo 9 4 5" xfId="27668" xr:uid="{BF49F749-5D1E-4DA6-86EB-328CF26A5022}"/>
    <cellStyle name="Nuovo 9 4 6" xfId="27662" xr:uid="{AD935007-C134-4FD9-8755-3434C6CE5DC3}"/>
    <cellStyle name="Nuovo 9 5" xfId="2260" xr:uid="{00000000-0005-0000-0000-0000B4070000}"/>
    <cellStyle name="Nuovo 9 5 2" xfId="27670" xr:uid="{91BF9980-D6B4-47D5-A321-75D480AC808E}"/>
    <cellStyle name="Nuovo 9 5 2 2" xfId="49062" xr:uid="{81376A95-7C74-4FE2-8640-40CF9C5CEEA9}"/>
    <cellStyle name="Nuovo 9 5 3" xfId="27671" xr:uid="{A830C85D-512E-421A-BF11-9F4774ADA09D}"/>
    <cellStyle name="Nuovo 9 5 4" xfId="27669" xr:uid="{920107EA-0EE6-49E4-9401-3140AEC71AC1}"/>
    <cellStyle name="Nuovo 9 6" xfId="4270" xr:uid="{B2F955AB-3A64-4B07-8A37-6CF034E9843C}"/>
    <cellStyle name="Nuovo 9 6 2" xfId="9811" xr:uid="{EEE5CDE6-A5DE-429F-825B-B4F354BFDCCE}"/>
    <cellStyle name="Nuovo 9 6 3" xfId="27672" xr:uid="{092F3D07-5B78-4191-8DF9-662064F7D1F6}"/>
    <cellStyle name="Nuovo 9 7" xfId="27647" xr:uid="{F7A94C74-9947-4B9F-A905-B91477150F94}"/>
    <cellStyle name="Output 2" xfId="964" xr:uid="{00000000-0005-0000-0000-0000B5070000}"/>
    <cellStyle name="Output 2 10" xfId="27673" xr:uid="{B4A5316C-B8EB-4555-8164-0C571BD9D3CC}"/>
    <cellStyle name="Output 2 2" xfId="965" xr:uid="{00000000-0005-0000-0000-0000B6070000}"/>
    <cellStyle name="Output 2 2 2" xfId="2261" xr:uid="{00000000-0005-0000-0000-0000B7070000}"/>
    <cellStyle name="Output 2 2 2 2" xfId="17897" xr:uid="{8B739055-1A53-4099-8163-05127313A930}"/>
    <cellStyle name="Output 2 2 2 3" xfId="27675" xr:uid="{1C1699B2-9D86-42F6-A0C3-508BB537B879}"/>
    <cellStyle name="Output 2 2 3" xfId="17448" xr:uid="{F2069EA7-C603-4499-9D6E-1109C7C7D57A}"/>
    <cellStyle name="Output 2 2 3 2" xfId="27676" xr:uid="{B572F549-F7FC-4988-AD68-D73C030A31B1}"/>
    <cellStyle name="Output 2 2 4" xfId="30246" xr:uid="{00004B08-8F46-4781-B56E-A00A19C09688}"/>
    <cellStyle name="Output 2 2 5" xfId="30247" xr:uid="{712ED15F-3A5F-452D-9181-6E50544F9D6F}"/>
    <cellStyle name="Output 2 2 6" xfId="27674" xr:uid="{D891F4B0-4A13-4E33-AB39-8F16EA9BC7B2}"/>
    <cellStyle name="Output 2 3" xfId="2262" xr:uid="{00000000-0005-0000-0000-0000B8070000}"/>
    <cellStyle name="Output 2 3 2" xfId="17531" xr:uid="{A9AE6497-74AC-4E1A-8C21-EEA68DFEBFFB}"/>
    <cellStyle name="Output 2 3 2 2" xfId="32643" xr:uid="{3B36A3DA-CB4F-4BEE-8112-3308E681B105}"/>
    <cellStyle name="Output 2 3 2 3" xfId="27678" xr:uid="{F03567FE-8D0B-4661-B01E-DEBC713D44BB}"/>
    <cellStyle name="Output 2 3 3" xfId="27679" xr:uid="{A83EA6B0-1456-4F8F-A1CA-DA1B65019619}"/>
    <cellStyle name="Output 2 3 4" xfId="27677" xr:uid="{44825A9C-29C0-4E9C-A166-DB148AE716BC}"/>
    <cellStyle name="Output 2 4" xfId="9385" xr:uid="{93EC471C-D1E6-45C1-A877-D91F4D1625DE}"/>
    <cellStyle name="Output 2 4 2" xfId="27681" xr:uid="{936208DD-2CA2-446B-8EC7-CB8D83440463}"/>
    <cellStyle name="Output 2 4 2 2" xfId="32644" xr:uid="{EE697442-DD93-4789-8A44-B23C1F27BA45}"/>
    <cellStyle name="Output 2 4 3" xfId="27680" xr:uid="{73ED2361-509E-4732-95BF-700A253FB0BF}"/>
    <cellStyle name="Output 2 5" xfId="9386" xr:uid="{3C4B26D0-7F87-45FB-9284-8EC2608F8305}"/>
    <cellStyle name="Output 2 5 2" xfId="27683" xr:uid="{0096DA27-A6E2-4DE9-9E70-3E0EF5149ACA}"/>
    <cellStyle name="Output 2 5 2 2" xfId="32645" xr:uid="{5C6452EB-846E-4130-A77E-2BF50B4173AA}"/>
    <cellStyle name="Output 2 5 3" xfId="27682" xr:uid="{EE5AE400-8C26-492F-9AAC-B09E1F95D8D1}"/>
    <cellStyle name="Output 2 6" xfId="9387" xr:uid="{353B0602-91F9-487E-8DC5-00CBBF45D2B2}"/>
    <cellStyle name="Output 2 6 2" xfId="27685" xr:uid="{76043F6D-7772-40D2-A908-6015FECD941D}"/>
    <cellStyle name="Output 2 6 2 2" xfId="32646" xr:uid="{1F8E50A2-F75F-4D76-801B-7F0D0BE8A497}"/>
    <cellStyle name="Output 2 6 3" xfId="27684" xr:uid="{6B616EA1-5B64-4372-BD0B-07E044C8E332}"/>
    <cellStyle name="Output 2 7" xfId="27686" xr:uid="{EFF44250-009D-488E-871E-33F09165868A}"/>
    <cellStyle name="Output 2 7 2" xfId="27687" xr:uid="{A4F0A6B5-6968-4C95-B51C-6A1979144748}"/>
    <cellStyle name="Output 2 7 2 2" xfId="32647" xr:uid="{45E3FF1E-3389-4FEE-A9B2-5AD3F27BCE59}"/>
    <cellStyle name="Output 2 8" xfId="27688" xr:uid="{6D0E2724-BED5-49D0-90CA-72D597374122}"/>
    <cellStyle name="Output 2 8 2" xfId="32648" xr:uid="{15EFAEC3-15CE-42CF-85DE-E3A092D98E9E}"/>
    <cellStyle name="Output 2 9" xfId="32649" xr:uid="{A17C5775-8FBA-424E-BEF1-925FCC4C2C80}"/>
    <cellStyle name="Output 3" xfId="966" xr:uid="{00000000-0005-0000-0000-0000B9070000}"/>
    <cellStyle name="Output 3 2" xfId="2263" xr:uid="{00000000-0005-0000-0000-0000BA070000}"/>
    <cellStyle name="Output 3 2 2" xfId="4271" xr:uid="{842EFEF2-FB51-42F1-A44C-0AB70BAEADAB}"/>
    <cellStyle name="Output 3 2 2 2" xfId="32650" xr:uid="{C7BF2AC1-11E5-43D2-B1CB-0EC8AFD0C80D}"/>
    <cellStyle name="Output 3 2 2 3" xfId="27691" xr:uid="{BF331789-F34F-4BA1-80CC-3445F1B039C9}"/>
    <cellStyle name="Output 3 2 3" xfId="11084" xr:uid="{F00034A8-0E78-4058-8416-7AF9904162AE}"/>
    <cellStyle name="Output 3 2 3 2" xfId="27692" xr:uid="{778A2C24-1F45-4DF9-BF49-D629A5B494CB}"/>
    <cellStyle name="Output 3 2 4" xfId="27690" xr:uid="{3AF647A0-D093-4CE2-91FD-2732EED7BC7E}"/>
    <cellStyle name="Output 3 3" xfId="8116" xr:uid="{57F1F0CC-4A2D-41D5-8A21-37614D720B26}"/>
    <cellStyle name="Output 3 3 2" xfId="12218" xr:uid="{233153E0-5F2B-4C2B-9E02-B360191477C3}"/>
    <cellStyle name="Output 3 3 2 2" xfId="32651" xr:uid="{AF1AD509-A920-4534-B544-E8628DC50651}"/>
    <cellStyle name="Output 3 3 2 3" xfId="27694" xr:uid="{8050CA66-FEE7-4A38-90E6-0F77201CB0F4}"/>
    <cellStyle name="Output 3 3 3" xfId="12158" xr:uid="{4682F8A9-DEDA-4D2F-8866-694B70FC2959}"/>
    <cellStyle name="Output 3 3 4" xfId="27693" xr:uid="{551981C8-C85F-4F35-B5B4-D0BD992ECB0E}"/>
    <cellStyle name="Output 3 4" xfId="9388" xr:uid="{5393C435-8BFF-495A-B226-0FB8B7AF15BC}"/>
    <cellStyle name="Output 3 4 2" xfId="12446" xr:uid="{11F25D11-02CE-4D4E-8597-1CCFA75CB2CC}"/>
    <cellStyle name="Output 3 4 2 2" xfId="32652" xr:uid="{92F23124-C8A3-4BDB-AEAE-2D158B29937D}"/>
    <cellStyle name="Output 3 4 2 3" xfId="27696" xr:uid="{BE578DF5-6962-4705-BCE4-EF539D01E175}"/>
    <cellStyle name="Output 3 4 3" xfId="11509" xr:uid="{2A2C9D5F-37FB-44B3-B3A9-FB1A54004C1F}"/>
    <cellStyle name="Output 3 4 4" xfId="27695" xr:uid="{89CA48BB-CF99-4724-9534-BE4E71A2ADB8}"/>
    <cellStyle name="Output 3 5" xfId="9389" xr:uid="{615CD562-E0B7-435C-A0F4-14EF804D9A73}"/>
    <cellStyle name="Output 3 5 2" xfId="27698" xr:uid="{B0B0C377-48F1-4EF7-95DB-F269B7997BDB}"/>
    <cellStyle name="Output 3 5 2 2" xfId="32653" xr:uid="{A0D8290C-5F85-486C-B5FA-722B77F933F0}"/>
    <cellStyle name="Output 3 5 3" xfId="27697" xr:uid="{67EA8871-BE16-40BC-BADA-CCBECAA52F73}"/>
    <cellStyle name="Output 3 6" xfId="27699" xr:uid="{C0658130-C138-46C0-B3A0-75EED3963CFC}"/>
    <cellStyle name="Output 3 7" xfId="27700" xr:uid="{478E3B01-99B7-4494-95F6-880D80792769}"/>
    <cellStyle name="Output 3 7 2" xfId="32654" xr:uid="{758893E5-9FBF-48FF-B07A-3C16215768E4}"/>
    <cellStyle name="Output 3 8" xfId="27701" xr:uid="{8EA39E7F-772C-447F-9623-56DA02912085}"/>
    <cellStyle name="Output 3 9" xfId="27689" xr:uid="{DD9CC1DF-EDE7-443E-848E-D2E3760C5F28}"/>
    <cellStyle name="Output 4" xfId="9390" xr:uid="{5098947B-98F9-44DE-8C48-C5F55E8B1A97}"/>
    <cellStyle name="Output 4 2" xfId="18732" xr:uid="{5E17EEC6-B30C-444C-B2E5-88AE9BC758FC}"/>
    <cellStyle name="Output 4 2 2" xfId="32655" xr:uid="{C29B8731-CF5F-49CC-9763-634C50409C1D}"/>
    <cellStyle name="Output 4 2 3" xfId="27703" xr:uid="{01EA4F8F-98BF-4CA3-B485-08C22321CE73}"/>
    <cellStyle name="Output 4 3" xfId="27702" xr:uid="{E8EE22FA-1AAD-4E64-B35E-7B3A097899E0}"/>
    <cellStyle name="Output 5" xfId="27704" xr:uid="{CA9A6EF3-7B7A-48A9-B683-28211D03A5EE}"/>
    <cellStyle name="Output 5 2" xfId="49063" xr:uid="{E3E55C92-4A18-441C-824A-A68587FDBD99}"/>
    <cellStyle name="Overskrift 1 2" xfId="9391" xr:uid="{C4BBF00A-D411-42DF-BECD-E1327E44B242}"/>
    <cellStyle name="Overskrift 1 2 2" xfId="27706" xr:uid="{19B7844E-082F-4954-AA14-6AA0AE3659D2}"/>
    <cellStyle name="Overskrift 1 2 3" xfId="27705" xr:uid="{EB54D256-CA3A-417D-9669-F4F46E0A4335}"/>
    <cellStyle name="Overskrift 2 2" xfId="9392" xr:uid="{7DA990DA-6C0E-47E3-A237-BC989F0E6A4C}"/>
    <cellStyle name="Overskrift 2 2 2" xfId="27708" xr:uid="{1736D9B5-9E89-49D6-A34A-E48FEBDA5512}"/>
    <cellStyle name="Overskrift 2 2 3" xfId="27707" xr:uid="{77FCEB6C-1824-4FFF-97FF-85E4E29F8423}"/>
    <cellStyle name="Overskrift 3 2" xfId="9393" xr:uid="{BCE90DA4-E206-49B4-A21D-A16109281610}"/>
    <cellStyle name="Overskrift 3 2 2" xfId="27710" xr:uid="{42B8B2B4-B36F-47D0-BE4A-4615D3C64FD9}"/>
    <cellStyle name="Overskrift 3 2 3" xfId="27709" xr:uid="{E5882801-6A35-4D01-B2F0-FB355B97EF2F}"/>
    <cellStyle name="Overskrift 4 2" xfId="9394" xr:uid="{6FA85FD2-9FBF-4EA7-ACA8-08920D1C3D4C}"/>
    <cellStyle name="Overskrift 4 2 2" xfId="27712" xr:uid="{64F5D576-0B92-4D6A-9D23-FFE5721ADADA}"/>
    <cellStyle name="Overskrift 4 2 3" xfId="27711" xr:uid="{AD1BAD4F-5A14-4FBA-88FC-ED6FE60CC825}"/>
    <cellStyle name="Percen - Type1" xfId="967" xr:uid="{00000000-0005-0000-0000-0000BB070000}"/>
    <cellStyle name="Percen - Type1 2" xfId="27714" xr:uid="{6D25CB2B-FCC8-411E-833A-AAE1828CE1DE}"/>
    <cellStyle name="Percen - Type1 2 2" xfId="49064" xr:uid="{AB1B82B0-3C6C-4DA4-BFD6-86CC55482383}"/>
    <cellStyle name="Percen - Type1 3" xfId="27713" xr:uid="{470742B4-FE34-4A85-89AE-CDEEB7B912BE}"/>
    <cellStyle name="Percen - Typografi2" xfId="32539" xr:uid="{F9551D31-5599-4D32-B332-931A3D7D29CB}"/>
    <cellStyle name="Percent" xfId="968" builtinId="5"/>
    <cellStyle name="Percent 2" xfId="969" xr:uid="{00000000-0005-0000-0000-0000BD070000}"/>
    <cellStyle name="Percent 2 2" xfId="970" xr:uid="{00000000-0005-0000-0000-0000BE070000}"/>
    <cellStyle name="Percent 2 2 2" xfId="2264" xr:uid="{00000000-0005-0000-0000-0000BF070000}"/>
    <cellStyle name="Percent 2 2 2 2" xfId="27718" xr:uid="{1603782C-3A2A-4BDC-9247-822380EE49F3}"/>
    <cellStyle name="Percent 2 2 2 3" xfId="27717" xr:uid="{47F91B45-7E3E-497F-8101-7D5EC2AFD255}"/>
    <cellStyle name="Percent 2 2 3" xfId="2265" xr:uid="{00000000-0005-0000-0000-0000C0070000}"/>
    <cellStyle name="Percent 2 2 3 2" xfId="2266" xr:uid="{00000000-0005-0000-0000-0000C1070000}"/>
    <cellStyle name="Percent 2 2 3 2 2" xfId="27720" xr:uid="{1D0AF836-6350-45E7-9504-2F6CCA957E6B}"/>
    <cellStyle name="Percent 2 2 3 2 3" xfId="17899" xr:uid="{AB8F17CA-6C93-4042-9B25-84BF339D0A48}"/>
    <cellStyle name="Percent 2 2 3 3" xfId="27721" xr:uid="{363B71D2-693F-4EB6-AFF0-C6C623B18C63}"/>
    <cellStyle name="Percent 2 2 3 4" xfId="27719" xr:uid="{F65E0A3F-242C-479C-8D53-907A457F5961}"/>
    <cellStyle name="Percent 2 2 3 5" xfId="17898" xr:uid="{ED85BF77-1EF0-48E3-93C6-C1E5F957B7CF}"/>
    <cellStyle name="Percent 2 2 4" xfId="2267" xr:uid="{00000000-0005-0000-0000-0000C2070000}"/>
    <cellStyle name="Percent 2 2 4 2" xfId="27723" xr:uid="{7BCD6E89-0CDB-4738-801B-3C3D5596A8B6}"/>
    <cellStyle name="Percent 2 2 4 3" xfId="27722" xr:uid="{9D7A693B-BCE6-4D88-81DE-A2E9618C4422}"/>
    <cellStyle name="Percent 2 2 4 4" xfId="49065" xr:uid="{6F08C67A-66B3-4ED9-83D8-EA32DF848898}"/>
    <cellStyle name="Percent 2 2 4 5" xfId="17900" xr:uid="{C3911246-535A-431A-B406-CFC1A49C56F7}"/>
    <cellStyle name="Percent 2 2 5" xfId="27724" xr:uid="{B2500E94-12C0-4716-B4DF-D8265B8B6E57}"/>
    <cellStyle name="Percent 2 2 6" xfId="27716" xr:uid="{FE653C7B-A903-4CB0-B6BC-12E6BF311AD4}"/>
    <cellStyle name="Percent 2 3" xfId="2268" xr:uid="{00000000-0005-0000-0000-0000C3070000}"/>
    <cellStyle name="Percent 2 3 2" xfId="2269" xr:uid="{00000000-0005-0000-0000-0000C4070000}"/>
    <cellStyle name="Percent 2 3 2 2" xfId="27726" xr:uid="{34CAABEF-675B-45AA-8191-9E1BFDA2B092}"/>
    <cellStyle name="Percent 2 3 2 3" xfId="17902" xr:uid="{42FB0373-5061-4501-9F48-EE764AE13328}"/>
    <cellStyle name="Percent 2 3 3" xfId="13300" xr:uid="{65B07532-9395-4F7D-945E-6591EE0A9D31}"/>
    <cellStyle name="Percent 2 3 3 2" xfId="27727" xr:uid="{4D818168-A6F0-4CE5-BD15-0EE73731EB77}"/>
    <cellStyle name="Percent 2 3 4" xfId="27725" xr:uid="{B630BECD-28D0-4674-B5E5-71DA6C04E1D9}"/>
    <cellStyle name="Percent 2 3 5" xfId="17901" xr:uid="{F3A6FA86-62F0-4C11-8942-5381ED1EF21C}"/>
    <cellStyle name="Percent 2 4" xfId="30248" xr:uid="{046C8E6F-2BB8-4BBD-BBA6-DA88F1C783C1}"/>
    <cellStyle name="Percent 2 5" xfId="27715" xr:uid="{95AFFCEA-9892-4812-B259-CBD52E258C41}"/>
    <cellStyle name="Percent 3" xfId="971" xr:uid="{00000000-0005-0000-0000-0000C5070000}"/>
    <cellStyle name="Percent 3 2" xfId="972" xr:uid="{00000000-0005-0000-0000-0000C6070000}"/>
    <cellStyle name="Percent 3 2 2" xfId="11511" xr:uid="{4E9B57C0-16BA-4FA7-8132-95426D7FD093}"/>
    <cellStyle name="Percent 3 2 2 2" xfId="27730" xr:uid="{B1948FE0-5276-4EFD-9171-6EE1BEC3BFB4}"/>
    <cellStyle name="Percent 3 2 3" xfId="12159" xr:uid="{539880DB-BE06-44B8-801E-695F28F0A134}"/>
    <cellStyle name="Percent 3 2 3 2" xfId="27731" xr:uid="{2565C4BC-F51D-430A-96D1-F261F3966EEB}"/>
    <cellStyle name="Percent 3 2 4" xfId="11164" xr:uid="{883B2242-0597-4AA0-B142-754870636910}"/>
    <cellStyle name="Percent 3 2 5" xfId="27729" xr:uid="{4CED21B9-5A5B-4AB2-9077-CC6E61F9C534}"/>
    <cellStyle name="Percent 3 3" xfId="973" xr:uid="{00000000-0005-0000-0000-0000C7070000}"/>
    <cellStyle name="Percent 3 3 2" xfId="2270" xr:uid="{00000000-0005-0000-0000-0000C8070000}"/>
    <cellStyle name="Percent 3 3 2 2" xfId="2271" xr:uid="{00000000-0005-0000-0000-0000C9070000}"/>
    <cellStyle name="Percent 3 3 2 2 2" xfId="27734" xr:uid="{ADE7378E-B594-42F2-AE54-0C8DDD18A289}"/>
    <cellStyle name="Percent 3 3 2 3" xfId="11085" xr:uid="{31D7D7C9-D507-46AC-86D3-A6147F4F5889}"/>
    <cellStyle name="Percent 3 3 2 3 2" xfId="27735" xr:uid="{C314EF37-7FF5-437B-8508-C51C9CB3F7DC}"/>
    <cellStyle name="Percent 3 3 2 4" xfId="27733" xr:uid="{696D3D40-ECA0-4575-AF90-9533A8D773A5}"/>
    <cellStyle name="Percent 3 3 3" xfId="4272" xr:uid="{D1A584F2-1BB1-4950-830C-9E5C2F5A2B90}"/>
    <cellStyle name="Percent 3 3 3 2" xfId="9395" xr:uid="{D3F580B4-CDD2-49DA-98E2-FA0A441E70CA}"/>
    <cellStyle name="Percent 3 3 3 2 2" xfId="27737" xr:uid="{A6D1DCB7-DB36-4C46-960D-3D02D8E2FFF3}"/>
    <cellStyle name="Percent 3 3 3 3" xfId="27738" xr:uid="{D86D92BF-7EAA-42F4-8FC5-12303AB5B6A6}"/>
    <cellStyle name="Percent 3 3 3 3 2" xfId="49066" xr:uid="{6AE06097-0F67-45AA-B5AA-45D17C0253D9}"/>
    <cellStyle name="Percent 3 3 3 4" xfId="27736" xr:uid="{1FF697A4-4959-44DC-A598-52B8B7FFB1C2}"/>
    <cellStyle name="Percent 3 3 4" xfId="4273" xr:uid="{768DAE1E-6339-4415-87C6-0250EB247B4A}"/>
    <cellStyle name="Percent 3 3 4 2" xfId="13777" xr:uid="{505F4A30-5098-487D-A1EA-8B7255EB0CE6}"/>
    <cellStyle name="Percent 3 3 4 3" xfId="27739" xr:uid="{B051AFB5-A97E-459B-B47B-19E6FB374641}"/>
    <cellStyle name="Percent 3 3 5" xfId="12427" xr:uid="{D13256ED-B215-48E0-BA2C-483C88C2087D}"/>
    <cellStyle name="Percent 3 3 5 2" xfId="27740" xr:uid="{A31D0947-E8BA-4296-A642-A20CCFDA3981}"/>
    <cellStyle name="Percent 3 3 6" xfId="27741" xr:uid="{8EE74358-F664-42BF-9E39-0C38A25B589E}"/>
    <cellStyle name="Percent 3 3 7" xfId="27732" xr:uid="{058D2107-610E-40C7-8F33-DE1F4C1C0313}"/>
    <cellStyle name="Percent 3 4" xfId="2272" xr:uid="{00000000-0005-0000-0000-0000CA070000}"/>
    <cellStyle name="Percent 3 4 2" xfId="2273" xr:uid="{00000000-0005-0000-0000-0000CB070000}"/>
    <cellStyle name="Percent 3 4 2 2" xfId="27743" xr:uid="{A57A18F9-E482-4DFD-B31E-AECB54A39F57}"/>
    <cellStyle name="Percent 3 4 3" xfId="11086" xr:uid="{982F4ADC-D14D-4340-B517-3AF191C029E2}"/>
    <cellStyle name="Percent 3 4 3 2" xfId="27744" xr:uid="{9D023BB5-3EB5-4FCF-A1C4-CCE682CCE2C0}"/>
    <cellStyle name="Percent 3 4 4" xfId="27742" xr:uid="{F5A84958-C06B-4E4F-91CE-A56A7D8C0D32}"/>
    <cellStyle name="Percent 3 5" xfId="9396" xr:uid="{DA934755-0C2A-491D-B492-24B3653942A7}"/>
    <cellStyle name="Percent 3 5 2" xfId="9397" xr:uid="{CE8EDD5D-396F-4C4F-AD6B-16E9C9B0B4D2}"/>
    <cellStyle name="Percent 3 5 2 2" xfId="27746" xr:uid="{D9850FB3-C168-4FAA-B746-99BFE0B9A60E}"/>
    <cellStyle name="Percent 3 5 3" xfId="27745" xr:uid="{5C93AD72-B6E4-4530-9123-2BD16BB263FE}"/>
    <cellStyle name="Percent 3 6" xfId="11510" xr:uid="{1CDA535E-C17E-42AB-BE54-E5D9B9A1019E}"/>
    <cellStyle name="Percent 3 6 2" xfId="27747" xr:uid="{2C500EF3-5FC4-4E1F-8D91-709A64B7E931}"/>
    <cellStyle name="Percent 3 7" xfId="27748" xr:uid="{26C928AB-A142-48C7-82AC-244CD1463365}"/>
    <cellStyle name="Percent 3 8" xfId="27728" xr:uid="{E8E9277F-4DB3-4FA3-808E-2FF0AC4CFD11}"/>
    <cellStyle name="Percent 4" xfId="2274" xr:uid="{00000000-0005-0000-0000-0000CC070000}"/>
    <cellStyle name="Percent 4 2" xfId="9398" xr:uid="{AC448A16-85D5-4B00-B34A-6DE7680CCDC9}"/>
    <cellStyle name="Percent 4 2 2" xfId="9399" xr:uid="{8764FDF8-B970-4560-B4E6-2E6BDC3853F1}"/>
    <cellStyle name="Percent 4 2 2 2" xfId="27751" xr:uid="{0286771D-AB30-4E55-B69A-628C885A5716}"/>
    <cellStyle name="Percent 4 2 3" xfId="27750" xr:uid="{A72CE676-4BE1-4653-BE25-C108E98EC376}"/>
    <cellStyle name="Percent 4 3" xfId="9400" xr:uid="{051E3665-9480-43D9-8A64-289BB58FAE1E}"/>
    <cellStyle name="Percent 4 3 2" xfId="27752" xr:uid="{A4AB53DD-6078-4ADC-9983-CA5C8563BA31}"/>
    <cellStyle name="Percent 4 4" xfId="27753" xr:uid="{8EE0306C-542C-4DE5-9990-570A90999077}"/>
    <cellStyle name="Percent 4 4 2" xfId="49067" xr:uid="{92F09C57-2BD4-46F7-B8D4-CE76FA663F51}"/>
    <cellStyle name="Percent 4 5" xfId="27754" xr:uid="{ADCA7C95-D29F-4606-8389-B16FFF61026D}"/>
    <cellStyle name="Percent 4 6" xfId="27749" xr:uid="{7FF4F6BD-6A2D-499A-AB45-EE5FE64E02E7}"/>
    <cellStyle name="Percent 5" xfId="2275" xr:uid="{00000000-0005-0000-0000-0000CD070000}"/>
    <cellStyle name="Percent 5 2" xfId="27756" xr:uid="{7D72901B-5DF5-4584-9C67-D8066E95518E}"/>
    <cellStyle name="Percent 5 3" xfId="27757" xr:uid="{2454F303-D07A-4223-82BA-6133B189707C}"/>
    <cellStyle name="Percent 5 3 2" xfId="49068" xr:uid="{C61693DD-5BBE-49AB-97E4-E56B94C8557A}"/>
    <cellStyle name="Percent 5 4" xfId="27758" xr:uid="{E4B903F6-2811-434D-B410-08EEEAED0DD6}"/>
    <cellStyle name="Percent 5 5" xfId="27755" xr:uid="{1B308EFA-64B1-4C40-A6C4-44B40FC67E77}"/>
    <cellStyle name="Percent 6" xfId="8117" xr:uid="{C8511529-987B-4BFF-BC10-6510C43BA0D9}"/>
    <cellStyle name="Percent 6 2" xfId="9880" xr:uid="{B37F5C39-5884-452B-A311-1E1899001022}"/>
    <cellStyle name="Percent 6 2 2" xfId="10306" xr:uid="{20321F0F-7AD6-4D34-8F27-D332033E9246}"/>
    <cellStyle name="Percent 6 2 2 2" xfId="12759" xr:uid="{BF31CA1E-55B4-4DBF-886C-247BAFFC7CA9}"/>
    <cellStyle name="Percent 6 2 2 2 2" xfId="47618" xr:uid="{7D2B9A00-1C8A-4B07-A863-CDB044CF4D5B}"/>
    <cellStyle name="Percent 6 2 2 3" xfId="18889" xr:uid="{98C29231-2ED8-4C95-8D14-CAA36A1ED621}"/>
    <cellStyle name="Percent 6 2 3" xfId="12458" xr:uid="{AEB4ED12-B7C4-4FEF-8BC7-94CF52B52238}"/>
    <cellStyle name="Percent 6 2 3 2" xfId="24754" xr:uid="{C7C9A1DE-20A4-40B0-90A1-41A4E84B6082}"/>
    <cellStyle name="Percent 6 2 3 3" xfId="27760" xr:uid="{E9BEC8EE-23B7-4DE6-9396-90D88F7BDD7A}"/>
    <cellStyle name="Percent 6 2 4" xfId="49069" xr:uid="{D5D0D132-E203-4EAA-856A-5DD66E7EC11C}"/>
    <cellStyle name="Percent 6 2 5" xfId="18740" xr:uid="{4B7F6932-A8E8-4531-BFD6-A47D887713E7}"/>
    <cellStyle name="Percent 6 3" xfId="10073" xr:uid="{5DB07C07-C9E6-4DB7-8F66-FD0D93CFCCE1}"/>
    <cellStyle name="Percent 6 3 2" xfId="10385" xr:uid="{847BC0C2-7BDB-4308-99B4-215E89D47194}"/>
    <cellStyle name="Percent 6 3 2 2" xfId="12838" xr:uid="{9E7B7015-5FEC-499E-A56A-9CB816660DF9}"/>
    <cellStyle name="Percent 6 3 2 2 2" xfId="32534" xr:uid="{2BA08635-588B-468A-833F-704DF1981205}"/>
    <cellStyle name="Percent 6 3 2 3" xfId="18930" xr:uid="{F21C418C-760F-4DF2-8CC9-5B3848B0E3E1}"/>
    <cellStyle name="Percent 6 3 3" xfId="12530" xr:uid="{8EAC079D-82F3-4A67-8B96-69B32112514B}"/>
    <cellStyle name="Percent 6 3 3 2" xfId="25085" xr:uid="{DA8130F5-F759-4799-B4CD-F0E99586F0AA}"/>
    <cellStyle name="Percent 6 3 4" xfId="18774" xr:uid="{70809FAF-CDE9-4133-B723-7A973A357202}"/>
    <cellStyle name="Percent 6 4" xfId="10151" xr:uid="{E6208570-B0C8-4687-8EBD-1E44C56C5152}"/>
    <cellStyle name="Percent 6 4 2" xfId="10465" xr:uid="{C4EA1FDD-F7AC-44CD-9DE1-6338AAA0B23F}"/>
    <cellStyle name="Percent 6 4 2 2" xfId="12918" xr:uid="{FADD32D9-8E87-4A5E-91A0-2AF3F5092F97}"/>
    <cellStyle name="Percent 6 4 2 2 2" xfId="47475" xr:uid="{C560D79F-FC40-4411-B15B-048F76C22759}"/>
    <cellStyle name="Percent 6 4 2 3" xfId="18972" xr:uid="{8FE19DE2-DB20-4812-B4AD-16DD9421C3D1}"/>
    <cellStyle name="Percent 6 4 3" xfId="12605" xr:uid="{6D74C599-BBA3-4836-A294-2A5A7E1CADB6}"/>
    <cellStyle name="Percent 6 4 3 2" xfId="48395" xr:uid="{9621765A-1CA3-4087-82F6-7B4BB3F25F1E}"/>
    <cellStyle name="Percent 6 4 4" xfId="18811" xr:uid="{6B020573-BAE7-414E-BDBA-7FADD98A7BAD}"/>
    <cellStyle name="Percent 6 5" xfId="10231" xr:uid="{A0316D6C-EF89-43FE-8110-D49011F8B244}"/>
    <cellStyle name="Percent 6 5 2" xfId="12684" xr:uid="{E78F6429-25DC-47E1-92C1-ADA04D1B6C88}"/>
    <cellStyle name="Percent 6 5 2 2" xfId="48532" xr:uid="{AD1DFC25-B815-4D9C-A76F-2910A9353336}"/>
    <cellStyle name="Percent 6 5 3" xfId="18852" xr:uid="{3CCC7CCB-CC94-4A77-B789-E6909A279C23}"/>
    <cellStyle name="Percent 6 6" xfId="10545" xr:uid="{B324368E-AEF1-4447-AB80-7DC6B6A388E1}"/>
    <cellStyle name="Percent 6 6 2" xfId="12998" xr:uid="{25760ADC-135B-4C85-BB25-537812358825}"/>
    <cellStyle name="Percent 6 6 2 2" xfId="25034" xr:uid="{5D66B2DB-776C-4F46-B03C-2CA44DFBCA25}"/>
    <cellStyle name="Percent 6 6 3" xfId="19014" xr:uid="{6C0649D8-4467-48D2-BD3D-AFB820CE2C46}"/>
    <cellStyle name="Percent 6 7" xfId="12160" xr:uid="{FA0222FA-67A3-4FD1-9C8B-C861F019A9CC}"/>
    <cellStyle name="Percent 6 7 2" xfId="24488" xr:uid="{50FDB580-64B8-4266-8906-4BC4818F2137}"/>
    <cellStyle name="Percent 6 7 3" xfId="27759" xr:uid="{DDB723CB-82C3-4949-A289-22008D35DDDF}"/>
    <cellStyle name="Percent 6 8" xfId="16991" xr:uid="{EFC59F28-4B92-4B62-BE59-F88FBEA9E43F}"/>
    <cellStyle name="Percent 7" xfId="6975" xr:uid="{6E87AF34-1957-459C-884F-8CA50C9A08F1}"/>
    <cellStyle name="Percent 7 2" xfId="27762" xr:uid="{594FDE7B-9537-43D8-B2E5-04AB0EC9D1C3}"/>
    <cellStyle name="Percent 7 2 2" xfId="49070" xr:uid="{567F5ED4-063E-43C9-9391-B0023118E512}"/>
    <cellStyle name="Percent 7 3" xfId="27761" xr:uid="{6863A40A-B750-4A11-92D2-AA52646CE72A}"/>
    <cellStyle name="Percent 7 4" xfId="47706" xr:uid="{BBCB8D8A-AA0E-4352-8A32-F1178074CC8C}"/>
    <cellStyle name="Percent 7 5" xfId="16992" xr:uid="{83157398-91C7-4628-8A39-C0FB60C838EC}"/>
    <cellStyle name="Percent 7 6" xfId="10613" xr:uid="{A0603173-128F-454B-A33A-82A81955209E}"/>
    <cellStyle name="Percent 8" xfId="30230" xr:uid="{FB5291AC-6B2E-475F-A1FF-AFCE66F8721A}"/>
    <cellStyle name="Percent 9" xfId="55820" xr:uid="{36A7D34F-281D-4F5E-8C96-C4B4766581E8}"/>
    <cellStyle name="Percentuale 10" xfId="974" xr:uid="{00000000-0005-0000-0000-0000CE070000}"/>
    <cellStyle name="Percentuale 10 2" xfId="975" xr:uid="{00000000-0005-0000-0000-0000CF070000}"/>
    <cellStyle name="Percentuale 10 2 2" xfId="4274" xr:uid="{39BCB8B2-FCB9-4C82-9A5D-BE1D03B8E592}"/>
    <cellStyle name="Percentuale 10 2 2 2" xfId="13563" xr:uid="{30C8BCBD-A8B1-4179-B95A-1D56504746F4}"/>
    <cellStyle name="Percentuale 10 2 2 3" xfId="27765" xr:uid="{D426330B-20C3-48F1-BDB3-EC44CAF43DB8}"/>
    <cellStyle name="Percentuale 10 2 3" xfId="13301" xr:uid="{494E0E9A-C0E7-48E6-94D7-616CC49FC8E0}"/>
    <cellStyle name="Percentuale 10 2 3 2" xfId="27766" xr:uid="{2ECE37D3-B997-4DA4-A7C4-4BF918A7E61A}"/>
    <cellStyle name="Percentuale 10 2 4" xfId="27767" xr:uid="{4F1D431C-D708-4775-B8BE-E96E43C6A812}"/>
    <cellStyle name="Percentuale 10 2 5" xfId="27764" xr:uid="{1E7C4B00-ADA3-4A5D-890D-64388A005D05}"/>
    <cellStyle name="Percentuale 10 3" xfId="976" xr:uid="{00000000-0005-0000-0000-0000D0070000}"/>
    <cellStyle name="Percentuale 10 3 2" xfId="977" xr:uid="{00000000-0005-0000-0000-0000D1070000}"/>
    <cellStyle name="Percentuale 10 3 2 2" xfId="2276" xr:uid="{00000000-0005-0000-0000-0000D2070000}"/>
    <cellStyle name="Percentuale 10 3 2 2 2" xfId="27770" xr:uid="{E4833DAB-807A-4F52-AA9B-68C2FD56AD72}"/>
    <cellStyle name="Percentuale 10 3 2 3" xfId="8118" xr:uid="{D3715449-5CD2-4B88-A968-735858F9E45A}"/>
    <cellStyle name="Percentuale 10 3 2 3 2" xfId="14117" xr:uid="{920C0097-3945-4921-ACF9-ED1AEA3DEE22}"/>
    <cellStyle name="Percentuale 10 3 2 3 3" xfId="27771" xr:uid="{B786D9E4-A95D-4CC4-9D48-BB3CB7B86897}"/>
    <cellStyle name="Percentuale 10 3 2 4" xfId="27769" xr:uid="{27768C39-304F-4925-A895-A77F1EE768A9}"/>
    <cellStyle name="Percentuale 10 3 3" xfId="4275" xr:uid="{56DC984E-2C46-4C9E-B3FC-C485EF4F5400}"/>
    <cellStyle name="Percentuale 10 3 3 2" xfId="9401" xr:uid="{4F6588F9-5D31-44A3-B5B4-1018422CF6A8}"/>
    <cellStyle name="Percentuale 10 3 3 2 2" xfId="27773" xr:uid="{08459EA5-2D02-47E2-AED3-E73700F2FEF0}"/>
    <cellStyle name="Percentuale 10 3 3 3" xfId="27774" xr:uid="{2F5CAA90-1FA8-431E-9CEA-0BA8C67A34A1}"/>
    <cellStyle name="Percentuale 10 3 3 3 2" xfId="49071" xr:uid="{B088AEA8-6752-40A7-B2EE-B235F41191EE}"/>
    <cellStyle name="Percentuale 10 3 3 4" xfId="27772" xr:uid="{6C54B00A-673D-4915-B16E-B602AD494DAB}"/>
    <cellStyle name="Percentuale 10 3 4" xfId="4276" xr:uid="{764F49AA-8220-4A6F-A3C9-EDBB7EE07980}"/>
    <cellStyle name="Percentuale 10 3 4 2" xfId="13778" xr:uid="{2A69BC9B-57E6-4C7B-9AA9-7575EA413578}"/>
    <cellStyle name="Percentuale 10 3 4 3" xfId="27775" xr:uid="{B2D95A10-3112-4CDD-B318-8EB6046E8901}"/>
    <cellStyle name="Percentuale 10 3 5" xfId="12297" xr:uid="{F6AD2B49-5702-47DB-A7ED-0A061215D432}"/>
    <cellStyle name="Percentuale 10 3 5 2" xfId="27776" xr:uid="{CDE44E16-08CE-4883-AB17-0914A04DF1A0}"/>
    <cellStyle name="Percentuale 10 3 6" xfId="27777" xr:uid="{F2891348-3956-4AAF-8CA2-F1077522A56B}"/>
    <cellStyle name="Percentuale 10 3 7" xfId="27768" xr:uid="{B01ADFD8-D88F-469B-B88E-0B841F31001E}"/>
    <cellStyle name="Percentuale 10 4" xfId="2277" xr:uid="{00000000-0005-0000-0000-0000D3070000}"/>
    <cellStyle name="Percentuale 10 4 2" xfId="2278" xr:uid="{00000000-0005-0000-0000-0000D4070000}"/>
    <cellStyle name="Percentuale 10 4 2 2" xfId="9402" xr:uid="{95AD5EB7-9C57-4DA7-8098-3D575DF2E9C7}"/>
    <cellStyle name="Percentuale 10 4 2 2 2" xfId="27780" xr:uid="{ED4643C2-08C1-4031-AA9E-368E13CE1753}"/>
    <cellStyle name="Percentuale 10 4 2 3" xfId="17903" xr:uid="{06862291-ECF4-4069-8668-898B32947290}"/>
    <cellStyle name="Percentuale 10 4 2 3 2" xfId="27781" xr:uid="{EAA924AB-DBBE-4CC5-B492-96B88B3E3C7A}"/>
    <cellStyle name="Percentuale 10 4 2 4" xfId="27779" xr:uid="{6DDEC687-DB32-4342-AD2A-914BA96523AE}"/>
    <cellStyle name="Percentuale 10 4 2 5" xfId="17510" xr:uid="{8CD40204-7339-4D71-BB6D-87F2709FEBF1}"/>
    <cellStyle name="Percentuale 10 4 3" xfId="9403" xr:uid="{4A1D72D5-3EFF-435D-BC74-60890B719131}"/>
    <cellStyle name="Percentuale 10 4 3 2" xfId="27782" xr:uid="{FF1D2F33-3BEC-4592-BD8E-9B0E96B8FD94}"/>
    <cellStyle name="Percentuale 10 4 4" xfId="27783" xr:uid="{5C91D820-B8A9-4E13-830B-F88B7DBFAE86}"/>
    <cellStyle name="Percentuale 10 4 4 2" xfId="49072" xr:uid="{6A54C59C-EA2C-434F-8B5B-1E2746877D25}"/>
    <cellStyle name="Percentuale 10 4 5" xfId="27784" xr:uid="{D19B35E2-0A4F-47CE-BF08-ABB6DC121294}"/>
    <cellStyle name="Percentuale 10 4 6" xfId="27778" xr:uid="{25BCF4DD-544B-4367-94B9-FBF424ACF5E7}"/>
    <cellStyle name="Percentuale 10 5" xfId="2279" xr:uid="{00000000-0005-0000-0000-0000D5070000}"/>
    <cellStyle name="Percentuale 10 5 2" xfId="27786" xr:uid="{5BF58E12-34C8-475E-A971-60DE3F520D14}"/>
    <cellStyle name="Percentuale 10 5 2 2" xfId="49073" xr:uid="{8F71E999-930D-41E9-A592-4CB02EC9E859}"/>
    <cellStyle name="Percentuale 10 5 3" xfId="27787" xr:uid="{1D25A9C6-5154-4DAC-8EE9-1E30ED2F133B}"/>
    <cellStyle name="Percentuale 10 5 4" xfId="27785" xr:uid="{C6DBF7A6-005D-4760-89F4-E20987738ED9}"/>
    <cellStyle name="Percentuale 10 6" xfId="4277" xr:uid="{A028B1D7-AA1A-466E-9AE8-1E4FB82CCB4B}"/>
    <cellStyle name="Percentuale 10 6 2" xfId="9812" xr:uid="{F31AFCBA-2AE5-45AF-A625-88757E8DDF9B}"/>
    <cellStyle name="Percentuale 10 6 3" xfId="27788" xr:uid="{3C52B29F-3382-4F30-936F-94E7610C2463}"/>
    <cellStyle name="Percentuale 10 7" xfId="27763" xr:uid="{E8B2DD8B-B6BA-40B2-ACE7-70AA8DD77936}"/>
    <cellStyle name="Percentuale 11" xfId="978" xr:uid="{00000000-0005-0000-0000-0000D6070000}"/>
    <cellStyle name="Percentuale 11 2" xfId="979" xr:uid="{00000000-0005-0000-0000-0000D7070000}"/>
    <cellStyle name="Percentuale 11 2 2" xfId="4278" xr:uid="{5D1BD082-A620-4A4A-9176-08B178CC8C13}"/>
    <cellStyle name="Percentuale 11 2 2 2" xfId="13564" xr:uid="{24494623-2C94-491B-AE4C-86BE1913DA26}"/>
    <cellStyle name="Percentuale 11 2 2 3" xfId="27791" xr:uid="{DDCB89CC-0786-4A3E-88A0-45D785488493}"/>
    <cellStyle name="Percentuale 11 2 3" xfId="13302" xr:uid="{B8746BD9-8B84-4C22-AA4A-1602CD1271C6}"/>
    <cellStyle name="Percentuale 11 2 3 2" xfId="27792" xr:uid="{A6F36DB9-58F7-44F4-8D7B-9F9B67942C10}"/>
    <cellStyle name="Percentuale 11 2 4" xfId="27793" xr:uid="{6072DEE9-F840-4F2A-8433-92CE3C6DDA3C}"/>
    <cellStyle name="Percentuale 11 2 5" xfId="27790" xr:uid="{27E1F50A-9AE9-4EFF-ADD6-319287485879}"/>
    <cellStyle name="Percentuale 11 3" xfId="980" xr:uid="{00000000-0005-0000-0000-0000D8070000}"/>
    <cellStyle name="Percentuale 11 3 2" xfId="981" xr:uid="{00000000-0005-0000-0000-0000D9070000}"/>
    <cellStyle name="Percentuale 11 3 2 2" xfId="2280" xr:uid="{00000000-0005-0000-0000-0000DA070000}"/>
    <cellStyle name="Percentuale 11 3 2 2 2" xfId="27796" xr:uid="{25456894-FE2E-4CB2-89F7-C3B9982FED7D}"/>
    <cellStyle name="Percentuale 11 3 2 3" xfId="8119" xr:uid="{533672B1-94FD-4BA3-8347-91518E8C2502}"/>
    <cellStyle name="Percentuale 11 3 2 3 2" xfId="14118" xr:uid="{EEAFEFB5-AA5D-4F7C-A7DA-7B9CED0C7992}"/>
    <cellStyle name="Percentuale 11 3 2 3 3" xfId="27797" xr:uid="{E63A7CD0-5D4C-4D34-A2D3-EA981B95E10F}"/>
    <cellStyle name="Percentuale 11 3 2 4" xfId="27795" xr:uid="{131A634B-7567-4F9D-BFFA-753F80A6F839}"/>
    <cellStyle name="Percentuale 11 3 3" xfId="4279" xr:uid="{6C65DE3F-381D-444B-86BC-9FA9F8266DA0}"/>
    <cellStyle name="Percentuale 11 3 3 2" xfId="9404" xr:uid="{70E5C9B0-F266-4826-B65E-C4B8ABE75FD9}"/>
    <cellStyle name="Percentuale 11 3 3 2 2" xfId="27799" xr:uid="{27F5DB34-2EF4-4310-8269-580FF9AD09F5}"/>
    <cellStyle name="Percentuale 11 3 3 3" xfId="27800" xr:uid="{E39CA28C-9358-4E67-9EB8-83D49D721A03}"/>
    <cellStyle name="Percentuale 11 3 3 3 2" xfId="49074" xr:uid="{94A11AAC-77F1-4D98-B2F7-C0E2AC0C551C}"/>
    <cellStyle name="Percentuale 11 3 3 4" xfId="27798" xr:uid="{BE31B869-FC7A-4CE9-9FF7-456E76A7069B}"/>
    <cellStyle name="Percentuale 11 3 4" xfId="4280" xr:uid="{40615840-9947-4D02-8B04-B0A9B2DD6E0C}"/>
    <cellStyle name="Percentuale 11 3 4 2" xfId="13779" xr:uid="{6ABD97BC-8125-4D7C-A058-EA975B93C5B7}"/>
    <cellStyle name="Percentuale 11 3 4 3" xfId="27801" xr:uid="{E1092948-2B61-4E2B-A6E1-1F5989F765DD}"/>
    <cellStyle name="Percentuale 11 3 5" xfId="12296" xr:uid="{2049CD81-40CA-4947-BFC6-6DFEE0F5AA49}"/>
    <cellStyle name="Percentuale 11 3 5 2" xfId="27802" xr:uid="{24599897-5149-43CF-B969-E9EF039207FB}"/>
    <cellStyle name="Percentuale 11 3 6" xfId="27803" xr:uid="{77928F95-E76B-414A-A4D6-914F483449F9}"/>
    <cellStyle name="Percentuale 11 3 7" xfId="27794" xr:uid="{46D9E6CA-BFC5-4250-B186-A1B01FA92BDB}"/>
    <cellStyle name="Percentuale 11 4" xfId="2281" xr:uid="{00000000-0005-0000-0000-0000DB070000}"/>
    <cellStyle name="Percentuale 11 4 2" xfId="2282" xr:uid="{00000000-0005-0000-0000-0000DC070000}"/>
    <cellStyle name="Percentuale 11 4 2 2" xfId="9405" xr:uid="{C40DBA66-407C-4C30-9DFF-816516C41EC6}"/>
    <cellStyle name="Percentuale 11 4 2 2 2" xfId="27806" xr:uid="{6A45C564-CE19-43C6-9366-5ECAB8162F2E}"/>
    <cellStyle name="Percentuale 11 4 2 3" xfId="17904" xr:uid="{7E90B65C-EE84-4B61-9201-B654986DC171}"/>
    <cellStyle name="Percentuale 11 4 2 3 2" xfId="27807" xr:uid="{92F10991-92B2-410A-8AD1-5AA37CECF115}"/>
    <cellStyle name="Percentuale 11 4 2 4" xfId="27805" xr:uid="{3B1D9F61-4194-4F05-B879-032A30F08DE8}"/>
    <cellStyle name="Percentuale 11 4 2 5" xfId="17511" xr:uid="{DB9463D0-F71D-4128-A05D-B2EA505322A5}"/>
    <cellStyle name="Percentuale 11 4 3" xfId="9406" xr:uid="{E334CCC8-F2C1-4035-BF95-11CFCF77EA61}"/>
    <cellStyle name="Percentuale 11 4 3 2" xfId="27808" xr:uid="{227B8E52-50FD-4EB9-ADAB-D153F7DFBBB2}"/>
    <cellStyle name="Percentuale 11 4 4" xfId="27809" xr:uid="{516A494A-14B6-4912-8FCF-7C52A39DF108}"/>
    <cellStyle name="Percentuale 11 4 4 2" xfId="49075" xr:uid="{9E25C0A5-E9C8-45AC-82F4-5829EAD57D59}"/>
    <cellStyle name="Percentuale 11 4 5" xfId="27810" xr:uid="{6EFF4EA8-EE53-4003-89AA-B7985A4A0C72}"/>
    <cellStyle name="Percentuale 11 4 6" xfId="27804" xr:uid="{2241438B-F924-4714-B250-FE26DDAB0A30}"/>
    <cellStyle name="Percentuale 11 5" xfId="2283" xr:uid="{00000000-0005-0000-0000-0000DD070000}"/>
    <cellStyle name="Percentuale 11 5 2" xfId="27812" xr:uid="{7F1B9469-A053-4566-B508-123BD82C784B}"/>
    <cellStyle name="Percentuale 11 5 2 2" xfId="49076" xr:uid="{9F5FC815-B2CE-405E-97CC-BF71C7F38F2C}"/>
    <cellStyle name="Percentuale 11 5 3" xfId="27813" xr:uid="{D2C7D3A9-8A9A-4B2C-8119-C425705F3173}"/>
    <cellStyle name="Percentuale 11 5 4" xfId="27811" xr:uid="{4C549969-A79A-4BFD-830A-CF7F4A8A20BF}"/>
    <cellStyle name="Percentuale 11 6" xfId="4281" xr:uid="{E4A69DDD-E4A7-47EC-8803-46270AE48339}"/>
    <cellStyle name="Percentuale 11 6 2" xfId="9813" xr:uid="{2334840E-9E35-46EA-A0AC-0AD9625BC37E}"/>
    <cellStyle name="Percentuale 11 6 3" xfId="27814" xr:uid="{1809B92D-CC8C-4CA1-A4C6-E2EFBD9C3095}"/>
    <cellStyle name="Percentuale 11 7" xfId="27789" xr:uid="{7A8DEAC7-C5E0-4463-9534-FF2929412833}"/>
    <cellStyle name="Percentuale 12" xfId="982" xr:uid="{00000000-0005-0000-0000-0000DE070000}"/>
    <cellStyle name="Percentuale 12 2" xfId="983" xr:uid="{00000000-0005-0000-0000-0000DF070000}"/>
    <cellStyle name="Percentuale 12 2 2" xfId="4282" xr:uid="{BE677AFB-96FF-43CD-A658-A16D1E66D8A4}"/>
    <cellStyle name="Percentuale 12 2 2 2" xfId="13565" xr:uid="{FB8E6425-90E6-45C1-A3AC-05CE1AB5554C}"/>
    <cellStyle name="Percentuale 12 2 2 3" xfId="27817" xr:uid="{BA3F9795-F30B-44DA-9951-AE382F0E3FCB}"/>
    <cellStyle name="Percentuale 12 2 3" xfId="13303" xr:uid="{13F6591F-CD04-4466-B684-55930C4D1790}"/>
    <cellStyle name="Percentuale 12 2 3 2" xfId="27818" xr:uid="{D174916F-1671-4520-A58C-560EA2919D6A}"/>
    <cellStyle name="Percentuale 12 2 4" xfId="27819" xr:uid="{D2224E00-74B4-4E5E-B578-35E1719AE94C}"/>
    <cellStyle name="Percentuale 12 2 5" xfId="27816" xr:uid="{DDE6F937-1EA6-448E-BB7A-14BB7A815F0A}"/>
    <cellStyle name="Percentuale 12 3" xfId="984" xr:uid="{00000000-0005-0000-0000-0000E0070000}"/>
    <cellStyle name="Percentuale 12 3 2" xfId="985" xr:uid="{00000000-0005-0000-0000-0000E1070000}"/>
    <cellStyle name="Percentuale 12 3 2 2" xfId="2284" xr:uid="{00000000-0005-0000-0000-0000E2070000}"/>
    <cellStyle name="Percentuale 12 3 2 2 2" xfId="27822" xr:uid="{CE4E6ACB-37E8-47A8-AEAE-1D903E7B0056}"/>
    <cellStyle name="Percentuale 12 3 2 3" xfId="8120" xr:uid="{4C653185-BAC4-4287-B35F-91AD43254D48}"/>
    <cellStyle name="Percentuale 12 3 2 3 2" xfId="14119" xr:uid="{47FF0BED-E3B1-4A69-BF3D-BF698EF004B4}"/>
    <cellStyle name="Percentuale 12 3 2 3 3" xfId="27823" xr:uid="{F306D521-46B5-47C3-8E28-DE38D89B7C89}"/>
    <cellStyle name="Percentuale 12 3 2 4" xfId="27821" xr:uid="{FA8F058E-B6A8-4B39-9D06-C52EEB5D7977}"/>
    <cellStyle name="Percentuale 12 3 3" xfId="4283" xr:uid="{25C4BBA1-F3D0-4E18-B2D8-ACA6D3DED9FF}"/>
    <cellStyle name="Percentuale 12 3 3 2" xfId="9407" xr:uid="{E1B4A489-50CD-49F2-B87E-9202B7655464}"/>
    <cellStyle name="Percentuale 12 3 3 2 2" xfId="27825" xr:uid="{5B88CCE5-D677-43FD-A58C-53F0A49C1855}"/>
    <cellStyle name="Percentuale 12 3 3 3" xfId="27826" xr:uid="{CBEB3298-8523-4EEC-B721-D8DB1A2D2B44}"/>
    <cellStyle name="Percentuale 12 3 3 3 2" xfId="49077" xr:uid="{2113950C-2ED6-43AF-BD41-CC41E83BB70E}"/>
    <cellStyle name="Percentuale 12 3 3 4" xfId="27824" xr:uid="{ABE3C971-8AA4-4BAB-8694-B0A92BC40533}"/>
    <cellStyle name="Percentuale 12 3 4" xfId="4284" xr:uid="{9D075CE4-5150-48DD-846E-109A88DFB1EE}"/>
    <cellStyle name="Percentuale 12 3 4 2" xfId="13780" xr:uid="{ABF28354-D5B9-415A-AC94-63CF92AB1DA1}"/>
    <cellStyle name="Percentuale 12 3 4 3" xfId="27827" xr:uid="{B535F59B-202E-43A1-9A12-8E93769C73F9}"/>
    <cellStyle name="Percentuale 12 3 5" xfId="11158" xr:uid="{06EDD25E-CB6F-47FC-B1DA-A16478C79D54}"/>
    <cellStyle name="Percentuale 12 3 5 2" xfId="27828" xr:uid="{C8E9D625-8F07-473A-B098-41C61A4590CA}"/>
    <cellStyle name="Percentuale 12 3 6" xfId="27829" xr:uid="{BE5E5641-877A-451E-97F3-E8CCACED0592}"/>
    <cellStyle name="Percentuale 12 3 7" xfId="27820" xr:uid="{926E5DF4-CB02-455D-8169-248F752C243B}"/>
    <cellStyle name="Percentuale 12 4" xfId="2285" xr:uid="{00000000-0005-0000-0000-0000E3070000}"/>
    <cellStyle name="Percentuale 12 4 2" xfId="2286" xr:uid="{00000000-0005-0000-0000-0000E4070000}"/>
    <cellStyle name="Percentuale 12 4 2 2" xfId="9408" xr:uid="{626BA2E8-89B5-46D1-BA80-6D3BBC3F7F0E}"/>
    <cellStyle name="Percentuale 12 4 2 2 2" xfId="27832" xr:uid="{869A2B09-44C7-4E1F-9C9D-D294D2A61BF0}"/>
    <cellStyle name="Percentuale 12 4 2 3" xfId="17905" xr:uid="{26F84748-5959-40CC-AFB0-4D485400539C}"/>
    <cellStyle name="Percentuale 12 4 2 3 2" xfId="27833" xr:uid="{BBE06885-655A-4D97-8F63-9493FEA8B069}"/>
    <cellStyle name="Percentuale 12 4 2 4" xfId="27831" xr:uid="{A6E4221C-4E64-4560-AA5C-61AEBBC95718}"/>
    <cellStyle name="Percentuale 12 4 2 5" xfId="17512" xr:uid="{CA927180-1EB7-4194-91D3-4D3E8D8DE46D}"/>
    <cellStyle name="Percentuale 12 4 3" xfId="9409" xr:uid="{10C15755-BD15-4B39-B08C-06F62829AA27}"/>
    <cellStyle name="Percentuale 12 4 3 2" xfId="27834" xr:uid="{9A87954F-F41E-49D8-99B4-2712A592C090}"/>
    <cellStyle name="Percentuale 12 4 4" xfId="27835" xr:uid="{E3ACEDE0-A2D4-41FF-A8A1-C9C48B97DC20}"/>
    <cellStyle name="Percentuale 12 4 4 2" xfId="49078" xr:uid="{12654516-375E-43FE-938F-526339381FF4}"/>
    <cellStyle name="Percentuale 12 4 5" xfId="27836" xr:uid="{3142D3D6-4818-4E18-B1CD-B6C751D24671}"/>
    <cellStyle name="Percentuale 12 4 6" xfId="27830" xr:uid="{E3424B99-5128-423A-910E-56121276BDAE}"/>
    <cellStyle name="Percentuale 12 5" xfId="2287" xr:uid="{00000000-0005-0000-0000-0000E5070000}"/>
    <cellStyle name="Percentuale 12 5 2" xfId="27838" xr:uid="{9017B362-9DCC-49F6-A20F-27C2D5E69E87}"/>
    <cellStyle name="Percentuale 12 5 2 2" xfId="49079" xr:uid="{00E0AAC4-7B75-46A1-A4FD-3E82DA01A657}"/>
    <cellStyle name="Percentuale 12 5 3" xfId="27839" xr:uid="{71CF15F7-2A8B-4D97-9A1F-001820DE6686}"/>
    <cellStyle name="Percentuale 12 5 4" xfId="27837" xr:uid="{A248E922-C066-4980-BF2C-D54CFA8FB02C}"/>
    <cellStyle name="Percentuale 12 6" xfId="4285" xr:uid="{1B474F75-1463-429B-8B6C-3B104A6FF5C8}"/>
    <cellStyle name="Percentuale 12 6 2" xfId="9814" xr:uid="{0307EC3C-527E-4F43-9D14-C745FBF040AE}"/>
    <cellStyle name="Percentuale 12 6 3" xfId="27840" xr:uid="{8E5B82D7-93A5-45B7-A9DC-7DE912A1FC66}"/>
    <cellStyle name="Percentuale 12 7" xfId="27815" xr:uid="{8F20DF87-1B32-4755-9432-7E065A100C21}"/>
    <cellStyle name="Percentuale 13" xfId="986" xr:uid="{00000000-0005-0000-0000-0000E6070000}"/>
    <cellStyle name="Percentuale 13 2" xfId="987" xr:uid="{00000000-0005-0000-0000-0000E7070000}"/>
    <cellStyle name="Percentuale 13 2 2" xfId="4286" xr:uid="{3E81DE9F-9A5D-45BE-A009-1D72EFA31886}"/>
    <cellStyle name="Percentuale 13 2 2 2" xfId="13566" xr:uid="{906FA22C-1597-4C64-B48F-994217FAC562}"/>
    <cellStyle name="Percentuale 13 2 2 3" xfId="27843" xr:uid="{FD3E8396-8B77-4755-AD5B-2459E7B4A9E8}"/>
    <cellStyle name="Percentuale 13 2 3" xfId="13304" xr:uid="{E65FAE8A-CD28-4EB1-BD96-34C99F1DE2DB}"/>
    <cellStyle name="Percentuale 13 2 3 2" xfId="27844" xr:uid="{905AD600-B879-48AA-87D1-2DDF0D8A159E}"/>
    <cellStyle name="Percentuale 13 2 4" xfId="27845" xr:uid="{1C78C61A-47DE-4344-B66A-3608D28B50DF}"/>
    <cellStyle name="Percentuale 13 2 5" xfId="27842" xr:uid="{E1FA0EBE-D4CF-4588-8F72-14D090AEC86E}"/>
    <cellStyle name="Percentuale 13 3" xfId="988" xr:uid="{00000000-0005-0000-0000-0000E8070000}"/>
    <cellStyle name="Percentuale 13 3 2" xfId="989" xr:uid="{00000000-0005-0000-0000-0000E9070000}"/>
    <cellStyle name="Percentuale 13 3 2 2" xfId="2288" xr:uid="{00000000-0005-0000-0000-0000EA070000}"/>
    <cellStyle name="Percentuale 13 3 2 2 2" xfId="27848" xr:uid="{4EEF0090-3B31-405A-84A4-D7231F446FBF}"/>
    <cellStyle name="Percentuale 13 3 2 3" xfId="8121" xr:uid="{E92BF5D8-5F22-4E9B-87BB-6036DCAB0D69}"/>
    <cellStyle name="Percentuale 13 3 2 3 2" xfId="14120" xr:uid="{74A2B885-4DBC-4DD7-97AC-47C12ABF8CA3}"/>
    <cellStyle name="Percentuale 13 3 2 3 3" xfId="27849" xr:uid="{8D39E220-8FD5-4F52-8096-04D4C0CCBF32}"/>
    <cellStyle name="Percentuale 13 3 2 4" xfId="27847" xr:uid="{9CC677A7-0481-4407-B945-316CAFBE14B7}"/>
    <cellStyle name="Percentuale 13 3 3" xfId="4287" xr:uid="{A17B56E9-5C5C-4951-818E-CB71D7811CEB}"/>
    <cellStyle name="Percentuale 13 3 3 2" xfId="9410" xr:uid="{27412237-859C-4637-8E78-8CA22DA4E75D}"/>
    <cellStyle name="Percentuale 13 3 3 2 2" xfId="27851" xr:uid="{839579D1-5E70-4F18-9A03-D607AACB8C74}"/>
    <cellStyle name="Percentuale 13 3 3 3" xfId="27852" xr:uid="{402935D6-E8CF-4AA6-8C17-8BDFFEE5B394}"/>
    <cellStyle name="Percentuale 13 3 3 3 2" xfId="49080" xr:uid="{8D643932-4BE9-4820-A9C6-53D417CC0654}"/>
    <cellStyle name="Percentuale 13 3 3 4" xfId="27850" xr:uid="{6B05FEB0-F8A7-4B6A-B272-111997D1DEF5}"/>
    <cellStyle name="Percentuale 13 3 4" xfId="4288" xr:uid="{AE2DE5A2-130F-4C8F-9F41-64265A15728F}"/>
    <cellStyle name="Percentuale 13 3 4 2" xfId="13781" xr:uid="{7B02A431-4A38-4B4A-B36E-5E07982BCE6B}"/>
    <cellStyle name="Percentuale 13 3 4 3" xfId="27853" xr:uid="{932703DA-C43D-4FAE-B602-7DA6B2EBCD48}"/>
    <cellStyle name="Percentuale 13 3 5" xfId="11208" xr:uid="{78083FCB-DD77-4E95-BA5A-8D4F9FB6103B}"/>
    <cellStyle name="Percentuale 13 3 5 2" xfId="27854" xr:uid="{013F1DC8-1365-43A2-9CA7-95396D358FDE}"/>
    <cellStyle name="Percentuale 13 3 6" xfId="27855" xr:uid="{4CB1E9AD-E349-4CBA-8E90-FDCD411A9851}"/>
    <cellStyle name="Percentuale 13 3 7" xfId="27846" xr:uid="{6544E3CF-1A74-4A23-BCDF-FD3D8CBE8CDF}"/>
    <cellStyle name="Percentuale 13 4" xfId="2289" xr:uid="{00000000-0005-0000-0000-0000EB070000}"/>
    <cellStyle name="Percentuale 13 4 2" xfId="2290" xr:uid="{00000000-0005-0000-0000-0000EC070000}"/>
    <cellStyle name="Percentuale 13 4 2 2" xfId="9411" xr:uid="{B055FC4C-C98F-48EB-BAA8-34F890772D1A}"/>
    <cellStyle name="Percentuale 13 4 2 2 2" xfId="27858" xr:uid="{B14486DD-68A9-4F7C-B11F-0E1E67A1FFA1}"/>
    <cellStyle name="Percentuale 13 4 2 3" xfId="17906" xr:uid="{816CC5A9-FDEC-4759-861C-D34FF6571908}"/>
    <cellStyle name="Percentuale 13 4 2 3 2" xfId="27859" xr:uid="{37786C7B-0371-4BE3-B2A2-9AF180B7BCBB}"/>
    <cellStyle name="Percentuale 13 4 2 4" xfId="27857" xr:uid="{C960B1AA-1C20-460E-8140-C59A4EE95D4B}"/>
    <cellStyle name="Percentuale 13 4 2 5" xfId="17513" xr:uid="{9AC3F0B1-9746-46E7-8275-03CB179EE89B}"/>
    <cellStyle name="Percentuale 13 4 3" xfId="9412" xr:uid="{278C88FA-F27E-42BD-9FEF-CFE76ED14A8B}"/>
    <cellStyle name="Percentuale 13 4 3 2" xfId="27860" xr:uid="{556B4C61-31E1-4D09-897B-F6F3E382C197}"/>
    <cellStyle name="Percentuale 13 4 4" xfId="27861" xr:uid="{175815FA-2868-4AA3-94C5-3E605FE03C56}"/>
    <cellStyle name="Percentuale 13 4 4 2" xfId="49081" xr:uid="{53978606-ABCA-41F2-A409-FAE2786C8DF0}"/>
    <cellStyle name="Percentuale 13 4 5" xfId="27862" xr:uid="{F6BC008A-8A08-4DFA-B626-53E0E6234986}"/>
    <cellStyle name="Percentuale 13 4 6" xfId="27856" xr:uid="{86C56C80-33F3-4D7C-9861-850E307D5AAA}"/>
    <cellStyle name="Percentuale 13 5" xfId="2291" xr:uid="{00000000-0005-0000-0000-0000ED070000}"/>
    <cellStyle name="Percentuale 13 5 2" xfId="27864" xr:uid="{CDDCE284-99E7-47AD-94C0-0F297EAB55D3}"/>
    <cellStyle name="Percentuale 13 5 2 2" xfId="49082" xr:uid="{BA97F691-0DAB-4D85-AC34-3ABBFC7B269D}"/>
    <cellStyle name="Percentuale 13 5 3" xfId="27865" xr:uid="{08705EBB-0317-4C93-9D35-74ADBD43A2F0}"/>
    <cellStyle name="Percentuale 13 5 4" xfId="27863" xr:uid="{90B8FC69-A637-4C21-8EED-80C7C037AAEC}"/>
    <cellStyle name="Percentuale 13 6" xfId="4289" xr:uid="{FE2019E6-7996-4B4D-A9AC-843051272977}"/>
    <cellStyle name="Percentuale 13 6 2" xfId="9815" xr:uid="{5517DBA1-CF48-416E-B267-8F05480B6190}"/>
    <cellStyle name="Percentuale 13 6 3" xfId="27866" xr:uid="{6184B0F8-8E16-4C19-ABF6-FB0EA746D3DC}"/>
    <cellStyle name="Percentuale 13 7" xfId="27841" xr:uid="{7358CF7B-9CC0-46F6-BA64-59C5BB0E649C}"/>
    <cellStyle name="Percentuale 14" xfId="990" xr:uid="{00000000-0005-0000-0000-0000EE070000}"/>
    <cellStyle name="Percentuale 14 2" xfId="991" xr:uid="{00000000-0005-0000-0000-0000EF070000}"/>
    <cellStyle name="Percentuale 14 2 2" xfId="4290" xr:uid="{A24B67C0-A369-45C9-A12B-6B7C0CC4D7B0}"/>
    <cellStyle name="Percentuale 14 2 2 2" xfId="13567" xr:uid="{EDCA675E-30F7-4452-9D1F-43959A454CDB}"/>
    <cellStyle name="Percentuale 14 2 2 3" xfId="27869" xr:uid="{8EE5F8BB-338B-4F71-8F88-96AFEF36F519}"/>
    <cellStyle name="Percentuale 14 2 3" xfId="13305" xr:uid="{550BB53D-8750-4C18-83E7-E7A41392512C}"/>
    <cellStyle name="Percentuale 14 2 3 2" xfId="27870" xr:uid="{4BB6C43C-B0A4-4F4B-9936-7AB7D65B1871}"/>
    <cellStyle name="Percentuale 14 2 4" xfId="27871" xr:uid="{F0BA5B10-0C58-4633-88C9-787854812825}"/>
    <cellStyle name="Percentuale 14 2 5" xfId="27868" xr:uid="{ED3F036E-818A-4C3F-8DB3-7F4A0F7BA29E}"/>
    <cellStyle name="Percentuale 14 3" xfId="992" xr:uid="{00000000-0005-0000-0000-0000F0070000}"/>
    <cellStyle name="Percentuale 14 3 2" xfId="993" xr:uid="{00000000-0005-0000-0000-0000F1070000}"/>
    <cellStyle name="Percentuale 14 3 2 2" xfId="2292" xr:uid="{00000000-0005-0000-0000-0000F2070000}"/>
    <cellStyle name="Percentuale 14 3 2 2 2" xfId="27874" xr:uid="{D26A11F3-AB1C-4196-9158-0D7F6B85FF32}"/>
    <cellStyle name="Percentuale 14 3 2 3" xfId="8122" xr:uid="{FDEEFECC-375B-4775-B668-6DD33D4DC4E1}"/>
    <cellStyle name="Percentuale 14 3 2 3 2" xfId="14121" xr:uid="{11A61642-911C-4345-B9FA-03AB963BC3BF}"/>
    <cellStyle name="Percentuale 14 3 2 3 3" xfId="27875" xr:uid="{DCB65693-02F5-4960-9E8A-28ABB8FC6AC3}"/>
    <cellStyle name="Percentuale 14 3 2 4" xfId="27873" xr:uid="{D8FB3D19-6C14-4F04-B497-99A5D1D86F50}"/>
    <cellStyle name="Percentuale 14 3 3" xfId="4291" xr:uid="{D14B0D05-D337-47D6-8ECE-359B3FC7840F}"/>
    <cellStyle name="Percentuale 14 3 3 2" xfId="9413" xr:uid="{D527A978-A9AB-4368-A26C-63306C57E38C}"/>
    <cellStyle name="Percentuale 14 3 3 2 2" xfId="27877" xr:uid="{CF3B0390-80B6-4A32-8C8F-AFC35F44C7BC}"/>
    <cellStyle name="Percentuale 14 3 3 3" xfId="27878" xr:uid="{22331FAC-AB72-4FB1-83FA-6888682424B4}"/>
    <cellStyle name="Percentuale 14 3 3 3 2" xfId="49083" xr:uid="{8F83E162-9B4C-44BA-BF1B-39DB9E4E7EF7}"/>
    <cellStyle name="Percentuale 14 3 3 4" xfId="27876" xr:uid="{B0D9C1F8-BEB6-4F1C-A98C-E0909B1C6C78}"/>
    <cellStyle name="Percentuale 14 3 4" xfId="4292" xr:uid="{D98BC1E2-DE09-41DC-8329-E29219727C8E}"/>
    <cellStyle name="Percentuale 14 3 4 2" xfId="13782" xr:uid="{82962FD4-0C75-43E0-8906-B485B2F7AB6F}"/>
    <cellStyle name="Percentuale 14 3 4 3" xfId="27879" xr:uid="{7AE490B7-0C7C-4B1E-AEE4-3828FAE1D75D}"/>
    <cellStyle name="Percentuale 14 3 5" xfId="12261" xr:uid="{1D196484-FACD-446A-B91B-0C94A9021F27}"/>
    <cellStyle name="Percentuale 14 3 5 2" xfId="27880" xr:uid="{DCA7DE82-05EB-42A1-A729-2F624954C525}"/>
    <cellStyle name="Percentuale 14 3 6" xfId="27881" xr:uid="{396729D6-15AC-487A-997F-452B333D93C1}"/>
    <cellStyle name="Percentuale 14 3 7" xfId="27872" xr:uid="{7C7E2189-4161-4024-B6F3-6FD68CA46209}"/>
    <cellStyle name="Percentuale 14 4" xfId="2293" xr:uid="{00000000-0005-0000-0000-0000F3070000}"/>
    <cellStyle name="Percentuale 14 4 2" xfId="2294" xr:uid="{00000000-0005-0000-0000-0000F4070000}"/>
    <cellStyle name="Percentuale 14 4 2 2" xfId="9414" xr:uid="{693F9A3D-C8D7-4A29-9120-4ACB9508AC94}"/>
    <cellStyle name="Percentuale 14 4 2 2 2" xfId="27884" xr:uid="{126EF5BE-2FAE-4238-8C3F-89A753CA672D}"/>
    <cellStyle name="Percentuale 14 4 2 3" xfId="17907" xr:uid="{2F8C8D17-E0F0-4B11-A47F-8AA66BB0B7DD}"/>
    <cellStyle name="Percentuale 14 4 2 3 2" xfId="27885" xr:uid="{16D8DCCF-A3AC-4BF7-8E40-DC18D3BE8CB1}"/>
    <cellStyle name="Percentuale 14 4 2 4" xfId="27883" xr:uid="{26134C13-B2D7-414A-A186-CC65E55A6A88}"/>
    <cellStyle name="Percentuale 14 4 2 5" xfId="17514" xr:uid="{F2B445C2-D6EC-46DA-A556-1EDAB2CC1B17}"/>
    <cellStyle name="Percentuale 14 4 3" xfId="9415" xr:uid="{0C004CB8-FA8C-491E-8A87-DEDFEC5AD819}"/>
    <cellStyle name="Percentuale 14 4 3 2" xfId="27886" xr:uid="{B63404EF-2B07-49C7-A2A4-FAD03C1343EF}"/>
    <cellStyle name="Percentuale 14 4 4" xfId="27887" xr:uid="{CB3C6E39-04A9-4505-9415-32C7D9DB0A34}"/>
    <cellStyle name="Percentuale 14 4 4 2" xfId="49084" xr:uid="{E84A9E77-B622-42B8-9624-00D830C05445}"/>
    <cellStyle name="Percentuale 14 4 5" xfId="27888" xr:uid="{A42E41BA-7507-4FCA-B1D4-1D7B7AC365CD}"/>
    <cellStyle name="Percentuale 14 4 6" xfId="27882" xr:uid="{9211B14E-FF8E-434D-936F-2799A1DB3724}"/>
    <cellStyle name="Percentuale 14 5" xfId="2295" xr:uid="{00000000-0005-0000-0000-0000F5070000}"/>
    <cellStyle name="Percentuale 14 5 2" xfId="27890" xr:uid="{16154D8C-697F-43A7-B6FE-68CDB20D77B6}"/>
    <cellStyle name="Percentuale 14 5 2 2" xfId="49085" xr:uid="{2CEF21A7-940E-4539-95EE-5CD604E300A3}"/>
    <cellStyle name="Percentuale 14 5 3" xfId="27891" xr:uid="{2D9D8266-8FBB-4074-B2FB-D80A0F93FF33}"/>
    <cellStyle name="Percentuale 14 5 4" xfId="27889" xr:uid="{0DDABAE0-0605-4830-9B52-7646003DFF12}"/>
    <cellStyle name="Percentuale 14 6" xfId="4293" xr:uid="{9B05C7E9-5E19-4FFA-B096-3EC00D6FD146}"/>
    <cellStyle name="Percentuale 14 6 2" xfId="9816" xr:uid="{DD1295F3-E3B9-4A75-8541-35B676AB5E2B}"/>
    <cellStyle name="Percentuale 14 6 3" xfId="27892" xr:uid="{D2478084-A068-4A8D-ACCC-F2556A61FAB3}"/>
    <cellStyle name="Percentuale 14 7" xfId="27867" xr:uid="{615B0A61-E544-4BA0-9725-A7116D91F60C}"/>
    <cellStyle name="Percentuale 15" xfId="994" xr:uid="{00000000-0005-0000-0000-0000F6070000}"/>
    <cellStyle name="Percentuale 15 2" xfId="995" xr:uid="{00000000-0005-0000-0000-0000F7070000}"/>
    <cellStyle name="Percentuale 15 2 2" xfId="4294" xr:uid="{43242DA0-D136-4308-90A8-F1B031FCC2CC}"/>
    <cellStyle name="Percentuale 15 2 2 2" xfId="13568" xr:uid="{D94A58BD-D7D5-4DEA-85EB-E16CD9E8ABEE}"/>
    <cellStyle name="Percentuale 15 2 2 3" xfId="27895" xr:uid="{15C4912D-0314-4865-B45C-9E07730AB9D2}"/>
    <cellStyle name="Percentuale 15 2 3" xfId="13306" xr:uid="{23D1E852-8830-425E-A13E-66F2C82D0191}"/>
    <cellStyle name="Percentuale 15 2 3 2" xfId="27896" xr:uid="{940B14EE-4C33-431C-A28A-C2A2341235CE}"/>
    <cellStyle name="Percentuale 15 2 4" xfId="27897" xr:uid="{32B3A5EF-F781-4B88-93E6-519AE3D00DAA}"/>
    <cellStyle name="Percentuale 15 2 5" xfId="27894" xr:uid="{441E2077-D3B2-440B-954E-36643B35FB0F}"/>
    <cellStyle name="Percentuale 15 3" xfId="996" xr:uid="{00000000-0005-0000-0000-0000F8070000}"/>
    <cellStyle name="Percentuale 15 3 2" xfId="997" xr:uid="{00000000-0005-0000-0000-0000F9070000}"/>
    <cellStyle name="Percentuale 15 3 2 2" xfId="2296" xr:uid="{00000000-0005-0000-0000-0000FA070000}"/>
    <cellStyle name="Percentuale 15 3 2 2 2" xfId="27900" xr:uid="{CC2BB05B-35F7-41B2-B5DF-0C3986470B92}"/>
    <cellStyle name="Percentuale 15 3 2 3" xfId="8123" xr:uid="{010AE81B-A758-4B44-98C6-43DE3FA10FF7}"/>
    <cellStyle name="Percentuale 15 3 2 3 2" xfId="14122" xr:uid="{C7CF4A22-CDD6-45D2-8D78-005ECBE703AF}"/>
    <cellStyle name="Percentuale 15 3 2 3 3" xfId="27901" xr:uid="{5B88FB07-7AC5-4633-A5D6-7E8AAA63AF34}"/>
    <cellStyle name="Percentuale 15 3 2 4" xfId="27899" xr:uid="{73EE35C8-5B59-4A8F-A4C1-8FDC1EDC9AB1}"/>
    <cellStyle name="Percentuale 15 3 3" xfId="4295" xr:uid="{73C5C2B4-D700-4F4F-A83F-90D827BA0BD0}"/>
    <cellStyle name="Percentuale 15 3 3 2" xfId="9416" xr:uid="{914E8727-485E-4239-97FB-86A281DA9F0D}"/>
    <cellStyle name="Percentuale 15 3 3 2 2" xfId="27903" xr:uid="{DE3259AF-AEC4-4B87-87A1-6E574545EB1E}"/>
    <cellStyle name="Percentuale 15 3 3 3" xfId="27904" xr:uid="{C61DEA6B-A7EE-4828-8C1B-BE284B66B65C}"/>
    <cellStyle name="Percentuale 15 3 3 3 2" xfId="49086" xr:uid="{DC63B69F-2D1B-4CA9-A258-E9FFB1E7F67B}"/>
    <cellStyle name="Percentuale 15 3 3 4" xfId="27902" xr:uid="{9AC80883-F83F-4037-BF00-277C12002A61}"/>
    <cellStyle name="Percentuale 15 3 4" xfId="4296" xr:uid="{7CF19E3B-2E55-4257-BDD1-5D458B11A8BE}"/>
    <cellStyle name="Percentuale 15 3 4 2" xfId="13783" xr:uid="{383850FE-4AF4-4C0F-8BFA-7366624C533E}"/>
    <cellStyle name="Percentuale 15 3 4 3" xfId="27905" xr:uid="{DD743258-AF3A-4700-A040-71D317AF73E6}"/>
    <cellStyle name="Percentuale 15 3 5" xfId="11207" xr:uid="{85BEC888-DFCC-4585-9330-D3F653CDFE54}"/>
    <cellStyle name="Percentuale 15 3 5 2" xfId="27906" xr:uid="{B9FD97C9-2646-4686-B2F7-4B3C4176EC51}"/>
    <cellStyle name="Percentuale 15 3 6" xfId="27907" xr:uid="{AE4A7898-455C-43A7-9098-82CB838D5147}"/>
    <cellStyle name="Percentuale 15 3 7" xfId="27898" xr:uid="{EDFFCA1C-9F64-4888-B886-C80AED2F20BE}"/>
    <cellStyle name="Percentuale 15 4" xfId="2297" xr:uid="{00000000-0005-0000-0000-0000FB070000}"/>
    <cellStyle name="Percentuale 15 4 2" xfId="2298" xr:uid="{00000000-0005-0000-0000-0000FC070000}"/>
    <cellStyle name="Percentuale 15 4 2 2" xfId="9417" xr:uid="{58D8EE9D-E0B8-47E1-AA0D-35CD0F3DEC20}"/>
    <cellStyle name="Percentuale 15 4 2 2 2" xfId="27910" xr:uid="{55EDDF93-6592-495D-9AE9-C00B2C835D05}"/>
    <cellStyle name="Percentuale 15 4 2 3" xfId="17908" xr:uid="{B6AD8E1D-8D45-4ED7-A054-5F4410B1E9AE}"/>
    <cellStyle name="Percentuale 15 4 2 3 2" xfId="27911" xr:uid="{8D911172-589C-417A-8638-7B66A49C3577}"/>
    <cellStyle name="Percentuale 15 4 2 4" xfId="27909" xr:uid="{ED23E0D4-4F87-48F7-A5C3-23C928E807C8}"/>
    <cellStyle name="Percentuale 15 4 2 5" xfId="17516" xr:uid="{5E6C6579-B0E3-493D-966C-F3E79C884AED}"/>
    <cellStyle name="Percentuale 15 4 3" xfId="9418" xr:uid="{6EFFF600-6F5C-485B-90F4-BBECC5A5B360}"/>
    <cellStyle name="Percentuale 15 4 3 2" xfId="27912" xr:uid="{19756776-546C-43DE-8A80-339C9546FC9F}"/>
    <cellStyle name="Percentuale 15 4 4" xfId="27913" xr:uid="{7A6B2E71-6763-467C-A814-7F3012B1672F}"/>
    <cellStyle name="Percentuale 15 4 4 2" xfId="49087" xr:uid="{239EFBF6-1152-44AA-9197-49773DAA0B18}"/>
    <cellStyle name="Percentuale 15 4 5" xfId="27914" xr:uid="{AB184BB0-0B97-456A-99AA-4A4B96BE4771}"/>
    <cellStyle name="Percentuale 15 4 6" xfId="27908" xr:uid="{C4467387-C4CC-4D25-AD88-3D6076F62BD0}"/>
    <cellStyle name="Percentuale 15 5" xfId="2299" xr:uid="{00000000-0005-0000-0000-0000FD070000}"/>
    <cellStyle name="Percentuale 15 5 2" xfId="27916" xr:uid="{106F0B8D-D90B-439F-B9FE-B7EA8FCE3D45}"/>
    <cellStyle name="Percentuale 15 5 2 2" xfId="49088" xr:uid="{A0C681AC-1767-4C05-91DC-6C4187EC200D}"/>
    <cellStyle name="Percentuale 15 5 3" xfId="27917" xr:uid="{F62EB612-A6DC-4225-B037-43F1AE5EF273}"/>
    <cellStyle name="Percentuale 15 5 4" xfId="27915" xr:uid="{7D4B7AD5-FD12-4993-8B61-70727C12188B}"/>
    <cellStyle name="Percentuale 15 6" xfId="4297" xr:uid="{4002C3B1-580B-4A98-B30C-2043FCD3CEF9}"/>
    <cellStyle name="Percentuale 15 6 2" xfId="9817" xr:uid="{3E2D577A-C910-4161-87C6-89A9E9605375}"/>
    <cellStyle name="Percentuale 15 6 3" xfId="27918" xr:uid="{C435E55B-222D-4D05-8577-8DFD2B7DCEF4}"/>
    <cellStyle name="Percentuale 15 7" xfId="27893" xr:uid="{B6414C00-AD53-438D-BEB2-C68DEC1F6706}"/>
    <cellStyle name="Percentuale 16" xfId="998" xr:uid="{00000000-0005-0000-0000-0000FE070000}"/>
    <cellStyle name="Percentuale 16 2" xfId="999" xr:uid="{00000000-0005-0000-0000-0000FF070000}"/>
    <cellStyle name="Percentuale 16 2 2" xfId="4298" xr:uid="{B5746CE2-CE53-4D9B-8202-5892DDA81895}"/>
    <cellStyle name="Percentuale 16 2 2 2" xfId="13569" xr:uid="{5BEEE41E-0BE9-4E45-807E-1BD7246A7211}"/>
    <cellStyle name="Percentuale 16 2 2 3" xfId="27921" xr:uid="{572F78C3-7210-427D-9CE7-5DEB34D14621}"/>
    <cellStyle name="Percentuale 16 2 3" xfId="13307" xr:uid="{23B9B506-6078-4842-90A7-BFD4074C7290}"/>
    <cellStyle name="Percentuale 16 2 3 2" xfId="27922" xr:uid="{3879E7FB-A47F-4344-A3BB-647421F0CA87}"/>
    <cellStyle name="Percentuale 16 2 4" xfId="27923" xr:uid="{0D4ABFF2-6BAE-4673-A918-F5987C4226FF}"/>
    <cellStyle name="Percentuale 16 2 5" xfId="27920" xr:uid="{9946BF0E-90C8-493F-99B4-12E4C9FD5583}"/>
    <cellStyle name="Percentuale 16 3" xfId="1000" xr:uid="{00000000-0005-0000-0000-000000080000}"/>
    <cellStyle name="Percentuale 16 3 2" xfId="1001" xr:uid="{00000000-0005-0000-0000-000001080000}"/>
    <cellStyle name="Percentuale 16 3 2 2" xfId="2300" xr:uid="{00000000-0005-0000-0000-000002080000}"/>
    <cellStyle name="Percentuale 16 3 2 2 2" xfId="27926" xr:uid="{D3B25C55-E626-47DB-B853-F5086AF62713}"/>
    <cellStyle name="Percentuale 16 3 2 3" xfId="8124" xr:uid="{9A97BD65-94D2-492C-8003-6443C82C0A40}"/>
    <cellStyle name="Percentuale 16 3 2 3 2" xfId="14123" xr:uid="{60CC32F6-4573-4FC0-962D-0C5A79636538}"/>
    <cellStyle name="Percentuale 16 3 2 3 3" xfId="27927" xr:uid="{8585FF37-DF64-402A-B688-7FF55C10AE73}"/>
    <cellStyle name="Percentuale 16 3 2 4" xfId="27925" xr:uid="{2600E5EE-744B-406F-BDDB-BF70984E13B8}"/>
    <cellStyle name="Percentuale 16 3 3" xfId="4299" xr:uid="{56F89B6D-57DA-48F9-96E6-0CE47180B1E4}"/>
    <cellStyle name="Percentuale 16 3 3 2" xfId="9419" xr:uid="{95486B42-9245-48D9-B8AB-CF49DC776983}"/>
    <cellStyle name="Percentuale 16 3 3 2 2" xfId="27929" xr:uid="{DC043CC7-3EE5-4F09-90CF-DA507420073A}"/>
    <cellStyle name="Percentuale 16 3 3 3" xfId="27930" xr:uid="{A53BDA6C-FF48-4333-A55F-2A982820F617}"/>
    <cellStyle name="Percentuale 16 3 3 3 2" xfId="49089" xr:uid="{B150DCD3-3ADB-4E33-BE90-EF62AF1CAD95}"/>
    <cellStyle name="Percentuale 16 3 3 4" xfId="27928" xr:uid="{90325A72-D1C9-4088-9894-2AE330ED7A3C}"/>
    <cellStyle name="Percentuale 16 3 4" xfId="4300" xr:uid="{E49952B0-787F-4084-8F94-27158F8BBB59}"/>
    <cellStyle name="Percentuale 16 3 4 2" xfId="13784" xr:uid="{1F3E7F1E-1DD7-40AD-97B4-8EA3A99CA958}"/>
    <cellStyle name="Percentuale 16 3 4 3" xfId="27931" xr:uid="{23F607AC-488F-4BAB-9B3E-1A6C5AD16D63}"/>
    <cellStyle name="Percentuale 16 3 5" xfId="12260" xr:uid="{32011903-216F-40DD-A079-80BC5B649C22}"/>
    <cellStyle name="Percentuale 16 3 5 2" xfId="27932" xr:uid="{11E1578A-0D87-4F61-820F-41CD7DB1F49B}"/>
    <cellStyle name="Percentuale 16 3 6" xfId="27933" xr:uid="{4496BA32-6BAD-4855-9F58-C24158C7759C}"/>
    <cellStyle name="Percentuale 16 3 7" xfId="27924" xr:uid="{F69E1E70-CC86-4375-8064-9453A0EC6C5A}"/>
    <cellStyle name="Percentuale 16 4" xfId="2301" xr:uid="{00000000-0005-0000-0000-000003080000}"/>
    <cellStyle name="Percentuale 16 4 2" xfId="2302" xr:uid="{00000000-0005-0000-0000-000004080000}"/>
    <cellStyle name="Percentuale 16 4 2 2" xfId="9420" xr:uid="{0D580D8B-ED9B-4C5C-B8AE-FECBCD2F0945}"/>
    <cellStyle name="Percentuale 16 4 2 2 2" xfId="27936" xr:uid="{BA0101D5-1FC7-42CE-BB00-6C89BE6BF93E}"/>
    <cellStyle name="Percentuale 16 4 2 3" xfId="17909" xr:uid="{1161CE93-7083-4131-9620-B2F3741C98DA}"/>
    <cellStyle name="Percentuale 16 4 2 3 2" xfId="27937" xr:uid="{AC891104-D2C3-48EC-AAB7-AD0832E82EF0}"/>
    <cellStyle name="Percentuale 16 4 2 4" xfId="27935" xr:uid="{F4830C0F-4ADD-46AA-881A-FDC7628CEB1B}"/>
    <cellStyle name="Percentuale 16 4 2 5" xfId="17517" xr:uid="{D631F44E-2C38-4A61-BD93-71A46683C2C7}"/>
    <cellStyle name="Percentuale 16 4 3" xfId="9421" xr:uid="{F6ED99DE-927C-411C-B0CE-FF91D0FA72EF}"/>
    <cellStyle name="Percentuale 16 4 3 2" xfId="27938" xr:uid="{4A8FAB72-60D2-4EF7-9B16-59EF75D6BF88}"/>
    <cellStyle name="Percentuale 16 4 4" xfId="27939" xr:uid="{FD859A97-A93A-480D-8702-D20104552419}"/>
    <cellStyle name="Percentuale 16 4 4 2" xfId="49090" xr:uid="{D17EE295-59BD-491A-84FF-505601C45EFB}"/>
    <cellStyle name="Percentuale 16 4 5" xfId="27940" xr:uid="{D4EF1AFE-F327-421F-B49A-CD56D6281BB2}"/>
    <cellStyle name="Percentuale 16 4 6" xfId="27934" xr:uid="{2C968BA2-45DE-49AE-BC1C-8747666F0F7D}"/>
    <cellStyle name="Percentuale 16 5" xfId="2303" xr:uid="{00000000-0005-0000-0000-000005080000}"/>
    <cellStyle name="Percentuale 16 5 2" xfId="27942" xr:uid="{9C50C987-A50B-48E7-95E3-CD115069518A}"/>
    <cellStyle name="Percentuale 16 5 2 2" xfId="49091" xr:uid="{2B8773C9-A721-443C-A90D-373D4B74F261}"/>
    <cellStyle name="Percentuale 16 5 3" xfId="27943" xr:uid="{ED1AD29B-5BB8-4D0D-9BD1-9185CB2AED08}"/>
    <cellStyle name="Percentuale 16 5 4" xfId="27941" xr:uid="{A7F2B694-7734-4671-9D26-0294F3A37362}"/>
    <cellStyle name="Percentuale 16 6" xfId="4301" xr:uid="{D91E1423-E155-4228-9F4E-E18DC6732DEC}"/>
    <cellStyle name="Percentuale 16 6 2" xfId="9818" xr:uid="{05276BEC-C2FE-4907-ADE1-BDD11D3D7590}"/>
    <cellStyle name="Percentuale 16 6 3" xfId="27944" xr:uid="{F542F694-A7D0-49F0-9AFD-6019F04E4B6F}"/>
    <cellStyle name="Percentuale 16 7" xfId="27919" xr:uid="{8AA04DB8-0E58-4838-B065-14B35B493FEE}"/>
    <cellStyle name="Percentuale 17" xfId="1002" xr:uid="{00000000-0005-0000-0000-000006080000}"/>
    <cellStyle name="Percentuale 17 2" xfId="1003" xr:uid="{00000000-0005-0000-0000-000007080000}"/>
    <cellStyle name="Percentuale 17 2 2" xfId="4302" xr:uid="{3A37A5AB-7F0C-44EC-8E58-74B5AC118992}"/>
    <cellStyle name="Percentuale 17 2 2 2" xfId="13570" xr:uid="{D46FE7DF-3B75-49C6-BA04-6FF338B4EA18}"/>
    <cellStyle name="Percentuale 17 2 2 3" xfId="27947" xr:uid="{C145E701-F701-4598-9D4D-508583C4090A}"/>
    <cellStyle name="Percentuale 17 2 3" xfId="13308" xr:uid="{3C93D5E6-3900-4A5F-BF76-5E12E0C1B704}"/>
    <cellStyle name="Percentuale 17 2 3 2" xfId="27948" xr:uid="{37606765-DEC1-459C-B39A-FF4CB3E5E79F}"/>
    <cellStyle name="Percentuale 17 2 4" xfId="27949" xr:uid="{2AA8799D-F591-48A3-BACA-65101BDC1538}"/>
    <cellStyle name="Percentuale 17 2 5" xfId="27946" xr:uid="{95E62E4A-05C2-486C-9821-7CDFEB9C5035}"/>
    <cellStyle name="Percentuale 17 3" xfId="1004" xr:uid="{00000000-0005-0000-0000-000008080000}"/>
    <cellStyle name="Percentuale 17 3 2" xfId="1005" xr:uid="{00000000-0005-0000-0000-000009080000}"/>
    <cellStyle name="Percentuale 17 3 2 2" xfId="2304" xr:uid="{00000000-0005-0000-0000-00000A080000}"/>
    <cellStyle name="Percentuale 17 3 2 2 2" xfId="27952" xr:uid="{0FAB59E2-0EE2-43DB-8E40-600552D2D9E8}"/>
    <cellStyle name="Percentuale 17 3 2 3" xfId="8125" xr:uid="{3B7575F9-2BDA-42BC-8D60-D66E4D4684E4}"/>
    <cellStyle name="Percentuale 17 3 2 3 2" xfId="14124" xr:uid="{43EDC218-23AC-4E7F-BDC8-25F9AA09A0B4}"/>
    <cellStyle name="Percentuale 17 3 2 3 3" xfId="27953" xr:uid="{D007932C-8FC2-4864-8BA4-75A40952F713}"/>
    <cellStyle name="Percentuale 17 3 2 4" xfId="27951" xr:uid="{00F97F12-B223-40D4-A645-9060A885EC3E}"/>
    <cellStyle name="Percentuale 17 3 3" xfId="4303" xr:uid="{50C6E437-C6D1-488B-A064-64FAA92F4946}"/>
    <cellStyle name="Percentuale 17 3 3 2" xfId="9422" xr:uid="{A5A7C82E-A567-4866-A970-F4563652D5B9}"/>
    <cellStyle name="Percentuale 17 3 3 2 2" xfId="27955" xr:uid="{2CA8F7AC-C3B0-422E-9E11-022D984E0C63}"/>
    <cellStyle name="Percentuale 17 3 3 3" xfId="27956" xr:uid="{7C40C532-41F1-466A-8CF4-EA1552442377}"/>
    <cellStyle name="Percentuale 17 3 3 3 2" xfId="49092" xr:uid="{91568A42-07D9-40A1-B772-3C9057D5C396}"/>
    <cellStyle name="Percentuale 17 3 3 4" xfId="27954" xr:uid="{E17EF6A1-DF71-4261-8073-A681885EC0FA}"/>
    <cellStyle name="Percentuale 17 3 4" xfId="4304" xr:uid="{FF0A1BD1-E9C3-412F-9B1B-427E542BAAA3}"/>
    <cellStyle name="Percentuale 17 3 4 2" xfId="13785" xr:uid="{503B1966-DF4D-41A0-8CA4-ED2FA8C94EF6}"/>
    <cellStyle name="Percentuale 17 3 4 3" xfId="27957" xr:uid="{D16097F8-4A07-4E27-AA84-FB3D5407BF09}"/>
    <cellStyle name="Percentuale 17 3 5" xfId="12299" xr:uid="{CC09DE40-0403-40C5-AF59-6FB0353E8AE9}"/>
    <cellStyle name="Percentuale 17 3 5 2" xfId="27958" xr:uid="{BBE91F7B-56FA-4A76-ABD1-8F07A28D70A7}"/>
    <cellStyle name="Percentuale 17 3 6" xfId="27959" xr:uid="{DD44BB6F-5297-42A5-AF84-7D0F773FB114}"/>
    <cellStyle name="Percentuale 17 3 7" xfId="27950" xr:uid="{5BC57FEE-B5E0-40B1-9EA1-50DB19B240B6}"/>
    <cellStyle name="Percentuale 17 4" xfId="2305" xr:uid="{00000000-0005-0000-0000-00000B080000}"/>
    <cellStyle name="Percentuale 17 4 2" xfId="2306" xr:uid="{00000000-0005-0000-0000-00000C080000}"/>
    <cellStyle name="Percentuale 17 4 2 2" xfId="9423" xr:uid="{DF9F8067-170A-496C-AA8C-1ACE77866176}"/>
    <cellStyle name="Percentuale 17 4 2 2 2" xfId="27962" xr:uid="{AFB89EC3-9B32-4F96-9AD2-190B2633ED01}"/>
    <cellStyle name="Percentuale 17 4 2 3" xfId="17910" xr:uid="{E4CA6A11-B58A-4F41-9DAD-0DCCA52F86F6}"/>
    <cellStyle name="Percentuale 17 4 2 3 2" xfId="27963" xr:uid="{D0F20E4A-BC31-4281-B157-EF2D51EDCF5B}"/>
    <cellStyle name="Percentuale 17 4 2 4" xfId="27961" xr:uid="{FFDD52A6-61C3-4CE9-96C3-303759CA8C6B}"/>
    <cellStyle name="Percentuale 17 4 2 5" xfId="17518" xr:uid="{8F07C88F-C989-4E32-958A-2E46D824399D}"/>
    <cellStyle name="Percentuale 17 4 3" xfId="9424" xr:uid="{F6884BE3-E4B3-46A7-BA7D-980DA92EFA20}"/>
    <cellStyle name="Percentuale 17 4 3 2" xfId="27964" xr:uid="{F2A19517-5100-400B-928D-AFA8876F1444}"/>
    <cellStyle name="Percentuale 17 4 4" xfId="27965" xr:uid="{1872964E-1E05-4C8C-AF9D-4972C7FF6EC0}"/>
    <cellStyle name="Percentuale 17 4 5" xfId="27966" xr:uid="{EF5C9561-8544-4313-8BC5-ABF86F59B2D8}"/>
    <cellStyle name="Percentuale 17 4 5 2" xfId="49093" xr:uid="{B8566430-7DA2-43FB-84E5-78F11B3B6929}"/>
    <cellStyle name="Percentuale 17 4 6" xfId="27967" xr:uid="{90E14F7A-2C2B-4547-8D2E-D6277EFE3FC7}"/>
    <cellStyle name="Percentuale 17 4 7" xfId="27960" xr:uid="{D77E69C0-E9BF-42EC-B81D-78543062896A}"/>
    <cellStyle name="Percentuale 17 5" xfId="2307" xr:uid="{00000000-0005-0000-0000-00000D080000}"/>
    <cellStyle name="Percentuale 17 5 2" xfId="27969" xr:uid="{3B761011-8FA1-4B9E-AD4B-0DF554102BF2}"/>
    <cellStyle name="Percentuale 17 5 3" xfId="27970" xr:uid="{CB29401C-CD6D-4D8E-980B-26BEA0F5820E}"/>
    <cellStyle name="Percentuale 17 5 3 2" xfId="49094" xr:uid="{E627001E-C431-4787-9C1B-6BDD6C85A7C2}"/>
    <cellStyle name="Percentuale 17 5 4" xfId="27971" xr:uid="{D44F1E9E-A700-439F-ADDA-FD9EAA646037}"/>
    <cellStyle name="Percentuale 17 5 5" xfId="27968" xr:uid="{1979A724-5532-41CD-B6EF-C4C427C15D1B}"/>
    <cellStyle name="Percentuale 17 6" xfId="4305" xr:uid="{27178EE9-8489-4826-9C90-E8DA6D9B7D3D}"/>
    <cellStyle name="Percentuale 17 6 2" xfId="9819" xr:uid="{55604129-56C1-4CDD-8A50-2DD6BD733884}"/>
    <cellStyle name="Percentuale 17 6 3" xfId="27972" xr:uid="{F94D4250-328E-4AF5-A512-9D6494E53263}"/>
    <cellStyle name="Percentuale 17 7" xfId="27945" xr:uid="{21705239-4F54-46E2-A49C-10E2A9B79CE7}"/>
    <cellStyle name="Percentuale 18" xfId="1006" xr:uid="{00000000-0005-0000-0000-00000E080000}"/>
    <cellStyle name="Percentuale 18 2" xfId="1007" xr:uid="{00000000-0005-0000-0000-00000F080000}"/>
    <cellStyle name="Percentuale 18 2 2" xfId="4306" xr:uid="{A8658E94-A5F4-4F98-835C-AA0F367502F2}"/>
    <cellStyle name="Percentuale 18 2 2 2" xfId="13571" xr:uid="{F29C9E61-0789-4EBB-B0CF-97869DEB7A62}"/>
    <cellStyle name="Percentuale 18 2 2 3" xfId="27975" xr:uid="{BE524B72-2E0B-4CEC-B011-3B081BE1D852}"/>
    <cellStyle name="Percentuale 18 2 3" xfId="13309" xr:uid="{B780561A-F0FF-4288-B597-A7E5EB307643}"/>
    <cellStyle name="Percentuale 18 2 3 2" xfId="27976" xr:uid="{E576D8F9-A0E2-40E3-8950-F3EF9F925C08}"/>
    <cellStyle name="Percentuale 18 2 4" xfId="27977" xr:uid="{DA87BBE2-E0FB-41B1-8912-55C7ACDF845F}"/>
    <cellStyle name="Percentuale 18 2 4 2" xfId="49095" xr:uid="{32DFD350-0816-4B1D-A32D-7D54B2C4152F}"/>
    <cellStyle name="Percentuale 18 2 5" xfId="27978" xr:uid="{C3EC857B-7A61-4633-B2B4-A26F39793A40}"/>
    <cellStyle name="Percentuale 18 2 6" xfId="27974" xr:uid="{BC2ED648-05D1-46E9-8553-86C875FD7A49}"/>
    <cellStyle name="Percentuale 18 3" xfId="1008" xr:uid="{00000000-0005-0000-0000-000010080000}"/>
    <cellStyle name="Percentuale 18 3 2" xfId="1009" xr:uid="{00000000-0005-0000-0000-000011080000}"/>
    <cellStyle name="Percentuale 18 3 2 2" xfId="2308" xr:uid="{00000000-0005-0000-0000-000012080000}"/>
    <cellStyle name="Percentuale 18 3 2 2 2" xfId="27982" xr:uid="{67AA7979-9D1A-4504-A580-82A4032EE1C2}"/>
    <cellStyle name="Percentuale 18 3 2 2 3" xfId="27981" xr:uid="{F77D10E1-2804-4645-820A-F3077862B365}"/>
    <cellStyle name="Percentuale 18 3 2 3" xfId="8126" xr:uid="{9F7D25DD-08DE-4921-A405-7E33E435D5D7}"/>
    <cellStyle name="Percentuale 18 3 2 3 2" xfId="14125" xr:uid="{51D41FCB-3C49-42D4-9ACF-772A1714AF56}"/>
    <cellStyle name="Percentuale 18 3 2 3 3" xfId="27983" xr:uid="{99F849D6-BE80-44A6-8B54-017B2CB5A0EB}"/>
    <cellStyle name="Percentuale 18 3 2 3 4" xfId="49096" xr:uid="{FAA63CD0-F812-4F16-8B26-AD90B6B61E9C}"/>
    <cellStyle name="Percentuale 18 3 2 4" xfId="27984" xr:uid="{B39AB08F-7579-4A4D-98BE-59C1CD099864}"/>
    <cellStyle name="Percentuale 18 3 2 5" xfId="27980" xr:uid="{016FEF7E-DBE9-49F2-B8DA-21A5E718C525}"/>
    <cellStyle name="Percentuale 18 3 3" xfId="4307" xr:uid="{7EEA995A-CC7D-4ADF-B806-9FE64361B0AA}"/>
    <cellStyle name="Percentuale 18 3 3 2" xfId="9425" xr:uid="{24A7B3B2-BCE0-4C4F-A80B-F75A1445F5E6}"/>
    <cellStyle name="Percentuale 18 3 3 2 2" xfId="27986" xr:uid="{8FB8DFEA-5B34-4209-A2BE-1062320D4B18}"/>
    <cellStyle name="Percentuale 18 3 3 3" xfId="27987" xr:uid="{4CBE36DD-B9DC-4E72-BEE1-A395E14FD657}"/>
    <cellStyle name="Percentuale 18 3 3 4" xfId="27988" xr:uid="{F976AB8A-7E53-40C7-9B76-AFE3A6907D4E}"/>
    <cellStyle name="Percentuale 18 3 3 4 2" xfId="49097" xr:uid="{4DB80551-C3DE-47FD-9303-E8D3E6950B4D}"/>
    <cellStyle name="Percentuale 18 3 3 5" xfId="27985" xr:uid="{189ED5B6-7754-4C68-A36E-B5DA0F4CCC32}"/>
    <cellStyle name="Percentuale 18 3 4" xfId="4308" xr:uid="{64C40F14-9F40-45ED-A191-7869D8C182BD}"/>
    <cellStyle name="Percentuale 18 3 4 2" xfId="13786" xr:uid="{E38A7B8A-7881-43BE-A244-E0ED9143F5D7}"/>
    <cellStyle name="Percentuale 18 3 4 3" xfId="27989" xr:uid="{7B85A6BF-38A4-487C-B21E-049FD6391B25}"/>
    <cellStyle name="Percentuale 18 3 5" xfId="11101" xr:uid="{B3C531C2-F504-4346-9120-99BB7E3F65A3}"/>
    <cellStyle name="Percentuale 18 3 5 2" xfId="27990" xr:uid="{F8DE770E-D640-41FE-A443-2A35868E3E4D}"/>
    <cellStyle name="Percentuale 18 3 6" xfId="27991" xr:uid="{E1E8A192-68BD-4215-8254-AFB7B3200A02}"/>
    <cellStyle name="Percentuale 18 3 6 2" xfId="49098" xr:uid="{CB91DC7F-33D0-4493-A318-03F4BC2BF950}"/>
    <cellStyle name="Percentuale 18 3 7" xfId="27992" xr:uid="{A79E5A99-E79D-4099-91D6-1A9772D34452}"/>
    <cellStyle name="Percentuale 18 3 8" xfId="27979" xr:uid="{3C0D8DED-2EBC-4A82-9AD4-F6CB58B52E88}"/>
    <cellStyle name="Percentuale 18 4" xfId="2309" xr:uid="{00000000-0005-0000-0000-000013080000}"/>
    <cellStyle name="Percentuale 18 4 2" xfId="2310" xr:uid="{00000000-0005-0000-0000-000014080000}"/>
    <cellStyle name="Percentuale 18 4 2 2" xfId="9426" xr:uid="{C4CFCF7B-8A4D-4F0B-B60E-5D560673175E}"/>
    <cellStyle name="Percentuale 18 4 2 2 2" xfId="27995" xr:uid="{A1C38068-895D-4E16-AC1E-9E066BC16B46}"/>
    <cellStyle name="Percentuale 18 4 2 3" xfId="17911" xr:uid="{EC84373E-9C71-42F2-A60D-8BC8B6FBD209}"/>
    <cellStyle name="Percentuale 18 4 2 3 2" xfId="27996" xr:uid="{98F084FC-E157-4B34-8317-D650DF891B40}"/>
    <cellStyle name="Percentuale 18 4 2 4" xfId="27994" xr:uid="{A30E7A9E-B7E6-4F41-8570-3BE84EF31BCC}"/>
    <cellStyle name="Percentuale 18 4 2 5" xfId="17519" xr:uid="{E536DDF1-1CF0-478B-9F3B-A6602CB86D80}"/>
    <cellStyle name="Percentuale 18 4 3" xfId="9427" xr:uid="{C1544B3C-E6A0-4EC1-94BF-7401D829B939}"/>
    <cellStyle name="Percentuale 18 4 3 2" xfId="27997" xr:uid="{EE4C0FC4-8F62-4889-900C-0292D7B8CAE3}"/>
    <cellStyle name="Percentuale 18 4 4" xfId="27998" xr:uid="{33A5B565-049E-423C-B583-78870AE92A95}"/>
    <cellStyle name="Percentuale 18 4 5" xfId="27999" xr:uid="{B3F6BE89-7947-43D0-9B00-54CEA95FCEA2}"/>
    <cellStyle name="Percentuale 18 4 5 2" xfId="49099" xr:uid="{62DEA3E8-6D28-4802-9EB4-81ADDA4B272C}"/>
    <cellStyle name="Percentuale 18 4 6" xfId="28000" xr:uid="{A9AD8A0C-17C6-4702-B300-E1F014327095}"/>
    <cellStyle name="Percentuale 18 4 7" xfId="27993" xr:uid="{1699D636-D153-41CF-820A-1ED23D404909}"/>
    <cellStyle name="Percentuale 18 5" xfId="2311" xr:uid="{00000000-0005-0000-0000-000015080000}"/>
    <cellStyle name="Percentuale 18 5 2" xfId="28002" xr:uid="{EE86BED3-4718-4C4A-8321-24090C18B211}"/>
    <cellStyle name="Percentuale 18 5 3" xfId="28003" xr:uid="{630D21DB-7E43-4EE4-9A69-0E8FFBAAFDE6}"/>
    <cellStyle name="Percentuale 18 5 3 2" xfId="49100" xr:uid="{3C1B9011-260C-45C9-B124-D2F850EF2F1D}"/>
    <cellStyle name="Percentuale 18 5 4" xfId="28004" xr:uid="{EB0F9B63-EE60-4730-8EB8-F7AEE017C0C2}"/>
    <cellStyle name="Percentuale 18 5 5" xfId="28001" xr:uid="{F685E6CE-B828-497C-A54E-46BA66B90934}"/>
    <cellStyle name="Percentuale 18 6" xfId="4309" xr:uid="{87F10369-CB61-4986-95AF-149A6D0610C4}"/>
    <cellStyle name="Percentuale 18 6 2" xfId="9820" xr:uid="{813F539D-601B-42B6-B63B-2FB0B66F2D21}"/>
    <cellStyle name="Percentuale 18 6 3" xfId="28005" xr:uid="{FEB3CE7A-AF3C-4DDE-A309-A1F35E940954}"/>
    <cellStyle name="Percentuale 18 7" xfId="28006" xr:uid="{F637FD17-9446-4E29-A2AD-C23331E63576}"/>
    <cellStyle name="Percentuale 18 7 2" xfId="49101" xr:uid="{A79B415C-EBB4-42EB-A579-FAAB8C6DBACC}"/>
    <cellStyle name="Percentuale 18 8" xfId="27973" xr:uid="{B73549F2-29B5-4F3C-A387-2161A94EC752}"/>
    <cellStyle name="Percentuale 19" xfId="1010" xr:uid="{00000000-0005-0000-0000-000016080000}"/>
    <cellStyle name="Percentuale 19 2" xfId="1011" xr:uid="{00000000-0005-0000-0000-000017080000}"/>
    <cellStyle name="Percentuale 19 2 2" xfId="4310" xr:uid="{BA9D46D7-7A0C-42F2-B2D2-8010FC9DD4AB}"/>
    <cellStyle name="Percentuale 19 2 2 2" xfId="13572" xr:uid="{E4BC1A85-6CC7-4514-977B-0195494C36B8}"/>
    <cellStyle name="Percentuale 19 2 2 3" xfId="28009" xr:uid="{54BFB8B7-4809-4F5D-999F-1BA3D0115C15}"/>
    <cellStyle name="Percentuale 19 2 3" xfId="13310" xr:uid="{0B7F5D34-F3DB-4209-A72A-7404D633071A}"/>
    <cellStyle name="Percentuale 19 2 3 2" xfId="28010" xr:uid="{5F500C4C-3582-440A-9E0E-D69A1EA83B20}"/>
    <cellStyle name="Percentuale 19 2 4" xfId="28011" xr:uid="{438212C7-90E4-483C-AF8B-50AA9332F5E6}"/>
    <cellStyle name="Percentuale 19 2 4 2" xfId="49102" xr:uid="{F1779898-130C-4CA7-83F0-73B8FD67FE46}"/>
    <cellStyle name="Percentuale 19 2 5" xfId="28012" xr:uid="{80E18BDA-EFAF-4257-8078-24BB5BA11DC2}"/>
    <cellStyle name="Percentuale 19 2 6" xfId="28008" xr:uid="{78BB4BF1-DAF2-47FD-AE79-A20F583DA0EF}"/>
    <cellStyle name="Percentuale 19 3" xfId="1012" xr:uid="{00000000-0005-0000-0000-000018080000}"/>
    <cellStyle name="Percentuale 19 3 2" xfId="1013" xr:uid="{00000000-0005-0000-0000-000019080000}"/>
    <cellStyle name="Percentuale 19 3 2 2" xfId="2312" xr:uid="{00000000-0005-0000-0000-00001A080000}"/>
    <cellStyle name="Percentuale 19 3 2 2 2" xfId="28016" xr:uid="{76BA7D03-7AF3-4A5F-93B2-10A2BDC306DB}"/>
    <cellStyle name="Percentuale 19 3 2 2 3" xfId="28015" xr:uid="{2147D432-9136-40FD-9376-33C18739F351}"/>
    <cellStyle name="Percentuale 19 3 2 3" xfId="8127" xr:uid="{81DFE220-EF80-46CB-B2D1-33D23F6479BC}"/>
    <cellStyle name="Percentuale 19 3 2 3 2" xfId="14126" xr:uid="{BC4234CD-1756-46A4-934A-56283795E220}"/>
    <cellStyle name="Percentuale 19 3 2 3 3" xfId="28017" xr:uid="{D8E8B71B-ADE4-43C3-817E-A23861970CA3}"/>
    <cellStyle name="Percentuale 19 3 2 3 4" xfId="49103" xr:uid="{8F8F6F00-FE5E-4201-B6F7-6A3F262A493B}"/>
    <cellStyle name="Percentuale 19 3 2 4" xfId="28018" xr:uid="{F621DB0A-8B58-4DF2-AAFB-32B31335ABE8}"/>
    <cellStyle name="Percentuale 19 3 2 5" xfId="28014" xr:uid="{1ACEA159-B7BA-466E-BD5C-49F1D1285C8E}"/>
    <cellStyle name="Percentuale 19 3 3" xfId="4311" xr:uid="{6F703134-6C21-4517-A20B-161786AA7ABC}"/>
    <cellStyle name="Percentuale 19 3 3 2" xfId="9428" xr:uid="{EA1476FF-6ABE-4157-A586-C8A32F95EBFB}"/>
    <cellStyle name="Percentuale 19 3 3 2 2" xfId="28020" xr:uid="{ECC83FEC-7C40-4722-BAD4-6D7768CAD009}"/>
    <cellStyle name="Percentuale 19 3 3 3" xfId="28021" xr:uid="{D3EF2BB8-BD77-41CF-8ECE-EA34BCD45D4A}"/>
    <cellStyle name="Percentuale 19 3 3 4" xfId="28022" xr:uid="{2A136EB4-C9CB-4E7F-A26B-983429B5953F}"/>
    <cellStyle name="Percentuale 19 3 3 4 2" xfId="49104" xr:uid="{3E81832C-6FFD-49D5-A3B0-F231D7195490}"/>
    <cellStyle name="Percentuale 19 3 3 5" xfId="28019" xr:uid="{F519020F-8BCF-4FC9-94F3-7FEE91C5E9FC}"/>
    <cellStyle name="Percentuale 19 3 4" xfId="4312" xr:uid="{A8FDC91B-88E8-47D5-9884-E5A60997680F}"/>
    <cellStyle name="Percentuale 19 3 4 2" xfId="13787" xr:uid="{B84E236E-C73E-4698-A1C8-7929793DB863}"/>
    <cellStyle name="Percentuale 19 3 4 3" xfId="28023" xr:uid="{F7933117-E6DF-4A55-8D3A-429479AA2F62}"/>
    <cellStyle name="Percentuale 19 3 5" xfId="12298" xr:uid="{F1249EB1-4645-4872-9DD4-EE9EBCED3CF9}"/>
    <cellStyle name="Percentuale 19 3 5 2" xfId="28024" xr:uid="{7C27B8C1-61CF-478F-8E45-4EA0BB7144D5}"/>
    <cellStyle name="Percentuale 19 3 6" xfId="28025" xr:uid="{A5FBE952-C0CB-4FFA-B4CF-4EF012B82F39}"/>
    <cellStyle name="Percentuale 19 3 6 2" xfId="49105" xr:uid="{5FA9D709-6CF4-42CE-ADA3-E3371B370397}"/>
    <cellStyle name="Percentuale 19 3 7" xfId="28026" xr:uid="{7EFFDC18-0211-4789-AEF3-22CC386AF628}"/>
    <cellStyle name="Percentuale 19 3 8" xfId="28013" xr:uid="{418CC356-F714-4965-85C0-F0FB9B7A3A8F}"/>
    <cellStyle name="Percentuale 19 4" xfId="2313" xr:uid="{00000000-0005-0000-0000-00001B080000}"/>
    <cellStyle name="Percentuale 19 4 2" xfId="2314" xr:uid="{00000000-0005-0000-0000-00001C080000}"/>
    <cellStyle name="Percentuale 19 4 2 2" xfId="9429" xr:uid="{2421E4C1-A5C9-41E3-86ED-012ABE6D44D2}"/>
    <cellStyle name="Percentuale 19 4 2 2 2" xfId="28029" xr:uid="{B5BA1BB5-C547-438B-889A-1E971D021458}"/>
    <cellStyle name="Percentuale 19 4 2 3" xfId="17912" xr:uid="{BD46F863-5452-4A63-9476-FE65B62EB3B4}"/>
    <cellStyle name="Percentuale 19 4 2 3 2" xfId="28030" xr:uid="{D6DB4561-9679-48A7-B608-91E19CF1BBE9}"/>
    <cellStyle name="Percentuale 19 4 2 4" xfId="28028" xr:uid="{920D53BD-A4A2-4231-BCD6-CFFCF59CA580}"/>
    <cellStyle name="Percentuale 19 4 2 5" xfId="17520" xr:uid="{2F4F1288-B7E9-4758-8CFD-C9A4CEBEEC81}"/>
    <cellStyle name="Percentuale 19 4 3" xfId="9430" xr:uid="{25597BD5-F75A-40E0-965B-76B61BD1E4B7}"/>
    <cellStyle name="Percentuale 19 4 3 2" xfId="28031" xr:uid="{FD1EDAD1-8DA8-4601-AB2D-D73C336FEF47}"/>
    <cellStyle name="Percentuale 19 4 4" xfId="28032" xr:uid="{212ACC38-DA0A-4DAE-8D0D-9DA4DEBBBE58}"/>
    <cellStyle name="Percentuale 19 4 5" xfId="28033" xr:uid="{370F5CD4-6BBC-4289-B180-9C70FFCB972B}"/>
    <cellStyle name="Percentuale 19 4 5 2" xfId="49106" xr:uid="{BE6EC96E-5C14-4BC4-B865-D37167C6A27C}"/>
    <cellStyle name="Percentuale 19 4 6" xfId="28034" xr:uid="{7B02E7F8-08EF-424A-8AF6-BD88FD26ACFB}"/>
    <cellStyle name="Percentuale 19 4 7" xfId="28027" xr:uid="{FFC0D691-6546-4DB3-AD9F-BF431463EE7A}"/>
    <cellStyle name="Percentuale 19 5" xfId="2315" xr:uid="{00000000-0005-0000-0000-00001D080000}"/>
    <cellStyle name="Percentuale 19 5 2" xfId="28036" xr:uid="{0C110F0F-D796-4D1E-A858-6D751807DB70}"/>
    <cellStyle name="Percentuale 19 5 3" xfId="28037" xr:uid="{20DFAB30-6197-44A8-904F-F7938227D561}"/>
    <cellStyle name="Percentuale 19 5 3 2" xfId="49107" xr:uid="{372AF272-568D-4721-99E1-B9905105853A}"/>
    <cellStyle name="Percentuale 19 5 4" xfId="28038" xr:uid="{8A89E720-8F41-4516-8847-61C3194FF382}"/>
    <cellStyle name="Percentuale 19 5 5" xfId="28035" xr:uid="{D5258FD6-FF2E-493A-A06C-20DF10926BFB}"/>
    <cellStyle name="Percentuale 19 6" xfId="4313" xr:uid="{52CEBB85-B015-4CAF-A5B6-B5BDE12EA177}"/>
    <cellStyle name="Percentuale 19 6 2" xfId="9821" xr:uid="{6BA8B178-0BA8-4F60-A30D-C4645B8D9E40}"/>
    <cellStyle name="Percentuale 19 6 3" xfId="28039" xr:uid="{DF4566A7-3ACC-4612-9A4F-F1719DC20950}"/>
    <cellStyle name="Percentuale 19 7" xfId="28040" xr:uid="{3343C255-5D13-4A16-A4F4-D3ADA8899F8C}"/>
    <cellStyle name="Percentuale 19 7 2" xfId="49108" xr:uid="{78D5DE14-A967-499B-8261-C1201CE967A2}"/>
    <cellStyle name="Percentuale 19 8" xfId="28007" xr:uid="{01EECB37-6B65-4268-BDCC-5E53E58A11F4}"/>
    <cellStyle name="Percentuale 2" xfId="1014" xr:uid="{00000000-0005-0000-0000-00001E080000}"/>
    <cellStyle name="Percentuale 2 2" xfId="1015" xr:uid="{00000000-0005-0000-0000-00001F080000}"/>
    <cellStyle name="Percentuale 2 2 2" xfId="4314" xr:uid="{9C7650BE-CB76-4641-B9C2-ABEA3134E183}"/>
    <cellStyle name="Percentuale 2 2 2 2" xfId="13573" xr:uid="{75061E15-B3F8-4FFE-9466-EBFC7EF6523D}"/>
    <cellStyle name="Percentuale 2 2 2 3" xfId="28043" xr:uid="{AA9CE906-AB34-4062-B86B-1A14FCD7B4B9}"/>
    <cellStyle name="Percentuale 2 2 3" xfId="13311" xr:uid="{E9C6B907-FAE7-4161-A722-5D78F53E9929}"/>
    <cellStyle name="Percentuale 2 2 3 2" xfId="28044" xr:uid="{5A952F5E-B678-4E70-A724-F20896DADCA0}"/>
    <cellStyle name="Percentuale 2 2 4" xfId="28045" xr:uid="{A51095C2-3C19-42C0-9949-AF5AA90FF4C4}"/>
    <cellStyle name="Percentuale 2 2 4 2" xfId="49109" xr:uid="{53DFD6F2-28D1-41E6-AB79-4BA079C0B3BD}"/>
    <cellStyle name="Percentuale 2 2 5" xfId="28046" xr:uid="{B53B1C44-CDF0-46F6-BE3F-34947AC356D6}"/>
    <cellStyle name="Percentuale 2 2 6" xfId="28042" xr:uid="{8099FBE1-6120-42A5-A3F2-80FA72980827}"/>
    <cellStyle name="Percentuale 2 3" xfId="1016" xr:uid="{00000000-0005-0000-0000-000020080000}"/>
    <cellStyle name="Percentuale 2 3 2" xfId="1017" xr:uid="{00000000-0005-0000-0000-000021080000}"/>
    <cellStyle name="Percentuale 2 3 2 2" xfId="2316" xr:uid="{00000000-0005-0000-0000-000022080000}"/>
    <cellStyle name="Percentuale 2 3 2 2 2" xfId="28050" xr:uid="{89591D8A-2BB2-4928-BBB7-E56A11900C72}"/>
    <cellStyle name="Percentuale 2 3 2 2 3" xfId="28049" xr:uid="{24962862-A2FD-4EF5-A004-C67D7D965DE3}"/>
    <cellStyle name="Percentuale 2 3 2 3" xfId="8128" xr:uid="{7DD8146C-EF56-473A-A933-29A46AD32197}"/>
    <cellStyle name="Percentuale 2 3 2 3 2" xfId="14127" xr:uid="{191A4B67-EB60-4B55-AFE6-B9D5BAD72902}"/>
    <cellStyle name="Percentuale 2 3 2 3 3" xfId="28051" xr:uid="{42532835-70FE-480B-AEFF-63E9627A414C}"/>
    <cellStyle name="Percentuale 2 3 2 3 4" xfId="49110" xr:uid="{9633BC9E-5CDE-461C-90E0-262EC8EDA131}"/>
    <cellStyle name="Percentuale 2 3 2 4" xfId="28052" xr:uid="{3FB0D159-EE5A-48C4-B050-2926C757899C}"/>
    <cellStyle name="Percentuale 2 3 2 5" xfId="28048" xr:uid="{FD6FD634-CD44-45F8-A8EC-29E04CFDCBEE}"/>
    <cellStyle name="Percentuale 2 3 3" xfId="4315" xr:uid="{F3BF4111-45C3-4091-A992-0CE1048F3883}"/>
    <cellStyle name="Percentuale 2 3 3 2" xfId="9431" xr:uid="{226E7F96-B62C-4A35-8949-1BFB05D8F9BD}"/>
    <cellStyle name="Percentuale 2 3 3 2 2" xfId="28054" xr:uid="{4138AE03-0E0F-4ED9-BEAB-D12DCBB3BC78}"/>
    <cellStyle name="Percentuale 2 3 3 3" xfId="28055" xr:uid="{F57056E5-0B07-413C-A79F-EF0AE8E525CF}"/>
    <cellStyle name="Percentuale 2 3 3 4" xfId="28056" xr:uid="{7ED95358-7AD2-494D-9AF1-7A23A62FCEA9}"/>
    <cellStyle name="Percentuale 2 3 3 4 2" xfId="49111" xr:uid="{87802AC8-6E5C-42A8-9A1D-CBAA37A88BCB}"/>
    <cellStyle name="Percentuale 2 3 3 5" xfId="28053" xr:uid="{4FBD2FC6-C75B-4161-ACE1-8CA2CD3F5380}"/>
    <cellStyle name="Percentuale 2 3 4" xfId="4316" xr:uid="{940DADBD-F47C-48C6-893B-1055CEF95CF5}"/>
    <cellStyle name="Percentuale 2 3 4 2" xfId="13788" xr:uid="{BE6674CA-739B-4A1C-8057-F58EC49D1A2F}"/>
    <cellStyle name="Percentuale 2 3 4 3" xfId="28057" xr:uid="{85A52A3D-859B-472F-A327-5F8674F5DC6D}"/>
    <cellStyle name="Percentuale 2 3 5" xfId="11426" xr:uid="{AB61224F-6535-4AC4-8011-DAAB6E44CB09}"/>
    <cellStyle name="Percentuale 2 3 5 2" xfId="28058" xr:uid="{929A1CCD-78A2-42EB-B935-7FD504C42CF8}"/>
    <cellStyle name="Percentuale 2 3 6" xfId="28059" xr:uid="{767C8944-A0C1-4084-8511-EEF164E3B6E8}"/>
    <cellStyle name="Percentuale 2 3 6 2" xfId="49112" xr:uid="{412254D5-2331-42CA-927D-6B43BB36B60D}"/>
    <cellStyle name="Percentuale 2 3 7" xfId="28060" xr:uid="{81439764-B00E-4908-A7B0-747D36581F52}"/>
    <cellStyle name="Percentuale 2 3 8" xfId="28047" xr:uid="{3BE11D91-BC9C-4BEA-A3EC-8646EB434F20}"/>
    <cellStyle name="Percentuale 2 4" xfId="2317" xr:uid="{00000000-0005-0000-0000-000023080000}"/>
    <cellStyle name="Percentuale 2 4 2" xfId="2318" xr:uid="{00000000-0005-0000-0000-000024080000}"/>
    <cellStyle name="Percentuale 2 4 2 2" xfId="9432" xr:uid="{7E03A4EF-8748-4E76-90C6-871C8D37B6A4}"/>
    <cellStyle name="Percentuale 2 4 2 2 2" xfId="28063" xr:uid="{7AF0ABEE-A3BD-4343-AAC2-0F73A39F0735}"/>
    <cellStyle name="Percentuale 2 4 2 3" xfId="17913" xr:uid="{CA166B83-61C9-4C0C-BC2D-B23581A57197}"/>
    <cellStyle name="Percentuale 2 4 2 3 2" xfId="28064" xr:uid="{0E04BB00-C95F-44F7-B632-7D781E43D92A}"/>
    <cellStyle name="Percentuale 2 4 2 4" xfId="28062" xr:uid="{7B1B30F3-3351-4707-A310-9545BEB9B827}"/>
    <cellStyle name="Percentuale 2 4 2 5" xfId="17521" xr:uid="{171C3AEB-9E45-4C06-87D9-74EB41196A81}"/>
    <cellStyle name="Percentuale 2 4 3" xfId="9433" xr:uid="{540A69B8-3794-46D5-990E-C258C434A610}"/>
    <cellStyle name="Percentuale 2 4 3 2" xfId="28065" xr:uid="{1C6100E6-C597-49D3-99D3-EFEF970F51EC}"/>
    <cellStyle name="Percentuale 2 4 4" xfId="28066" xr:uid="{2D05D0AC-3660-4354-8272-A952DE0F6F5C}"/>
    <cellStyle name="Percentuale 2 4 5" xfId="28067" xr:uid="{1BE1181F-568E-4B62-B07D-3031E27CF3B1}"/>
    <cellStyle name="Percentuale 2 4 5 2" xfId="49113" xr:uid="{600019EC-5B6A-4433-BAB9-61854C6367AE}"/>
    <cellStyle name="Percentuale 2 4 6" xfId="28068" xr:uid="{0D749EB6-49D5-4ADC-94FA-D0595374AB82}"/>
    <cellStyle name="Percentuale 2 4 7" xfId="28061" xr:uid="{45E7BBB7-2CF4-43D0-99A8-C5F4D681BF87}"/>
    <cellStyle name="Percentuale 2 5" xfId="2319" xr:uid="{00000000-0005-0000-0000-000025080000}"/>
    <cellStyle name="Percentuale 2 5 2" xfId="28070" xr:uid="{EA13FEE2-A245-4204-AA95-BA503797C898}"/>
    <cellStyle name="Percentuale 2 5 3" xfId="28071" xr:uid="{61C8DA5C-FC7C-4571-8AB1-00215A770289}"/>
    <cellStyle name="Percentuale 2 5 3 2" xfId="49114" xr:uid="{58AE756F-B69A-4717-98CE-4F0F12B89938}"/>
    <cellStyle name="Percentuale 2 5 4" xfId="28072" xr:uid="{2E74DC0F-AD52-4C4E-BFC8-977958883107}"/>
    <cellStyle name="Percentuale 2 5 5" xfId="28069" xr:uid="{9C8D4202-762D-4001-81EB-11A6ABCDF7FC}"/>
    <cellStyle name="Percentuale 2 6" xfId="4317" xr:uid="{9DDDDF3B-A0B4-46A9-9634-0A29D3852675}"/>
    <cellStyle name="Percentuale 2 6 2" xfId="9822" xr:uid="{F6EDAAB9-D5A6-4CAA-B5FF-BDD6CF884DB1}"/>
    <cellStyle name="Percentuale 2 6 3" xfId="28073" xr:uid="{708E9CAE-5A77-4671-8D90-91E38BA38E31}"/>
    <cellStyle name="Percentuale 2 7" xfId="28074" xr:uid="{4C78CA0D-9E41-4571-A6C3-8B858AC948AD}"/>
    <cellStyle name="Percentuale 2 7 2" xfId="49115" xr:uid="{F6C415E3-0FF8-4EDF-8EEA-F15860BC86AF}"/>
    <cellStyle name="Percentuale 2 8" xfId="28041" xr:uid="{F127F1DF-057F-4E37-84FE-A490ED631073}"/>
    <cellStyle name="Percentuale 20" xfId="1018" xr:uid="{00000000-0005-0000-0000-000026080000}"/>
    <cellStyle name="Percentuale 20 2" xfId="1019" xr:uid="{00000000-0005-0000-0000-000027080000}"/>
    <cellStyle name="Percentuale 20 2 2" xfId="4318" xr:uid="{303484B0-2F85-447D-B322-6BEBD1E44FE3}"/>
    <cellStyle name="Percentuale 20 2 2 2" xfId="13574" xr:uid="{D926B681-0FC2-4DD7-AEFB-86CA826F2EB7}"/>
    <cellStyle name="Percentuale 20 2 2 3" xfId="28077" xr:uid="{42A2D0EF-FA17-4DEA-A12E-7F98CF2A116A}"/>
    <cellStyle name="Percentuale 20 2 3" xfId="13312" xr:uid="{0EBEC46E-4BCF-4D46-973E-7454892F1ACD}"/>
    <cellStyle name="Percentuale 20 2 3 2" xfId="28078" xr:uid="{B9B5DA13-5F27-4D48-B656-C99F1892E1DA}"/>
    <cellStyle name="Percentuale 20 2 4" xfId="28079" xr:uid="{D4B33205-A44C-4FCD-91BF-ACDDA0734B95}"/>
    <cellStyle name="Percentuale 20 2 4 2" xfId="49116" xr:uid="{6BF3B86B-B69F-4A94-945A-8C05CF92F006}"/>
    <cellStyle name="Percentuale 20 2 5" xfId="28080" xr:uid="{9E2858EA-2D65-4EB2-8499-59C7C35B07F0}"/>
    <cellStyle name="Percentuale 20 2 6" xfId="28076" xr:uid="{AAEFC67B-52D5-434A-957B-5FB6DC71B188}"/>
    <cellStyle name="Percentuale 20 3" xfId="1020" xr:uid="{00000000-0005-0000-0000-000028080000}"/>
    <cellStyle name="Percentuale 20 3 2" xfId="1021" xr:uid="{00000000-0005-0000-0000-000029080000}"/>
    <cellStyle name="Percentuale 20 3 2 2" xfId="2320" xr:uid="{00000000-0005-0000-0000-00002A080000}"/>
    <cellStyle name="Percentuale 20 3 2 2 2" xfId="28084" xr:uid="{1CAD9C0C-E7B2-432A-B5B7-E6BB8CE361CE}"/>
    <cellStyle name="Percentuale 20 3 2 2 3" xfId="28083" xr:uid="{7994D69E-5DB9-48F0-A440-0E09CCC52460}"/>
    <cellStyle name="Percentuale 20 3 2 3" xfId="8129" xr:uid="{62F50A8A-0C63-49F6-AD96-C0C3DDCC4002}"/>
    <cellStyle name="Percentuale 20 3 2 3 2" xfId="14128" xr:uid="{D14FE29F-EFED-4A07-B3C5-57F13036C971}"/>
    <cellStyle name="Percentuale 20 3 2 3 3" xfId="28085" xr:uid="{2B94C0C4-7D57-4017-ADF8-2899B80C58F4}"/>
    <cellStyle name="Percentuale 20 3 2 3 4" xfId="49117" xr:uid="{2CB1162C-2511-4E86-B7CE-2FEC8803F7A2}"/>
    <cellStyle name="Percentuale 20 3 2 4" xfId="28086" xr:uid="{3F88D219-636E-4DB5-8D4F-57611A6F75F2}"/>
    <cellStyle name="Percentuale 20 3 2 5" xfId="28082" xr:uid="{E9287065-2320-41D7-943D-6947BCDBB44E}"/>
    <cellStyle name="Percentuale 20 3 3" xfId="4319" xr:uid="{8A14543A-0246-477E-8897-44A04252041F}"/>
    <cellStyle name="Percentuale 20 3 3 2" xfId="9434" xr:uid="{BBF76138-0A79-4F9E-B3AE-13C1FB94EEE2}"/>
    <cellStyle name="Percentuale 20 3 3 2 2" xfId="28088" xr:uid="{CF62CF09-8946-49C9-8923-352C18C7A16B}"/>
    <cellStyle name="Percentuale 20 3 3 3" xfId="28089" xr:uid="{009DBBF9-C501-477C-AADF-BCBADCAA2E7D}"/>
    <cellStyle name="Percentuale 20 3 3 4" xfId="28090" xr:uid="{C1E6D718-4410-4A6C-91DC-7051C22B1ED6}"/>
    <cellStyle name="Percentuale 20 3 3 4 2" xfId="49118" xr:uid="{99294D1E-D1D0-4FE4-9201-F031B1DDEBCC}"/>
    <cellStyle name="Percentuale 20 3 3 5" xfId="28087" xr:uid="{A530B74D-7384-40B5-B173-699D8F39421D}"/>
    <cellStyle name="Percentuale 20 3 4" xfId="4320" xr:uid="{69A0211B-5FA7-40B5-A334-5A4B9BD7DEB8}"/>
    <cellStyle name="Percentuale 20 3 4 2" xfId="13789" xr:uid="{CC19D1C6-D69B-45CA-8E02-AAED141FB30F}"/>
    <cellStyle name="Percentuale 20 3 4 3" xfId="28091" xr:uid="{BF652347-B5F6-441C-91D5-4743E668237A}"/>
    <cellStyle name="Percentuale 20 3 5" xfId="11150" xr:uid="{C53CA60F-263C-44AD-9A80-F1B4E093D6EE}"/>
    <cellStyle name="Percentuale 20 3 5 2" xfId="28092" xr:uid="{E53019F6-FC13-4DC2-A1C0-19235EA59C1B}"/>
    <cellStyle name="Percentuale 20 3 6" xfId="28093" xr:uid="{3DEDBC5B-6F48-4ADD-955D-4987D8F4041F}"/>
    <cellStyle name="Percentuale 20 3 6 2" xfId="49119" xr:uid="{D36CBAA4-082A-4A6B-84FE-9F0C5B1ABBD2}"/>
    <cellStyle name="Percentuale 20 3 7" xfId="28094" xr:uid="{64FA8498-D14A-4B0E-B821-94EBCF5E5448}"/>
    <cellStyle name="Percentuale 20 3 8" xfId="28081" xr:uid="{0437E3C4-7B5E-4AFC-9436-E45CA9F51C91}"/>
    <cellStyle name="Percentuale 20 4" xfId="2321" xr:uid="{00000000-0005-0000-0000-00002B080000}"/>
    <cellStyle name="Percentuale 20 4 2" xfId="2322" xr:uid="{00000000-0005-0000-0000-00002C080000}"/>
    <cellStyle name="Percentuale 20 4 2 2" xfId="9435" xr:uid="{F12F8D56-75B5-4E4E-9C45-B2462A47C12E}"/>
    <cellStyle name="Percentuale 20 4 2 2 2" xfId="28097" xr:uid="{821819BB-4262-442A-BBA2-4D2E0C775E58}"/>
    <cellStyle name="Percentuale 20 4 2 3" xfId="17914" xr:uid="{0A0B9040-BAD8-414F-B17C-EBEAC7E1A299}"/>
    <cellStyle name="Percentuale 20 4 2 3 2" xfId="28098" xr:uid="{F4606ABA-438E-4A3C-9BCA-C6B9954AFC7A}"/>
    <cellStyle name="Percentuale 20 4 2 4" xfId="28096" xr:uid="{C86FD435-FFDF-4D0A-A03B-EBE461D65891}"/>
    <cellStyle name="Percentuale 20 4 2 5" xfId="17522" xr:uid="{7B0BA764-0F5A-4CCA-9964-0A43993773D9}"/>
    <cellStyle name="Percentuale 20 4 3" xfId="9436" xr:uid="{DFE06711-2CAD-40FE-8656-08CE0F7DC7E0}"/>
    <cellStyle name="Percentuale 20 4 3 2" xfId="28099" xr:uid="{596D5B4D-A097-47CC-825F-46A6B1A4B789}"/>
    <cellStyle name="Percentuale 20 4 4" xfId="28100" xr:uid="{8F5920B6-EEC3-467E-87DA-822FE071362B}"/>
    <cellStyle name="Percentuale 20 4 5" xfId="28101" xr:uid="{F9284474-3AC4-429A-B6C4-85D05A1708D9}"/>
    <cellStyle name="Percentuale 20 4 5 2" xfId="49120" xr:uid="{3136A3CD-E707-43F7-8792-FD3D7A6DD4DD}"/>
    <cellStyle name="Percentuale 20 4 6" xfId="28102" xr:uid="{3CB7EFE9-9251-4FE1-93B3-B3472F4620C4}"/>
    <cellStyle name="Percentuale 20 4 7" xfId="28095" xr:uid="{029B9BAC-034C-4B78-9451-1960482B8D7E}"/>
    <cellStyle name="Percentuale 20 5" xfId="2323" xr:uid="{00000000-0005-0000-0000-00002D080000}"/>
    <cellStyle name="Percentuale 20 5 2" xfId="28104" xr:uid="{D800A957-5A7C-4DBA-9D98-852B19C007D8}"/>
    <cellStyle name="Percentuale 20 5 3" xfId="28105" xr:uid="{B1F6E0F9-13C3-464D-8FF2-18A649116EBE}"/>
    <cellStyle name="Percentuale 20 5 3 2" xfId="49121" xr:uid="{2F93C9D8-7454-48AC-B0A7-F5686FB5D0A0}"/>
    <cellStyle name="Percentuale 20 5 4" xfId="28106" xr:uid="{DF4EC12B-E1BD-4735-B52B-ACDCC7FDC34F}"/>
    <cellStyle name="Percentuale 20 5 5" xfId="28103" xr:uid="{B513E957-DB15-4ACE-A746-ADC3901C9F7E}"/>
    <cellStyle name="Percentuale 20 6" xfId="4321" xr:uid="{95A6154F-01F0-4BAB-BEE1-FF3F97AA0F46}"/>
    <cellStyle name="Percentuale 20 6 2" xfId="9823" xr:uid="{BB8B17D9-C8A9-4E81-9EE2-D7F3A8536D98}"/>
    <cellStyle name="Percentuale 20 6 3" xfId="28107" xr:uid="{F27F4A61-9927-4176-83BF-2DC2EA21E195}"/>
    <cellStyle name="Percentuale 20 7" xfId="28108" xr:uid="{CC894AE4-9567-41BC-92FA-533D694F40D4}"/>
    <cellStyle name="Percentuale 20 7 2" xfId="49122" xr:uid="{262E03B8-677F-46F7-A4D4-AA82CDBCF1CC}"/>
    <cellStyle name="Percentuale 20 8" xfId="28075" xr:uid="{2F1B69BC-45A1-4A54-B646-9F48E109D17B}"/>
    <cellStyle name="Percentuale 21" xfId="1022" xr:uid="{00000000-0005-0000-0000-00002E080000}"/>
    <cellStyle name="Percentuale 21 2" xfId="1023" xr:uid="{00000000-0005-0000-0000-00002F080000}"/>
    <cellStyle name="Percentuale 21 2 2" xfId="4322" xr:uid="{411AFDE7-1BA9-453D-997F-735EBF12A0E7}"/>
    <cellStyle name="Percentuale 21 2 2 2" xfId="13575" xr:uid="{A88AF90B-67C5-4627-9588-469015399B43}"/>
    <cellStyle name="Percentuale 21 2 2 3" xfId="28111" xr:uid="{D95B935B-9DFD-4C83-B9CE-78F62CDB6EDE}"/>
    <cellStyle name="Percentuale 21 2 3" xfId="13313" xr:uid="{A073935D-5F24-4333-97B5-2F69151A21DE}"/>
    <cellStyle name="Percentuale 21 2 3 2" xfId="28112" xr:uid="{F88785C1-FEDB-42CA-B4A5-784ED64CA250}"/>
    <cellStyle name="Percentuale 21 2 4" xfId="28113" xr:uid="{86C3CAB9-2C13-4EE0-A43A-80C025CC5664}"/>
    <cellStyle name="Percentuale 21 2 4 2" xfId="49123" xr:uid="{A4AE4592-7C75-42AB-82DA-337C81DFDB06}"/>
    <cellStyle name="Percentuale 21 2 5" xfId="28114" xr:uid="{1A0506B4-F057-45C3-93A9-3A7BB9B7B7D0}"/>
    <cellStyle name="Percentuale 21 2 6" xfId="28110" xr:uid="{40F69E0A-4E97-4886-AAC9-3EBB1198669A}"/>
    <cellStyle name="Percentuale 21 3" xfId="1024" xr:uid="{00000000-0005-0000-0000-000030080000}"/>
    <cellStyle name="Percentuale 21 3 2" xfId="1025" xr:uid="{00000000-0005-0000-0000-000031080000}"/>
    <cellStyle name="Percentuale 21 3 2 2" xfId="2324" xr:uid="{00000000-0005-0000-0000-000032080000}"/>
    <cellStyle name="Percentuale 21 3 2 2 2" xfId="28118" xr:uid="{71687389-46F3-4EB7-BAC4-E1E30C84D2CD}"/>
    <cellStyle name="Percentuale 21 3 2 2 3" xfId="28117" xr:uid="{16B737DC-E0CA-4DF5-AE9D-6C89DC9DF07C}"/>
    <cellStyle name="Percentuale 21 3 2 3" xfId="8130" xr:uid="{3E21A8B9-7CF8-43EB-861F-9A7FE22A6399}"/>
    <cellStyle name="Percentuale 21 3 2 3 2" xfId="14129" xr:uid="{B02EBE45-1255-41B2-AFB6-4D65CBC2682C}"/>
    <cellStyle name="Percentuale 21 3 2 3 3" xfId="28119" xr:uid="{D2469135-6F82-44EF-99F1-9AB0E7820919}"/>
    <cellStyle name="Percentuale 21 3 2 3 4" xfId="49124" xr:uid="{02488529-BBBE-4BC5-9D73-7AFA82BC366F}"/>
    <cellStyle name="Percentuale 21 3 2 4" xfId="28120" xr:uid="{9F2F897C-B872-4491-8272-E363D8651BE5}"/>
    <cellStyle name="Percentuale 21 3 2 5" xfId="28116" xr:uid="{6031EE95-C9D9-41A5-B3BA-7D7DA649AA85}"/>
    <cellStyle name="Percentuale 21 3 3" xfId="4323" xr:uid="{B19CC735-7D8F-4506-857A-79A19285F46E}"/>
    <cellStyle name="Percentuale 21 3 3 2" xfId="9437" xr:uid="{D557741A-EBDF-4C31-8305-B06AB111A0EA}"/>
    <cellStyle name="Percentuale 21 3 3 2 2" xfId="28122" xr:uid="{2FD14E47-C268-4FE3-9670-8EA06DFD420C}"/>
    <cellStyle name="Percentuale 21 3 3 3" xfId="28123" xr:uid="{2CE9E813-683F-49DF-AE89-CE3B6E50E2AA}"/>
    <cellStyle name="Percentuale 21 3 3 4" xfId="28124" xr:uid="{F886866C-80C2-4EC0-AAEB-994C975CB638}"/>
    <cellStyle name="Percentuale 21 3 3 4 2" xfId="49125" xr:uid="{E809BD45-8EF2-4015-88AC-72AA6FFFFB66}"/>
    <cellStyle name="Percentuale 21 3 3 5" xfId="28121" xr:uid="{9D85911F-C8DE-40C8-B21D-BA74FC218AFC}"/>
    <cellStyle name="Percentuale 21 3 4" xfId="4324" xr:uid="{266EAE50-6CB0-4462-A3BC-909FF3B48C3E}"/>
    <cellStyle name="Percentuale 21 3 4 2" xfId="13790" xr:uid="{BAF7263B-F8A8-4A7C-92A2-6958DA67BB38}"/>
    <cellStyle name="Percentuale 21 3 4 3" xfId="28125" xr:uid="{218CDCA3-AE81-4345-B877-7C1CF8678034}"/>
    <cellStyle name="Percentuale 21 3 5" xfId="12263" xr:uid="{5D917B83-9C8C-4D82-91EE-32332865765B}"/>
    <cellStyle name="Percentuale 21 3 5 2" xfId="28126" xr:uid="{3D466229-EE06-4F2B-8FA1-9B6B00B500F1}"/>
    <cellStyle name="Percentuale 21 3 6" xfId="28127" xr:uid="{FAB1AE93-16D4-4612-8EED-4AB78AD5F7A6}"/>
    <cellStyle name="Percentuale 21 3 6 2" xfId="49126" xr:uid="{A6E74978-59B3-4645-9C83-4DC50354D62E}"/>
    <cellStyle name="Percentuale 21 3 7" xfId="28128" xr:uid="{4BA15E97-70D5-43D6-B77E-0560F2A31135}"/>
    <cellStyle name="Percentuale 21 3 8" xfId="28115" xr:uid="{AB38FEC5-9551-4E8E-9847-E74C94B215AD}"/>
    <cellStyle name="Percentuale 21 4" xfId="2325" xr:uid="{00000000-0005-0000-0000-000033080000}"/>
    <cellStyle name="Percentuale 21 4 2" xfId="2326" xr:uid="{00000000-0005-0000-0000-000034080000}"/>
    <cellStyle name="Percentuale 21 4 2 2" xfId="9438" xr:uid="{09598009-819E-4DB3-8397-9A54CD1959BC}"/>
    <cellStyle name="Percentuale 21 4 2 2 2" xfId="28131" xr:uid="{70A39651-66F2-4E9D-A972-DB85993B80C5}"/>
    <cellStyle name="Percentuale 21 4 2 3" xfId="17915" xr:uid="{2C6DE4E3-D2CF-408D-BD91-1F41DA19D8E6}"/>
    <cellStyle name="Percentuale 21 4 2 3 2" xfId="28132" xr:uid="{73DD17FD-671D-4932-888D-63ADFB3CFB5A}"/>
    <cellStyle name="Percentuale 21 4 2 4" xfId="28130" xr:uid="{C4DCF052-D07E-4A9A-B66F-43BE62D29847}"/>
    <cellStyle name="Percentuale 21 4 2 5" xfId="17523" xr:uid="{12C2BD33-84A7-41B0-AAC0-F613143B2210}"/>
    <cellStyle name="Percentuale 21 4 3" xfId="9439" xr:uid="{068C0136-8802-481E-BD68-11B1885C9486}"/>
    <cellStyle name="Percentuale 21 4 3 2" xfId="28133" xr:uid="{C861F004-B448-4EB9-B660-F44C832A3CC1}"/>
    <cellStyle name="Percentuale 21 4 4" xfId="28134" xr:uid="{4C2A28EF-71CE-43E2-B739-794D3D643228}"/>
    <cellStyle name="Percentuale 21 4 5" xfId="28135" xr:uid="{32C70316-CE8E-4278-AB84-5601F406EDDE}"/>
    <cellStyle name="Percentuale 21 4 5 2" xfId="49127" xr:uid="{FDD8F6B1-C366-43A9-9898-99F73D9AFBB2}"/>
    <cellStyle name="Percentuale 21 4 6" xfId="28136" xr:uid="{F0FA6F69-F0C0-4612-9A42-168A3B017958}"/>
    <cellStyle name="Percentuale 21 4 7" xfId="28129" xr:uid="{A4EA570D-4C80-40F9-B68B-5719D66A3398}"/>
    <cellStyle name="Percentuale 21 5" xfId="2327" xr:uid="{00000000-0005-0000-0000-000035080000}"/>
    <cellStyle name="Percentuale 21 5 2" xfId="28138" xr:uid="{39AC9682-E3C8-4DB6-B01C-E8DDE908B019}"/>
    <cellStyle name="Percentuale 21 5 3" xfId="28139" xr:uid="{F21D404E-1494-4FA9-88F4-966C63765C0A}"/>
    <cellStyle name="Percentuale 21 5 3 2" xfId="49128" xr:uid="{558B5B7F-2717-4DB8-9C86-7964A1B85125}"/>
    <cellStyle name="Percentuale 21 5 4" xfId="28140" xr:uid="{2C5A38EC-3398-4474-BC59-816180C6FFDB}"/>
    <cellStyle name="Percentuale 21 5 5" xfId="28137" xr:uid="{2D5D7465-DB3F-44AC-99EA-B651CD72EF97}"/>
    <cellStyle name="Percentuale 21 6" xfId="4325" xr:uid="{535C5308-7322-421C-B59C-EF8D14E1D787}"/>
    <cellStyle name="Percentuale 21 6 2" xfId="9824" xr:uid="{8919C317-2AEB-40C6-AD5B-C876BF8F23ED}"/>
    <cellStyle name="Percentuale 21 6 3" xfId="28141" xr:uid="{7E51460B-2A50-4793-A52A-398045124583}"/>
    <cellStyle name="Percentuale 21 7" xfId="28142" xr:uid="{DD0A43E8-1C9D-41CB-B9F6-2530FF862B7F}"/>
    <cellStyle name="Percentuale 21 7 2" xfId="49129" xr:uid="{395F0237-9B2A-44CD-9F85-1AA57B26B3EA}"/>
    <cellStyle name="Percentuale 21 8" xfId="28109" xr:uid="{EE409AFC-3564-4C52-BF4D-8318E7001354}"/>
    <cellStyle name="Percentuale 22" xfId="1026" xr:uid="{00000000-0005-0000-0000-000036080000}"/>
    <cellStyle name="Percentuale 22 2" xfId="1027" xr:uid="{00000000-0005-0000-0000-000037080000}"/>
    <cellStyle name="Percentuale 22 2 2" xfId="4326" xr:uid="{E2E6DF2D-0955-4ACC-A969-83E6192D94A8}"/>
    <cellStyle name="Percentuale 22 2 2 2" xfId="13576" xr:uid="{5F78CB34-B90D-4855-B482-A514F8D4FABD}"/>
    <cellStyle name="Percentuale 22 2 2 3" xfId="28145" xr:uid="{F543EC8B-275B-4BDB-972A-05CF14DD8987}"/>
    <cellStyle name="Percentuale 22 2 3" xfId="13314" xr:uid="{2F337C45-C3EA-4DE2-81BB-E31A3DC23BF5}"/>
    <cellStyle name="Percentuale 22 2 3 2" xfId="28146" xr:uid="{11409267-B125-4D8B-9F33-0DD79CBC5C54}"/>
    <cellStyle name="Percentuale 22 2 4" xfId="28147" xr:uid="{F9FBD0E2-C007-4A23-8411-CC84D7374A41}"/>
    <cellStyle name="Percentuale 22 2 4 2" xfId="49130" xr:uid="{8F54D939-6B7B-4632-AD36-E98C49063F55}"/>
    <cellStyle name="Percentuale 22 2 5" xfId="28148" xr:uid="{FD168486-EF71-48AA-97D0-3BECF8E5397A}"/>
    <cellStyle name="Percentuale 22 2 6" xfId="28144" xr:uid="{3FC38FF0-DF15-487D-A78E-558EF68EC30D}"/>
    <cellStyle name="Percentuale 22 3" xfId="1028" xr:uid="{00000000-0005-0000-0000-000038080000}"/>
    <cellStyle name="Percentuale 22 3 2" xfId="1029" xr:uid="{00000000-0005-0000-0000-000039080000}"/>
    <cellStyle name="Percentuale 22 3 2 2" xfId="2328" xr:uid="{00000000-0005-0000-0000-00003A080000}"/>
    <cellStyle name="Percentuale 22 3 2 2 2" xfId="28152" xr:uid="{C8F320A5-B0AB-4DFC-9388-65A49F2780AB}"/>
    <cellStyle name="Percentuale 22 3 2 2 3" xfId="28151" xr:uid="{8F9DF8E6-8BAE-4E44-BB6C-6EC7B1DEAB1D}"/>
    <cellStyle name="Percentuale 22 3 2 3" xfId="8131" xr:uid="{77E6D6E6-D98C-4889-A66F-586F96D6C4C3}"/>
    <cellStyle name="Percentuale 22 3 2 3 2" xfId="14130" xr:uid="{F1E2A7F5-74B3-4C98-9C37-A07CA3E93AE6}"/>
    <cellStyle name="Percentuale 22 3 2 3 3" xfId="28153" xr:uid="{DEF90223-E55B-48ED-BF8F-57250E61E46B}"/>
    <cellStyle name="Percentuale 22 3 2 3 4" xfId="49131" xr:uid="{4DC5C756-7B50-494C-8E70-2C1764A40599}"/>
    <cellStyle name="Percentuale 22 3 2 4" xfId="28154" xr:uid="{DACFADAB-F472-4298-BAEA-241F529101A0}"/>
    <cellStyle name="Percentuale 22 3 2 5" xfId="28150" xr:uid="{0011F9DB-29A9-4C2E-8633-001DD7F81099}"/>
    <cellStyle name="Percentuale 22 3 3" xfId="4327" xr:uid="{9FB22EE6-38EC-4DBE-B920-91B04C4AB4C4}"/>
    <cellStyle name="Percentuale 22 3 3 2" xfId="9440" xr:uid="{94306DC1-5E32-4BC0-88E5-F20D0CEFDD62}"/>
    <cellStyle name="Percentuale 22 3 3 2 2" xfId="28156" xr:uid="{6CEDF8FE-67D7-43A9-9EC0-9A44FFEE31CB}"/>
    <cellStyle name="Percentuale 22 3 3 3" xfId="28157" xr:uid="{FE1E96FE-A552-431E-84D5-A74C0C70A76C}"/>
    <cellStyle name="Percentuale 22 3 3 4" xfId="28158" xr:uid="{A406A0FF-9A93-470F-AF62-A287B7908C1E}"/>
    <cellStyle name="Percentuale 22 3 3 4 2" xfId="49132" xr:uid="{5D8B1F47-A570-4A0C-93C4-16139853CDC0}"/>
    <cellStyle name="Percentuale 22 3 3 5" xfId="28155" xr:uid="{8B496A40-9888-4C8A-B1CC-0AC46F5527BB}"/>
    <cellStyle name="Percentuale 22 3 4" xfId="4328" xr:uid="{B2E6B3A1-F0E1-460E-B1A4-8FF717DF202E}"/>
    <cellStyle name="Percentuale 22 3 4 2" xfId="13791" xr:uid="{A66A060D-2F15-4CC4-A0B7-262788E738CC}"/>
    <cellStyle name="Percentuale 22 3 4 3" xfId="28159" xr:uid="{A75EA63C-0DA5-4F7B-8026-880507732C6A}"/>
    <cellStyle name="Percentuale 22 3 5" xfId="11516" xr:uid="{280E1328-83AC-43C0-A191-9CE9E30E2E1D}"/>
    <cellStyle name="Percentuale 22 3 5 2" xfId="28160" xr:uid="{89577E0B-DC9A-4FCC-BFC0-33F0E6C5EC6B}"/>
    <cellStyle name="Percentuale 22 3 6" xfId="28161" xr:uid="{415F02EF-EFB1-4E63-B763-840C074D9734}"/>
    <cellStyle name="Percentuale 22 3 6 2" xfId="49133" xr:uid="{773CC908-C63F-4400-B891-CF8F676B961A}"/>
    <cellStyle name="Percentuale 22 3 7" xfId="28162" xr:uid="{73A67F42-626E-470B-AEB0-44C8B5E1023F}"/>
    <cellStyle name="Percentuale 22 3 8" xfId="28149" xr:uid="{161A51DF-3409-4B3E-A3A7-60E5BA7E57D7}"/>
    <cellStyle name="Percentuale 22 4" xfId="2329" xr:uid="{00000000-0005-0000-0000-00003B080000}"/>
    <cellStyle name="Percentuale 22 4 2" xfId="2330" xr:uid="{00000000-0005-0000-0000-00003C080000}"/>
    <cellStyle name="Percentuale 22 4 2 2" xfId="9441" xr:uid="{F4C57FDC-923A-4BA7-B518-40F522E45AC3}"/>
    <cellStyle name="Percentuale 22 4 2 2 2" xfId="28165" xr:uid="{8D4CC688-5784-425C-8829-7AD884C1B5F6}"/>
    <cellStyle name="Percentuale 22 4 2 3" xfId="17916" xr:uid="{4373C240-6185-4CB0-8A17-0986681003B4}"/>
    <cellStyle name="Percentuale 22 4 2 3 2" xfId="28166" xr:uid="{80266299-8F82-4E6A-8ECD-5CCDD85F65D5}"/>
    <cellStyle name="Percentuale 22 4 2 4" xfId="28164" xr:uid="{1080E63E-6762-43C1-9BE5-FFC00084BF4B}"/>
    <cellStyle name="Percentuale 22 4 2 5" xfId="17524" xr:uid="{4CBE5612-ECBC-4C5D-8C7F-A3FAA90876DE}"/>
    <cellStyle name="Percentuale 22 4 3" xfId="9442" xr:uid="{4322666D-4BE7-4219-B42A-D16C4376FB07}"/>
    <cellStyle name="Percentuale 22 4 3 2" xfId="28167" xr:uid="{23167533-F408-4865-9981-0BE263A1741B}"/>
    <cellStyle name="Percentuale 22 4 4" xfId="28168" xr:uid="{AB441F3E-7483-4F90-90BE-99731BB0D9C7}"/>
    <cellStyle name="Percentuale 22 4 5" xfId="28169" xr:uid="{188FDC48-CA11-4139-A8EB-144C00F73DED}"/>
    <cellStyle name="Percentuale 22 4 5 2" xfId="49134" xr:uid="{39CA5008-B4CA-4CB7-B617-D5ACE2789584}"/>
    <cellStyle name="Percentuale 22 4 6" xfId="28170" xr:uid="{0650B38F-F28C-4CC6-AD73-5DDBA2680AA9}"/>
    <cellStyle name="Percentuale 22 4 7" xfId="28163" xr:uid="{7768FD3B-8701-4DB6-92A3-6C6EAF188145}"/>
    <cellStyle name="Percentuale 22 5" xfId="2331" xr:uid="{00000000-0005-0000-0000-00003D080000}"/>
    <cellStyle name="Percentuale 22 5 2" xfId="28172" xr:uid="{0E65833C-955B-4974-85FA-25D65482F561}"/>
    <cellStyle name="Percentuale 22 5 3" xfId="28173" xr:uid="{89678A7D-84DD-49A8-A94B-8ED9345B932F}"/>
    <cellStyle name="Percentuale 22 5 3 2" xfId="49135" xr:uid="{E0D4BEDF-D9DE-4580-A19D-729CE44C3E7B}"/>
    <cellStyle name="Percentuale 22 5 4" xfId="28174" xr:uid="{99696CEA-8EC0-4333-850B-917390EB7790}"/>
    <cellStyle name="Percentuale 22 5 5" xfId="28171" xr:uid="{95F0E64C-CFA7-40DF-BA41-2A5377327311}"/>
    <cellStyle name="Percentuale 22 6" xfId="4329" xr:uid="{15AD8ACB-4DAF-4765-A05B-25FF1B4F81E2}"/>
    <cellStyle name="Percentuale 22 6 2" xfId="9825" xr:uid="{BB339665-A2C3-452A-B85B-42D73A0A18DE}"/>
    <cellStyle name="Percentuale 22 6 3" xfId="28175" xr:uid="{8DDA53E0-C056-4725-B79F-13376BCBBADA}"/>
    <cellStyle name="Percentuale 22 7" xfId="28176" xr:uid="{0EBC0583-D1AC-4229-9CA6-030D417AE072}"/>
    <cellStyle name="Percentuale 22 7 2" xfId="49136" xr:uid="{8FB4369C-177E-46F8-9EEA-15C1B190BA13}"/>
    <cellStyle name="Percentuale 22 8" xfId="28143" xr:uid="{3499C497-9431-4462-B973-5F56085E0B52}"/>
    <cellStyle name="Percentuale 23" xfId="1030" xr:uid="{00000000-0005-0000-0000-00003E080000}"/>
    <cellStyle name="Percentuale 23 2" xfId="1031" xr:uid="{00000000-0005-0000-0000-00003F080000}"/>
    <cellStyle name="Percentuale 23 2 2" xfId="4330" xr:uid="{EA5C1A5B-C5FB-4876-AE9E-A13BB4F6FCAC}"/>
    <cellStyle name="Percentuale 23 2 2 2" xfId="13577" xr:uid="{4BE59AA6-881A-460D-81D8-D75535655C6D}"/>
    <cellStyle name="Percentuale 23 2 2 3" xfId="28179" xr:uid="{EAE1C925-468C-473F-9816-4FDBD635368B}"/>
    <cellStyle name="Percentuale 23 2 3" xfId="13315" xr:uid="{23E80BC0-9EC2-4B9C-85DB-330EBFE1CDE6}"/>
    <cellStyle name="Percentuale 23 2 3 2" xfId="28180" xr:uid="{77500DCC-56D6-4E93-8451-540494FF84C6}"/>
    <cellStyle name="Percentuale 23 2 4" xfId="28181" xr:uid="{D43533CA-BDA3-49EB-A55E-24BE2476112C}"/>
    <cellStyle name="Percentuale 23 2 4 2" xfId="49137" xr:uid="{FE604292-7A26-4188-A730-AE319714F55A}"/>
    <cellStyle name="Percentuale 23 2 5" xfId="28182" xr:uid="{2C9F372B-2190-476E-BF92-0B0391AD0954}"/>
    <cellStyle name="Percentuale 23 2 6" xfId="28178" xr:uid="{7BC71D7F-6C1E-44D3-ABB4-005579BD96B7}"/>
    <cellStyle name="Percentuale 23 3" xfId="1032" xr:uid="{00000000-0005-0000-0000-000040080000}"/>
    <cellStyle name="Percentuale 23 3 2" xfId="1033" xr:uid="{00000000-0005-0000-0000-000041080000}"/>
    <cellStyle name="Percentuale 23 3 2 2" xfId="2332" xr:uid="{00000000-0005-0000-0000-000042080000}"/>
    <cellStyle name="Percentuale 23 3 2 2 2" xfId="28186" xr:uid="{D67084E3-775E-4ED4-A6F2-48A1FC9C5DBE}"/>
    <cellStyle name="Percentuale 23 3 2 2 3" xfId="28185" xr:uid="{7F98FFA8-3B59-48D1-9946-0FE8C57BAC96}"/>
    <cellStyle name="Percentuale 23 3 2 3" xfId="8132" xr:uid="{204CFE57-3661-4CBA-9181-61A38421C1B8}"/>
    <cellStyle name="Percentuale 23 3 2 3 2" xfId="14131" xr:uid="{38714B34-A8E2-4B73-B872-A62C7CD97E34}"/>
    <cellStyle name="Percentuale 23 3 2 3 3" xfId="28187" xr:uid="{9E2A95C5-446C-4F57-805C-634B6F24DE3D}"/>
    <cellStyle name="Percentuale 23 3 2 3 4" xfId="49138" xr:uid="{67CC730D-5403-43BB-AC85-4EAA4F0F110B}"/>
    <cellStyle name="Percentuale 23 3 2 4" xfId="28188" xr:uid="{1822639E-4427-4507-9E16-91CF1D1EF480}"/>
    <cellStyle name="Percentuale 23 3 2 5" xfId="28184" xr:uid="{1BBB3162-2E16-431F-B949-5DA375871D35}"/>
    <cellStyle name="Percentuale 23 3 3" xfId="4331" xr:uid="{F874927C-7A57-4E01-BC96-C52FB8260D43}"/>
    <cellStyle name="Percentuale 23 3 3 2" xfId="9443" xr:uid="{CF381FBD-8D45-4340-8506-22101A44F71A}"/>
    <cellStyle name="Percentuale 23 3 3 2 2" xfId="28190" xr:uid="{61E58FBC-66EA-4EC4-A265-256C2670B564}"/>
    <cellStyle name="Percentuale 23 3 3 3" xfId="28191" xr:uid="{AAF6E8FC-C6FD-43DD-8235-FF0ADA77E445}"/>
    <cellStyle name="Percentuale 23 3 3 4" xfId="28192" xr:uid="{5ED6613D-51CB-4CBE-A6AA-07949F9214FC}"/>
    <cellStyle name="Percentuale 23 3 3 4 2" xfId="49139" xr:uid="{235D511E-9B9C-4B8B-BCEF-F4F71564DF70}"/>
    <cellStyle name="Percentuale 23 3 3 5" xfId="28189" xr:uid="{D570D591-5CF4-48AB-A7F1-D40F80BE10F6}"/>
    <cellStyle name="Percentuale 23 3 4" xfId="4332" xr:uid="{B11250AF-04B5-4181-B427-3D0D2B26089F}"/>
    <cellStyle name="Percentuale 23 3 4 2" xfId="13792" xr:uid="{C4DDEEFA-AE12-48FF-9590-D3EE9C9E3C1E}"/>
    <cellStyle name="Percentuale 23 3 4 3" xfId="28193" xr:uid="{193ACD70-4E49-4D83-9A95-8DB6B1DFE296}"/>
    <cellStyle name="Percentuale 23 3 5" xfId="12262" xr:uid="{3E3C8F2E-303F-4269-9B0D-95C21F150A79}"/>
    <cellStyle name="Percentuale 23 3 5 2" xfId="28194" xr:uid="{5D30DC28-08E0-4A50-8E9D-8F7E92861DBF}"/>
    <cellStyle name="Percentuale 23 3 6" xfId="28195" xr:uid="{3428D626-4DD8-4433-9C26-19BFC76497A8}"/>
    <cellStyle name="Percentuale 23 3 6 2" xfId="49140" xr:uid="{DD9E044C-4239-4F27-9AF7-5B7EE8723F98}"/>
    <cellStyle name="Percentuale 23 3 7" xfId="28196" xr:uid="{052EBDA8-B2EC-4F99-918E-633E2F2F217D}"/>
    <cellStyle name="Percentuale 23 3 8" xfId="28183" xr:uid="{68574E7D-FCE6-4B85-A01D-BB54188422FF}"/>
    <cellStyle name="Percentuale 23 4" xfId="2333" xr:uid="{00000000-0005-0000-0000-000043080000}"/>
    <cellStyle name="Percentuale 23 4 2" xfId="2334" xr:uid="{00000000-0005-0000-0000-000044080000}"/>
    <cellStyle name="Percentuale 23 4 2 2" xfId="9444" xr:uid="{969738AF-1394-4BCC-A0C5-6C10BF0B96EE}"/>
    <cellStyle name="Percentuale 23 4 2 2 2" xfId="28199" xr:uid="{1896899C-5D99-4C9C-B973-D36551AF25EF}"/>
    <cellStyle name="Percentuale 23 4 2 3" xfId="17917" xr:uid="{CAC90337-3538-4E28-9398-D633DA727565}"/>
    <cellStyle name="Percentuale 23 4 2 3 2" xfId="28200" xr:uid="{912BF4A1-8F24-4117-95DF-C61902213A09}"/>
    <cellStyle name="Percentuale 23 4 2 4" xfId="28198" xr:uid="{5F1974FE-414D-4A51-90E3-2CD22AD88FA7}"/>
    <cellStyle name="Percentuale 23 4 2 5" xfId="17525" xr:uid="{FDCFAEF1-3D08-4026-B6AA-08C5896CE284}"/>
    <cellStyle name="Percentuale 23 4 3" xfId="9445" xr:uid="{E85D7431-571F-4E3A-B612-0AF29D660AEE}"/>
    <cellStyle name="Percentuale 23 4 3 2" xfId="28201" xr:uid="{4C988DFA-6EEA-4161-9236-FC0FCBB41680}"/>
    <cellStyle name="Percentuale 23 4 4" xfId="28202" xr:uid="{8FFA43BD-2BD5-4A49-ABF9-628C86D8D48D}"/>
    <cellStyle name="Percentuale 23 4 5" xfId="28203" xr:uid="{3A5E972A-EC01-4629-B911-2D39D58B29C3}"/>
    <cellStyle name="Percentuale 23 4 5 2" xfId="49141" xr:uid="{0E046957-465F-4B46-9210-34FF0731D7A6}"/>
    <cellStyle name="Percentuale 23 4 6" xfId="28204" xr:uid="{D19551D6-B83D-40AA-9644-6A6D85151F63}"/>
    <cellStyle name="Percentuale 23 4 7" xfId="28197" xr:uid="{A7EC0BFF-A204-4EBB-8F5D-250AE9CC815B}"/>
    <cellStyle name="Percentuale 23 5" xfId="2335" xr:uid="{00000000-0005-0000-0000-000045080000}"/>
    <cellStyle name="Percentuale 23 5 2" xfId="28206" xr:uid="{AFB34C3C-1908-4928-9F5C-99B7EF2C02A5}"/>
    <cellStyle name="Percentuale 23 5 3" xfId="28207" xr:uid="{B72283BB-99C6-4E4A-A346-1AF78A3FC9C3}"/>
    <cellStyle name="Percentuale 23 5 3 2" xfId="49142" xr:uid="{52D5CC27-53CE-491D-9DFF-432E74CBBA2F}"/>
    <cellStyle name="Percentuale 23 5 4" xfId="28208" xr:uid="{B3593DCD-BB0F-4C14-85D2-CE93FFF246FA}"/>
    <cellStyle name="Percentuale 23 5 5" xfId="28205" xr:uid="{902E0989-EA93-4E09-8074-53953CEE865D}"/>
    <cellStyle name="Percentuale 23 6" xfId="4333" xr:uid="{8B582DA5-B09C-49DD-9BDF-C33F5690D056}"/>
    <cellStyle name="Percentuale 23 6 2" xfId="9826" xr:uid="{C6C1537B-745E-4E67-A3BF-2F9FA799A101}"/>
    <cellStyle name="Percentuale 23 6 3" xfId="28209" xr:uid="{2FDA0A08-0C98-46F3-B508-7AF7CCA4D2A9}"/>
    <cellStyle name="Percentuale 23 7" xfId="28210" xr:uid="{27DE0A60-5445-4AAD-AA70-737C17F86A41}"/>
    <cellStyle name="Percentuale 23 7 2" xfId="49143" xr:uid="{1C270B1E-4F57-436F-A88A-8B7404C90D96}"/>
    <cellStyle name="Percentuale 23 8" xfId="28177" xr:uid="{8266EF75-BFBD-4843-9AE2-4E13035D4F76}"/>
    <cellStyle name="Percentuale 24" xfId="1034" xr:uid="{00000000-0005-0000-0000-000046080000}"/>
    <cellStyle name="Percentuale 24 2" xfId="1035" xr:uid="{00000000-0005-0000-0000-000047080000}"/>
    <cellStyle name="Percentuale 24 2 2" xfId="4334" xr:uid="{80AB36F7-E95B-42F2-9E36-2D8AE21EE450}"/>
    <cellStyle name="Percentuale 24 2 2 2" xfId="13578" xr:uid="{D638F76F-4644-4CED-BE8D-83F5D59253CF}"/>
    <cellStyle name="Percentuale 24 2 2 3" xfId="28213" xr:uid="{EF6DAACD-270F-40E8-AEE8-E170E1E814FC}"/>
    <cellStyle name="Percentuale 24 2 3" xfId="13316" xr:uid="{656E87A9-DCA1-42E1-93AC-4B71668E7293}"/>
    <cellStyle name="Percentuale 24 2 3 2" xfId="28214" xr:uid="{FE014AC8-154F-48E2-ABA4-C26A2604F3F0}"/>
    <cellStyle name="Percentuale 24 2 4" xfId="28215" xr:uid="{DA437C29-ED3A-48AA-A38A-F96E26447739}"/>
    <cellStyle name="Percentuale 24 2 4 2" xfId="49144" xr:uid="{D6B76C1C-B127-4B36-B5E0-A3B20C2BA14A}"/>
    <cellStyle name="Percentuale 24 2 5" xfId="28216" xr:uid="{F004E12B-7E8D-4F49-B9AB-71A952030CF8}"/>
    <cellStyle name="Percentuale 24 2 6" xfId="28212" xr:uid="{0BF218AC-9E68-4B93-8416-19707AE8C35F}"/>
    <cellStyle name="Percentuale 24 3" xfId="1036" xr:uid="{00000000-0005-0000-0000-000048080000}"/>
    <cellStyle name="Percentuale 24 3 2" xfId="1037" xr:uid="{00000000-0005-0000-0000-000049080000}"/>
    <cellStyle name="Percentuale 24 3 2 2" xfId="2336" xr:uid="{00000000-0005-0000-0000-00004A080000}"/>
    <cellStyle name="Percentuale 24 3 2 2 2" xfId="28220" xr:uid="{561EFE2C-9221-44DF-BC61-062D612C0022}"/>
    <cellStyle name="Percentuale 24 3 2 2 3" xfId="28219" xr:uid="{3B0948C1-3134-48B5-8FCD-439063271888}"/>
    <cellStyle name="Percentuale 24 3 2 3" xfId="8133" xr:uid="{B0C51059-F573-4D86-9374-769F8CBCADF1}"/>
    <cellStyle name="Percentuale 24 3 2 3 2" xfId="14132" xr:uid="{03DCFBB9-8042-4762-893C-325B48E9F919}"/>
    <cellStyle name="Percentuale 24 3 2 3 3" xfId="28221" xr:uid="{1FCC2CDD-91D2-4E0D-91FA-E3D4FC2FDF4E}"/>
    <cellStyle name="Percentuale 24 3 2 3 4" xfId="49145" xr:uid="{C924F7AB-CF65-4CEB-9CA7-8964D36E5CC2}"/>
    <cellStyle name="Percentuale 24 3 2 4" xfId="28222" xr:uid="{07A9D1E0-50F6-4040-B86D-BA57D77038A5}"/>
    <cellStyle name="Percentuale 24 3 2 5" xfId="28218" xr:uid="{8D5B1645-5A4A-4B2C-A10B-7D0EBBD1DA8E}"/>
    <cellStyle name="Percentuale 24 3 3" xfId="4335" xr:uid="{68423A94-4291-4BC1-98E6-2B168F91C377}"/>
    <cellStyle name="Percentuale 24 3 3 2" xfId="9446" xr:uid="{8E9EC9C0-2594-4509-AB95-30527AF17498}"/>
    <cellStyle name="Percentuale 24 3 3 2 2" xfId="28224" xr:uid="{F73E2FD9-CFEA-4956-836E-34DF8F592CE3}"/>
    <cellStyle name="Percentuale 24 3 3 3" xfId="28225" xr:uid="{B5581BD4-EA8A-4865-BC59-976B89D08FF8}"/>
    <cellStyle name="Percentuale 24 3 3 4" xfId="28226" xr:uid="{59D5A832-6CFD-42C2-B3D1-4CA7B34DA491}"/>
    <cellStyle name="Percentuale 24 3 3 4 2" xfId="49146" xr:uid="{76A2BB13-DE03-4A76-B684-96E6696275D2}"/>
    <cellStyle name="Percentuale 24 3 3 5" xfId="28223" xr:uid="{243D85BA-A70B-4448-B542-783A85F4A550}"/>
    <cellStyle name="Percentuale 24 3 4" xfId="4336" xr:uid="{E4E5BED4-62EA-4707-B05B-82F24A38A5D8}"/>
    <cellStyle name="Percentuale 24 3 4 2" xfId="13793" xr:uid="{4E7BB2D4-D3AF-4C00-961D-A97E910C1079}"/>
    <cellStyle name="Percentuale 24 3 4 3" xfId="28227" xr:uid="{ECF0C729-4D97-46EC-A322-ED3405855E7A}"/>
    <cellStyle name="Percentuale 24 3 5" xfId="11505" xr:uid="{2722335A-9697-4984-BC1C-5D6160840B08}"/>
    <cellStyle name="Percentuale 24 3 5 2" xfId="28228" xr:uid="{1174ED91-84F6-4CD5-B3C1-223F6248D8A5}"/>
    <cellStyle name="Percentuale 24 3 6" xfId="28229" xr:uid="{0D940E5B-B4A4-4341-8CCB-B2014D307C0D}"/>
    <cellStyle name="Percentuale 24 3 6 2" xfId="49147" xr:uid="{D605857B-4C8E-48AF-B127-00CA3AA0D65B}"/>
    <cellStyle name="Percentuale 24 3 7" xfId="28230" xr:uid="{37052193-8ECB-4AF3-9A89-9738F4EDB522}"/>
    <cellStyle name="Percentuale 24 3 8" xfId="28217" xr:uid="{7D4ED1A7-DDAD-4FBC-A1AE-F6EB67C1BFAA}"/>
    <cellStyle name="Percentuale 24 4" xfId="2337" xr:uid="{00000000-0005-0000-0000-00004B080000}"/>
    <cellStyle name="Percentuale 24 4 2" xfId="2338" xr:uid="{00000000-0005-0000-0000-00004C080000}"/>
    <cellStyle name="Percentuale 24 4 2 2" xfId="9447" xr:uid="{B03C79A9-331F-4C56-BB54-9A8A8415EBFE}"/>
    <cellStyle name="Percentuale 24 4 2 2 2" xfId="28233" xr:uid="{90058BAA-8E7A-4EFD-87A1-097BFF70664D}"/>
    <cellStyle name="Percentuale 24 4 2 3" xfId="17918" xr:uid="{D1385522-BBBD-4AF5-B009-02710FF5EEB1}"/>
    <cellStyle name="Percentuale 24 4 2 3 2" xfId="28234" xr:uid="{50B04F3D-7255-47E5-90D7-965E7369EC36}"/>
    <cellStyle name="Percentuale 24 4 2 4" xfId="28232" xr:uid="{B337AEB3-3102-48E3-BD56-111E199B9F97}"/>
    <cellStyle name="Percentuale 24 4 2 5" xfId="17526" xr:uid="{E5BDFAFD-4B8E-4EE1-A41F-DEABE91240FC}"/>
    <cellStyle name="Percentuale 24 4 3" xfId="9448" xr:uid="{CB1DC3EB-759F-4334-8957-AAE9BC590DE4}"/>
    <cellStyle name="Percentuale 24 4 3 2" xfId="28235" xr:uid="{07C3E89A-6DE5-400A-AF18-54DFCA4947C2}"/>
    <cellStyle name="Percentuale 24 4 4" xfId="28236" xr:uid="{B2E11980-F757-4605-92BC-4865A76383D9}"/>
    <cellStyle name="Percentuale 24 4 5" xfId="28237" xr:uid="{0612DF7E-AA7F-45F5-987E-DB9007EAA22F}"/>
    <cellStyle name="Percentuale 24 4 5 2" xfId="49148" xr:uid="{4B3145A2-3D33-4548-B820-D8285D8980DB}"/>
    <cellStyle name="Percentuale 24 4 6" xfId="28238" xr:uid="{5E8DFFEE-F91E-4A6E-ADD9-5CDB49C3D824}"/>
    <cellStyle name="Percentuale 24 4 7" xfId="28231" xr:uid="{CC492767-5778-4EDE-AF2C-C38763DEE1FC}"/>
    <cellStyle name="Percentuale 24 5" xfId="2339" xr:uid="{00000000-0005-0000-0000-00004D080000}"/>
    <cellStyle name="Percentuale 24 5 2" xfId="28240" xr:uid="{26A0AD9E-7F6D-4CF7-BF54-38270E6236AD}"/>
    <cellStyle name="Percentuale 24 5 3" xfId="28241" xr:uid="{4222C95E-33A6-427F-AB0B-D4F7485251E0}"/>
    <cellStyle name="Percentuale 24 5 3 2" xfId="49149" xr:uid="{45E072E9-5D9D-4093-B6CE-78201D101351}"/>
    <cellStyle name="Percentuale 24 5 4" xfId="28242" xr:uid="{D055763F-EF1F-4534-BC69-65C00B1B0205}"/>
    <cellStyle name="Percentuale 24 5 5" xfId="28239" xr:uid="{E7AF6D3F-28AA-4A2D-BB9D-3197554F4819}"/>
    <cellStyle name="Percentuale 24 6" xfId="4337" xr:uid="{DE1861B5-E275-4951-AE40-99028ED65DE1}"/>
    <cellStyle name="Percentuale 24 6 2" xfId="9827" xr:uid="{A1F7006F-41E0-47C2-8EBA-82261F162BDF}"/>
    <cellStyle name="Percentuale 24 6 3" xfId="28243" xr:uid="{A7DCF847-2284-46F3-8616-E08388F432D8}"/>
    <cellStyle name="Percentuale 24 7" xfId="28244" xr:uid="{24B89000-DCE3-414F-9570-F681BD579B7A}"/>
    <cellStyle name="Percentuale 24 7 2" xfId="49150" xr:uid="{8DD823C4-03DB-450E-BFF3-57FD77B093DF}"/>
    <cellStyle name="Percentuale 24 8" xfId="28211" xr:uid="{51A8E7EF-E32A-4A1F-8EDF-EEE407E89F8D}"/>
    <cellStyle name="Percentuale 25" xfId="1038" xr:uid="{00000000-0005-0000-0000-00004E080000}"/>
    <cellStyle name="Percentuale 25 2" xfId="1039" xr:uid="{00000000-0005-0000-0000-00004F080000}"/>
    <cellStyle name="Percentuale 25 2 2" xfId="4338" xr:uid="{D75FEB61-2635-4A05-BC35-447C92348384}"/>
    <cellStyle name="Percentuale 25 2 2 2" xfId="13579" xr:uid="{A63306F5-643F-4C7E-873F-CED18AE6DAB5}"/>
    <cellStyle name="Percentuale 25 2 2 3" xfId="28247" xr:uid="{6ADAD562-DC3B-41E0-9B5A-0BEC8B516F8D}"/>
    <cellStyle name="Percentuale 25 2 3" xfId="13317" xr:uid="{B4B72E71-9A88-402B-A57C-2498ADD8B67D}"/>
    <cellStyle name="Percentuale 25 2 3 2" xfId="28248" xr:uid="{C854D29C-EBC3-4218-B0B3-D17DBEC6CA38}"/>
    <cellStyle name="Percentuale 25 2 4" xfId="28249" xr:uid="{51C29859-3D7D-491D-86B6-29BDE27183E0}"/>
    <cellStyle name="Percentuale 25 2 4 2" xfId="49151" xr:uid="{6D6A9877-D4FC-4620-9853-CEBD4A462FFC}"/>
    <cellStyle name="Percentuale 25 2 5" xfId="28250" xr:uid="{E3809499-D2B6-4643-9574-7392972A5933}"/>
    <cellStyle name="Percentuale 25 2 6" xfId="28246" xr:uid="{5678BEF6-9DA5-4E90-AE50-103A96F0FAFF}"/>
    <cellStyle name="Percentuale 25 3" xfId="1040" xr:uid="{00000000-0005-0000-0000-000050080000}"/>
    <cellStyle name="Percentuale 25 3 2" xfId="1041" xr:uid="{00000000-0005-0000-0000-000051080000}"/>
    <cellStyle name="Percentuale 25 3 2 2" xfId="2340" xr:uid="{00000000-0005-0000-0000-000052080000}"/>
    <cellStyle name="Percentuale 25 3 2 2 2" xfId="28254" xr:uid="{3F8A2843-B579-4083-B3EA-1E8C2521B108}"/>
    <cellStyle name="Percentuale 25 3 2 2 3" xfId="28253" xr:uid="{81269624-4104-48DD-A395-42004139E274}"/>
    <cellStyle name="Percentuale 25 3 2 3" xfId="8134" xr:uid="{35F5E39F-8085-4DB6-9E4E-D601130487B4}"/>
    <cellStyle name="Percentuale 25 3 2 3 2" xfId="14133" xr:uid="{4249E8C2-583F-439C-A7B8-C264606DC473}"/>
    <cellStyle name="Percentuale 25 3 2 3 3" xfId="28255" xr:uid="{C56E7916-903F-4215-A929-2666F0C86609}"/>
    <cellStyle name="Percentuale 25 3 2 3 4" xfId="49152" xr:uid="{4B5B892D-1AC7-4064-A5BA-60B9A02EE5C0}"/>
    <cellStyle name="Percentuale 25 3 2 4" xfId="28256" xr:uid="{C53D9EF9-2FB4-4240-97FF-8B37FB1AEF6B}"/>
    <cellStyle name="Percentuale 25 3 2 5" xfId="28252" xr:uid="{8BE031BB-3C61-47BB-9DA5-D82D0CD1C905}"/>
    <cellStyle name="Percentuale 25 3 3" xfId="4339" xr:uid="{C6C9AA98-5DA7-4219-AFB3-CE9712F908C6}"/>
    <cellStyle name="Percentuale 25 3 3 2" xfId="9449" xr:uid="{92EFB05F-E0C1-46F7-80AB-7565850C3C92}"/>
    <cellStyle name="Percentuale 25 3 3 2 2" xfId="28258" xr:uid="{02F52DD2-02C9-48D7-8158-FCCFE98EBB7A}"/>
    <cellStyle name="Percentuale 25 3 3 3" xfId="28259" xr:uid="{FDC9BB7F-2E01-47A8-BF3C-161051199935}"/>
    <cellStyle name="Percentuale 25 3 3 4" xfId="28260" xr:uid="{80A31559-6EAE-4C06-A61C-9644A6607008}"/>
    <cellStyle name="Percentuale 25 3 3 4 2" xfId="49153" xr:uid="{B7F55B5D-416F-44AC-8F7D-F653FCF870AD}"/>
    <cellStyle name="Percentuale 25 3 3 5" xfId="28257" xr:uid="{20B72442-886F-4D14-9EEA-C4A28A63E8E3}"/>
    <cellStyle name="Percentuale 25 3 4" xfId="4340" xr:uid="{401DD4ED-D35E-4359-95C5-4B760AFA836C}"/>
    <cellStyle name="Percentuale 25 3 4 2" xfId="13794" xr:uid="{5C8C3C77-A454-442D-8660-C0C33AFC2D84}"/>
    <cellStyle name="Percentuale 25 3 4 3" xfId="28261" xr:uid="{3F21B45A-ABA8-4844-A89D-301732429EF1}"/>
    <cellStyle name="Percentuale 25 3 5" xfId="11157" xr:uid="{B17B76E7-149F-44E6-8F1D-01B9E01C3C43}"/>
    <cellStyle name="Percentuale 25 3 5 2" xfId="28262" xr:uid="{88DB0F42-CA52-49F9-9867-3598180EC251}"/>
    <cellStyle name="Percentuale 25 3 6" xfId="28263" xr:uid="{945653AF-9897-49BA-B264-FA3D0B212836}"/>
    <cellStyle name="Percentuale 25 3 6 2" xfId="49154" xr:uid="{23183EC2-F336-46D2-8AB7-55A61AC5E418}"/>
    <cellStyle name="Percentuale 25 3 7" xfId="28264" xr:uid="{36131222-3FD6-41BB-B410-2831ADA3F693}"/>
    <cellStyle name="Percentuale 25 3 8" xfId="28251" xr:uid="{810C9322-12DF-469C-A86C-07C608D3B5BE}"/>
    <cellStyle name="Percentuale 25 4" xfId="2341" xr:uid="{00000000-0005-0000-0000-000053080000}"/>
    <cellStyle name="Percentuale 25 4 2" xfId="2342" xr:uid="{00000000-0005-0000-0000-000054080000}"/>
    <cellStyle name="Percentuale 25 4 2 2" xfId="9450" xr:uid="{5D978EBD-52ED-433C-BCF3-FBF8B7AAFDA5}"/>
    <cellStyle name="Percentuale 25 4 2 2 2" xfId="28267" xr:uid="{2CE101CC-77BC-46EC-A4FD-7F7BF013205E}"/>
    <cellStyle name="Percentuale 25 4 2 3" xfId="17919" xr:uid="{D9E81688-9D36-4A3B-A3FD-4EA362306D49}"/>
    <cellStyle name="Percentuale 25 4 2 3 2" xfId="28268" xr:uid="{E4D65040-58FC-440F-89F9-DFB601508374}"/>
    <cellStyle name="Percentuale 25 4 2 4" xfId="28266" xr:uid="{FFEF3116-432E-4AE0-BAD6-7FB414FE33F6}"/>
    <cellStyle name="Percentuale 25 4 2 5" xfId="17527" xr:uid="{51EA9CF5-AFEB-4E4E-AEA5-F2A6C3BF1FE7}"/>
    <cellStyle name="Percentuale 25 4 3" xfId="9451" xr:uid="{7FC96DF9-64D8-4104-A418-DACB57AD4A9B}"/>
    <cellStyle name="Percentuale 25 4 3 2" xfId="28269" xr:uid="{E7E4667B-3164-49B1-911A-D224F1ABB537}"/>
    <cellStyle name="Percentuale 25 4 4" xfId="28270" xr:uid="{7E0C3122-48B3-4F3C-B179-4CA08B2F60E6}"/>
    <cellStyle name="Percentuale 25 4 5" xfId="28271" xr:uid="{B0228B8B-70B1-42EF-83DA-E473FA59EFC6}"/>
    <cellStyle name="Percentuale 25 4 5 2" xfId="49155" xr:uid="{BE92AE46-4C30-432D-810A-FCF6BD01F750}"/>
    <cellStyle name="Percentuale 25 4 6" xfId="28272" xr:uid="{54FE9224-ECEB-459B-B1E0-02B1F0CD5118}"/>
    <cellStyle name="Percentuale 25 4 7" xfId="28265" xr:uid="{C719E1B5-862D-408F-98D3-B91EA317322A}"/>
    <cellStyle name="Percentuale 25 5" xfId="2343" xr:uid="{00000000-0005-0000-0000-000055080000}"/>
    <cellStyle name="Percentuale 25 5 2" xfId="28274" xr:uid="{A9AE43C2-833B-4187-BDB6-D4651A0D7DE0}"/>
    <cellStyle name="Percentuale 25 5 3" xfId="28275" xr:uid="{67349E4D-0277-4152-86D2-249FB999649F}"/>
    <cellStyle name="Percentuale 25 5 3 2" xfId="49156" xr:uid="{A4568716-0390-4349-A984-950C5995B685}"/>
    <cellStyle name="Percentuale 25 5 4" xfId="28276" xr:uid="{4C2BBF6D-B72C-4724-8298-DE1DD063B916}"/>
    <cellStyle name="Percentuale 25 5 5" xfId="28273" xr:uid="{9BF7B80E-41C5-4605-B746-126BFEE9C645}"/>
    <cellStyle name="Percentuale 25 6" xfId="4341" xr:uid="{0344AB72-D7EE-4F5C-A1DA-12D7E804C5E1}"/>
    <cellStyle name="Percentuale 25 6 2" xfId="9828" xr:uid="{F506BF5E-88C7-412E-A578-6931A594C5CB}"/>
    <cellStyle name="Percentuale 25 6 3" xfId="28277" xr:uid="{7F6BF741-8A5C-4172-A62F-77FF85DB2C11}"/>
    <cellStyle name="Percentuale 25 7" xfId="28278" xr:uid="{298A0BFD-B4D0-462B-88F4-A8A72C450DB8}"/>
    <cellStyle name="Percentuale 25 7 2" xfId="49157" xr:uid="{324A49B0-5BB1-4303-9AF2-68B737C4A2D7}"/>
    <cellStyle name="Percentuale 25 8" xfId="28245" xr:uid="{976C9B23-57B2-4269-80D4-D006FF3756BF}"/>
    <cellStyle name="Percentuale 26" xfId="1042" xr:uid="{00000000-0005-0000-0000-000056080000}"/>
    <cellStyle name="Percentuale 26 2" xfId="1043" xr:uid="{00000000-0005-0000-0000-000057080000}"/>
    <cellStyle name="Percentuale 26 2 2" xfId="4342" xr:uid="{72C4A156-A104-4DFD-A6AC-816EAE1B456F}"/>
    <cellStyle name="Percentuale 26 2 2 2" xfId="13580" xr:uid="{4C83D47E-7B38-4C52-AB1D-BCC4C33967FF}"/>
    <cellStyle name="Percentuale 26 2 2 3" xfId="28281" xr:uid="{9D56AE67-88EB-4EC1-94FD-0FD76C46C70B}"/>
    <cellStyle name="Percentuale 26 2 3" xfId="13318" xr:uid="{9CC43FB0-6D4D-4366-9129-B13ADF097B19}"/>
    <cellStyle name="Percentuale 26 2 3 2" xfId="28282" xr:uid="{3DE94C26-84C4-4929-A28B-5DA7FE363461}"/>
    <cellStyle name="Percentuale 26 2 4" xfId="28283" xr:uid="{760EE331-9BE6-462C-8E56-0C7AF1535A10}"/>
    <cellStyle name="Percentuale 26 2 4 2" xfId="49158" xr:uid="{8510B83F-E044-4D42-A275-965D7C384F2A}"/>
    <cellStyle name="Percentuale 26 2 5" xfId="28284" xr:uid="{C83E61F6-CCE4-43C8-8D7E-187DC9C3EC13}"/>
    <cellStyle name="Percentuale 26 2 6" xfId="28280" xr:uid="{422E93DF-1B3F-4378-ACCB-5259D11C1EFC}"/>
    <cellStyle name="Percentuale 26 3" xfId="1044" xr:uid="{00000000-0005-0000-0000-000058080000}"/>
    <cellStyle name="Percentuale 26 3 2" xfId="1045" xr:uid="{00000000-0005-0000-0000-000059080000}"/>
    <cellStyle name="Percentuale 26 3 2 2" xfId="2344" xr:uid="{00000000-0005-0000-0000-00005A080000}"/>
    <cellStyle name="Percentuale 26 3 2 2 2" xfId="28288" xr:uid="{FA09C231-0A61-418B-9EE0-A1FCEEAEAB40}"/>
    <cellStyle name="Percentuale 26 3 2 2 3" xfId="28287" xr:uid="{AECA11FD-8629-428D-826D-D89E9DA85441}"/>
    <cellStyle name="Percentuale 26 3 2 3" xfId="8135" xr:uid="{7BA32D7E-3F6E-4E1F-90C7-AB95FDBC0965}"/>
    <cellStyle name="Percentuale 26 3 2 3 2" xfId="14134" xr:uid="{E7507010-BA48-4133-82CD-E31AC9353C33}"/>
    <cellStyle name="Percentuale 26 3 2 3 3" xfId="28289" xr:uid="{B6C1127A-DA7C-4A6D-A7E8-E0C2B217690A}"/>
    <cellStyle name="Percentuale 26 3 2 3 4" xfId="49159" xr:uid="{98510169-8CDD-495C-AFEF-F69533906F7B}"/>
    <cellStyle name="Percentuale 26 3 2 4" xfId="28290" xr:uid="{77160C9B-2A52-4BFA-8EC5-6DA2778B3F6B}"/>
    <cellStyle name="Percentuale 26 3 2 5" xfId="28286" xr:uid="{7DC3CFC7-9830-4515-8053-A7A93110E789}"/>
    <cellStyle name="Percentuale 26 3 3" xfId="4343" xr:uid="{20F20252-975D-46B3-9784-EFF3FCF71703}"/>
    <cellStyle name="Percentuale 26 3 3 2" xfId="9452" xr:uid="{9729CCF8-03E5-4C42-AD10-43824C2F8355}"/>
    <cellStyle name="Percentuale 26 3 3 2 2" xfId="28292" xr:uid="{AE44E28C-011A-480B-A48E-21232EDF88C0}"/>
    <cellStyle name="Percentuale 26 3 3 3" xfId="28293" xr:uid="{DA572942-CC3C-490A-ACC0-27E3EF1AB4A0}"/>
    <cellStyle name="Percentuale 26 3 3 4" xfId="28294" xr:uid="{A76D4244-EAEB-4A3F-9C03-3BDE6B511CAC}"/>
    <cellStyle name="Percentuale 26 3 3 4 2" xfId="49160" xr:uid="{41291A6F-0451-4B28-B5DB-D58D47742913}"/>
    <cellStyle name="Percentuale 26 3 3 5" xfId="28291" xr:uid="{4994514C-B373-4E36-9FFA-BB547E63AE65}"/>
    <cellStyle name="Percentuale 26 3 4" xfId="4344" xr:uid="{42E27C82-5218-408B-9D6F-B44AC517E865}"/>
    <cellStyle name="Percentuale 26 3 4 2" xfId="13795" xr:uid="{A45911F0-E2E8-44AE-A5DE-3653C56C52D5}"/>
    <cellStyle name="Percentuale 26 3 4 3" xfId="28295" xr:uid="{188AAB2C-9C9C-48D8-9DC9-3940CD5D82E9}"/>
    <cellStyle name="Percentuale 26 3 5" xfId="12300" xr:uid="{B7C65E33-81C6-43CC-9A44-B8DFBE905A0D}"/>
    <cellStyle name="Percentuale 26 3 5 2" xfId="28296" xr:uid="{F0BA092B-9F65-4108-B2ED-474EA59CC5B7}"/>
    <cellStyle name="Percentuale 26 3 6" xfId="28297" xr:uid="{84B35071-07A2-4FFA-BABE-9E495B2A80BF}"/>
    <cellStyle name="Percentuale 26 3 6 2" xfId="49161" xr:uid="{06338D2E-6FBB-4B50-B4A0-C3C8938DC4B1}"/>
    <cellStyle name="Percentuale 26 3 7" xfId="28298" xr:uid="{75D08562-149D-47E5-8FDB-A8E4A4E52257}"/>
    <cellStyle name="Percentuale 26 3 8" xfId="28285" xr:uid="{D3675C67-B4CF-41A1-8CD6-D4703F3F37A2}"/>
    <cellStyle name="Percentuale 26 4" xfId="2345" xr:uid="{00000000-0005-0000-0000-00005B080000}"/>
    <cellStyle name="Percentuale 26 4 2" xfId="2346" xr:uid="{00000000-0005-0000-0000-00005C080000}"/>
    <cellStyle name="Percentuale 26 4 2 2" xfId="9453" xr:uid="{F9743091-8262-45D2-8E0A-35B65D130A71}"/>
    <cellStyle name="Percentuale 26 4 2 2 2" xfId="28301" xr:uid="{E1299068-72CE-44E4-ADEC-9D3693FB5F25}"/>
    <cellStyle name="Percentuale 26 4 2 3" xfId="17920" xr:uid="{012AF79C-CA19-47E2-849C-37C5CFEDB81C}"/>
    <cellStyle name="Percentuale 26 4 2 3 2" xfId="28302" xr:uid="{284D240A-99F2-47EB-960C-CF8178C31CE2}"/>
    <cellStyle name="Percentuale 26 4 2 4" xfId="28300" xr:uid="{C2CB640E-D934-41A6-861B-6B2216B7B8C5}"/>
    <cellStyle name="Percentuale 26 4 2 5" xfId="17528" xr:uid="{60811ABF-5B96-4AC7-9834-96AD28341419}"/>
    <cellStyle name="Percentuale 26 4 3" xfId="9454" xr:uid="{7790E3EA-21ED-439D-BA1F-C79A65E2CEDF}"/>
    <cellStyle name="Percentuale 26 4 3 2" xfId="28303" xr:uid="{205A1363-0BF8-4D86-B098-E5FE3C0FA823}"/>
    <cellStyle name="Percentuale 26 4 4" xfId="28304" xr:uid="{B17C1F72-3DEB-427B-B74C-C0CBA35A2CEB}"/>
    <cellStyle name="Percentuale 26 4 5" xfId="28305" xr:uid="{BA5FB993-CE12-44A7-9FF8-F9E792B8D107}"/>
    <cellStyle name="Percentuale 26 4 5 2" xfId="49162" xr:uid="{171305EE-939B-49E3-B383-FBC7FE2800EB}"/>
    <cellStyle name="Percentuale 26 4 6" xfId="28306" xr:uid="{FEE3F6C1-37A7-45B5-8E76-3866E6F45BA8}"/>
    <cellStyle name="Percentuale 26 4 7" xfId="28299" xr:uid="{72AC5CC6-F2FC-4D70-AD81-A98A7BEB8DCB}"/>
    <cellStyle name="Percentuale 26 5" xfId="2347" xr:uid="{00000000-0005-0000-0000-00005D080000}"/>
    <cellStyle name="Percentuale 26 5 2" xfId="28308" xr:uid="{E629D19A-19E5-436A-ACAF-5447B59F4DCC}"/>
    <cellStyle name="Percentuale 26 5 3" xfId="28309" xr:uid="{4317D436-A704-417F-986A-9EC583843B07}"/>
    <cellStyle name="Percentuale 26 5 3 2" xfId="49163" xr:uid="{57B1B5A5-A1BF-4302-B099-B95251FE89F2}"/>
    <cellStyle name="Percentuale 26 5 4" xfId="28310" xr:uid="{B9328A7B-A758-4194-BD4C-3A0C970F6682}"/>
    <cellStyle name="Percentuale 26 5 5" xfId="28307" xr:uid="{3D3717AE-3EEE-4E72-ABF8-ADE58285E7AD}"/>
    <cellStyle name="Percentuale 26 6" xfId="4345" xr:uid="{6F3222A7-5539-4DA3-B5ED-41D2B52F9043}"/>
    <cellStyle name="Percentuale 26 6 2" xfId="9829" xr:uid="{564A19B8-79BF-424C-87D1-DC84BF15FEF0}"/>
    <cellStyle name="Percentuale 26 6 3" xfId="28311" xr:uid="{118DEE2D-AFEA-434A-9784-CA0B47E1D6D2}"/>
    <cellStyle name="Percentuale 26 7" xfId="28312" xr:uid="{10998950-E9BC-4DC4-9E26-86C5FB1C28E4}"/>
    <cellStyle name="Percentuale 26 7 2" xfId="49164" xr:uid="{C5176A30-C07D-4702-8F73-520E7BBEAD39}"/>
    <cellStyle name="Percentuale 26 8" xfId="28279" xr:uid="{F74818D0-B19C-4F52-A516-B5A9C31F6B72}"/>
    <cellStyle name="Percentuale 27" xfId="1046" xr:uid="{00000000-0005-0000-0000-00005E080000}"/>
    <cellStyle name="Percentuale 27 2" xfId="1047" xr:uid="{00000000-0005-0000-0000-00005F080000}"/>
    <cellStyle name="Percentuale 27 2 2" xfId="4346" xr:uid="{A9465755-FDE7-48E6-BA08-A512809C0D88}"/>
    <cellStyle name="Percentuale 27 2 2 2" xfId="13581" xr:uid="{29FE7C62-EC2F-4AA9-B721-85B5C4F37140}"/>
    <cellStyle name="Percentuale 27 2 2 3" xfId="28315" xr:uid="{9B6921FE-6882-4E3F-B14E-E3E207D11E54}"/>
    <cellStyle name="Percentuale 27 2 3" xfId="13319" xr:uid="{3895229F-4786-4E7C-883B-A5C4B763EB12}"/>
    <cellStyle name="Percentuale 27 2 3 2" xfId="28316" xr:uid="{08866C81-11BC-45BF-8D3B-B267C8588AFB}"/>
    <cellStyle name="Percentuale 27 2 4" xfId="28317" xr:uid="{E77E47F0-0A90-43DD-B73F-6372BBAE916E}"/>
    <cellStyle name="Percentuale 27 2 4 2" xfId="49165" xr:uid="{F970F641-4EDF-4174-A370-D7623A8E4135}"/>
    <cellStyle name="Percentuale 27 2 5" xfId="28318" xr:uid="{7BB7FC41-E847-4CBB-AE39-C60D5EC6CF78}"/>
    <cellStyle name="Percentuale 27 2 6" xfId="28314" xr:uid="{F04AC45A-7888-43CB-A74D-09B230DE43D2}"/>
    <cellStyle name="Percentuale 27 3" xfId="1048" xr:uid="{00000000-0005-0000-0000-000060080000}"/>
    <cellStyle name="Percentuale 27 3 2" xfId="1049" xr:uid="{00000000-0005-0000-0000-000061080000}"/>
    <cellStyle name="Percentuale 27 3 2 2" xfId="2348" xr:uid="{00000000-0005-0000-0000-000062080000}"/>
    <cellStyle name="Percentuale 27 3 2 2 2" xfId="28322" xr:uid="{9B26FEF2-9CDF-4ADD-BE15-521D3C1C59D8}"/>
    <cellStyle name="Percentuale 27 3 2 2 3" xfId="28321" xr:uid="{AD737A98-08D1-4B32-B13A-5E7181B333B6}"/>
    <cellStyle name="Percentuale 27 3 2 3" xfId="8136" xr:uid="{64C55CE8-A450-427D-957C-60AC3EEDCE14}"/>
    <cellStyle name="Percentuale 27 3 2 3 2" xfId="14135" xr:uid="{D6BB2A91-4363-4B6B-98E8-B9DD71CE0EC6}"/>
    <cellStyle name="Percentuale 27 3 2 3 3" xfId="28323" xr:uid="{716A2B5E-EE3B-43EB-BE4C-45AAD8FF09FB}"/>
    <cellStyle name="Percentuale 27 3 2 3 4" xfId="49166" xr:uid="{6F1D2001-8FB4-4C01-B200-5636676F8C82}"/>
    <cellStyle name="Percentuale 27 3 2 4" xfId="28324" xr:uid="{79547A01-4A50-4FD3-8AFE-B6CA6EC31B9C}"/>
    <cellStyle name="Percentuale 27 3 2 5" xfId="28320" xr:uid="{35348ABA-9E01-4006-9240-212B7FB1656E}"/>
    <cellStyle name="Percentuale 27 3 3" xfId="4347" xr:uid="{8CF57C26-C15C-424F-9D5E-CD265DC0E123}"/>
    <cellStyle name="Percentuale 27 3 3 2" xfId="9455" xr:uid="{884B199F-DE7C-44B6-867C-56AD9771E456}"/>
    <cellStyle name="Percentuale 27 3 3 2 2" xfId="28326" xr:uid="{D63645B6-2F94-41AD-B545-346ACB9EE06F}"/>
    <cellStyle name="Percentuale 27 3 3 3" xfId="28327" xr:uid="{7FF6ACB8-591D-4C01-8173-6F4509CEC177}"/>
    <cellStyle name="Percentuale 27 3 3 4" xfId="28328" xr:uid="{DF9C4CE2-0F4D-4748-BC29-3B18873DADD4}"/>
    <cellStyle name="Percentuale 27 3 3 4 2" xfId="49167" xr:uid="{DBEC013A-2EE4-4532-A7BB-E0AEE4B66F83}"/>
    <cellStyle name="Percentuale 27 3 3 5" xfId="28325" xr:uid="{792FABE0-0A30-4C3B-A4A4-5A3454B0A0C1}"/>
    <cellStyle name="Percentuale 27 3 4" xfId="4348" xr:uid="{204A3C27-331E-4B02-A048-0679E2E2A764}"/>
    <cellStyle name="Percentuale 27 3 4 2" xfId="13796" xr:uid="{4253A2D8-AD11-43E9-8D6D-8BAF1F76BD50}"/>
    <cellStyle name="Percentuale 27 3 4 3" xfId="28329" xr:uid="{52D49CF1-F4FA-4C91-89E6-654918FBD26B}"/>
    <cellStyle name="Percentuale 27 3 5" xfId="12429" xr:uid="{9938AD14-A639-4674-886B-5EC5D059C5CD}"/>
    <cellStyle name="Percentuale 27 3 5 2" xfId="28330" xr:uid="{C487F888-2BE8-416D-93F2-417977456FB5}"/>
    <cellStyle name="Percentuale 27 3 6" xfId="28331" xr:uid="{84BF66A2-F418-4EF0-B5EF-5AC0D9185A86}"/>
    <cellStyle name="Percentuale 27 3 6 2" xfId="49168" xr:uid="{7B90BCE4-2AE6-4C57-985F-18B8905AA27A}"/>
    <cellStyle name="Percentuale 27 3 7" xfId="28332" xr:uid="{F269F8E1-13EF-4942-940E-882DF6640864}"/>
    <cellStyle name="Percentuale 27 3 8" xfId="28319" xr:uid="{0DD19C0B-DA39-49B7-BBC1-2496D31CA280}"/>
    <cellStyle name="Percentuale 27 4" xfId="2349" xr:uid="{00000000-0005-0000-0000-000063080000}"/>
    <cellStyle name="Percentuale 27 4 2" xfId="2350" xr:uid="{00000000-0005-0000-0000-000064080000}"/>
    <cellStyle name="Percentuale 27 4 2 2" xfId="9456" xr:uid="{6D901602-467C-4A52-AB13-2987C441027A}"/>
    <cellStyle name="Percentuale 27 4 2 2 2" xfId="28335" xr:uid="{D308CD35-0C57-4F58-BB3D-9D3B375CF161}"/>
    <cellStyle name="Percentuale 27 4 2 3" xfId="17921" xr:uid="{A0AB9D83-ACFA-4513-B0FE-A9FD8BC3FDDD}"/>
    <cellStyle name="Percentuale 27 4 2 3 2" xfId="28336" xr:uid="{D7453957-EBF9-45C6-BE8D-0610413F52D2}"/>
    <cellStyle name="Percentuale 27 4 2 4" xfId="28334" xr:uid="{9A7CDF75-C991-4942-B892-07ED486250E7}"/>
    <cellStyle name="Percentuale 27 4 2 5" xfId="17529" xr:uid="{4DFEAA94-A4B8-4710-91DF-B4E9A579AB7D}"/>
    <cellStyle name="Percentuale 27 4 3" xfId="9457" xr:uid="{C1DAC2DE-C59B-42FA-8A7E-5F91DFEFE711}"/>
    <cellStyle name="Percentuale 27 4 3 2" xfId="28337" xr:uid="{AC9E0967-BA00-400A-BA53-053CFDACB85B}"/>
    <cellStyle name="Percentuale 27 4 4" xfId="28338" xr:uid="{C3305EEC-7A90-4B66-A329-0B2D8A7CDEBE}"/>
    <cellStyle name="Percentuale 27 4 5" xfId="28339" xr:uid="{B48D87B3-5B24-4F61-8BEC-0CCD64AADE06}"/>
    <cellStyle name="Percentuale 27 4 5 2" xfId="49169" xr:uid="{F5D2A31C-15BE-46A0-8C34-1B3F34E7A569}"/>
    <cellStyle name="Percentuale 27 4 6" xfId="28340" xr:uid="{9D4CAE02-3F7B-4FFF-B0C7-CC6070810197}"/>
    <cellStyle name="Percentuale 27 4 7" xfId="28333" xr:uid="{B4B77B15-744C-4057-8A43-6AE110990154}"/>
    <cellStyle name="Percentuale 27 5" xfId="2351" xr:uid="{00000000-0005-0000-0000-000065080000}"/>
    <cellStyle name="Percentuale 27 5 2" xfId="28342" xr:uid="{D8E500C1-2A59-44F6-A2D1-6481378E1A4C}"/>
    <cellStyle name="Percentuale 27 5 3" xfId="28343" xr:uid="{721303AA-92FD-4343-BEF0-AC4AEB6A83AD}"/>
    <cellStyle name="Percentuale 27 5 3 2" xfId="49170" xr:uid="{0267DEDD-75C9-413D-829F-3C76B07F8E85}"/>
    <cellStyle name="Percentuale 27 5 4" xfId="28344" xr:uid="{4A8623FD-A612-49D1-8D40-DF1E09E24024}"/>
    <cellStyle name="Percentuale 27 5 5" xfId="28341" xr:uid="{7BF93991-0C6E-400C-B274-0A013DAD940F}"/>
    <cellStyle name="Percentuale 27 6" xfId="4349" xr:uid="{A15516B8-342A-443C-8DD4-67589E27CD21}"/>
    <cellStyle name="Percentuale 27 6 2" xfId="9830" xr:uid="{A53EEBE5-F1AC-4232-BD57-47967AEF756E}"/>
    <cellStyle name="Percentuale 27 6 3" xfId="28345" xr:uid="{1D7A8A1B-6384-45C8-8C21-7EE77E7DF3BF}"/>
    <cellStyle name="Percentuale 27 7" xfId="28346" xr:uid="{30D778A0-AED3-4ACA-96CF-4A9787E3D825}"/>
    <cellStyle name="Percentuale 27 7 2" xfId="49171" xr:uid="{4FAC363B-C581-416A-8089-9B7AA309166A}"/>
    <cellStyle name="Percentuale 27 8" xfId="28313" xr:uid="{092853D5-FAC9-448D-93F2-6EECB4BE8546}"/>
    <cellStyle name="Percentuale 28" xfId="1050" xr:uid="{00000000-0005-0000-0000-000066080000}"/>
    <cellStyle name="Percentuale 28 2" xfId="1051" xr:uid="{00000000-0005-0000-0000-000067080000}"/>
    <cellStyle name="Percentuale 28 2 2" xfId="4350" xr:uid="{E94A0CCE-3B7B-4A45-B100-91C9C783C72B}"/>
    <cellStyle name="Percentuale 28 2 2 2" xfId="13582" xr:uid="{CA04B7DF-627A-4A7E-851F-52D5BCD8F40E}"/>
    <cellStyle name="Percentuale 28 2 2 3" xfId="28349" xr:uid="{18B06009-D2D1-4340-9929-D35C39BC7403}"/>
    <cellStyle name="Percentuale 28 2 3" xfId="13320" xr:uid="{5915AED0-A125-4068-A033-3F9FD62285DD}"/>
    <cellStyle name="Percentuale 28 2 3 2" xfId="28350" xr:uid="{DE1F674F-B0FF-4234-97DB-9B79F27DD03F}"/>
    <cellStyle name="Percentuale 28 2 4" xfId="28351" xr:uid="{F5968861-6E35-4858-ABDB-00DB1ACB55B7}"/>
    <cellStyle name="Percentuale 28 2 4 2" xfId="49172" xr:uid="{F30A1AD1-2CD8-4383-A310-637060E1DAAA}"/>
    <cellStyle name="Percentuale 28 2 5" xfId="28352" xr:uid="{71588ADA-49FB-4930-887D-FBDA2A40CC56}"/>
    <cellStyle name="Percentuale 28 2 6" xfId="28348" xr:uid="{C4CF9FF0-1530-461B-B7C2-741A8115ED2F}"/>
    <cellStyle name="Percentuale 28 3" xfId="1052" xr:uid="{00000000-0005-0000-0000-000068080000}"/>
    <cellStyle name="Percentuale 28 3 2" xfId="1053" xr:uid="{00000000-0005-0000-0000-000069080000}"/>
    <cellStyle name="Percentuale 28 3 2 2" xfId="2352" xr:uid="{00000000-0005-0000-0000-00006A080000}"/>
    <cellStyle name="Percentuale 28 3 2 2 2" xfId="28356" xr:uid="{8A5537EB-916C-40BE-BAC4-BBFE008C851B}"/>
    <cellStyle name="Percentuale 28 3 2 2 3" xfId="28355" xr:uid="{B2EBD44D-ED2A-4F62-AF02-E66B5F27DC1C}"/>
    <cellStyle name="Percentuale 28 3 2 3" xfId="8137" xr:uid="{0B12ADF7-8DA2-4DA0-8B53-CA19578C9459}"/>
    <cellStyle name="Percentuale 28 3 2 3 2" xfId="14136" xr:uid="{30FFF422-E9B6-4849-942A-1C347CBEAED2}"/>
    <cellStyle name="Percentuale 28 3 2 3 3" xfId="28357" xr:uid="{AF477C69-C573-463F-A0E0-B27E0CA631B6}"/>
    <cellStyle name="Percentuale 28 3 2 3 4" xfId="49173" xr:uid="{E9E7D993-0DB4-4CA9-BCF4-A4970E1F5040}"/>
    <cellStyle name="Percentuale 28 3 2 4" xfId="28358" xr:uid="{61993FE1-807E-46D9-AD68-4AF27C941485}"/>
    <cellStyle name="Percentuale 28 3 2 5" xfId="28354" xr:uid="{B7BD8434-C952-4531-BA52-9F199B4F36C4}"/>
    <cellStyle name="Percentuale 28 3 3" xfId="4351" xr:uid="{48C8B1D7-D9C3-4C76-A0E1-46B7433FA24F}"/>
    <cellStyle name="Percentuale 28 3 3 2" xfId="9458" xr:uid="{4A875647-5D63-4EB0-90D9-97BF4BDB4AD6}"/>
    <cellStyle name="Percentuale 28 3 3 2 2" xfId="28360" xr:uid="{50031FBC-FEBB-4917-846D-18F60095B1CA}"/>
    <cellStyle name="Percentuale 28 3 3 3" xfId="28361" xr:uid="{4B9643D1-8DF0-4B48-A837-81E7AA70BA48}"/>
    <cellStyle name="Percentuale 28 3 3 4" xfId="28362" xr:uid="{60CE397E-62C5-4FD6-B036-4E3AD06E697D}"/>
    <cellStyle name="Percentuale 28 3 3 4 2" xfId="49174" xr:uid="{864A2D28-0EA6-4516-8319-C2B42436B3CB}"/>
    <cellStyle name="Percentuale 28 3 3 5" xfId="28359" xr:uid="{613F72A3-8283-4700-88DE-66108B8DA263}"/>
    <cellStyle name="Percentuale 28 3 4" xfId="4352" xr:uid="{40E4C095-936D-4B7D-BB59-6B14F94B1C52}"/>
    <cellStyle name="Percentuale 28 3 4 2" xfId="13797" xr:uid="{3E419890-AC10-4453-8571-8CDDCB228721}"/>
    <cellStyle name="Percentuale 28 3 4 3" xfId="28363" xr:uid="{80D70D61-438E-4A9D-83B4-E7D4B4E6E5AA}"/>
    <cellStyle name="Percentuale 28 3 5" xfId="11092" xr:uid="{C855FDC7-C2C8-44C8-BB01-36518306D702}"/>
    <cellStyle name="Percentuale 28 3 5 2" xfId="28364" xr:uid="{7345A311-EBEC-4B51-9576-A145221F527E}"/>
    <cellStyle name="Percentuale 28 3 6" xfId="28365" xr:uid="{51A403C2-68F7-4F10-B284-97B1F70D6493}"/>
    <cellStyle name="Percentuale 28 3 6 2" xfId="49175" xr:uid="{A816C038-1B00-4B8F-BABC-C64D4ED9535F}"/>
    <cellStyle name="Percentuale 28 3 7" xfId="28366" xr:uid="{E27B7E93-37ED-481E-A43B-1E5EA7FDD601}"/>
    <cellStyle name="Percentuale 28 3 8" xfId="28353" xr:uid="{15B15530-C20F-4E56-82D4-9C52B5C1F223}"/>
    <cellStyle name="Percentuale 28 4" xfId="2353" xr:uid="{00000000-0005-0000-0000-00006B080000}"/>
    <cellStyle name="Percentuale 28 4 2" xfId="2354" xr:uid="{00000000-0005-0000-0000-00006C080000}"/>
    <cellStyle name="Percentuale 28 4 2 2" xfId="9459" xr:uid="{76FD393F-828F-4C3F-8F5A-274CBA6F556B}"/>
    <cellStyle name="Percentuale 28 4 2 2 2" xfId="28369" xr:uid="{96606CE5-6FE1-400B-999C-8D86FD38FAD7}"/>
    <cellStyle name="Percentuale 28 4 2 3" xfId="17922" xr:uid="{0915A73D-2B76-4E56-BEA2-594628EDB46B}"/>
    <cellStyle name="Percentuale 28 4 2 3 2" xfId="28370" xr:uid="{D63601EA-E5A7-4B8B-9D0E-698BBFE0DAF8}"/>
    <cellStyle name="Percentuale 28 4 2 4" xfId="28368" xr:uid="{870A6FB8-FC52-42A6-8AC4-ECF89447C957}"/>
    <cellStyle name="Percentuale 28 4 2 5" xfId="17530" xr:uid="{C77B49D4-F3D2-43E9-81F8-261E7DCC424B}"/>
    <cellStyle name="Percentuale 28 4 3" xfId="9460" xr:uid="{3853C105-7917-4EAC-9D59-46FED15F158E}"/>
    <cellStyle name="Percentuale 28 4 3 2" xfId="28371" xr:uid="{5E16BC05-DEC5-44D7-95EF-CE737272071F}"/>
    <cellStyle name="Percentuale 28 4 4" xfId="28372" xr:uid="{D507E37A-8A1E-4E61-B3C3-097564EA9A49}"/>
    <cellStyle name="Percentuale 28 4 5" xfId="28373" xr:uid="{B3BF45ED-2D93-42B3-9726-DFE9757D8571}"/>
    <cellStyle name="Percentuale 28 4 5 2" xfId="49176" xr:uid="{E1A8DB1B-5C99-4335-AD2D-E0C75B0BE27A}"/>
    <cellStyle name="Percentuale 28 4 6" xfId="28374" xr:uid="{A2FF8232-5252-4B10-BC76-09822F6D01AC}"/>
    <cellStyle name="Percentuale 28 4 7" xfId="28367" xr:uid="{A2B77EAD-AAEE-417D-B841-5EA6420EEC6D}"/>
    <cellStyle name="Percentuale 28 5" xfId="2355" xr:uid="{00000000-0005-0000-0000-00006D080000}"/>
    <cellStyle name="Percentuale 28 5 2" xfId="28376" xr:uid="{38A6A527-258A-459F-8E55-772F91BCE981}"/>
    <cellStyle name="Percentuale 28 5 3" xfId="28377" xr:uid="{B8DE6767-720C-4172-8258-F10F281BACCA}"/>
    <cellStyle name="Percentuale 28 5 3 2" xfId="49177" xr:uid="{CD50C7DC-963B-4B04-9142-CDBDB2576D11}"/>
    <cellStyle name="Percentuale 28 5 4" xfId="28378" xr:uid="{BBA3EBE8-5387-4085-9551-CE280A02C3AC}"/>
    <cellStyle name="Percentuale 28 5 5" xfId="28375" xr:uid="{A8F49C53-7124-4E5B-ADBC-4A002482AB42}"/>
    <cellStyle name="Percentuale 28 6" xfId="4353" xr:uid="{C095D96B-78CF-44E2-99C3-707D738A998B}"/>
    <cellStyle name="Percentuale 28 6 2" xfId="9831" xr:uid="{0011BEBC-4127-4A26-AA69-DEACD507DD3C}"/>
    <cellStyle name="Percentuale 28 6 3" xfId="28379" xr:uid="{145CDEF4-8A5E-44C3-BAEE-C7D8A43156E7}"/>
    <cellStyle name="Percentuale 28 7" xfId="28380" xr:uid="{5123A414-5323-44B3-84C8-35D5BE93B4D5}"/>
    <cellStyle name="Percentuale 28 7 2" xfId="49178" xr:uid="{B444D3A4-7516-44B0-8A86-7C4B3A0D3151}"/>
    <cellStyle name="Percentuale 28 8" xfId="28347" xr:uid="{CA930227-CF90-4F10-B56C-C3F74BB31DC8}"/>
    <cellStyle name="Percentuale 29" xfId="1054" xr:uid="{00000000-0005-0000-0000-00006E080000}"/>
    <cellStyle name="Percentuale 29 2" xfId="1055" xr:uid="{00000000-0005-0000-0000-00006F080000}"/>
    <cellStyle name="Percentuale 29 2 2" xfId="4354" xr:uid="{9A96BE77-A48A-48C9-8028-6B0698D48C4E}"/>
    <cellStyle name="Percentuale 29 2 2 2" xfId="13583" xr:uid="{5D5097C3-3D9E-42F7-B8C7-349D33F6B36C}"/>
    <cellStyle name="Percentuale 29 2 2 3" xfId="28383" xr:uid="{EE62C665-540B-4003-9950-39784B670B58}"/>
    <cellStyle name="Percentuale 29 2 3" xfId="13321" xr:uid="{4CA6D476-7D0D-41D9-9E73-C67D28A427B1}"/>
    <cellStyle name="Percentuale 29 2 3 2" xfId="28384" xr:uid="{75C0DBFA-C924-4687-AA82-FB39BC088224}"/>
    <cellStyle name="Percentuale 29 2 4" xfId="28385" xr:uid="{BCD8A403-65E9-4B72-8B96-79C2113C7D3F}"/>
    <cellStyle name="Percentuale 29 2 4 2" xfId="49179" xr:uid="{DC0F79A6-9F70-43CF-AE8E-811378C82A0B}"/>
    <cellStyle name="Percentuale 29 2 5" xfId="28386" xr:uid="{7552268B-4E73-443A-88F3-E09B93C36BF9}"/>
    <cellStyle name="Percentuale 29 2 6" xfId="28382" xr:uid="{9F3FD18A-14F7-468B-A4F2-91D4C8178BB5}"/>
    <cellStyle name="Percentuale 29 3" xfId="1056" xr:uid="{00000000-0005-0000-0000-000070080000}"/>
    <cellStyle name="Percentuale 29 3 2" xfId="1057" xr:uid="{00000000-0005-0000-0000-000071080000}"/>
    <cellStyle name="Percentuale 29 3 2 2" xfId="2356" xr:uid="{00000000-0005-0000-0000-000072080000}"/>
    <cellStyle name="Percentuale 29 3 2 2 2" xfId="28390" xr:uid="{8860DBBA-AF6C-4B4F-AE59-DFDD998601FA}"/>
    <cellStyle name="Percentuale 29 3 2 2 3" xfId="28389" xr:uid="{907618F4-D087-42F1-985A-30D51E9013D8}"/>
    <cellStyle name="Percentuale 29 3 2 3" xfId="8138" xr:uid="{4EF64AAB-0053-44C1-8832-CDC06F4313A5}"/>
    <cellStyle name="Percentuale 29 3 2 3 2" xfId="14137" xr:uid="{9E4D6999-0F21-41CD-B7DC-45E905E8C124}"/>
    <cellStyle name="Percentuale 29 3 2 3 3" xfId="28391" xr:uid="{A0C8DC62-FBC7-4F1B-A3BC-0427D54426C1}"/>
    <cellStyle name="Percentuale 29 3 2 3 4" xfId="49180" xr:uid="{A909562E-B788-4976-9A8C-FFDEECD47E0C}"/>
    <cellStyle name="Percentuale 29 3 2 4" xfId="28392" xr:uid="{27262882-F3B9-4CD3-9E9E-BED659329EC3}"/>
    <cellStyle name="Percentuale 29 3 2 5" xfId="28388" xr:uid="{DC1D7CF4-5CDD-46A6-9293-180EE192861A}"/>
    <cellStyle name="Percentuale 29 3 3" xfId="4355" xr:uid="{7D1B6FC9-B054-4450-B3D9-7BE1A94D78C9}"/>
    <cellStyle name="Percentuale 29 3 3 2" xfId="9461" xr:uid="{1E1E4A10-DC7A-4EBE-8B19-05D2DA288BE5}"/>
    <cellStyle name="Percentuale 29 3 3 2 2" xfId="28394" xr:uid="{F0F9904A-D66D-40A2-BB3C-F8C24FCFDDF6}"/>
    <cellStyle name="Percentuale 29 3 3 3" xfId="28395" xr:uid="{5C65EA2A-A633-47AF-A47C-E15B83595DD1}"/>
    <cellStyle name="Percentuale 29 3 3 4" xfId="28396" xr:uid="{A16A8EAE-BCB3-405F-A04A-7EA88CE18B96}"/>
    <cellStyle name="Percentuale 29 3 3 4 2" xfId="49181" xr:uid="{90BFAA27-9B1C-4808-B632-BBDA7D5A899F}"/>
    <cellStyle name="Percentuale 29 3 3 5" xfId="28393" xr:uid="{0E9DF70C-E591-4B03-BE2C-533E3DEE807C}"/>
    <cellStyle name="Percentuale 29 3 4" xfId="4356" xr:uid="{D98C8AEB-4BDA-4712-AFCE-5BA535BF5B9E}"/>
    <cellStyle name="Percentuale 29 3 4 2" xfId="13798" xr:uid="{FF6EB5DD-742E-4256-910A-5CDC191BA71F}"/>
    <cellStyle name="Percentuale 29 3 4 3" xfId="28397" xr:uid="{EF98D55C-05D6-4502-B74A-0DB28330B65F}"/>
    <cellStyle name="Percentuale 29 3 5" xfId="12430" xr:uid="{C4206510-1BED-4903-8332-775CAA027F38}"/>
    <cellStyle name="Percentuale 29 3 5 2" xfId="28398" xr:uid="{5C5EA155-C3E4-43F4-8942-FB55998D0E57}"/>
    <cellStyle name="Percentuale 29 3 6" xfId="28399" xr:uid="{AE0FA5A0-22D2-4A8F-A97A-42138F4039C5}"/>
    <cellStyle name="Percentuale 29 3 6 2" xfId="49182" xr:uid="{241C9DB1-9B3B-4980-B71C-0591B0FDC6D9}"/>
    <cellStyle name="Percentuale 29 3 7" xfId="28400" xr:uid="{FBB758E0-0841-4A2D-8749-41C1D47306BD}"/>
    <cellStyle name="Percentuale 29 3 8" xfId="28387" xr:uid="{272D7617-660E-488C-ADAF-3C3826C82246}"/>
    <cellStyle name="Percentuale 29 4" xfId="2357" xr:uid="{00000000-0005-0000-0000-000073080000}"/>
    <cellStyle name="Percentuale 29 4 2" xfId="2358" xr:uid="{00000000-0005-0000-0000-000074080000}"/>
    <cellStyle name="Percentuale 29 4 2 2" xfId="9462" xr:uid="{E6DF9381-086B-4C93-9E49-ADEE0D8F3655}"/>
    <cellStyle name="Percentuale 29 4 2 2 2" xfId="28403" xr:uid="{0A25CC21-1BC5-47F9-BAFC-35DCA6CCF889}"/>
    <cellStyle name="Percentuale 29 4 2 3" xfId="17923" xr:uid="{1C80BBB5-2EAA-4B09-8EEB-51D5D220AB9B}"/>
    <cellStyle name="Percentuale 29 4 2 3 2" xfId="28404" xr:uid="{A06D0962-7BA2-4C90-BD94-54DD88D7C1F2}"/>
    <cellStyle name="Percentuale 29 4 2 4" xfId="28402" xr:uid="{9A3E4761-5D28-4FF9-B308-1E76A1E9BAC0}"/>
    <cellStyle name="Percentuale 29 4 2 5" xfId="17532" xr:uid="{937A0A37-D9BA-470E-A8F1-B8B0572B1ACF}"/>
    <cellStyle name="Percentuale 29 4 3" xfId="9463" xr:uid="{AFA6BD5C-FC50-475F-8D71-B62BFB6851C8}"/>
    <cellStyle name="Percentuale 29 4 3 2" xfId="28405" xr:uid="{F3EEEF2D-ACA3-4033-A15A-0BCA280F1E36}"/>
    <cellStyle name="Percentuale 29 4 4" xfId="28406" xr:uid="{8200527C-9563-4C4D-8F5F-E51970D8A709}"/>
    <cellStyle name="Percentuale 29 4 5" xfId="28407" xr:uid="{052373D8-2E17-4E92-BE8A-4DB5B13B71D7}"/>
    <cellStyle name="Percentuale 29 4 5 2" xfId="49183" xr:uid="{1BE1F76D-7309-40CB-B944-B148C3DFB7EA}"/>
    <cellStyle name="Percentuale 29 4 6" xfId="28408" xr:uid="{D021D2FA-A7C5-42A2-8E6E-72DDFBD1D3B7}"/>
    <cellStyle name="Percentuale 29 4 7" xfId="28401" xr:uid="{BA5FA66E-1A74-43AC-AF6B-9EC79F3D5478}"/>
    <cellStyle name="Percentuale 29 5" xfId="2359" xr:uid="{00000000-0005-0000-0000-000075080000}"/>
    <cellStyle name="Percentuale 29 5 2" xfId="28410" xr:uid="{9315E354-A1B0-4C8C-BB12-05350241521F}"/>
    <cellStyle name="Percentuale 29 5 3" xfId="28411" xr:uid="{2FFFD2DE-F0F3-45C8-AF33-0CC8244327F2}"/>
    <cellStyle name="Percentuale 29 5 3 2" xfId="49184" xr:uid="{01B3C1E9-8070-4FD5-8A76-4470440FBE8A}"/>
    <cellStyle name="Percentuale 29 5 4" xfId="28412" xr:uid="{84FBAB15-91A7-4826-8DA8-D4601EB1BA49}"/>
    <cellStyle name="Percentuale 29 5 5" xfId="28409" xr:uid="{FA62B526-4A07-4D98-BB67-4DF252E99ACF}"/>
    <cellStyle name="Percentuale 29 6" xfId="4357" xr:uid="{F2E99350-E75A-40DA-839E-15F890049C73}"/>
    <cellStyle name="Percentuale 29 6 2" xfId="9832" xr:uid="{A5F20FA6-7E9D-471C-9D89-63C211B5FD8F}"/>
    <cellStyle name="Percentuale 29 6 3" xfId="28413" xr:uid="{D081052B-F036-4989-B0B9-C22F45E8C120}"/>
    <cellStyle name="Percentuale 29 7" xfId="28414" xr:uid="{7A35FA39-1173-4196-9EAB-27DDBFBB9726}"/>
    <cellStyle name="Percentuale 29 7 2" xfId="49185" xr:uid="{159C0947-19E5-4369-A4C0-1B9C589790DD}"/>
    <cellStyle name="Percentuale 29 8" xfId="28381" xr:uid="{2765B8AF-BBB5-4531-A1EE-EA071F874577}"/>
    <cellStyle name="Percentuale 3" xfId="1058" xr:uid="{00000000-0005-0000-0000-000076080000}"/>
    <cellStyle name="Percentuale 3 2" xfId="1059" xr:uid="{00000000-0005-0000-0000-000077080000}"/>
    <cellStyle name="Percentuale 3 2 2" xfId="4358" xr:uid="{87BDB526-EE27-4DE7-B4EF-30473D1AFE44}"/>
    <cellStyle name="Percentuale 3 2 2 2" xfId="13584" xr:uid="{A18A0702-200F-469E-9D7B-F13A04C3176D}"/>
    <cellStyle name="Percentuale 3 2 2 3" xfId="28417" xr:uid="{D5E2751D-614F-4405-8DF0-A288422233A4}"/>
    <cellStyle name="Percentuale 3 2 3" xfId="13322" xr:uid="{FA16D052-19F2-4CFD-886F-8ADE831CB521}"/>
    <cellStyle name="Percentuale 3 2 3 2" xfId="28418" xr:uid="{0FCC5574-A464-4328-87C1-19BF424EEC58}"/>
    <cellStyle name="Percentuale 3 2 4" xfId="28419" xr:uid="{3FD252CC-3401-413E-BB55-CCE61B41509D}"/>
    <cellStyle name="Percentuale 3 2 4 2" xfId="49186" xr:uid="{ED343F10-3F22-4DD1-8CB7-4DF4242327C2}"/>
    <cellStyle name="Percentuale 3 2 5" xfId="28420" xr:uid="{71D426AF-C851-4CC4-8E9A-DDF9C27F29AC}"/>
    <cellStyle name="Percentuale 3 2 6" xfId="28416" xr:uid="{13B1B260-A265-4D74-ADD5-9DE878EB09D6}"/>
    <cellStyle name="Percentuale 3 3" xfId="1060" xr:uid="{00000000-0005-0000-0000-000078080000}"/>
    <cellStyle name="Percentuale 3 3 2" xfId="1061" xr:uid="{00000000-0005-0000-0000-000079080000}"/>
    <cellStyle name="Percentuale 3 3 2 2" xfId="2360" xr:uid="{00000000-0005-0000-0000-00007A080000}"/>
    <cellStyle name="Percentuale 3 3 2 2 2" xfId="28424" xr:uid="{B992DE43-DF69-4A70-90E5-63BC87FEB870}"/>
    <cellStyle name="Percentuale 3 3 2 2 3" xfId="28423" xr:uid="{46581F1E-4594-4102-A400-B1F5DDD8092F}"/>
    <cellStyle name="Percentuale 3 3 2 3" xfId="8139" xr:uid="{A10DD045-9EAB-4845-BB31-C8E0F097C41F}"/>
    <cellStyle name="Percentuale 3 3 2 3 2" xfId="14138" xr:uid="{8961EAE7-2F07-4CDB-AF74-E9E0E24CEE4F}"/>
    <cellStyle name="Percentuale 3 3 2 3 3" xfId="28425" xr:uid="{6542B85D-8022-4183-93B8-B93FF7167B5A}"/>
    <cellStyle name="Percentuale 3 3 2 3 4" xfId="49187" xr:uid="{C3AF26A9-0E03-42D2-91E3-18B1B3C9D64C}"/>
    <cellStyle name="Percentuale 3 3 2 4" xfId="28426" xr:uid="{71E62007-7C97-493C-A7FC-40670B44D464}"/>
    <cellStyle name="Percentuale 3 3 2 5" xfId="28422" xr:uid="{2ABD0A78-A2E3-40EA-BFB3-D874CFB9C838}"/>
    <cellStyle name="Percentuale 3 3 3" xfId="4359" xr:uid="{52A21AE1-C3B1-46C1-8C0E-C8C3A3AB28B6}"/>
    <cellStyle name="Percentuale 3 3 3 2" xfId="9464" xr:uid="{5959963D-F6EE-4B76-AFA5-4F7E69C134BF}"/>
    <cellStyle name="Percentuale 3 3 3 2 2" xfId="28428" xr:uid="{7BC8303F-7336-4FF6-A77A-EE773F894918}"/>
    <cellStyle name="Percentuale 3 3 3 3" xfId="28429" xr:uid="{6E325C07-EBA9-4FF6-8B43-7B7BEA219489}"/>
    <cellStyle name="Percentuale 3 3 3 4" xfId="28430" xr:uid="{1598D521-57A8-40D6-8FB9-8BC67115CF0A}"/>
    <cellStyle name="Percentuale 3 3 3 4 2" xfId="49188" xr:uid="{8ED2C694-C59F-485A-9B36-2A6EB599A011}"/>
    <cellStyle name="Percentuale 3 3 3 5" xfId="28427" xr:uid="{DBF3156F-29DC-48A9-BCD5-7FDBEE9F34E3}"/>
    <cellStyle name="Percentuale 3 3 4" xfId="4360" xr:uid="{F7B45F65-47C9-4AFF-A02D-8DC3F9659A02}"/>
    <cellStyle name="Percentuale 3 3 4 2" xfId="13799" xr:uid="{CC2C71C3-4D8E-4440-AA37-301077F1A591}"/>
    <cellStyle name="Percentuale 3 3 4 3" xfId="28431" xr:uid="{8BC0A7FD-FFF5-462E-AB34-CFCAA28D50ED}"/>
    <cellStyle name="Percentuale 3 3 5" xfId="11206" xr:uid="{A7B4154C-C7C3-481D-8BFD-3738BFED400B}"/>
    <cellStyle name="Percentuale 3 3 5 2" xfId="28432" xr:uid="{C5D49874-F8F5-4466-BCBA-F15A0DE28BC5}"/>
    <cellStyle name="Percentuale 3 3 6" xfId="28433" xr:uid="{FFABE8D8-170E-447F-B34D-D80CBF43C156}"/>
    <cellStyle name="Percentuale 3 3 6 2" xfId="49189" xr:uid="{50971D53-A615-4362-8BC8-E1F1043D2897}"/>
    <cellStyle name="Percentuale 3 3 7" xfId="28434" xr:uid="{A01A3BB6-93E0-4E48-AFC3-C7DDFE4AB881}"/>
    <cellStyle name="Percentuale 3 3 8" xfId="28421" xr:uid="{8C9D3DDF-FA48-40CF-B200-8F085702850F}"/>
    <cellStyle name="Percentuale 3 4" xfId="2361" xr:uid="{00000000-0005-0000-0000-00007B080000}"/>
    <cellStyle name="Percentuale 3 4 2" xfId="2362" xr:uid="{00000000-0005-0000-0000-00007C080000}"/>
    <cellStyle name="Percentuale 3 4 2 2" xfId="9465" xr:uid="{AA616DD9-4A2F-4CF7-A64E-F2183CE917B8}"/>
    <cellStyle name="Percentuale 3 4 2 2 2" xfId="28437" xr:uid="{22339BC0-C78E-4B8E-8675-89E6328A63CB}"/>
    <cellStyle name="Percentuale 3 4 2 3" xfId="17924" xr:uid="{C53DD244-448E-4B57-A335-6957FF9BB250}"/>
    <cellStyle name="Percentuale 3 4 2 3 2" xfId="28438" xr:uid="{7AE3A7CB-856B-42D3-9BCD-30E6C60E20A6}"/>
    <cellStyle name="Percentuale 3 4 2 4" xfId="28436" xr:uid="{DB7B25A4-9262-4461-BAF8-9C3056BC3D37}"/>
    <cellStyle name="Percentuale 3 4 2 5" xfId="17533" xr:uid="{366EFA3B-F82F-4B02-9C4B-8A347347F762}"/>
    <cellStyle name="Percentuale 3 4 3" xfId="9466" xr:uid="{E5CE59C3-143B-4834-A944-BC368B430130}"/>
    <cellStyle name="Percentuale 3 4 3 2" xfId="28439" xr:uid="{D61BE6C9-5A89-4547-9D48-F1FF9716765A}"/>
    <cellStyle name="Percentuale 3 4 4" xfId="28440" xr:uid="{95CB501A-9971-4AC1-8A49-39A1E7F9558B}"/>
    <cellStyle name="Percentuale 3 4 5" xfId="28441" xr:uid="{0B4A545A-1E16-477C-85F2-2CF03D83B016}"/>
    <cellStyle name="Percentuale 3 4 5 2" xfId="49190" xr:uid="{EEF106EF-799F-4480-945D-4C2E7F3E5382}"/>
    <cellStyle name="Percentuale 3 4 6" xfId="28442" xr:uid="{3E880D0F-A19B-4CC5-B7DF-D41CD061EEBE}"/>
    <cellStyle name="Percentuale 3 4 7" xfId="28435" xr:uid="{8671213B-44E0-4208-BAB6-C1A13B25BCF3}"/>
    <cellStyle name="Percentuale 3 5" xfId="2363" xr:uid="{00000000-0005-0000-0000-00007D080000}"/>
    <cellStyle name="Percentuale 3 5 2" xfId="28444" xr:uid="{720B7FB5-80C6-4542-B7A4-3DC2713CCD92}"/>
    <cellStyle name="Percentuale 3 5 3" xfId="28445" xr:uid="{B7BE7A4D-7344-4CD7-A0C9-928427AC718E}"/>
    <cellStyle name="Percentuale 3 5 3 2" xfId="49191" xr:uid="{D3CCCE0B-20B3-4981-97C9-A6AB5CEC735D}"/>
    <cellStyle name="Percentuale 3 5 4" xfId="28446" xr:uid="{B0879786-A3E1-4451-BF3C-4A83010ABCF1}"/>
    <cellStyle name="Percentuale 3 5 5" xfId="28443" xr:uid="{2A76A1FA-3A54-40F9-B70D-15430EA40CB0}"/>
    <cellStyle name="Percentuale 3 6" xfId="4361" xr:uid="{147E2013-FEE0-4908-9E35-1410EBD24C68}"/>
    <cellStyle name="Percentuale 3 6 2" xfId="9833" xr:uid="{E7628B54-A40E-42BD-BE2A-758AB09539F5}"/>
    <cellStyle name="Percentuale 3 6 3" xfId="28447" xr:uid="{CF6AA166-38B7-44F0-B43F-7B1191BF1C9F}"/>
    <cellStyle name="Percentuale 3 7" xfId="28448" xr:uid="{387D7D84-E207-46CA-9EB1-9FA72F74660E}"/>
    <cellStyle name="Percentuale 3 7 2" xfId="49192" xr:uid="{937CA04E-A20C-4F8B-BCA5-D18AF0D02F3C}"/>
    <cellStyle name="Percentuale 3 8" xfId="28415" xr:uid="{E545B892-EC16-47D0-97E4-FB05037F53D6}"/>
    <cellStyle name="Percentuale 30" xfId="1062" xr:uid="{00000000-0005-0000-0000-00007E080000}"/>
    <cellStyle name="Percentuale 30 2" xfId="1063" xr:uid="{00000000-0005-0000-0000-00007F080000}"/>
    <cellStyle name="Percentuale 30 2 2" xfId="4362" xr:uid="{4A96FD9D-B74A-41B9-9AEB-40865818B422}"/>
    <cellStyle name="Percentuale 30 2 2 2" xfId="13585" xr:uid="{8777D320-4B1C-4F22-88C8-F30008975E1E}"/>
    <cellStyle name="Percentuale 30 2 2 3" xfId="28451" xr:uid="{756FA0F3-B7CE-44E8-9ACF-D0FB8B1559A0}"/>
    <cellStyle name="Percentuale 30 2 3" xfId="13323" xr:uid="{F99E142A-47CE-4DCE-9E41-964EE795C562}"/>
    <cellStyle name="Percentuale 30 2 3 2" xfId="28452" xr:uid="{7E6F9366-5260-4DEF-80D3-6A5B14A5AC57}"/>
    <cellStyle name="Percentuale 30 2 4" xfId="28453" xr:uid="{F7EDCB0D-23DF-46D3-9A2D-931E1FA3DA40}"/>
    <cellStyle name="Percentuale 30 2 4 2" xfId="49193" xr:uid="{D40B6E60-7724-49DA-85CF-5D5B41718187}"/>
    <cellStyle name="Percentuale 30 2 5" xfId="28454" xr:uid="{0EC4204B-9CF9-41AD-B2C3-20ED5702CD04}"/>
    <cellStyle name="Percentuale 30 2 6" xfId="28450" xr:uid="{9125CDCB-7F18-4E13-A952-76B296615AB7}"/>
    <cellStyle name="Percentuale 30 3" xfId="1064" xr:uid="{00000000-0005-0000-0000-000080080000}"/>
    <cellStyle name="Percentuale 30 3 2" xfId="1065" xr:uid="{00000000-0005-0000-0000-000081080000}"/>
    <cellStyle name="Percentuale 30 3 2 2" xfId="2364" xr:uid="{00000000-0005-0000-0000-000082080000}"/>
    <cellStyle name="Percentuale 30 3 2 2 2" xfId="28458" xr:uid="{B121723B-A11F-41E6-BD6E-48DCAFC6EE20}"/>
    <cellStyle name="Percentuale 30 3 2 2 3" xfId="28457" xr:uid="{0544130E-DD81-45A3-9EF0-30EA9B869588}"/>
    <cellStyle name="Percentuale 30 3 2 3" xfId="8140" xr:uid="{AA460686-5655-471D-9FFF-4D138506F31D}"/>
    <cellStyle name="Percentuale 30 3 2 3 2" xfId="14139" xr:uid="{407DCD9D-5E9A-4458-9E1B-3A49E24A12A0}"/>
    <cellStyle name="Percentuale 30 3 2 3 3" xfId="28459" xr:uid="{35103A39-0976-49CE-9DF8-0D0AF0F94F7E}"/>
    <cellStyle name="Percentuale 30 3 2 3 4" xfId="49194" xr:uid="{A79ED3BA-CC8F-4C76-8431-82ED4A551131}"/>
    <cellStyle name="Percentuale 30 3 2 4" xfId="28460" xr:uid="{524D2C2A-A999-4505-80AE-BDB7C8293154}"/>
    <cellStyle name="Percentuale 30 3 2 5" xfId="28456" xr:uid="{4B7FA7D6-6348-451A-95C8-FA7D41465FB3}"/>
    <cellStyle name="Percentuale 30 3 3" xfId="4363" xr:uid="{41731041-6718-47B5-8C1E-3F4C4C8EBE75}"/>
    <cellStyle name="Percentuale 30 3 3 2" xfId="9467" xr:uid="{86FBEBC7-95B0-46EC-9295-3CC7B8AFC5BD}"/>
    <cellStyle name="Percentuale 30 3 3 2 2" xfId="28462" xr:uid="{1E5927BC-117E-4931-B928-B0445F2C6E01}"/>
    <cellStyle name="Percentuale 30 3 3 3" xfId="28463" xr:uid="{BF6C3095-A576-4213-88FB-73CB6922C583}"/>
    <cellStyle name="Percentuale 30 3 3 4" xfId="28464" xr:uid="{F89AC475-2652-4BF1-AEA3-77A07F59AAE4}"/>
    <cellStyle name="Percentuale 30 3 3 4 2" xfId="49195" xr:uid="{ECC38077-6D81-45D8-8674-4669EF3B1B4C}"/>
    <cellStyle name="Percentuale 30 3 3 5" xfId="28461" xr:uid="{88D334C2-2829-43AC-86DB-9D1EC189DC43}"/>
    <cellStyle name="Percentuale 30 3 4" xfId="4364" xr:uid="{B8B1D075-DD58-44DE-8C89-260F994EEE8B}"/>
    <cellStyle name="Percentuale 30 3 4 2" xfId="13800" xr:uid="{5253F940-E7B0-4448-81A7-78961C9A9416}"/>
    <cellStyle name="Percentuale 30 3 4 3" xfId="28465" xr:uid="{0D7952D9-1F94-4C83-B1B1-C8E1AB2DB7CD}"/>
    <cellStyle name="Percentuale 30 3 5" xfId="12443" xr:uid="{6DA72288-1CBE-4058-B1EB-B17B0BC58861}"/>
    <cellStyle name="Percentuale 30 3 5 2" xfId="28466" xr:uid="{FA9F26BE-A260-4249-BBD5-FFFD6530F44A}"/>
    <cellStyle name="Percentuale 30 3 6" xfId="28467" xr:uid="{BFF1498F-6353-49FD-B5EB-C6B4EAA45B8E}"/>
    <cellStyle name="Percentuale 30 3 6 2" xfId="49196" xr:uid="{0D5099C5-C7CE-448B-87FD-8089FE8F3E40}"/>
    <cellStyle name="Percentuale 30 3 7" xfId="28468" xr:uid="{36B5E956-BA70-4B95-975B-7C2F08B4E2CD}"/>
    <cellStyle name="Percentuale 30 3 8" xfId="28455" xr:uid="{222610AA-08E8-49A9-8BF8-942ABD37A2AF}"/>
    <cellStyle name="Percentuale 30 4" xfId="2365" xr:uid="{00000000-0005-0000-0000-000083080000}"/>
    <cellStyle name="Percentuale 30 4 2" xfId="2366" xr:uid="{00000000-0005-0000-0000-000084080000}"/>
    <cellStyle name="Percentuale 30 4 2 2" xfId="9468" xr:uid="{6A43E807-1D2E-4CC1-81A4-BA3EC77B63CD}"/>
    <cellStyle name="Percentuale 30 4 2 2 2" xfId="28471" xr:uid="{0DA90EA7-E31A-4D3F-BA2D-BE61E27002B4}"/>
    <cellStyle name="Percentuale 30 4 2 3" xfId="17925" xr:uid="{8C2A9178-D02A-48B7-B652-11B3602308AC}"/>
    <cellStyle name="Percentuale 30 4 2 3 2" xfId="28472" xr:uid="{CA40C3CB-F8CB-4B49-991C-DA7DD6A493BA}"/>
    <cellStyle name="Percentuale 30 4 2 4" xfId="28470" xr:uid="{78EBC4C0-E1C3-4D24-BE81-FE50D206F0BF}"/>
    <cellStyle name="Percentuale 30 4 2 5" xfId="17534" xr:uid="{75EEAE6F-B428-4B5E-BA35-608D0D4E2829}"/>
    <cellStyle name="Percentuale 30 4 3" xfId="9469" xr:uid="{F690F64F-F02B-4E60-B30A-8FC198D8D1EE}"/>
    <cellStyle name="Percentuale 30 4 3 2" xfId="28473" xr:uid="{DBACE614-1069-4039-8BFE-9B2608C0EA0B}"/>
    <cellStyle name="Percentuale 30 4 4" xfId="28474" xr:uid="{4330DC60-25A0-4208-A995-533FBD727A42}"/>
    <cellStyle name="Percentuale 30 4 5" xfId="28475" xr:uid="{D4B731A9-2224-4ED5-88E9-C70EF657AF39}"/>
    <cellStyle name="Percentuale 30 4 5 2" xfId="49197" xr:uid="{C29DFAEA-86C5-4783-8604-FFCBE766CC8A}"/>
    <cellStyle name="Percentuale 30 4 6" xfId="28476" xr:uid="{26E781F2-6B1F-4054-A515-4255C1A8AC79}"/>
    <cellStyle name="Percentuale 30 4 7" xfId="28469" xr:uid="{66215A68-CA39-417E-B539-277FB5F74BB1}"/>
    <cellStyle name="Percentuale 30 5" xfId="2367" xr:uid="{00000000-0005-0000-0000-000085080000}"/>
    <cellStyle name="Percentuale 30 5 2" xfId="28478" xr:uid="{14FBBF4F-2B48-436D-A409-53712E46CF3C}"/>
    <cellStyle name="Percentuale 30 5 3" xfId="28479" xr:uid="{2B0020FB-192E-4EA5-A902-A40AB2BAD3F4}"/>
    <cellStyle name="Percentuale 30 5 3 2" xfId="49198" xr:uid="{260BC417-17F4-4970-9281-801619C66E8F}"/>
    <cellStyle name="Percentuale 30 5 4" xfId="28480" xr:uid="{C6CC0E5F-710F-42AC-AF62-DA1958DA4C1E}"/>
    <cellStyle name="Percentuale 30 5 5" xfId="28477" xr:uid="{8B32C6F3-FF2D-404C-9056-CF01D7015D23}"/>
    <cellStyle name="Percentuale 30 6" xfId="4365" xr:uid="{032C8BCC-3DE9-47EE-86BD-DDE5EE211E75}"/>
    <cellStyle name="Percentuale 30 6 2" xfId="9834" xr:uid="{BB6F2C5E-8FC2-4ABA-8B07-57900C8AF53F}"/>
    <cellStyle name="Percentuale 30 6 3" xfId="28481" xr:uid="{2713AB62-0B99-4147-BD29-9A238891F3C5}"/>
    <cellStyle name="Percentuale 30 7" xfId="28482" xr:uid="{5237BE92-402F-4570-B2FF-5C45FC5DE9AA}"/>
    <cellStyle name="Percentuale 30 7 2" xfId="49199" xr:uid="{47181011-D8BA-44FF-81FE-B8ECD732B7B8}"/>
    <cellStyle name="Percentuale 30 8" xfId="28449" xr:uid="{6EFEE047-11F4-4669-9D14-B81F29AF5BAD}"/>
    <cellStyle name="Percentuale 31" xfId="1066" xr:uid="{00000000-0005-0000-0000-000086080000}"/>
    <cellStyle name="Percentuale 31 2" xfId="1067" xr:uid="{00000000-0005-0000-0000-000087080000}"/>
    <cellStyle name="Percentuale 31 2 2" xfId="4366" xr:uid="{E757F239-085D-4419-91ED-7E8211346AFA}"/>
    <cellStyle name="Percentuale 31 2 2 2" xfId="13586" xr:uid="{75B0A0AC-1D2E-455B-8CF7-A13A9FF0B6B1}"/>
    <cellStyle name="Percentuale 31 2 2 3" xfId="28485" xr:uid="{2E8D353C-408C-43C2-8C0E-9BBEF3805A3A}"/>
    <cellStyle name="Percentuale 31 2 3" xfId="13324" xr:uid="{B420D7C3-8EC8-4992-94E4-6255A85E6632}"/>
    <cellStyle name="Percentuale 31 2 3 2" xfId="28486" xr:uid="{BEE8F009-CE4C-41B3-8B0D-5B1B1885982F}"/>
    <cellStyle name="Percentuale 31 2 4" xfId="28487" xr:uid="{2670ACBA-3C42-4213-907E-C8F71A55FD77}"/>
    <cellStyle name="Percentuale 31 2 4 2" xfId="49200" xr:uid="{4B374EC0-9942-4361-B78D-21CAFD208105}"/>
    <cellStyle name="Percentuale 31 2 5" xfId="28488" xr:uid="{B90AB0A9-55EB-4F93-99D6-3043BF0F2859}"/>
    <cellStyle name="Percentuale 31 2 6" xfId="28484" xr:uid="{234FB8A3-DCB4-4F8E-9B23-D4A7E270F058}"/>
    <cellStyle name="Percentuale 31 3" xfId="1068" xr:uid="{00000000-0005-0000-0000-000088080000}"/>
    <cellStyle name="Percentuale 31 3 2" xfId="1069" xr:uid="{00000000-0005-0000-0000-000089080000}"/>
    <cellStyle name="Percentuale 31 3 2 2" xfId="2368" xr:uid="{00000000-0005-0000-0000-00008A080000}"/>
    <cellStyle name="Percentuale 31 3 2 2 2" xfId="28492" xr:uid="{A9280E05-A18F-4EE6-88D0-CF4A4DA183AC}"/>
    <cellStyle name="Percentuale 31 3 2 2 3" xfId="28491" xr:uid="{4AEA9059-6DBB-4AB4-8B6B-19627C3B31D3}"/>
    <cellStyle name="Percentuale 31 3 2 3" xfId="8141" xr:uid="{5A997076-4E50-4FF6-B31B-76D2C846A62C}"/>
    <cellStyle name="Percentuale 31 3 2 3 2" xfId="14140" xr:uid="{0D8BC4F2-46A3-451C-9114-5B4756D87E38}"/>
    <cellStyle name="Percentuale 31 3 2 3 3" xfId="28493" xr:uid="{FFDA757D-334D-4A27-A1C6-2D3E3BC81106}"/>
    <cellStyle name="Percentuale 31 3 2 3 4" xfId="49201" xr:uid="{EA25C183-3EC7-41EC-8FF0-C3C12DCE422F}"/>
    <cellStyle name="Percentuale 31 3 2 4" xfId="28494" xr:uid="{23DC14DE-6F34-4D03-BF1E-70B908999CB1}"/>
    <cellStyle name="Percentuale 31 3 2 5" xfId="28490" xr:uid="{92B71160-AE95-4E12-A7A4-3078FC72BBD4}"/>
    <cellStyle name="Percentuale 31 3 3" xfId="4367" xr:uid="{3152029B-4C06-48B6-8DDF-E41516C1377F}"/>
    <cellStyle name="Percentuale 31 3 3 2" xfId="9470" xr:uid="{3732F0CA-DE27-4020-A2AC-42E778F8F597}"/>
    <cellStyle name="Percentuale 31 3 3 2 2" xfId="28496" xr:uid="{3A2C7260-C398-4FB4-9DF1-425F035A3358}"/>
    <cellStyle name="Percentuale 31 3 3 3" xfId="28497" xr:uid="{312FFB1E-F7EB-4379-81E5-26ED3182D3D2}"/>
    <cellStyle name="Percentuale 31 3 3 4" xfId="28498" xr:uid="{31B6240B-333B-46AB-944C-0B09C7B61378}"/>
    <cellStyle name="Percentuale 31 3 3 4 2" xfId="49202" xr:uid="{CB1C5044-BD75-479D-BF93-1DA949151EDC}"/>
    <cellStyle name="Percentuale 31 3 3 5" xfId="28495" xr:uid="{DC4F37FE-D509-4411-9104-7CDA77DEF050}"/>
    <cellStyle name="Percentuale 31 3 4" xfId="4368" xr:uid="{1683807F-A0FF-494B-8420-1877978F524A}"/>
    <cellStyle name="Percentuale 31 3 4 2" xfId="13801" xr:uid="{B2D80B2E-9371-406F-A1C4-700C4AB64AF5}"/>
    <cellStyle name="Percentuale 31 3 4 3" xfId="28499" xr:uid="{B781D674-0A32-4E90-91CE-08E84B52229D}"/>
    <cellStyle name="Percentuale 31 3 5" xfId="12432" xr:uid="{36F20430-27BD-4CAC-B30D-7295E9B6633E}"/>
    <cellStyle name="Percentuale 31 3 5 2" xfId="28500" xr:uid="{57EA8155-72AD-41DA-BB0B-E268A4C561B7}"/>
    <cellStyle name="Percentuale 31 3 6" xfId="28501" xr:uid="{AA3DA431-F733-48D5-8E82-14F98C0BD57F}"/>
    <cellStyle name="Percentuale 31 3 6 2" xfId="49203" xr:uid="{501809D9-68CC-4D25-9808-BD8AE18710AB}"/>
    <cellStyle name="Percentuale 31 3 7" xfId="28502" xr:uid="{2D35B636-6237-423D-B67D-DB77462A78D9}"/>
    <cellStyle name="Percentuale 31 3 8" xfId="28489" xr:uid="{85D6F2DB-DBBF-422B-A17E-50CD1F95C136}"/>
    <cellStyle name="Percentuale 31 4" xfId="2369" xr:uid="{00000000-0005-0000-0000-00008B080000}"/>
    <cellStyle name="Percentuale 31 4 2" xfId="2370" xr:uid="{00000000-0005-0000-0000-00008C080000}"/>
    <cellStyle name="Percentuale 31 4 2 2" xfId="9471" xr:uid="{06FEC9D7-1A07-4DD1-B4EA-6CCCA5B3DD9C}"/>
    <cellStyle name="Percentuale 31 4 2 2 2" xfId="28505" xr:uid="{62671135-3AB5-49D8-8202-CBCACA983A39}"/>
    <cellStyle name="Percentuale 31 4 2 3" xfId="17926" xr:uid="{42DFBFC1-59F6-443E-9AED-2715684B3EE6}"/>
    <cellStyle name="Percentuale 31 4 2 3 2" xfId="28506" xr:uid="{E571FA0F-151B-48D8-93F4-65B5E36EE27F}"/>
    <cellStyle name="Percentuale 31 4 2 4" xfId="28504" xr:uid="{87EA133A-DD3D-4F39-9A89-4FD61179EA30}"/>
    <cellStyle name="Percentuale 31 4 2 5" xfId="17535" xr:uid="{CD4D7499-49ED-4A0E-BC4D-760BD22B500C}"/>
    <cellStyle name="Percentuale 31 4 3" xfId="9472" xr:uid="{6F4E3031-35EF-453D-82D5-0465141DD13E}"/>
    <cellStyle name="Percentuale 31 4 3 2" xfId="28507" xr:uid="{9AB4FDD9-DEFB-4CD9-B03B-F2C3149B445A}"/>
    <cellStyle name="Percentuale 31 4 4" xfId="28508" xr:uid="{90C90684-FD28-4383-B8C1-854213539178}"/>
    <cellStyle name="Percentuale 31 4 5" xfId="28509" xr:uid="{B233013F-64A3-4EA2-96C7-A735860CBA4E}"/>
    <cellStyle name="Percentuale 31 4 5 2" xfId="49204" xr:uid="{76B18284-72BF-4205-B055-0DAD850351DC}"/>
    <cellStyle name="Percentuale 31 4 6" xfId="28510" xr:uid="{88F4417D-ECF1-4E85-B0B3-D8D2D2FD509E}"/>
    <cellStyle name="Percentuale 31 4 7" xfId="28503" xr:uid="{1D508CD1-52E2-4550-B0BB-CDEA215694F2}"/>
    <cellStyle name="Percentuale 31 5" xfId="2371" xr:uid="{00000000-0005-0000-0000-00008D080000}"/>
    <cellStyle name="Percentuale 31 5 2" xfId="28512" xr:uid="{185FD8A8-A20F-49CC-83CE-4D6203CB0299}"/>
    <cellStyle name="Percentuale 31 5 3" xfId="28513" xr:uid="{F3849FA1-5681-4815-B99E-87459BF840E2}"/>
    <cellStyle name="Percentuale 31 5 3 2" xfId="49205" xr:uid="{34064754-7F2D-4081-866B-7141C6C63EC2}"/>
    <cellStyle name="Percentuale 31 5 4" xfId="28514" xr:uid="{878EE23C-1A16-40CA-BE6C-AA16B7518C40}"/>
    <cellStyle name="Percentuale 31 5 5" xfId="28511" xr:uid="{1A7B5AC5-E28D-4850-91B6-04496CF0E6A0}"/>
    <cellStyle name="Percentuale 31 6" xfId="4369" xr:uid="{B3CAEE8F-14AA-446C-83B0-6B094B9A3273}"/>
    <cellStyle name="Percentuale 31 6 2" xfId="9835" xr:uid="{A4F589F7-542A-466E-836D-E49BF906E177}"/>
    <cellStyle name="Percentuale 31 6 3" xfId="28515" xr:uid="{194F410E-B87F-4F86-8D7A-FD8AD41EAA59}"/>
    <cellStyle name="Percentuale 31 7" xfId="28516" xr:uid="{E94449D4-5557-42E1-AA99-FB77CDA34565}"/>
    <cellStyle name="Percentuale 31 7 2" xfId="49206" xr:uid="{CACA949D-5F17-4A06-90EF-66EF387E4934}"/>
    <cellStyle name="Percentuale 31 8" xfId="28483" xr:uid="{F0278063-FD03-4F02-B3C7-45B7F82B0B71}"/>
    <cellStyle name="Percentuale 32" xfId="1070" xr:uid="{00000000-0005-0000-0000-00008E080000}"/>
    <cellStyle name="Percentuale 32 2" xfId="1071" xr:uid="{00000000-0005-0000-0000-00008F080000}"/>
    <cellStyle name="Percentuale 32 2 2" xfId="4370" xr:uid="{A3B7BC30-FAF3-4192-9677-C4BEB14DC741}"/>
    <cellStyle name="Percentuale 32 2 2 2" xfId="13587" xr:uid="{1A293DB4-A0D9-4F18-83C8-07EFB3F637CF}"/>
    <cellStyle name="Percentuale 32 2 2 3" xfId="28519" xr:uid="{62DE4ADB-3E3F-4AE3-9360-B01E1CE2B550}"/>
    <cellStyle name="Percentuale 32 2 3" xfId="13325" xr:uid="{C4A8AE53-9FBC-484D-90DB-97410CDC02BB}"/>
    <cellStyle name="Percentuale 32 2 3 2" xfId="28520" xr:uid="{E829DCC3-55FA-41B4-86C8-2813A5E7A985}"/>
    <cellStyle name="Percentuale 32 2 4" xfId="28521" xr:uid="{BBE0F5FD-828A-41F3-9220-BC2C07B1CC59}"/>
    <cellStyle name="Percentuale 32 2 4 2" xfId="49207" xr:uid="{7B534FD5-F755-4F08-B9B6-8CD1710CB4D0}"/>
    <cellStyle name="Percentuale 32 2 5" xfId="28522" xr:uid="{2901B34B-73E0-464B-8328-CE6A96614DFC}"/>
    <cellStyle name="Percentuale 32 2 6" xfId="28518" xr:uid="{A5FAC709-469D-443D-B730-4FBEF7A278B5}"/>
    <cellStyle name="Percentuale 32 3" xfId="1072" xr:uid="{00000000-0005-0000-0000-000090080000}"/>
    <cellStyle name="Percentuale 32 3 2" xfId="1073" xr:uid="{00000000-0005-0000-0000-000091080000}"/>
    <cellStyle name="Percentuale 32 3 2 2" xfId="2372" xr:uid="{00000000-0005-0000-0000-000092080000}"/>
    <cellStyle name="Percentuale 32 3 2 2 2" xfId="28526" xr:uid="{9457FE37-6966-4350-95F5-FFD593951117}"/>
    <cellStyle name="Percentuale 32 3 2 2 3" xfId="28525" xr:uid="{CD281002-EEE1-4B95-99EA-FB0AD0842339}"/>
    <cellStyle name="Percentuale 32 3 2 3" xfId="8142" xr:uid="{B3A19F76-B997-4666-8B3E-C648B105ACB1}"/>
    <cellStyle name="Percentuale 32 3 2 3 2" xfId="14141" xr:uid="{626B6A30-139A-49C8-AA6B-3F1DCA0C6D14}"/>
    <cellStyle name="Percentuale 32 3 2 3 3" xfId="28527" xr:uid="{A5AC3BA2-0A2F-45BD-8BCB-61C41B8A9875}"/>
    <cellStyle name="Percentuale 32 3 2 3 4" xfId="49208" xr:uid="{3CBEEECF-600F-4137-A4FC-C813676063FA}"/>
    <cellStyle name="Percentuale 32 3 2 4" xfId="28528" xr:uid="{482985C2-DE8F-4D22-A48D-4CE9B0EF11CA}"/>
    <cellStyle name="Percentuale 32 3 2 5" xfId="28524" xr:uid="{8D110953-1647-4743-A68E-6901000A4012}"/>
    <cellStyle name="Percentuale 32 3 3" xfId="4371" xr:uid="{A9575134-9B60-458E-931C-C09BB7570058}"/>
    <cellStyle name="Percentuale 32 3 3 2" xfId="9473" xr:uid="{1A4D99EA-C580-4545-8D4F-45A33AFDFB31}"/>
    <cellStyle name="Percentuale 32 3 3 2 2" xfId="28530" xr:uid="{687A7CAF-2DB8-454F-A432-80DED7ED4679}"/>
    <cellStyle name="Percentuale 32 3 3 3" xfId="28531" xr:uid="{EB95F3EB-C34A-4B04-94ED-1CFE16ADCBA5}"/>
    <cellStyle name="Percentuale 32 3 3 4" xfId="28532" xr:uid="{97BBA399-EF39-4FF1-B2E4-99B7EAC9A936}"/>
    <cellStyle name="Percentuale 32 3 3 4 2" xfId="49209" xr:uid="{8FD8053F-CC50-44A6-AEA4-B34B8F60026A}"/>
    <cellStyle name="Percentuale 32 3 3 5" xfId="28529" xr:uid="{578F7D6E-1D35-477B-AA40-6CFA4AF3622A}"/>
    <cellStyle name="Percentuale 32 3 4" xfId="4372" xr:uid="{638DC675-51EF-4741-B5BE-1BBE38623FDA}"/>
    <cellStyle name="Percentuale 32 3 4 2" xfId="13802" xr:uid="{EDC77161-0BBB-4873-B6C5-8ECF2136C457}"/>
    <cellStyle name="Percentuale 32 3 4 3" xfId="28533" xr:uid="{2EA77BB5-372D-4168-B7A6-FFEBE50576FF}"/>
    <cellStyle name="Percentuale 32 3 5" xfId="12431" xr:uid="{518A4988-2AB9-4E43-BBC8-D2A0F60B953E}"/>
    <cellStyle name="Percentuale 32 3 5 2" xfId="28534" xr:uid="{A6C5C22C-62DF-4CEE-AD3B-04F0D924245E}"/>
    <cellStyle name="Percentuale 32 3 6" xfId="28535" xr:uid="{DA109570-04A1-4DF4-93E9-9F79791F0D1E}"/>
    <cellStyle name="Percentuale 32 3 6 2" xfId="49210" xr:uid="{7DB87D78-AE6E-46C7-865E-F1282ED0099B}"/>
    <cellStyle name="Percentuale 32 3 7" xfId="28536" xr:uid="{E47B12C4-4780-4ED5-A3E5-2009B66C43EF}"/>
    <cellStyle name="Percentuale 32 3 8" xfId="28523" xr:uid="{964866DC-B620-4DFE-AD82-245371D4B9F0}"/>
    <cellStyle name="Percentuale 32 4" xfId="2373" xr:uid="{00000000-0005-0000-0000-000093080000}"/>
    <cellStyle name="Percentuale 32 4 2" xfId="2374" xr:uid="{00000000-0005-0000-0000-000094080000}"/>
    <cellStyle name="Percentuale 32 4 2 2" xfId="9474" xr:uid="{CC3244C0-FFAE-4B8C-94DC-5926FB9C68DF}"/>
    <cellStyle name="Percentuale 32 4 2 2 2" xfId="28539" xr:uid="{3D40F173-9146-4FA1-A0AA-CE84F1EB0D64}"/>
    <cellStyle name="Percentuale 32 4 2 3" xfId="17927" xr:uid="{21968A04-54CB-449C-9722-611B90DE6D46}"/>
    <cellStyle name="Percentuale 32 4 2 3 2" xfId="28540" xr:uid="{3130894B-8864-4EBE-B578-F72443B55AF1}"/>
    <cellStyle name="Percentuale 32 4 2 4" xfId="28538" xr:uid="{2940634E-8B40-4DB4-A9EF-DB2A3BC8EA14}"/>
    <cellStyle name="Percentuale 32 4 2 5" xfId="17536" xr:uid="{F405B1F2-9B2A-481F-8D3F-B573CE6F603C}"/>
    <cellStyle name="Percentuale 32 4 3" xfId="9475" xr:uid="{8AEB4808-5CE7-4EBC-A37A-C8B3DD7155A1}"/>
    <cellStyle name="Percentuale 32 4 3 2" xfId="28541" xr:uid="{AC188B6B-18FF-4BFF-827C-F362AE7CC978}"/>
    <cellStyle name="Percentuale 32 4 4" xfId="28542" xr:uid="{3BD72678-B0A2-4938-8743-7FDB796B0057}"/>
    <cellStyle name="Percentuale 32 4 5" xfId="28543" xr:uid="{0F4BCF7A-D754-42D8-9349-F3A4C0487649}"/>
    <cellStyle name="Percentuale 32 4 5 2" xfId="49211" xr:uid="{4C36AD7B-5FB4-4654-95A7-409B77DCEED1}"/>
    <cellStyle name="Percentuale 32 4 6" xfId="28544" xr:uid="{7DA64982-7C09-405B-8093-F26038DCAC92}"/>
    <cellStyle name="Percentuale 32 4 7" xfId="28537" xr:uid="{000C5C1F-1DDE-4E17-B276-6B0C8622D822}"/>
    <cellStyle name="Percentuale 32 5" xfId="2375" xr:uid="{00000000-0005-0000-0000-000095080000}"/>
    <cellStyle name="Percentuale 32 5 2" xfId="28546" xr:uid="{5F32F78D-5F53-4E56-BB7D-1AB05838AEA4}"/>
    <cellStyle name="Percentuale 32 5 3" xfId="28547" xr:uid="{AD1FFABF-15A5-477C-A088-DDD152B381C6}"/>
    <cellStyle name="Percentuale 32 5 3 2" xfId="49212" xr:uid="{6E94894B-7804-4A36-82E7-4C1D56B35466}"/>
    <cellStyle name="Percentuale 32 5 4" xfId="28548" xr:uid="{5EEA66B3-1511-4DC8-A8E3-F6A2C2252C5F}"/>
    <cellStyle name="Percentuale 32 5 5" xfId="28545" xr:uid="{1F0C7A0C-0CDD-4D98-BB01-E430D1661B8A}"/>
    <cellStyle name="Percentuale 32 6" xfId="4373" xr:uid="{8E742EB3-A264-4367-B1FA-35E31BE2DDBD}"/>
    <cellStyle name="Percentuale 32 6 2" xfId="9836" xr:uid="{78BA5EBA-DB8B-4EE7-8515-8ACDD29F4C9D}"/>
    <cellStyle name="Percentuale 32 6 3" xfId="28549" xr:uid="{058EB5F3-7503-49C0-9E91-0EB6C1701CC2}"/>
    <cellStyle name="Percentuale 32 7" xfId="28550" xr:uid="{D97E9649-891B-4C7D-BFDB-9E616CDD05A7}"/>
    <cellStyle name="Percentuale 32 7 2" xfId="49213" xr:uid="{0D98DA83-D3A3-4EDA-B4EC-EBE6A9729619}"/>
    <cellStyle name="Percentuale 32 8" xfId="28517" xr:uid="{8CE41B56-5DE8-4EA1-9F14-35B5A11F9E42}"/>
    <cellStyle name="Percentuale 33" xfId="1074" xr:uid="{00000000-0005-0000-0000-000096080000}"/>
    <cellStyle name="Percentuale 33 2" xfId="1075" xr:uid="{00000000-0005-0000-0000-000097080000}"/>
    <cellStyle name="Percentuale 33 2 2" xfId="4374" xr:uid="{8A000B55-869B-4A48-B19D-EF0A407A85A7}"/>
    <cellStyle name="Percentuale 33 2 2 2" xfId="13588" xr:uid="{38FEAEE3-2E21-40E7-B532-68DC9CCAD1F7}"/>
    <cellStyle name="Percentuale 33 2 2 3" xfId="28553" xr:uid="{9CE2F20E-A19D-4E5E-8DA4-200DE61F7DEB}"/>
    <cellStyle name="Percentuale 33 2 3" xfId="13326" xr:uid="{77DE3075-FC5A-41F5-8351-FD290226F375}"/>
    <cellStyle name="Percentuale 33 2 3 2" xfId="28554" xr:uid="{F0214C5B-F857-4B0C-A7D8-F28201E16D7B}"/>
    <cellStyle name="Percentuale 33 2 4" xfId="28555" xr:uid="{EE262FAE-498A-4D12-96E2-2DCA6B0EDFB7}"/>
    <cellStyle name="Percentuale 33 2 4 2" xfId="49214" xr:uid="{186C77EB-E10F-4309-B655-4B798FCC26D7}"/>
    <cellStyle name="Percentuale 33 2 5" xfId="28556" xr:uid="{A0272890-9847-41DE-8C72-212EAED1B624}"/>
    <cellStyle name="Percentuale 33 2 6" xfId="28552" xr:uid="{89DB08E3-4EE3-4EAA-9AA8-E4999AE4B4BE}"/>
    <cellStyle name="Percentuale 33 3" xfId="1076" xr:uid="{00000000-0005-0000-0000-000098080000}"/>
    <cellStyle name="Percentuale 33 3 2" xfId="1077" xr:uid="{00000000-0005-0000-0000-000099080000}"/>
    <cellStyle name="Percentuale 33 3 2 2" xfId="2376" xr:uid="{00000000-0005-0000-0000-00009A080000}"/>
    <cellStyle name="Percentuale 33 3 2 2 2" xfId="28560" xr:uid="{F6484C19-D604-46B9-A1E1-D159CAEA2101}"/>
    <cellStyle name="Percentuale 33 3 2 2 3" xfId="28559" xr:uid="{D20C4289-A5EE-4083-A2B0-9A9AC75EB78B}"/>
    <cellStyle name="Percentuale 33 3 2 3" xfId="8143" xr:uid="{5550EA0C-CE76-4770-92CA-0F6B8AC57845}"/>
    <cellStyle name="Percentuale 33 3 2 3 2" xfId="14142" xr:uid="{AAB7A54E-B76C-4916-9773-3AF652F47E30}"/>
    <cellStyle name="Percentuale 33 3 2 3 3" xfId="28561" xr:uid="{D4886C4B-22A1-479F-91D9-D559973506D5}"/>
    <cellStyle name="Percentuale 33 3 2 3 4" xfId="49215" xr:uid="{496FD652-9C90-40C9-BC92-09D5F24BF28C}"/>
    <cellStyle name="Percentuale 33 3 2 4" xfId="28562" xr:uid="{274ADF67-2D07-4F2C-AB9C-07B960CD224A}"/>
    <cellStyle name="Percentuale 33 3 2 5" xfId="28558" xr:uid="{8416138D-9233-440F-BB1B-F9F254E23327}"/>
    <cellStyle name="Percentuale 33 3 3" xfId="4375" xr:uid="{E54E9F58-1394-4090-8EAE-F1A446B846BB}"/>
    <cellStyle name="Percentuale 33 3 3 2" xfId="9476" xr:uid="{F332C4E9-0517-4755-A1AF-A287F534916A}"/>
    <cellStyle name="Percentuale 33 3 3 2 2" xfId="28564" xr:uid="{206E81D0-122B-4EF2-B528-85DCEC38BE2C}"/>
    <cellStyle name="Percentuale 33 3 3 3" xfId="28565" xr:uid="{03862684-3487-47B5-88CE-FF0B0FFB869B}"/>
    <cellStyle name="Percentuale 33 3 3 4" xfId="28566" xr:uid="{CA58A0EC-0420-4352-9E5D-6D28E339718B}"/>
    <cellStyle name="Percentuale 33 3 3 4 2" xfId="49216" xr:uid="{E3B75447-46E4-43E6-B92D-DED78B62CC9B}"/>
    <cellStyle name="Percentuale 33 3 3 5" xfId="28563" xr:uid="{63999568-8298-462A-8559-234893EE4E80}"/>
    <cellStyle name="Percentuale 33 3 4" xfId="4376" xr:uid="{C5469DA0-5670-4F86-AECC-813651A7E08C}"/>
    <cellStyle name="Percentuale 33 3 4 2" xfId="13803" xr:uid="{F5746824-B166-4F2D-948A-49E29CBF9A55}"/>
    <cellStyle name="Percentuale 33 3 4 3" xfId="28567" xr:uid="{535EE6EF-D466-41C8-B1B4-046E492212C6}"/>
    <cellStyle name="Percentuale 33 3 5" xfId="11205" xr:uid="{051F5578-333C-4106-BA80-881E059D41D8}"/>
    <cellStyle name="Percentuale 33 3 5 2" xfId="28568" xr:uid="{FB17569D-796A-4529-B7A5-8E37B52736A7}"/>
    <cellStyle name="Percentuale 33 3 6" xfId="28569" xr:uid="{24A8F4CB-72BA-4811-B4B0-1AFB63E8FFE3}"/>
    <cellStyle name="Percentuale 33 3 6 2" xfId="49217" xr:uid="{CF795A40-C067-4674-9F03-8C19E9FB6E05}"/>
    <cellStyle name="Percentuale 33 3 7" xfId="28570" xr:uid="{3BFF3968-9CB0-4AAE-AFB9-742BD2930958}"/>
    <cellStyle name="Percentuale 33 3 8" xfId="28557" xr:uid="{F1B415E0-0BFE-4068-994A-8DF8B3ED0AC8}"/>
    <cellStyle name="Percentuale 33 4" xfId="2377" xr:uid="{00000000-0005-0000-0000-00009B080000}"/>
    <cellStyle name="Percentuale 33 4 2" xfId="2378" xr:uid="{00000000-0005-0000-0000-00009C080000}"/>
    <cellStyle name="Percentuale 33 4 2 2" xfId="9477" xr:uid="{24A5A99E-275E-4E8F-8E21-FF2D6B067634}"/>
    <cellStyle name="Percentuale 33 4 2 2 2" xfId="28573" xr:uid="{C51EFF9D-A49C-4855-8C82-46DCA4C8CA93}"/>
    <cellStyle name="Percentuale 33 4 2 3" xfId="17928" xr:uid="{69CD175A-41D1-49EA-A68E-8AFD1E22C6E2}"/>
    <cellStyle name="Percentuale 33 4 2 3 2" xfId="28574" xr:uid="{C85DF904-E2CF-4ACA-BDF7-4EFC230A8ECB}"/>
    <cellStyle name="Percentuale 33 4 2 4" xfId="28572" xr:uid="{73A0E386-8DE9-4F48-9842-9DBE3A0865A2}"/>
    <cellStyle name="Percentuale 33 4 2 5" xfId="17537" xr:uid="{619A73B1-7FDC-4314-BD54-59948EF054D4}"/>
    <cellStyle name="Percentuale 33 4 3" xfId="9478" xr:uid="{EC6F129C-B1E1-4F8B-BBCE-9C300CFFD685}"/>
    <cellStyle name="Percentuale 33 4 3 2" xfId="28575" xr:uid="{3D3EC22C-82CF-4E83-8279-9EF9A0877277}"/>
    <cellStyle name="Percentuale 33 4 4" xfId="28576" xr:uid="{241462F8-DB74-4E27-B3D6-E44A295C9B27}"/>
    <cellStyle name="Percentuale 33 4 5" xfId="28577" xr:uid="{1A133D7A-6A25-41AB-9282-28911D0C3015}"/>
    <cellStyle name="Percentuale 33 4 5 2" xfId="49218" xr:uid="{0B95435E-A758-4B66-81A6-DE242F276BF4}"/>
    <cellStyle name="Percentuale 33 4 6" xfId="28578" xr:uid="{1EC6FFF9-4C3A-4E83-B216-0266340B722F}"/>
    <cellStyle name="Percentuale 33 4 7" xfId="28571" xr:uid="{623F4F23-810F-42CF-9731-732B2C1E3AA1}"/>
    <cellStyle name="Percentuale 33 5" xfId="2379" xr:uid="{00000000-0005-0000-0000-00009D080000}"/>
    <cellStyle name="Percentuale 33 5 2" xfId="28580" xr:uid="{8029B63D-FF06-4567-B9D3-1BFF7B9D92A2}"/>
    <cellStyle name="Percentuale 33 5 3" xfId="28581" xr:uid="{B3490503-439F-49F1-92DD-EE5377A5A55D}"/>
    <cellStyle name="Percentuale 33 5 3 2" xfId="49219" xr:uid="{964236DB-1330-4051-BB95-1986418E5193}"/>
    <cellStyle name="Percentuale 33 5 4" xfId="28582" xr:uid="{2B61034E-3DE4-429F-9E63-D033C93014EB}"/>
    <cellStyle name="Percentuale 33 5 5" xfId="28579" xr:uid="{3F8365B9-914D-45C9-94B6-708058345F36}"/>
    <cellStyle name="Percentuale 33 6" xfId="4377" xr:uid="{A8E30811-84FF-4B67-BF4F-958F62A5100F}"/>
    <cellStyle name="Percentuale 33 6 2" xfId="9837" xr:uid="{6A4DDC0A-D626-44F5-A323-F902768273A3}"/>
    <cellStyle name="Percentuale 33 6 3" xfId="28583" xr:uid="{6FA2215E-75F1-4F6D-9703-ACD605EBB51F}"/>
    <cellStyle name="Percentuale 33 7" xfId="28584" xr:uid="{90561345-C8F3-47FC-922D-A3246ACD4478}"/>
    <cellStyle name="Percentuale 33 7 2" xfId="49220" xr:uid="{DC0EBAAC-FCC4-4EFF-A4BA-8BAF393526EC}"/>
    <cellStyle name="Percentuale 33 8" xfId="28551" xr:uid="{DB83C25E-F3C5-47D2-8932-7652BFD7BCC1}"/>
    <cellStyle name="Percentuale 34" xfId="1078" xr:uid="{00000000-0005-0000-0000-00009E080000}"/>
    <cellStyle name="Percentuale 34 2" xfId="1079" xr:uid="{00000000-0005-0000-0000-00009F080000}"/>
    <cellStyle name="Percentuale 34 2 2" xfId="4378" xr:uid="{3121E7CF-396E-4238-A79D-B12E07E631B2}"/>
    <cellStyle name="Percentuale 34 2 2 2" xfId="13589" xr:uid="{237F7B9E-6985-4D57-B4D5-31BBE83AC587}"/>
    <cellStyle name="Percentuale 34 2 2 3" xfId="28587" xr:uid="{52969D6B-385C-4804-AD1D-3BB2FD6E5EB8}"/>
    <cellStyle name="Percentuale 34 2 3" xfId="13327" xr:uid="{AB11343E-4045-4835-9A6A-DD57A393104D}"/>
    <cellStyle name="Percentuale 34 2 3 2" xfId="28588" xr:uid="{4D81B5E1-5CA1-4B3E-BC3D-E16EB078B143}"/>
    <cellStyle name="Percentuale 34 2 4" xfId="28589" xr:uid="{9C9F2344-446E-4F72-A77C-88A6B12BC683}"/>
    <cellStyle name="Percentuale 34 2 4 2" xfId="49221" xr:uid="{A23CA175-4A85-4FFE-BB34-F04DE6770270}"/>
    <cellStyle name="Percentuale 34 2 5" xfId="28590" xr:uid="{29D5E1CA-7284-46C5-8EE3-0A7A16F4EE86}"/>
    <cellStyle name="Percentuale 34 2 6" xfId="28586" xr:uid="{9B212636-39C3-4748-9B48-1154794ED4F3}"/>
    <cellStyle name="Percentuale 34 3" xfId="1080" xr:uid="{00000000-0005-0000-0000-0000A0080000}"/>
    <cellStyle name="Percentuale 34 3 2" xfId="1081" xr:uid="{00000000-0005-0000-0000-0000A1080000}"/>
    <cellStyle name="Percentuale 34 3 2 2" xfId="2380" xr:uid="{00000000-0005-0000-0000-0000A2080000}"/>
    <cellStyle name="Percentuale 34 3 2 2 2" xfId="28594" xr:uid="{F536C2A8-7F02-44DD-9AB1-0189807EAFCE}"/>
    <cellStyle name="Percentuale 34 3 2 2 3" xfId="28593" xr:uid="{54DBBE4A-B436-4647-B359-8F44F3756732}"/>
    <cellStyle name="Percentuale 34 3 2 3" xfId="8144" xr:uid="{561CF779-331A-418A-9769-5EF9FA6F7A47}"/>
    <cellStyle name="Percentuale 34 3 2 3 2" xfId="14143" xr:uid="{26569F8A-0026-43B9-99FE-01FE7D94FF7A}"/>
    <cellStyle name="Percentuale 34 3 2 3 3" xfId="28595" xr:uid="{812B0C69-A215-4602-BCD5-0EDC8D013F9C}"/>
    <cellStyle name="Percentuale 34 3 2 3 4" xfId="49222" xr:uid="{1E130AC6-8CD9-4C41-890F-5FB18E78E72F}"/>
    <cellStyle name="Percentuale 34 3 2 4" xfId="28596" xr:uid="{25BD47DB-E540-47BD-943B-7C53A8D94519}"/>
    <cellStyle name="Percentuale 34 3 2 5" xfId="28592" xr:uid="{431B9593-BE88-4985-A803-820D043BB7A4}"/>
    <cellStyle name="Percentuale 34 3 3" xfId="4379" xr:uid="{AEF09BDD-A55F-4918-B253-242BC10696FA}"/>
    <cellStyle name="Percentuale 34 3 3 2" xfId="9479" xr:uid="{B366B857-2C8F-4B17-9CAB-CA85E24E8797}"/>
    <cellStyle name="Percentuale 34 3 3 2 2" xfId="28598" xr:uid="{3031F969-14EA-4D52-A8BB-EA177B719B1A}"/>
    <cellStyle name="Percentuale 34 3 3 3" xfId="28599" xr:uid="{3D5D8281-9FFE-4C05-87BF-82565DE584E3}"/>
    <cellStyle name="Percentuale 34 3 3 4" xfId="28600" xr:uid="{6C20A512-A400-4A59-A66D-F793FDBE478E}"/>
    <cellStyle name="Percentuale 34 3 3 4 2" xfId="49223" xr:uid="{523D7013-1432-4D96-84D9-582A74B76C73}"/>
    <cellStyle name="Percentuale 34 3 3 5" xfId="28597" xr:uid="{EA9F6CF6-83DF-4A26-8EEE-4C95ECCDB97E}"/>
    <cellStyle name="Percentuale 34 3 4" xfId="4380" xr:uid="{F4EB1C1C-B38D-46BD-9C75-5A6EDAEB1E54}"/>
    <cellStyle name="Percentuale 34 3 4 2" xfId="13804" xr:uid="{CE44AF57-E597-4CD9-9DB9-08DFB7EED9A4}"/>
    <cellStyle name="Percentuale 34 3 4 3" xfId="28601" xr:uid="{978D63B2-BC4A-481A-8876-486D08FF9FFE}"/>
    <cellStyle name="Percentuale 34 3 5" xfId="12302" xr:uid="{EF9FFFEF-A3B0-47FD-A4B4-D041627F3AD4}"/>
    <cellStyle name="Percentuale 34 3 5 2" xfId="28602" xr:uid="{965AFC17-FCFE-4F29-AB64-2D704617A894}"/>
    <cellStyle name="Percentuale 34 3 6" xfId="28603" xr:uid="{4F1CF576-0FF5-4B5C-9513-3ABE68397CA6}"/>
    <cellStyle name="Percentuale 34 3 6 2" xfId="49224" xr:uid="{5A794771-9329-40A7-85E0-08D851BA0DF7}"/>
    <cellStyle name="Percentuale 34 3 7" xfId="28604" xr:uid="{82D088A9-A117-498A-9531-5EFC84A79123}"/>
    <cellStyle name="Percentuale 34 3 8" xfId="28591" xr:uid="{E61541D6-DAA8-498E-A674-292CBD55D2E5}"/>
    <cellStyle name="Percentuale 34 4" xfId="2381" xr:uid="{00000000-0005-0000-0000-0000A3080000}"/>
    <cellStyle name="Percentuale 34 4 2" xfId="2382" xr:uid="{00000000-0005-0000-0000-0000A4080000}"/>
    <cellStyle name="Percentuale 34 4 2 2" xfId="9480" xr:uid="{34474228-2327-469B-9D64-67721372C551}"/>
    <cellStyle name="Percentuale 34 4 2 2 2" xfId="28607" xr:uid="{43DDD0F4-9A08-461B-ADBC-02973635A0F2}"/>
    <cellStyle name="Percentuale 34 4 2 3" xfId="17929" xr:uid="{C3367A61-AC37-4C16-87C4-0B917184F67A}"/>
    <cellStyle name="Percentuale 34 4 2 3 2" xfId="28608" xr:uid="{28F4825F-DC29-43D1-A719-3A13C00321AF}"/>
    <cellStyle name="Percentuale 34 4 2 4" xfId="28606" xr:uid="{E808FCD3-068D-4295-B526-41DB9AECBBEB}"/>
    <cellStyle name="Percentuale 34 4 2 5" xfId="17538" xr:uid="{0A65941F-6277-4284-81A3-4F1E52C7B71F}"/>
    <cellStyle name="Percentuale 34 4 3" xfId="9481" xr:uid="{082112EC-7DB8-473C-87E6-613C80F24F9B}"/>
    <cellStyle name="Percentuale 34 4 3 2" xfId="28609" xr:uid="{73C6A51C-60BC-46A7-9598-5223C25FF9AE}"/>
    <cellStyle name="Percentuale 34 4 4" xfId="28610" xr:uid="{6E8B0C5C-DDFA-45A4-BE45-F603135F93BF}"/>
    <cellStyle name="Percentuale 34 4 5" xfId="28611" xr:uid="{8F102033-89B3-41DF-B670-C41CD3783ABF}"/>
    <cellStyle name="Percentuale 34 4 5 2" xfId="49225" xr:uid="{6D8C2D4E-6D8C-43A8-9AB2-034FB8E5E9AD}"/>
    <cellStyle name="Percentuale 34 4 6" xfId="28612" xr:uid="{2D597E02-E5C6-45A3-BEA1-AA3F50400B6B}"/>
    <cellStyle name="Percentuale 34 4 7" xfId="28605" xr:uid="{DB49AFD3-59B5-4B10-B225-1F0E0D6F5215}"/>
    <cellStyle name="Percentuale 34 5" xfId="2383" xr:uid="{00000000-0005-0000-0000-0000A5080000}"/>
    <cellStyle name="Percentuale 34 5 2" xfId="28614" xr:uid="{16B67B7F-CF4C-4545-8F16-9F38E4DAACE2}"/>
    <cellStyle name="Percentuale 34 5 3" xfId="28615" xr:uid="{3C9902F7-D3B4-46FE-A79C-00494883E018}"/>
    <cellStyle name="Percentuale 34 5 3 2" xfId="49226" xr:uid="{0443C101-54FB-4D9D-997C-1C11B3B7F4DA}"/>
    <cellStyle name="Percentuale 34 5 4" xfId="28616" xr:uid="{EEBF1ABB-9177-43C2-B5A6-FD28F0789457}"/>
    <cellStyle name="Percentuale 34 5 5" xfId="28613" xr:uid="{220E639F-D3DE-4DF0-925C-C9162EBB2A1F}"/>
    <cellStyle name="Percentuale 34 6" xfId="4381" xr:uid="{5767F785-9A81-4681-A86B-4D18C808E931}"/>
    <cellStyle name="Percentuale 34 6 2" xfId="9838" xr:uid="{79BF5150-979B-4AFE-B9D3-910F0C458962}"/>
    <cellStyle name="Percentuale 34 6 3" xfId="28617" xr:uid="{676C724A-E380-4266-8DAE-7482EC106564}"/>
    <cellStyle name="Percentuale 34 7" xfId="28618" xr:uid="{5585C969-BAFD-4B1E-8CE6-4BE4842FE9D3}"/>
    <cellStyle name="Percentuale 34 7 2" xfId="49227" xr:uid="{57BA924C-C535-4BD9-9CC6-A488889C5ECB}"/>
    <cellStyle name="Percentuale 34 8" xfId="28585" xr:uid="{699EFF69-78CA-4068-81D6-98A7E1089A63}"/>
    <cellStyle name="Percentuale 35" xfId="1082" xr:uid="{00000000-0005-0000-0000-0000A6080000}"/>
    <cellStyle name="Percentuale 35 2" xfId="1083" xr:uid="{00000000-0005-0000-0000-0000A7080000}"/>
    <cellStyle name="Percentuale 35 2 2" xfId="4382" xr:uid="{6AEFA0E4-83AF-4909-A181-7C011A9C6E7F}"/>
    <cellStyle name="Percentuale 35 2 2 2" xfId="13590" xr:uid="{CD4051F0-122F-499C-AB37-980A36D3388B}"/>
    <cellStyle name="Percentuale 35 2 2 3" xfId="28621" xr:uid="{CF740935-E43F-4D67-93CA-02850ED6E024}"/>
    <cellStyle name="Percentuale 35 2 3" xfId="13328" xr:uid="{8CBCC41A-3BDE-45FD-8781-F5408D9CFB08}"/>
    <cellStyle name="Percentuale 35 2 3 2" xfId="28622" xr:uid="{41E5413D-5ADE-4E4A-9655-E3391275E685}"/>
    <cellStyle name="Percentuale 35 2 4" xfId="28623" xr:uid="{0732BDC3-A473-4441-BAD4-E8418ED8469C}"/>
    <cellStyle name="Percentuale 35 2 4 2" xfId="49228" xr:uid="{7C31A25D-4A7E-4751-B8A7-33E9A08DC339}"/>
    <cellStyle name="Percentuale 35 2 5" xfId="28624" xr:uid="{A21E6A9F-8EF1-494E-8D0A-241E8FACA093}"/>
    <cellStyle name="Percentuale 35 2 6" xfId="28620" xr:uid="{613561C8-9176-4168-AEC9-3E69192210CE}"/>
    <cellStyle name="Percentuale 35 3" xfId="1084" xr:uid="{00000000-0005-0000-0000-0000A8080000}"/>
    <cellStyle name="Percentuale 35 3 2" xfId="1085" xr:uid="{00000000-0005-0000-0000-0000A9080000}"/>
    <cellStyle name="Percentuale 35 3 2 2" xfId="2384" xr:uid="{00000000-0005-0000-0000-0000AA080000}"/>
    <cellStyle name="Percentuale 35 3 2 2 2" xfId="28628" xr:uid="{9FB9EC0E-8E04-4367-AE35-E3B6C7AF06B4}"/>
    <cellStyle name="Percentuale 35 3 2 2 3" xfId="28627" xr:uid="{84BA3513-385E-453B-B087-43411666D7B5}"/>
    <cellStyle name="Percentuale 35 3 2 3" xfId="8145" xr:uid="{7F59F4AE-7D87-4379-B4A4-78AB84DA436B}"/>
    <cellStyle name="Percentuale 35 3 2 3 2" xfId="14144" xr:uid="{0172659F-3668-4455-8C0B-B7EC455FC1C1}"/>
    <cellStyle name="Percentuale 35 3 2 3 3" xfId="28629" xr:uid="{5DDC163B-76DC-4131-9B28-5B3CC23945DF}"/>
    <cellStyle name="Percentuale 35 3 2 3 4" xfId="49229" xr:uid="{3434FA9F-E25E-4D4D-986A-F3F0D238BBF7}"/>
    <cellStyle name="Percentuale 35 3 2 4" xfId="28630" xr:uid="{33B7030B-840E-4DD0-BEAD-D177CF65BB2A}"/>
    <cellStyle name="Percentuale 35 3 2 5" xfId="28626" xr:uid="{096D9F7A-68F2-4AC8-8237-EE9C31E9A505}"/>
    <cellStyle name="Percentuale 35 3 3" xfId="4383" xr:uid="{3510A725-8D8D-4ED8-B92A-60EEF437E04D}"/>
    <cellStyle name="Percentuale 35 3 3 2" xfId="9482" xr:uid="{19E2741A-28AF-437A-A5EE-0946ED1B0D53}"/>
    <cellStyle name="Percentuale 35 3 3 2 2" xfId="28632" xr:uid="{DAB204A5-CAE2-4CED-9E6E-9AB30D107091}"/>
    <cellStyle name="Percentuale 35 3 3 3" xfId="28633" xr:uid="{EF42A24D-5B38-4865-9384-62E0ADFB9BC0}"/>
    <cellStyle name="Percentuale 35 3 3 4" xfId="28634" xr:uid="{479D47A0-0682-477A-AF9E-C8AD3C8A4F71}"/>
    <cellStyle name="Percentuale 35 3 3 4 2" xfId="49230" xr:uid="{17AE63FB-2876-492B-BF6C-5390A95BD5BA}"/>
    <cellStyle name="Percentuale 35 3 3 5" xfId="28631" xr:uid="{ACFAEE69-C81C-4C0E-BBBA-A79DED6704AB}"/>
    <cellStyle name="Percentuale 35 3 4" xfId="4384" xr:uid="{810744D7-314D-4497-B8DE-492FBE42E039}"/>
    <cellStyle name="Percentuale 35 3 4 2" xfId="13805" xr:uid="{E17D456C-8B89-474F-A855-FC4FB8F64793}"/>
    <cellStyle name="Percentuale 35 3 4 3" xfId="28635" xr:uid="{1430A915-2B12-4EFB-82EF-02DD00CC8542}"/>
    <cellStyle name="Percentuale 35 3 5" xfId="12390" xr:uid="{C8B86605-BC9E-4AF8-AB8B-788F76559091}"/>
    <cellStyle name="Percentuale 35 3 5 2" xfId="28636" xr:uid="{2995287D-152E-4A86-A710-869E5C18732C}"/>
    <cellStyle name="Percentuale 35 3 6" xfId="28637" xr:uid="{BFAD2DA5-4206-4BC4-A77B-194DECDC46FB}"/>
    <cellStyle name="Percentuale 35 3 6 2" xfId="49231" xr:uid="{9F9ACF77-8C1B-41A5-8454-757C2CF7573D}"/>
    <cellStyle name="Percentuale 35 3 7" xfId="28638" xr:uid="{D97347C7-2F1E-42D5-8D01-1CD7AC67A4B1}"/>
    <cellStyle name="Percentuale 35 3 8" xfId="28625" xr:uid="{AE20671B-97C6-4810-93F0-547BFD027A19}"/>
    <cellStyle name="Percentuale 35 4" xfId="2385" xr:uid="{00000000-0005-0000-0000-0000AB080000}"/>
    <cellStyle name="Percentuale 35 4 2" xfId="2386" xr:uid="{00000000-0005-0000-0000-0000AC080000}"/>
    <cellStyle name="Percentuale 35 4 2 2" xfId="9483" xr:uid="{A3C96D3A-F43A-460C-92FC-F43D3E2A967B}"/>
    <cellStyle name="Percentuale 35 4 2 2 2" xfId="28641" xr:uid="{6C263A39-389A-4215-8971-878EA4B6BD5A}"/>
    <cellStyle name="Percentuale 35 4 2 3" xfId="17930" xr:uid="{974524C3-ED5F-4DE6-B1CC-F109C52DFC42}"/>
    <cellStyle name="Percentuale 35 4 2 3 2" xfId="28642" xr:uid="{8467C34A-68F2-42C0-8395-52A248CC4F88}"/>
    <cellStyle name="Percentuale 35 4 2 4" xfId="28640" xr:uid="{88BCBFC6-9883-450D-9DBE-ECBD67434B1B}"/>
    <cellStyle name="Percentuale 35 4 2 5" xfId="17539" xr:uid="{441B0A4B-153C-4F51-AA65-235091652865}"/>
    <cellStyle name="Percentuale 35 4 3" xfId="9484" xr:uid="{8EC07C2A-57FC-498B-B85F-9BC147E994E7}"/>
    <cellStyle name="Percentuale 35 4 3 2" xfId="28643" xr:uid="{FD7E3868-3F8B-416B-A1FA-BD598C097CBA}"/>
    <cellStyle name="Percentuale 35 4 4" xfId="28644" xr:uid="{1D245B2B-4DD4-4E37-881A-935043A8E116}"/>
    <cellStyle name="Percentuale 35 4 5" xfId="28645" xr:uid="{69E81F30-74C2-4FF7-B6D0-5C7E8D75AB96}"/>
    <cellStyle name="Percentuale 35 4 5 2" xfId="49232" xr:uid="{AFA72177-EEF4-44C7-A232-83A3B2475972}"/>
    <cellStyle name="Percentuale 35 4 6" xfId="28646" xr:uid="{83255081-276D-4841-8A2F-B5DE92E49130}"/>
    <cellStyle name="Percentuale 35 4 7" xfId="28639" xr:uid="{B2DF197B-6A9A-41C8-BC83-167207B6A3D8}"/>
    <cellStyle name="Percentuale 35 5" xfId="2387" xr:uid="{00000000-0005-0000-0000-0000AD080000}"/>
    <cellStyle name="Percentuale 35 5 2" xfId="28648" xr:uid="{4B8217CF-A3B4-458F-9E2E-C129258B5EC8}"/>
    <cellStyle name="Percentuale 35 5 3" xfId="28649" xr:uid="{320200E7-DD9F-485B-BF06-42F12E7DDB46}"/>
    <cellStyle name="Percentuale 35 5 3 2" xfId="49233" xr:uid="{796F0D29-103A-44C9-A3E6-76FEF03BC057}"/>
    <cellStyle name="Percentuale 35 5 4" xfId="28650" xr:uid="{D38D19D0-BD31-40E6-BF47-AA39A7CA1077}"/>
    <cellStyle name="Percentuale 35 5 5" xfId="28647" xr:uid="{1227110E-CAC3-40FF-B24C-C8765F17B86A}"/>
    <cellStyle name="Percentuale 35 6" xfId="4385" xr:uid="{A9FADC21-0FCC-4BF3-93F6-BF612F134C5D}"/>
    <cellStyle name="Percentuale 35 6 2" xfId="9839" xr:uid="{C98EB045-C156-4536-AACF-47A7620B2982}"/>
    <cellStyle name="Percentuale 35 6 3" xfId="28651" xr:uid="{8B507DEB-537B-4DC8-9513-47C657608234}"/>
    <cellStyle name="Percentuale 35 7" xfId="28652" xr:uid="{B84A25B3-A59D-4DED-B298-1DDEF06A96C5}"/>
    <cellStyle name="Percentuale 35 7 2" xfId="49234" xr:uid="{693787C1-C3E4-493F-90BF-AE3ADFFA171C}"/>
    <cellStyle name="Percentuale 35 8" xfId="28619" xr:uid="{FD4C12D4-E49A-4B96-86A0-712A5FB14FD9}"/>
    <cellStyle name="Percentuale 36" xfId="1086" xr:uid="{00000000-0005-0000-0000-0000AE080000}"/>
    <cellStyle name="Percentuale 36 2" xfId="1087" xr:uid="{00000000-0005-0000-0000-0000AF080000}"/>
    <cellStyle name="Percentuale 36 2 2" xfId="4386" xr:uid="{70B91778-C724-43C7-84B1-3F1841C8145C}"/>
    <cellStyle name="Percentuale 36 2 2 2" xfId="13591" xr:uid="{C5C04A67-1934-4355-8633-63CB34406B62}"/>
    <cellStyle name="Percentuale 36 2 2 3" xfId="28655" xr:uid="{9FC855B5-75F4-4C14-B550-E226DA728104}"/>
    <cellStyle name="Percentuale 36 2 3" xfId="13329" xr:uid="{23FA2C59-B27B-43D2-B711-50C7BB9FA2E7}"/>
    <cellStyle name="Percentuale 36 2 3 2" xfId="28656" xr:uid="{529D4FC9-B350-4103-86B4-6DF4362A5D96}"/>
    <cellStyle name="Percentuale 36 2 4" xfId="28657" xr:uid="{9036021E-4ECB-4AF7-B8C7-60CA6B278F36}"/>
    <cellStyle name="Percentuale 36 2 4 2" xfId="49235" xr:uid="{F5F52AA5-A100-45EE-89F5-0192F5F3C4C9}"/>
    <cellStyle name="Percentuale 36 2 5" xfId="28658" xr:uid="{DA376AA3-C16D-4153-8326-B40152941BFA}"/>
    <cellStyle name="Percentuale 36 2 6" xfId="28654" xr:uid="{163E961C-556E-49F3-8677-08CD449D50C7}"/>
    <cellStyle name="Percentuale 36 3" xfId="1088" xr:uid="{00000000-0005-0000-0000-0000B0080000}"/>
    <cellStyle name="Percentuale 36 3 2" xfId="1089" xr:uid="{00000000-0005-0000-0000-0000B1080000}"/>
    <cellStyle name="Percentuale 36 3 2 2" xfId="2388" xr:uid="{00000000-0005-0000-0000-0000B2080000}"/>
    <cellStyle name="Percentuale 36 3 2 2 2" xfId="28662" xr:uid="{DFA64128-F648-4562-9CF4-E549B7FA7CF8}"/>
    <cellStyle name="Percentuale 36 3 2 2 3" xfId="28661" xr:uid="{E010F192-EE44-4018-8AC4-F9FBD121E3A8}"/>
    <cellStyle name="Percentuale 36 3 2 3" xfId="8146" xr:uid="{96543D2B-9C1C-4EA4-99B6-4DEFEC2DFEC0}"/>
    <cellStyle name="Percentuale 36 3 2 3 2" xfId="14145" xr:uid="{8419F6DB-754C-49D3-A2ED-C3DC1B110E5B}"/>
    <cellStyle name="Percentuale 36 3 2 3 3" xfId="28663" xr:uid="{8F41F102-7B0F-4DE6-A5D0-F852EEAAF3D7}"/>
    <cellStyle name="Percentuale 36 3 2 3 4" xfId="49236" xr:uid="{393D87A9-2CE7-4A28-BF29-832134A77EAC}"/>
    <cellStyle name="Percentuale 36 3 2 4" xfId="28664" xr:uid="{A3AD8063-7858-4E8E-8808-EDC90D66C76C}"/>
    <cellStyle name="Percentuale 36 3 2 5" xfId="28660" xr:uid="{C1864954-6DE7-4986-9569-12A306009040}"/>
    <cellStyle name="Percentuale 36 3 3" xfId="4387" xr:uid="{6D50C532-C90E-4914-8CE4-EE8708174B29}"/>
    <cellStyle name="Percentuale 36 3 3 2" xfId="9485" xr:uid="{27C7C0CF-1B01-46E7-B877-934563B164F2}"/>
    <cellStyle name="Percentuale 36 3 3 2 2" xfId="28666" xr:uid="{97F9E625-7614-43C6-A466-EE9570A3A17F}"/>
    <cellStyle name="Percentuale 36 3 3 3" xfId="28667" xr:uid="{30AD6A42-C78A-42C8-A58A-A8D16A9B6A8E}"/>
    <cellStyle name="Percentuale 36 3 3 4" xfId="28668" xr:uid="{6FBC0C96-359C-45AF-84E6-8062B52BB4A9}"/>
    <cellStyle name="Percentuale 36 3 3 4 2" xfId="49237" xr:uid="{9F6D5A92-525B-400C-AEBC-098EA7EAE1AA}"/>
    <cellStyle name="Percentuale 36 3 3 5" xfId="28665" xr:uid="{FD7714EF-6C56-44FE-82FB-B1B198B708A8}"/>
    <cellStyle name="Percentuale 36 3 4" xfId="4388" xr:uid="{5D8C4EF4-BA4C-457B-8A87-D0B4761765C9}"/>
    <cellStyle name="Percentuale 36 3 4 2" xfId="13806" xr:uid="{468F3F50-CE09-4750-9677-233E1FF29312}"/>
    <cellStyle name="Percentuale 36 3 4 3" xfId="28669" xr:uid="{6AE88B64-5E24-4392-9D2E-5B525BDFFB9E}"/>
    <cellStyle name="Percentuale 36 3 5" xfId="12301" xr:uid="{87029902-0BAF-4C72-A09D-AA6C3B1F6F59}"/>
    <cellStyle name="Percentuale 36 3 5 2" xfId="28670" xr:uid="{1DD6466A-1EDB-479B-9796-CBD3EC81C3FA}"/>
    <cellStyle name="Percentuale 36 3 6" xfId="28671" xr:uid="{0264D0EC-555C-48C6-8770-13A86EEDB8B8}"/>
    <cellStyle name="Percentuale 36 3 6 2" xfId="49238" xr:uid="{2B04AF2F-29D9-4667-ACB5-649343022C78}"/>
    <cellStyle name="Percentuale 36 3 7" xfId="28672" xr:uid="{14352CBD-0FDA-4FE3-8C11-2B7F27A4D639}"/>
    <cellStyle name="Percentuale 36 3 8" xfId="28659" xr:uid="{EE2B66D1-E5DC-4112-B549-844B4F293546}"/>
    <cellStyle name="Percentuale 36 4" xfId="2389" xr:uid="{00000000-0005-0000-0000-0000B3080000}"/>
    <cellStyle name="Percentuale 36 4 2" xfId="2390" xr:uid="{00000000-0005-0000-0000-0000B4080000}"/>
    <cellStyle name="Percentuale 36 4 2 2" xfId="9486" xr:uid="{183723CB-2E3E-46B5-B24B-FA59F905421F}"/>
    <cellStyle name="Percentuale 36 4 2 2 2" xfId="28675" xr:uid="{07F1D85A-D833-45DF-BFB1-F6EB866DBB71}"/>
    <cellStyle name="Percentuale 36 4 2 3" xfId="17931" xr:uid="{20DB63A9-8D83-42B9-A96D-83D9225ABB4D}"/>
    <cellStyle name="Percentuale 36 4 2 3 2" xfId="28676" xr:uid="{8D8B0F85-373C-4C2C-AE7E-5FACA1071BA9}"/>
    <cellStyle name="Percentuale 36 4 2 4" xfId="28674" xr:uid="{14EC9530-214B-419F-9FFD-9445E95EE1BA}"/>
    <cellStyle name="Percentuale 36 4 2 5" xfId="17540" xr:uid="{0175F529-B833-4402-97A3-E937D87AFEEB}"/>
    <cellStyle name="Percentuale 36 4 3" xfId="9487" xr:uid="{2532429B-0884-42EE-845A-1567F0B10C51}"/>
    <cellStyle name="Percentuale 36 4 3 2" xfId="28677" xr:uid="{3B575079-1A2A-4AB2-B3BD-0632681C08A6}"/>
    <cellStyle name="Percentuale 36 4 4" xfId="28678" xr:uid="{5EDBC131-C383-47B3-8C80-7673B9CB10A4}"/>
    <cellStyle name="Percentuale 36 4 5" xfId="28679" xr:uid="{A8D64B41-0854-45C4-B08D-71000D287402}"/>
    <cellStyle name="Percentuale 36 4 5 2" xfId="49239" xr:uid="{4B6FACBC-DEE9-4274-9146-F531ABF3E77F}"/>
    <cellStyle name="Percentuale 36 4 6" xfId="28680" xr:uid="{C055E48B-53ED-4941-84D9-6BD372ECFC3D}"/>
    <cellStyle name="Percentuale 36 4 7" xfId="28673" xr:uid="{7B3CEF99-2AFF-4D1C-A803-39018A577769}"/>
    <cellStyle name="Percentuale 36 5" xfId="2391" xr:uid="{00000000-0005-0000-0000-0000B5080000}"/>
    <cellStyle name="Percentuale 36 5 2" xfId="28682" xr:uid="{60F384B0-29AD-4EBD-B9ED-F857148E6A3A}"/>
    <cellStyle name="Percentuale 36 5 3" xfId="28683" xr:uid="{CFD609B2-6D94-470A-95BB-0CB27156FE5D}"/>
    <cellStyle name="Percentuale 36 5 3 2" xfId="49240" xr:uid="{819BEE71-1401-41B3-B50C-B5263372854C}"/>
    <cellStyle name="Percentuale 36 5 4" xfId="28684" xr:uid="{EC959AD2-3C95-4A2F-B04C-1DB43352FF91}"/>
    <cellStyle name="Percentuale 36 5 5" xfId="28681" xr:uid="{F6027F70-CC85-42F5-B7A1-542B8279346E}"/>
    <cellStyle name="Percentuale 36 6" xfId="4389" xr:uid="{E4506130-EDE4-4ECD-BABF-66DC99F01C22}"/>
    <cellStyle name="Percentuale 36 6 2" xfId="9840" xr:uid="{CBC32C35-0A32-4F83-B421-5B3546DCA389}"/>
    <cellStyle name="Percentuale 36 6 3" xfId="28685" xr:uid="{8D24BAB1-672A-4DCF-A1A2-A45474CA6F55}"/>
    <cellStyle name="Percentuale 36 7" xfId="28686" xr:uid="{A1CAEFB8-A711-4361-91E9-2E88C949443D}"/>
    <cellStyle name="Percentuale 36 7 2" xfId="49241" xr:uid="{451B1573-F692-420B-95F1-907F00DA0A4A}"/>
    <cellStyle name="Percentuale 36 8" xfId="28653" xr:uid="{D246E601-6CB4-4C4D-917D-961E764AE7D8}"/>
    <cellStyle name="Percentuale 37" xfId="1090" xr:uid="{00000000-0005-0000-0000-0000B6080000}"/>
    <cellStyle name="Percentuale 37 2" xfId="1091" xr:uid="{00000000-0005-0000-0000-0000B7080000}"/>
    <cellStyle name="Percentuale 37 2 2" xfId="4390" xr:uid="{D2267C83-6C59-46FC-8EDD-24D78926DA0D}"/>
    <cellStyle name="Percentuale 37 2 2 2" xfId="13592" xr:uid="{D2DD8A1D-9856-4C9F-A54E-2CEF1CFC0BAF}"/>
    <cellStyle name="Percentuale 37 2 2 3" xfId="28689" xr:uid="{BFED7749-E0C7-4ED1-B139-337BFC83FEF2}"/>
    <cellStyle name="Percentuale 37 2 3" xfId="13330" xr:uid="{3AF23834-04DC-464B-9E30-2924D9A0E502}"/>
    <cellStyle name="Percentuale 37 2 3 2" xfId="28690" xr:uid="{DF848955-7BEA-4973-95B0-5AFDBBF4A9BA}"/>
    <cellStyle name="Percentuale 37 2 4" xfId="28691" xr:uid="{5C470377-9F8C-49F8-9A41-89A99CE16F5C}"/>
    <cellStyle name="Percentuale 37 2 4 2" xfId="49242" xr:uid="{B98E9E79-FAAF-4C61-AC52-06FD5FB8AA88}"/>
    <cellStyle name="Percentuale 37 2 5" xfId="28692" xr:uid="{3A1EA14E-CA84-45EC-9732-0EB3DBE4BAF4}"/>
    <cellStyle name="Percentuale 37 2 6" xfId="28688" xr:uid="{93C48F0D-F57B-4A54-86D1-786E227D4316}"/>
    <cellStyle name="Percentuale 37 3" xfId="1092" xr:uid="{00000000-0005-0000-0000-0000B8080000}"/>
    <cellStyle name="Percentuale 37 3 2" xfId="1093" xr:uid="{00000000-0005-0000-0000-0000B9080000}"/>
    <cellStyle name="Percentuale 37 3 2 2" xfId="2392" xr:uid="{00000000-0005-0000-0000-0000BA080000}"/>
    <cellStyle name="Percentuale 37 3 2 2 2" xfId="28696" xr:uid="{8CC15F55-15E6-4ED3-8EAF-C52F3B23873C}"/>
    <cellStyle name="Percentuale 37 3 2 2 3" xfId="28695" xr:uid="{845E5923-F377-4AE4-8238-FC63693311EB}"/>
    <cellStyle name="Percentuale 37 3 2 3" xfId="8147" xr:uid="{5775F767-4F5C-4DC1-B3C1-B5C4DB043C51}"/>
    <cellStyle name="Percentuale 37 3 2 3 2" xfId="14146" xr:uid="{D7ACD550-080D-4A9C-BC08-C7A5078C2AFC}"/>
    <cellStyle name="Percentuale 37 3 2 3 3" xfId="28697" xr:uid="{3A21471E-AF2E-44B0-B870-1B4CEFEC55FC}"/>
    <cellStyle name="Percentuale 37 3 2 3 4" xfId="49243" xr:uid="{5D99679D-551D-4B7B-8EC3-76AD8606F946}"/>
    <cellStyle name="Percentuale 37 3 2 4" xfId="28698" xr:uid="{3547862A-6B67-4FD0-93BA-97D3B9AEF251}"/>
    <cellStyle name="Percentuale 37 3 2 5" xfId="28694" xr:uid="{D4DCD519-4BFC-4580-8483-ED9DC67A4968}"/>
    <cellStyle name="Percentuale 37 3 3" xfId="4391" xr:uid="{2D2207B3-3FBC-471C-BBD0-428E7C0B37F4}"/>
    <cellStyle name="Percentuale 37 3 3 2" xfId="9488" xr:uid="{902E5A06-FC08-4FEF-B0BC-14C3453E4EC2}"/>
    <cellStyle name="Percentuale 37 3 3 2 2" xfId="28700" xr:uid="{46D4FC8A-790B-4DF2-8074-C4C7D5023592}"/>
    <cellStyle name="Percentuale 37 3 3 3" xfId="28701" xr:uid="{56436AA5-FCE7-4365-A6D0-B7DDC21AAB9B}"/>
    <cellStyle name="Percentuale 37 3 3 4" xfId="28702" xr:uid="{CAE2E32B-82C6-410E-A4B9-2395DDACA1B9}"/>
    <cellStyle name="Percentuale 37 3 3 4 2" xfId="49244" xr:uid="{E3E74F52-5B22-4A01-AEBC-04D564960F7F}"/>
    <cellStyle name="Percentuale 37 3 3 5" xfId="28699" xr:uid="{2E63D680-BB87-482D-AD43-6B63349F11E5}"/>
    <cellStyle name="Percentuale 37 3 4" xfId="4392" xr:uid="{74EBADBB-ACA1-4334-AD14-9FED7F524FB1}"/>
    <cellStyle name="Percentuale 37 3 4 2" xfId="13807" xr:uid="{8CD66FFA-D131-430C-B1DF-169DB3C2DA96}"/>
    <cellStyle name="Percentuale 37 3 4 3" xfId="28703" xr:uid="{29A0D958-F834-4A5E-9E73-ACF7120F4CAE}"/>
    <cellStyle name="Percentuale 37 3 5" xfId="12391" xr:uid="{AE15D2E6-15D2-4A10-9E5B-0C2CA7C372A1}"/>
    <cellStyle name="Percentuale 37 3 5 2" xfId="28704" xr:uid="{10BE9C03-1473-4E13-A743-DA1A594FB198}"/>
    <cellStyle name="Percentuale 37 3 6" xfId="28705" xr:uid="{259671BC-85FF-471F-A622-957DA353CDF1}"/>
    <cellStyle name="Percentuale 37 3 6 2" xfId="49245" xr:uid="{29982EEF-6AB1-4407-89AB-80807B528E42}"/>
    <cellStyle name="Percentuale 37 3 7" xfId="28706" xr:uid="{048BA87C-A5D3-4917-9BAF-7E262D3491DC}"/>
    <cellStyle name="Percentuale 37 3 8" xfId="28693" xr:uid="{D5C5AC46-4744-4DDE-BA4D-AB92311D4183}"/>
    <cellStyle name="Percentuale 37 4" xfId="2393" xr:uid="{00000000-0005-0000-0000-0000BB080000}"/>
    <cellStyle name="Percentuale 37 4 2" xfId="2394" xr:uid="{00000000-0005-0000-0000-0000BC080000}"/>
    <cellStyle name="Percentuale 37 4 2 2" xfId="9489" xr:uid="{F6119C40-CA0C-4BFE-A3ED-08EAB9085C0A}"/>
    <cellStyle name="Percentuale 37 4 2 2 2" xfId="28709" xr:uid="{707EAEB4-4248-4810-8B9F-DFF7AF9A9252}"/>
    <cellStyle name="Percentuale 37 4 2 3" xfId="17932" xr:uid="{BF99D205-9B58-483F-94C9-63D272392B40}"/>
    <cellStyle name="Percentuale 37 4 2 3 2" xfId="28710" xr:uid="{0CED5C15-CD9B-4104-A1B7-7B0DF5F86884}"/>
    <cellStyle name="Percentuale 37 4 2 4" xfId="28708" xr:uid="{E3C1ADEE-F43B-457E-832F-1EF89340DD8E}"/>
    <cellStyle name="Percentuale 37 4 2 5" xfId="17541" xr:uid="{6058BD4A-3CC0-4318-A88D-83F141AC2E54}"/>
    <cellStyle name="Percentuale 37 4 3" xfId="9490" xr:uid="{B22BEDFC-487C-4702-BD85-8B168B3A23D7}"/>
    <cellStyle name="Percentuale 37 4 3 2" xfId="28711" xr:uid="{ABF420BE-874D-4FE1-B35C-7E9561B54B9D}"/>
    <cellStyle name="Percentuale 37 4 4" xfId="28712" xr:uid="{A12E911B-45A8-4548-A8A4-C88AE7DE7102}"/>
    <cellStyle name="Percentuale 37 4 5" xfId="28713" xr:uid="{11114118-60D7-4F58-B641-192687FE9156}"/>
    <cellStyle name="Percentuale 37 4 5 2" xfId="49246" xr:uid="{7CEA2689-1CC8-46DD-A481-F1EE119E08C0}"/>
    <cellStyle name="Percentuale 37 4 6" xfId="28714" xr:uid="{206E4EE4-37A3-4BF6-9312-C4C532170F92}"/>
    <cellStyle name="Percentuale 37 4 7" xfId="28707" xr:uid="{F48B5009-8883-4928-974B-73CE9E13A388}"/>
    <cellStyle name="Percentuale 37 5" xfId="2395" xr:uid="{00000000-0005-0000-0000-0000BD080000}"/>
    <cellStyle name="Percentuale 37 5 2" xfId="28716" xr:uid="{A4BF28B5-AB1A-4F01-AFC1-A6418432004B}"/>
    <cellStyle name="Percentuale 37 5 3" xfId="28717" xr:uid="{E9174347-CA45-432E-B816-18B45ADB5405}"/>
    <cellStyle name="Percentuale 37 5 3 2" xfId="49247" xr:uid="{CE92E188-6B50-4009-8B5D-35100BC7318F}"/>
    <cellStyle name="Percentuale 37 5 4" xfId="28718" xr:uid="{88AF35EC-485D-47BD-9506-6A58FF97FD7A}"/>
    <cellStyle name="Percentuale 37 5 5" xfId="28715" xr:uid="{1074D8BA-E13E-4A73-96A2-F2A7F01FF5D0}"/>
    <cellStyle name="Percentuale 37 6" xfId="4393" xr:uid="{8F855EFA-EFE3-420F-B98A-7BEC1498299F}"/>
    <cellStyle name="Percentuale 37 6 2" xfId="9841" xr:uid="{FBF2934E-F299-4687-900B-9096C85B1E70}"/>
    <cellStyle name="Percentuale 37 6 3" xfId="28719" xr:uid="{DBCA755F-7864-4AC6-9B6A-8668775FF932}"/>
    <cellStyle name="Percentuale 37 7" xfId="28720" xr:uid="{CF805D68-C87B-485A-9B3C-45CB001C970C}"/>
    <cellStyle name="Percentuale 37 7 2" xfId="49248" xr:uid="{D3E93A81-6A8A-410C-AA9B-2AE913D53D55}"/>
    <cellStyle name="Percentuale 37 8" xfId="28687" xr:uid="{14AD145D-3590-4AF8-B330-20E401E81299}"/>
    <cellStyle name="Percentuale 38" xfId="1094" xr:uid="{00000000-0005-0000-0000-0000BE080000}"/>
    <cellStyle name="Percentuale 38 2" xfId="1095" xr:uid="{00000000-0005-0000-0000-0000BF080000}"/>
    <cellStyle name="Percentuale 38 2 2" xfId="4394" xr:uid="{396F2188-4485-43D0-B02F-F2911C9FD288}"/>
    <cellStyle name="Percentuale 38 2 2 2" xfId="13593" xr:uid="{3385AFB0-3590-4F77-8C49-A96D0A9C5E1C}"/>
    <cellStyle name="Percentuale 38 2 2 3" xfId="28723" xr:uid="{89EAD6F7-5860-4C57-B765-B87E85B93658}"/>
    <cellStyle name="Percentuale 38 2 3" xfId="13331" xr:uid="{DF115ED1-0CAA-48D7-AFCA-DFAC549DCBFB}"/>
    <cellStyle name="Percentuale 38 2 3 2" xfId="28724" xr:uid="{E4F6042E-3CBC-45E2-B835-859C63D3056D}"/>
    <cellStyle name="Percentuale 38 2 4" xfId="28725" xr:uid="{F7152403-4857-4149-84E7-68A41D602239}"/>
    <cellStyle name="Percentuale 38 2 4 2" xfId="49249" xr:uid="{DB2BFF8C-E0BF-45C3-8525-A14A2829F39A}"/>
    <cellStyle name="Percentuale 38 2 5" xfId="28726" xr:uid="{436E9B7B-B069-45EF-848C-9FDB95448A30}"/>
    <cellStyle name="Percentuale 38 2 6" xfId="28722" xr:uid="{E2EBC870-9090-46D9-A5B3-07E42D5D7615}"/>
    <cellStyle name="Percentuale 38 3" xfId="1096" xr:uid="{00000000-0005-0000-0000-0000C0080000}"/>
    <cellStyle name="Percentuale 38 3 2" xfId="1097" xr:uid="{00000000-0005-0000-0000-0000C1080000}"/>
    <cellStyle name="Percentuale 38 3 2 2" xfId="2396" xr:uid="{00000000-0005-0000-0000-0000C2080000}"/>
    <cellStyle name="Percentuale 38 3 2 2 2" xfId="28730" xr:uid="{7D5BF675-9937-4869-AB53-74466D61757A}"/>
    <cellStyle name="Percentuale 38 3 2 2 3" xfId="28729" xr:uid="{FBE45390-9F2A-4891-BEAC-EC762EA48D66}"/>
    <cellStyle name="Percentuale 38 3 2 3" xfId="8148" xr:uid="{FD6AF449-C81A-4B5E-A57F-CAFF40080312}"/>
    <cellStyle name="Percentuale 38 3 2 3 2" xfId="14147" xr:uid="{2F7A633E-A646-4B63-9A29-0CA9F6D22113}"/>
    <cellStyle name="Percentuale 38 3 2 3 3" xfId="28731" xr:uid="{12916314-DD91-412E-B632-4E2B599C336C}"/>
    <cellStyle name="Percentuale 38 3 2 3 4" xfId="49250" xr:uid="{1037E07C-61FB-45EB-86C2-3F09F5D88986}"/>
    <cellStyle name="Percentuale 38 3 2 4" xfId="28732" xr:uid="{5318FA1D-094B-4FAA-B900-B7760415B7E7}"/>
    <cellStyle name="Percentuale 38 3 2 5" xfId="28728" xr:uid="{415E0AA5-FB3F-48F9-9A95-A1F505C0DD43}"/>
    <cellStyle name="Percentuale 38 3 3" xfId="4395" xr:uid="{B5AF9D39-FE22-4ADE-9AFF-F1B22B221539}"/>
    <cellStyle name="Percentuale 38 3 3 2" xfId="9491" xr:uid="{89130B1D-15B7-4433-AE5A-3E9514EA1A82}"/>
    <cellStyle name="Percentuale 38 3 3 2 2" xfId="28734" xr:uid="{8CFB044B-371F-4C7F-9DD1-4B8EF454D8AB}"/>
    <cellStyle name="Percentuale 38 3 3 3" xfId="28735" xr:uid="{8A085F29-99D1-43A5-87EA-297C5CC0F8D5}"/>
    <cellStyle name="Percentuale 38 3 3 4" xfId="28736" xr:uid="{49296E34-3A89-40F5-A9C3-E13225A196FC}"/>
    <cellStyle name="Percentuale 38 3 3 4 2" xfId="49251" xr:uid="{501E84FC-E706-4CED-8DD1-95C3C6823AF2}"/>
    <cellStyle name="Percentuale 38 3 3 5" xfId="28733" xr:uid="{2A66A915-CF67-4F07-B131-D9A8BA59D235}"/>
    <cellStyle name="Percentuale 38 3 4" xfId="4396" xr:uid="{ACE69057-A42C-41D3-A999-C6A09B03E23D}"/>
    <cellStyle name="Percentuale 38 3 4 2" xfId="13808" xr:uid="{0BCBD749-2B16-41F3-9591-DBC16C531B5A}"/>
    <cellStyle name="Percentuale 38 3 4 3" xfId="28737" xr:uid="{0BFC5ABA-5231-4CE1-B666-955A0EA9B416}"/>
    <cellStyle name="Percentuale 38 3 5" xfId="11204" xr:uid="{98363CF9-A539-43AE-B0E1-E3A4320116BA}"/>
    <cellStyle name="Percentuale 38 3 5 2" xfId="28738" xr:uid="{E2D19006-7D9C-489C-9801-AD7123276FDA}"/>
    <cellStyle name="Percentuale 38 3 6" xfId="28739" xr:uid="{B75ADAAB-7E8E-4C73-BDD0-8A41FFE54AEA}"/>
    <cellStyle name="Percentuale 38 3 6 2" xfId="49252" xr:uid="{58865933-5678-4651-8A87-8D087542CF19}"/>
    <cellStyle name="Percentuale 38 3 7" xfId="28740" xr:uid="{2288B168-F4E4-49F7-8EEE-96C195F2868B}"/>
    <cellStyle name="Percentuale 38 3 8" xfId="28727" xr:uid="{B8C92A9C-0520-4E3B-A1A5-EACCEB316ABF}"/>
    <cellStyle name="Percentuale 38 4" xfId="2397" xr:uid="{00000000-0005-0000-0000-0000C3080000}"/>
    <cellStyle name="Percentuale 38 4 2" xfId="2398" xr:uid="{00000000-0005-0000-0000-0000C4080000}"/>
    <cellStyle name="Percentuale 38 4 2 2" xfId="9492" xr:uid="{AE2EBC64-C209-4F8D-870F-EEAAAEFBF8D2}"/>
    <cellStyle name="Percentuale 38 4 2 2 2" xfId="28743" xr:uid="{1CE6844B-D655-4A83-9FE4-9A2632F6A01C}"/>
    <cellStyle name="Percentuale 38 4 2 3" xfId="17933" xr:uid="{24062E93-3F27-4F92-93D6-0A4EF1DB7839}"/>
    <cellStyle name="Percentuale 38 4 2 3 2" xfId="28744" xr:uid="{30F2E1F1-0D87-4625-A0BC-8E8AB07ABC4B}"/>
    <cellStyle name="Percentuale 38 4 2 4" xfId="28742" xr:uid="{2819C042-BB1B-4D3C-A8B8-633E5D6AB68C}"/>
    <cellStyle name="Percentuale 38 4 2 5" xfId="17543" xr:uid="{169BAE21-5D70-4A89-8F94-7E953977A7DB}"/>
    <cellStyle name="Percentuale 38 4 3" xfId="9493" xr:uid="{C55E8FC6-89D4-4A0C-AB99-286018FCEC29}"/>
    <cellStyle name="Percentuale 38 4 3 2" xfId="28745" xr:uid="{05154D22-F71F-415B-A148-4B2A89F59DDA}"/>
    <cellStyle name="Percentuale 38 4 4" xfId="28746" xr:uid="{E5F45AD1-5716-46FD-AFFC-35169D67A368}"/>
    <cellStyle name="Percentuale 38 4 5" xfId="28747" xr:uid="{2C3FDFAC-2BE9-4A65-BF37-9E188A6165CE}"/>
    <cellStyle name="Percentuale 38 4 5 2" xfId="49253" xr:uid="{EA82AE21-9707-4E76-9D9B-FCEC0F27D6E5}"/>
    <cellStyle name="Percentuale 38 4 6" xfId="28748" xr:uid="{59733EE4-7999-42F1-8BD9-F74F12DE29AA}"/>
    <cellStyle name="Percentuale 38 4 7" xfId="28741" xr:uid="{7561FE7B-8A46-4337-9EF2-06D9DCAFA7BF}"/>
    <cellStyle name="Percentuale 38 5" xfId="2399" xr:uid="{00000000-0005-0000-0000-0000C5080000}"/>
    <cellStyle name="Percentuale 38 5 2" xfId="28750" xr:uid="{578A58B3-ED86-41D8-B471-A69E016EC077}"/>
    <cellStyle name="Percentuale 38 5 3" xfId="28751" xr:uid="{E90A75D6-BC54-4CCF-96A5-53B9E8A9412B}"/>
    <cellStyle name="Percentuale 38 5 3 2" xfId="49254" xr:uid="{3ED1A4DF-FC4D-4E03-A4E7-2455D750FA06}"/>
    <cellStyle name="Percentuale 38 5 4" xfId="28752" xr:uid="{3C7D3512-8BD1-4A80-96B2-14BE4A346FBF}"/>
    <cellStyle name="Percentuale 38 5 5" xfId="28749" xr:uid="{4B3E4567-552F-4206-B199-4B79998D33E9}"/>
    <cellStyle name="Percentuale 38 6" xfId="4397" xr:uid="{F4023244-3A9B-407E-88F5-7AB5EC288220}"/>
    <cellStyle name="Percentuale 38 6 2" xfId="9842" xr:uid="{EDCDC74C-6194-4CF7-B13E-61AF66A7F8EE}"/>
    <cellStyle name="Percentuale 38 6 3" xfId="28753" xr:uid="{BAF8B407-7E9C-495D-8ED3-DF3FE756A751}"/>
    <cellStyle name="Percentuale 38 7" xfId="28754" xr:uid="{76397DCF-EC38-4A33-A1AD-D9F83B96284D}"/>
    <cellStyle name="Percentuale 38 7 2" xfId="49255" xr:uid="{976FE87F-D5BF-459A-8665-4B9F88E318FA}"/>
    <cellStyle name="Percentuale 38 8" xfId="28721" xr:uid="{581B0834-495F-46E4-A29E-290736A0CC13}"/>
    <cellStyle name="Percentuale 39" xfId="1098" xr:uid="{00000000-0005-0000-0000-0000C6080000}"/>
    <cellStyle name="Percentuale 39 2" xfId="1099" xr:uid="{00000000-0005-0000-0000-0000C7080000}"/>
    <cellStyle name="Percentuale 39 2 2" xfId="4398" xr:uid="{D35F51B9-941B-4266-9744-C731D95920A7}"/>
    <cellStyle name="Percentuale 39 2 2 2" xfId="13594" xr:uid="{1B14E001-DDDB-4254-AF9A-21DD97E74F86}"/>
    <cellStyle name="Percentuale 39 2 2 3" xfId="28757" xr:uid="{1E7B5874-F00C-4FB5-8C7B-877D7D840E3F}"/>
    <cellStyle name="Percentuale 39 2 3" xfId="13332" xr:uid="{775D4D8F-6B2D-4E7C-B4FB-33F03D01A243}"/>
    <cellStyle name="Percentuale 39 2 3 2" xfId="28758" xr:uid="{BAF0817B-A0E1-4AF1-9C4C-7096DF2BFB8B}"/>
    <cellStyle name="Percentuale 39 2 4" xfId="28759" xr:uid="{AE13D45A-D0A0-4688-88F1-FDACF2E64019}"/>
    <cellStyle name="Percentuale 39 2 4 2" xfId="49256" xr:uid="{1280F50F-C9EA-4DDE-A5DF-512B7B35FD25}"/>
    <cellStyle name="Percentuale 39 2 5" xfId="28760" xr:uid="{262A21D7-584E-4D91-8AA7-6DA10D5ECA8D}"/>
    <cellStyle name="Percentuale 39 2 6" xfId="28756" xr:uid="{88D40A12-B620-40B1-ABB3-8AE05FCF07EF}"/>
    <cellStyle name="Percentuale 39 3" xfId="1100" xr:uid="{00000000-0005-0000-0000-0000C8080000}"/>
    <cellStyle name="Percentuale 39 3 2" xfId="1101" xr:uid="{00000000-0005-0000-0000-0000C9080000}"/>
    <cellStyle name="Percentuale 39 3 2 2" xfId="2400" xr:uid="{00000000-0005-0000-0000-0000CA080000}"/>
    <cellStyle name="Percentuale 39 3 2 2 2" xfId="28764" xr:uid="{777651EF-C960-431C-B024-96F0C6BE058B}"/>
    <cellStyle name="Percentuale 39 3 2 2 3" xfId="28763" xr:uid="{F1C9EFBE-2E0D-4B32-AC3A-2FF9AC449357}"/>
    <cellStyle name="Percentuale 39 3 2 3" xfId="8149" xr:uid="{4E7C838D-2758-4D12-AF8D-E0755F652044}"/>
    <cellStyle name="Percentuale 39 3 2 3 2" xfId="14148" xr:uid="{C6FEC9DE-3CA9-4F6E-8D6C-D326D69789AA}"/>
    <cellStyle name="Percentuale 39 3 2 3 3" xfId="28765" xr:uid="{3D7B7699-0C55-4DB7-807A-B989F8F601C0}"/>
    <cellStyle name="Percentuale 39 3 2 3 4" xfId="49257" xr:uid="{BBA1E785-95AF-4C5A-9590-0DA9535E0D20}"/>
    <cellStyle name="Percentuale 39 3 2 4" xfId="28766" xr:uid="{E86D4305-7FAE-479C-AD90-4DEEAA41CBCB}"/>
    <cellStyle name="Percentuale 39 3 2 5" xfId="28762" xr:uid="{3BEE58ED-E477-4327-8A7C-F685812DDCD7}"/>
    <cellStyle name="Percentuale 39 3 3" xfId="4399" xr:uid="{B5140186-3D85-4826-B4F4-35A67F833FFE}"/>
    <cellStyle name="Percentuale 39 3 3 2" xfId="9494" xr:uid="{63F74407-E34E-4CC1-AF3B-B63012A0BD15}"/>
    <cellStyle name="Percentuale 39 3 3 2 2" xfId="28768" xr:uid="{AB476376-1407-4F40-B68E-80B7EE8DC4EC}"/>
    <cellStyle name="Percentuale 39 3 3 3" xfId="28769" xr:uid="{7786C774-0CEF-4548-99B5-3A1AD3DA4469}"/>
    <cellStyle name="Percentuale 39 3 3 4" xfId="28770" xr:uid="{6F1BDDB2-257A-4623-B8E4-67162353BAB9}"/>
    <cellStyle name="Percentuale 39 3 3 4 2" xfId="49258" xr:uid="{5D55F883-6538-4A9F-B801-8C0AA036999E}"/>
    <cellStyle name="Percentuale 39 3 3 5" xfId="28767" xr:uid="{32EEAE2B-BE68-4539-98D6-E9936001003A}"/>
    <cellStyle name="Percentuale 39 3 4" xfId="4400" xr:uid="{8B72E063-125E-4F2D-9EB1-531FBD5A20C3}"/>
    <cellStyle name="Percentuale 39 3 4 2" xfId="13809" xr:uid="{30829EE3-AD4B-4CBE-B959-0ED83A79785C}"/>
    <cellStyle name="Percentuale 39 3 4 3" xfId="28771" xr:uid="{1DF6F76E-DCE4-454C-804A-C6970A40BE47}"/>
    <cellStyle name="Percentuale 39 3 5" xfId="12433" xr:uid="{C99C912F-7713-4C58-9436-F037B99915BE}"/>
    <cellStyle name="Percentuale 39 3 5 2" xfId="28772" xr:uid="{F7DBD896-C485-45D2-81BC-FAF3CF44B9E1}"/>
    <cellStyle name="Percentuale 39 3 6" xfId="28773" xr:uid="{9EBD619A-5049-4403-A145-F8CD307427A3}"/>
    <cellStyle name="Percentuale 39 3 6 2" xfId="49259" xr:uid="{AF12A750-D192-47B6-8786-2C8AB59FD86B}"/>
    <cellStyle name="Percentuale 39 3 7" xfId="28774" xr:uid="{A0C87269-6F5E-4B8E-A8E0-DDB3F88C3046}"/>
    <cellStyle name="Percentuale 39 3 8" xfId="28761" xr:uid="{E1BC27CC-8DA5-4AE1-A11A-15DB6CF25BAE}"/>
    <cellStyle name="Percentuale 39 4" xfId="2401" xr:uid="{00000000-0005-0000-0000-0000CB080000}"/>
    <cellStyle name="Percentuale 39 4 2" xfId="2402" xr:uid="{00000000-0005-0000-0000-0000CC080000}"/>
    <cellStyle name="Percentuale 39 4 2 2" xfId="9495" xr:uid="{65DD5DE5-DEED-440E-932A-D1E6F841C198}"/>
    <cellStyle name="Percentuale 39 4 2 2 2" xfId="28777" xr:uid="{8F97A9CF-259C-40DF-BE20-A6FECADA1A2A}"/>
    <cellStyle name="Percentuale 39 4 2 3" xfId="17934" xr:uid="{1753A463-D503-47F2-BB35-D0B2CE58296D}"/>
    <cellStyle name="Percentuale 39 4 2 3 2" xfId="28778" xr:uid="{5EA49B10-ED2B-408C-B4F6-C2F9DEE753F9}"/>
    <cellStyle name="Percentuale 39 4 2 4" xfId="28776" xr:uid="{FBE2C75E-305D-409F-9332-4FEAB104FF44}"/>
    <cellStyle name="Percentuale 39 4 2 5" xfId="17544" xr:uid="{13B0C22E-9576-456A-AA63-6C25CA4E12B9}"/>
    <cellStyle name="Percentuale 39 4 3" xfId="9496" xr:uid="{E41AA6C2-59D7-4C18-AA93-FF8B54F25360}"/>
    <cellStyle name="Percentuale 39 4 3 2" xfId="28779" xr:uid="{1127492F-2FF7-4A61-A3D5-41B283AB4FDD}"/>
    <cellStyle name="Percentuale 39 4 4" xfId="28780" xr:uid="{B7B682FD-7766-44AB-A01C-EB5DFBF3DE21}"/>
    <cellStyle name="Percentuale 39 4 5" xfId="28781" xr:uid="{556148C1-1C2D-4F5B-BB8D-7ADC8B5D1506}"/>
    <cellStyle name="Percentuale 39 4 5 2" xfId="49260" xr:uid="{3D779C51-7228-4150-8696-9BC0168E7541}"/>
    <cellStyle name="Percentuale 39 4 6" xfId="28782" xr:uid="{EB73A92C-7FE6-4F98-977C-E15DC38FF75E}"/>
    <cellStyle name="Percentuale 39 4 7" xfId="28775" xr:uid="{7986C69B-0CDD-4899-9FA1-7716DEF07580}"/>
    <cellStyle name="Percentuale 39 5" xfId="2403" xr:uid="{00000000-0005-0000-0000-0000CD080000}"/>
    <cellStyle name="Percentuale 39 5 2" xfId="28784" xr:uid="{83BF12A2-CF67-4A37-9A8E-5980EDD6C73B}"/>
    <cellStyle name="Percentuale 39 5 3" xfId="28785" xr:uid="{353A4882-804B-4EEE-AAE4-00759EB1EA37}"/>
    <cellStyle name="Percentuale 39 5 3 2" xfId="49261" xr:uid="{1993E08D-B0D9-4A4A-B03D-AE5F66310BB7}"/>
    <cellStyle name="Percentuale 39 5 4" xfId="28786" xr:uid="{AFDFFA8C-CF04-4479-B435-E226218874F0}"/>
    <cellStyle name="Percentuale 39 5 5" xfId="28783" xr:uid="{59D035EA-CB28-4340-919F-4F4950BBA50D}"/>
    <cellStyle name="Percentuale 39 6" xfId="4401" xr:uid="{96EA2831-37F3-4B29-A5F1-8E29208E2D28}"/>
    <cellStyle name="Percentuale 39 6 2" xfId="9843" xr:uid="{3B09D1AF-52E8-465C-9BAE-AFA8CD52FD62}"/>
    <cellStyle name="Percentuale 39 6 3" xfId="28787" xr:uid="{3570BBF5-C997-4476-9C4D-E5BD37FBD5EE}"/>
    <cellStyle name="Percentuale 39 7" xfId="28788" xr:uid="{E2894312-92CE-4F38-9A75-C06F9BD2ED73}"/>
    <cellStyle name="Percentuale 39 7 2" xfId="49262" xr:uid="{B4F3394E-8EFA-4E5A-A4BA-8710B7B9B12A}"/>
    <cellStyle name="Percentuale 39 8" xfId="28755" xr:uid="{3CF8B39A-987A-4556-B894-3617D00F725C}"/>
    <cellStyle name="Percentuale 4" xfId="1102" xr:uid="{00000000-0005-0000-0000-0000CE080000}"/>
    <cellStyle name="Percentuale 4 2" xfId="1103" xr:uid="{00000000-0005-0000-0000-0000CF080000}"/>
    <cellStyle name="Percentuale 4 2 2" xfId="4402" xr:uid="{C607B04C-5B02-4D4B-851B-047F76622570}"/>
    <cellStyle name="Percentuale 4 2 2 2" xfId="13595" xr:uid="{8373CFE5-B930-4AE3-BA93-1B71163846AC}"/>
    <cellStyle name="Percentuale 4 2 2 3" xfId="28791" xr:uid="{AFB92D0F-DB57-4E65-8AD4-25C0092DB110}"/>
    <cellStyle name="Percentuale 4 2 3" xfId="13333" xr:uid="{9770E0A0-B468-4772-8735-3FB4D4CCE8E4}"/>
    <cellStyle name="Percentuale 4 2 3 2" xfId="28792" xr:uid="{1AEAF7DF-5936-4444-81C6-6D5C773981FE}"/>
    <cellStyle name="Percentuale 4 2 4" xfId="28793" xr:uid="{D8DF2088-5F47-4361-B555-8B2D982A0B12}"/>
    <cellStyle name="Percentuale 4 2 4 2" xfId="49263" xr:uid="{4A8F1D2D-515C-4F85-A47A-9EDBCC2A313A}"/>
    <cellStyle name="Percentuale 4 2 5" xfId="28794" xr:uid="{BEA62FAB-F0E4-4C39-B121-F8058CF0439B}"/>
    <cellStyle name="Percentuale 4 2 6" xfId="28790" xr:uid="{F4BF30DB-35AD-4937-8FC6-E4270AA015DC}"/>
    <cellStyle name="Percentuale 4 3" xfId="1104" xr:uid="{00000000-0005-0000-0000-0000D0080000}"/>
    <cellStyle name="Percentuale 4 3 2" xfId="1105" xr:uid="{00000000-0005-0000-0000-0000D1080000}"/>
    <cellStyle name="Percentuale 4 3 2 2" xfId="2404" xr:uid="{00000000-0005-0000-0000-0000D2080000}"/>
    <cellStyle name="Percentuale 4 3 2 2 2" xfId="28798" xr:uid="{51862E6B-9D8F-44DB-AADD-89FA3952865A}"/>
    <cellStyle name="Percentuale 4 3 2 2 3" xfId="28797" xr:uid="{D5FC8060-CCA0-4B1C-9052-DC13807C6619}"/>
    <cellStyle name="Percentuale 4 3 2 3" xfId="8150" xr:uid="{196E6918-633C-40CB-A9A5-20BBEA3AE2F7}"/>
    <cellStyle name="Percentuale 4 3 2 3 2" xfId="14149" xr:uid="{38BD7456-68BF-4E8B-A0F4-59C6A0AFE55B}"/>
    <cellStyle name="Percentuale 4 3 2 3 3" xfId="28799" xr:uid="{4E30D36C-64CA-4CAD-A635-6B71E09619E2}"/>
    <cellStyle name="Percentuale 4 3 2 3 4" xfId="49264" xr:uid="{542BB48B-809A-4E50-A907-108C3FF1F475}"/>
    <cellStyle name="Percentuale 4 3 2 4" xfId="28800" xr:uid="{68F47378-5AF4-4E9B-B9CE-429B2D0481F4}"/>
    <cellStyle name="Percentuale 4 3 2 5" xfId="28796" xr:uid="{D3DF91CC-F66C-47FD-9B96-E061994B4841}"/>
    <cellStyle name="Percentuale 4 3 3" xfId="4403" xr:uid="{40187590-EDE3-4AA4-838B-9ED785322267}"/>
    <cellStyle name="Percentuale 4 3 3 2" xfId="9497" xr:uid="{A2530E75-C1B5-4B2C-B6CA-E70753A8E5DD}"/>
    <cellStyle name="Percentuale 4 3 3 2 2" xfId="28802" xr:uid="{EDDD6C0E-9DAD-437E-9959-83F2AB0324FF}"/>
    <cellStyle name="Percentuale 4 3 3 3" xfId="28803" xr:uid="{C9BDA37E-08C0-4806-AD25-033CB871EF02}"/>
    <cellStyle name="Percentuale 4 3 3 4" xfId="28804" xr:uid="{FB0C7F7E-F1B7-4A42-BAC2-B94447676ABE}"/>
    <cellStyle name="Percentuale 4 3 3 4 2" xfId="49265" xr:uid="{DFF0CC06-46CC-4FEC-B9EB-99D328380D11}"/>
    <cellStyle name="Percentuale 4 3 3 5" xfId="28801" xr:uid="{D6BC7CD7-BC57-480D-B4DE-95D2A1F3A20B}"/>
    <cellStyle name="Percentuale 4 3 4" xfId="4404" xr:uid="{2B91E132-9674-47F5-9B27-128BD0C1FA24}"/>
    <cellStyle name="Percentuale 4 3 4 2" xfId="13810" xr:uid="{798DA3F7-6D97-45A2-96AD-BE71B8A45DFC}"/>
    <cellStyle name="Percentuale 4 3 4 3" xfId="28805" xr:uid="{315A1659-C61B-4450-BA34-81A6625DB3E2}"/>
    <cellStyle name="Percentuale 4 3 5" xfId="11703" xr:uid="{7B63BB3B-4B7D-4452-9C1E-3579D7E2D481}"/>
    <cellStyle name="Percentuale 4 3 5 2" xfId="28806" xr:uid="{43E55E42-425A-49D4-977E-0142F3D09DC9}"/>
    <cellStyle name="Percentuale 4 3 6" xfId="28807" xr:uid="{A6491587-EDBE-4A24-84A5-53E9ACD9187A}"/>
    <cellStyle name="Percentuale 4 3 6 2" xfId="49266" xr:uid="{A8F4124A-7464-42A4-A943-A7436ACEFB60}"/>
    <cellStyle name="Percentuale 4 3 7" xfId="28808" xr:uid="{566A22A6-4B6E-464B-826E-0DE2E97F4207}"/>
    <cellStyle name="Percentuale 4 3 8" xfId="28795" xr:uid="{146D3AAD-4AF4-4B85-88B9-89E66338B3EB}"/>
    <cellStyle name="Percentuale 4 4" xfId="2405" xr:uid="{00000000-0005-0000-0000-0000D3080000}"/>
    <cellStyle name="Percentuale 4 4 2" xfId="2406" xr:uid="{00000000-0005-0000-0000-0000D4080000}"/>
    <cellStyle name="Percentuale 4 4 2 2" xfId="9498" xr:uid="{F7019CA6-CAC8-4492-8BE4-453D5CFB2991}"/>
    <cellStyle name="Percentuale 4 4 2 2 2" xfId="28811" xr:uid="{B53AE789-B32A-4C65-BC91-BBD33FAB6F40}"/>
    <cellStyle name="Percentuale 4 4 2 3" xfId="17935" xr:uid="{2C09E2B4-F61B-4BDE-AAAA-E5AE332BDBE6}"/>
    <cellStyle name="Percentuale 4 4 2 3 2" xfId="28812" xr:uid="{24A19859-14AC-4BBF-A2F7-ABEFEFEB5894}"/>
    <cellStyle name="Percentuale 4 4 2 4" xfId="28810" xr:uid="{5357A6D3-EEE4-4B0E-B00F-B60382D555A8}"/>
    <cellStyle name="Percentuale 4 4 2 5" xfId="17545" xr:uid="{AD0D0AFC-D7C7-4610-9863-4AB09153A1EF}"/>
    <cellStyle name="Percentuale 4 4 3" xfId="9499" xr:uid="{66DC708A-0EE8-4779-ACA7-3DA27E3368CF}"/>
    <cellStyle name="Percentuale 4 4 3 2" xfId="28813" xr:uid="{CE56F648-42A1-4419-8214-98C1330BA90C}"/>
    <cellStyle name="Percentuale 4 4 4" xfId="28814" xr:uid="{B1570ADD-2047-4968-A9B9-9C975D1BDDF1}"/>
    <cellStyle name="Percentuale 4 4 5" xfId="28815" xr:uid="{86BBECA4-A79D-4378-9FB4-735202A55A36}"/>
    <cellStyle name="Percentuale 4 4 5 2" xfId="49267" xr:uid="{60FE14DA-0FCA-4F26-A131-9029565C7FA6}"/>
    <cellStyle name="Percentuale 4 4 6" xfId="28816" xr:uid="{78F72AAB-5D8D-4363-A340-D1D90779E3B1}"/>
    <cellStyle name="Percentuale 4 4 7" xfId="28809" xr:uid="{885FA4DE-F6E8-4326-97DD-4F092F4BFF07}"/>
    <cellStyle name="Percentuale 4 5" xfId="2407" xr:uid="{00000000-0005-0000-0000-0000D5080000}"/>
    <cellStyle name="Percentuale 4 5 2" xfId="28818" xr:uid="{EC077968-5FB7-4BE7-8018-2A5FC6F70C57}"/>
    <cellStyle name="Percentuale 4 5 3" xfId="28819" xr:uid="{FCC26F79-1A54-40A9-A02A-287B26485B2D}"/>
    <cellStyle name="Percentuale 4 5 3 2" xfId="49268" xr:uid="{9E892B8F-2497-4B85-88E5-169FF5172D29}"/>
    <cellStyle name="Percentuale 4 5 4" xfId="28820" xr:uid="{F656240F-44AC-4F7E-BCE8-7B5130C4589A}"/>
    <cellStyle name="Percentuale 4 5 5" xfId="28817" xr:uid="{02E7C1A7-3D27-4468-8B2E-191C693FCECA}"/>
    <cellStyle name="Percentuale 4 6" xfId="4405" xr:uid="{4D3EA76B-CFB6-4FC9-B12D-5E9C4B52F92B}"/>
    <cellStyle name="Percentuale 4 6 2" xfId="9844" xr:uid="{1F25C5A2-AD93-436A-B07E-81A9956CDD9F}"/>
    <cellStyle name="Percentuale 4 6 3" xfId="28821" xr:uid="{7A10C6D5-77F6-4EB7-94FD-78FBBC7E934D}"/>
    <cellStyle name="Percentuale 4 7" xfId="28822" xr:uid="{322A11BD-4D90-4750-9869-6892739AAB55}"/>
    <cellStyle name="Percentuale 4 7 2" xfId="49269" xr:uid="{F174A50A-7362-4555-B755-E927554AB2C3}"/>
    <cellStyle name="Percentuale 4 8" xfId="28789" xr:uid="{17C47274-FEDD-4E65-A892-CF20312AE1FC}"/>
    <cellStyle name="Percentuale 40" xfId="1106" xr:uid="{00000000-0005-0000-0000-0000D6080000}"/>
    <cellStyle name="Percentuale 40 2" xfId="1107" xr:uid="{00000000-0005-0000-0000-0000D7080000}"/>
    <cellStyle name="Percentuale 40 2 2" xfId="4406" xr:uid="{23833A70-AD97-41B9-9877-FAAC31951EBE}"/>
    <cellStyle name="Percentuale 40 2 2 2" xfId="13596" xr:uid="{43D8EF1C-80D7-4F73-88A2-BD80A72BCB4B}"/>
    <cellStyle name="Percentuale 40 2 2 3" xfId="28825" xr:uid="{9318E7B4-0E42-4539-B089-25893E1771B6}"/>
    <cellStyle name="Percentuale 40 2 3" xfId="13334" xr:uid="{8E88C1AB-8125-4658-AA8D-D94AC1FEE9CB}"/>
    <cellStyle name="Percentuale 40 2 3 2" xfId="28826" xr:uid="{CB009E44-70CD-49A5-AEA5-AB32ADC66995}"/>
    <cellStyle name="Percentuale 40 2 4" xfId="28827" xr:uid="{C88723B1-8B15-4370-84FE-7F31422DB014}"/>
    <cellStyle name="Percentuale 40 2 4 2" xfId="49270" xr:uid="{950152DD-6613-4D16-B4C6-3955926D23C2}"/>
    <cellStyle name="Percentuale 40 2 5" xfId="28828" xr:uid="{EBF8F8A7-8673-4245-A025-4B879C1EE10C}"/>
    <cellStyle name="Percentuale 40 2 6" xfId="28824" xr:uid="{C314AEBC-9AC5-4898-8F38-4E99A5014C8B}"/>
    <cellStyle name="Percentuale 40 3" xfId="1108" xr:uid="{00000000-0005-0000-0000-0000D8080000}"/>
    <cellStyle name="Percentuale 40 3 2" xfId="1109" xr:uid="{00000000-0005-0000-0000-0000D9080000}"/>
    <cellStyle name="Percentuale 40 3 2 2" xfId="2408" xr:uid="{00000000-0005-0000-0000-0000DA080000}"/>
    <cellStyle name="Percentuale 40 3 2 2 2" xfId="28832" xr:uid="{F87A96F1-DB33-459D-BB30-728EF46BB283}"/>
    <cellStyle name="Percentuale 40 3 2 2 3" xfId="28831" xr:uid="{DDF4A0B6-6EF0-41C7-851D-6ACE0244EC75}"/>
    <cellStyle name="Percentuale 40 3 2 3" xfId="8151" xr:uid="{562BE235-09C2-4879-8550-C0BFD14C5E93}"/>
    <cellStyle name="Percentuale 40 3 2 3 2" xfId="14150" xr:uid="{8BF2C8AF-BA47-41C6-AEAD-215FC53AB050}"/>
    <cellStyle name="Percentuale 40 3 2 3 3" xfId="28833" xr:uid="{0349CD4B-3091-45C2-A6CC-624C1ABBE097}"/>
    <cellStyle name="Percentuale 40 3 2 3 4" xfId="49271" xr:uid="{C600190F-9862-4FE9-831E-95BF738CD19C}"/>
    <cellStyle name="Percentuale 40 3 2 4" xfId="28834" xr:uid="{19D4B624-39D2-43EB-8843-37A48ECC13ED}"/>
    <cellStyle name="Percentuale 40 3 2 5" xfId="28830" xr:uid="{C9B11019-F68D-402F-A2E1-96A3DA9E38C8}"/>
    <cellStyle name="Percentuale 40 3 3" xfId="4407" xr:uid="{2BC6CAB1-CE2C-4E5B-BC7F-8BD719E0A4EA}"/>
    <cellStyle name="Percentuale 40 3 3 2" xfId="9500" xr:uid="{6BC17B06-2414-4253-919C-005272DA1486}"/>
    <cellStyle name="Percentuale 40 3 3 2 2" xfId="28836" xr:uid="{12773B2D-A4FA-4455-A0E1-6B0D2A38194B}"/>
    <cellStyle name="Percentuale 40 3 3 3" xfId="28837" xr:uid="{3A715B9A-FA46-4554-8925-77E6220F6D93}"/>
    <cellStyle name="Percentuale 40 3 3 4" xfId="28838" xr:uid="{D0B99CDE-7F3D-4472-83D0-36762F016720}"/>
    <cellStyle name="Percentuale 40 3 3 4 2" xfId="49272" xr:uid="{6DAED6D7-E1D3-4445-BD64-0A60BD5BA1AE}"/>
    <cellStyle name="Percentuale 40 3 3 5" xfId="28835" xr:uid="{BD71539E-0FA8-49EA-8615-7C6B2DAD7460}"/>
    <cellStyle name="Percentuale 40 3 4" xfId="4408" xr:uid="{E9C044D8-0645-4A91-A4A4-B8FC934611D7}"/>
    <cellStyle name="Percentuale 40 3 4 2" xfId="13811" xr:uid="{5C9E06B3-74DE-4C91-BA34-CCFFA48A6E8C}"/>
    <cellStyle name="Percentuale 40 3 4 3" xfId="28839" xr:uid="{F5D1AB2C-23CE-4362-B292-C1BFB02B1800}"/>
    <cellStyle name="Percentuale 40 3 5" xfId="12434" xr:uid="{6F671AAB-F3C4-4E10-BD92-6B2C51260BF1}"/>
    <cellStyle name="Percentuale 40 3 5 2" xfId="28840" xr:uid="{77D5EF1B-9277-4C2A-9D97-3F6C8CD6ECD0}"/>
    <cellStyle name="Percentuale 40 3 6" xfId="28841" xr:uid="{B42D989A-C3DD-4534-8DC8-EF8776D2796D}"/>
    <cellStyle name="Percentuale 40 3 6 2" xfId="49273" xr:uid="{6C316DD2-03EE-4342-87F2-785C08F212BC}"/>
    <cellStyle name="Percentuale 40 3 7" xfId="28842" xr:uid="{56682ECA-AAB4-4988-BE9B-0ACA8F73915F}"/>
    <cellStyle name="Percentuale 40 3 8" xfId="28829" xr:uid="{2D444386-CD3B-4058-9987-B8A96E10C321}"/>
    <cellStyle name="Percentuale 40 4" xfId="2409" xr:uid="{00000000-0005-0000-0000-0000DB080000}"/>
    <cellStyle name="Percentuale 40 4 2" xfId="2410" xr:uid="{00000000-0005-0000-0000-0000DC080000}"/>
    <cellStyle name="Percentuale 40 4 2 2" xfId="9501" xr:uid="{2E96CAE3-50A5-42B0-8219-7C0AD3790B33}"/>
    <cellStyle name="Percentuale 40 4 2 2 2" xfId="28845" xr:uid="{02958D22-5E5E-4BFA-84CB-7CA4A24AE341}"/>
    <cellStyle name="Percentuale 40 4 2 3" xfId="17936" xr:uid="{BA2CA698-3961-487A-B24C-63557D8226FF}"/>
    <cellStyle name="Percentuale 40 4 2 3 2" xfId="28846" xr:uid="{C18EBE57-3088-441B-890C-88815997CC38}"/>
    <cellStyle name="Percentuale 40 4 2 4" xfId="28844" xr:uid="{96901600-83CB-4549-882E-8410996D21DA}"/>
    <cellStyle name="Percentuale 40 4 2 5" xfId="17546" xr:uid="{6D6908F3-B942-4529-8B2F-2BD505EB0463}"/>
    <cellStyle name="Percentuale 40 4 3" xfId="9502" xr:uid="{6B00A3E5-9467-4EFC-A366-8510AC184720}"/>
    <cellStyle name="Percentuale 40 4 3 2" xfId="28847" xr:uid="{68CF109F-CFA5-47C0-BF51-C33324DD8C71}"/>
    <cellStyle name="Percentuale 40 4 4" xfId="28848" xr:uid="{F34BF75D-DD6C-4208-8D4E-1DDF8EEDF445}"/>
    <cellStyle name="Percentuale 40 4 5" xfId="28849" xr:uid="{7EC6F0D8-28B5-455E-B6D0-A69EDC71188F}"/>
    <cellStyle name="Percentuale 40 4 5 2" xfId="49274" xr:uid="{2DB6F8D9-F249-4EB5-9980-38D2F06B8FBB}"/>
    <cellStyle name="Percentuale 40 4 6" xfId="28850" xr:uid="{4FC1BB37-C54E-4E6C-B39E-3EC2A1200524}"/>
    <cellStyle name="Percentuale 40 4 7" xfId="28843" xr:uid="{93FCF155-6892-4E43-9052-4F51BE9D5238}"/>
    <cellStyle name="Percentuale 40 5" xfId="2411" xr:uid="{00000000-0005-0000-0000-0000DD080000}"/>
    <cellStyle name="Percentuale 40 5 2" xfId="28852" xr:uid="{E1CD5EDA-AF6A-45D9-86EE-A7743180EF8B}"/>
    <cellStyle name="Percentuale 40 5 3" xfId="28853" xr:uid="{3141F272-4899-4207-BE37-E6438B2B65FA}"/>
    <cellStyle name="Percentuale 40 5 3 2" xfId="49275" xr:uid="{1F25D5C1-78C4-4DD6-9169-0F66A385B164}"/>
    <cellStyle name="Percentuale 40 5 4" xfId="28854" xr:uid="{C995F886-BE9A-40A7-ADDB-D3618AB24E67}"/>
    <cellStyle name="Percentuale 40 5 5" xfId="28851" xr:uid="{5D2A1CB0-1EBB-45D0-8FD0-BD429AD8AD6F}"/>
    <cellStyle name="Percentuale 40 6" xfId="4409" xr:uid="{7C828DBF-AD70-4BB6-8CBA-09163EE6D6E5}"/>
    <cellStyle name="Percentuale 40 6 2" xfId="9845" xr:uid="{AE9C298B-73B7-44A2-84ED-F7E79FDFF9E0}"/>
    <cellStyle name="Percentuale 40 6 3" xfId="28855" xr:uid="{BECEE62D-25FD-456D-9484-10A909CAC364}"/>
    <cellStyle name="Percentuale 40 7" xfId="28856" xr:uid="{7B8B1363-9799-49EC-8BBE-7C97A1C82665}"/>
    <cellStyle name="Percentuale 40 7 2" xfId="49276" xr:uid="{32206C4F-4FF4-4575-8B28-D4148519C442}"/>
    <cellStyle name="Percentuale 40 8" xfId="28823" xr:uid="{F0F3BA4F-6114-4751-AD55-F337614F5ECE}"/>
    <cellStyle name="Percentuale 41" xfId="1110" xr:uid="{00000000-0005-0000-0000-0000DE080000}"/>
    <cellStyle name="Percentuale 41 2" xfId="1111" xr:uid="{00000000-0005-0000-0000-0000DF080000}"/>
    <cellStyle name="Percentuale 41 2 2" xfId="4410" xr:uid="{3114E41D-E641-4194-B1D8-72F6F3BB5571}"/>
    <cellStyle name="Percentuale 41 2 2 2" xfId="13597" xr:uid="{8325907B-5138-4D1F-82AF-BC4C3F3AD139}"/>
    <cellStyle name="Percentuale 41 2 2 3" xfId="28859" xr:uid="{324D0E66-1F73-4D6E-811D-BBC0F48B835E}"/>
    <cellStyle name="Percentuale 41 2 3" xfId="13335" xr:uid="{B58EE913-A6A4-43C6-9CFA-910F347DBD41}"/>
    <cellStyle name="Percentuale 41 2 3 2" xfId="28860" xr:uid="{79083BAC-69B5-4D8F-AF50-82F8878DA9FC}"/>
    <cellStyle name="Percentuale 41 2 4" xfId="28861" xr:uid="{4EEE1E77-167C-4449-B5C1-CBB224657593}"/>
    <cellStyle name="Percentuale 41 2 4 2" xfId="49277" xr:uid="{85CCBEED-ED4F-4FE6-8C9A-C3FB855EDA27}"/>
    <cellStyle name="Percentuale 41 2 5" xfId="28862" xr:uid="{C63F3944-6300-406C-9DB6-6E2EC394214E}"/>
    <cellStyle name="Percentuale 41 2 6" xfId="28858" xr:uid="{29942605-6021-4BA5-8C28-4ED0B3DB9A76}"/>
    <cellStyle name="Percentuale 41 3" xfId="1112" xr:uid="{00000000-0005-0000-0000-0000E0080000}"/>
    <cellStyle name="Percentuale 41 3 2" xfId="1113" xr:uid="{00000000-0005-0000-0000-0000E1080000}"/>
    <cellStyle name="Percentuale 41 3 2 2" xfId="2412" xr:uid="{00000000-0005-0000-0000-0000E2080000}"/>
    <cellStyle name="Percentuale 41 3 2 2 2" xfId="28866" xr:uid="{2D8BD1FE-79B2-4960-804F-A625D45CFF4B}"/>
    <cellStyle name="Percentuale 41 3 2 2 3" xfId="28865" xr:uid="{4B868902-0CC8-44F7-AB54-3FA93428CFEB}"/>
    <cellStyle name="Percentuale 41 3 2 3" xfId="8152" xr:uid="{EE99BAD0-C582-48E9-B379-42DBA48D9CBB}"/>
    <cellStyle name="Percentuale 41 3 2 3 2" xfId="14151" xr:uid="{CFD50103-1424-4189-ABB1-E1994A5045FA}"/>
    <cellStyle name="Percentuale 41 3 2 3 3" xfId="28867" xr:uid="{5B9E07DA-E256-4358-9220-8B96AA60281D}"/>
    <cellStyle name="Percentuale 41 3 2 3 4" xfId="49278" xr:uid="{3D0AE855-6D1D-4071-B62A-4D0B849A303B}"/>
    <cellStyle name="Percentuale 41 3 2 4" xfId="28868" xr:uid="{6204A567-0CBE-4810-9A8C-7DA7D5D157FF}"/>
    <cellStyle name="Percentuale 41 3 2 5" xfId="28864" xr:uid="{0A418E6B-72B2-4DE7-BAF9-ECB55C81F29A}"/>
    <cellStyle name="Percentuale 41 3 3" xfId="4411" xr:uid="{2FBE0850-9EF0-4AA2-8791-F53CD3615AF5}"/>
    <cellStyle name="Percentuale 41 3 3 2" xfId="9503" xr:uid="{2F1EF8AB-587E-4176-A750-7F5D3C2DBA92}"/>
    <cellStyle name="Percentuale 41 3 3 2 2" xfId="28870" xr:uid="{392901ED-3DFF-400E-9540-347725DB27B7}"/>
    <cellStyle name="Percentuale 41 3 3 3" xfId="28871" xr:uid="{B7149A38-7124-4464-AC76-7963388A6C33}"/>
    <cellStyle name="Percentuale 41 3 3 4" xfId="28872" xr:uid="{A7FEF265-949E-452A-9576-B1EF3D3E6B5B}"/>
    <cellStyle name="Percentuale 41 3 3 4 2" xfId="49279" xr:uid="{2BE910B2-21DA-4595-B7CD-AB9A9A8C44EE}"/>
    <cellStyle name="Percentuale 41 3 3 5" xfId="28869" xr:uid="{CE85CCF3-42CA-478B-91F9-0A05ED86BB8E}"/>
    <cellStyle name="Percentuale 41 3 4" xfId="4412" xr:uid="{720CE512-E5B5-4C2F-8D01-E94FE21D5193}"/>
    <cellStyle name="Percentuale 41 3 4 2" xfId="13812" xr:uid="{7F860898-F84F-4CBF-9375-A093D0A6101C}"/>
    <cellStyle name="Percentuale 41 3 4 3" xfId="28873" xr:uid="{281D4B26-F415-4D68-969C-908D6DB75381}"/>
    <cellStyle name="Percentuale 41 3 5" xfId="12304" xr:uid="{895CB7E2-ADE3-4E47-BBCF-E0E7FC4561B0}"/>
    <cellStyle name="Percentuale 41 3 5 2" xfId="28874" xr:uid="{254BE4A0-E2B1-476B-AA54-2ADB58AFBE77}"/>
    <cellStyle name="Percentuale 41 3 6" xfId="28875" xr:uid="{63BEC473-1A1D-4C0C-A7C9-B4A1F7EE30E4}"/>
    <cellStyle name="Percentuale 41 3 6 2" xfId="49280" xr:uid="{80F69CF7-E82E-4AFC-9F02-BBE4EAF8B564}"/>
    <cellStyle name="Percentuale 41 3 7" xfId="28876" xr:uid="{A180F4C0-1CAF-4806-B429-1F9684D7D52A}"/>
    <cellStyle name="Percentuale 41 3 8" xfId="28863" xr:uid="{AAAEF4C0-DE3C-4A4F-B65F-3926437E16F3}"/>
    <cellStyle name="Percentuale 41 4" xfId="2413" xr:uid="{00000000-0005-0000-0000-0000E3080000}"/>
    <cellStyle name="Percentuale 41 4 2" xfId="2414" xr:uid="{00000000-0005-0000-0000-0000E4080000}"/>
    <cellStyle name="Percentuale 41 4 2 2" xfId="9504" xr:uid="{EC4DFDB7-3B95-4588-B4A3-2ECBC32A0F96}"/>
    <cellStyle name="Percentuale 41 4 2 2 2" xfId="28879" xr:uid="{641FE4B7-0C8F-4E57-9CED-73D64A9F55D4}"/>
    <cellStyle name="Percentuale 41 4 2 3" xfId="17937" xr:uid="{29FE37E3-7D97-4F2D-BEF6-22576EB0B203}"/>
    <cellStyle name="Percentuale 41 4 2 3 2" xfId="28880" xr:uid="{07277621-DE0B-4950-B30D-48DB8CA2E036}"/>
    <cellStyle name="Percentuale 41 4 2 4" xfId="28878" xr:uid="{C39E0E31-4CD3-4735-ADCE-90ABDE1D4F43}"/>
    <cellStyle name="Percentuale 41 4 2 5" xfId="17547" xr:uid="{0AF5B6F0-E909-430B-9747-2EF9CD989D69}"/>
    <cellStyle name="Percentuale 41 4 3" xfId="9505" xr:uid="{D04F2318-BC30-4631-BB6F-955E53074B64}"/>
    <cellStyle name="Percentuale 41 4 3 2" xfId="28881" xr:uid="{9AEBA52E-2B01-4972-91C9-72053D2202C5}"/>
    <cellStyle name="Percentuale 41 4 4" xfId="28882" xr:uid="{F5C73941-0B74-4337-9EE3-5D8A7166E429}"/>
    <cellStyle name="Percentuale 41 4 5" xfId="28883" xr:uid="{654D66D8-3D3D-4C23-8F8E-FA89DBD3C54B}"/>
    <cellStyle name="Percentuale 41 4 5 2" xfId="49281" xr:uid="{8005AAE4-CDB4-456F-9ED1-F60767934BA6}"/>
    <cellStyle name="Percentuale 41 4 6" xfId="28884" xr:uid="{190BE937-152C-45FF-8087-2F900C32E839}"/>
    <cellStyle name="Percentuale 41 4 7" xfId="28877" xr:uid="{28710CCC-95B6-414F-BC16-96CF647749A5}"/>
    <cellStyle name="Percentuale 41 5" xfId="2415" xr:uid="{00000000-0005-0000-0000-0000E5080000}"/>
    <cellStyle name="Percentuale 41 5 2" xfId="28886" xr:uid="{2E060179-78AC-40DE-A264-35A7A6A871AF}"/>
    <cellStyle name="Percentuale 41 5 3" xfId="28887" xr:uid="{34331B84-2EBF-4648-B46F-C81F6342A796}"/>
    <cellStyle name="Percentuale 41 5 3 2" xfId="49282" xr:uid="{8834EAD0-AA46-4E4D-A358-F91DD2FBF575}"/>
    <cellStyle name="Percentuale 41 5 4" xfId="28888" xr:uid="{EFBAE200-6A9F-484C-8A57-0DD168908EC2}"/>
    <cellStyle name="Percentuale 41 5 5" xfId="28885" xr:uid="{B66614B2-E5FF-4127-AE94-777BAAC95087}"/>
    <cellStyle name="Percentuale 41 6" xfId="4413" xr:uid="{643F4D44-58A0-45B5-A02E-711566CF5FC4}"/>
    <cellStyle name="Percentuale 41 6 2" xfId="9846" xr:uid="{0063B79C-786B-445A-897E-EE478A280579}"/>
    <cellStyle name="Percentuale 41 6 3" xfId="28889" xr:uid="{30497E1A-E9CC-4F65-9DC0-95C2D726494C}"/>
    <cellStyle name="Percentuale 41 7" xfId="28890" xr:uid="{A3389914-66B4-4C6C-BA82-C27793964E88}"/>
    <cellStyle name="Percentuale 41 7 2" xfId="49283" xr:uid="{706A41F6-CAF3-48EC-A184-0542B3785869}"/>
    <cellStyle name="Percentuale 41 8" xfId="28857" xr:uid="{F3FE1EAC-4E64-4A23-BC4F-FFC4C10C2B38}"/>
    <cellStyle name="Percentuale 42" xfId="1114" xr:uid="{00000000-0005-0000-0000-0000E6080000}"/>
    <cellStyle name="Percentuale 42 2" xfId="1115" xr:uid="{00000000-0005-0000-0000-0000E7080000}"/>
    <cellStyle name="Percentuale 42 2 2" xfId="4414" xr:uid="{0B3569E2-50FF-4260-8356-7E7731DC9E92}"/>
    <cellStyle name="Percentuale 42 2 2 2" xfId="13598" xr:uid="{E65840E6-7434-45D3-8DEC-4CFB08890574}"/>
    <cellStyle name="Percentuale 42 2 2 3" xfId="28893" xr:uid="{9DF0BEB2-78E9-43F2-BF76-174A5A65F563}"/>
    <cellStyle name="Percentuale 42 2 3" xfId="13336" xr:uid="{873B575C-7C9F-4085-943C-4D87152C41C1}"/>
    <cellStyle name="Percentuale 42 2 3 2" xfId="28894" xr:uid="{B1A4C2AD-AE09-4D29-92BE-710A1886D6C3}"/>
    <cellStyle name="Percentuale 42 2 4" xfId="28895" xr:uid="{3C63AC91-05A8-4841-9EDE-0B67C992B78B}"/>
    <cellStyle name="Percentuale 42 2 4 2" xfId="49284" xr:uid="{5D81109D-7F49-4157-AFCD-123C150672C7}"/>
    <cellStyle name="Percentuale 42 2 5" xfId="28896" xr:uid="{2378D31B-33EE-476B-B653-D4D6014CF3E7}"/>
    <cellStyle name="Percentuale 42 2 6" xfId="28892" xr:uid="{168BC98D-1431-482F-9198-1EF235913728}"/>
    <cellStyle name="Percentuale 42 3" xfId="1116" xr:uid="{00000000-0005-0000-0000-0000E8080000}"/>
    <cellStyle name="Percentuale 42 3 2" xfId="1117" xr:uid="{00000000-0005-0000-0000-0000E9080000}"/>
    <cellStyle name="Percentuale 42 3 2 2" xfId="2416" xr:uid="{00000000-0005-0000-0000-0000EA080000}"/>
    <cellStyle name="Percentuale 42 3 2 2 2" xfId="28900" xr:uid="{A4551491-492B-4AF7-BA6A-0FDA83A0D751}"/>
    <cellStyle name="Percentuale 42 3 2 2 3" xfId="28899" xr:uid="{F93F5D5B-052E-4241-A3ED-7C456C2A7DCF}"/>
    <cellStyle name="Percentuale 42 3 2 3" xfId="8153" xr:uid="{D9EC0FC6-B55F-474A-B3AF-36A732E78CC0}"/>
    <cellStyle name="Percentuale 42 3 2 3 2" xfId="14152" xr:uid="{E27F2C95-AD7B-41A3-9C31-3716596ACE95}"/>
    <cellStyle name="Percentuale 42 3 2 3 3" xfId="28901" xr:uid="{1917DDB3-BDD9-4AC2-8A4B-0C98176099A6}"/>
    <cellStyle name="Percentuale 42 3 2 3 4" xfId="49285" xr:uid="{F6F4EA4D-2789-488E-BF75-D6C65BD2FFC5}"/>
    <cellStyle name="Percentuale 42 3 2 4" xfId="28902" xr:uid="{1C3680BC-6079-42C1-A590-7B721CEF9814}"/>
    <cellStyle name="Percentuale 42 3 2 5" xfId="28898" xr:uid="{D0499526-D36E-457B-BE88-78F2A8869902}"/>
    <cellStyle name="Percentuale 42 3 3" xfId="4415" xr:uid="{5002C057-A0CB-46D9-881C-85A7CE11C29A}"/>
    <cellStyle name="Percentuale 42 3 3 2" xfId="9506" xr:uid="{3F2BD764-AC74-4044-A8B3-CA4F5E6BCB86}"/>
    <cellStyle name="Percentuale 42 3 3 2 2" xfId="28904" xr:uid="{C81AD576-3E0A-4F54-AD7B-275C99126DD4}"/>
    <cellStyle name="Percentuale 42 3 3 3" xfId="28905" xr:uid="{46ACABD6-FF71-4215-AEB5-D8F49594CF99}"/>
    <cellStyle name="Percentuale 42 3 3 4" xfId="28906" xr:uid="{BEC2220C-0110-4FAE-8684-762615EBCB45}"/>
    <cellStyle name="Percentuale 42 3 3 4 2" xfId="49286" xr:uid="{BEF3191A-4334-4DA7-B79D-864359EF790A}"/>
    <cellStyle name="Percentuale 42 3 3 5" xfId="28903" xr:uid="{AE1A0E3D-0E6D-4E14-96A4-9F1096FAB3E5}"/>
    <cellStyle name="Percentuale 42 3 4" xfId="4416" xr:uid="{7171AEE8-4800-453F-A8DC-DE6306711E7F}"/>
    <cellStyle name="Percentuale 42 3 4 2" xfId="13813" xr:uid="{130AC0B3-506B-47BD-BB7D-07EE50C0CFBC}"/>
    <cellStyle name="Percentuale 42 3 4 3" xfId="28907" xr:uid="{698B9E72-BD0C-46F9-A0C1-9458DC9E5AB4}"/>
    <cellStyle name="Percentuale 42 3 5" xfId="12303" xr:uid="{8C554162-6FA9-4D81-84A0-15C11278B521}"/>
    <cellStyle name="Percentuale 42 3 5 2" xfId="28908" xr:uid="{EB235AFC-95E1-49A1-8F7A-A695B9A11B96}"/>
    <cellStyle name="Percentuale 42 3 6" xfId="28909" xr:uid="{83C58CDF-CF14-4853-BAE2-A0283885DCE7}"/>
    <cellStyle name="Percentuale 42 3 6 2" xfId="49287" xr:uid="{DD6067EA-3100-4FE9-B618-30B605C79E06}"/>
    <cellStyle name="Percentuale 42 3 7" xfId="28910" xr:uid="{AB539897-F929-4225-8AE6-A6F632837A9B}"/>
    <cellStyle name="Percentuale 42 3 8" xfId="28897" xr:uid="{5D4A21CB-3F35-4015-ADF3-59E814CEC66A}"/>
    <cellStyle name="Percentuale 42 4" xfId="2417" xr:uid="{00000000-0005-0000-0000-0000EB080000}"/>
    <cellStyle name="Percentuale 42 4 2" xfId="2418" xr:uid="{00000000-0005-0000-0000-0000EC080000}"/>
    <cellStyle name="Percentuale 42 4 2 2" xfId="9507" xr:uid="{DDBB00D3-048B-44AC-A9F5-6DE80A914692}"/>
    <cellStyle name="Percentuale 42 4 2 2 2" xfId="28913" xr:uid="{2C45C8F6-2D33-479A-A334-D45CF8533CDC}"/>
    <cellStyle name="Percentuale 42 4 2 3" xfId="17938" xr:uid="{ABE52CC3-7C8A-4F74-89FB-1D143A097570}"/>
    <cellStyle name="Percentuale 42 4 2 3 2" xfId="28914" xr:uid="{CD31243A-D5A8-44C1-933B-6C5AD125EC18}"/>
    <cellStyle name="Percentuale 42 4 2 4" xfId="28912" xr:uid="{E30D3456-CECF-46DF-977D-0A6D6E1B960F}"/>
    <cellStyle name="Percentuale 42 4 2 5" xfId="17548" xr:uid="{95481EE6-E4B8-4D62-9DFA-1AD6EE29F352}"/>
    <cellStyle name="Percentuale 42 4 3" xfId="9508" xr:uid="{72081620-8389-46A7-B9E9-69FBF040D62F}"/>
    <cellStyle name="Percentuale 42 4 3 2" xfId="28915" xr:uid="{7C30B261-8C80-4101-8FA0-2D1AD661E8BB}"/>
    <cellStyle name="Percentuale 42 4 4" xfId="28916" xr:uid="{D9DD2A10-B8B4-4E41-8458-E2A08C196B12}"/>
    <cellStyle name="Percentuale 42 4 5" xfId="28917" xr:uid="{20333EEF-C965-45BC-9662-C1565DFF9756}"/>
    <cellStyle name="Percentuale 42 4 5 2" xfId="49288" xr:uid="{9DA0F969-F9D2-427A-ACA6-FE5EC35F21CD}"/>
    <cellStyle name="Percentuale 42 4 6" xfId="28918" xr:uid="{EEFC0D8E-6DCB-4C6F-B998-5D1B026227FE}"/>
    <cellStyle name="Percentuale 42 4 7" xfId="28911" xr:uid="{FC72F77C-58D3-4CE0-AE3A-A44045DFB597}"/>
    <cellStyle name="Percentuale 42 5" xfId="2419" xr:uid="{00000000-0005-0000-0000-0000ED080000}"/>
    <cellStyle name="Percentuale 42 5 2" xfId="28920" xr:uid="{ABEBB7FE-0A52-4D83-A25E-2347B0EF36A7}"/>
    <cellStyle name="Percentuale 42 5 3" xfId="28921" xr:uid="{5800EEAD-A00C-4E70-84C0-7723CD3EE61A}"/>
    <cellStyle name="Percentuale 42 5 3 2" xfId="49289" xr:uid="{EDDC95E3-C0A8-450A-B01F-DB211D2C935C}"/>
    <cellStyle name="Percentuale 42 5 4" xfId="28922" xr:uid="{A93B84BE-59CC-4E7C-BED2-32684C246EEC}"/>
    <cellStyle name="Percentuale 42 5 5" xfId="28919" xr:uid="{64AF3489-4813-4D27-A554-56B6195DC251}"/>
    <cellStyle name="Percentuale 42 6" xfId="4417" xr:uid="{C2621BD9-8E20-43F2-B067-DA5D10B051E6}"/>
    <cellStyle name="Percentuale 42 6 2" xfId="9847" xr:uid="{67352D9F-A46D-4EAF-B163-3EC2EF8785DB}"/>
    <cellStyle name="Percentuale 42 6 3" xfId="28923" xr:uid="{7039B583-4015-4F45-A5DE-F8346F99ED04}"/>
    <cellStyle name="Percentuale 42 7" xfId="28924" xr:uid="{332ECF76-8EE8-4B31-B35A-DDE9344C7DA8}"/>
    <cellStyle name="Percentuale 42 7 2" xfId="49290" xr:uid="{CB595B49-9A6F-41A1-BFD7-EBF5BD4865CC}"/>
    <cellStyle name="Percentuale 42 8" xfId="28891" xr:uid="{1D81276E-CB4D-4886-8F39-0725AB19090B}"/>
    <cellStyle name="Percentuale 43" xfId="1118" xr:uid="{00000000-0005-0000-0000-0000EE080000}"/>
    <cellStyle name="Percentuale 43 2" xfId="1119" xr:uid="{00000000-0005-0000-0000-0000EF080000}"/>
    <cellStyle name="Percentuale 43 2 2" xfId="4418" xr:uid="{EA3243B9-7EB8-4779-A147-0CEBC04E27DB}"/>
    <cellStyle name="Percentuale 43 2 2 2" xfId="13599" xr:uid="{11F6E1EA-8A06-43EC-BC01-BF6F3E5010C4}"/>
    <cellStyle name="Percentuale 43 2 2 3" xfId="28927" xr:uid="{2ADF6F55-6D26-47F5-BF2F-DF53BECD04FC}"/>
    <cellStyle name="Percentuale 43 2 3" xfId="13337" xr:uid="{A34335DD-D333-42DC-87C2-5ECBD8FE10C8}"/>
    <cellStyle name="Percentuale 43 2 3 2" xfId="28928" xr:uid="{FCC0E5C2-3C26-4590-9882-6DEF1A90B0AE}"/>
    <cellStyle name="Percentuale 43 2 4" xfId="28929" xr:uid="{670BC3D1-4763-42B2-8779-C974DAFF04B7}"/>
    <cellStyle name="Percentuale 43 2 4 2" xfId="49291" xr:uid="{D9649D57-2B50-49E1-8D33-5657E1F957F7}"/>
    <cellStyle name="Percentuale 43 2 5" xfId="28930" xr:uid="{F86BBE5C-5AFF-4CBC-A2D8-7E331BABF0BC}"/>
    <cellStyle name="Percentuale 43 2 6" xfId="28926" xr:uid="{19D166B8-4FCE-42C9-8429-BEEBB0743432}"/>
    <cellStyle name="Percentuale 43 3" xfId="1120" xr:uid="{00000000-0005-0000-0000-0000F0080000}"/>
    <cellStyle name="Percentuale 43 3 2" xfId="1121" xr:uid="{00000000-0005-0000-0000-0000F1080000}"/>
    <cellStyle name="Percentuale 43 3 2 2" xfId="2420" xr:uid="{00000000-0005-0000-0000-0000F2080000}"/>
    <cellStyle name="Percentuale 43 3 2 2 2" xfId="28934" xr:uid="{047BE313-5057-41CE-A8C4-4BC39DB13F7C}"/>
    <cellStyle name="Percentuale 43 3 2 2 3" xfId="28933" xr:uid="{1C4B4673-4114-4EB8-84BA-53A929AC87E0}"/>
    <cellStyle name="Percentuale 43 3 2 3" xfId="8154" xr:uid="{E475361C-3445-4591-8294-CD960BE1DA50}"/>
    <cellStyle name="Percentuale 43 3 2 3 2" xfId="14153" xr:uid="{276AEA8A-2FFE-4224-95A3-76830FAEDCAA}"/>
    <cellStyle name="Percentuale 43 3 2 3 3" xfId="28935" xr:uid="{BB570DEA-4874-4218-A3DD-124FAD8757F7}"/>
    <cellStyle name="Percentuale 43 3 2 3 4" xfId="49292" xr:uid="{01CAEE75-586F-4BEA-84B5-59665B515E66}"/>
    <cellStyle name="Percentuale 43 3 2 4" xfId="28936" xr:uid="{6AE4714B-04A9-4865-BC87-F8894505A900}"/>
    <cellStyle name="Percentuale 43 3 2 5" xfId="28932" xr:uid="{16C49E87-D78D-46F1-9765-D8CB29713FD0}"/>
    <cellStyle name="Percentuale 43 3 3" xfId="4419" xr:uid="{F80E7A3E-FFE7-44DE-8912-5936215840B0}"/>
    <cellStyle name="Percentuale 43 3 3 2" xfId="9509" xr:uid="{D78D7368-36E2-4C78-93C0-FEDED963D2F5}"/>
    <cellStyle name="Percentuale 43 3 3 2 2" xfId="28938" xr:uid="{572A0E3B-EE2A-4588-B3E3-6E559B7D3D95}"/>
    <cellStyle name="Percentuale 43 3 3 3" xfId="28939" xr:uid="{EC77502E-6202-4114-870E-17403A97BBF1}"/>
    <cellStyle name="Percentuale 43 3 3 4" xfId="28940" xr:uid="{FCEDA9F3-8F26-4823-B385-89D9A0443EC0}"/>
    <cellStyle name="Percentuale 43 3 3 4 2" xfId="49293" xr:uid="{A83559B9-3F91-48DA-86B3-41EC2DE0C614}"/>
    <cellStyle name="Percentuale 43 3 3 5" xfId="28937" xr:uid="{CE8BD287-AD54-4F0E-8772-8F28121DA892}"/>
    <cellStyle name="Percentuale 43 3 4" xfId="4420" xr:uid="{54FE9739-AFF9-4B86-A96B-C756B7509C57}"/>
    <cellStyle name="Percentuale 43 3 4 2" xfId="13814" xr:uid="{22099DE6-EF2C-4C92-9F92-BE83883B5980}"/>
    <cellStyle name="Percentuale 43 3 4 3" xfId="28941" xr:uid="{EBD18F05-4942-4111-BCEB-DB4D88546C50}"/>
    <cellStyle name="Percentuale 43 3 5" xfId="11512" xr:uid="{8D41443E-5F18-47AB-A8F0-8FAFE8A46C3D}"/>
    <cellStyle name="Percentuale 43 3 5 2" xfId="28942" xr:uid="{E9D55784-45AA-4670-B4D9-DC8AC4C2F47D}"/>
    <cellStyle name="Percentuale 43 3 6" xfId="28943" xr:uid="{180C2E6E-759E-4CF2-B6DE-BCFFF21E17A5}"/>
    <cellStyle name="Percentuale 43 3 6 2" xfId="49294" xr:uid="{03A4990B-0475-4097-AABB-D8F95605F668}"/>
    <cellStyle name="Percentuale 43 3 7" xfId="28944" xr:uid="{8FF5C8B8-68C3-40AE-B8AD-0416FCE7FC55}"/>
    <cellStyle name="Percentuale 43 3 8" xfId="28931" xr:uid="{1DE066C2-5D08-4EE7-A4BC-2551A95114CA}"/>
    <cellStyle name="Percentuale 43 4" xfId="2421" xr:uid="{00000000-0005-0000-0000-0000F3080000}"/>
    <cellStyle name="Percentuale 43 4 2" xfId="2422" xr:uid="{00000000-0005-0000-0000-0000F4080000}"/>
    <cellStyle name="Percentuale 43 4 2 2" xfId="9510" xr:uid="{C25D74B0-656F-4822-AA4D-D524AC648044}"/>
    <cellStyle name="Percentuale 43 4 2 2 2" xfId="28947" xr:uid="{3619F088-3A0C-4657-A070-539B197E7A8B}"/>
    <cellStyle name="Percentuale 43 4 2 3" xfId="17939" xr:uid="{7EC71244-E1BE-4569-B4FD-15525E6111D6}"/>
    <cellStyle name="Percentuale 43 4 2 3 2" xfId="28948" xr:uid="{A0AFF4B1-CEC0-4052-9A7F-9C42B51C4710}"/>
    <cellStyle name="Percentuale 43 4 2 4" xfId="28946" xr:uid="{AE997E4A-E93E-4276-9936-6D2661BECE62}"/>
    <cellStyle name="Percentuale 43 4 2 5" xfId="17549" xr:uid="{EB45C37B-07FA-4694-B3F2-4FCB2AE88B3D}"/>
    <cellStyle name="Percentuale 43 4 3" xfId="9511" xr:uid="{F21F420B-2993-4772-BAB7-0BE2F0946E33}"/>
    <cellStyle name="Percentuale 43 4 3 2" xfId="28949" xr:uid="{3C06E122-F58B-434F-BA8A-F87F1BBE34DF}"/>
    <cellStyle name="Percentuale 43 4 4" xfId="28950" xr:uid="{2B596D43-021B-4E54-BCB6-33F6C2A57C0F}"/>
    <cellStyle name="Percentuale 43 4 5" xfId="28951" xr:uid="{D0A9268A-630F-49D7-83FE-49CBCB014663}"/>
    <cellStyle name="Percentuale 43 4 5 2" xfId="49295" xr:uid="{C1570EDB-2A25-439E-AF41-3C5B6ADAE36B}"/>
    <cellStyle name="Percentuale 43 4 6" xfId="28952" xr:uid="{48339D6A-776A-4CD9-8ECE-DD1D5C24E416}"/>
    <cellStyle name="Percentuale 43 4 7" xfId="28945" xr:uid="{107E47EA-5CF6-4FB6-AD26-F105ABFC8A4A}"/>
    <cellStyle name="Percentuale 43 5" xfId="2423" xr:uid="{00000000-0005-0000-0000-0000F5080000}"/>
    <cellStyle name="Percentuale 43 5 2" xfId="28954" xr:uid="{F867D3E7-5961-4D5F-A8B8-336BB13A515B}"/>
    <cellStyle name="Percentuale 43 5 3" xfId="28955" xr:uid="{4F32DD1F-BBEF-42A7-AA7A-2D314DC72D87}"/>
    <cellStyle name="Percentuale 43 5 3 2" xfId="49296" xr:uid="{ADCD681C-DB6E-4E60-8C5D-175AB31EAEE9}"/>
    <cellStyle name="Percentuale 43 5 4" xfId="28956" xr:uid="{20FFD1D5-564A-4DA9-A5B2-4972BA86E717}"/>
    <cellStyle name="Percentuale 43 5 5" xfId="28953" xr:uid="{27EF5210-0355-4719-B42E-6CEA267942D2}"/>
    <cellStyle name="Percentuale 43 6" xfId="4421" xr:uid="{1AC9A355-302A-42B8-AD9B-00CCE092A1D8}"/>
    <cellStyle name="Percentuale 43 6 2" xfId="9848" xr:uid="{B6848323-F2EF-49E7-B81B-8B4F29CA4259}"/>
    <cellStyle name="Percentuale 43 6 3" xfId="28957" xr:uid="{98235501-5457-4AFB-944E-6700AF6DB657}"/>
    <cellStyle name="Percentuale 43 7" xfId="28958" xr:uid="{65A5471E-66F3-44C2-BE99-0913A88DA42F}"/>
    <cellStyle name="Percentuale 43 7 2" xfId="49297" xr:uid="{C8B6559E-EEBA-4F66-903F-157D53C75BD4}"/>
    <cellStyle name="Percentuale 43 8" xfId="28925" xr:uid="{9B3EE712-5270-4A8C-964B-5D569D90AE90}"/>
    <cellStyle name="Percentuale 44" xfId="1122" xr:uid="{00000000-0005-0000-0000-0000F6080000}"/>
    <cellStyle name="Percentuale 44 2" xfId="1123" xr:uid="{00000000-0005-0000-0000-0000F7080000}"/>
    <cellStyle name="Percentuale 44 2 2" xfId="4422" xr:uid="{FA9296BB-225F-4861-BCAB-C38637C1AF2B}"/>
    <cellStyle name="Percentuale 44 2 2 2" xfId="13600" xr:uid="{12566B8F-97F4-429D-B7C9-836A94197AAA}"/>
    <cellStyle name="Percentuale 44 2 2 3" xfId="28961" xr:uid="{F6FB0D4C-20AF-4034-9C24-A0FD16519800}"/>
    <cellStyle name="Percentuale 44 2 3" xfId="13338" xr:uid="{D2590FD4-C830-4F34-82F4-CF49C3D07B06}"/>
    <cellStyle name="Percentuale 44 2 3 2" xfId="28962" xr:uid="{77B9A58A-1ECF-469A-AF79-1C5242867538}"/>
    <cellStyle name="Percentuale 44 2 4" xfId="28963" xr:uid="{97AF2C12-032B-4B3F-AE80-9CDB00C9640C}"/>
    <cellStyle name="Percentuale 44 2 4 2" xfId="49298" xr:uid="{E2296528-9B07-4D36-8B8A-DB46308BC9A7}"/>
    <cellStyle name="Percentuale 44 2 5" xfId="28964" xr:uid="{5958D763-F502-47E6-8899-59D65C22D420}"/>
    <cellStyle name="Percentuale 44 2 6" xfId="28960" xr:uid="{A056B6E2-FFB5-434E-AEEC-A791D752A221}"/>
    <cellStyle name="Percentuale 44 3" xfId="1124" xr:uid="{00000000-0005-0000-0000-0000F8080000}"/>
    <cellStyle name="Percentuale 44 3 2" xfId="1125" xr:uid="{00000000-0005-0000-0000-0000F9080000}"/>
    <cellStyle name="Percentuale 44 3 2 2" xfId="2424" xr:uid="{00000000-0005-0000-0000-0000FA080000}"/>
    <cellStyle name="Percentuale 44 3 2 2 2" xfId="28968" xr:uid="{1F096643-775A-4484-B953-5C36312863DC}"/>
    <cellStyle name="Percentuale 44 3 2 2 3" xfId="28967" xr:uid="{7CECDDF6-71FF-4243-8D34-4CF61C388C3D}"/>
    <cellStyle name="Percentuale 44 3 2 3" xfId="8155" xr:uid="{A81729E4-D663-44D6-8211-4AB85A0A7D66}"/>
    <cellStyle name="Percentuale 44 3 2 3 2" xfId="14154" xr:uid="{A52435EA-D351-4086-A113-60A9A733D046}"/>
    <cellStyle name="Percentuale 44 3 2 3 3" xfId="28969" xr:uid="{162A1A41-6777-4F57-888C-70A6C7F8CA56}"/>
    <cellStyle name="Percentuale 44 3 2 3 4" xfId="49299" xr:uid="{2E20160C-7AA0-4BB7-8A29-9675C303E841}"/>
    <cellStyle name="Percentuale 44 3 2 4" xfId="28970" xr:uid="{5963C464-2C73-4A0C-99E6-BD4F2BD2C5B5}"/>
    <cellStyle name="Percentuale 44 3 2 5" xfId="28966" xr:uid="{CB55F155-7282-4A9E-81C3-6659A99E98DD}"/>
    <cellStyle name="Percentuale 44 3 3" xfId="4423" xr:uid="{573F4939-57B8-4001-9282-07477ADACEF1}"/>
    <cellStyle name="Percentuale 44 3 3 2" xfId="9512" xr:uid="{A36DD4B0-7718-4B91-A208-03FC97AD5FEC}"/>
    <cellStyle name="Percentuale 44 3 3 2 2" xfId="28972" xr:uid="{353712C6-903D-4DBA-97C7-110368BD1DC3}"/>
    <cellStyle name="Percentuale 44 3 3 3" xfId="28973" xr:uid="{C639D24E-8F6F-407F-AC81-A7479FCFE1EF}"/>
    <cellStyle name="Percentuale 44 3 3 4" xfId="28974" xr:uid="{AE7C28B3-3120-49D8-92AE-7828D214CA05}"/>
    <cellStyle name="Percentuale 44 3 3 4 2" xfId="49300" xr:uid="{4357D388-3F82-47CE-82F6-A63FCF726F48}"/>
    <cellStyle name="Percentuale 44 3 3 5" xfId="28971" xr:uid="{DD488115-107F-4B76-BEC9-22CCCDA2E1B3}"/>
    <cellStyle name="Percentuale 44 3 4" xfId="4424" xr:uid="{CFBD84A9-81FD-466A-A4BE-3721A000A152}"/>
    <cellStyle name="Percentuale 44 3 4 2" xfId="13815" xr:uid="{431F8579-CBB5-486F-90AA-D764B7CED63E}"/>
    <cellStyle name="Percentuale 44 3 4 3" xfId="28975" xr:uid="{050AB8C5-407E-4780-AF32-7E19749B49B3}"/>
    <cellStyle name="Percentuale 44 3 5" xfId="11522" xr:uid="{A9CFD35E-15C2-47B2-A2E2-D996AD336C71}"/>
    <cellStyle name="Percentuale 44 3 5 2" xfId="28976" xr:uid="{3FB9DCDB-4CD3-425C-A30C-B450F231A378}"/>
    <cellStyle name="Percentuale 44 3 6" xfId="28977" xr:uid="{82CF24F4-3948-47D4-AABA-2051B1126C14}"/>
    <cellStyle name="Percentuale 44 3 6 2" xfId="49301" xr:uid="{60246CD5-A7F3-40ED-883B-0E34300404A4}"/>
    <cellStyle name="Percentuale 44 3 7" xfId="28978" xr:uid="{420901C9-5EC4-4A5E-A754-B581E23C843C}"/>
    <cellStyle name="Percentuale 44 3 8" xfId="28965" xr:uid="{0BD1D143-CDB5-470E-A404-3BF743921CF9}"/>
    <cellStyle name="Percentuale 44 4" xfId="2425" xr:uid="{00000000-0005-0000-0000-0000FB080000}"/>
    <cellStyle name="Percentuale 44 4 2" xfId="2426" xr:uid="{00000000-0005-0000-0000-0000FC080000}"/>
    <cellStyle name="Percentuale 44 4 2 2" xfId="9513" xr:uid="{6E856DCE-DF4D-4E32-B3F1-F9F54D1B63AF}"/>
    <cellStyle name="Percentuale 44 4 2 2 2" xfId="28981" xr:uid="{10B7E762-C5C0-4B33-AD81-1B4672E616B9}"/>
    <cellStyle name="Percentuale 44 4 2 3" xfId="17940" xr:uid="{FBF63958-D438-4C18-AFCC-133F08531614}"/>
    <cellStyle name="Percentuale 44 4 2 3 2" xfId="28982" xr:uid="{1C3F75E7-806D-41C5-B599-8EB5C3FE97F6}"/>
    <cellStyle name="Percentuale 44 4 2 4" xfId="28980" xr:uid="{61E8D2BA-D332-4B9F-90FB-8788ADFDF109}"/>
    <cellStyle name="Percentuale 44 4 2 5" xfId="17550" xr:uid="{43EE4076-0646-4F03-BF4A-2DB77F3D01DC}"/>
    <cellStyle name="Percentuale 44 4 3" xfId="9514" xr:uid="{D367507E-742E-4B01-9662-CDD4A5AA4C8E}"/>
    <cellStyle name="Percentuale 44 4 3 2" xfId="28983" xr:uid="{EF9EC3F9-4444-4D24-84CA-E65B04871649}"/>
    <cellStyle name="Percentuale 44 4 4" xfId="28984" xr:uid="{374B702D-C618-404F-A1B8-53F6DA58A5ED}"/>
    <cellStyle name="Percentuale 44 4 5" xfId="28985" xr:uid="{9511A157-8424-4338-B520-2A6D26AE97A0}"/>
    <cellStyle name="Percentuale 44 4 5 2" xfId="49302" xr:uid="{A34B4B72-F5A6-470A-A854-39CE5B97072A}"/>
    <cellStyle name="Percentuale 44 4 6" xfId="28986" xr:uid="{114D7FCE-07D3-4D7E-99CC-6C5C578CEC53}"/>
    <cellStyle name="Percentuale 44 4 7" xfId="28979" xr:uid="{394A0CE2-6A9D-47F2-8652-958224F1CE66}"/>
    <cellStyle name="Percentuale 44 5" xfId="2427" xr:uid="{00000000-0005-0000-0000-0000FD080000}"/>
    <cellStyle name="Percentuale 44 5 2" xfId="28988" xr:uid="{7DFA4799-B55C-4015-B187-7C939673FCDF}"/>
    <cellStyle name="Percentuale 44 5 3" xfId="28989" xr:uid="{CD0EE146-68D4-4D63-97A1-C02B059B34E7}"/>
    <cellStyle name="Percentuale 44 5 3 2" xfId="49303" xr:uid="{5C140374-9083-4D2E-BBF8-2DA1A2EE5401}"/>
    <cellStyle name="Percentuale 44 5 4" xfId="28990" xr:uid="{BEC68C43-38E0-4634-AD94-7260402C2F0F}"/>
    <cellStyle name="Percentuale 44 5 5" xfId="28987" xr:uid="{369EB4B4-A92D-4409-8D53-67D8A5E9DB15}"/>
    <cellStyle name="Percentuale 44 6" xfId="4425" xr:uid="{A51BA692-0198-4FA5-AFCB-6830824D66CE}"/>
    <cellStyle name="Percentuale 44 6 2" xfId="9849" xr:uid="{1670640D-4AEA-426D-B22B-F5B060267BC2}"/>
    <cellStyle name="Percentuale 44 6 3" xfId="28991" xr:uid="{255098C2-2868-4391-81F4-60FD5BFE4771}"/>
    <cellStyle name="Percentuale 44 7" xfId="28992" xr:uid="{11C58B85-3D39-4183-A93A-9F698A4D4941}"/>
    <cellStyle name="Percentuale 44 7 2" xfId="49304" xr:uid="{DC743BFA-EDAF-426F-A9A0-F6628091185E}"/>
    <cellStyle name="Percentuale 44 8" xfId="28959" xr:uid="{D805AB9C-1D48-4264-B14C-95A8B86E89DC}"/>
    <cellStyle name="Percentuale 45" xfId="1126" xr:uid="{00000000-0005-0000-0000-0000FE080000}"/>
    <cellStyle name="Percentuale 45 2" xfId="1127" xr:uid="{00000000-0005-0000-0000-0000FF080000}"/>
    <cellStyle name="Percentuale 45 2 2" xfId="4426" xr:uid="{5EFB8B56-BEDA-4B2C-A9C1-11E8A56C8AE0}"/>
    <cellStyle name="Percentuale 45 2 2 2" xfId="13601" xr:uid="{BB9B500D-C14E-4A55-88CA-AE50D1ACB064}"/>
    <cellStyle name="Percentuale 45 2 2 3" xfId="28995" xr:uid="{4E22C047-F7DD-4534-8248-B8EDAB555F97}"/>
    <cellStyle name="Percentuale 45 2 3" xfId="13339" xr:uid="{E325635C-99F5-4E0F-9013-66462233C215}"/>
    <cellStyle name="Percentuale 45 2 3 2" xfId="28996" xr:uid="{F4D2D5CE-960E-42F5-A3BA-AC3BEA6FE4C3}"/>
    <cellStyle name="Percentuale 45 2 4" xfId="28997" xr:uid="{036DC35E-03CD-4DC8-8BEF-72278D33EA93}"/>
    <cellStyle name="Percentuale 45 2 4 2" xfId="49305" xr:uid="{6E83889C-2E20-49FD-9547-83481E978D16}"/>
    <cellStyle name="Percentuale 45 2 5" xfId="28998" xr:uid="{E1B4BCDF-4E36-4858-9E16-14C8CEBDD5AE}"/>
    <cellStyle name="Percentuale 45 2 6" xfId="28994" xr:uid="{461D1950-A9CF-41E1-894B-794ACEDB113F}"/>
    <cellStyle name="Percentuale 45 3" xfId="1128" xr:uid="{00000000-0005-0000-0000-000000090000}"/>
    <cellStyle name="Percentuale 45 3 2" xfId="1129" xr:uid="{00000000-0005-0000-0000-000001090000}"/>
    <cellStyle name="Percentuale 45 3 2 2" xfId="2428" xr:uid="{00000000-0005-0000-0000-000002090000}"/>
    <cellStyle name="Percentuale 45 3 2 2 2" xfId="29002" xr:uid="{8F19DE62-9470-4C13-84A8-3B4B9503F86F}"/>
    <cellStyle name="Percentuale 45 3 2 2 3" xfId="29001" xr:uid="{BED0749D-EEB2-49B4-AC2B-D27B088F20F3}"/>
    <cellStyle name="Percentuale 45 3 2 3" xfId="8156" xr:uid="{1BBC686A-6570-42E5-80E8-C385B807BB83}"/>
    <cellStyle name="Percentuale 45 3 2 3 2" xfId="14155" xr:uid="{8A5CCF74-F7C2-4B63-83CF-D69A8486B5E1}"/>
    <cellStyle name="Percentuale 45 3 2 3 3" xfId="29003" xr:uid="{F18897B7-95D5-4964-A394-FE9F3A06D9B7}"/>
    <cellStyle name="Percentuale 45 3 2 3 4" xfId="49306" xr:uid="{F3821A04-77E8-44E9-AF82-15285EEAB69E}"/>
    <cellStyle name="Percentuale 45 3 2 4" xfId="29004" xr:uid="{8DE56AAA-C4EF-4EE8-B239-29B6C177152C}"/>
    <cellStyle name="Percentuale 45 3 2 5" xfId="29000" xr:uid="{34975ACF-89B8-4E2E-886A-738008DCF635}"/>
    <cellStyle name="Percentuale 45 3 3" xfId="4427" xr:uid="{56321FF6-9BB8-4130-85CB-FF1C8C82BD83}"/>
    <cellStyle name="Percentuale 45 3 3 2" xfId="9515" xr:uid="{C3CF7021-149F-4518-A716-058329C0E0D5}"/>
    <cellStyle name="Percentuale 45 3 3 2 2" xfId="29006" xr:uid="{6E2BBCB6-D2CC-48D7-804C-CF87EF113421}"/>
    <cellStyle name="Percentuale 45 3 3 3" xfId="29007" xr:uid="{E5D40E77-A63A-41D0-B1B5-812DF12308EF}"/>
    <cellStyle name="Percentuale 45 3 3 4" xfId="29008" xr:uid="{A6C055E2-C5BD-4561-82BF-9B33468674F0}"/>
    <cellStyle name="Percentuale 45 3 3 4 2" xfId="49307" xr:uid="{5C576F15-E77F-49FD-B63C-0962767111C1}"/>
    <cellStyle name="Percentuale 45 3 3 5" xfId="29005" xr:uid="{7761B5F9-9C76-4465-B57C-F84B9D3C5BCB}"/>
    <cellStyle name="Percentuale 45 3 4" xfId="4428" xr:uid="{5BB8571F-E019-4ECA-84AB-DB50FD8C7ED6}"/>
    <cellStyle name="Percentuale 45 3 4 2" xfId="13816" xr:uid="{C76B0E1C-EBF3-4307-AE8A-F61EB2A4ADE4}"/>
    <cellStyle name="Percentuale 45 3 4 3" xfId="29009" xr:uid="{E14642B6-A061-45C5-848A-A008A22AB45A}"/>
    <cellStyle name="Percentuale 45 3 5" xfId="11203" xr:uid="{B0DE83D3-31FE-4280-AC6A-B86AEE7F302F}"/>
    <cellStyle name="Percentuale 45 3 5 2" xfId="29010" xr:uid="{49C57C73-0895-4703-A8B0-244B3CABD844}"/>
    <cellStyle name="Percentuale 45 3 6" xfId="29011" xr:uid="{AC79D013-F582-4D51-ADFB-952FF57E1A13}"/>
    <cellStyle name="Percentuale 45 3 6 2" xfId="49308" xr:uid="{F5F8B432-367E-432B-A6BD-E3EB241051CD}"/>
    <cellStyle name="Percentuale 45 3 7" xfId="29012" xr:uid="{60FB4CEA-1028-4E6B-9A5A-CB224EED81DF}"/>
    <cellStyle name="Percentuale 45 3 8" xfId="28999" xr:uid="{1E8F2668-4492-44DF-8F19-D3CE86E84FD0}"/>
    <cellStyle name="Percentuale 45 4" xfId="2429" xr:uid="{00000000-0005-0000-0000-000003090000}"/>
    <cellStyle name="Percentuale 45 4 2" xfId="2430" xr:uid="{00000000-0005-0000-0000-000004090000}"/>
    <cellStyle name="Percentuale 45 4 2 2" xfId="9516" xr:uid="{F6BF10AF-C135-47EF-8EA0-C9278AF09777}"/>
    <cellStyle name="Percentuale 45 4 2 2 2" xfId="29015" xr:uid="{846E4EC1-382B-4931-A732-3E1DDA4F82D2}"/>
    <cellStyle name="Percentuale 45 4 2 3" xfId="17941" xr:uid="{3BDFFACA-CFBB-486A-8301-A6BC2BAAE187}"/>
    <cellStyle name="Percentuale 45 4 2 3 2" xfId="29016" xr:uid="{148A0800-A217-465C-93AF-77C4F985589B}"/>
    <cellStyle name="Percentuale 45 4 2 4" xfId="29014" xr:uid="{CF9C8E53-32CF-4F21-A758-2E4266EA4A2F}"/>
    <cellStyle name="Percentuale 45 4 2 5" xfId="17551" xr:uid="{7DBAD6EC-E9D5-4EE1-BBD9-D76E215D4050}"/>
    <cellStyle name="Percentuale 45 4 3" xfId="9517" xr:uid="{E803BDBB-8E14-4956-9C10-C7059F2E4A0E}"/>
    <cellStyle name="Percentuale 45 4 3 2" xfId="29017" xr:uid="{B9F41D8E-4127-48DC-87F3-BB79D3751539}"/>
    <cellStyle name="Percentuale 45 4 4" xfId="29018" xr:uid="{3D5DAE6A-5BF5-41C5-AB21-78FF860D837B}"/>
    <cellStyle name="Percentuale 45 4 5" xfId="29019" xr:uid="{EE15FEAB-5212-4257-BD9A-C66EFD1142C9}"/>
    <cellStyle name="Percentuale 45 4 5 2" xfId="49309" xr:uid="{16BEAC75-5582-4BF9-8CB6-02A0375976EF}"/>
    <cellStyle name="Percentuale 45 4 6" xfId="29020" xr:uid="{DF6C19C7-06A7-4095-8C9C-C0E6DAE79E7B}"/>
    <cellStyle name="Percentuale 45 4 7" xfId="29013" xr:uid="{45961DFB-DE3C-4E9F-A981-05592D23C5E3}"/>
    <cellStyle name="Percentuale 45 5" xfId="2431" xr:uid="{00000000-0005-0000-0000-000005090000}"/>
    <cellStyle name="Percentuale 45 5 2" xfId="29022" xr:uid="{DA7C6D52-2E25-4141-9E9B-B162C0610722}"/>
    <cellStyle name="Percentuale 45 5 3" xfId="29023" xr:uid="{DA3F05DF-E2FB-45D0-93C2-B7B5297AEAC7}"/>
    <cellStyle name="Percentuale 45 5 3 2" xfId="49310" xr:uid="{C848FBD1-DAA3-4BE1-839B-DC799799784B}"/>
    <cellStyle name="Percentuale 45 5 4" xfId="29024" xr:uid="{DAE1852D-ABB9-4AAC-A398-DDBC1A1560CC}"/>
    <cellStyle name="Percentuale 45 5 5" xfId="29021" xr:uid="{24AE38BD-BF36-4D41-961E-073019DBE7FC}"/>
    <cellStyle name="Percentuale 45 6" xfId="4429" xr:uid="{6B6FC2EC-4E3B-4694-87EE-C57F7995C6E3}"/>
    <cellStyle name="Percentuale 45 6 2" xfId="9850" xr:uid="{99D2BCFC-76F7-47D2-A95F-73C0DD8DADF6}"/>
    <cellStyle name="Percentuale 45 6 3" xfId="29025" xr:uid="{1C96D005-3407-4A50-94DA-526004DAE926}"/>
    <cellStyle name="Percentuale 45 7" xfId="29026" xr:uid="{D259D6ED-AF11-43A1-8230-9482C7BDBBAB}"/>
    <cellStyle name="Percentuale 45 7 2" xfId="49311" xr:uid="{B110F94C-BA82-42E1-AE0D-9914318DD1B8}"/>
    <cellStyle name="Percentuale 45 8" xfId="28993" xr:uid="{C5E1126F-E41D-4DFE-8707-1FF0D0CE06BE}"/>
    <cellStyle name="Percentuale 46" xfId="1130" xr:uid="{00000000-0005-0000-0000-000006090000}"/>
    <cellStyle name="Percentuale 46 2" xfId="1131" xr:uid="{00000000-0005-0000-0000-000007090000}"/>
    <cellStyle name="Percentuale 46 2 2" xfId="4430" xr:uid="{760EA28B-5463-43A2-ABD6-FE37E8F0006C}"/>
    <cellStyle name="Percentuale 46 2 2 2" xfId="13602" xr:uid="{BF1F56AC-8CE0-46A7-8AD5-C7E8E8117D46}"/>
    <cellStyle name="Percentuale 46 2 2 3" xfId="29029" xr:uid="{3E2F591A-D073-4982-A436-34C1C425CD34}"/>
    <cellStyle name="Percentuale 46 2 3" xfId="13340" xr:uid="{9DC5A05E-769A-4B10-B161-06CB4D00E97D}"/>
    <cellStyle name="Percentuale 46 2 3 2" xfId="29030" xr:uid="{A8098211-73D8-45C8-90B5-0AE4E365AC5C}"/>
    <cellStyle name="Percentuale 46 2 4" xfId="29031" xr:uid="{681107C9-00FD-42AE-A584-690B426CF108}"/>
    <cellStyle name="Percentuale 46 2 4 2" xfId="49312" xr:uid="{5EDC36EA-F2DD-495E-BB6D-106475008167}"/>
    <cellStyle name="Percentuale 46 2 5" xfId="29032" xr:uid="{62CBD09D-F1F1-43CA-B90B-210381D0C8B0}"/>
    <cellStyle name="Percentuale 46 2 6" xfId="29028" xr:uid="{25B5B29B-D385-4F96-8160-57AA7A9F66C2}"/>
    <cellStyle name="Percentuale 46 3" xfId="1132" xr:uid="{00000000-0005-0000-0000-000008090000}"/>
    <cellStyle name="Percentuale 46 3 2" xfId="1133" xr:uid="{00000000-0005-0000-0000-000009090000}"/>
    <cellStyle name="Percentuale 46 3 2 2" xfId="2432" xr:uid="{00000000-0005-0000-0000-00000A090000}"/>
    <cellStyle name="Percentuale 46 3 2 2 2" xfId="29036" xr:uid="{6AC4E7E6-1D06-4D7D-943F-62081D02B527}"/>
    <cellStyle name="Percentuale 46 3 2 2 3" xfId="29035" xr:uid="{D0D798A3-EA80-4EF0-B096-DAECF6F5F75A}"/>
    <cellStyle name="Percentuale 46 3 2 3" xfId="8157" xr:uid="{5A07E548-3E99-4909-98BD-7FF2587D498A}"/>
    <cellStyle name="Percentuale 46 3 2 3 2" xfId="14156" xr:uid="{2DF274B7-FAAE-4EED-A404-86C35FB87A43}"/>
    <cellStyle name="Percentuale 46 3 2 3 3" xfId="29037" xr:uid="{A0F10008-F805-4BD7-90B1-84EDB04078B6}"/>
    <cellStyle name="Percentuale 46 3 2 3 4" xfId="49313" xr:uid="{73A8929A-72DF-4070-808E-645C7B278805}"/>
    <cellStyle name="Percentuale 46 3 2 4" xfId="29038" xr:uid="{B386BEC3-BC2E-4A87-BA01-9C08A4BEC02B}"/>
    <cellStyle name="Percentuale 46 3 2 5" xfId="29034" xr:uid="{A8A74470-BB61-4673-973E-85260001EA18}"/>
    <cellStyle name="Percentuale 46 3 3" xfId="4431" xr:uid="{DC23AB04-9F3F-424C-8D3E-403E4A7BB693}"/>
    <cellStyle name="Percentuale 46 3 3 2" xfId="9518" xr:uid="{E2FD4E03-6418-4B41-8B6F-FDFF02B1032A}"/>
    <cellStyle name="Percentuale 46 3 3 2 2" xfId="29040" xr:uid="{CF083F71-C218-477E-AC31-6A414D5C71EB}"/>
    <cellStyle name="Percentuale 46 3 3 3" xfId="29041" xr:uid="{B2135A4F-739F-4924-82E6-093A583EF4C4}"/>
    <cellStyle name="Percentuale 46 3 3 4" xfId="29042" xr:uid="{E979CFD3-8EF3-4979-9809-E9E8E90B562D}"/>
    <cellStyle name="Percentuale 46 3 3 4 2" xfId="49314" xr:uid="{B1091AB9-ACE2-44D6-8E12-85A9CC12720D}"/>
    <cellStyle name="Percentuale 46 3 3 5" xfId="29039" xr:uid="{BBA112A8-FA49-4573-88BE-672E0EDCF09A}"/>
    <cellStyle name="Percentuale 46 3 4" xfId="4432" xr:uid="{30F39DA6-2623-4291-8B3B-B27974246976}"/>
    <cellStyle name="Percentuale 46 3 4 2" xfId="13817" xr:uid="{88DE6C24-1A36-4F14-962B-E526A5BF97BC}"/>
    <cellStyle name="Percentuale 46 3 4 3" xfId="29043" xr:uid="{48C4CECC-E2ED-4529-8AB6-99D827863FAE}"/>
    <cellStyle name="Percentuale 46 3 5" xfId="11521" xr:uid="{F65B4C11-2E67-42AD-A96E-FB0ECACCC6A7}"/>
    <cellStyle name="Percentuale 46 3 5 2" xfId="29044" xr:uid="{E40B4FC0-AF3C-44D9-B87B-39791F9A83C5}"/>
    <cellStyle name="Percentuale 46 3 6" xfId="29045" xr:uid="{EB3C09A5-0EBA-4EC2-9AE0-3D0AC1FD7CC0}"/>
    <cellStyle name="Percentuale 46 3 6 2" xfId="49315" xr:uid="{6B6E5AF9-91CD-4E34-A2AE-3054A73679B0}"/>
    <cellStyle name="Percentuale 46 3 7" xfId="29046" xr:uid="{A39333CD-852D-439C-B8E7-2BFC9C036A73}"/>
    <cellStyle name="Percentuale 46 3 8" xfId="29033" xr:uid="{7A3A053E-136D-4491-8560-2E05D4BC8BD5}"/>
    <cellStyle name="Percentuale 46 4" xfId="2433" xr:uid="{00000000-0005-0000-0000-00000B090000}"/>
    <cellStyle name="Percentuale 46 4 2" xfId="2434" xr:uid="{00000000-0005-0000-0000-00000C090000}"/>
    <cellStyle name="Percentuale 46 4 2 2" xfId="9519" xr:uid="{526B5DA0-9640-43C2-A1F9-7352F94DF235}"/>
    <cellStyle name="Percentuale 46 4 2 2 2" xfId="29049" xr:uid="{AE91218C-528C-4480-A443-C742D7639698}"/>
    <cellStyle name="Percentuale 46 4 2 3" xfId="17942" xr:uid="{03750392-5220-4140-A2F7-8A64196508CF}"/>
    <cellStyle name="Percentuale 46 4 2 3 2" xfId="29050" xr:uid="{A5937DD5-A521-4DC2-95F2-711F6896B2CD}"/>
    <cellStyle name="Percentuale 46 4 2 4" xfId="29048" xr:uid="{EF981987-D5E0-46F2-AB07-41AAA7EFD94A}"/>
    <cellStyle name="Percentuale 46 4 2 5" xfId="17552" xr:uid="{96BF313B-E5BC-467E-A4DB-52FE10B3FBDC}"/>
    <cellStyle name="Percentuale 46 4 3" xfId="9520" xr:uid="{5B0D6300-BFA7-4731-A757-30B25F846725}"/>
    <cellStyle name="Percentuale 46 4 3 2" xfId="29051" xr:uid="{C6C8EE6E-48CD-46E7-A765-D2996C8C57FE}"/>
    <cellStyle name="Percentuale 46 4 4" xfId="29052" xr:uid="{269786D8-685A-42EA-A595-952800A9AC53}"/>
    <cellStyle name="Percentuale 46 4 5" xfId="29053" xr:uid="{01829D03-22FC-44CC-937B-79B0837CD475}"/>
    <cellStyle name="Percentuale 46 4 5 2" xfId="49316" xr:uid="{4F5FA041-DEA8-4C88-AC4E-21556210D982}"/>
    <cellStyle name="Percentuale 46 4 6" xfId="29054" xr:uid="{D6DBB4AB-9E75-425C-9DEA-24D2CA5E7FF2}"/>
    <cellStyle name="Percentuale 46 4 7" xfId="29047" xr:uid="{5632EDA8-CDBC-4E9B-A1FC-EEC0FE0A543A}"/>
    <cellStyle name="Percentuale 46 5" xfId="2435" xr:uid="{00000000-0005-0000-0000-00000D090000}"/>
    <cellStyle name="Percentuale 46 5 2" xfId="29056" xr:uid="{34F62755-4BA7-4ACF-A557-682D5423D5F8}"/>
    <cellStyle name="Percentuale 46 5 3" xfId="29057" xr:uid="{4D033A61-94AD-4E4B-8C06-08C775A2387B}"/>
    <cellStyle name="Percentuale 46 5 3 2" xfId="49317" xr:uid="{B4963436-A30D-44FD-885C-765E4211B55E}"/>
    <cellStyle name="Percentuale 46 5 4" xfId="29058" xr:uid="{1C1F6DE9-B9ED-4916-8408-FBEB49A8B411}"/>
    <cellStyle name="Percentuale 46 5 5" xfId="29055" xr:uid="{97CC3DE1-48B5-4CB7-8F22-12BB9E964919}"/>
    <cellStyle name="Percentuale 46 6" xfId="4433" xr:uid="{096CDA77-F88D-4010-9CF9-5C6A606516B0}"/>
    <cellStyle name="Percentuale 46 6 2" xfId="9851" xr:uid="{4BE1618F-8547-46F8-9C92-F5AC0D471D55}"/>
    <cellStyle name="Percentuale 46 6 3" xfId="29059" xr:uid="{F623EE93-D55E-46CB-9D5C-07A8A64BCDF0}"/>
    <cellStyle name="Percentuale 46 7" xfId="29060" xr:uid="{2FA2AD59-8910-4B43-9B05-AA19110A38D6}"/>
    <cellStyle name="Percentuale 46 7 2" xfId="49318" xr:uid="{20E2CCEC-7BB1-47B1-881E-D65C48E116E5}"/>
    <cellStyle name="Percentuale 46 8" xfId="29027" xr:uid="{81D86B5C-9D90-44D3-8678-E651DB07D3D8}"/>
    <cellStyle name="Percentuale 47" xfId="1134" xr:uid="{00000000-0005-0000-0000-00000E090000}"/>
    <cellStyle name="Percentuale 47 2" xfId="1135" xr:uid="{00000000-0005-0000-0000-00000F090000}"/>
    <cellStyle name="Percentuale 47 2 2" xfId="4434" xr:uid="{B094009C-E68A-4037-9076-C8AAAED39F30}"/>
    <cellStyle name="Percentuale 47 2 2 2" xfId="13603" xr:uid="{1C3FC2CA-6DE6-4DAB-BE0D-19CF6158B7EA}"/>
    <cellStyle name="Percentuale 47 2 2 3" xfId="29063" xr:uid="{3C85D6BB-0887-4EF3-A881-D411AB7DCC03}"/>
    <cellStyle name="Percentuale 47 2 3" xfId="13341" xr:uid="{DD27CBC5-33B6-445C-95EF-2A75C12F9EFF}"/>
    <cellStyle name="Percentuale 47 2 3 2" xfId="29064" xr:uid="{52933239-A5FD-4044-825C-1CF80F77329A}"/>
    <cellStyle name="Percentuale 47 2 4" xfId="29065" xr:uid="{F16A62D0-F35A-47C0-B8DD-8A391093359F}"/>
    <cellStyle name="Percentuale 47 2 4 2" xfId="49319" xr:uid="{74FBB63D-FE85-4644-8291-C3E83A5459F1}"/>
    <cellStyle name="Percentuale 47 2 5" xfId="29066" xr:uid="{AC211E2E-04D8-4521-8C50-7E31AF7C47FC}"/>
    <cellStyle name="Percentuale 47 2 6" xfId="29062" xr:uid="{ACE5EDAC-BCC1-42E8-9C09-66FF6F1F1986}"/>
    <cellStyle name="Percentuale 47 3" xfId="1136" xr:uid="{00000000-0005-0000-0000-000010090000}"/>
    <cellStyle name="Percentuale 47 3 2" xfId="1137" xr:uid="{00000000-0005-0000-0000-000011090000}"/>
    <cellStyle name="Percentuale 47 3 2 2" xfId="2436" xr:uid="{00000000-0005-0000-0000-000012090000}"/>
    <cellStyle name="Percentuale 47 3 2 2 2" xfId="29070" xr:uid="{F9928B33-E390-4946-8628-C87C3FD7E0D9}"/>
    <cellStyle name="Percentuale 47 3 2 2 3" xfId="29069" xr:uid="{F9EA3678-4580-4A87-8CF4-C22FD4C0876B}"/>
    <cellStyle name="Percentuale 47 3 2 3" xfId="8158" xr:uid="{9E8FE9F2-76D2-46BE-B712-5A32D68A0C2D}"/>
    <cellStyle name="Percentuale 47 3 2 3 2" xfId="14157" xr:uid="{F7EB08EF-D1AC-4981-9CC7-48D2DE3F6FA5}"/>
    <cellStyle name="Percentuale 47 3 2 3 3" xfId="29071" xr:uid="{CEBB26A3-680B-47CA-A9F5-D208D4B02274}"/>
    <cellStyle name="Percentuale 47 3 2 3 4" xfId="49320" xr:uid="{C73714B9-5219-41A5-9605-DF283308B470}"/>
    <cellStyle name="Percentuale 47 3 2 4" xfId="29072" xr:uid="{FDBCA576-FF31-42FD-81F3-BDB5C17E9F6B}"/>
    <cellStyle name="Percentuale 47 3 2 5" xfId="29068" xr:uid="{99CEC83B-BA01-4FA9-B386-900F02BCBA91}"/>
    <cellStyle name="Percentuale 47 3 3" xfId="4435" xr:uid="{F022C333-ADCA-425B-B780-900E1C5D78B0}"/>
    <cellStyle name="Percentuale 47 3 3 2" xfId="9521" xr:uid="{357FEDB5-7D90-45F3-8901-D1FAF27F7957}"/>
    <cellStyle name="Percentuale 47 3 3 2 2" xfId="29074" xr:uid="{AC4B5F5D-045A-4E0A-ADF9-3C9EE695A355}"/>
    <cellStyle name="Percentuale 47 3 3 3" xfId="29075" xr:uid="{0EB8A82E-60B0-4A96-BE0D-5DD97BED703B}"/>
    <cellStyle name="Percentuale 47 3 3 4" xfId="29076" xr:uid="{ABE74CED-2C51-4CD4-9592-22CAAF846D63}"/>
    <cellStyle name="Percentuale 47 3 3 4 2" xfId="49321" xr:uid="{543FB6DC-1E50-434D-B5EC-B238BEB8296B}"/>
    <cellStyle name="Percentuale 47 3 3 5" xfId="29073" xr:uid="{37BC65B4-2289-490A-9C9F-BF50B4F97272}"/>
    <cellStyle name="Percentuale 47 3 4" xfId="4436" xr:uid="{AF0E532D-853F-4522-A12D-E68A9EB97769}"/>
    <cellStyle name="Percentuale 47 3 4 2" xfId="13818" xr:uid="{5A10E945-E278-44E4-8F06-E79D1EA3E4C5}"/>
    <cellStyle name="Percentuale 47 3 4 3" xfId="29077" xr:uid="{B09703DC-63A0-4772-8489-4669EFC5BE81}"/>
    <cellStyle name="Percentuale 47 3 5" xfId="11166" xr:uid="{9D4A0221-A6EC-447F-B906-5384981FBE83}"/>
    <cellStyle name="Percentuale 47 3 5 2" xfId="29078" xr:uid="{D2AC110F-C783-452A-8C11-93E48F001491}"/>
    <cellStyle name="Percentuale 47 3 6" xfId="29079" xr:uid="{60C396E8-B0AB-48A9-B1F4-447ED68C8748}"/>
    <cellStyle name="Percentuale 47 3 6 2" xfId="49322" xr:uid="{5E17BD42-FAD2-4FB5-869A-60456C2B18F0}"/>
    <cellStyle name="Percentuale 47 3 7" xfId="29080" xr:uid="{1FAC1BBA-51BE-4CA8-AF5D-D1014C9E7463}"/>
    <cellStyle name="Percentuale 47 3 8" xfId="29067" xr:uid="{1982E6D7-634B-4AA2-8182-35449038C836}"/>
    <cellStyle name="Percentuale 47 4" xfId="2437" xr:uid="{00000000-0005-0000-0000-000013090000}"/>
    <cellStyle name="Percentuale 47 4 2" xfId="2438" xr:uid="{00000000-0005-0000-0000-000014090000}"/>
    <cellStyle name="Percentuale 47 4 2 2" xfId="9522" xr:uid="{AE46DECF-E2DE-4D22-B852-8B24F62A2310}"/>
    <cellStyle name="Percentuale 47 4 2 2 2" xfId="29083" xr:uid="{63855FA0-DB4B-47BB-9ADB-F23DB56D557B}"/>
    <cellStyle name="Percentuale 47 4 2 3" xfId="17943" xr:uid="{EF531589-7D34-48FD-96E0-032A630CAB25}"/>
    <cellStyle name="Percentuale 47 4 2 3 2" xfId="29084" xr:uid="{1CF2EC0A-FF12-4061-BD8D-46EC567001D4}"/>
    <cellStyle name="Percentuale 47 4 2 4" xfId="29082" xr:uid="{B3E584D4-64A4-41D8-A533-5DDD17E441CF}"/>
    <cellStyle name="Percentuale 47 4 2 5" xfId="17553" xr:uid="{41E0B2B7-C126-458E-8A21-D5CF8E67C878}"/>
    <cellStyle name="Percentuale 47 4 3" xfId="9523" xr:uid="{FE240EAD-E656-4CB2-87B5-5BBC10DA87A0}"/>
    <cellStyle name="Percentuale 47 4 3 2" xfId="29085" xr:uid="{D943FF66-B037-4E2E-BE04-3B8A28E926A4}"/>
    <cellStyle name="Percentuale 47 4 4" xfId="29086" xr:uid="{146D33A0-DDA3-4641-B6A6-7FB976865787}"/>
    <cellStyle name="Percentuale 47 4 5" xfId="29087" xr:uid="{9E79FB15-C55C-447A-A812-E577624313F4}"/>
    <cellStyle name="Percentuale 47 4 5 2" xfId="49323" xr:uid="{4399245C-455E-4AA7-BDDA-6649615F0BC6}"/>
    <cellStyle name="Percentuale 47 4 6" xfId="29088" xr:uid="{2EE92947-50EE-406D-BE59-3069B72CD373}"/>
    <cellStyle name="Percentuale 47 4 7" xfId="29081" xr:uid="{E4E119CB-1DDF-40DB-A91D-3ADD77C945BE}"/>
    <cellStyle name="Percentuale 47 5" xfId="2439" xr:uid="{00000000-0005-0000-0000-000015090000}"/>
    <cellStyle name="Percentuale 47 5 2" xfId="29090" xr:uid="{E864FCB7-A47A-47DD-868A-8C54ECE8ABA0}"/>
    <cellStyle name="Percentuale 47 5 3" xfId="29091" xr:uid="{A6DB08C9-D0E2-4172-B745-9CDD9BF3D8C5}"/>
    <cellStyle name="Percentuale 47 5 3 2" xfId="49324" xr:uid="{B3D1165D-F6EF-4D7D-8363-EFF13398C23F}"/>
    <cellStyle name="Percentuale 47 5 4" xfId="29092" xr:uid="{845B9A57-17A4-431E-A0CE-A5BC1188C790}"/>
    <cellStyle name="Percentuale 47 5 5" xfId="29089" xr:uid="{14DBDBFB-6AE9-47EC-B22F-9FFDFC928962}"/>
    <cellStyle name="Percentuale 47 6" xfId="4437" xr:uid="{7360B186-F4AA-4A6C-8487-02465BE41720}"/>
    <cellStyle name="Percentuale 47 6 2" xfId="9852" xr:uid="{A3D8DD0D-3D58-4DC8-B6B1-9A3FDF41F6BB}"/>
    <cellStyle name="Percentuale 47 6 3" xfId="29093" xr:uid="{D1553C20-E95E-4D65-B3D2-F77AB0A37F8C}"/>
    <cellStyle name="Percentuale 47 7" xfId="29094" xr:uid="{15342A06-60E1-42FB-9123-A1840F99A4C2}"/>
    <cellStyle name="Percentuale 47 7 2" xfId="49325" xr:uid="{73B8FAE9-FA4B-452E-95AB-0F9B6AD0AABD}"/>
    <cellStyle name="Percentuale 47 8" xfId="29061" xr:uid="{007B9302-4096-4FD3-ADE0-01B27497BB4F}"/>
    <cellStyle name="Percentuale 48" xfId="1138" xr:uid="{00000000-0005-0000-0000-000016090000}"/>
    <cellStyle name="Percentuale 48 2" xfId="1139" xr:uid="{00000000-0005-0000-0000-000017090000}"/>
    <cellStyle name="Percentuale 48 2 2" xfId="4438" xr:uid="{726D400F-8AAB-4727-B0FD-CED49B17E748}"/>
    <cellStyle name="Percentuale 48 2 2 2" xfId="13604" xr:uid="{0E4DC948-3A13-4F5B-9498-550B18DE8645}"/>
    <cellStyle name="Percentuale 48 2 2 3" xfId="29097" xr:uid="{135728F5-3571-4902-87BE-C1F17C2EB57B}"/>
    <cellStyle name="Percentuale 48 2 3" xfId="13342" xr:uid="{EAF70912-C57D-4DDE-88DB-AC817DDD1530}"/>
    <cellStyle name="Percentuale 48 2 3 2" xfId="29098" xr:uid="{92CFB495-A038-489C-BDBA-E9D4B92555F5}"/>
    <cellStyle name="Percentuale 48 2 4" xfId="29099" xr:uid="{7358E7FB-8A56-4B6D-B6C6-EBB78C4EEDB1}"/>
    <cellStyle name="Percentuale 48 2 4 2" xfId="49326" xr:uid="{FFA987D4-9DCD-4945-98AD-1E9D9CF52217}"/>
    <cellStyle name="Percentuale 48 2 5" xfId="29100" xr:uid="{947670E7-4ADA-4B40-AE1F-153A264EA1A1}"/>
    <cellStyle name="Percentuale 48 2 6" xfId="29096" xr:uid="{B021DD08-2419-4760-B92B-E8C4FF4EE66E}"/>
    <cellStyle name="Percentuale 48 3" xfId="1140" xr:uid="{00000000-0005-0000-0000-000018090000}"/>
    <cellStyle name="Percentuale 48 3 2" xfId="1141" xr:uid="{00000000-0005-0000-0000-000019090000}"/>
    <cellStyle name="Percentuale 48 3 2 2" xfId="2440" xr:uid="{00000000-0005-0000-0000-00001A090000}"/>
    <cellStyle name="Percentuale 48 3 2 2 2" xfId="29104" xr:uid="{6FF85950-8BE1-49DA-93E9-4DE3CB2F0EE5}"/>
    <cellStyle name="Percentuale 48 3 2 2 3" xfId="29103" xr:uid="{BFC1FC00-A207-44B8-8786-D795708C38E2}"/>
    <cellStyle name="Percentuale 48 3 2 3" xfId="8159" xr:uid="{5859D02E-5A21-47C3-AC7D-F036987EE756}"/>
    <cellStyle name="Percentuale 48 3 2 3 2" xfId="14158" xr:uid="{699CC89C-6E5A-40C2-929B-F4F8EFAE5C21}"/>
    <cellStyle name="Percentuale 48 3 2 3 3" xfId="29105" xr:uid="{420CA379-D040-4157-8EE7-56496B80E9E6}"/>
    <cellStyle name="Percentuale 48 3 2 3 4" xfId="49327" xr:uid="{7CB44C46-32CE-4F03-A07C-00C39E3521CD}"/>
    <cellStyle name="Percentuale 48 3 2 4" xfId="29106" xr:uid="{7A5BCB40-CB42-4EFE-8DBB-3779E1A6109F}"/>
    <cellStyle name="Percentuale 48 3 2 5" xfId="29102" xr:uid="{F8D1F09D-BFA5-4386-A788-A1B05ADBF42D}"/>
    <cellStyle name="Percentuale 48 3 3" xfId="4439" xr:uid="{A6436C44-8D95-41B5-9996-51064F542FE6}"/>
    <cellStyle name="Percentuale 48 3 3 2" xfId="9524" xr:uid="{E80F94CF-35EB-45AF-9383-7F42D086721E}"/>
    <cellStyle name="Percentuale 48 3 3 2 2" xfId="29108" xr:uid="{5DD562D3-626A-455F-B9E2-A4A2EEAFE5AD}"/>
    <cellStyle name="Percentuale 48 3 3 3" xfId="29109" xr:uid="{D8F2F02E-383E-41F3-A686-171A42FA2F64}"/>
    <cellStyle name="Percentuale 48 3 3 4" xfId="29110" xr:uid="{58B851DF-693E-4C1D-A012-2FBD57922233}"/>
    <cellStyle name="Percentuale 48 3 3 4 2" xfId="49328" xr:uid="{E2113F52-7573-48B4-AAC1-8157526C9110}"/>
    <cellStyle name="Percentuale 48 3 3 5" xfId="29107" xr:uid="{FB7F2A3C-0BA5-492E-AD24-10F17DDA5FD5}"/>
    <cellStyle name="Percentuale 48 3 4" xfId="4440" xr:uid="{C5EA6DBE-E426-499E-A3B3-1B7451E8C5FE}"/>
    <cellStyle name="Percentuale 48 3 4 2" xfId="13819" xr:uid="{B501E471-1319-4148-9A40-60B8F3D5EB2D}"/>
    <cellStyle name="Percentuale 48 3 4 3" xfId="29111" xr:uid="{3D54B192-D29B-4DF7-9CB6-BE15C58ACF5C}"/>
    <cellStyle name="Percentuale 48 3 5" xfId="11504" xr:uid="{44F0054C-0116-4DFD-8EC7-157DD7BF8CC4}"/>
    <cellStyle name="Percentuale 48 3 5 2" xfId="29112" xr:uid="{496D2114-2C12-4CCB-A845-929B05209968}"/>
    <cellStyle name="Percentuale 48 3 6" xfId="29113" xr:uid="{0B07FB00-15A0-4625-8A7C-BE5F80009FFF}"/>
    <cellStyle name="Percentuale 48 3 6 2" xfId="49329" xr:uid="{D1E31ADE-320E-4256-AE2D-0EB46CED943C}"/>
    <cellStyle name="Percentuale 48 3 7" xfId="29114" xr:uid="{EFC1671E-F030-4A42-BC32-6311B20409C7}"/>
    <cellStyle name="Percentuale 48 3 8" xfId="29101" xr:uid="{F82D2FDB-50B6-413C-8FF6-BC1BAC69D185}"/>
    <cellStyle name="Percentuale 48 4" xfId="2441" xr:uid="{00000000-0005-0000-0000-00001B090000}"/>
    <cellStyle name="Percentuale 48 4 2" xfId="2442" xr:uid="{00000000-0005-0000-0000-00001C090000}"/>
    <cellStyle name="Percentuale 48 4 2 2" xfId="9525" xr:uid="{D6C684F7-D6CE-45C3-A128-532EE0EBD194}"/>
    <cellStyle name="Percentuale 48 4 2 2 2" xfId="29117" xr:uid="{5BC23194-D933-471F-8C8E-FE92D5360426}"/>
    <cellStyle name="Percentuale 48 4 2 3" xfId="17944" xr:uid="{C52D1AE8-13A9-4D19-967B-9A34712EA080}"/>
    <cellStyle name="Percentuale 48 4 2 3 2" xfId="29118" xr:uid="{F1EFD1F9-EBB2-412E-A63A-CA1BBF0DC015}"/>
    <cellStyle name="Percentuale 48 4 2 4" xfId="29116" xr:uid="{83D4A21E-E58C-4A48-BEAB-9E1BFA2D38B9}"/>
    <cellStyle name="Percentuale 48 4 2 5" xfId="17554" xr:uid="{F3E38C3A-CBB8-4360-8C71-8704F5D59E12}"/>
    <cellStyle name="Percentuale 48 4 3" xfId="9526" xr:uid="{B020DC18-5186-4ADC-8122-CC85347266AC}"/>
    <cellStyle name="Percentuale 48 4 3 2" xfId="29119" xr:uid="{FADE11B4-42C8-4C8C-B645-196110A54155}"/>
    <cellStyle name="Percentuale 48 4 4" xfId="29120" xr:uid="{E493EE47-CDE8-4112-814D-3EC9DC3C34AE}"/>
    <cellStyle name="Percentuale 48 4 5" xfId="29121" xr:uid="{B5B44935-4C54-45DE-BE48-0FEACD8E6FAB}"/>
    <cellStyle name="Percentuale 48 4 5 2" xfId="49330" xr:uid="{DDF5FE1D-D418-4E71-895D-FFBA828B20D6}"/>
    <cellStyle name="Percentuale 48 4 6" xfId="29122" xr:uid="{9CDC4226-C30E-408F-AD7B-12229733FD98}"/>
    <cellStyle name="Percentuale 48 4 7" xfId="29115" xr:uid="{B848368D-EC58-47DE-BAE3-C914959B5EA8}"/>
    <cellStyle name="Percentuale 48 5" xfId="2443" xr:uid="{00000000-0005-0000-0000-00001D090000}"/>
    <cellStyle name="Percentuale 48 5 2" xfId="29124" xr:uid="{1AA28D7E-C1A8-45DF-AF32-F30EF0F7924B}"/>
    <cellStyle name="Percentuale 48 5 3" xfId="29125" xr:uid="{23C60DD3-741E-4A4F-B328-97EBE85D0F2C}"/>
    <cellStyle name="Percentuale 48 5 3 2" xfId="49331" xr:uid="{940DDA41-496A-49D2-BEB1-3A1799792183}"/>
    <cellStyle name="Percentuale 48 5 4" xfId="29126" xr:uid="{2A4313E8-B600-4C0E-A67C-E3B8A598C1E1}"/>
    <cellStyle name="Percentuale 48 5 5" xfId="29123" xr:uid="{8AF5E8B3-1B46-432A-9AD2-E3F991785AEA}"/>
    <cellStyle name="Percentuale 48 6" xfId="4441" xr:uid="{7267F761-77BB-4BE3-9ED5-46A589F9F548}"/>
    <cellStyle name="Percentuale 48 6 2" xfId="9853" xr:uid="{D86AED23-3DB2-420C-A064-DA753D7B1F8D}"/>
    <cellStyle name="Percentuale 48 6 3" xfId="29127" xr:uid="{8607C9ED-5269-4374-9AE7-659476188221}"/>
    <cellStyle name="Percentuale 48 7" xfId="29128" xr:uid="{A0C57FCB-0788-4D15-A91F-C987B80A4C54}"/>
    <cellStyle name="Percentuale 48 7 2" xfId="49332" xr:uid="{FF2FFC2C-914A-4D7D-B412-C9F4D123E2CB}"/>
    <cellStyle name="Percentuale 48 8" xfId="29095" xr:uid="{025FA5AC-8937-48F7-B8ED-C8AA218FCE5B}"/>
    <cellStyle name="Percentuale 49" xfId="1142" xr:uid="{00000000-0005-0000-0000-00001E090000}"/>
    <cellStyle name="Percentuale 49 2" xfId="1143" xr:uid="{00000000-0005-0000-0000-00001F090000}"/>
    <cellStyle name="Percentuale 49 2 2" xfId="4442" xr:uid="{56C6A778-CCEC-4924-96BD-BF5B699F9CBC}"/>
    <cellStyle name="Percentuale 49 2 2 2" xfId="13605" xr:uid="{5F90D7CF-AA64-403E-91A0-7E81BAB2168A}"/>
    <cellStyle name="Percentuale 49 2 2 3" xfId="29131" xr:uid="{5C1BAEDF-1C6A-4989-BC80-2F5EEA7DCDE9}"/>
    <cellStyle name="Percentuale 49 2 3" xfId="13343" xr:uid="{D4C6D712-E34C-4E87-9000-F6110E3F8624}"/>
    <cellStyle name="Percentuale 49 2 3 2" xfId="29132" xr:uid="{2C880F9B-D980-4A93-8C0D-274D4ED91D33}"/>
    <cellStyle name="Percentuale 49 2 4" xfId="29133" xr:uid="{55F10094-9666-477F-9C11-FE28EDBE96F5}"/>
    <cellStyle name="Percentuale 49 2 4 2" xfId="49333" xr:uid="{932E46F2-72A0-4195-93DD-7CE36EC39DD5}"/>
    <cellStyle name="Percentuale 49 2 5" xfId="29134" xr:uid="{FA555B64-6321-481C-ACD2-CBCBF2FE4571}"/>
    <cellStyle name="Percentuale 49 2 6" xfId="29130" xr:uid="{F15AFB78-05C8-44F7-902B-3F4CAE0B441E}"/>
    <cellStyle name="Percentuale 49 3" xfId="1144" xr:uid="{00000000-0005-0000-0000-000020090000}"/>
    <cellStyle name="Percentuale 49 3 2" xfId="1145" xr:uid="{00000000-0005-0000-0000-000021090000}"/>
    <cellStyle name="Percentuale 49 3 2 2" xfId="2444" xr:uid="{00000000-0005-0000-0000-000022090000}"/>
    <cellStyle name="Percentuale 49 3 2 2 2" xfId="29138" xr:uid="{862B8CF0-151E-4F47-87CE-4669ABC0BEAC}"/>
    <cellStyle name="Percentuale 49 3 2 2 3" xfId="29137" xr:uid="{DF55E67B-182F-4E9A-A17E-FD4D96100475}"/>
    <cellStyle name="Percentuale 49 3 2 3" xfId="8160" xr:uid="{E439E632-DE93-40CA-81DA-AAC77EC19ABE}"/>
    <cellStyle name="Percentuale 49 3 2 3 2" xfId="14159" xr:uid="{4A8F5A4B-E507-4C82-8EE3-344E6B3A5668}"/>
    <cellStyle name="Percentuale 49 3 2 3 3" xfId="29139" xr:uid="{90CACB0B-EB53-42D5-BFB9-E55F30DF864D}"/>
    <cellStyle name="Percentuale 49 3 2 3 4" xfId="49334" xr:uid="{F3DB2F15-4B9A-4FFF-883C-F20C2E43129A}"/>
    <cellStyle name="Percentuale 49 3 2 4" xfId="29140" xr:uid="{24CCF10A-5A5F-46C4-BFD4-6F74EC1FBB3C}"/>
    <cellStyle name="Percentuale 49 3 2 5" xfId="29136" xr:uid="{5FD14598-D111-40AB-A399-A06052EF91A7}"/>
    <cellStyle name="Percentuale 49 3 3" xfId="4443" xr:uid="{F01A5C83-2823-4E10-9E51-BB8C5677BE26}"/>
    <cellStyle name="Percentuale 49 3 3 2" xfId="9527" xr:uid="{1FC3A8E8-0524-43DE-92A9-01C0DD6D9600}"/>
    <cellStyle name="Percentuale 49 3 3 2 2" xfId="29142" xr:uid="{93D97388-1FCF-4851-BE62-FBD16C6BC1CD}"/>
    <cellStyle name="Percentuale 49 3 3 3" xfId="29143" xr:uid="{E0EBEE13-1680-4ECF-B934-EC4D0AC35725}"/>
    <cellStyle name="Percentuale 49 3 3 4" xfId="29144" xr:uid="{2EAD393C-331F-49F9-B734-8E08F706246A}"/>
    <cellStyle name="Percentuale 49 3 3 4 2" xfId="49335" xr:uid="{87580D06-EF0E-43C1-A53A-47632E7CF21B}"/>
    <cellStyle name="Percentuale 49 3 3 5" xfId="29141" xr:uid="{0D6FBFD7-D93E-43ED-877C-4F675CE1809E}"/>
    <cellStyle name="Percentuale 49 3 4" xfId="4444" xr:uid="{C104C444-6531-4253-BCD2-2567DDBDB7F9}"/>
    <cellStyle name="Percentuale 49 3 4 2" xfId="13820" xr:uid="{7DB9665F-E77A-41CC-B732-FE73A0414042}"/>
    <cellStyle name="Percentuale 49 3 4 3" xfId="29145" xr:uid="{EA09678F-A698-43D5-9275-3815FA635983}"/>
    <cellStyle name="Percentuale 49 3 5" xfId="12305" xr:uid="{29165F3D-AD2D-42DC-BED0-97ABC182E6C1}"/>
    <cellStyle name="Percentuale 49 3 5 2" xfId="29146" xr:uid="{A7CE7877-FF3A-4A76-BF17-88EA1CF6A957}"/>
    <cellStyle name="Percentuale 49 3 6" xfId="29147" xr:uid="{F935082A-9B34-425D-83E2-78ED119C15AE}"/>
    <cellStyle name="Percentuale 49 3 6 2" xfId="49336" xr:uid="{66673B42-C079-4BB6-977A-FC71D71F32C7}"/>
    <cellStyle name="Percentuale 49 3 7" xfId="29148" xr:uid="{36558D95-6A70-40C9-BC57-AD4AD8695047}"/>
    <cellStyle name="Percentuale 49 3 8" xfId="29135" xr:uid="{14EE3A23-7CDB-4EBB-87BD-CD18370EAA3F}"/>
    <cellStyle name="Percentuale 49 4" xfId="2445" xr:uid="{00000000-0005-0000-0000-000023090000}"/>
    <cellStyle name="Percentuale 49 4 2" xfId="2446" xr:uid="{00000000-0005-0000-0000-000024090000}"/>
    <cellStyle name="Percentuale 49 4 2 2" xfId="9528" xr:uid="{3696F445-0D24-4208-905A-DABBA11575A7}"/>
    <cellStyle name="Percentuale 49 4 2 2 2" xfId="29151" xr:uid="{9C634CB0-72C5-4C7D-90B8-5B3F95D0B7FE}"/>
    <cellStyle name="Percentuale 49 4 2 3" xfId="17945" xr:uid="{D26DF829-669B-4845-B2FB-9825A59B5A13}"/>
    <cellStyle name="Percentuale 49 4 2 3 2" xfId="29152" xr:uid="{72933ECF-3DBD-4594-BEE0-6B425BFC8059}"/>
    <cellStyle name="Percentuale 49 4 2 4" xfId="29150" xr:uid="{FAE3A960-401C-4A70-951F-8E829049353B}"/>
    <cellStyle name="Percentuale 49 4 2 5" xfId="17555" xr:uid="{0C6C82C7-7DD1-48D2-ADA7-CC4EA758EC8E}"/>
    <cellStyle name="Percentuale 49 4 3" xfId="9529" xr:uid="{1E8450C4-8333-4783-983F-90520A196A83}"/>
    <cellStyle name="Percentuale 49 4 3 2" xfId="29153" xr:uid="{9FAFCA4A-EFAD-45B2-A0D1-3DB63CFFEA56}"/>
    <cellStyle name="Percentuale 49 4 4" xfId="29154" xr:uid="{108C837D-F9B7-472F-A0FE-BF7489FE1D93}"/>
    <cellStyle name="Percentuale 49 4 5" xfId="29155" xr:uid="{B54F3FD3-F40B-4B2A-ACFF-DFCBCDB8B0A0}"/>
    <cellStyle name="Percentuale 49 4 5 2" xfId="49337" xr:uid="{65151EBA-5EBD-4C97-8ABA-8BE22E970863}"/>
    <cellStyle name="Percentuale 49 4 6" xfId="29156" xr:uid="{0B1464E8-BE29-457C-A565-57C5FE7D8044}"/>
    <cellStyle name="Percentuale 49 4 7" xfId="29149" xr:uid="{48CB4421-F135-4A9C-A006-A6DBC1B5F361}"/>
    <cellStyle name="Percentuale 49 5" xfId="2447" xr:uid="{00000000-0005-0000-0000-000025090000}"/>
    <cellStyle name="Percentuale 49 5 2" xfId="29158" xr:uid="{836E0550-F3A0-4616-A49C-90E9AFA5FCD9}"/>
    <cellStyle name="Percentuale 49 5 3" xfId="29159" xr:uid="{009F5C24-0AAE-4D26-AC0A-212386C60702}"/>
    <cellStyle name="Percentuale 49 5 3 2" xfId="49338" xr:uid="{FFD59075-539B-449B-B36E-EF2E0957D8B8}"/>
    <cellStyle name="Percentuale 49 5 4" xfId="29160" xr:uid="{3C3F1001-B4DA-4F06-A916-1CD615DEA2C9}"/>
    <cellStyle name="Percentuale 49 5 5" xfId="29157" xr:uid="{A16B1158-00AE-47AB-B4FF-2A4865BC96F3}"/>
    <cellStyle name="Percentuale 49 6" xfId="4445" xr:uid="{B0A69839-8799-4BB8-A746-D9337588C0BD}"/>
    <cellStyle name="Percentuale 49 6 2" xfId="9854" xr:uid="{5C29F8C3-0A7C-4A7C-803F-C28D177B3F27}"/>
    <cellStyle name="Percentuale 49 6 3" xfId="29161" xr:uid="{0F739F6A-E4C6-435A-B249-F70563B1A10D}"/>
    <cellStyle name="Percentuale 49 7" xfId="29162" xr:uid="{365E1AD9-934A-488A-8184-C74372D8402E}"/>
    <cellStyle name="Percentuale 49 7 2" xfId="49339" xr:uid="{86094AF6-1A8E-4C44-B35C-2189C2F5B8ED}"/>
    <cellStyle name="Percentuale 49 8" xfId="29129" xr:uid="{CF661492-88E1-4679-8CE2-EA1E047A37FE}"/>
    <cellStyle name="Percentuale 5" xfId="1146" xr:uid="{00000000-0005-0000-0000-000026090000}"/>
    <cellStyle name="Percentuale 5 2" xfId="1147" xr:uid="{00000000-0005-0000-0000-000027090000}"/>
    <cellStyle name="Percentuale 5 2 2" xfId="4446" xr:uid="{E251CB64-84D1-4EEB-B6F5-0C6611F4CDC3}"/>
    <cellStyle name="Percentuale 5 2 2 2" xfId="13606" xr:uid="{5C611B22-AC09-4B58-9363-C861422509B7}"/>
    <cellStyle name="Percentuale 5 2 2 3" xfId="29165" xr:uid="{4F77B343-0317-4E60-B211-6A0F0B21919E}"/>
    <cellStyle name="Percentuale 5 2 3" xfId="13344" xr:uid="{CEA522B1-E9F2-4D29-BF93-70F864D331C8}"/>
    <cellStyle name="Percentuale 5 2 3 2" xfId="29166" xr:uid="{79BCCA3F-6FA2-4CCD-9385-1F06258DC04A}"/>
    <cellStyle name="Percentuale 5 2 4" xfId="29167" xr:uid="{F7411113-035A-46EF-8E69-27FA1D22B275}"/>
    <cellStyle name="Percentuale 5 2 4 2" xfId="49340" xr:uid="{EFE731BB-8038-4B1A-A07E-9F968DC44495}"/>
    <cellStyle name="Percentuale 5 2 5" xfId="29168" xr:uid="{9EC972A8-66F7-43E3-B244-2AB3BB033D13}"/>
    <cellStyle name="Percentuale 5 2 6" xfId="29164" xr:uid="{CA31BE28-0B18-4249-BBAF-748403FDAA28}"/>
    <cellStyle name="Percentuale 5 3" xfId="1148" xr:uid="{00000000-0005-0000-0000-000028090000}"/>
    <cellStyle name="Percentuale 5 3 2" xfId="1149" xr:uid="{00000000-0005-0000-0000-000029090000}"/>
    <cellStyle name="Percentuale 5 3 2 2" xfId="2448" xr:uid="{00000000-0005-0000-0000-00002A090000}"/>
    <cellStyle name="Percentuale 5 3 2 2 2" xfId="29172" xr:uid="{83236413-342F-4DF1-8B28-55E8F5A7DB83}"/>
    <cellStyle name="Percentuale 5 3 2 2 3" xfId="29171" xr:uid="{930E55CC-BF42-4FF5-B122-30AC1C5A3370}"/>
    <cellStyle name="Percentuale 5 3 2 3" xfId="8161" xr:uid="{0A2FB4F4-0472-4EB1-A952-BDF2DFAA3D7C}"/>
    <cellStyle name="Percentuale 5 3 2 3 2" xfId="14160" xr:uid="{35785E49-37F5-4FCE-9E8F-48819FD7768C}"/>
    <cellStyle name="Percentuale 5 3 2 3 3" xfId="29173" xr:uid="{0A8F557A-2A4A-4E2C-A830-883A90F641F0}"/>
    <cellStyle name="Percentuale 5 3 2 3 4" xfId="49341" xr:uid="{1A9AF202-6515-4CF4-AC3B-AE6956113144}"/>
    <cellStyle name="Percentuale 5 3 2 4" xfId="29174" xr:uid="{F1CFD0DE-CD29-4698-9045-3F86719525EA}"/>
    <cellStyle name="Percentuale 5 3 2 5" xfId="29170" xr:uid="{C5106076-3700-412C-B950-B8076549F8F6}"/>
    <cellStyle name="Percentuale 5 3 3" xfId="4447" xr:uid="{1BCA16C4-B910-4012-B52F-6E5399E67E8A}"/>
    <cellStyle name="Percentuale 5 3 3 2" xfId="9530" xr:uid="{CBDC7943-0F14-4F40-8F22-2A222BDF8BE1}"/>
    <cellStyle name="Percentuale 5 3 3 2 2" xfId="29176" xr:uid="{DDF6B7DE-2481-4D6C-9586-C4DF0C72C5D4}"/>
    <cellStyle name="Percentuale 5 3 3 3" xfId="29177" xr:uid="{264D29E0-5796-4693-A1F5-43DEC95F9EA2}"/>
    <cellStyle name="Percentuale 5 3 3 4" xfId="29178" xr:uid="{FDEC0BD5-08C0-4B16-B459-8B161EE6B38E}"/>
    <cellStyle name="Percentuale 5 3 3 4 2" xfId="49342" xr:uid="{D15E6F08-FC81-47B5-822D-B4121E54BDEF}"/>
    <cellStyle name="Percentuale 5 3 3 5" xfId="29175" xr:uid="{81315776-02F5-487C-8180-F2038C4EBB4B}"/>
    <cellStyle name="Percentuale 5 3 4" xfId="4448" xr:uid="{4BD6F7BE-EB6A-4D14-878A-FE17DA0AEA50}"/>
    <cellStyle name="Percentuale 5 3 4 2" xfId="13821" xr:uid="{72A30908-E5F8-4828-80FE-AB6215CE4BD6}"/>
    <cellStyle name="Percentuale 5 3 4 3" xfId="29179" xr:uid="{55A03A92-0F2E-4550-828D-9D044DBCCBD9}"/>
    <cellStyle name="Percentuale 5 3 5" xfId="11421" xr:uid="{DA55A9FA-C511-4651-8D50-92974522CD75}"/>
    <cellStyle name="Percentuale 5 3 5 2" xfId="29180" xr:uid="{520A9119-DF08-4F55-B76D-05BA74B9F549}"/>
    <cellStyle name="Percentuale 5 3 6" xfId="29181" xr:uid="{078FAA4F-4FC1-4373-8C02-8E1268052A08}"/>
    <cellStyle name="Percentuale 5 3 6 2" xfId="49343" xr:uid="{8A855F35-AC76-482C-8AF4-ECEAC5A1BFF9}"/>
    <cellStyle name="Percentuale 5 3 7" xfId="29182" xr:uid="{165D73B8-43AF-42A4-ACB9-882E3808DFA5}"/>
    <cellStyle name="Percentuale 5 3 8" xfId="29169" xr:uid="{446B008A-3151-403A-AF67-69603CF05E47}"/>
    <cellStyle name="Percentuale 5 4" xfId="2449" xr:uid="{00000000-0005-0000-0000-00002B090000}"/>
    <cellStyle name="Percentuale 5 4 2" xfId="2450" xr:uid="{00000000-0005-0000-0000-00002C090000}"/>
    <cellStyle name="Percentuale 5 4 2 2" xfId="9531" xr:uid="{36D5706F-F1BC-4173-96CF-5AC3CE49F85F}"/>
    <cellStyle name="Percentuale 5 4 2 2 2" xfId="29185" xr:uid="{949ADE72-E530-46AD-8C00-9292EDC3116C}"/>
    <cellStyle name="Percentuale 5 4 2 3" xfId="17946" xr:uid="{226F19D7-8A7E-47B6-B8A8-517866132670}"/>
    <cellStyle name="Percentuale 5 4 2 3 2" xfId="29186" xr:uid="{90F5D510-62AD-432D-89F8-C6FCFA998C94}"/>
    <cellStyle name="Percentuale 5 4 2 4" xfId="29184" xr:uid="{D3AEC036-721A-4CBE-A854-9C2DD6544798}"/>
    <cellStyle name="Percentuale 5 4 2 5" xfId="17556" xr:uid="{1AB3CC85-92ED-4942-BBB4-C8A2E59C7379}"/>
    <cellStyle name="Percentuale 5 4 3" xfId="9532" xr:uid="{13BDD967-07F4-4E01-A9A4-797302EFA1CC}"/>
    <cellStyle name="Percentuale 5 4 3 2" xfId="29187" xr:uid="{7482DFA6-1096-43FB-A513-5CFC602058F8}"/>
    <cellStyle name="Percentuale 5 4 4" xfId="29188" xr:uid="{6C77FA7E-D6BB-48B3-9B19-54A56688F625}"/>
    <cellStyle name="Percentuale 5 4 5" xfId="29189" xr:uid="{14897904-467C-4AF8-83E0-101C0F43B2A1}"/>
    <cellStyle name="Percentuale 5 4 5 2" xfId="49344" xr:uid="{6971A219-0975-4BFA-9479-D0B4EF2F7682}"/>
    <cellStyle name="Percentuale 5 4 6" xfId="29190" xr:uid="{FC3587A4-EFDD-406E-8049-F1377E8D2A58}"/>
    <cellStyle name="Percentuale 5 4 7" xfId="29183" xr:uid="{36B2075B-545B-4496-BE07-FAF9FDB672BB}"/>
    <cellStyle name="Percentuale 5 5" xfId="2451" xr:uid="{00000000-0005-0000-0000-00002D090000}"/>
    <cellStyle name="Percentuale 5 5 2" xfId="29192" xr:uid="{B72C683F-FFE4-4D0A-A2EA-E9002C9D1B3F}"/>
    <cellStyle name="Percentuale 5 5 3" xfId="29193" xr:uid="{CA217BA6-9A44-4220-BFA6-2347D1D0090B}"/>
    <cellStyle name="Percentuale 5 5 3 2" xfId="49345" xr:uid="{127F66C1-592C-4F61-B298-E46197ABF1A2}"/>
    <cellStyle name="Percentuale 5 5 4" xfId="29194" xr:uid="{37F794F8-435A-4730-AD34-EBEC4364031B}"/>
    <cellStyle name="Percentuale 5 5 5" xfId="29191" xr:uid="{1B5358D7-D5EE-4C14-81E2-163526C37BED}"/>
    <cellStyle name="Percentuale 5 6" xfId="4449" xr:uid="{3C0AC27A-EDD8-4B94-BD8F-9A02C1C62850}"/>
    <cellStyle name="Percentuale 5 6 2" xfId="9855" xr:uid="{7E50CF31-D8E0-412D-AD2E-98D2094C1B3C}"/>
    <cellStyle name="Percentuale 5 6 3" xfId="29195" xr:uid="{B4D8D8E8-D10A-45EC-89D0-C25D2BDB49DC}"/>
    <cellStyle name="Percentuale 5 7" xfId="29196" xr:uid="{7E03BE7C-CB25-4E11-8DB2-DE7B6DCA943F}"/>
    <cellStyle name="Percentuale 5 7 2" xfId="49346" xr:uid="{5108DB88-F53F-4595-9525-23BAB8CC7A9E}"/>
    <cellStyle name="Percentuale 5 8" xfId="29163" xr:uid="{D311569D-EE38-448D-B6DA-A362A3D12C11}"/>
    <cellStyle name="Percentuale 50" xfId="1150" xr:uid="{00000000-0005-0000-0000-00002E090000}"/>
    <cellStyle name="Percentuale 50 2" xfId="1151" xr:uid="{00000000-0005-0000-0000-00002F090000}"/>
    <cellStyle name="Percentuale 50 2 2" xfId="4450" xr:uid="{4554B198-268A-4855-AE4B-5DD0D1F70F50}"/>
    <cellStyle name="Percentuale 50 2 2 2" xfId="13607" xr:uid="{50B0B995-7B8D-4643-BC58-A9C4497534C5}"/>
    <cellStyle name="Percentuale 50 2 2 3" xfId="29199" xr:uid="{48EEE034-A05D-4AB1-AE12-E4F095C23D2D}"/>
    <cellStyle name="Percentuale 50 2 3" xfId="13345" xr:uid="{634BE254-169D-4EC2-B207-BD66CDA4FD2D}"/>
    <cellStyle name="Percentuale 50 2 3 2" xfId="29200" xr:uid="{66D09104-D784-41DE-8BB7-8D91274B23CC}"/>
    <cellStyle name="Percentuale 50 2 4" xfId="29201" xr:uid="{B8BDCBE0-5817-4F42-A84F-C321F55F8B0D}"/>
    <cellStyle name="Percentuale 50 2 4 2" xfId="49347" xr:uid="{E15981AB-3E90-432D-A398-7ACD693938E1}"/>
    <cellStyle name="Percentuale 50 2 5" xfId="29202" xr:uid="{53522E4F-89A6-44D2-A5F4-20267B06AC3E}"/>
    <cellStyle name="Percentuale 50 2 6" xfId="29198" xr:uid="{01AA2D09-C153-4D22-AE6F-884C5AA34F8E}"/>
    <cellStyle name="Percentuale 50 3" xfId="1152" xr:uid="{00000000-0005-0000-0000-000030090000}"/>
    <cellStyle name="Percentuale 50 3 2" xfId="1153" xr:uid="{00000000-0005-0000-0000-000031090000}"/>
    <cellStyle name="Percentuale 50 3 2 2" xfId="2452" xr:uid="{00000000-0005-0000-0000-000032090000}"/>
    <cellStyle name="Percentuale 50 3 2 2 2" xfId="29206" xr:uid="{CD86761F-C27C-4A94-9F85-FAE6B9B7F19F}"/>
    <cellStyle name="Percentuale 50 3 2 2 3" xfId="29205" xr:uid="{AF1CD0A1-045B-4E4A-9582-B6F56D517A9D}"/>
    <cellStyle name="Percentuale 50 3 2 3" xfId="8162" xr:uid="{E6BFAA82-A2A8-4411-8DB9-A4A95B971566}"/>
    <cellStyle name="Percentuale 50 3 2 3 2" xfId="14161" xr:uid="{07B0A14C-3E06-49E7-8520-16CF631DC9D0}"/>
    <cellStyle name="Percentuale 50 3 2 3 3" xfId="29207" xr:uid="{CEE1D992-C44C-45E8-BFD9-3FD3999C14A8}"/>
    <cellStyle name="Percentuale 50 3 2 3 4" xfId="49348" xr:uid="{651895BF-430E-45B8-9D27-9B333DDC933A}"/>
    <cellStyle name="Percentuale 50 3 2 4" xfId="29208" xr:uid="{B7D08A10-0984-4280-9F05-486AAA151FBB}"/>
    <cellStyle name="Percentuale 50 3 2 5" xfId="29204" xr:uid="{A0A25031-260A-4D04-9FE9-D3AD90A2D14E}"/>
    <cellStyle name="Percentuale 50 3 3" xfId="4451" xr:uid="{F72B520B-BCB3-4CB2-865A-1E0C08D3EAA1}"/>
    <cellStyle name="Percentuale 50 3 3 2" xfId="9533" xr:uid="{554F25CE-B3FD-4D9E-A24D-A6030D2826F5}"/>
    <cellStyle name="Percentuale 50 3 3 2 2" xfId="29210" xr:uid="{7F0C0738-54D5-4E60-923B-D9E3E1BEC2EC}"/>
    <cellStyle name="Percentuale 50 3 3 3" xfId="29211" xr:uid="{A9AC4E65-DB70-4301-AB6B-80E1F21BC0BC}"/>
    <cellStyle name="Percentuale 50 3 3 4" xfId="29212" xr:uid="{2C813B4B-CA9B-403B-8D41-3E937ED11D71}"/>
    <cellStyle name="Percentuale 50 3 3 4 2" xfId="49349" xr:uid="{5066D7C8-FD68-48F5-ACF0-5D8188E73E2B}"/>
    <cellStyle name="Percentuale 50 3 3 5" xfId="29209" xr:uid="{7851075E-4B79-4489-B8A0-38DF1FB398AE}"/>
    <cellStyle name="Percentuale 50 3 4" xfId="4452" xr:uid="{6A44ADA6-E7FA-48ED-8020-30324C301F8E}"/>
    <cellStyle name="Percentuale 50 3 4 2" xfId="13822" xr:uid="{E98C446E-9D3D-4D04-8A93-D9353A0CBE93}"/>
    <cellStyle name="Percentuale 50 3 4 3" xfId="29213" xr:uid="{948013CF-EE88-4E83-9735-0BD413CE2CCB}"/>
    <cellStyle name="Percentuale 50 3 5" xfId="12264" xr:uid="{A46E00FC-2B1D-44D6-8F33-2E611A7E4E1F}"/>
    <cellStyle name="Percentuale 50 3 5 2" xfId="29214" xr:uid="{612F9021-42B3-466A-8FE4-BB0D0AF5EA55}"/>
    <cellStyle name="Percentuale 50 3 6" xfId="29215" xr:uid="{4D312695-F9A7-402C-B51D-FD0B942383C7}"/>
    <cellStyle name="Percentuale 50 3 6 2" xfId="49350" xr:uid="{63131792-0CF8-460D-B977-203A1D408EDB}"/>
    <cellStyle name="Percentuale 50 3 7" xfId="29216" xr:uid="{779CF5B7-E18C-44B5-8D0E-9E9562B344ED}"/>
    <cellStyle name="Percentuale 50 3 8" xfId="29203" xr:uid="{38EB5C10-FBA2-4181-9673-92E3EF670B14}"/>
    <cellStyle name="Percentuale 50 4" xfId="2453" xr:uid="{00000000-0005-0000-0000-000033090000}"/>
    <cellStyle name="Percentuale 50 4 2" xfId="2454" xr:uid="{00000000-0005-0000-0000-000034090000}"/>
    <cellStyle name="Percentuale 50 4 2 2" xfId="9534" xr:uid="{CFD5D5E8-8871-4C42-97F6-FCD2F5070EFB}"/>
    <cellStyle name="Percentuale 50 4 2 2 2" xfId="29219" xr:uid="{06FFE6A8-4A0A-4B4A-9711-BD5DE10BA7EE}"/>
    <cellStyle name="Percentuale 50 4 2 3" xfId="17947" xr:uid="{F4E3B563-4548-43B9-8F4C-0686C92277F7}"/>
    <cellStyle name="Percentuale 50 4 2 3 2" xfId="29220" xr:uid="{9F7621FB-2F46-486C-9CAA-171F02555DFB}"/>
    <cellStyle name="Percentuale 50 4 2 4" xfId="29218" xr:uid="{B0799143-30EA-4E59-8A2E-180B75130512}"/>
    <cellStyle name="Percentuale 50 4 2 5" xfId="17557" xr:uid="{D26166B3-64BA-4EA8-AFC8-F7BEAE5278FD}"/>
    <cellStyle name="Percentuale 50 4 3" xfId="9535" xr:uid="{9422620D-59F4-4953-835A-17BC3F842885}"/>
    <cellStyle name="Percentuale 50 4 3 2" xfId="29221" xr:uid="{CD60FD5A-CC65-4327-B94B-990EF20A1A6D}"/>
    <cellStyle name="Percentuale 50 4 4" xfId="29222" xr:uid="{4CB14E13-CDDF-45C8-BE5E-C8E70D9675D2}"/>
    <cellStyle name="Percentuale 50 4 5" xfId="29223" xr:uid="{C6A54CDA-9908-4994-99CA-3C03BD89F19B}"/>
    <cellStyle name="Percentuale 50 4 5 2" xfId="49351" xr:uid="{C2B5345E-BBDD-4D54-BCC4-F034139E6FB4}"/>
    <cellStyle name="Percentuale 50 4 6" xfId="29224" xr:uid="{9CF1B362-4594-4ABF-9309-042D474C03FB}"/>
    <cellStyle name="Percentuale 50 4 7" xfId="29217" xr:uid="{3A19D1EE-4FB9-466B-8F85-04FA1621778D}"/>
    <cellStyle name="Percentuale 50 5" xfId="2455" xr:uid="{00000000-0005-0000-0000-000035090000}"/>
    <cellStyle name="Percentuale 50 5 2" xfId="29226" xr:uid="{CDBEA1E1-4039-45DE-82BF-7DFC646453A1}"/>
    <cellStyle name="Percentuale 50 5 3" xfId="29227" xr:uid="{2622E111-0C70-4FCB-B27A-BF9ADF4439BD}"/>
    <cellStyle name="Percentuale 50 5 3 2" xfId="49352" xr:uid="{5963CF92-5227-41C0-BC74-D3EC0D68A1A9}"/>
    <cellStyle name="Percentuale 50 5 4" xfId="29228" xr:uid="{B28C8718-DD8A-4586-BB0A-1557A42AD1AE}"/>
    <cellStyle name="Percentuale 50 5 5" xfId="29225" xr:uid="{335C1545-26E6-41FD-95EE-EB05A78373F3}"/>
    <cellStyle name="Percentuale 50 6" xfId="4453" xr:uid="{C87B59BC-DD55-477C-9851-3F1DA0C48FF5}"/>
    <cellStyle name="Percentuale 50 6 2" xfId="9856" xr:uid="{9CD34476-2A5F-45FC-BAF2-3323618B77E8}"/>
    <cellStyle name="Percentuale 50 6 3" xfId="29229" xr:uid="{DAF99A25-F601-422C-BC22-A9BBA747DC3E}"/>
    <cellStyle name="Percentuale 50 7" xfId="29230" xr:uid="{FCBF5DBE-391E-4CA8-B621-052CB18050FD}"/>
    <cellStyle name="Percentuale 50 7 2" xfId="49353" xr:uid="{DE633855-103B-4B93-AEF3-FA4E6E477EE3}"/>
    <cellStyle name="Percentuale 50 8" xfId="29197" xr:uid="{D6FCAAD8-D245-4348-B7D4-A74386A1F1C0}"/>
    <cellStyle name="Percentuale 51" xfId="1154" xr:uid="{00000000-0005-0000-0000-000036090000}"/>
    <cellStyle name="Percentuale 51 2" xfId="1155" xr:uid="{00000000-0005-0000-0000-000037090000}"/>
    <cellStyle name="Percentuale 51 2 2" xfId="4454" xr:uid="{0161E5EC-29D0-4721-A1E9-A5036DEF8520}"/>
    <cellStyle name="Percentuale 51 2 2 2" xfId="13608" xr:uid="{28B8FB46-CAD3-45C4-AD9A-C968F316361A}"/>
    <cellStyle name="Percentuale 51 2 2 3" xfId="29233" xr:uid="{9962448A-7E88-4E69-90EB-34C87FA42854}"/>
    <cellStyle name="Percentuale 51 2 3" xfId="13346" xr:uid="{B783EE38-C0EA-4395-B9EE-AD3422C6E890}"/>
    <cellStyle name="Percentuale 51 2 3 2" xfId="29234" xr:uid="{C6F046EA-307F-4382-BF86-462B5216E047}"/>
    <cellStyle name="Percentuale 51 2 4" xfId="29235" xr:uid="{4CE1D7BE-74C9-45B4-99B0-CDBF3D5F59D1}"/>
    <cellStyle name="Percentuale 51 2 4 2" xfId="49354" xr:uid="{5560C2B0-2474-454E-8FAE-5FFD92C15CFF}"/>
    <cellStyle name="Percentuale 51 2 5" xfId="29236" xr:uid="{C309189B-0B2E-4049-B824-BA9832BDF3C1}"/>
    <cellStyle name="Percentuale 51 2 6" xfId="29232" xr:uid="{35B68524-9D7D-4691-804E-7348F44C040C}"/>
    <cellStyle name="Percentuale 51 3" xfId="1156" xr:uid="{00000000-0005-0000-0000-000038090000}"/>
    <cellStyle name="Percentuale 51 3 2" xfId="1157" xr:uid="{00000000-0005-0000-0000-000039090000}"/>
    <cellStyle name="Percentuale 51 3 2 2" xfId="2456" xr:uid="{00000000-0005-0000-0000-00003A090000}"/>
    <cellStyle name="Percentuale 51 3 2 2 2" xfId="29240" xr:uid="{A954B3DE-CA8F-4F44-ADDD-7422C153AEA0}"/>
    <cellStyle name="Percentuale 51 3 2 2 3" xfId="29239" xr:uid="{682D9B0B-E39F-4CD2-A5D9-C6B8A83DD9D3}"/>
    <cellStyle name="Percentuale 51 3 2 3" xfId="8163" xr:uid="{2FDF35E0-232C-4420-8E3D-E5D54858EDE0}"/>
    <cellStyle name="Percentuale 51 3 2 3 2" xfId="14162" xr:uid="{2FB542CF-DFC9-4988-83C2-3C460A66A503}"/>
    <cellStyle name="Percentuale 51 3 2 3 3" xfId="29241" xr:uid="{9D0490CF-D8E6-4261-BA03-0657945BEF35}"/>
    <cellStyle name="Percentuale 51 3 2 3 4" xfId="49355" xr:uid="{10B564F5-84EB-420A-B764-789FAEE5A962}"/>
    <cellStyle name="Percentuale 51 3 2 4" xfId="29242" xr:uid="{5681C81F-D9D9-4770-A746-8D080CB38B25}"/>
    <cellStyle name="Percentuale 51 3 2 5" xfId="29238" xr:uid="{CAA45650-ED26-4579-88A0-D40994CD9DA9}"/>
    <cellStyle name="Percentuale 51 3 3" xfId="4455" xr:uid="{EE04CF97-2153-42C9-8EF3-6B5C8D5A1591}"/>
    <cellStyle name="Percentuale 51 3 3 2" xfId="9536" xr:uid="{0AA10940-9ADB-4654-B9F9-60CB8A4620E6}"/>
    <cellStyle name="Percentuale 51 3 3 2 2" xfId="29244" xr:uid="{81E7C343-ED49-4139-93B4-1DD3D288B7C7}"/>
    <cellStyle name="Percentuale 51 3 3 3" xfId="29245" xr:uid="{E9466AD4-78FB-4617-9ED2-4BA6DC2C594B}"/>
    <cellStyle name="Percentuale 51 3 3 4" xfId="29246" xr:uid="{B8B358EE-8959-4AE9-9814-7B2FE94BE149}"/>
    <cellStyle name="Percentuale 51 3 3 4 2" xfId="49356" xr:uid="{7BD8BA9F-1E8A-4D48-B6D6-145FD0A26402}"/>
    <cellStyle name="Percentuale 51 3 3 5" xfId="29243" xr:uid="{A63DFEFA-070B-4101-B98E-56748584AAED}"/>
    <cellStyle name="Percentuale 51 3 4" xfId="4456" xr:uid="{D84EC765-5A93-415B-AEB7-4F5B04EBB4AA}"/>
    <cellStyle name="Percentuale 51 3 4 2" xfId="13823" xr:uid="{7EFF3BB6-4580-4405-87C4-3D4B8260C0EC}"/>
    <cellStyle name="Percentuale 51 3 4 3" xfId="29247" xr:uid="{0E83B20E-0FCE-4EFA-BC25-9D6241D0D74C}"/>
    <cellStyle name="Percentuale 51 3 5" xfId="11202" xr:uid="{BF03FAC3-682C-4C56-B918-1308C596BB4F}"/>
    <cellStyle name="Percentuale 51 3 5 2" xfId="29248" xr:uid="{F2704C35-ED9A-4D16-9B2E-3695AC3FA911}"/>
    <cellStyle name="Percentuale 51 3 6" xfId="29249" xr:uid="{191E8257-F22D-475C-865E-9F8847734310}"/>
    <cellStyle name="Percentuale 51 3 6 2" xfId="49357" xr:uid="{7E21F7DF-A2AC-47B1-A857-06101EA1DD77}"/>
    <cellStyle name="Percentuale 51 3 7" xfId="29250" xr:uid="{2DAACDD1-BD96-4F3B-835D-DA992F0B7BCF}"/>
    <cellStyle name="Percentuale 51 3 8" xfId="29237" xr:uid="{7ABAB820-B694-4757-B482-24FC78D0A757}"/>
    <cellStyle name="Percentuale 51 4" xfId="2457" xr:uid="{00000000-0005-0000-0000-00003B090000}"/>
    <cellStyle name="Percentuale 51 4 2" xfId="2458" xr:uid="{00000000-0005-0000-0000-00003C090000}"/>
    <cellStyle name="Percentuale 51 4 2 2" xfId="9537" xr:uid="{E34253E0-2AB8-4ECF-B373-945584911F68}"/>
    <cellStyle name="Percentuale 51 4 2 2 2" xfId="29253" xr:uid="{5E1AB884-2B47-4E5E-8E1B-2333D30C8433}"/>
    <cellStyle name="Percentuale 51 4 2 3" xfId="17948" xr:uid="{AFAF94D6-9307-4A3C-8947-354288944DEF}"/>
    <cellStyle name="Percentuale 51 4 2 3 2" xfId="29254" xr:uid="{26A46F6A-99DC-4D21-A24D-367B606BBC62}"/>
    <cellStyle name="Percentuale 51 4 2 4" xfId="29252" xr:uid="{3F1A9C14-DC04-45FD-B1E2-1ABE902A11D1}"/>
    <cellStyle name="Percentuale 51 4 2 5" xfId="17558" xr:uid="{7C661FA0-8A1C-4DCD-A1CD-E1BBD1043804}"/>
    <cellStyle name="Percentuale 51 4 3" xfId="9538" xr:uid="{522F633D-E377-4698-AEE3-60251B76C07A}"/>
    <cellStyle name="Percentuale 51 4 3 2" xfId="29255" xr:uid="{8DE9DF62-50C7-4938-AEBB-A5B2D5AFF9DA}"/>
    <cellStyle name="Percentuale 51 4 4" xfId="29256" xr:uid="{1CA08BD2-C1A2-4549-8749-6366F2E81F44}"/>
    <cellStyle name="Percentuale 51 4 5" xfId="29257" xr:uid="{B3A8ECC8-97E9-49F0-93D8-AB9F603BDFCF}"/>
    <cellStyle name="Percentuale 51 4 5 2" xfId="49358" xr:uid="{6912C0D9-4C69-4BA8-9847-4F71A68D8282}"/>
    <cellStyle name="Percentuale 51 4 6" xfId="29258" xr:uid="{5D6B90FC-910B-48CA-BD06-986B6B7CD59F}"/>
    <cellStyle name="Percentuale 51 4 7" xfId="29251" xr:uid="{F5D179CF-D84D-4E6F-8342-9AEA0A881F1C}"/>
    <cellStyle name="Percentuale 51 5" xfId="2459" xr:uid="{00000000-0005-0000-0000-00003D090000}"/>
    <cellStyle name="Percentuale 51 5 2" xfId="29260" xr:uid="{D0EB3C61-2FB6-4B43-BF19-151AB26AD87F}"/>
    <cellStyle name="Percentuale 51 5 3" xfId="29261" xr:uid="{FF431392-B991-4EBD-BC27-99CA3D42C1CC}"/>
    <cellStyle name="Percentuale 51 5 3 2" xfId="49359" xr:uid="{E9A5C8D0-DE5A-4482-8E28-E791D8B9EEB7}"/>
    <cellStyle name="Percentuale 51 5 4" xfId="29262" xr:uid="{2E0F1CD3-0C01-45C1-B956-4BFF4B60C98D}"/>
    <cellStyle name="Percentuale 51 5 5" xfId="29259" xr:uid="{C5D10629-4330-459F-88FD-D6667DFD9197}"/>
    <cellStyle name="Percentuale 51 6" xfId="4457" xr:uid="{5A1A967A-97F1-480D-9B37-7BE2A0CE0039}"/>
    <cellStyle name="Percentuale 51 6 2" xfId="9857" xr:uid="{056A130E-3D05-4496-B147-AC565DF949E9}"/>
    <cellStyle name="Percentuale 51 6 3" xfId="29263" xr:uid="{3AA84A3E-4397-48B3-B19C-593A225BECAC}"/>
    <cellStyle name="Percentuale 51 7" xfId="29264" xr:uid="{2783C303-BA59-4ADD-97F2-905F6EA9799C}"/>
    <cellStyle name="Percentuale 51 7 2" xfId="49360" xr:uid="{86E96D48-B144-479B-AECA-92F914DE0B11}"/>
    <cellStyle name="Percentuale 51 8" xfId="29231" xr:uid="{2D5DEBDF-DBD3-4353-BF68-29F2BF1FE197}"/>
    <cellStyle name="Percentuale 52" xfId="1158" xr:uid="{00000000-0005-0000-0000-00003E090000}"/>
    <cellStyle name="Percentuale 52 2" xfId="1159" xr:uid="{00000000-0005-0000-0000-00003F090000}"/>
    <cellStyle name="Percentuale 52 2 2" xfId="4458" xr:uid="{4BD7B718-94F2-4FC0-BA6A-D6626BD21034}"/>
    <cellStyle name="Percentuale 52 2 2 2" xfId="13609" xr:uid="{F999936B-E2C5-4AB2-8D9F-C425F52C6927}"/>
    <cellStyle name="Percentuale 52 2 2 3" xfId="29267" xr:uid="{0A08187B-1CC7-46A4-884F-08C75852320D}"/>
    <cellStyle name="Percentuale 52 2 3" xfId="13347" xr:uid="{34274DB2-79BA-436C-9ED6-BB77A158F840}"/>
    <cellStyle name="Percentuale 52 2 3 2" xfId="29268" xr:uid="{D54969E7-6AB6-44B1-BB44-2FA382F70E63}"/>
    <cellStyle name="Percentuale 52 2 4" xfId="29269" xr:uid="{2F4621A3-CA69-4B90-9DBB-90A91A5CB38B}"/>
    <cellStyle name="Percentuale 52 2 4 2" xfId="49361" xr:uid="{CD36F221-879A-4F4C-8B3C-61F9CB41F761}"/>
    <cellStyle name="Percentuale 52 2 5" xfId="29270" xr:uid="{9CF36773-323C-4102-B8D7-25C8915E8BE2}"/>
    <cellStyle name="Percentuale 52 2 6" xfId="29266" xr:uid="{C3159CE9-986E-46E9-AD6F-6A9584B76F8B}"/>
    <cellStyle name="Percentuale 52 3" xfId="1160" xr:uid="{00000000-0005-0000-0000-000040090000}"/>
    <cellStyle name="Percentuale 52 3 2" xfId="1161" xr:uid="{00000000-0005-0000-0000-000041090000}"/>
    <cellStyle name="Percentuale 52 3 2 2" xfId="2460" xr:uid="{00000000-0005-0000-0000-000042090000}"/>
    <cellStyle name="Percentuale 52 3 2 2 2" xfId="29274" xr:uid="{303AD431-A091-4E46-8FE2-8EE3008BF620}"/>
    <cellStyle name="Percentuale 52 3 2 2 3" xfId="29273" xr:uid="{19D321FC-B1E6-427C-B48D-C9CA9C51440C}"/>
    <cellStyle name="Percentuale 52 3 2 3" xfId="8164" xr:uid="{C3D9DBB3-31E4-478E-ACE6-A943261658A3}"/>
    <cellStyle name="Percentuale 52 3 2 3 2" xfId="14163" xr:uid="{E5D315DB-EF60-4079-8C41-219DC2D219BB}"/>
    <cellStyle name="Percentuale 52 3 2 3 3" xfId="29275" xr:uid="{5B93A273-4BDF-4EC3-8FC3-51421453817B}"/>
    <cellStyle name="Percentuale 52 3 2 3 4" xfId="49362" xr:uid="{6997AC09-8425-43CD-ADBE-DDC4C7715D36}"/>
    <cellStyle name="Percentuale 52 3 2 4" xfId="29276" xr:uid="{A5E04A6C-C067-4BBB-A87F-C1EDC141B13E}"/>
    <cellStyle name="Percentuale 52 3 2 5" xfId="29272" xr:uid="{2EA84B4E-C099-4577-9856-CE1CD5F299E4}"/>
    <cellStyle name="Percentuale 52 3 3" xfId="4459" xr:uid="{5AD33577-89EB-4739-85FA-A96EEE004D42}"/>
    <cellStyle name="Percentuale 52 3 3 2" xfId="9539" xr:uid="{385EC7ED-A36F-4BA9-A868-D25B1DA9435D}"/>
    <cellStyle name="Percentuale 52 3 3 2 2" xfId="29278" xr:uid="{6640D6DE-81BA-47EA-B41C-ED7B3664DCDC}"/>
    <cellStyle name="Percentuale 52 3 3 3" xfId="29279" xr:uid="{68650BC4-AF02-4F34-918B-FCAB916BE414}"/>
    <cellStyle name="Percentuale 52 3 3 4" xfId="29280" xr:uid="{23558092-9DD8-4581-A147-C097B8502C43}"/>
    <cellStyle name="Percentuale 52 3 3 4 2" xfId="49363" xr:uid="{2814B6C8-1144-40F6-BEE3-A280BCB38F54}"/>
    <cellStyle name="Percentuale 52 3 3 5" xfId="29277" xr:uid="{4F273A5F-BD8A-4220-9A33-705B8636986A}"/>
    <cellStyle name="Percentuale 52 3 4" xfId="4460" xr:uid="{610B74FE-D79D-4230-8123-00B0ED04DD83}"/>
    <cellStyle name="Percentuale 52 3 4 2" xfId="13824" xr:uid="{748B8452-B6A3-4910-ADBD-BFCA27A5E321}"/>
    <cellStyle name="Percentuale 52 3 4 3" xfId="29281" xr:uid="{82B77716-D280-4802-9025-26891B4D5346}"/>
    <cellStyle name="Percentuale 52 3 5" xfId="11100" xr:uid="{4BBFDD29-6A91-47F1-A333-D4A05333FE38}"/>
    <cellStyle name="Percentuale 52 3 5 2" xfId="29282" xr:uid="{77C31A92-25CA-4B6A-A035-86DDCC640790}"/>
    <cellStyle name="Percentuale 52 3 6" xfId="29283" xr:uid="{772E05CF-3FC5-4F9B-851C-A417FB1EDB37}"/>
    <cellStyle name="Percentuale 52 3 6 2" xfId="49364" xr:uid="{2EF2EBAF-B3DC-4751-A3B5-08743B5ECAB2}"/>
    <cellStyle name="Percentuale 52 3 7" xfId="29284" xr:uid="{DEDE028F-72E8-4536-AB42-D90A3053EE7D}"/>
    <cellStyle name="Percentuale 52 3 8" xfId="29271" xr:uid="{A7ACE4F5-4C60-458F-A8A6-D0556B50127E}"/>
    <cellStyle name="Percentuale 52 4" xfId="2461" xr:uid="{00000000-0005-0000-0000-000043090000}"/>
    <cellStyle name="Percentuale 52 4 2" xfId="2462" xr:uid="{00000000-0005-0000-0000-000044090000}"/>
    <cellStyle name="Percentuale 52 4 2 2" xfId="9540" xr:uid="{6D02BAAB-BE95-41D6-B223-8CB21BDABCC2}"/>
    <cellStyle name="Percentuale 52 4 2 2 2" xfId="29287" xr:uid="{DD65F352-8BDC-42FC-A14A-2425D69D4FF2}"/>
    <cellStyle name="Percentuale 52 4 2 3" xfId="17949" xr:uid="{58320E37-83CF-401F-BC65-2914930D4B51}"/>
    <cellStyle name="Percentuale 52 4 2 3 2" xfId="29288" xr:uid="{DFB81C71-0606-4082-8C36-C45EF219DC33}"/>
    <cellStyle name="Percentuale 52 4 2 4" xfId="29286" xr:uid="{5C08CF35-7685-4FB7-A91D-A102C6EE8DC6}"/>
    <cellStyle name="Percentuale 52 4 2 5" xfId="17559" xr:uid="{A6C0C789-3A3F-4AED-B751-18CCC2FEC4AA}"/>
    <cellStyle name="Percentuale 52 4 3" xfId="9541" xr:uid="{201155A2-5BE3-47FD-92DE-D53CA2348E97}"/>
    <cellStyle name="Percentuale 52 4 3 2" xfId="29289" xr:uid="{1F91F81B-7A03-4414-9A96-AA13526DD536}"/>
    <cellStyle name="Percentuale 52 4 4" xfId="29290" xr:uid="{0A80A0F7-65DF-4F89-B519-B3F03E8A2FF8}"/>
    <cellStyle name="Percentuale 52 4 5" xfId="29291" xr:uid="{460FCD85-4547-41A7-8A7D-D7014F63EAD4}"/>
    <cellStyle name="Percentuale 52 4 5 2" xfId="49365" xr:uid="{A8702845-7F35-4FDC-A4DE-AF3F6FDD6072}"/>
    <cellStyle name="Percentuale 52 4 6" xfId="29292" xr:uid="{113EC50D-789A-4D87-A746-B25CA3AEC795}"/>
    <cellStyle name="Percentuale 52 4 7" xfId="29285" xr:uid="{C531900C-CABA-4F6F-8F2D-F858A92B42B0}"/>
    <cellStyle name="Percentuale 52 5" xfId="2463" xr:uid="{00000000-0005-0000-0000-000045090000}"/>
    <cellStyle name="Percentuale 52 5 2" xfId="29294" xr:uid="{DE66C77F-4E8E-4554-9B9F-710343029361}"/>
    <cellStyle name="Percentuale 52 5 3" xfId="29295" xr:uid="{FC82C8BC-29C5-48EE-99CF-10B4D37B0EC7}"/>
    <cellStyle name="Percentuale 52 5 3 2" xfId="49366" xr:uid="{1213AA13-E244-41D9-8860-0091993BBEF2}"/>
    <cellStyle name="Percentuale 52 5 4" xfId="29296" xr:uid="{C3333CE4-4AFA-49BF-BA6C-6AD5752B9F75}"/>
    <cellStyle name="Percentuale 52 5 5" xfId="29293" xr:uid="{2DCDEB15-1311-4F16-AC00-D2B7FF8E46A2}"/>
    <cellStyle name="Percentuale 52 6" xfId="4461" xr:uid="{B246CC44-E1D8-4B9C-91CB-09C8BBEE464F}"/>
    <cellStyle name="Percentuale 52 6 2" xfId="9858" xr:uid="{2EB0B865-8A1C-48EA-AC30-307B12A37699}"/>
    <cellStyle name="Percentuale 52 6 3" xfId="29297" xr:uid="{6EA1956D-EAFB-4ED3-B03D-D2EAA3C54605}"/>
    <cellStyle name="Percentuale 52 7" xfId="29298" xr:uid="{624A3841-200A-4977-9D3D-78BCEBFAB543}"/>
    <cellStyle name="Percentuale 52 7 2" xfId="49367" xr:uid="{F3C1BFE4-AB95-486D-BCE8-D4BC1DA2F3BC}"/>
    <cellStyle name="Percentuale 52 8" xfId="29265" xr:uid="{792F089C-1C01-4258-B0A8-1D942CCFDD13}"/>
    <cellStyle name="Percentuale 53" xfId="1162" xr:uid="{00000000-0005-0000-0000-000046090000}"/>
    <cellStyle name="Percentuale 53 2" xfId="1163" xr:uid="{00000000-0005-0000-0000-000047090000}"/>
    <cellStyle name="Percentuale 53 2 2" xfId="4462" xr:uid="{61903179-40AF-436F-9F66-4D48965D5CE7}"/>
    <cellStyle name="Percentuale 53 2 2 2" xfId="13610" xr:uid="{52EF19C3-FB8C-4E7D-AA2D-E54C51AC3CD1}"/>
    <cellStyle name="Percentuale 53 2 2 3" xfId="29301" xr:uid="{775A31D8-F15E-45BC-939E-ACE45650B092}"/>
    <cellStyle name="Percentuale 53 2 3" xfId="13348" xr:uid="{05E3249C-1B39-4A47-9728-6720BD9A14FB}"/>
    <cellStyle name="Percentuale 53 2 3 2" xfId="29302" xr:uid="{F23DC505-DDF2-4C05-BCBC-61F5528C3886}"/>
    <cellStyle name="Percentuale 53 2 4" xfId="29303" xr:uid="{602F8E92-7AC0-4324-99C0-443C1D6FB4D4}"/>
    <cellStyle name="Percentuale 53 2 4 2" xfId="49368" xr:uid="{E23A53F8-6FCA-4CAD-B92E-FFBE6973AD96}"/>
    <cellStyle name="Percentuale 53 2 5" xfId="29304" xr:uid="{170A2D5A-8B4F-427F-ADC5-BA4D07D009A3}"/>
    <cellStyle name="Percentuale 53 2 6" xfId="29300" xr:uid="{A2EB01ED-B0A4-4D3F-AD76-B74C2B9CA7C0}"/>
    <cellStyle name="Percentuale 53 3" xfId="1164" xr:uid="{00000000-0005-0000-0000-000048090000}"/>
    <cellStyle name="Percentuale 53 3 2" xfId="1165" xr:uid="{00000000-0005-0000-0000-000049090000}"/>
    <cellStyle name="Percentuale 53 3 2 2" xfId="2464" xr:uid="{00000000-0005-0000-0000-00004A090000}"/>
    <cellStyle name="Percentuale 53 3 2 2 2" xfId="29308" xr:uid="{E999B711-07E9-44D4-99DA-2AC2E006DB74}"/>
    <cellStyle name="Percentuale 53 3 2 2 3" xfId="29307" xr:uid="{FEFA5A69-F6BD-430E-8470-040D515EAD39}"/>
    <cellStyle name="Percentuale 53 3 2 3" xfId="8165" xr:uid="{384A91A4-233B-4177-AABE-A97790E95910}"/>
    <cellStyle name="Percentuale 53 3 2 3 2" xfId="14164" xr:uid="{B939EFC4-91E5-417D-8C08-1B68C711FD7B}"/>
    <cellStyle name="Percentuale 53 3 2 3 3" xfId="29309" xr:uid="{7118D24E-9DE5-4265-97A6-A4E8A376F209}"/>
    <cellStyle name="Percentuale 53 3 2 3 4" xfId="49369" xr:uid="{F3CC97B5-400F-438A-B48F-E9C57752A4F7}"/>
    <cellStyle name="Percentuale 53 3 2 4" xfId="29310" xr:uid="{DD587B54-3BB7-47A4-8ADE-928425190C8A}"/>
    <cellStyle name="Percentuale 53 3 2 5" xfId="29306" xr:uid="{72228C5C-9F66-4962-A2C0-9FAC4E5CDFEC}"/>
    <cellStyle name="Percentuale 53 3 3" xfId="4463" xr:uid="{73EEBFFD-F94D-4600-A89A-9102246D6226}"/>
    <cellStyle name="Percentuale 53 3 3 2" xfId="9542" xr:uid="{509FE8C9-3551-4C60-9350-CE498AEA55E4}"/>
    <cellStyle name="Percentuale 53 3 3 2 2" xfId="29312" xr:uid="{C87E4BA9-1BF8-4A67-8947-EEA6C37ED918}"/>
    <cellStyle name="Percentuale 53 3 3 3" xfId="29313" xr:uid="{C5C06BA3-82D2-48A2-AB2F-4DE5F628AC66}"/>
    <cellStyle name="Percentuale 53 3 3 4" xfId="29314" xr:uid="{109067E0-C59F-4A40-8AF9-A9AEA41AA2D7}"/>
    <cellStyle name="Percentuale 53 3 3 4 2" xfId="49370" xr:uid="{599D0218-5871-43EA-B0EF-A12D05E0D71D}"/>
    <cellStyle name="Percentuale 53 3 3 5" xfId="29311" xr:uid="{3EF15F16-168E-4C72-810F-7431A3117EC3}"/>
    <cellStyle name="Percentuale 53 3 4" xfId="4464" xr:uid="{A480B3C7-376C-4DB9-9A33-2F857A572DAD}"/>
    <cellStyle name="Percentuale 53 3 4 2" xfId="13825" xr:uid="{6DD83D50-363E-4192-B65A-C145F0AF6106}"/>
    <cellStyle name="Percentuale 53 3 4 3" xfId="29315" xr:uid="{A32AEB8D-A7E9-4B24-ACB5-BBC2D680F89F}"/>
    <cellStyle name="Percentuale 53 3 5" xfId="11149" xr:uid="{46C6697D-CEBC-4AB8-9683-2FC64A1C8ACD}"/>
    <cellStyle name="Percentuale 53 3 5 2" xfId="29316" xr:uid="{5BF53576-E84F-44A0-B12C-1BD24FCD87CB}"/>
    <cellStyle name="Percentuale 53 3 6" xfId="29317" xr:uid="{908C3E74-8457-4D70-822F-190CC883D078}"/>
    <cellStyle name="Percentuale 53 3 6 2" xfId="49371" xr:uid="{F14D5CC6-B720-425F-9A9C-26FB8E8329FC}"/>
    <cellStyle name="Percentuale 53 3 7" xfId="29318" xr:uid="{BC498B31-2EBF-40A8-A49F-243D0B46EDAD}"/>
    <cellStyle name="Percentuale 53 3 8" xfId="29305" xr:uid="{CE7F98DC-3376-478E-9A6F-FFAE17E74FD2}"/>
    <cellStyle name="Percentuale 53 4" xfId="2465" xr:uid="{00000000-0005-0000-0000-00004B090000}"/>
    <cellStyle name="Percentuale 53 4 2" xfId="2466" xr:uid="{00000000-0005-0000-0000-00004C090000}"/>
    <cellStyle name="Percentuale 53 4 2 2" xfId="9543" xr:uid="{BABB92F4-5DDE-41E8-804F-E99322A9D42B}"/>
    <cellStyle name="Percentuale 53 4 2 2 2" xfId="29321" xr:uid="{82B86100-5CDE-4867-A7B9-0C713304ABDE}"/>
    <cellStyle name="Percentuale 53 4 2 3" xfId="17950" xr:uid="{28E98D15-783E-46F7-BC5B-C3FF655C30B2}"/>
    <cellStyle name="Percentuale 53 4 2 3 2" xfId="29322" xr:uid="{9CBC0E8E-985F-4F56-807B-6DAEDE55D5FF}"/>
    <cellStyle name="Percentuale 53 4 2 4" xfId="29320" xr:uid="{9C785E75-4F3D-4D70-BFCB-6EEC5B2C9056}"/>
    <cellStyle name="Percentuale 53 4 2 5" xfId="17560" xr:uid="{8CC2E5B4-D8FE-484D-85EE-0B132065B95E}"/>
    <cellStyle name="Percentuale 53 4 3" xfId="9544" xr:uid="{3A3BF43F-5922-4BB8-BD3A-263469CD3F71}"/>
    <cellStyle name="Percentuale 53 4 3 2" xfId="29323" xr:uid="{B6949EEA-282F-4A6B-980D-E9E40EEC34DD}"/>
    <cellStyle name="Percentuale 53 4 4" xfId="29324" xr:uid="{0066B84C-E92C-42E1-8059-490777D1191D}"/>
    <cellStyle name="Percentuale 53 4 5" xfId="29325" xr:uid="{FD4973C9-BABB-4609-97C1-B8A3E97FF3C1}"/>
    <cellStyle name="Percentuale 53 4 5 2" xfId="49372" xr:uid="{B46D378F-8FC7-4AE9-B2A9-7AC6728AD3FA}"/>
    <cellStyle name="Percentuale 53 4 6" xfId="29326" xr:uid="{C54EBCAB-D68C-4B26-B829-D90A0450AD39}"/>
    <cellStyle name="Percentuale 53 4 7" xfId="29319" xr:uid="{964A1254-0D91-4FB2-8B31-5A7618FB77FD}"/>
    <cellStyle name="Percentuale 53 5" xfId="2467" xr:uid="{00000000-0005-0000-0000-00004D090000}"/>
    <cellStyle name="Percentuale 53 5 2" xfId="29328" xr:uid="{E95F4CB1-16B2-47C4-8A36-BD4425623EA1}"/>
    <cellStyle name="Percentuale 53 5 3" xfId="29329" xr:uid="{5C394145-B4A0-42A8-9834-A3505DB1E814}"/>
    <cellStyle name="Percentuale 53 5 3 2" xfId="49373" xr:uid="{AAD55F5A-AD7E-4683-9538-61B88038FB28}"/>
    <cellStyle name="Percentuale 53 5 4" xfId="29330" xr:uid="{2E98C624-0EDE-4BD9-9548-00E4BEF6CD33}"/>
    <cellStyle name="Percentuale 53 5 5" xfId="29327" xr:uid="{1CC29F7A-E6BD-4EA2-9EB6-1CC4520EBF2A}"/>
    <cellStyle name="Percentuale 53 6" xfId="4465" xr:uid="{6BB39013-892E-48F3-BEE5-BB1EBF0493BD}"/>
    <cellStyle name="Percentuale 53 6 2" xfId="9859" xr:uid="{53E63DA0-45AC-429D-889C-3BB51BE977D5}"/>
    <cellStyle name="Percentuale 53 6 3" xfId="29331" xr:uid="{EB60F69F-1DD3-4F08-924F-37913E819322}"/>
    <cellStyle name="Percentuale 53 7" xfId="29332" xr:uid="{1763E743-BC81-4FF7-9E03-0EFAEB86283B}"/>
    <cellStyle name="Percentuale 53 7 2" xfId="49374" xr:uid="{42F12CBF-F43F-4666-BB83-83249C99F6E7}"/>
    <cellStyle name="Percentuale 53 8" xfId="29299" xr:uid="{0F78D449-E2A8-4B93-B949-3380479A847A}"/>
    <cellStyle name="Percentuale 54" xfId="1166" xr:uid="{00000000-0005-0000-0000-00004E090000}"/>
    <cellStyle name="Percentuale 54 2" xfId="1167" xr:uid="{00000000-0005-0000-0000-00004F090000}"/>
    <cellStyle name="Percentuale 54 2 2" xfId="4466" xr:uid="{9CB51E58-AE54-4921-B5AE-AD6820279209}"/>
    <cellStyle name="Percentuale 54 2 2 2" xfId="13611" xr:uid="{94433352-86B8-4F09-8D8E-C367CFDBEB76}"/>
    <cellStyle name="Percentuale 54 2 2 3" xfId="29335" xr:uid="{24AD89DA-287A-448E-9E98-8CA24D3BFFC6}"/>
    <cellStyle name="Percentuale 54 2 3" xfId="13349" xr:uid="{6E89F56E-C5E0-4762-BEE9-1B460F7714BC}"/>
    <cellStyle name="Percentuale 54 2 3 2" xfId="29336" xr:uid="{19E2275C-8CB8-45B5-8E93-F818F4D85FFC}"/>
    <cellStyle name="Percentuale 54 2 4" xfId="29337" xr:uid="{91AD2FC3-B4CF-4E0A-893F-0A45D37F8050}"/>
    <cellStyle name="Percentuale 54 2 4 2" xfId="49375" xr:uid="{CE21182A-DE12-4665-9962-173E069B99F3}"/>
    <cellStyle name="Percentuale 54 2 5" xfId="29338" xr:uid="{CD6BB20A-B9D2-4B19-A0A1-C13460704EB5}"/>
    <cellStyle name="Percentuale 54 2 6" xfId="29334" xr:uid="{EADF3066-9783-4265-A140-EC52458D650B}"/>
    <cellStyle name="Percentuale 54 3" xfId="1168" xr:uid="{00000000-0005-0000-0000-000050090000}"/>
    <cellStyle name="Percentuale 54 3 2" xfId="1169" xr:uid="{00000000-0005-0000-0000-000051090000}"/>
    <cellStyle name="Percentuale 54 3 2 2" xfId="2468" xr:uid="{00000000-0005-0000-0000-000052090000}"/>
    <cellStyle name="Percentuale 54 3 2 2 2" xfId="29342" xr:uid="{F7C60E93-84DE-45FD-8B32-7EC7778A5942}"/>
    <cellStyle name="Percentuale 54 3 2 2 3" xfId="29341" xr:uid="{9CD248D5-822F-4FFB-A2CC-B18A21EA96B6}"/>
    <cellStyle name="Percentuale 54 3 2 3" xfId="8166" xr:uid="{8A18DE06-8251-42CF-B7B4-F08F50D59A43}"/>
    <cellStyle name="Percentuale 54 3 2 3 2" xfId="14165" xr:uid="{1FB27557-972D-469B-A343-49B8BA578798}"/>
    <cellStyle name="Percentuale 54 3 2 3 3" xfId="29343" xr:uid="{460D7558-1022-4E1F-8661-FD64C8A301D3}"/>
    <cellStyle name="Percentuale 54 3 2 3 4" xfId="49376" xr:uid="{65B3961E-B305-4BE1-8845-B11B7B587342}"/>
    <cellStyle name="Percentuale 54 3 2 4" xfId="29344" xr:uid="{1DEBA949-EAEF-41BD-A164-D7881F8AAE76}"/>
    <cellStyle name="Percentuale 54 3 2 5" xfId="29340" xr:uid="{AC59A862-AEB5-4DA7-B726-B2A4B419A436}"/>
    <cellStyle name="Percentuale 54 3 3" xfId="4467" xr:uid="{1AFC0FB9-37D3-41E3-929E-2571C5F13EBD}"/>
    <cellStyle name="Percentuale 54 3 3 2" xfId="9545" xr:uid="{97861677-51E9-4313-8EC1-F3DA2EFEE9E2}"/>
    <cellStyle name="Percentuale 54 3 3 2 2" xfId="29346" xr:uid="{3CC56120-0C68-4EBC-BCF0-32F0284B5A72}"/>
    <cellStyle name="Percentuale 54 3 3 3" xfId="29347" xr:uid="{27F4D882-6042-4A8D-A488-6178A50774E8}"/>
    <cellStyle name="Percentuale 54 3 3 4" xfId="29348" xr:uid="{71A54F45-87F2-4A38-97A1-9E2B9BF53E5F}"/>
    <cellStyle name="Percentuale 54 3 3 4 2" xfId="49377" xr:uid="{3296F168-2962-4CA6-977F-5018703AE3C1}"/>
    <cellStyle name="Percentuale 54 3 3 5" xfId="29345" xr:uid="{5AE3C42F-9204-4749-871D-1ACDEB47C339}"/>
    <cellStyle name="Percentuale 54 3 4" xfId="4468" xr:uid="{93EA9C93-C781-475A-8DD1-937844A4F1CC}"/>
    <cellStyle name="Percentuale 54 3 4 2" xfId="13826" xr:uid="{7AEA055F-8D6F-40FC-B538-E2E4999CD42D}"/>
    <cellStyle name="Percentuale 54 3 4 3" xfId="29349" xr:uid="{05295746-8DED-4D2B-92FF-0B9B5214ACC2}"/>
    <cellStyle name="Percentuale 54 3 5" xfId="12444" xr:uid="{23B90E1A-125E-4A28-93A5-1E6EA6076233}"/>
    <cellStyle name="Percentuale 54 3 5 2" xfId="29350" xr:uid="{4D99B90F-4944-452D-8226-CC13B4C812E5}"/>
    <cellStyle name="Percentuale 54 3 6" xfId="29351" xr:uid="{9D09921A-5FA1-4BFF-A4BC-7E06606B9B71}"/>
    <cellStyle name="Percentuale 54 3 6 2" xfId="49378" xr:uid="{795290F1-047D-41D8-9550-BB8D50E41391}"/>
    <cellStyle name="Percentuale 54 3 7" xfId="29352" xr:uid="{B7295BA0-F8BB-49BC-9C5E-F469B7F30A58}"/>
    <cellStyle name="Percentuale 54 3 8" xfId="29339" xr:uid="{0239128C-402A-4454-97B0-97EEE89CBAAD}"/>
    <cellStyle name="Percentuale 54 4" xfId="2469" xr:uid="{00000000-0005-0000-0000-000053090000}"/>
    <cellStyle name="Percentuale 54 4 2" xfId="2470" xr:uid="{00000000-0005-0000-0000-000054090000}"/>
    <cellStyle name="Percentuale 54 4 2 2" xfId="9546" xr:uid="{C18F473C-BD26-4281-8777-0E64261946F2}"/>
    <cellStyle name="Percentuale 54 4 2 2 2" xfId="29355" xr:uid="{5E2C58B3-CC3E-4282-A9BE-793CB1582018}"/>
    <cellStyle name="Percentuale 54 4 2 3" xfId="17951" xr:uid="{03086B8F-E982-452F-9C73-49699B9D7F1D}"/>
    <cellStyle name="Percentuale 54 4 2 3 2" xfId="29356" xr:uid="{62539E07-30FA-4459-9B4E-7FA164F48D63}"/>
    <cellStyle name="Percentuale 54 4 2 4" xfId="29354" xr:uid="{E5569C75-0F62-4C59-8356-8D78B2AF9EB9}"/>
    <cellStyle name="Percentuale 54 4 2 5" xfId="17561" xr:uid="{F0C53031-B8C3-466F-BC6A-91D09E7710B8}"/>
    <cellStyle name="Percentuale 54 4 3" xfId="9547" xr:uid="{CF048925-CFCA-4A82-9087-E920207B0E60}"/>
    <cellStyle name="Percentuale 54 4 3 2" xfId="29357" xr:uid="{A203A486-FD4C-4DA1-827B-1191BC09E9B4}"/>
    <cellStyle name="Percentuale 54 4 4" xfId="29358" xr:uid="{00A54A84-2A84-418F-8A03-299F592C561D}"/>
    <cellStyle name="Percentuale 54 4 5" xfId="29359" xr:uid="{25D19E1A-531C-411D-BE42-CFE22AA09027}"/>
    <cellStyle name="Percentuale 54 4 5 2" xfId="49379" xr:uid="{66C3FE1F-B3C9-46B0-9499-A814E49EEA8C}"/>
    <cellStyle name="Percentuale 54 4 6" xfId="29360" xr:uid="{C3BDF8B7-A9EA-482E-A871-4B871E005C64}"/>
    <cellStyle name="Percentuale 54 4 7" xfId="29353" xr:uid="{6A40EBB1-4A42-46A8-A24A-9D19125F53DC}"/>
    <cellStyle name="Percentuale 54 5" xfId="2471" xr:uid="{00000000-0005-0000-0000-000055090000}"/>
    <cellStyle name="Percentuale 54 5 2" xfId="29362" xr:uid="{6EEF35B1-1302-480F-9B7C-2F33939B8F10}"/>
    <cellStyle name="Percentuale 54 5 3" xfId="29363" xr:uid="{E6B3BBAB-1D28-492A-B1FE-EADDBAF2A9DF}"/>
    <cellStyle name="Percentuale 54 5 3 2" xfId="49380" xr:uid="{8FE01A1C-DC8F-42E8-8C8C-14A3114FE397}"/>
    <cellStyle name="Percentuale 54 5 4" xfId="29364" xr:uid="{28433A82-C817-400C-A6B0-3EE6C0C42483}"/>
    <cellStyle name="Percentuale 54 5 5" xfId="29361" xr:uid="{65E57F4D-2243-440D-B70B-7F744EA5F226}"/>
    <cellStyle name="Percentuale 54 6" xfId="4469" xr:uid="{6CECE403-2B12-45D1-88B1-DFF6DD22191D}"/>
    <cellStyle name="Percentuale 54 6 2" xfId="9860" xr:uid="{01DAEAA4-E1E3-444E-AC12-DEF030E13631}"/>
    <cellStyle name="Percentuale 54 6 3" xfId="29365" xr:uid="{D1158EB6-7F34-4A92-BA48-6EB14AA8BC16}"/>
    <cellStyle name="Percentuale 54 7" xfId="29366" xr:uid="{EC99510C-FDDD-4524-BA42-2517CE395F55}"/>
    <cellStyle name="Percentuale 54 7 2" xfId="49381" xr:uid="{2F9D93D0-C257-4580-8989-966E8A9AA970}"/>
    <cellStyle name="Percentuale 54 8" xfId="29333" xr:uid="{3507E3D6-4EE9-4F57-9F5D-4F5BB40C6C59}"/>
    <cellStyle name="Percentuale 55" xfId="1170" xr:uid="{00000000-0005-0000-0000-000056090000}"/>
    <cellStyle name="Percentuale 55 2" xfId="1171" xr:uid="{00000000-0005-0000-0000-000057090000}"/>
    <cellStyle name="Percentuale 55 2 2" xfId="4470" xr:uid="{F977554A-A1E0-4371-A64D-8DFB23416A3E}"/>
    <cellStyle name="Percentuale 55 2 2 2" xfId="13612" xr:uid="{261B27C8-8A21-47D6-B39B-EE45CFF5B369}"/>
    <cellStyle name="Percentuale 55 2 2 3" xfId="29369" xr:uid="{00CD2697-4A54-47A5-A545-492143AD4283}"/>
    <cellStyle name="Percentuale 55 2 3" xfId="13350" xr:uid="{2E6CADAC-B32C-48C8-BD11-8A304F92F864}"/>
    <cellStyle name="Percentuale 55 2 3 2" xfId="29370" xr:uid="{7B6A6DE1-8E37-4B64-B4EA-D9027F6D8C91}"/>
    <cellStyle name="Percentuale 55 2 4" xfId="29371" xr:uid="{5A5E256A-27B8-46C2-8D3A-45C931EC4852}"/>
    <cellStyle name="Percentuale 55 2 4 2" xfId="49382" xr:uid="{9A42E6A7-E15B-46EF-8F42-B3FFCFC0CC75}"/>
    <cellStyle name="Percentuale 55 2 5" xfId="29372" xr:uid="{B1E4E81C-6249-4F77-9E5B-606C02118AD1}"/>
    <cellStyle name="Percentuale 55 2 6" xfId="29368" xr:uid="{161F9FB9-6F21-4882-900D-0EB9E3C3366A}"/>
    <cellStyle name="Percentuale 55 3" xfId="1172" xr:uid="{00000000-0005-0000-0000-000058090000}"/>
    <cellStyle name="Percentuale 55 3 2" xfId="1173" xr:uid="{00000000-0005-0000-0000-000059090000}"/>
    <cellStyle name="Percentuale 55 3 2 2" xfId="2472" xr:uid="{00000000-0005-0000-0000-00005A090000}"/>
    <cellStyle name="Percentuale 55 3 2 2 2" xfId="29376" xr:uid="{768CD86E-3D48-4C37-AFBA-44B680BBAFEA}"/>
    <cellStyle name="Percentuale 55 3 2 2 3" xfId="29375" xr:uid="{E62B20CE-EABD-47C3-9EC8-989EBA0AA855}"/>
    <cellStyle name="Percentuale 55 3 2 3" xfId="8167" xr:uid="{FB77503F-077B-4B86-8987-69FCE2FC54C3}"/>
    <cellStyle name="Percentuale 55 3 2 3 2" xfId="14166" xr:uid="{72E1973D-8FBA-4447-9319-4CC88AC67D21}"/>
    <cellStyle name="Percentuale 55 3 2 3 3" xfId="29377" xr:uid="{E691DAAC-29C6-4DE3-B18C-A2EACAB3A480}"/>
    <cellStyle name="Percentuale 55 3 2 3 4" xfId="49383" xr:uid="{9BFA03E0-882E-48AF-B43A-EA8245E6D92B}"/>
    <cellStyle name="Percentuale 55 3 2 4" xfId="29378" xr:uid="{021F088F-BA89-401E-B332-24C10C5F7C0F}"/>
    <cellStyle name="Percentuale 55 3 2 5" xfId="29374" xr:uid="{1CB7A934-1FCB-42CB-82CD-792858577D95}"/>
    <cellStyle name="Percentuale 55 3 3" xfId="4471" xr:uid="{C2FFB8A8-5D03-4ED2-BE07-006F14C9E749}"/>
    <cellStyle name="Percentuale 55 3 3 2" xfId="9548" xr:uid="{D2BE6383-12A6-40CD-BFA9-09FA1A02A912}"/>
    <cellStyle name="Percentuale 55 3 3 2 2" xfId="29380" xr:uid="{8E4400AA-D812-442D-9DBF-B0C97D00B52A}"/>
    <cellStyle name="Percentuale 55 3 3 3" xfId="29381" xr:uid="{13693C22-B3F7-4F29-943D-1D3E402A98A2}"/>
    <cellStyle name="Percentuale 55 3 3 4" xfId="29382" xr:uid="{5692E7B7-3433-42A6-87CA-8E1829CA4BCC}"/>
    <cellStyle name="Percentuale 55 3 3 4 2" xfId="49384" xr:uid="{B737618A-C51F-403B-A3CE-3867D36D9F0B}"/>
    <cellStyle name="Percentuale 55 3 3 5" xfId="29379" xr:uid="{69DFFAA7-A253-4173-9447-812039E0C9A1}"/>
    <cellStyle name="Percentuale 55 3 4" xfId="4472" xr:uid="{001A7FF7-02E7-4400-AC99-85F2DD4CE3F9}"/>
    <cellStyle name="Percentuale 55 3 4 2" xfId="13827" xr:uid="{0C7065DC-9937-4B5F-B47E-F9539290E51D}"/>
    <cellStyle name="Percentuale 55 3 4 3" xfId="29383" xr:uid="{4D632E55-618D-4D09-80CC-C0F69F6F7B37}"/>
    <cellStyle name="Percentuale 55 3 5" xfId="11091" xr:uid="{BDD772E3-D91E-4871-9968-8B8BD03DCD94}"/>
    <cellStyle name="Percentuale 55 3 5 2" xfId="29384" xr:uid="{17B8D922-63D8-4B89-9666-6CB2E705BEC8}"/>
    <cellStyle name="Percentuale 55 3 6" xfId="29385" xr:uid="{1775C313-FB47-475D-AFFC-BB7E40B799EB}"/>
    <cellStyle name="Percentuale 55 3 6 2" xfId="49385" xr:uid="{0DAC025D-7EF3-4DAD-8637-B576E9301373}"/>
    <cellStyle name="Percentuale 55 3 7" xfId="29386" xr:uid="{4B042283-080E-4477-A199-F04C3DCF8ED8}"/>
    <cellStyle name="Percentuale 55 3 8" xfId="29373" xr:uid="{3409EB22-7DE7-4AFF-BAB5-9D1A44CACA75}"/>
    <cellStyle name="Percentuale 55 4" xfId="2473" xr:uid="{00000000-0005-0000-0000-00005B090000}"/>
    <cellStyle name="Percentuale 55 4 2" xfId="2474" xr:uid="{00000000-0005-0000-0000-00005C090000}"/>
    <cellStyle name="Percentuale 55 4 2 2" xfId="9549" xr:uid="{53AC282B-D0C5-46D8-9016-99D47B8C70DA}"/>
    <cellStyle name="Percentuale 55 4 2 2 2" xfId="29389" xr:uid="{1D4D563B-D18A-4B99-8280-A972172BA04B}"/>
    <cellStyle name="Percentuale 55 4 2 3" xfId="17952" xr:uid="{2F0C6D83-D131-474F-BDBA-B4B438FF6D72}"/>
    <cellStyle name="Percentuale 55 4 2 3 2" xfId="29390" xr:uid="{D56ECE58-1476-442F-A191-FDA5BEEE52F5}"/>
    <cellStyle name="Percentuale 55 4 2 4" xfId="29388" xr:uid="{46E1E8D3-FB4C-4E58-9F44-AAC570C859D3}"/>
    <cellStyle name="Percentuale 55 4 2 5" xfId="17562" xr:uid="{075CAC2F-973D-4840-ACD4-0FB863C85BEA}"/>
    <cellStyle name="Percentuale 55 4 3" xfId="9550" xr:uid="{76A31C9A-6C3D-4A2D-B176-44676B2883B4}"/>
    <cellStyle name="Percentuale 55 4 3 2" xfId="29391" xr:uid="{48553474-AA16-4B8C-A6A0-64D4CCC71F24}"/>
    <cellStyle name="Percentuale 55 4 4" xfId="29392" xr:uid="{81C32C01-C1BA-4A86-BC3A-F03BDF2F97D9}"/>
    <cellStyle name="Percentuale 55 4 5" xfId="29393" xr:uid="{A771B145-0329-42C8-B99A-8C74D266F5FA}"/>
    <cellStyle name="Percentuale 55 4 5 2" xfId="49386" xr:uid="{DF33CAC7-48AD-4AD9-A5F8-4415AB6B410D}"/>
    <cellStyle name="Percentuale 55 4 6" xfId="29394" xr:uid="{85BBAF57-7211-475E-995D-4BBF6608B43C}"/>
    <cellStyle name="Percentuale 55 4 7" xfId="29387" xr:uid="{BC63B229-71AF-49E8-BAEE-9547D3F638F7}"/>
    <cellStyle name="Percentuale 55 5" xfId="2475" xr:uid="{00000000-0005-0000-0000-00005D090000}"/>
    <cellStyle name="Percentuale 55 5 2" xfId="29396" xr:uid="{FC0E9DE3-07F8-4104-B72D-12E979284010}"/>
    <cellStyle name="Percentuale 55 5 3" xfId="29397" xr:uid="{2BC90B33-F5AE-4B3E-BC32-1B1C10D20CBD}"/>
    <cellStyle name="Percentuale 55 5 3 2" xfId="49387" xr:uid="{E81B7267-8C60-465C-AA6D-95A16EB7941E}"/>
    <cellStyle name="Percentuale 55 5 4" xfId="29398" xr:uid="{E910BCD5-6186-495A-884F-BB7823126896}"/>
    <cellStyle name="Percentuale 55 5 5" xfId="29395" xr:uid="{FD72D246-B088-42A6-A716-3246C94A3790}"/>
    <cellStyle name="Percentuale 55 6" xfId="4473" xr:uid="{5CBE3484-BF68-442A-9E8D-E89ABD37FFB0}"/>
    <cellStyle name="Percentuale 55 6 2" xfId="9861" xr:uid="{42CA5658-E0E5-47A9-80B9-976237AACDB8}"/>
    <cellStyle name="Percentuale 55 6 3" xfId="29399" xr:uid="{B836F89D-CDFD-413C-A0CE-D51AE8BDC455}"/>
    <cellStyle name="Percentuale 55 7" xfId="29400" xr:uid="{BCE8AB7C-34F6-44D5-B677-49649BBB810B}"/>
    <cellStyle name="Percentuale 55 7 2" xfId="49388" xr:uid="{D0C03CD6-1308-4CC5-8603-B10B6BD5A0F0}"/>
    <cellStyle name="Percentuale 55 8" xfId="29367" xr:uid="{708D938C-ADC5-4202-8CB6-89EEF012D117}"/>
    <cellStyle name="Percentuale 56" xfId="1174" xr:uid="{00000000-0005-0000-0000-00005E090000}"/>
    <cellStyle name="Percentuale 56 2" xfId="1175" xr:uid="{00000000-0005-0000-0000-00005F090000}"/>
    <cellStyle name="Percentuale 56 2 2" xfId="4474" xr:uid="{F0A729FD-68FA-4960-B068-48806F9B3947}"/>
    <cellStyle name="Percentuale 56 2 2 2" xfId="13613" xr:uid="{4F39F6A1-4DEF-4AE7-9240-431B3528B9AF}"/>
    <cellStyle name="Percentuale 56 2 2 3" xfId="29403" xr:uid="{D1E3A082-6FEC-47D8-8FAE-A15B04DDCF19}"/>
    <cellStyle name="Percentuale 56 2 3" xfId="13351" xr:uid="{F7127C1F-CF0A-47DD-99B4-0AF4AFFB097C}"/>
    <cellStyle name="Percentuale 56 2 3 2" xfId="29404" xr:uid="{F461F4A5-5FE5-477A-958E-16CF087A2766}"/>
    <cellStyle name="Percentuale 56 2 4" xfId="29405" xr:uid="{997BF474-D49C-4B1A-80C2-C8EB4DECE804}"/>
    <cellStyle name="Percentuale 56 2 4 2" xfId="49389" xr:uid="{94287EE0-0FD4-4E37-A256-63A13FE8E02E}"/>
    <cellStyle name="Percentuale 56 2 5" xfId="29406" xr:uid="{FF018137-30BF-4DB6-AE0F-4F90E02FF699}"/>
    <cellStyle name="Percentuale 56 2 6" xfId="29402" xr:uid="{2793A5F4-ED55-4ECD-BBEB-533C73596ACD}"/>
    <cellStyle name="Percentuale 56 3" xfId="1176" xr:uid="{00000000-0005-0000-0000-000060090000}"/>
    <cellStyle name="Percentuale 56 3 2" xfId="1177" xr:uid="{00000000-0005-0000-0000-000061090000}"/>
    <cellStyle name="Percentuale 56 3 2 2" xfId="2476" xr:uid="{00000000-0005-0000-0000-000062090000}"/>
    <cellStyle name="Percentuale 56 3 2 2 2" xfId="29410" xr:uid="{0B71B231-D3C5-4748-B82D-74E2348B6560}"/>
    <cellStyle name="Percentuale 56 3 2 2 3" xfId="29409" xr:uid="{2A9CFA4C-CEA9-47E1-8A3D-D3B37A7B131A}"/>
    <cellStyle name="Percentuale 56 3 2 3" xfId="8168" xr:uid="{AFB2EDC4-7BD4-42A2-BE4C-DA747D87DE23}"/>
    <cellStyle name="Percentuale 56 3 2 3 2" xfId="14167" xr:uid="{8F1D520D-7E21-48FB-A0D4-AE44A417A98F}"/>
    <cellStyle name="Percentuale 56 3 2 3 3" xfId="29411" xr:uid="{46996D8B-B72A-4729-9DEB-B59D89F52EEC}"/>
    <cellStyle name="Percentuale 56 3 2 3 4" xfId="49390" xr:uid="{21A52B25-9514-4AC1-B780-92AE7CB1ABD0}"/>
    <cellStyle name="Percentuale 56 3 2 4" xfId="29412" xr:uid="{E840C89D-D585-44AC-8751-252CB6AE677F}"/>
    <cellStyle name="Percentuale 56 3 2 5" xfId="29408" xr:uid="{411F648F-8A51-40E2-809E-A86D39A16B4A}"/>
    <cellStyle name="Percentuale 56 3 3" xfId="4475" xr:uid="{15F86343-1FE0-4152-AC6A-79AD02705EF5}"/>
    <cellStyle name="Percentuale 56 3 3 2" xfId="9551" xr:uid="{B9E38259-E31F-4639-B598-01F21C3A4CA6}"/>
    <cellStyle name="Percentuale 56 3 3 2 2" xfId="29414" xr:uid="{6B83BA1A-9C16-4D32-B310-408F78A0F24E}"/>
    <cellStyle name="Percentuale 56 3 3 3" xfId="29415" xr:uid="{079BEC42-4D6D-4887-8894-63D8D996D686}"/>
    <cellStyle name="Percentuale 56 3 3 4" xfId="29416" xr:uid="{B1ECE60F-1917-46CA-BAA3-9D0219D906CD}"/>
    <cellStyle name="Percentuale 56 3 3 4 2" xfId="49391" xr:uid="{D79DF9A0-1F97-4CAC-AA0E-384F6636FC55}"/>
    <cellStyle name="Percentuale 56 3 3 5" xfId="29413" xr:uid="{EAB86EE6-58EF-4C3E-994C-095D59783724}"/>
    <cellStyle name="Percentuale 56 3 4" xfId="4476" xr:uid="{BCAEFA1A-ADA8-4152-89B9-840C6CC2BACA}"/>
    <cellStyle name="Percentuale 56 3 4 2" xfId="13828" xr:uid="{12F37C21-E68B-4EB7-90F0-3DBA906CC731}"/>
    <cellStyle name="Percentuale 56 3 4 3" xfId="29417" xr:uid="{CFDC63FE-1865-42C4-B035-980C069DCA1A}"/>
    <cellStyle name="Percentuale 56 3 5" xfId="12266" xr:uid="{C3F53CB6-1F98-4DBF-95C6-C469D4287C6A}"/>
    <cellStyle name="Percentuale 56 3 5 2" xfId="29418" xr:uid="{3AB5EEE4-10C8-4E76-8CF8-0EA47626413C}"/>
    <cellStyle name="Percentuale 56 3 6" xfId="29419" xr:uid="{C6B06292-01BC-48EB-8CCA-485CBA7A9DED}"/>
    <cellStyle name="Percentuale 56 3 6 2" xfId="49392" xr:uid="{3498A0B3-2BB7-46CE-8789-AE4DE980133E}"/>
    <cellStyle name="Percentuale 56 3 7" xfId="29420" xr:uid="{8E16837B-54EF-4613-9E10-964534EC723F}"/>
    <cellStyle name="Percentuale 56 3 8" xfId="29407" xr:uid="{B6F08AA6-7FF2-4771-93AD-F8FB8EE83200}"/>
    <cellStyle name="Percentuale 56 4" xfId="2477" xr:uid="{00000000-0005-0000-0000-000063090000}"/>
    <cellStyle name="Percentuale 56 4 2" xfId="2478" xr:uid="{00000000-0005-0000-0000-000064090000}"/>
    <cellStyle name="Percentuale 56 4 2 2" xfId="9552" xr:uid="{D78D3859-D983-4E1B-8301-7CCC31EF8552}"/>
    <cellStyle name="Percentuale 56 4 2 2 2" xfId="29423" xr:uid="{E01750D9-0080-4AFD-8E55-F3E0E2673B39}"/>
    <cellStyle name="Percentuale 56 4 2 3" xfId="17953" xr:uid="{B5D1EA6B-E0E9-4477-B127-9EA25A89A6B3}"/>
    <cellStyle name="Percentuale 56 4 2 3 2" xfId="29424" xr:uid="{BDE972DA-9C6C-4B50-A155-9F008F4AAA3C}"/>
    <cellStyle name="Percentuale 56 4 2 4" xfId="29422" xr:uid="{7DFB6CE1-11E3-4B25-8B4E-DC59B973C1F5}"/>
    <cellStyle name="Percentuale 56 4 2 5" xfId="17563" xr:uid="{508A86FB-0B0E-43A8-A098-5BD5A30619CA}"/>
    <cellStyle name="Percentuale 56 4 3" xfId="9553" xr:uid="{FA4A4B30-F5DE-44B0-B563-57195A53157C}"/>
    <cellStyle name="Percentuale 56 4 3 2" xfId="29425" xr:uid="{78CDB0E0-D36D-423D-95D5-CDEE4380EE6C}"/>
    <cellStyle name="Percentuale 56 4 4" xfId="29426" xr:uid="{ADFB3F5D-BA88-44B7-8CBF-3E40B66BB6A1}"/>
    <cellStyle name="Percentuale 56 4 5" xfId="29427" xr:uid="{51415184-6651-4654-97DF-2CB7387F3CF3}"/>
    <cellStyle name="Percentuale 56 4 5 2" xfId="49393" xr:uid="{E5FF16A7-440A-403A-9AF9-D15153BC6522}"/>
    <cellStyle name="Percentuale 56 4 6" xfId="29428" xr:uid="{A6B48742-4054-4DB8-AD5A-5B0B83893FE1}"/>
    <cellStyle name="Percentuale 56 4 7" xfId="29421" xr:uid="{F869B540-8162-4384-A87A-1F5A62571AFE}"/>
    <cellStyle name="Percentuale 56 5" xfId="2479" xr:uid="{00000000-0005-0000-0000-000065090000}"/>
    <cellStyle name="Percentuale 56 5 2" xfId="29430" xr:uid="{778C48FF-280B-4E9E-9FBF-09DD70A397D2}"/>
    <cellStyle name="Percentuale 56 5 3" xfId="29431" xr:uid="{676DEB36-0EE4-4723-B1D7-EF0E31DC2287}"/>
    <cellStyle name="Percentuale 56 5 3 2" xfId="49394" xr:uid="{CC76C6BB-E906-4588-B113-B6ABA31D5B2E}"/>
    <cellStyle name="Percentuale 56 5 4" xfId="29432" xr:uid="{AEC4EA85-9921-48E0-A760-A9E8EBA03293}"/>
    <cellStyle name="Percentuale 56 5 5" xfId="29429" xr:uid="{3C671BF2-4107-4DC7-9F9D-76F258B57676}"/>
    <cellStyle name="Percentuale 56 6" xfId="4477" xr:uid="{878B95F7-D7C0-476D-86EA-11C9A1EAF050}"/>
    <cellStyle name="Percentuale 56 6 2" xfId="9862" xr:uid="{E3EF8EB4-E02B-400C-BD6B-EDDAD7579E45}"/>
    <cellStyle name="Percentuale 56 6 3" xfId="29433" xr:uid="{235C3ED6-54E7-47F2-A055-A87503D4CA76}"/>
    <cellStyle name="Percentuale 56 7" xfId="29434" xr:uid="{689A9318-58EF-4AAC-892E-5EA2376A820E}"/>
    <cellStyle name="Percentuale 56 7 2" xfId="49395" xr:uid="{DBFEBB5A-60C5-486E-B50B-FE7987D040B4}"/>
    <cellStyle name="Percentuale 56 8" xfId="29401" xr:uid="{B09A75A6-0FBA-4A8D-9CBA-E4CFCB8A0912}"/>
    <cellStyle name="Percentuale 57" xfId="1178" xr:uid="{00000000-0005-0000-0000-000066090000}"/>
    <cellStyle name="Percentuale 57 2" xfId="1179" xr:uid="{00000000-0005-0000-0000-000067090000}"/>
    <cellStyle name="Percentuale 57 2 2" xfId="4478" xr:uid="{802071B6-1DB8-4E88-9284-268E36F95370}"/>
    <cellStyle name="Percentuale 57 2 2 2" xfId="13614" xr:uid="{38E60120-E654-4B94-A9CA-7FBF57659427}"/>
    <cellStyle name="Percentuale 57 2 2 3" xfId="29437" xr:uid="{8667B7A2-0575-42DD-986D-AF143E44649F}"/>
    <cellStyle name="Percentuale 57 2 3" xfId="13352" xr:uid="{E707B1B0-80B1-4433-BE43-657A693FFDBB}"/>
    <cellStyle name="Percentuale 57 2 3 2" xfId="29438" xr:uid="{B78762D8-29FC-4255-A9B2-089220860ADC}"/>
    <cellStyle name="Percentuale 57 2 4" xfId="29439" xr:uid="{C5263115-0005-422E-96B3-AFD6E1515F79}"/>
    <cellStyle name="Percentuale 57 2 4 2" xfId="49396" xr:uid="{3F319650-6300-4646-9857-A2701160DDCA}"/>
    <cellStyle name="Percentuale 57 2 5" xfId="29440" xr:uid="{CD8D946C-F1FD-4964-8EAD-1DB4592638C3}"/>
    <cellStyle name="Percentuale 57 2 6" xfId="29436" xr:uid="{AC73D82C-037B-4F1A-A32C-BB04855D0120}"/>
    <cellStyle name="Percentuale 57 3" xfId="1180" xr:uid="{00000000-0005-0000-0000-000068090000}"/>
    <cellStyle name="Percentuale 57 3 2" xfId="1181" xr:uid="{00000000-0005-0000-0000-000069090000}"/>
    <cellStyle name="Percentuale 57 3 2 2" xfId="2480" xr:uid="{00000000-0005-0000-0000-00006A090000}"/>
    <cellStyle name="Percentuale 57 3 2 2 2" xfId="29444" xr:uid="{132A0B16-ED0B-4E9E-89C4-067D446E9C5A}"/>
    <cellStyle name="Percentuale 57 3 2 2 3" xfId="29443" xr:uid="{D02453D5-8DEA-4587-9AB8-64637005001B}"/>
    <cellStyle name="Percentuale 57 3 2 3" xfId="8169" xr:uid="{97E1D6F7-7E0D-4734-B52E-616B2DB4EC86}"/>
    <cellStyle name="Percentuale 57 3 2 3 2" xfId="14168" xr:uid="{5157D379-FFC0-42D8-BFDF-CDD7284CE272}"/>
    <cellStyle name="Percentuale 57 3 2 3 3" xfId="29445" xr:uid="{551BC0EB-CFF6-4C01-91A9-BDA21B2DD44F}"/>
    <cellStyle name="Percentuale 57 3 2 3 4" xfId="49397" xr:uid="{1C741D8E-4C21-466D-AD01-CC5C401748BA}"/>
    <cellStyle name="Percentuale 57 3 2 4" xfId="29446" xr:uid="{14DB0F41-36E9-428C-B6EC-AEB9427A4F97}"/>
    <cellStyle name="Percentuale 57 3 2 5" xfId="29442" xr:uid="{314B5004-8257-4E74-84F3-1E16133C4DDC}"/>
    <cellStyle name="Percentuale 57 3 3" xfId="4479" xr:uid="{9A432AAB-FE07-49DF-A2EB-9027ACFACA74}"/>
    <cellStyle name="Percentuale 57 3 3 2" xfId="9554" xr:uid="{58DD033C-3DA4-47D4-9D52-63F36B621DC1}"/>
    <cellStyle name="Percentuale 57 3 3 2 2" xfId="29448" xr:uid="{0F54F854-B347-4932-B344-4BA7C00D8FF5}"/>
    <cellStyle name="Percentuale 57 3 3 3" xfId="29449" xr:uid="{7B5CEF22-C165-45AF-A7E3-3EE4B0B60D59}"/>
    <cellStyle name="Percentuale 57 3 3 4" xfId="29450" xr:uid="{C4724668-5806-4520-A92A-5EA8F78F17DF}"/>
    <cellStyle name="Percentuale 57 3 3 4 2" xfId="49398" xr:uid="{ADFC96D6-C45E-4CBD-9D77-90BC25B8A68A}"/>
    <cellStyle name="Percentuale 57 3 3 5" xfId="29447" xr:uid="{5DEF1111-5614-4D6E-818A-446429DA09BA}"/>
    <cellStyle name="Percentuale 57 3 4" xfId="4480" xr:uid="{2256E624-F931-48E6-B76A-6CB5BC4F81A5}"/>
    <cellStyle name="Percentuale 57 3 4 2" xfId="13829" xr:uid="{522EEE0C-ABDA-4F15-BE65-10090EC3D72F}"/>
    <cellStyle name="Percentuale 57 3 4 3" xfId="29451" xr:uid="{38E524F9-D94E-4619-8875-8718924B829D}"/>
    <cellStyle name="Percentuale 57 3 5" xfId="12435" xr:uid="{349FAFAA-71D5-4718-8E1A-72369C43ED5D}"/>
    <cellStyle name="Percentuale 57 3 5 2" xfId="29452" xr:uid="{DE87202E-EB54-446E-BD99-778962A8D03C}"/>
    <cellStyle name="Percentuale 57 3 6" xfId="29453" xr:uid="{293A1C16-DC06-41CA-8F29-8C6076187FC9}"/>
    <cellStyle name="Percentuale 57 3 6 2" xfId="49399" xr:uid="{A16586E0-6A88-40D8-B16A-08D40E6B506D}"/>
    <cellStyle name="Percentuale 57 3 7" xfId="29454" xr:uid="{B21E89B6-7A98-4C17-9806-8B490E2F3D2C}"/>
    <cellStyle name="Percentuale 57 3 8" xfId="29441" xr:uid="{EFEEB854-CDB3-4F21-A0AF-C4B993037E1A}"/>
    <cellStyle name="Percentuale 57 4" xfId="2481" xr:uid="{00000000-0005-0000-0000-00006B090000}"/>
    <cellStyle name="Percentuale 57 4 2" xfId="2482" xr:uid="{00000000-0005-0000-0000-00006C090000}"/>
    <cellStyle name="Percentuale 57 4 2 2" xfId="9555" xr:uid="{024483D0-4BE2-47BA-87FB-405F6F24F5DD}"/>
    <cellStyle name="Percentuale 57 4 2 2 2" xfId="29457" xr:uid="{26F0BD4A-4099-4818-BFD9-6971E15F96B5}"/>
    <cellStyle name="Percentuale 57 4 2 3" xfId="17954" xr:uid="{0934BBCB-8038-4D7C-AAE9-6EC4759F4907}"/>
    <cellStyle name="Percentuale 57 4 2 3 2" xfId="29458" xr:uid="{4B015CA6-2AD2-4F9B-B71F-6008056906A3}"/>
    <cellStyle name="Percentuale 57 4 2 4" xfId="29456" xr:uid="{CA1E8916-4B63-488E-B475-49A15F66FF41}"/>
    <cellStyle name="Percentuale 57 4 2 5" xfId="17565" xr:uid="{0C56BD17-8D9C-49E4-BCF8-AA0FB283222C}"/>
    <cellStyle name="Percentuale 57 4 3" xfId="9556" xr:uid="{AE6145FB-B82E-4B35-A6D5-9AB41C07C8AB}"/>
    <cellStyle name="Percentuale 57 4 3 2" xfId="29459" xr:uid="{A5DC4AB1-FD7F-4236-8935-384265D0A2DE}"/>
    <cellStyle name="Percentuale 57 4 4" xfId="29460" xr:uid="{3CAFF113-25A8-45C6-9A37-0685BAA55FE4}"/>
    <cellStyle name="Percentuale 57 4 5" xfId="29461" xr:uid="{81CE0329-98F1-49C1-94F8-21B2B54D1C59}"/>
    <cellStyle name="Percentuale 57 4 5 2" xfId="49400" xr:uid="{0AF111B1-DA05-4EBE-821B-48BA4682ABD1}"/>
    <cellStyle name="Percentuale 57 4 6" xfId="29462" xr:uid="{B50B20EA-F7ED-4D38-9DD6-0502F888D549}"/>
    <cellStyle name="Percentuale 57 4 7" xfId="29455" xr:uid="{9E49CDB9-4472-4157-B43C-FD898F07B80E}"/>
    <cellStyle name="Percentuale 57 5" xfId="2483" xr:uid="{00000000-0005-0000-0000-00006D090000}"/>
    <cellStyle name="Percentuale 57 5 2" xfId="29464" xr:uid="{B4C3FFAD-7057-488E-A0DA-92C290E3A958}"/>
    <cellStyle name="Percentuale 57 5 3" xfId="29465" xr:uid="{C97B4BCC-3013-4583-BF52-646AEF64F6B6}"/>
    <cellStyle name="Percentuale 57 5 3 2" xfId="49401" xr:uid="{ACB4EA64-3E0F-4E5D-A3AB-BCA1B0ADDFF1}"/>
    <cellStyle name="Percentuale 57 5 4" xfId="29466" xr:uid="{FA91A1DC-4003-4B36-8D80-E222B6F90897}"/>
    <cellStyle name="Percentuale 57 5 5" xfId="29463" xr:uid="{64B7DE61-C9AF-42B0-839C-03410577C438}"/>
    <cellStyle name="Percentuale 57 6" xfId="4481" xr:uid="{19668B3A-51C5-4C47-8D19-2C9C755482C7}"/>
    <cellStyle name="Percentuale 57 6 2" xfId="9863" xr:uid="{B4CD9163-441C-482D-B915-EFD174D686BC}"/>
    <cellStyle name="Percentuale 57 6 3" xfId="29467" xr:uid="{F4C014A1-6194-4909-93F6-C095CDB7200E}"/>
    <cellStyle name="Percentuale 57 7" xfId="29468" xr:uid="{0D8AD768-1A6C-4FD2-9D4B-19EA9198ADCD}"/>
    <cellStyle name="Percentuale 57 7 2" xfId="49402" xr:uid="{C6D0D067-8C45-4CFE-857F-3BB0AD8E982A}"/>
    <cellStyle name="Percentuale 57 8" xfId="29435" xr:uid="{D74C1165-67BE-49FF-873C-D886ED5330D1}"/>
    <cellStyle name="Percentuale 58" xfId="1182" xr:uid="{00000000-0005-0000-0000-00006E090000}"/>
    <cellStyle name="Percentuale 58 2" xfId="1183" xr:uid="{00000000-0005-0000-0000-00006F090000}"/>
    <cellStyle name="Percentuale 58 2 2" xfId="4482" xr:uid="{98E9A2AD-3D94-4ADC-BE39-60F20F81CE80}"/>
    <cellStyle name="Percentuale 58 2 2 2" xfId="13615" xr:uid="{78ACAD47-4BBA-4FE3-8A48-4E6960923C8B}"/>
    <cellStyle name="Percentuale 58 2 2 3" xfId="29471" xr:uid="{22BE11AF-0C2A-4AF9-965F-D012E27141AF}"/>
    <cellStyle name="Percentuale 58 2 3" xfId="13353" xr:uid="{BA46DF94-92BC-4090-9E4B-662EC0BFE965}"/>
    <cellStyle name="Percentuale 58 2 3 2" xfId="29472" xr:uid="{4C8B7F9B-44A1-46D6-BE8D-9EFEDC4380A5}"/>
    <cellStyle name="Percentuale 58 2 4" xfId="29473" xr:uid="{B10E802B-F542-42AE-B088-EAD971254923}"/>
    <cellStyle name="Percentuale 58 2 4 2" xfId="49403" xr:uid="{FCAA5C3D-F425-49C4-9251-65261033DAF9}"/>
    <cellStyle name="Percentuale 58 2 5" xfId="29474" xr:uid="{C059F73B-51A2-4C05-B213-0AFC7B2DCC19}"/>
    <cellStyle name="Percentuale 58 2 6" xfId="29470" xr:uid="{8967B917-6049-485F-8738-E0BC08A4C26B}"/>
    <cellStyle name="Percentuale 58 3" xfId="1184" xr:uid="{00000000-0005-0000-0000-000070090000}"/>
    <cellStyle name="Percentuale 58 3 2" xfId="1185" xr:uid="{00000000-0005-0000-0000-000071090000}"/>
    <cellStyle name="Percentuale 58 3 2 2" xfId="2484" xr:uid="{00000000-0005-0000-0000-000072090000}"/>
    <cellStyle name="Percentuale 58 3 2 2 2" xfId="29478" xr:uid="{90240B7A-7BEC-41C4-A377-2310EDCF9668}"/>
    <cellStyle name="Percentuale 58 3 2 2 3" xfId="29477" xr:uid="{3CB58DA3-E954-42CF-8993-E0FBF3427EB5}"/>
    <cellStyle name="Percentuale 58 3 2 3" xfId="8170" xr:uid="{1D2ABAAF-C697-454C-BEED-D8DECC76B9C8}"/>
    <cellStyle name="Percentuale 58 3 2 3 2" xfId="14169" xr:uid="{EF241D6D-62BB-4447-83E9-76C8E2F0B9D3}"/>
    <cellStyle name="Percentuale 58 3 2 3 3" xfId="29479" xr:uid="{48C2B72F-5171-4412-99FE-4E733FC05DEB}"/>
    <cellStyle name="Percentuale 58 3 2 3 4" xfId="49404" xr:uid="{B0987FFA-7332-42D8-80D6-97577E0E42FF}"/>
    <cellStyle name="Percentuale 58 3 2 4" xfId="29480" xr:uid="{D2B27480-C09B-4A49-AF32-F3E497D21CF7}"/>
    <cellStyle name="Percentuale 58 3 2 5" xfId="29476" xr:uid="{265F03A7-C1E6-4657-8291-60052E419449}"/>
    <cellStyle name="Percentuale 58 3 3" xfId="4483" xr:uid="{CD494641-1FDC-404E-98F8-9AB0E0C84F4E}"/>
    <cellStyle name="Percentuale 58 3 3 2" xfId="9557" xr:uid="{105DE025-EB2D-4E34-BF31-16ED4B6D9AC7}"/>
    <cellStyle name="Percentuale 58 3 3 2 2" xfId="29482" xr:uid="{E0A6BD29-AC99-4AD0-9152-A67FA5F5CB76}"/>
    <cellStyle name="Percentuale 58 3 3 3" xfId="29483" xr:uid="{99F64B6E-D55F-474C-8DC4-305B76975C21}"/>
    <cellStyle name="Percentuale 58 3 3 4" xfId="29484" xr:uid="{02E2AA24-4CF3-401A-A9BC-993560D0CECE}"/>
    <cellStyle name="Percentuale 58 3 3 4 2" xfId="49405" xr:uid="{B4E81864-4D7A-427F-A39D-D464C4208B11}"/>
    <cellStyle name="Percentuale 58 3 3 5" xfId="29481" xr:uid="{0AEA16E1-D3FE-4A2F-86C8-1286476B8703}"/>
    <cellStyle name="Percentuale 58 3 4" xfId="4484" xr:uid="{2219F934-EDFE-4E81-82CF-3B29C1C2BB26}"/>
    <cellStyle name="Percentuale 58 3 4 2" xfId="13830" xr:uid="{E9E6C437-3290-4231-B59F-55D2FB68A330}"/>
    <cellStyle name="Percentuale 58 3 4 3" xfId="29485" xr:uid="{952A4DB9-7B28-4447-9629-D2D4A96B225E}"/>
    <cellStyle name="Percentuale 58 3 5" xfId="12307" xr:uid="{D86A3C42-5F00-42D1-816B-3DF1F129C6C2}"/>
    <cellStyle name="Percentuale 58 3 5 2" xfId="29486" xr:uid="{3EF5D619-5C22-4E40-89AF-FE6186403139}"/>
    <cellStyle name="Percentuale 58 3 6" xfId="29487" xr:uid="{7C2EDC52-7046-41E0-82BB-3B64CAA398F3}"/>
    <cellStyle name="Percentuale 58 3 6 2" xfId="49406" xr:uid="{14AFEBA6-60FE-4C88-8FDD-91534D68C775}"/>
    <cellStyle name="Percentuale 58 3 7" xfId="29488" xr:uid="{203AC7C0-918B-40E2-A435-C0E082D35D9A}"/>
    <cellStyle name="Percentuale 58 3 8" xfId="29475" xr:uid="{C7ABAF49-3E95-4428-85C8-113E2DF14EA5}"/>
    <cellStyle name="Percentuale 58 4" xfId="2485" xr:uid="{00000000-0005-0000-0000-000073090000}"/>
    <cellStyle name="Percentuale 58 4 2" xfId="2486" xr:uid="{00000000-0005-0000-0000-000074090000}"/>
    <cellStyle name="Percentuale 58 4 2 2" xfId="9558" xr:uid="{98E83300-B6A9-4B77-B719-7B6826EF992F}"/>
    <cellStyle name="Percentuale 58 4 2 2 2" xfId="29491" xr:uid="{06554EAE-066E-4A0D-9F6F-68E6501F3F25}"/>
    <cellStyle name="Percentuale 58 4 2 3" xfId="17955" xr:uid="{5E482335-FA21-44BE-965C-21AF6E68DA7F}"/>
    <cellStyle name="Percentuale 58 4 2 3 2" xfId="29492" xr:uid="{A111C76A-166D-457B-8539-A21DD052428C}"/>
    <cellStyle name="Percentuale 58 4 2 4" xfId="29490" xr:uid="{803C3779-F0AE-41BF-984D-21825A24BC61}"/>
    <cellStyle name="Percentuale 58 4 2 5" xfId="17566" xr:uid="{E8108609-E85E-4519-BCC8-8B366099A734}"/>
    <cellStyle name="Percentuale 58 4 3" xfId="9559" xr:uid="{C384C623-5115-4E1F-B809-E5976E966722}"/>
    <cellStyle name="Percentuale 58 4 3 2" xfId="29493" xr:uid="{3171A4B2-0505-4C8D-822E-9B288824F94D}"/>
    <cellStyle name="Percentuale 58 4 4" xfId="29494" xr:uid="{67C2582A-400F-4BBC-9282-A5E2FF53CCDB}"/>
    <cellStyle name="Percentuale 58 4 5" xfId="29495" xr:uid="{C2C011AE-7085-4CAF-A363-7949ACFEC49F}"/>
    <cellStyle name="Percentuale 58 4 5 2" xfId="49407" xr:uid="{4DF060AF-8D3D-48F4-A998-2830DAEC300D}"/>
    <cellStyle name="Percentuale 58 4 6" xfId="29496" xr:uid="{9EEAC5CD-C269-4DC6-9AA3-6C87E4AE4BC5}"/>
    <cellStyle name="Percentuale 58 4 7" xfId="29489" xr:uid="{261B1A9E-9EBE-492E-B1CC-86A43891482B}"/>
    <cellStyle name="Percentuale 58 5" xfId="2487" xr:uid="{00000000-0005-0000-0000-000075090000}"/>
    <cellStyle name="Percentuale 58 5 2" xfId="29498" xr:uid="{56E360CD-FFD3-4C20-8E73-1BB353EFF530}"/>
    <cellStyle name="Percentuale 58 5 3" xfId="29499" xr:uid="{889B9B33-7ABD-4CD9-B41D-ED9DCCDBFB39}"/>
    <cellStyle name="Percentuale 58 5 3 2" xfId="49408" xr:uid="{0B5FF4DB-BBED-4915-B5C4-FEA563B88628}"/>
    <cellStyle name="Percentuale 58 5 4" xfId="29500" xr:uid="{F025825E-6EB8-48DE-905D-9BFE17B525D8}"/>
    <cellStyle name="Percentuale 58 5 5" xfId="29497" xr:uid="{BCA21D4D-E533-4FD7-869B-DFA5EA9FEF25}"/>
    <cellStyle name="Percentuale 58 6" xfId="4485" xr:uid="{56342253-28BE-493F-B0E0-DFA831CD7057}"/>
    <cellStyle name="Percentuale 58 6 2" xfId="9864" xr:uid="{2E2AF353-3E01-496B-9214-2B8E394E7840}"/>
    <cellStyle name="Percentuale 58 6 3" xfId="29501" xr:uid="{CC554910-5305-4469-8CBA-6896FF62D83F}"/>
    <cellStyle name="Percentuale 58 7" xfId="29502" xr:uid="{366D8DCA-1353-47B7-AA5B-C60CD19C6885}"/>
    <cellStyle name="Percentuale 58 7 2" xfId="49409" xr:uid="{A94BB069-181B-4819-B858-AA6C958F8082}"/>
    <cellStyle name="Percentuale 58 8" xfId="29469" xr:uid="{A3D8F179-2B6F-4536-B193-F0E1AE9D640E}"/>
    <cellStyle name="Percentuale 59" xfId="1186" xr:uid="{00000000-0005-0000-0000-000076090000}"/>
    <cellStyle name="Percentuale 59 2" xfId="1187" xr:uid="{00000000-0005-0000-0000-000077090000}"/>
    <cellStyle name="Percentuale 59 2 2" xfId="4486" xr:uid="{1B778C9F-89EA-440F-8B92-160FDE694F43}"/>
    <cellStyle name="Percentuale 59 2 2 2" xfId="13616" xr:uid="{59DF717F-A743-4D67-A83F-F89D2EE73FAA}"/>
    <cellStyle name="Percentuale 59 2 2 3" xfId="29505" xr:uid="{E39B83B9-AF63-49C9-B4CC-639FAFA338B7}"/>
    <cellStyle name="Percentuale 59 2 3" xfId="13354" xr:uid="{767362E7-8089-4C3A-9044-8CBD60E490A1}"/>
    <cellStyle name="Percentuale 59 2 3 2" xfId="29506" xr:uid="{8F147997-C3C9-440B-9D43-8C29452CB710}"/>
    <cellStyle name="Percentuale 59 2 4" xfId="29507" xr:uid="{093FE68A-54B7-403A-852F-6FE26337E8E5}"/>
    <cellStyle name="Percentuale 59 2 4 2" xfId="49410" xr:uid="{7A2B8A1A-87DC-4A07-972E-44411A4A5CEC}"/>
    <cellStyle name="Percentuale 59 2 5" xfId="29508" xr:uid="{32663165-0707-4551-BE52-605299EAD50B}"/>
    <cellStyle name="Percentuale 59 2 6" xfId="29504" xr:uid="{4C3E15AF-D34E-49C7-9FB5-FC7002E1AE61}"/>
    <cellStyle name="Percentuale 59 3" xfId="1188" xr:uid="{00000000-0005-0000-0000-000078090000}"/>
    <cellStyle name="Percentuale 59 3 2" xfId="1189" xr:uid="{00000000-0005-0000-0000-000079090000}"/>
    <cellStyle name="Percentuale 59 3 2 2" xfId="2488" xr:uid="{00000000-0005-0000-0000-00007A090000}"/>
    <cellStyle name="Percentuale 59 3 2 2 2" xfId="29512" xr:uid="{E3B4D286-63BE-4E59-A8B8-666C664EFBC6}"/>
    <cellStyle name="Percentuale 59 3 2 2 3" xfId="29511" xr:uid="{C35FDEEC-7EE5-4F8B-8B3A-9DFB982BA650}"/>
    <cellStyle name="Percentuale 59 3 2 3" xfId="8171" xr:uid="{4C649B33-C27F-487E-96FF-51A14BCB1084}"/>
    <cellStyle name="Percentuale 59 3 2 3 2" xfId="14170" xr:uid="{AE7125D1-EAE4-42A8-9BB3-1BE513DE7457}"/>
    <cellStyle name="Percentuale 59 3 2 3 3" xfId="29513" xr:uid="{A01F5A2C-2B98-4B22-90E2-38CDCC0E5E03}"/>
    <cellStyle name="Percentuale 59 3 2 3 4" xfId="49411" xr:uid="{EDCEB628-8334-4A4C-A9EE-AC03B8A598FF}"/>
    <cellStyle name="Percentuale 59 3 2 4" xfId="29514" xr:uid="{63091DF1-645F-4828-9A72-F8733AFB0D67}"/>
    <cellStyle name="Percentuale 59 3 2 5" xfId="29510" xr:uid="{E42E2A44-80A3-4AF6-A4B2-9C070FF754A4}"/>
    <cellStyle name="Percentuale 59 3 3" xfId="4487" xr:uid="{36B2E09D-236E-4D14-9F1E-1F19B8523443}"/>
    <cellStyle name="Percentuale 59 3 3 2" xfId="9560" xr:uid="{F27462D4-2EA9-474C-A27B-2D82E2A7425D}"/>
    <cellStyle name="Percentuale 59 3 3 2 2" xfId="29516" xr:uid="{6CF03201-B967-47B2-A353-DECE65D53738}"/>
    <cellStyle name="Percentuale 59 3 3 3" xfId="29517" xr:uid="{36239515-787C-44F4-A797-6EAEA6BA2141}"/>
    <cellStyle name="Percentuale 59 3 3 4" xfId="29518" xr:uid="{05EEE978-2509-43A9-88C0-687A3FE483DB}"/>
    <cellStyle name="Percentuale 59 3 3 4 2" xfId="49412" xr:uid="{647DE056-EB3F-4911-9205-AE23F9EC9E2F}"/>
    <cellStyle name="Percentuale 59 3 3 5" xfId="29515" xr:uid="{E6D0BBF5-0170-4F9D-A6CB-4955FE9E765F}"/>
    <cellStyle name="Percentuale 59 3 4" xfId="4488" xr:uid="{7FECFE92-472B-453A-BE80-D34BDCF4D2E0}"/>
    <cellStyle name="Percentuale 59 3 4 2" xfId="13831" xr:uid="{8D6C3BBE-E7DE-4A1F-ADE0-ED416458E532}"/>
    <cellStyle name="Percentuale 59 3 4 3" xfId="29519" xr:uid="{A4EF2253-1514-4D86-8400-30C922F1275C}"/>
    <cellStyle name="Percentuale 59 3 5" xfId="11156" xr:uid="{3B607646-2BFC-40B2-853C-CB7C5485D1B6}"/>
    <cellStyle name="Percentuale 59 3 5 2" xfId="29520" xr:uid="{FA391269-F158-4A60-A828-A4A0151C8FEF}"/>
    <cellStyle name="Percentuale 59 3 6" xfId="29521" xr:uid="{431C659B-54E6-491F-B925-6E1A0CBA039A}"/>
    <cellStyle name="Percentuale 59 3 6 2" xfId="49413" xr:uid="{745EA7DF-FEA8-416A-89B0-2A8962F187D1}"/>
    <cellStyle name="Percentuale 59 3 7" xfId="29522" xr:uid="{C30C6381-62C0-4136-8C44-88D1B5335EEC}"/>
    <cellStyle name="Percentuale 59 3 8" xfId="29509" xr:uid="{9D435D89-9780-4FCA-B7C1-357A0A7F666D}"/>
    <cellStyle name="Percentuale 59 4" xfId="2489" xr:uid="{00000000-0005-0000-0000-00007B090000}"/>
    <cellStyle name="Percentuale 59 4 2" xfId="2490" xr:uid="{00000000-0005-0000-0000-00007C090000}"/>
    <cellStyle name="Percentuale 59 4 2 2" xfId="9561" xr:uid="{5BBEAD1B-4811-4BB5-B2F9-492B0B2B083D}"/>
    <cellStyle name="Percentuale 59 4 2 2 2" xfId="29525" xr:uid="{077E17B1-512C-426F-B074-33C62D7B808B}"/>
    <cellStyle name="Percentuale 59 4 2 3" xfId="17956" xr:uid="{0A6097DA-BBD7-4F45-98C1-BF6F2121E998}"/>
    <cellStyle name="Percentuale 59 4 2 3 2" xfId="29526" xr:uid="{50C6BCD9-5C2E-456E-80DE-8B5663432192}"/>
    <cellStyle name="Percentuale 59 4 2 4" xfId="29524" xr:uid="{4BD3C4CA-503E-41C4-8283-DE5B39DA251E}"/>
    <cellStyle name="Percentuale 59 4 2 5" xfId="17567" xr:uid="{7CA3949F-784E-44E7-A533-B197ADD0BE5F}"/>
    <cellStyle name="Percentuale 59 4 3" xfId="9562" xr:uid="{A965D61C-B9B7-4F25-9885-0936BF06F59D}"/>
    <cellStyle name="Percentuale 59 4 3 2" xfId="29527" xr:uid="{1E3099FF-4542-43E7-8A8D-C213E5E5D6AC}"/>
    <cellStyle name="Percentuale 59 4 4" xfId="29528" xr:uid="{23E1E24D-951A-4209-99D0-7A00325EBE48}"/>
    <cellStyle name="Percentuale 59 4 5" xfId="29529" xr:uid="{C8277589-CA05-41A5-BBB1-03D47E7D1725}"/>
    <cellStyle name="Percentuale 59 4 5 2" xfId="49414" xr:uid="{CD45E1A9-E8CE-451F-B8EF-E890158BE3E5}"/>
    <cellStyle name="Percentuale 59 4 6" xfId="29530" xr:uid="{C91EDE95-0821-4D16-8A6F-3CCB537788DF}"/>
    <cellStyle name="Percentuale 59 4 7" xfId="29523" xr:uid="{9990A9CD-09AC-482C-8128-A42AC4721C5F}"/>
    <cellStyle name="Percentuale 59 5" xfId="2491" xr:uid="{00000000-0005-0000-0000-00007D090000}"/>
    <cellStyle name="Percentuale 59 5 2" xfId="29532" xr:uid="{807DC388-B8F7-41D2-A509-B4E6587CCEE1}"/>
    <cellStyle name="Percentuale 59 5 3" xfId="29533" xr:uid="{04816B69-4A76-42CB-9FED-753E39CA20F7}"/>
    <cellStyle name="Percentuale 59 5 3 2" xfId="49415" xr:uid="{0B2CF4A3-F8EE-4780-BAC8-0B5D2C9C3E00}"/>
    <cellStyle name="Percentuale 59 5 4" xfId="29534" xr:uid="{9BE1426E-0214-4248-BAED-A6244417E9ED}"/>
    <cellStyle name="Percentuale 59 5 5" xfId="29531" xr:uid="{73F03024-C40C-45D4-A6DA-1877EE170872}"/>
    <cellStyle name="Percentuale 59 6" xfId="4489" xr:uid="{D3DB3407-4102-4590-85A2-34C11F4AFE5C}"/>
    <cellStyle name="Percentuale 59 6 2" xfId="9865" xr:uid="{08C2F324-E91A-4B3A-882C-35D6FD783459}"/>
    <cellStyle name="Percentuale 59 6 3" xfId="29535" xr:uid="{45C1D375-62FE-4E54-8CC2-D45EA8F2426F}"/>
    <cellStyle name="Percentuale 59 7" xfId="29536" xr:uid="{E71DA602-39EE-47BA-B150-AD9F19673DA3}"/>
    <cellStyle name="Percentuale 59 7 2" xfId="49416" xr:uid="{49DF5E69-2089-4FE6-853B-431423034CE6}"/>
    <cellStyle name="Percentuale 59 8" xfId="29503" xr:uid="{D3E6934D-6EC2-4237-BD8F-19FC008D5766}"/>
    <cellStyle name="Percentuale 6" xfId="1190" xr:uid="{00000000-0005-0000-0000-00007E090000}"/>
    <cellStyle name="Percentuale 6 2" xfId="1191" xr:uid="{00000000-0005-0000-0000-00007F090000}"/>
    <cellStyle name="Percentuale 6 2 2" xfId="4490" xr:uid="{90E5CF0C-8429-4222-80BE-5FAD1F5A72F7}"/>
    <cellStyle name="Percentuale 6 2 2 2" xfId="13617" xr:uid="{6971110B-18A5-42CD-A45B-28F6ED04BC55}"/>
    <cellStyle name="Percentuale 6 2 2 3" xfId="29539" xr:uid="{602E5D5F-4F24-4BDB-973A-82A93399CD19}"/>
    <cellStyle name="Percentuale 6 2 3" xfId="13355" xr:uid="{CA660D2E-FB55-45FC-8C9A-1CB0D3A06340}"/>
    <cellStyle name="Percentuale 6 2 3 2" xfId="29540" xr:uid="{5A497AEA-E5F5-4592-92EA-E871182D5B13}"/>
    <cellStyle name="Percentuale 6 2 4" xfId="29541" xr:uid="{0F0E7CD2-0319-402F-B75F-710F78251844}"/>
    <cellStyle name="Percentuale 6 2 4 2" xfId="49417" xr:uid="{E4A22C5C-8D5E-4633-9FFE-E9C0D3637AF0}"/>
    <cellStyle name="Percentuale 6 2 5" xfId="29542" xr:uid="{180AEF14-AD7B-49FF-A964-B59FE678AFE3}"/>
    <cellStyle name="Percentuale 6 2 6" xfId="29538" xr:uid="{20BAEC08-2A0D-4796-BACE-95283FD55432}"/>
    <cellStyle name="Percentuale 6 3" xfId="1192" xr:uid="{00000000-0005-0000-0000-000080090000}"/>
    <cellStyle name="Percentuale 6 3 2" xfId="1193" xr:uid="{00000000-0005-0000-0000-000081090000}"/>
    <cellStyle name="Percentuale 6 3 2 2" xfId="2492" xr:uid="{00000000-0005-0000-0000-000082090000}"/>
    <cellStyle name="Percentuale 6 3 2 2 2" xfId="29546" xr:uid="{89C8DA2A-D025-4ACA-9CCC-C1C356AD8807}"/>
    <cellStyle name="Percentuale 6 3 2 2 3" xfId="29545" xr:uid="{C134F089-60EA-4BE0-A94A-5A993E080898}"/>
    <cellStyle name="Percentuale 6 3 2 3" xfId="8172" xr:uid="{22F971D9-3650-484C-BD10-B2B6068FD66D}"/>
    <cellStyle name="Percentuale 6 3 2 3 2" xfId="14171" xr:uid="{E7A84830-CD42-4061-B4A5-E0A0287685F3}"/>
    <cellStyle name="Percentuale 6 3 2 3 3" xfId="29547" xr:uid="{80B386FD-9A95-42D8-82DC-C18C32999342}"/>
    <cellStyle name="Percentuale 6 3 2 3 4" xfId="49418" xr:uid="{FA569B8D-561F-4762-BECF-2E71BE2958A2}"/>
    <cellStyle name="Percentuale 6 3 2 4" xfId="29548" xr:uid="{0E41D8B6-581D-43F3-A5C1-2DBDEF73226E}"/>
    <cellStyle name="Percentuale 6 3 2 5" xfId="29544" xr:uid="{45E669E6-06E4-4823-94B6-99BBBCDEBECD}"/>
    <cellStyle name="Percentuale 6 3 3" xfId="4491" xr:uid="{75300586-8009-43AB-A456-E2610EDA0574}"/>
    <cellStyle name="Percentuale 6 3 3 2" xfId="9563" xr:uid="{A8DCBDDE-D5E2-4011-8BA4-52D7AE597FE5}"/>
    <cellStyle name="Percentuale 6 3 3 2 2" xfId="29550" xr:uid="{A0CFA671-B004-40B4-BEB6-06BE6169DC1F}"/>
    <cellStyle name="Percentuale 6 3 3 3" xfId="29551" xr:uid="{39CD6771-147E-49E3-A6C3-CB8ED1C1A4E0}"/>
    <cellStyle name="Percentuale 6 3 3 4" xfId="29552" xr:uid="{011F19BD-EA84-4842-B97C-39956C089AB7}"/>
    <cellStyle name="Percentuale 6 3 3 4 2" xfId="49419" xr:uid="{40CB0356-6954-4110-AE6A-51AB942D7690}"/>
    <cellStyle name="Percentuale 6 3 3 5" xfId="29549" xr:uid="{72C1C685-373F-40EF-AF50-BBB8AD91C7B9}"/>
    <cellStyle name="Percentuale 6 3 4" xfId="4492" xr:uid="{CA0CD72A-87E1-426E-BF0F-8ECD92FC0FAC}"/>
    <cellStyle name="Percentuale 6 3 4 2" xfId="13832" xr:uid="{A6F9395A-44D2-4528-A23E-DD2B20163D9F}"/>
    <cellStyle name="Percentuale 6 3 4 3" xfId="29553" xr:uid="{BCF48B20-8E7F-47EF-99FD-12FAFE6E94C2}"/>
    <cellStyle name="Percentuale 6 3 5" xfId="12306" xr:uid="{935524E2-E2FA-4046-8719-7FBD8636BD00}"/>
    <cellStyle name="Percentuale 6 3 5 2" xfId="29554" xr:uid="{561B90FE-25A7-47AD-AF70-74E568C689C2}"/>
    <cellStyle name="Percentuale 6 3 6" xfId="29555" xr:uid="{9854123A-F9F4-4696-BA1D-478B50EFE81C}"/>
    <cellStyle name="Percentuale 6 3 6 2" xfId="49420" xr:uid="{8C88D49A-61DF-4C44-9B68-3AA5AE3EB2F7}"/>
    <cellStyle name="Percentuale 6 3 7" xfId="29556" xr:uid="{E6D754D2-1ACE-4D4C-8B7F-BA3348A8BD81}"/>
    <cellStyle name="Percentuale 6 3 8" xfId="29543" xr:uid="{74FD9059-B30B-4455-91AF-40A103D2F3E1}"/>
    <cellStyle name="Percentuale 6 4" xfId="2493" xr:uid="{00000000-0005-0000-0000-000083090000}"/>
    <cellStyle name="Percentuale 6 4 2" xfId="2494" xr:uid="{00000000-0005-0000-0000-000084090000}"/>
    <cellStyle name="Percentuale 6 4 2 2" xfId="9564" xr:uid="{134410D4-C6D9-4010-B034-E88989D129E6}"/>
    <cellStyle name="Percentuale 6 4 2 2 2" xfId="29559" xr:uid="{F93DCB82-47F2-4935-9D3F-9EF7150A0D38}"/>
    <cellStyle name="Percentuale 6 4 2 3" xfId="17957" xr:uid="{9D224A32-0BC1-4166-8826-4CE88D9059A2}"/>
    <cellStyle name="Percentuale 6 4 2 3 2" xfId="29560" xr:uid="{B29D9074-C3A8-4FB8-A33B-776674322EE2}"/>
    <cellStyle name="Percentuale 6 4 2 4" xfId="29558" xr:uid="{22D21771-D3F6-425F-BC91-D9A0C6AD9B0F}"/>
    <cellStyle name="Percentuale 6 4 2 5" xfId="17568" xr:uid="{9FCB25B0-FE4D-47B2-BB27-7EB6631810F4}"/>
    <cellStyle name="Percentuale 6 4 3" xfId="9565" xr:uid="{D7AE88A1-6F69-4B5D-BB08-BFFE1FAAE035}"/>
    <cellStyle name="Percentuale 6 4 3 2" xfId="29561" xr:uid="{FD443671-DF68-4895-B4B9-D54E8795D219}"/>
    <cellStyle name="Percentuale 6 4 4" xfId="29562" xr:uid="{90FFF4FD-2D82-4F4B-9E20-853DD9417A5B}"/>
    <cellStyle name="Percentuale 6 4 5" xfId="29563" xr:uid="{69D4B029-BAFB-45B5-819A-66CB40A0F90C}"/>
    <cellStyle name="Percentuale 6 4 5 2" xfId="49421" xr:uid="{E93E3C9C-9C82-443C-85D0-261EB8E58567}"/>
    <cellStyle name="Percentuale 6 4 6" xfId="29564" xr:uid="{C93D1717-F47B-4406-B25E-2647933BC4FE}"/>
    <cellStyle name="Percentuale 6 4 7" xfId="29557" xr:uid="{726673EE-7669-4FC6-A758-A02A54F76D47}"/>
    <cellStyle name="Percentuale 6 5" xfId="2495" xr:uid="{00000000-0005-0000-0000-000085090000}"/>
    <cellStyle name="Percentuale 6 5 2" xfId="29566" xr:uid="{D4BE9395-B95A-4BB0-9AA8-AF29A230CAB7}"/>
    <cellStyle name="Percentuale 6 5 3" xfId="29567" xr:uid="{D99A4B8C-0C07-440D-91EC-62F8103C03ED}"/>
    <cellStyle name="Percentuale 6 5 3 2" xfId="49422" xr:uid="{A06BA7B1-670B-466D-87E1-919C19D41310}"/>
    <cellStyle name="Percentuale 6 5 4" xfId="29568" xr:uid="{0C39738F-2CE2-40C6-AC5A-6F189E4CD063}"/>
    <cellStyle name="Percentuale 6 5 5" xfId="29565" xr:uid="{569337BB-72B4-48DF-B60B-C99F025A3AE9}"/>
    <cellStyle name="Percentuale 6 6" xfId="4493" xr:uid="{199D01E3-4552-44BA-8468-34581227733B}"/>
    <cellStyle name="Percentuale 6 6 2" xfId="9866" xr:uid="{1EB3FC8E-DA4E-4B54-8528-8F37E1992EE6}"/>
    <cellStyle name="Percentuale 6 6 3" xfId="29569" xr:uid="{6A661640-E069-4DD3-B650-B572F9F65EB2}"/>
    <cellStyle name="Percentuale 6 7" xfId="29570" xr:uid="{005E9F91-9A1F-48F9-AAAD-7E7573E12C26}"/>
    <cellStyle name="Percentuale 6 7 2" xfId="49423" xr:uid="{482FEDAB-DC14-471A-BA7B-E10D4209C5CA}"/>
    <cellStyle name="Percentuale 6 8" xfId="29537" xr:uid="{A9E4651E-D681-429A-AEA7-834E1CF6BDC4}"/>
    <cellStyle name="Percentuale 60" xfId="1194" xr:uid="{00000000-0005-0000-0000-000086090000}"/>
    <cellStyle name="Percentuale 60 2" xfId="1195" xr:uid="{00000000-0005-0000-0000-000087090000}"/>
    <cellStyle name="Percentuale 60 2 2" xfId="4494" xr:uid="{9881725C-C786-498F-9F95-96CF2C503E8E}"/>
    <cellStyle name="Percentuale 60 2 2 2" xfId="13618" xr:uid="{1C8ABEF2-A736-4AF8-BC0D-3DA825CD9214}"/>
    <cellStyle name="Percentuale 60 2 2 3" xfId="29573" xr:uid="{D065E1B0-4A46-4985-90FE-A424D49EEA20}"/>
    <cellStyle name="Percentuale 60 2 3" xfId="13356" xr:uid="{8A678A20-9799-4A85-8DC3-B16E8BD6CE24}"/>
    <cellStyle name="Percentuale 60 2 3 2" xfId="29574" xr:uid="{2A6519E6-F846-46D3-9C63-A7A8EE8F386B}"/>
    <cellStyle name="Percentuale 60 2 4" xfId="29575" xr:uid="{010C5DB9-F400-4DA0-B029-716DAC22E78E}"/>
    <cellStyle name="Percentuale 60 2 4 2" xfId="49424" xr:uid="{1C6B8A85-3C32-4DDE-BCAC-89B0E8AD01D8}"/>
    <cellStyle name="Percentuale 60 2 5" xfId="29576" xr:uid="{5EEAD8C1-5E87-4622-BADE-122FF714DB43}"/>
    <cellStyle name="Percentuale 60 2 6" xfId="29572" xr:uid="{23DAC62D-70A1-4C94-858A-BE32414B0975}"/>
    <cellStyle name="Percentuale 60 3" xfId="1196" xr:uid="{00000000-0005-0000-0000-000088090000}"/>
    <cellStyle name="Percentuale 60 3 2" xfId="1197" xr:uid="{00000000-0005-0000-0000-000089090000}"/>
    <cellStyle name="Percentuale 60 3 2 2" xfId="2496" xr:uid="{00000000-0005-0000-0000-00008A090000}"/>
    <cellStyle name="Percentuale 60 3 2 2 2" xfId="29580" xr:uid="{C3FF7AC2-2D85-4444-868C-588C274E2160}"/>
    <cellStyle name="Percentuale 60 3 2 2 3" xfId="29579" xr:uid="{A5D107D2-A963-4833-AAF3-A071FA2EE66A}"/>
    <cellStyle name="Percentuale 60 3 2 3" xfId="8173" xr:uid="{E6935222-48E9-403F-A57D-81F83C4AEBED}"/>
    <cellStyle name="Percentuale 60 3 2 3 2" xfId="14172" xr:uid="{75252928-09A0-4C39-A851-08A07D37ADAE}"/>
    <cellStyle name="Percentuale 60 3 2 3 3" xfId="29581" xr:uid="{14EFBF83-C9AE-453E-9A25-172C1A7C2426}"/>
    <cellStyle name="Percentuale 60 3 2 3 4" xfId="49425" xr:uid="{B5FCE6DF-341F-44A6-8DE0-00ADE9B1EE36}"/>
    <cellStyle name="Percentuale 60 3 2 4" xfId="29582" xr:uid="{53489A28-2831-4DEF-B9AE-2DA93C49D407}"/>
    <cellStyle name="Percentuale 60 3 2 5" xfId="29578" xr:uid="{DE95EC70-4775-4134-8960-68762FEC9027}"/>
    <cellStyle name="Percentuale 60 3 3" xfId="4495" xr:uid="{5A765B27-BD85-4EA1-B9A8-1ECA6E11B6AF}"/>
    <cellStyle name="Percentuale 60 3 3 2" xfId="9566" xr:uid="{1442CF33-93CC-4C96-BDA2-66BD62C213D8}"/>
    <cellStyle name="Percentuale 60 3 3 2 2" xfId="29584" xr:uid="{94519571-BF76-44CD-96BF-9331FCEC99F2}"/>
    <cellStyle name="Percentuale 60 3 3 3" xfId="29585" xr:uid="{D6C80843-2814-4EB2-8712-CA96FE6E5D54}"/>
    <cellStyle name="Percentuale 60 3 3 4" xfId="29586" xr:uid="{1F77BBB5-3B0D-4BAB-A625-2112A88AAC2C}"/>
    <cellStyle name="Percentuale 60 3 3 4 2" xfId="49426" xr:uid="{DCA01F5A-9498-45D9-911B-672C0F47A973}"/>
    <cellStyle name="Percentuale 60 3 3 5" xfId="29583" xr:uid="{01BD1572-F4D5-4261-803B-EAA4D02C9738}"/>
    <cellStyle name="Percentuale 60 3 4" xfId="4496" xr:uid="{2B767809-4FBE-4C42-ADB9-045DCC193EEC}"/>
    <cellStyle name="Percentuale 60 3 4 2" xfId="13833" xr:uid="{FACBD304-6D58-4696-B818-EC10D0315996}"/>
    <cellStyle name="Percentuale 60 3 4 3" xfId="29587" xr:uid="{4CF64615-DCC0-437D-ABCD-D5565A443232}"/>
    <cellStyle name="Percentuale 60 3 5" xfId="11201" xr:uid="{4BE9D2AE-FA1A-4297-8479-2A43632181C5}"/>
    <cellStyle name="Percentuale 60 3 5 2" xfId="29588" xr:uid="{9E9DA3F0-D9D8-4B27-B985-2A0C9E6546E0}"/>
    <cellStyle name="Percentuale 60 3 6" xfId="29589" xr:uid="{577277EF-809A-40DE-B68C-93D93728DDB5}"/>
    <cellStyle name="Percentuale 60 3 6 2" xfId="49427" xr:uid="{DAA71E75-5413-4914-B0E6-7A1CB4052524}"/>
    <cellStyle name="Percentuale 60 3 7" xfId="29590" xr:uid="{9DEDA464-F44B-417B-A8ED-8D14156F129B}"/>
    <cellStyle name="Percentuale 60 3 8" xfId="29577" xr:uid="{4B198F47-CCCF-4563-BD4E-15EAD96F82D1}"/>
    <cellStyle name="Percentuale 60 4" xfId="2497" xr:uid="{00000000-0005-0000-0000-00008B090000}"/>
    <cellStyle name="Percentuale 60 4 2" xfId="2498" xr:uid="{00000000-0005-0000-0000-00008C090000}"/>
    <cellStyle name="Percentuale 60 4 2 2" xfId="9567" xr:uid="{8886770D-4B34-4A6A-B1D1-E623D2A427A6}"/>
    <cellStyle name="Percentuale 60 4 2 2 2" xfId="29593" xr:uid="{78EA6ACB-6939-4AC9-98F1-AB3F11ED6E5C}"/>
    <cellStyle name="Percentuale 60 4 2 3" xfId="17958" xr:uid="{B35C73BB-AF81-452D-9D40-C4388F05EF36}"/>
    <cellStyle name="Percentuale 60 4 2 3 2" xfId="29594" xr:uid="{0828116D-A031-459D-8898-C5486C9D3DD2}"/>
    <cellStyle name="Percentuale 60 4 2 4" xfId="29592" xr:uid="{E1CFB317-A43B-4F74-AF7A-FE2360CBE2E2}"/>
    <cellStyle name="Percentuale 60 4 2 5" xfId="17569" xr:uid="{26340AD0-5964-45C0-92C5-B79556EA34B4}"/>
    <cellStyle name="Percentuale 60 4 3" xfId="9568" xr:uid="{FD207130-3C8F-43CD-861A-5E1F90B78429}"/>
    <cellStyle name="Percentuale 60 4 3 2" xfId="29595" xr:uid="{94CF5867-3482-4081-A35A-13F8BB75601B}"/>
    <cellStyle name="Percentuale 60 4 4" xfId="29596" xr:uid="{E6A40944-63DD-4F23-A39A-80DFBCC6A03D}"/>
    <cellStyle name="Percentuale 60 4 5" xfId="29597" xr:uid="{90BD6F4C-2915-41A0-8BBA-E8E610B21E91}"/>
    <cellStyle name="Percentuale 60 4 5 2" xfId="49428" xr:uid="{370D4144-02F6-427F-8470-CCA22B24ABD6}"/>
    <cellStyle name="Percentuale 60 4 6" xfId="29598" xr:uid="{307C196E-426C-4DF1-9BAF-FF75049FD60B}"/>
    <cellStyle name="Percentuale 60 4 7" xfId="29591" xr:uid="{C60C7040-AE6A-4E35-9455-F464D20D26E6}"/>
    <cellStyle name="Percentuale 60 5" xfId="2499" xr:uid="{00000000-0005-0000-0000-00008D090000}"/>
    <cellStyle name="Percentuale 60 5 2" xfId="29600" xr:uid="{53FA05A4-7171-425A-905C-32BAF5166A59}"/>
    <cellStyle name="Percentuale 60 5 3" xfId="29601" xr:uid="{02A26631-FE43-46B9-969E-8EE464A74638}"/>
    <cellStyle name="Percentuale 60 5 3 2" xfId="49429" xr:uid="{9A97B28A-C79C-411F-9432-37B05034C1B7}"/>
    <cellStyle name="Percentuale 60 5 4" xfId="29602" xr:uid="{CA7246CB-E1EF-4449-ADA3-C519EE96917D}"/>
    <cellStyle name="Percentuale 60 5 5" xfId="29599" xr:uid="{57700B57-D4CA-4D66-AF75-B1424DDE6BDC}"/>
    <cellStyle name="Percentuale 60 6" xfId="4497" xr:uid="{7DD6DA45-4593-45F1-9140-05DC713798E4}"/>
    <cellStyle name="Percentuale 60 6 2" xfId="9867" xr:uid="{5E1F2FD4-201B-44CC-B7A2-0D5D2A47C446}"/>
    <cellStyle name="Percentuale 60 6 3" xfId="29603" xr:uid="{11741D0A-24AF-4A21-99D5-B1D30B20B5F0}"/>
    <cellStyle name="Percentuale 60 7" xfId="29604" xr:uid="{5D092859-A663-4A59-8338-81C4CA2A1FD8}"/>
    <cellStyle name="Percentuale 60 7 2" xfId="49430" xr:uid="{41EFF7E0-B5BE-49D3-A966-6DB07CDB1734}"/>
    <cellStyle name="Percentuale 60 8" xfId="29571" xr:uid="{E10FBE44-A06B-4C7F-840F-14E82CFABB98}"/>
    <cellStyle name="Percentuale 61" xfId="1198" xr:uid="{00000000-0005-0000-0000-00008E090000}"/>
    <cellStyle name="Percentuale 61 2" xfId="1199" xr:uid="{00000000-0005-0000-0000-00008F090000}"/>
    <cellStyle name="Percentuale 61 2 2" xfId="4498" xr:uid="{1043D732-06C1-494A-8B64-0E79BE32EE23}"/>
    <cellStyle name="Percentuale 61 2 2 2" xfId="13619" xr:uid="{DBF84362-D028-48FB-84C4-B294BA3D57A0}"/>
    <cellStyle name="Percentuale 61 2 2 3" xfId="29607" xr:uid="{6C9ADC8A-067A-4AA7-88CD-BC6D42D9EA55}"/>
    <cellStyle name="Percentuale 61 2 3" xfId="13357" xr:uid="{8DF155A4-9DA6-4615-BBBC-E8A7F40ED5AF}"/>
    <cellStyle name="Percentuale 61 2 3 2" xfId="29608" xr:uid="{434F2489-D46A-4581-BB42-B21F9C25745F}"/>
    <cellStyle name="Percentuale 61 2 4" xfId="29609" xr:uid="{E0E49727-7CD1-4637-8361-0AA7CA611F12}"/>
    <cellStyle name="Percentuale 61 2 4 2" xfId="49431" xr:uid="{4710665F-0DE3-40B8-A6F1-3AC8E435481A}"/>
    <cellStyle name="Percentuale 61 2 5" xfId="29610" xr:uid="{866F663E-8A77-46D0-8D2D-63C4C50A2F3E}"/>
    <cellStyle name="Percentuale 61 2 6" xfId="29606" xr:uid="{74D48BAF-0571-4A47-A58C-2A076D29F03F}"/>
    <cellStyle name="Percentuale 61 3" xfId="1200" xr:uid="{00000000-0005-0000-0000-000090090000}"/>
    <cellStyle name="Percentuale 61 3 2" xfId="1201" xr:uid="{00000000-0005-0000-0000-000091090000}"/>
    <cellStyle name="Percentuale 61 3 2 2" xfId="2500" xr:uid="{00000000-0005-0000-0000-000092090000}"/>
    <cellStyle name="Percentuale 61 3 2 2 2" xfId="29614" xr:uid="{C0925ED9-1225-4C04-8F59-6060C2CE130E}"/>
    <cellStyle name="Percentuale 61 3 2 2 3" xfId="29613" xr:uid="{F7382C00-0E52-49DF-B854-0EACF658EF92}"/>
    <cellStyle name="Percentuale 61 3 2 3" xfId="8174" xr:uid="{31CADEB8-140B-4B83-83DC-26171A365832}"/>
    <cellStyle name="Percentuale 61 3 2 3 2" xfId="14173" xr:uid="{9E2FAE68-B5AF-4EE5-BD77-2948F13EDF84}"/>
    <cellStyle name="Percentuale 61 3 2 3 3" xfId="29615" xr:uid="{9AC674C8-AC74-4F38-BF76-E1BB276D6B7F}"/>
    <cellStyle name="Percentuale 61 3 2 3 4" xfId="49432" xr:uid="{5031FA35-7AD9-4C28-A896-FFA920C0F626}"/>
    <cellStyle name="Percentuale 61 3 2 4" xfId="29616" xr:uid="{883D0C5B-2AEF-43B8-ABF6-2825A2D6D8E4}"/>
    <cellStyle name="Percentuale 61 3 2 5" xfId="29612" xr:uid="{72BB8EDE-0684-40B7-BD84-EE6DDB83190C}"/>
    <cellStyle name="Percentuale 61 3 3" xfId="4499" xr:uid="{0B579BCD-FA2E-4E8B-A833-5BA539FBD773}"/>
    <cellStyle name="Percentuale 61 3 3 2" xfId="9569" xr:uid="{ED78678A-AFE8-4720-ADF5-7A3DB32F3DC3}"/>
    <cellStyle name="Percentuale 61 3 3 2 2" xfId="29618" xr:uid="{4E4BFC5C-F3C7-485F-B819-D31ACAD1B7B0}"/>
    <cellStyle name="Percentuale 61 3 3 3" xfId="29619" xr:uid="{9564D307-8C1C-4C6D-94B7-1EBDE3661879}"/>
    <cellStyle name="Percentuale 61 3 3 4" xfId="29620" xr:uid="{E183C71E-A1EF-444E-9F23-E2BE36567578}"/>
    <cellStyle name="Percentuale 61 3 3 4 2" xfId="49433" xr:uid="{8C9171A4-2BBF-465E-B005-AFE2FEA599A3}"/>
    <cellStyle name="Percentuale 61 3 3 5" xfId="29617" xr:uid="{BF45CBCC-9434-4793-B828-7618A05B311D}"/>
    <cellStyle name="Percentuale 61 3 4" xfId="4500" xr:uid="{58A199FC-403B-4D02-8716-D144488EF6B6}"/>
    <cellStyle name="Percentuale 61 3 4 2" xfId="13834" xr:uid="{FC3FD968-5322-43F0-A35C-670A2668B22C}"/>
    <cellStyle name="Percentuale 61 3 4 3" xfId="29621" xr:uid="{C93C15AE-2371-45AC-9E4C-6AB2AB0EE6B8}"/>
    <cellStyle name="Percentuale 61 3 5" xfId="11200" xr:uid="{33545A0D-1A7B-4536-A040-464FCC4B7A50}"/>
    <cellStyle name="Percentuale 61 3 5 2" xfId="29622" xr:uid="{8EF6FE3D-7D92-4C91-A628-4116DFBB9B69}"/>
    <cellStyle name="Percentuale 61 3 6" xfId="29623" xr:uid="{10B678F4-AB5F-4C6E-AD87-2287484F85C5}"/>
    <cellStyle name="Percentuale 61 3 6 2" xfId="49434" xr:uid="{5E6762A1-E4BE-424F-BD4B-3B00A2964AE6}"/>
    <cellStyle name="Percentuale 61 3 7" xfId="29624" xr:uid="{6F425E2D-474D-47F3-AC14-50256848605F}"/>
    <cellStyle name="Percentuale 61 3 8" xfId="29611" xr:uid="{3E28E5AC-02AD-4CCF-8D80-074CD4BD4AE8}"/>
    <cellStyle name="Percentuale 61 4" xfId="2501" xr:uid="{00000000-0005-0000-0000-000093090000}"/>
    <cellStyle name="Percentuale 61 4 2" xfId="2502" xr:uid="{00000000-0005-0000-0000-000094090000}"/>
    <cellStyle name="Percentuale 61 4 2 2" xfId="9570" xr:uid="{C285037E-2A4E-451B-8AB8-C62748642E68}"/>
    <cellStyle name="Percentuale 61 4 2 2 2" xfId="29627" xr:uid="{2416C7AB-DFB9-4484-8838-C0B9D1F18207}"/>
    <cellStyle name="Percentuale 61 4 2 3" xfId="17959" xr:uid="{E2CFFE59-ED1A-424B-A9EE-0F3545F7AD65}"/>
    <cellStyle name="Percentuale 61 4 2 3 2" xfId="29628" xr:uid="{DCEEFF1A-D28B-4163-BA63-B60A2C3CEC8E}"/>
    <cellStyle name="Percentuale 61 4 2 4" xfId="29626" xr:uid="{B599E7D0-9733-431C-BC91-E60015546E97}"/>
    <cellStyle name="Percentuale 61 4 2 5" xfId="17570" xr:uid="{28E798FF-B799-4B74-9E84-459544268DA6}"/>
    <cellStyle name="Percentuale 61 4 3" xfId="9571" xr:uid="{B2224D14-1EC2-4E19-A8BE-C07B9BDE4ADF}"/>
    <cellStyle name="Percentuale 61 4 3 2" xfId="29629" xr:uid="{E881BF24-E7BB-4731-8986-7EA9F92D0877}"/>
    <cellStyle name="Percentuale 61 4 4" xfId="29630" xr:uid="{CEDE2DAB-2B21-4A22-B69B-921030490F7D}"/>
    <cellStyle name="Percentuale 61 4 5" xfId="29631" xr:uid="{BAEBAE86-9CF9-4053-AEE2-470ADFC5F92D}"/>
    <cellStyle name="Percentuale 61 4 5 2" xfId="49435" xr:uid="{4EC29051-FE21-4A65-AC91-06D1B4E6F3FB}"/>
    <cellStyle name="Percentuale 61 4 6" xfId="29632" xr:uid="{45DB2FBF-C1B7-4B37-B46B-2A1505BA0B05}"/>
    <cellStyle name="Percentuale 61 4 7" xfId="29625" xr:uid="{29D3688D-DD27-482E-B02E-8FE519C9E3F1}"/>
    <cellStyle name="Percentuale 61 5" xfId="2503" xr:uid="{00000000-0005-0000-0000-000095090000}"/>
    <cellStyle name="Percentuale 61 5 2" xfId="29634" xr:uid="{81C9B318-190F-4AD7-AD72-CB712F78E45B}"/>
    <cellStyle name="Percentuale 61 5 3" xfId="29635" xr:uid="{772EF78A-E71A-4E6F-8210-D43FDBFD8F6B}"/>
    <cellStyle name="Percentuale 61 5 3 2" xfId="49436" xr:uid="{ABD29077-83C0-495B-BDB7-F527C099BD6A}"/>
    <cellStyle name="Percentuale 61 5 4" xfId="29636" xr:uid="{E6BC9C25-4E1C-4C67-AEB5-85E2637D10F0}"/>
    <cellStyle name="Percentuale 61 5 5" xfId="29633" xr:uid="{710A80B5-6ED4-4E7D-9F40-8CB5015BCD5A}"/>
    <cellStyle name="Percentuale 61 6" xfId="4501" xr:uid="{64048847-2465-466E-9465-CDED2EE68F49}"/>
    <cellStyle name="Percentuale 61 6 2" xfId="9868" xr:uid="{476BC4C3-C462-4B8D-B06D-ECAEB2756309}"/>
    <cellStyle name="Percentuale 61 6 3" xfId="29637" xr:uid="{7DDEC868-3D81-4E49-92C9-C99D919D85FB}"/>
    <cellStyle name="Percentuale 61 7" xfId="29638" xr:uid="{0078F36C-4ECD-44F8-9D41-7EB9E0B0F503}"/>
    <cellStyle name="Percentuale 61 7 2" xfId="49437" xr:uid="{F7F00D93-6978-4C3E-979A-D07A57762391}"/>
    <cellStyle name="Percentuale 61 8" xfId="29605" xr:uid="{C811F750-1208-4EB0-9E98-2FEA3E5527F2}"/>
    <cellStyle name="Percentuale 62" xfId="1202" xr:uid="{00000000-0005-0000-0000-000096090000}"/>
    <cellStyle name="Percentuale 62 2" xfId="1203" xr:uid="{00000000-0005-0000-0000-000097090000}"/>
    <cellStyle name="Percentuale 62 2 2" xfId="13620" xr:uid="{B009C8E2-DC92-43B3-AC61-46DBBFE4E2BE}"/>
    <cellStyle name="Percentuale 62 2 2 2" xfId="29641" xr:uid="{0BB268A8-030F-4FF1-AB0C-7AC0246FD55C}"/>
    <cellStyle name="Percentuale 62 2 3" xfId="29640" xr:uid="{13D33E6C-74C1-448D-BB32-EBAC193D48B4}"/>
    <cellStyle name="Percentuale 62 3" xfId="13358" xr:uid="{2110C1AD-A63E-4E21-BFFB-186A6588E00B}"/>
    <cellStyle name="Percentuale 62 3 2" xfId="29642" xr:uid="{170DB570-23CC-4B41-B5E3-88C335BEDD5A}"/>
    <cellStyle name="Percentuale 62 4" xfId="29643" xr:uid="{1754BC11-FD27-49DB-B2DD-D1B452160B76}"/>
    <cellStyle name="Percentuale 62 4 2" xfId="49438" xr:uid="{DF274661-D806-407F-9BBF-78FFB0F7C5AD}"/>
    <cellStyle name="Percentuale 62 5" xfId="29639" xr:uid="{AAF6B4C2-C3AD-442A-B12F-99F21A45B3C5}"/>
    <cellStyle name="Percentuale 63" xfId="1204" xr:uid="{00000000-0005-0000-0000-000098090000}"/>
    <cellStyle name="Percentuale 63 2" xfId="1205" xr:uid="{00000000-0005-0000-0000-000099090000}"/>
    <cellStyle name="Percentuale 63 2 2" xfId="13621" xr:uid="{713EDA75-C3E9-4CC2-BE80-67A0F8BE2E3F}"/>
    <cellStyle name="Percentuale 63 2 2 2" xfId="29646" xr:uid="{5FB946CF-7195-4869-9951-1345E990FA3F}"/>
    <cellStyle name="Percentuale 63 2 3" xfId="29645" xr:uid="{58DDF791-457C-4689-B939-00D97E98B67F}"/>
    <cellStyle name="Percentuale 63 3" xfId="13359" xr:uid="{66C0299A-903E-4F23-A993-B4819572011F}"/>
    <cellStyle name="Percentuale 63 3 2" xfId="29647" xr:uid="{AB211FC0-CF59-40DD-8733-206B08FA7786}"/>
    <cellStyle name="Percentuale 63 4" xfId="29648" xr:uid="{33ABD1E5-BE3A-4700-8755-2A05D11B7B36}"/>
    <cellStyle name="Percentuale 63 4 2" xfId="49439" xr:uid="{4AA914EC-1116-4E16-8B2E-7DD264F92BC5}"/>
    <cellStyle name="Percentuale 63 5" xfId="29644" xr:uid="{948E352A-1485-46BD-A153-7E4A6E26FCD2}"/>
    <cellStyle name="Percentuale 64" xfId="1206" xr:uid="{00000000-0005-0000-0000-00009A090000}"/>
    <cellStyle name="Percentuale 64 2" xfId="1207" xr:uid="{00000000-0005-0000-0000-00009B090000}"/>
    <cellStyle name="Percentuale 64 2 2" xfId="13622" xr:uid="{5943995F-DE8E-42B6-A7AA-300C8184F57B}"/>
    <cellStyle name="Percentuale 64 2 2 2" xfId="29651" xr:uid="{8995B203-316E-437A-9BD2-774EBECC4577}"/>
    <cellStyle name="Percentuale 64 2 3" xfId="29650" xr:uid="{8A70A783-E1DC-4159-93E9-8694719A8B14}"/>
    <cellStyle name="Percentuale 64 3" xfId="13360" xr:uid="{6EF1905D-D511-46F4-8071-A05327CC8F16}"/>
    <cellStyle name="Percentuale 64 3 2" xfId="29652" xr:uid="{86FB410E-2A79-42A6-BAD7-F947954553B5}"/>
    <cellStyle name="Percentuale 64 4" xfId="29653" xr:uid="{D38C508E-B708-4CE0-82D4-656C8AACAF67}"/>
    <cellStyle name="Percentuale 64 4 2" xfId="49440" xr:uid="{8AD71DDF-0784-40A1-A1B9-A254962B7651}"/>
    <cellStyle name="Percentuale 64 5" xfId="29649" xr:uid="{2EA9ECB2-09A9-47A8-9542-11E843EFFEB1}"/>
    <cellStyle name="Percentuale 65" xfId="1208" xr:uid="{00000000-0005-0000-0000-00009C090000}"/>
    <cellStyle name="Percentuale 65 2" xfId="1209" xr:uid="{00000000-0005-0000-0000-00009D090000}"/>
    <cellStyle name="Percentuale 65 2 2" xfId="13623" xr:uid="{F74DDE5E-B324-43A2-BE2D-8B785DDDD448}"/>
    <cellStyle name="Percentuale 65 2 2 2" xfId="29656" xr:uid="{62431624-1D59-4843-BD85-B142ADB0108E}"/>
    <cellStyle name="Percentuale 65 2 3" xfId="29655" xr:uid="{E26EA4DF-6B16-4868-BCC9-CEABDBF9EF1F}"/>
    <cellStyle name="Percentuale 65 3" xfId="13361" xr:uid="{96AADDBD-08A9-405E-820F-DFD11122B93E}"/>
    <cellStyle name="Percentuale 65 3 2" xfId="29657" xr:uid="{EB38AE11-5BEA-4FC2-BEBE-829E50E53A4A}"/>
    <cellStyle name="Percentuale 65 4" xfId="29658" xr:uid="{A1C24108-9AF5-4E15-A556-72294937A41E}"/>
    <cellStyle name="Percentuale 65 4 2" xfId="49441" xr:uid="{E1E940EF-ACCA-45C7-B16A-CD4C84755E58}"/>
    <cellStyle name="Percentuale 65 5" xfId="29654" xr:uid="{CB6B3F49-DB0A-4CA5-9E7B-7E7F6ABFA6A9}"/>
    <cellStyle name="Percentuale 66" xfId="1210" xr:uid="{00000000-0005-0000-0000-00009E090000}"/>
    <cellStyle name="Percentuale 66 2" xfId="1211" xr:uid="{00000000-0005-0000-0000-00009F090000}"/>
    <cellStyle name="Percentuale 66 2 2" xfId="13624" xr:uid="{FD98CB60-7D1F-47A7-B498-461C3D08C41C}"/>
    <cellStyle name="Percentuale 66 2 2 2" xfId="29661" xr:uid="{650051FC-5879-497B-9DE5-B73A0F0A55DB}"/>
    <cellStyle name="Percentuale 66 2 3" xfId="29660" xr:uid="{EB51E01F-727E-4CCA-AC0A-681A5347ABE0}"/>
    <cellStyle name="Percentuale 66 3" xfId="13362" xr:uid="{30812E57-307C-4CA3-ADC5-3A0042143815}"/>
    <cellStyle name="Percentuale 66 3 2" xfId="29662" xr:uid="{CE11AB59-0A8A-4CE3-AB2C-4D6E7EDCA983}"/>
    <cellStyle name="Percentuale 66 4" xfId="29663" xr:uid="{6E7750AA-FB98-4476-9E0B-91A2F6C135A3}"/>
    <cellStyle name="Percentuale 66 4 2" xfId="49442" xr:uid="{A2CE3BE0-332D-4850-97BC-B2D74DACF242}"/>
    <cellStyle name="Percentuale 66 5" xfId="29659" xr:uid="{85B48052-6E19-4AD1-ACC8-5B054D0A44D8}"/>
    <cellStyle name="Percentuale 67" xfId="1212" xr:uid="{00000000-0005-0000-0000-0000A0090000}"/>
    <cellStyle name="Percentuale 67 2" xfId="1213" xr:uid="{00000000-0005-0000-0000-0000A1090000}"/>
    <cellStyle name="Percentuale 67 2 2" xfId="13625" xr:uid="{3E102B55-0C59-4C8C-B6F2-60D27F4A8674}"/>
    <cellStyle name="Percentuale 67 2 2 2" xfId="29666" xr:uid="{04EF07E7-7530-426C-BF9C-8761C653E292}"/>
    <cellStyle name="Percentuale 67 2 3" xfId="29665" xr:uid="{D9D1F753-F61E-451B-BEC3-D3FB16AF5203}"/>
    <cellStyle name="Percentuale 67 3" xfId="13363" xr:uid="{485F0178-CE29-4CAD-BC75-C9096AD8ED41}"/>
    <cellStyle name="Percentuale 67 3 2" xfId="29667" xr:uid="{98572E6A-7834-4A69-8E70-C14E61D0559E}"/>
    <cellStyle name="Percentuale 67 4" xfId="29668" xr:uid="{1A01B8DE-CBBD-48B7-9116-3ED21D4D6469}"/>
    <cellStyle name="Percentuale 67 4 2" xfId="49443" xr:uid="{03623A3A-3331-4249-ACCB-DC38F707C704}"/>
    <cellStyle name="Percentuale 67 5" xfId="29664" xr:uid="{4BAA790C-F084-45D5-8EAC-C9E3CEDD2306}"/>
    <cellStyle name="Percentuale 68" xfId="1214" xr:uid="{00000000-0005-0000-0000-0000A2090000}"/>
    <cellStyle name="Percentuale 68 2" xfId="1215" xr:uid="{00000000-0005-0000-0000-0000A3090000}"/>
    <cellStyle name="Percentuale 68 2 2" xfId="4502" xr:uid="{BACC67DC-0D10-4A0C-8653-C032F3F4ECAE}"/>
    <cellStyle name="Percentuale 68 2 2 2" xfId="13626" xr:uid="{50DFAC7F-9D83-45EB-9395-D9E47EBF1984}"/>
    <cellStyle name="Percentuale 68 2 2 3" xfId="29671" xr:uid="{EF2D6559-6607-4A31-9033-247AB0E4604C}"/>
    <cellStyle name="Percentuale 68 2 3" xfId="13364" xr:uid="{DBCBE200-D3EF-412E-9BB4-25C9D753C073}"/>
    <cellStyle name="Percentuale 68 2 3 2" xfId="29672" xr:uid="{C3FF57A4-3EC8-4003-83DE-751F80A472FE}"/>
    <cellStyle name="Percentuale 68 2 4" xfId="29673" xr:uid="{99ACACE2-887B-46D4-A8E6-5362CD56595D}"/>
    <cellStyle name="Percentuale 68 2 4 2" xfId="49444" xr:uid="{D0C535EE-9BBD-45EE-B895-C0BCD23FD5E8}"/>
    <cellStyle name="Percentuale 68 2 5" xfId="29674" xr:uid="{174390A2-5CA2-41B8-9799-4A6282BF28A7}"/>
    <cellStyle name="Percentuale 68 2 6" xfId="29670" xr:uid="{B7870020-1ED5-47AD-82FE-7D3343913817}"/>
    <cellStyle name="Percentuale 68 3" xfId="1216" xr:uid="{00000000-0005-0000-0000-0000A4090000}"/>
    <cellStyle name="Percentuale 68 3 2" xfId="1217" xr:uid="{00000000-0005-0000-0000-0000A5090000}"/>
    <cellStyle name="Percentuale 68 3 2 2" xfId="2504" xr:uid="{00000000-0005-0000-0000-0000A6090000}"/>
    <cellStyle name="Percentuale 68 3 2 2 2" xfId="29678" xr:uid="{6F8E79E7-16AC-4255-9D42-6571A6761A14}"/>
    <cellStyle name="Percentuale 68 3 2 2 3" xfId="29677" xr:uid="{3BB3F52B-A8AD-4C5A-BB51-8194D23BCADE}"/>
    <cellStyle name="Percentuale 68 3 2 3" xfId="8175" xr:uid="{A3E57BD5-FBCE-46C2-8686-567DDE9B84B9}"/>
    <cellStyle name="Percentuale 68 3 2 3 2" xfId="14174" xr:uid="{8FD4E824-65E0-4FB0-8328-634DDAA7D5CC}"/>
    <cellStyle name="Percentuale 68 3 2 3 3" xfId="29679" xr:uid="{F401E9E4-813F-43FC-995A-C05094ED3F56}"/>
    <cellStyle name="Percentuale 68 3 2 3 4" xfId="49445" xr:uid="{A90426A4-5018-4890-B9D6-D6D32BF4CB36}"/>
    <cellStyle name="Percentuale 68 3 2 4" xfId="29680" xr:uid="{D1360AC5-FBC2-41F1-ADD5-46DC035AF53B}"/>
    <cellStyle name="Percentuale 68 3 2 5" xfId="29676" xr:uid="{AED2FD4E-FC3C-4D07-AF4A-BFBFCAD66111}"/>
    <cellStyle name="Percentuale 68 3 3" xfId="4503" xr:uid="{DC9ED9B7-0593-4684-B2BF-E5BDE9B5FE35}"/>
    <cellStyle name="Percentuale 68 3 3 2" xfId="9572" xr:uid="{11266A0B-3446-4B4D-AF00-25F0B0CD7F64}"/>
    <cellStyle name="Percentuale 68 3 3 2 2" xfId="29682" xr:uid="{95253A3E-87EA-4C50-80CA-4051F0CE33B6}"/>
    <cellStyle name="Percentuale 68 3 3 3" xfId="29683" xr:uid="{349E56F0-C68D-4788-9424-54FAE2BE865F}"/>
    <cellStyle name="Percentuale 68 3 3 4" xfId="29684" xr:uid="{29CD0E2E-B5B6-4A88-B414-6B7EDE154F25}"/>
    <cellStyle name="Percentuale 68 3 3 4 2" xfId="49446" xr:uid="{B32E4EDA-BA28-44A6-8FFB-C517D474A4B9}"/>
    <cellStyle name="Percentuale 68 3 3 5" xfId="29681" xr:uid="{2D711496-7380-4F5C-8D76-B7F6D13A4FA7}"/>
    <cellStyle name="Percentuale 68 3 4" xfId="4504" xr:uid="{476AD549-44A6-4B35-B9D7-2515E2929DA2}"/>
    <cellStyle name="Percentuale 68 3 4 2" xfId="13835" xr:uid="{7312BD12-A52D-4B01-B256-6B55D4F5B808}"/>
    <cellStyle name="Percentuale 68 3 4 3" xfId="29685" xr:uid="{101803FC-FF32-4654-B106-CC175944C89F}"/>
    <cellStyle name="Percentuale 68 3 5" xfId="11416" xr:uid="{32380FDD-24A6-4A39-B415-68FD78C71773}"/>
    <cellStyle name="Percentuale 68 3 5 2" xfId="29686" xr:uid="{310F06A9-0432-4BF7-8313-DD8D72F9F698}"/>
    <cellStyle name="Percentuale 68 3 6" xfId="29687" xr:uid="{BB1D4C39-47EC-473C-953E-BEFBFD3955C8}"/>
    <cellStyle name="Percentuale 68 3 6 2" xfId="49447" xr:uid="{DDAAA16E-BCD0-46F1-9179-AE740580DBB3}"/>
    <cellStyle name="Percentuale 68 3 7" xfId="29688" xr:uid="{3841E96E-E503-48D8-B18A-0A726E9D3899}"/>
    <cellStyle name="Percentuale 68 3 8" xfId="29675" xr:uid="{86337EF2-B695-4B2B-B108-D0442BB0C6CD}"/>
    <cellStyle name="Percentuale 68 4" xfId="2505" xr:uid="{00000000-0005-0000-0000-0000A7090000}"/>
    <cellStyle name="Percentuale 68 4 2" xfId="2506" xr:uid="{00000000-0005-0000-0000-0000A8090000}"/>
    <cellStyle name="Percentuale 68 4 2 2" xfId="9573" xr:uid="{372D155D-A027-46E0-BF9B-9A2479B33DEB}"/>
    <cellStyle name="Percentuale 68 4 2 2 2" xfId="29691" xr:uid="{787FB55A-7DD1-4B0C-8506-E49E16467649}"/>
    <cellStyle name="Percentuale 68 4 2 3" xfId="17960" xr:uid="{582C9826-11A6-4F16-B482-F95B35827E48}"/>
    <cellStyle name="Percentuale 68 4 2 3 2" xfId="29692" xr:uid="{EFFA5904-D127-4BE3-834E-9D14F834CC71}"/>
    <cellStyle name="Percentuale 68 4 2 4" xfId="29690" xr:uid="{C7C63B6C-224B-466B-8F49-4CA6729D3B8A}"/>
    <cellStyle name="Percentuale 68 4 2 5" xfId="17571" xr:uid="{2DF643DB-E390-4F2B-807C-912E7F551F37}"/>
    <cellStyle name="Percentuale 68 4 3" xfId="9574" xr:uid="{9E73BB35-45DF-4F18-99F9-9C959CBC764C}"/>
    <cellStyle name="Percentuale 68 4 3 2" xfId="29693" xr:uid="{E312A389-CF63-4BCA-8D2E-1F759A9F2748}"/>
    <cellStyle name="Percentuale 68 4 4" xfId="29694" xr:uid="{D4792DE0-20BD-49FF-9B0E-842D3793DCFF}"/>
    <cellStyle name="Percentuale 68 4 5" xfId="29695" xr:uid="{B3B1DF29-272C-4AC0-A612-CFCB49146CAD}"/>
    <cellStyle name="Percentuale 68 4 5 2" xfId="49448" xr:uid="{377E0D85-F796-4155-B877-5EFE21E7F0A9}"/>
    <cellStyle name="Percentuale 68 4 6" xfId="29696" xr:uid="{E5657AE4-8388-4A2F-96FD-F7A59A4F100A}"/>
    <cellStyle name="Percentuale 68 4 7" xfId="29689" xr:uid="{9DF5FA44-C743-4123-B300-ED30B23996FA}"/>
    <cellStyle name="Percentuale 68 5" xfId="2507" xr:uid="{00000000-0005-0000-0000-0000A9090000}"/>
    <cellStyle name="Percentuale 68 5 2" xfId="29698" xr:uid="{A5E7DFCF-B815-49EB-821E-90880CCA1858}"/>
    <cellStyle name="Percentuale 68 5 3" xfId="29699" xr:uid="{59DD4645-F9FC-4D64-AB38-96C7456B650C}"/>
    <cellStyle name="Percentuale 68 5 3 2" xfId="49449" xr:uid="{BDE339CA-587D-4654-8C38-B97BBDED6E06}"/>
    <cellStyle name="Percentuale 68 5 4" xfId="29700" xr:uid="{7D3CCFBB-EAB0-420C-B583-7C62AB030143}"/>
    <cellStyle name="Percentuale 68 5 5" xfId="29697" xr:uid="{A63FB806-16C8-41DB-B77C-C0F4A471648D}"/>
    <cellStyle name="Percentuale 68 6" xfId="4505" xr:uid="{B04B8D4B-5750-4393-9BCE-86DA715AD844}"/>
    <cellStyle name="Percentuale 68 6 2" xfId="9869" xr:uid="{B75E802B-4634-4519-8B31-4A102F9D9837}"/>
    <cellStyle name="Percentuale 68 6 3" xfId="29701" xr:uid="{E10EAE6E-E77F-40B2-A848-5082CB2450CF}"/>
    <cellStyle name="Percentuale 68 7" xfId="29702" xr:uid="{E1862F86-9CB4-404C-BCAF-A211C044B33F}"/>
    <cellStyle name="Percentuale 68 7 2" xfId="49450" xr:uid="{8A7BFE73-D795-496F-8B8E-7FE26F200BB1}"/>
    <cellStyle name="Percentuale 68 8" xfId="29669" xr:uid="{8024F8B8-D632-48C1-8FBA-268E9D9819BA}"/>
    <cellStyle name="Percentuale 69" xfId="1218" xr:uid="{00000000-0005-0000-0000-0000AA090000}"/>
    <cellStyle name="Percentuale 69 2" xfId="1219" xr:uid="{00000000-0005-0000-0000-0000AB090000}"/>
    <cellStyle name="Percentuale 69 2 2" xfId="4506" xr:uid="{23DB9E88-DEBE-4954-BEC1-3C3828A60C5B}"/>
    <cellStyle name="Percentuale 69 2 2 2" xfId="13627" xr:uid="{A201E9D4-A9D3-434F-A7F3-D461508CE602}"/>
    <cellStyle name="Percentuale 69 2 2 3" xfId="29705" xr:uid="{D70D9252-85EC-436B-90C8-037A0975409B}"/>
    <cellStyle name="Percentuale 69 2 3" xfId="13365" xr:uid="{70D6AD91-3AC1-414D-BB7D-929C9F846997}"/>
    <cellStyle name="Percentuale 69 2 3 2" xfId="29706" xr:uid="{D9A313D6-F993-425D-866C-037D3BBC77BF}"/>
    <cellStyle name="Percentuale 69 2 4" xfId="29707" xr:uid="{B55CD023-7D4A-4340-8795-1963D55977D2}"/>
    <cellStyle name="Percentuale 69 2 4 2" xfId="49451" xr:uid="{00AA4B84-514C-43A2-AB52-5F382A091F4E}"/>
    <cellStyle name="Percentuale 69 2 5" xfId="29708" xr:uid="{28A0CEF0-A81B-4938-A4D2-AF1D768F8521}"/>
    <cellStyle name="Percentuale 69 2 6" xfId="29704" xr:uid="{F8103D3E-D78B-4730-86D2-546D6D3E3F7D}"/>
    <cellStyle name="Percentuale 69 3" xfId="1220" xr:uid="{00000000-0005-0000-0000-0000AC090000}"/>
    <cellStyle name="Percentuale 69 3 2" xfId="1221" xr:uid="{00000000-0005-0000-0000-0000AD090000}"/>
    <cellStyle name="Percentuale 69 3 2 2" xfId="2508" xr:uid="{00000000-0005-0000-0000-0000AE090000}"/>
    <cellStyle name="Percentuale 69 3 2 2 2" xfId="29712" xr:uid="{A38213E7-880F-454C-ABEA-9025914A4988}"/>
    <cellStyle name="Percentuale 69 3 2 2 3" xfId="29711" xr:uid="{1E1B78BC-AEF5-41D0-AC6E-9AC516A000B8}"/>
    <cellStyle name="Percentuale 69 3 2 3" xfId="8176" xr:uid="{2B7BCEAE-E72F-4215-B4DA-10CC74242FAE}"/>
    <cellStyle name="Percentuale 69 3 2 3 2" xfId="14175" xr:uid="{179C5A7D-8C83-4C6B-90CA-375DDA0FE06A}"/>
    <cellStyle name="Percentuale 69 3 2 3 3" xfId="29713" xr:uid="{DEA49ADE-7C24-4E82-BBBE-8623E273B0AF}"/>
    <cellStyle name="Percentuale 69 3 2 3 4" xfId="49452" xr:uid="{56F43024-0CEF-4316-ABF6-FA05DBB76E4A}"/>
    <cellStyle name="Percentuale 69 3 2 4" xfId="29714" xr:uid="{8E04E9E5-E00C-4AC1-9BE1-A8A7CF17836D}"/>
    <cellStyle name="Percentuale 69 3 2 5" xfId="29710" xr:uid="{A8A25314-7C6A-4309-B586-667442050917}"/>
    <cellStyle name="Percentuale 69 3 3" xfId="4507" xr:uid="{F23C2736-47A1-4534-B738-9D35C0CD0C5F}"/>
    <cellStyle name="Percentuale 69 3 3 2" xfId="9575" xr:uid="{3A90F4BB-B014-4C6A-B006-145E479D9B69}"/>
    <cellStyle name="Percentuale 69 3 3 2 2" xfId="29716" xr:uid="{585717FF-C566-461B-940B-34019324C441}"/>
    <cellStyle name="Percentuale 69 3 3 3" xfId="29717" xr:uid="{F7511932-61B1-43D4-B3B5-339AB99A2433}"/>
    <cellStyle name="Percentuale 69 3 3 4" xfId="29718" xr:uid="{C1F96DD4-02DF-4051-8ED4-00A18F745463}"/>
    <cellStyle name="Percentuale 69 3 3 4 2" xfId="49453" xr:uid="{7ECD832B-8CC9-43D1-B3BA-9C052E9AC58D}"/>
    <cellStyle name="Percentuale 69 3 3 5" xfId="29715" xr:uid="{8619D1AB-AF37-4A8E-BCAB-41015124FE59}"/>
    <cellStyle name="Percentuale 69 3 4" xfId="4508" xr:uid="{6EB096BA-F89C-46F3-B69D-C62A77C9EFB4}"/>
    <cellStyle name="Percentuale 69 3 4 2" xfId="13836" xr:uid="{17D464DC-D844-46E6-A9F2-69E222E94E06}"/>
    <cellStyle name="Percentuale 69 3 4 3" xfId="29719" xr:uid="{8D2F8E31-0C53-446C-97CC-356EB7395C57}"/>
    <cellStyle name="Percentuale 69 3 5" xfId="12265" xr:uid="{AC8B01EC-6BDE-461D-A84D-DFC27DB35E28}"/>
    <cellStyle name="Percentuale 69 3 5 2" xfId="29720" xr:uid="{B2E203E7-9D01-4D7B-A524-3FD38AF6BE72}"/>
    <cellStyle name="Percentuale 69 3 6" xfId="29721" xr:uid="{224A2D02-C496-4489-AFF5-28F0D17C5590}"/>
    <cellStyle name="Percentuale 69 3 6 2" xfId="49454" xr:uid="{41E1702F-0A9D-4CCA-885E-F1E82234A44F}"/>
    <cellStyle name="Percentuale 69 3 7" xfId="29722" xr:uid="{B6162627-0882-4322-BD0D-24E4E9E53F73}"/>
    <cellStyle name="Percentuale 69 3 8" xfId="29709" xr:uid="{5FB2A9E2-1985-46A1-A767-D5C8E2CF938C}"/>
    <cellStyle name="Percentuale 69 4" xfId="2509" xr:uid="{00000000-0005-0000-0000-0000AF090000}"/>
    <cellStyle name="Percentuale 69 4 2" xfId="2510" xr:uid="{00000000-0005-0000-0000-0000B0090000}"/>
    <cellStyle name="Percentuale 69 4 2 2" xfId="9576" xr:uid="{462B7440-E9BE-45F6-AE90-EE24293D2E4B}"/>
    <cellStyle name="Percentuale 69 4 2 2 2" xfId="29725" xr:uid="{5715EEF2-F903-4EFC-894A-71B5925E2AA7}"/>
    <cellStyle name="Percentuale 69 4 2 3" xfId="17961" xr:uid="{960BEB16-F4B8-4595-A34A-1281B699146B}"/>
    <cellStyle name="Percentuale 69 4 2 3 2" xfId="29726" xr:uid="{370EA6C5-AE21-4BD4-AD45-276E2D7C84A9}"/>
    <cellStyle name="Percentuale 69 4 2 4" xfId="29724" xr:uid="{77666EFB-3727-4142-8E63-8811ABE93624}"/>
    <cellStyle name="Percentuale 69 4 2 5" xfId="17572" xr:uid="{49C27E0D-686D-4380-8431-632365435A64}"/>
    <cellStyle name="Percentuale 69 4 3" xfId="9577" xr:uid="{DE018F60-F659-45E6-A5DB-BD7389E48637}"/>
    <cellStyle name="Percentuale 69 4 3 2" xfId="29727" xr:uid="{3689782A-C7DE-4217-A066-81C02ADB37CB}"/>
    <cellStyle name="Percentuale 69 4 4" xfId="29728" xr:uid="{7C01973A-9106-4CAC-991B-C22980B54620}"/>
    <cellStyle name="Percentuale 69 4 5" xfId="29729" xr:uid="{5E97FFD7-00DB-46D1-A0F1-A8516D59DBEE}"/>
    <cellStyle name="Percentuale 69 4 5 2" xfId="49455" xr:uid="{FCBF385C-8D9B-466A-9C74-3DFD3E7FD4C5}"/>
    <cellStyle name="Percentuale 69 4 6" xfId="29730" xr:uid="{A42210AD-EEBB-40A6-AEB0-FA0AAF146DBF}"/>
    <cellStyle name="Percentuale 69 4 7" xfId="29723" xr:uid="{CB8A69F9-720D-4217-99DA-B6D05D1834EC}"/>
    <cellStyle name="Percentuale 69 5" xfId="2511" xr:uid="{00000000-0005-0000-0000-0000B1090000}"/>
    <cellStyle name="Percentuale 69 5 2" xfId="29732" xr:uid="{1514B402-379D-42C5-BCB7-D3FFC8214345}"/>
    <cellStyle name="Percentuale 69 5 3" xfId="29733" xr:uid="{01D56C62-D2B0-499B-8A4B-A36257173BEB}"/>
    <cellStyle name="Percentuale 69 5 3 2" xfId="49456" xr:uid="{D7A1CCD4-7417-4109-8E54-5058896F5513}"/>
    <cellStyle name="Percentuale 69 5 4" xfId="29734" xr:uid="{D5801A93-C0C9-470C-9BFE-C8EA59AA2A6F}"/>
    <cellStyle name="Percentuale 69 5 5" xfId="29731" xr:uid="{D29EC11F-7746-4703-8459-5E44A5C6FFF9}"/>
    <cellStyle name="Percentuale 69 6" xfId="4509" xr:uid="{ECB2712E-6612-44FE-8D01-07451168264D}"/>
    <cellStyle name="Percentuale 69 6 2" xfId="9870" xr:uid="{24494CE5-B9EF-4FC9-B0B3-7C2AB47D0DAC}"/>
    <cellStyle name="Percentuale 69 6 3" xfId="29735" xr:uid="{34862452-9E16-484D-8718-846D5C760832}"/>
    <cellStyle name="Percentuale 69 7" xfId="29736" xr:uid="{A7088E89-E0FF-44E6-A0EC-6A30A051B649}"/>
    <cellStyle name="Percentuale 69 7 2" xfId="49457" xr:uid="{32D64A7F-EED9-4DAF-9183-735BDFE360B4}"/>
    <cellStyle name="Percentuale 69 8" xfId="29703" xr:uid="{421D0A01-97EF-42DD-B2C7-F942D5E032E2}"/>
    <cellStyle name="Percentuale 7" xfId="1222" xr:uid="{00000000-0005-0000-0000-0000B2090000}"/>
    <cellStyle name="Percentuale 7 2" xfId="1223" xr:uid="{00000000-0005-0000-0000-0000B3090000}"/>
    <cellStyle name="Percentuale 7 2 2" xfId="4510" xr:uid="{39A505AE-B8B8-42CF-92B4-06C819A4CA23}"/>
    <cellStyle name="Percentuale 7 2 2 2" xfId="13628" xr:uid="{B72BF523-8580-4CDA-9FDC-B2D947C5B586}"/>
    <cellStyle name="Percentuale 7 2 2 3" xfId="29739" xr:uid="{4108496C-8024-41ED-AE75-212190C8075F}"/>
    <cellStyle name="Percentuale 7 2 3" xfId="13366" xr:uid="{11EF22DD-847B-484D-9FCF-92A5DBCF0BAF}"/>
    <cellStyle name="Percentuale 7 2 3 2" xfId="29740" xr:uid="{B7A0C48C-207E-4C17-8557-6E7712D9FBF4}"/>
    <cellStyle name="Percentuale 7 2 4" xfId="29741" xr:uid="{C05BF64C-DF33-4C0F-82CD-D2E195C165D8}"/>
    <cellStyle name="Percentuale 7 2 4 2" xfId="49458" xr:uid="{1E4BD022-1994-4446-B7EF-BADA18F6D38E}"/>
    <cellStyle name="Percentuale 7 2 5" xfId="29742" xr:uid="{15CCB295-486B-4373-891B-0D86C926A265}"/>
    <cellStyle name="Percentuale 7 2 6" xfId="29738" xr:uid="{4F8A9201-8D60-4449-A401-B3C250070249}"/>
    <cellStyle name="Percentuale 7 3" xfId="1224" xr:uid="{00000000-0005-0000-0000-0000B4090000}"/>
    <cellStyle name="Percentuale 7 3 2" xfId="1225" xr:uid="{00000000-0005-0000-0000-0000B5090000}"/>
    <cellStyle name="Percentuale 7 3 2 2" xfId="2512" xr:uid="{00000000-0005-0000-0000-0000B6090000}"/>
    <cellStyle name="Percentuale 7 3 2 2 2" xfId="29746" xr:uid="{E2D70682-816D-4FEA-BD40-B3EBDC5D86F1}"/>
    <cellStyle name="Percentuale 7 3 2 2 3" xfId="29745" xr:uid="{9D762693-DEE8-46D0-A9B0-2E604710ADBD}"/>
    <cellStyle name="Percentuale 7 3 2 3" xfId="8177" xr:uid="{FA44C778-86F8-4A87-8940-94F0D007B673}"/>
    <cellStyle name="Percentuale 7 3 2 3 2" xfId="14176" xr:uid="{BEB32516-71A0-4713-9C9C-9614577B5660}"/>
    <cellStyle name="Percentuale 7 3 2 3 3" xfId="29747" xr:uid="{6DE2EF9A-59F0-47F9-BB8D-28D06365B8D3}"/>
    <cellStyle name="Percentuale 7 3 2 3 4" xfId="49459" xr:uid="{ACBFFBF0-6211-4957-8E6B-07AA9DBE3592}"/>
    <cellStyle name="Percentuale 7 3 2 4" xfId="29748" xr:uid="{E1940956-F467-4B2D-97C3-6ED6BCFBA415}"/>
    <cellStyle name="Percentuale 7 3 2 5" xfId="29744" xr:uid="{CF04CB01-EDB4-413A-ADEC-480E8209D73C}"/>
    <cellStyle name="Percentuale 7 3 3" xfId="4511" xr:uid="{27C4F1D5-4DF4-44E2-AE15-B3E5F9C2936B}"/>
    <cellStyle name="Percentuale 7 3 3 2" xfId="9578" xr:uid="{4DFA3194-2D85-4C9D-83AF-BA8941C2E2CC}"/>
    <cellStyle name="Percentuale 7 3 3 2 2" xfId="29750" xr:uid="{201E62E0-F1B4-4DC9-9483-22EF7EE113B4}"/>
    <cellStyle name="Percentuale 7 3 3 3" xfId="29751" xr:uid="{6DE49EF6-9F49-4B9E-AFB3-13B918A00F67}"/>
    <cellStyle name="Percentuale 7 3 3 4" xfId="29752" xr:uid="{624D56D6-BD3D-4B8A-9401-7F180D7A972E}"/>
    <cellStyle name="Percentuale 7 3 3 4 2" xfId="49460" xr:uid="{7EFFD53D-6C29-4B25-AE5C-B2D6E89C3BF2}"/>
    <cellStyle name="Percentuale 7 3 3 5" xfId="29749" xr:uid="{299D65AF-EA41-4ED0-9FB0-F70F270B1AE6}"/>
    <cellStyle name="Percentuale 7 3 4" xfId="4512" xr:uid="{23D630BB-0139-496F-A9FA-0C19BCD36DAF}"/>
    <cellStyle name="Percentuale 7 3 4 2" xfId="13837" xr:uid="{6DFB65CB-8B10-49A2-B8FB-185468333919}"/>
    <cellStyle name="Percentuale 7 3 4 3" xfId="29753" xr:uid="{1370AB65-CCDF-4C56-BD4D-C20FE16A9A55}"/>
    <cellStyle name="Percentuale 7 3 5" xfId="12309" xr:uid="{EF5CDE3F-1C31-4F2B-8C4A-2A2F4DA63557}"/>
    <cellStyle name="Percentuale 7 3 5 2" xfId="29754" xr:uid="{5EAA7CFD-2650-4033-AE8B-0914CBC1D76E}"/>
    <cellStyle name="Percentuale 7 3 6" xfId="29755" xr:uid="{E421C74C-6DB7-4A63-BD64-60FF2FFC0C0E}"/>
    <cellStyle name="Percentuale 7 3 6 2" xfId="49461" xr:uid="{B9C2975B-EDEF-4B49-9779-FF47D7C5762E}"/>
    <cellStyle name="Percentuale 7 3 7" xfId="29756" xr:uid="{4BB7E45F-686E-4EB8-8389-10FCFE4D7556}"/>
    <cellStyle name="Percentuale 7 3 8" xfId="29743" xr:uid="{025559ED-C61B-451C-8933-2DEB2699A0B0}"/>
    <cellStyle name="Percentuale 7 4" xfId="2513" xr:uid="{00000000-0005-0000-0000-0000B7090000}"/>
    <cellStyle name="Percentuale 7 4 2" xfId="2514" xr:uid="{00000000-0005-0000-0000-0000B8090000}"/>
    <cellStyle name="Percentuale 7 4 2 2" xfId="9579" xr:uid="{960E4BA6-81F0-4BE4-BD7D-74DEF41985E4}"/>
    <cellStyle name="Percentuale 7 4 2 2 2" xfId="29759" xr:uid="{B881F8B3-DF7A-42CB-BE5E-5EE826D93CAD}"/>
    <cellStyle name="Percentuale 7 4 2 3" xfId="17962" xr:uid="{EE54DB30-2F2C-4634-A6FC-51BE64CD29CF}"/>
    <cellStyle name="Percentuale 7 4 2 3 2" xfId="29760" xr:uid="{1C054C4A-5981-4BEE-9776-9AC19490C1BB}"/>
    <cellStyle name="Percentuale 7 4 2 4" xfId="29758" xr:uid="{8B2691C9-069B-4B43-A9CD-0E6C20C92EDC}"/>
    <cellStyle name="Percentuale 7 4 2 5" xfId="17573" xr:uid="{6DF2CBD4-276C-410C-9E8B-27938F2DE8B1}"/>
    <cellStyle name="Percentuale 7 4 3" xfId="9580" xr:uid="{1DB166E3-0BA1-4E43-885A-57A16CA5A8D8}"/>
    <cellStyle name="Percentuale 7 4 3 2" xfId="29761" xr:uid="{C8614544-E23D-4EC6-917F-98AA6426D674}"/>
    <cellStyle name="Percentuale 7 4 4" xfId="29762" xr:uid="{E434E99D-51DB-4F60-A307-B2A3AC9F12A6}"/>
    <cellStyle name="Percentuale 7 4 5" xfId="29763" xr:uid="{38512B9F-1666-4162-BA1E-B5FF9A45772D}"/>
    <cellStyle name="Percentuale 7 4 5 2" xfId="49462" xr:uid="{40D11E4E-9354-4009-A88F-9CF6B7EC306D}"/>
    <cellStyle name="Percentuale 7 4 6" xfId="29764" xr:uid="{E50E9562-7B12-45AA-8232-EC888BADA1D1}"/>
    <cellStyle name="Percentuale 7 4 7" xfId="29757" xr:uid="{73591064-D211-41F2-8F78-B165179F132D}"/>
    <cellStyle name="Percentuale 7 5" xfId="2515" xr:uid="{00000000-0005-0000-0000-0000B9090000}"/>
    <cellStyle name="Percentuale 7 5 2" xfId="29766" xr:uid="{E6239141-4297-4883-BA1F-DB9C49B53F3D}"/>
    <cellStyle name="Percentuale 7 5 3" xfId="29767" xr:uid="{D158A64F-00FC-4F0E-818B-AE23EBA55B6A}"/>
    <cellStyle name="Percentuale 7 5 3 2" xfId="49463" xr:uid="{CED6D653-176D-49EE-BD28-684FFDE42F38}"/>
    <cellStyle name="Percentuale 7 5 4" xfId="29768" xr:uid="{BEB940A2-C29E-46C3-B74B-F4CA2C7F66EB}"/>
    <cellStyle name="Percentuale 7 5 5" xfId="29765" xr:uid="{3C0638FC-4665-4BC4-9DB4-BF169BFDD120}"/>
    <cellStyle name="Percentuale 7 6" xfId="4513" xr:uid="{B971EC7F-33B1-45D2-99AE-E8B1207E15BA}"/>
    <cellStyle name="Percentuale 7 6 2" xfId="9871" xr:uid="{ED951B82-A113-4E73-8BE2-4BE27D687D55}"/>
    <cellStyle name="Percentuale 7 6 3" xfId="29769" xr:uid="{A2406443-8BC7-4090-922B-BAD25E7D126D}"/>
    <cellStyle name="Percentuale 7 7" xfId="29770" xr:uid="{B8FC451D-0A2C-4E95-9C2F-6A5975140587}"/>
    <cellStyle name="Percentuale 7 7 2" xfId="49464" xr:uid="{4227558A-FC49-4F5D-B586-7148F85845F2}"/>
    <cellStyle name="Percentuale 7 8" xfId="29737" xr:uid="{A7F4CACB-D919-4EDA-9A5A-ADAB6A3A6E1D}"/>
    <cellStyle name="Percentuale 8" xfId="1226" xr:uid="{00000000-0005-0000-0000-0000BA090000}"/>
    <cellStyle name="Percentuale 8 2" xfId="1227" xr:uid="{00000000-0005-0000-0000-0000BB090000}"/>
    <cellStyle name="Percentuale 8 2 2" xfId="4514" xr:uid="{EC87832A-4D3F-42EC-84F1-A7153A9C2B19}"/>
    <cellStyle name="Percentuale 8 2 2 2" xfId="13629" xr:uid="{A311B62E-1A29-4A21-A331-19FAE84A2E1B}"/>
    <cellStyle name="Percentuale 8 2 2 3" xfId="29773" xr:uid="{6FB7183D-993A-4513-B1B6-3248FEA0039F}"/>
    <cellStyle name="Percentuale 8 2 3" xfId="13367" xr:uid="{F362C5C0-3077-4EE0-94B4-6E43435D2BD5}"/>
    <cellStyle name="Percentuale 8 2 3 2" xfId="29774" xr:uid="{16F8233B-C96C-4FBF-9ECA-6976728AB64B}"/>
    <cellStyle name="Percentuale 8 2 4" xfId="29775" xr:uid="{DDBA8576-A9D7-4471-9F54-EAE408BEDD6A}"/>
    <cellStyle name="Percentuale 8 2 4 2" xfId="49465" xr:uid="{95A21139-D208-4002-A600-0B229E282C18}"/>
    <cellStyle name="Percentuale 8 2 5" xfId="29776" xr:uid="{117619A8-BCF2-41B7-A019-D954D62300DB}"/>
    <cellStyle name="Percentuale 8 2 6" xfId="29772" xr:uid="{62C2D65F-111F-4327-BE64-31BDD38E5528}"/>
    <cellStyle name="Percentuale 8 3" xfId="1228" xr:uid="{00000000-0005-0000-0000-0000BC090000}"/>
    <cellStyle name="Percentuale 8 3 2" xfId="1229" xr:uid="{00000000-0005-0000-0000-0000BD090000}"/>
    <cellStyle name="Percentuale 8 3 2 2" xfId="2516" xr:uid="{00000000-0005-0000-0000-0000BE090000}"/>
    <cellStyle name="Percentuale 8 3 2 2 2" xfId="29780" xr:uid="{9397EFA3-C252-4F33-8483-A823383F9B64}"/>
    <cellStyle name="Percentuale 8 3 2 2 3" xfId="29779" xr:uid="{551C732E-ED08-4B63-81FE-6213C6097F3A}"/>
    <cellStyle name="Percentuale 8 3 2 3" xfId="8178" xr:uid="{05A5D91A-C308-4BF1-85EC-57EC3C44231B}"/>
    <cellStyle name="Percentuale 8 3 2 3 2" xfId="14177" xr:uid="{1F81AF74-E46E-4DC8-8FCA-A82D255C5C37}"/>
    <cellStyle name="Percentuale 8 3 2 3 3" xfId="29781" xr:uid="{B3FE2CAB-0C2F-49EE-9D82-2FA3A7B73E42}"/>
    <cellStyle name="Percentuale 8 3 2 3 4" xfId="49466" xr:uid="{5216DEB2-F97A-4362-8E58-C44930D03A64}"/>
    <cellStyle name="Percentuale 8 3 2 4" xfId="29782" xr:uid="{74B16089-E343-4589-A881-A67531BC315B}"/>
    <cellStyle name="Percentuale 8 3 2 5" xfId="29778" xr:uid="{03C02FF2-3A48-4CDD-85E6-B6A23378F757}"/>
    <cellStyle name="Percentuale 8 3 3" xfId="4515" xr:uid="{741C152F-232A-4B81-B58A-36B8BFCCE056}"/>
    <cellStyle name="Percentuale 8 3 3 2" xfId="9581" xr:uid="{94E6BC9F-B415-4026-98D7-2D3BF16F6E0D}"/>
    <cellStyle name="Percentuale 8 3 3 2 2" xfId="29784" xr:uid="{239B7991-55C4-468F-8050-74D05B051FEA}"/>
    <cellStyle name="Percentuale 8 3 3 3" xfId="29785" xr:uid="{4996453A-00EF-442D-8897-472E7537F6E9}"/>
    <cellStyle name="Percentuale 8 3 3 4" xfId="29786" xr:uid="{B3B38620-690A-4D72-B403-B4FBC17DFB67}"/>
    <cellStyle name="Percentuale 8 3 3 4 2" xfId="49467" xr:uid="{F10C3300-2DE3-4B25-B036-63961F216D0E}"/>
    <cellStyle name="Percentuale 8 3 3 5" xfId="29783" xr:uid="{FE988E8B-F6FE-4B76-BEE3-051D9CF51EB6}"/>
    <cellStyle name="Percentuale 8 3 4" xfId="4516" xr:uid="{4CFB019E-7393-468B-81F1-1169D28536A4}"/>
    <cellStyle name="Percentuale 8 3 4 2" xfId="13838" xr:uid="{541F2A31-C89E-4D48-B525-25E974D977A3}"/>
    <cellStyle name="Percentuale 8 3 4 3" xfId="29787" xr:uid="{1F4479C6-2F22-46F7-BD25-7EBDEA471CA6}"/>
    <cellStyle name="Percentuale 8 3 5" xfId="11099" xr:uid="{B9D3AAEC-F4F7-4A6A-AA70-70B9A907B5A8}"/>
    <cellStyle name="Percentuale 8 3 5 2" xfId="29788" xr:uid="{138E194C-3FCE-4B59-BC17-2C521E4795C1}"/>
    <cellStyle name="Percentuale 8 3 6" xfId="29789" xr:uid="{9CBA0166-9497-4877-AA56-8053C6EC8FDB}"/>
    <cellStyle name="Percentuale 8 3 6 2" xfId="49468" xr:uid="{0F1E3E4B-E020-4F7F-AF45-F27854CCA076}"/>
    <cellStyle name="Percentuale 8 3 7" xfId="29790" xr:uid="{D28676AE-EE6F-4C38-A9EC-72E8BD795D14}"/>
    <cellStyle name="Percentuale 8 3 8" xfId="29777" xr:uid="{EA516FAE-89EA-4383-A84F-D6CDA95A001C}"/>
    <cellStyle name="Percentuale 8 4" xfId="2517" xr:uid="{00000000-0005-0000-0000-0000BF090000}"/>
    <cellStyle name="Percentuale 8 4 2" xfId="2518" xr:uid="{00000000-0005-0000-0000-0000C0090000}"/>
    <cellStyle name="Percentuale 8 4 2 2" xfId="9582" xr:uid="{7FD04F0F-D60F-40F1-9B44-020872BB7353}"/>
    <cellStyle name="Percentuale 8 4 2 2 2" xfId="29793" xr:uid="{BC6D05CE-BD60-4A4E-9039-EA7049A8206A}"/>
    <cellStyle name="Percentuale 8 4 2 3" xfId="17963" xr:uid="{A18D4165-8286-4C81-A045-51224A475E42}"/>
    <cellStyle name="Percentuale 8 4 2 3 2" xfId="29794" xr:uid="{68659735-4870-4010-9FD0-0A6A83E367FF}"/>
    <cellStyle name="Percentuale 8 4 2 4" xfId="29792" xr:uid="{FF9A3D8E-9203-4440-85F7-EF5117A8AA63}"/>
    <cellStyle name="Percentuale 8 4 2 5" xfId="17574" xr:uid="{5ABC84AE-8606-490B-B48D-25C99A8A7BB2}"/>
    <cellStyle name="Percentuale 8 4 3" xfId="9583" xr:uid="{402E7759-3712-4EFF-BC56-251045256F61}"/>
    <cellStyle name="Percentuale 8 4 3 2" xfId="29795" xr:uid="{1E12EE0C-5949-43D0-B93E-BA770B66042C}"/>
    <cellStyle name="Percentuale 8 4 4" xfId="29796" xr:uid="{8312B17E-B857-42EE-A84D-2127C7F4685A}"/>
    <cellStyle name="Percentuale 8 4 5" xfId="29797" xr:uid="{D38F1A5A-2585-4FA2-8C46-AE822C979E84}"/>
    <cellStyle name="Percentuale 8 4 5 2" xfId="49469" xr:uid="{99AB7700-C403-4684-ABD4-7BD5169600AA}"/>
    <cellStyle name="Percentuale 8 4 6" xfId="29798" xr:uid="{78CBBAA2-41C3-4D47-B572-C4CBF3A1071C}"/>
    <cellStyle name="Percentuale 8 4 7" xfId="29791" xr:uid="{DF34FEEA-34D4-40D2-ABC1-13940CDD9B22}"/>
    <cellStyle name="Percentuale 8 5" xfId="2519" xr:uid="{00000000-0005-0000-0000-0000C1090000}"/>
    <cellStyle name="Percentuale 8 5 2" xfId="29800" xr:uid="{E8C21438-3176-4F9C-B010-2F3702107787}"/>
    <cellStyle name="Percentuale 8 5 3" xfId="29801" xr:uid="{FB1786D1-C830-4F7D-A307-AC91E1CB38C9}"/>
    <cellStyle name="Percentuale 8 5 3 2" xfId="49470" xr:uid="{BC51B76B-FDBD-4F5B-82A6-42F915BA291A}"/>
    <cellStyle name="Percentuale 8 5 4" xfId="29802" xr:uid="{3E1AB7D7-BDCC-4B13-8D12-9F326A1EB684}"/>
    <cellStyle name="Percentuale 8 5 5" xfId="29799" xr:uid="{60274E02-B5DC-4120-8D83-208D308E6898}"/>
    <cellStyle name="Percentuale 8 6" xfId="4517" xr:uid="{3B0E0195-3231-418E-81FD-1D9A483AA130}"/>
    <cellStyle name="Percentuale 8 6 2" xfId="9872" xr:uid="{BE37DC54-006F-48FA-A026-2ABA1F1407E0}"/>
    <cellStyle name="Percentuale 8 6 3" xfId="29803" xr:uid="{531601C8-0E8D-4C8B-B318-6CB9A2DB852E}"/>
    <cellStyle name="Percentuale 8 7" xfId="29804" xr:uid="{A89B53E3-4643-461C-ADBF-256C12DC1E7F}"/>
    <cellStyle name="Percentuale 8 7 2" xfId="49471" xr:uid="{3AE71714-250C-47A1-89C8-621E577D8DCA}"/>
    <cellStyle name="Percentuale 8 8" xfId="29771" xr:uid="{FAAA3E9C-A184-46E9-9968-C2509ADB605F}"/>
    <cellStyle name="Percentuale 9" xfId="1230" xr:uid="{00000000-0005-0000-0000-0000C2090000}"/>
    <cellStyle name="Percentuale 9 2" xfId="1231" xr:uid="{00000000-0005-0000-0000-0000C3090000}"/>
    <cellStyle name="Percentuale 9 2 2" xfId="4518" xr:uid="{7C19F368-3FB0-4038-A5D5-3D8B341AAC7A}"/>
    <cellStyle name="Percentuale 9 2 2 2" xfId="13630" xr:uid="{66DDD46D-2A9E-48C1-9867-A0B9481C8B17}"/>
    <cellStyle name="Percentuale 9 2 2 3" xfId="29807" xr:uid="{53D0A370-BC00-4560-A39D-555174D67E99}"/>
    <cellStyle name="Percentuale 9 2 3" xfId="13368" xr:uid="{A65DFDB5-6FD5-45BA-8586-8103B245F967}"/>
    <cellStyle name="Percentuale 9 2 3 2" xfId="29808" xr:uid="{4ACAF53B-61B0-4EE9-A016-D732EFE457F0}"/>
    <cellStyle name="Percentuale 9 2 4" xfId="29809" xr:uid="{968830A9-0474-460C-920D-4AD6FDDD4E7E}"/>
    <cellStyle name="Percentuale 9 2 4 2" xfId="49472" xr:uid="{3A5EE5BC-C753-49E6-9653-4EF72B29810C}"/>
    <cellStyle name="Percentuale 9 2 5" xfId="29810" xr:uid="{F0920C92-29CE-46D5-906E-060BFACFF139}"/>
    <cellStyle name="Percentuale 9 2 6" xfId="29806" xr:uid="{AE55AB7F-7D29-41D8-9E51-52B424580236}"/>
    <cellStyle name="Percentuale 9 3" xfId="1232" xr:uid="{00000000-0005-0000-0000-0000C4090000}"/>
    <cellStyle name="Percentuale 9 3 2" xfId="1233" xr:uid="{00000000-0005-0000-0000-0000C5090000}"/>
    <cellStyle name="Percentuale 9 3 2 2" xfId="2520" xr:uid="{00000000-0005-0000-0000-0000C6090000}"/>
    <cellStyle name="Percentuale 9 3 2 2 2" xfId="29814" xr:uid="{AA138531-9728-499E-B6FE-8BC8135FE7C8}"/>
    <cellStyle name="Percentuale 9 3 2 2 3" xfId="29813" xr:uid="{AC5071D6-6FA5-41ED-8C2B-9F8E7E0260C2}"/>
    <cellStyle name="Percentuale 9 3 2 3" xfId="8179" xr:uid="{89FC78C2-F01C-4D37-BEC0-C940BBBBD90A}"/>
    <cellStyle name="Percentuale 9 3 2 3 2" xfId="14178" xr:uid="{BD1101B2-B5F4-4EE6-89F7-A008D8A4C64D}"/>
    <cellStyle name="Percentuale 9 3 2 3 3" xfId="29815" xr:uid="{6B8F3802-BF71-4E0B-A946-C199FF994EE2}"/>
    <cellStyle name="Percentuale 9 3 2 3 4" xfId="49473" xr:uid="{9581BEC5-C7F6-4CFA-98A0-1F44061701B4}"/>
    <cellStyle name="Percentuale 9 3 2 4" xfId="29816" xr:uid="{CA336636-C9CA-4B0C-81B3-6CE0377CF6C5}"/>
    <cellStyle name="Percentuale 9 3 2 5" xfId="29812" xr:uid="{A00C78F6-AE19-4C60-B4CF-2C355988C2CB}"/>
    <cellStyle name="Percentuale 9 3 3" xfId="4519" xr:uid="{09BEE86E-5621-4A2E-9E12-DEB898ADB992}"/>
    <cellStyle name="Percentuale 9 3 3 2" xfId="9584" xr:uid="{55097D5A-59FC-4E05-9D3A-4632F1DC6852}"/>
    <cellStyle name="Percentuale 9 3 3 2 2" xfId="29818" xr:uid="{A62A7999-933B-4FC6-A960-2FF8E1D4EFB4}"/>
    <cellStyle name="Percentuale 9 3 3 3" xfId="29819" xr:uid="{6388B8A1-200D-42FD-9871-56098C101581}"/>
    <cellStyle name="Percentuale 9 3 3 4" xfId="29820" xr:uid="{5D5175AE-44CD-4A8E-884C-795465D47E96}"/>
    <cellStyle name="Percentuale 9 3 3 4 2" xfId="49474" xr:uid="{7594BA59-F8E2-41A4-A1BA-4A416EA2815E}"/>
    <cellStyle name="Percentuale 9 3 3 5" xfId="29817" xr:uid="{D78F31BF-C503-41F2-A808-91B5AFB02119}"/>
    <cellStyle name="Percentuale 9 3 4" xfId="4520" xr:uid="{9895FC97-83C2-4E5D-BA95-411E3648771D}"/>
    <cellStyle name="Percentuale 9 3 4 2" xfId="13839" xr:uid="{7C52B4A8-51F0-43C9-BA58-E7D4DBEB5089}"/>
    <cellStyle name="Percentuale 9 3 4 3" xfId="29821" xr:uid="{74398970-6B9C-439B-B8CE-3538C380F51D}"/>
    <cellStyle name="Percentuale 9 3 5" xfId="12308" xr:uid="{A81BFBE4-48C9-46C4-9ECA-881C4585F1A0}"/>
    <cellStyle name="Percentuale 9 3 5 2" xfId="29822" xr:uid="{0F148DE8-F911-47F1-B9F1-44F1A116A47F}"/>
    <cellStyle name="Percentuale 9 3 6" xfId="29823" xr:uid="{718B9326-AF4B-44E0-8E36-9DA010AE557D}"/>
    <cellStyle name="Percentuale 9 3 6 2" xfId="49475" xr:uid="{5DEC9CC4-A645-4038-8B45-2E484F7CC80B}"/>
    <cellStyle name="Percentuale 9 3 7" xfId="29824" xr:uid="{0232E3B5-DFB3-4220-A9DC-29992B4E126F}"/>
    <cellStyle name="Percentuale 9 3 8" xfId="29811" xr:uid="{C719C677-7CB5-4868-87A8-81F0E6BDE8BB}"/>
    <cellStyle name="Percentuale 9 4" xfId="2521" xr:uid="{00000000-0005-0000-0000-0000C7090000}"/>
    <cellStyle name="Percentuale 9 4 2" xfId="2522" xr:uid="{00000000-0005-0000-0000-0000C8090000}"/>
    <cellStyle name="Percentuale 9 4 2 2" xfId="9585" xr:uid="{40EE58AA-7F54-4BE6-B476-EE3D26F2028A}"/>
    <cellStyle name="Percentuale 9 4 2 2 2" xfId="29827" xr:uid="{3F9094EE-E262-4C78-A37D-61B1228F2F77}"/>
    <cellStyle name="Percentuale 9 4 2 3" xfId="17964" xr:uid="{43B2728F-50EF-4EC3-A134-02E083344CB0}"/>
    <cellStyle name="Percentuale 9 4 2 3 2" xfId="29828" xr:uid="{7463C766-1070-4088-B719-6355A6179E18}"/>
    <cellStyle name="Percentuale 9 4 2 4" xfId="29826" xr:uid="{D235227A-C3E0-4087-AE19-42AC3078BFF5}"/>
    <cellStyle name="Percentuale 9 4 2 5" xfId="17575" xr:uid="{365943D1-01E7-4A50-BDBE-EB0324477D9C}"/>
    <cellStyle name="Percentuale 9 4 3" xfId="9586" xr:uid="{08862ABF-50EE-404F-883A-F516E15F97ED}"/>
    <cellStyle name="Percentuale 9 4 3 2" xfId="29829" xr:uid="{A288CE31-F3BA-4E5E-AF4B-1E01AD840C08}"/>
    <cellStyle name="Percentuale 9 4 4" xfId="29830" xr:uid="{26DF11EA-D640-4FAA-8EBE-E474A2981E3D}"/>
    <cellStyle name="Percentuale 9 4 5" xfId="29831" xr:uid="{9C7E4DA7-EB6B-4D97-82BB-3BAD0B5EEE08}"/>
    <cellStyle name="Percentuale 9 4 5 2" xfId="49476" xr:uid="{91B08A6A-A80C-44BA-9FA2-29E1DA119882}"/>
    <cellStyle name="Percentuale 9 4 6" xfId="29832" xr:uid="{132338A9-D668-4433-9D7F-3B6E079E76F4}"/>
    <cellStyle name="Percentuale 9 4 7" xfId="29825" xr:uid="{476316C0-8D24-41B1-AC3F-DAC36F9E9FF4}"/>
    <cellStyle name="Percentuale 9 5" xfId="2523" xr:uid="{00000000-0005-0000-0000-0000C9090000}"/>
    <cellStyle name="Percentuale 9 5 2" xfId="29834" xr:uid="{8ADB53D1-884B-4187-A216-B2B62AB23D0D}"/>
    <cellStyle name="Percentuale 9 5 3" xfId="29835" xr:uid="{1E01166F-5F98-44B9-82E0-F5BCB8724E61}"/>
    <cellStyle name="Percentuale 9 5 3 2" xfId="49477" xr:uid="{AACB4563-32E2-4065-8C0F-79EC787025F1}"/>
    <cellStyle name="Percentuale 9 5 4" xfId="29836" xr:uid="{4691D31F-464D-40DC-A446-EF4C092F705A}"/>
    <cellStyle name="Percentuale 9 5 5" xfId="29833" xr:uid="{A151E693-07BA-4060-AC30-0BC55A6588CF}"/>
    <cellStyle name="Percentuale 9 6" xfId="4521" xr:uid="{467D75F9-414A-4C6D-9D8C-A93815D42E74}"/>
    <cellStyle name="Percentuale 9 6 2" xfId="9873" xr:uid="{3E63BCF0-91ED-4614-9259-ACA0FBF6A0AA}"/>
    <cellStyle name="Percentuale 9 6 3" xfId="29837" xr:uid="{602A6BD3-18AC-4C80-BC59-09F2B81C0D57}"/>
    <cellStyle name="Percentuale 9 7" xfId="29838" xr:uid="{B564D6F6-C996-490B-9A25-E50DB40BF381}"/>
    <cellStyle name="Percentuale 9 7 2" xfId="49478" xr:uid="{97E89891-94C0-421C-995C-605CF6E06B3D}"/>
    <cellStyle name="Percentuale 9 8" xfId="29805" xr:uid="{68B1CA9E-2C66-46A7-BA51-F4F7C356B35F}"/>
    <cellStyle name="Procent 10" xfId="29839" xr:uid="{A4C4BAB4-7564-49D6-9FAE-B58CBA76BA6C}"/>
    <cellStyle name="Procent 10 2" xfId="29840" xr:uid="{78DE6DB8-79C7-4278-9C4A-895AC84D6BCD}"/>
    <cellStyle name="Procent 10 2 2" xfId="29841" xr:uid="{27AF09BD-023C-4E4A-BEDC-0A0A60019D91}"/>
    <cellStyle name="Procent 10 3" xfId="29842" xr:uid="{B05BBDF6-119D-4448-BDEF-5C30853542B2}"/>
    <cellStyle name="Procent 10 3 2" xfId="29843" xr:uid="{159A9848-2AB5-4847-9A45-42D785702385}"/>
    <cellStyle name="Procent 10 4" xfId="29844" xr:uid="{B4E0B82F-3179-45AE-94F3-1151CC7E3359}"/>
    <cellStyle name="Procent 10 4 2" xfId="29845" xr:uid="{8FB42284-203C-4681-A9E0-7D9D5B2F60A1}"/>
    <cellStyle name="Procent 10 5" xfId="29846" xr:uid="{99B94354-9F9A-4C6F-AB15-BF168AE50FAC}"/>
    <cellStyle name="Procent 11" xfId="29847" xr:uid="{E1AD09B3-AE6F-4C5E-9FE0-D8ECB2B7AA7C}"/>
    <cellStyle name="Procent 11 2" xfId="29848" xr:uid="{BC70E89F-5EA2-409A-AC83-DBE6B79BF071}"/>
    <cellStyle name="Procent 12" xfId="29849" xr:uid="{92B01A9F-E238-42BB-9AF1-E8B3F33BE231}"/>
    <cellStyle name="Procent 12 2" xfId="29850" xr:uid="{36EE800E-F458-4326-936A-29DB84C3508A}"/>
    <cellStyle name="Procent 13" xfId="29851" xr:uid="{91CC0D06-7709-4B73-B2B7-4484B1175D9E}"/>
    <cellStyle name="Procent 2" xfId="1234" xr:uid="{00000000-0005-0000-0000-0000CA090000}"/>
    <cellStyle name="Procent 2 10" xfId="29853" xr:uid="{2252A731-8899-4839-A2B9-0575FC34E472}"/>
    <cellStyle name="Procent 2 10 2" xfId="29854" xr:uid="{19E8C668-B20D-4098-9054-6F9429F3C9D1}"/>
    <cellStyle name="Procent 2 10 2 2" xfId="29855" xr:uid="{E9E25560-44BB-4A7C-BF00-06968C05084E}"/>
    <cellStyle name="Procent 2 10 3" xfId="29856" xr:uid="{E8D41AB2-2D8A-46F3-A23B-3D1837648B8A}"/>
    <cellStyle name="Procent 2 11" xfId="29857" xr:uid="{EA5805A6-A9AD-4DEF-B303-C5C7D7C12885}"/>
    <cellStyle name="Procent 2 11 2" xfId="29858" xr:uid="{9EB6F81B-4BC8-4994-A98F-2B5A0065BA63}"/>
    <cellStyle name="Procent 2 12" xfId="29859" xr:uid="{5CF57BE3-E907-4B41-BF8B-DD571FC22EDC}"/>
    <cellStyle name="Procent 2 12 2" xfId="29860" xr:uid="{65240CC2-B614-4592-ABF3-6E92816545E4}"/>
    <cellStyle name="Procent 2 13" xfId="29861" xr:uid="{B25A4C8B-9F94-4F81-98FA-F294467758EB}"/>
    <cellStyle name="Procent 2 13 2" xfId="29862" xr:uid="{B1CBFB9C-CFAF-4F20-8946-A52CE6216478}"/>
    <cellStyle name="Procent 2 14" xfId="29863" xr:uid="{4BFC3EFD-5F7C-42CE-AA60-90B5D0B13D8F}"/>
    <cellStyle name="Procent 2 14 2" xfId="29864" xr:uid="{744DDD46-E036-4865-9807-001A5D68E809}"/>
    <cellStyle name="Procent 2 15" xfId="29865" xr:uid="{D81BAF31-72D9-4055-AB7F-F968BE71B453}"/>
    <cellStyle name="Procent 2 16" xfId="29866" xr:uid="{7B208804-FF6A-4154-83A0-6106628A6D93}"/>
    <cellStyle name="Procent 2 17" xfId="29867" xr:uid="{C6414366-FCAD-412F-924C-7B6C6E3FC049}"/>
    <cellStyle name="Procent 2 18" xfId="29868" xr:uid="{8CE663CC-A833-4916-9FCD-275B104C7F49}"/>
    <cellStyle name="Procent 2 18 2" xfId="49479" xr:uid="{41261E33-85F4-4F47-A93A-705E6D1FF937}"/>
    <cellStyle name="Procent 2 19" xfId="29869" xr:uid="{D8C7FD23-A23B-42DE-8FC0-C822CACFE201}"/>
    <cellStyle name="Procent 2 2" xfId="2524" xr:uid="{00000000-0005-0000-0000-0000CB090000}"/>
    <cellStyle name="Procent 2 2 10" xfId="29871" xr:uid="{1481B149-8C65-4AAB-8B7A-4948E50C2D1F}"/>
    <cellStyle name="Procent 2 2 11" xfId="29872" xr:uid="{54D8540D-569B-4659-9006-4166CEA7CFF6}"/>
    <cellStyle name="Procent 2 2 12" xfId="29873" xr:uid="{D766AEEB-06D2-42FD-891E-3ADAAA30DA50}"/>
    <cellStyle name="Procent 2 2 12 2" xfId="49480" xr:uid="{AC6B5AA1-7494-487C-816B-CE32ED9CEB3C}"/>
    <cellStyle name="Procent 2 2 13" xfId="29874" xr:uid="{58C4C4CB-81D5-469F-A1AF-534310D641DD}"/>
    <cellStyle name="Procent 2 2 14" xfId="29870" xr:uid="{61C265BC-742D-462D-ACE1-28BD35100090}"/>
    <cellStyle name="Procent 2 2 15" xfId="17965" xr:uid="{AA164700-9C10-40AB-BFB8-35879E3FE244}"/>
    <cellStyle name="Procent 2 2 16" xfId="9587" xr:uid="{440DD380-CE8D-4375-95FF-06F341ED5262}"/>
    <cellStyle name="Procent 2 2 2" xfId="2525" xr:uid="{00000000-0005-0000-0000-0000CC090000}"/>
    <cellStyle name="Procent 2 2 2 2" xfId="29876" xr:uid="{0E704E36-F72D-4CDD-99E9-B7391663F238}"/>
    <cellStyle name="Procent 2 2 2 2 2" xfId="29877" xr:uid="{308DE267-DA45-4C7D-A1CE-8519F2E8D31F}"/>
    <cellStyle name="Procent 2 2 2 3" xfId="29878" xr:uid="{19F06B37-BF12-4126-9761-3476D01029EA}"/>
    <cellStyle name="Procent 2 2 2 3 2" xfId="29879" xr:uid="{379E953F-C72B-4A14-89DF-0876AFC59E10}"/>
    <cellStyle name="Procent 2 2 2 4" xfId="29880" xr:uid="{1BBA6CB7-B90E-47E3-85F0-C1194AEFC66C}"/>
    <cellStyle name="Procent 2 2 2 4 2" xfId="29881" xr:uid="{E336D984-8E28-4A09-B0A3-7B8351EE1FB9}"/>
    <cellStyle name="Procent 2 2 2 5" xfId="29882" xr:uid="{61D7A40B-8437-4B30-AA4B-0F9F64D64CCE}"/>
    <cellStyle name="Procent 2 2 2 5 2" xfId="29883" xr:uid="{8C160F1C-0627-4D35-9E6B-7CA3AF03E90C}"/>
    <cellStyle name="Procent 2 2 2 6" xfId="29884" xr:uid="{7C647561-9FAD-4696-BC0D-C6BC330E0922}"/>
    <cellStyle name="Procent 2 2 2 7" xfId="29885" xr:uid="{724F1EC9-3A0E-41DE-9EE9-80D7A2C85938}"/>
    <cellStyle name="Procent 2 2 2 8" xfId="29875" xr:uid="{6EB9CFDA-A501-4744-BA65-DE0117D21C07}"/>
    <cellStyle name="Procent 2 2 2 9" xfId="17966" xr:uid="{1EA02A18-C62D-45A9-ADA5-F908D84644DE}"/>
    <cellStyle name="Procent 2 2 3" xfId="12175" xr:uid="{0BEC1357-366E-40B8-A02E-FCDB9847AF1C}"/>
    <cellStyle name="Procent 2 2 3 2" xfId="29887" xr:uid="{1DB9B92A-1107-4295-AE0D-4E5E9979629A}"/>
    <cellStyle name="Procent 2 2 3 2 2" xfId="29888" xr:uid="{CE53EC53-4149-4613-B701-8487F2C6834E}"/>
    <cellStyle name="Procent 2 2 3 3" xfId="29889" xr:uid="{34AFA039-A996-4C39-A355-4CFFD666924D}"/>
    <cellStyle name="Procent 2 2 3 4" xfId="29886" xr:uid="{8139F7C5-B128-4FF8-B8EC-0D9DE7936DA9}"/>
    <cellStyle name="Procent 2 2 4" xfId="11674" xr:uid="{1F881088-7F6E-47C6-BDC1-AC5409A022AC}"/>
    <cellStyle name="Procent 2 2 4 2" xfId="29891" xr:uid="{E2AE0CB0-1B2E-4E9A-83E2-494E82448470}"/>
    <cellStyle name="Procent 2 2 4 3" xfId="29890" xr:uid="{7BAC3600-7163-4A9E-B090-EA05DCC81CCD}"/>
    <cellStyle name="Procent 2 2 5" xfId="11087" xr:uid="{C2799105-18C3-4311-82AD-37F955D8A2AE}"/>
    <cellStyle name="Procent 2 2 5 2" xfId="29893" xr:uid="{47E741A3-3BBE-410B-B8E6-275E7F99BC42}"/>
    <cellStyle name="Procent 2 2 5 3" xfId="46721" xr:uid="{488AF45A-F382-4B10-8E6B-C0CC36BD660E}"/>
    <cellStyle name="Procent 2 2 5 4" xfId="29892" xr:uid="{F7B8D7B0-2031-4C2A-9099-8578A540483E}"/>
    <cellStyle name="Procent 2 2 6" xfId="29894" xr:uid="{39691D03-6B57-4229-8EBD-C548B48A96C3}"/>
    <cellStyle name="Procent 2 2 6 2" xfId="29895" xr:uid="{8B32E218-BAE7-48E5-B4A2-C9162D8524FF}"/>
    <cellStyle name="Procent 2 2 7" xfId="29896" xr:uid="{D85ED352-3585-440A-86E1-0EFBC1ECA652}"/>
    <cellStyle name="Procent 2 2 7 2" xfId="29897" xr:uid="{C8077DB3-D81F-4614-96F7-5663735A310B}"/>
    <cellStyle name="Procent 2 2 8" xfId="29898" xr:uid="{60A3B897-0E17-49BA-AFF7-7C019E185A87}"/>
    <cellStyle name="Procent 2 2 9" xfId="29899" xr:uid="{0A997C7C-0C25-492A-8A66-5A038DE40F52}"/>
    <cellStyle name="Procent 2 20" xfId="29852" xr:uid="{7047463A-543B-48A9-A049-FE13A9E23D6D}"/>
    <cellStyle name="Procent 2 3" xfId="29900" xr:uid="{0C880F08-78CB-41F5-A279-64863A4D6A2E}"/>
    <cellStyle name="Procent 2 3 2" xfId="29901" xr:uid="{F13E1BD4-F375-409A-ACEB-91B698D94AAF}"/>
    <cellStyle name="Procent 2 3 2 2" xfId="29902" xr:uid="{C481DD41-CDD5-48B5-ACD6-CEA8B957B716}"/>
    <cellStyle name="Procent 2 3 2 2 2" xfId="29903" xr:uid="{EBF4D41A-98B8-40F1-8091-A510C362E4AD}"/>
    <cellStyle name="Procent 2 3 2 3" xfId="29904" xr:uid="{BD330549-3331-4446-ABC4-E29B26BF6A5E}"/>
    <cellStyle name="Procent 2 3 2 3 2" xfId="29905" xr:uid="{4CC8F38F-0299-42B7-837D-89D54A385820}"/>
    <cellStyle name="Procent 2 3 2 4" xfId="29906" xr:uid="{3A890444-810A-4F7F-BB78-095D2CF2941C}"/>
    <cellStyle name="Procent 2 3 3" xfId="29907" xr:uid="{61F16D9B-C0E9-4073-AD35-79E2A999D62B}"/>
    <cellStyle name="Procent 2 3 3 2" xfId="29908" xr:uid="{AAC9A153-08A0-4436-8FE0-821302B64633}"/>
    <cellStyle name="Procent 2 3 4" xfId="29909" xr:uid="{75D4ECF0-1DB0-40BD-8D89-A4D85A28E49B}"/>
    <cellStyle name="Procent 2 3 4 2" xfId="29910" xr:uid="{54D60A28-F18E-44BF-99D2-DB8A446EE5C9}"/>
    <cellStyle name="Procent 2 3 5" xfId="29911" xr:uid="{72BE72AA-2780-4A7F-B260-90A6D0E0CE2B}"/>
    <cellStyle name="Procent 2 3 5 2" xfId="29912" xr:uid="{B74060B9-1C3D-4125-BE71-B850BEDF36FE}"/>
    <cellStyle name="Procent 2 3 6" xfId="29913" xr:uid="{D93A9A16-F082-4B12-8A97-51A2F35E893E}"/>
    <cellStyle name="Procent 2 3 6 2" xfId="29914" xr:uid="{DFC801CC-D568-490A-92CE-58C569AB2676}"/>
    <cellStyle name="Procent 2 3 7" xfId="29915" xr:uid="{02DA18A9-A510-488E-942B-F60DB0472D10}"/>
    <cellStyle name="Procent 2 3 7 2" xfId="29916" xr:uid="{58D25ED0-8620-4B48-A5E1-5005D8AD30BC}"/>
    <cellStyle name="Procent 2 3 8" xfId="29917" xr:uid="{5C7BD47B-B15F-4BCA-9F8E-604BC29CEBB7}"/>
    <cellStyle name="Procent 2 4" xfId="29918" xr:uid="{AAE249C8-51D0-42B1-B9E2-5504075F532F}"/>
    <cellStyle name="Procent 2 4 2" xfId="29919" xr:uid="{F888925F-D6EA-4685-8C99-6615BDC2F243}"/>
    <cellStyle name="Procent 2 4 2 2" xfId="29920" xr:uid="{64AAA3E0-A13B-48B5-B262-054FE59F3EF9}"/>
    <cellStyle name="Procent 2 4 2 2 2" xfId="29921" xr:uid="{D896B864-83F4-4A15-B5C2-1E99A9B8BBA9}"/>
    <cellStyle name="Procent 2 4 2 3" xfId="29922" xr:uid="{EC05F3B1-1258-4FE3-83BF-9C7A3E0F13AD}"/>
    <cellStyle name="Procent 2 4 2 3 2" xfId="29923" xr:uid="{DA3191FF-46E4-4624-A151-F165EC208583}"/>
    <cellStyle name="Procent 2 4 2 4" xfId="29924" xr:uid="{ACA6F146-F621-42F9-A577-F385C48B2148}"/>
    <cellStyle name="Procent 2 4 3" xfId="29925" xr:uid="{B97358F5-0BE6-451A-9FEB-4F1A4EDF0B15}"/>
    <cellStyle name="Procent 2 4 3 2" xfId="29926" xr:uid="{E655ADD9-30DD-4BD4-9541-B7E089AB3CF7}"/>
    <cellStyle name="Procent 2 4 4" xfId="29927" xr:uid="{9F975F17-D028-4657-9FF3-D58446380B30}"/>
    <cellStyle name="Procent 2 4 4 2" xfId="29928" xr:uid="{032BC337-54F2-479B-904F-40403259F0DC}"/>
    <cellStyle name="Procent 2 4 5" xfId="29929" xr:uid="{2F03C82B-4B79-4526-B9BC-7C04EC802403}"/>
    <cellStyle name="Procent 2 4 5 2" xfId="29930" xr:uid="{7A82E738-645E-4CAF-A8EF-64F1BF10DB08}"/>
    <cellStyle name="Procent 2 4 6" xfId="29931" xr:uid="{CA65E33A-F845-4151-A46B-5AF6D9A662F7}"/>
    <cellStyle name="Procent 2 4 6 2" xfId="29932" xr:uid="{5A54FB00-C18E-4D1D-9101-E4A83DFA6988}"/>
    <cellStyle name="Procent 2 4 7" xfId="29933" xr:uid="{C181DC75-725A-4209-BF17-BF2F9D082A5C}"/>
    <cellStyle name="Procent 2 4 7 2" xfId="29934" xr:uid="{6677123A-90E9-4E24-83E0-15B83B09AA69}"/>
    <cellStyle name="Procent 2 4 8" xfId="29935" xr:uid="{3ED1DF95-09B1-4B4E-8542-1129D0A7D349}"/>
    <cellStyle name="Procent 2 5" xfId="29936" xr:uid="{919B13CC-3D6B-4F90-BB9D-8B82BFC3CB83}"/>
    <cellStyle name="Procent 2 5 2" xfId="29937" xr:uid="{4764D494-95AA-4FC3-AC22-7E2B31E611AD}"/>
    <cellStyle name="Procent 2 5 2 2" xfId="29938" xr:uid="{895953E2-510C-4894-8273-09BA2AD202B1}"/>
    <cellStyle name="Procent 2 5 2 2 2" xfId="29939" xr:uid="{0202480E-6562-4FA0-9725-EEF06D00C243}"/>
    <cellStyle name="Procent 2 5 2 3" xfId="29940" xr:uid="{7978C54B-9842-4010-99EB-6FAAB64352E9}"/>
    <cellStyle name="Procent 2 5 2 3 2" xfId="29941" xr:uid="{5C5ABEBC-105E-496E-8842-C3BB0A89AC75}"/>
    <cellStyle name="Procent 2 5 2 4" xfId="29942" xr:uid="{A6D95354-A446-4A66-B2C7-11983E6D105C}"/>
    <cellStyle name="Procent 2 5 3" xfId="29943" xr:uid="{183C6519-5A1D-4A61-B977-E392B36E3CCB}"/>
    <cellStyle name="Procent 2 5 3 2" xfId="29944" xr:uid="{08DC73A7-5235-415A-9C39-E52FDDAD7B93}"/>
    <cellStyle name="Procent 2 5 4" xfId="29945" xr:uid="{28EAA38A-12C5-4D9A-A2B0-7EFF760F3AC1}"/>
    <cellStyle name="Procent 2 5 4 2" xfId="29946" xr:uid="{71E24975-FF9E-432E-B2D4-D7A9F66AFCEC}"/>
    <cellStyle name="Procent 2 5 5" xfId="29947" xr:uid="{E80E2971-B402-40C1-ACDB-0A8EC09644D9}"/>
    <cellStyle name="Procent 2 5 5 2" xfId="29948" xr:uid="{2C71A506-D4DC-487C-A8EC-02269FDADFFF}"/>
    <cellStyle name="Procent 2 5 6" xfId="29949" xr:uid="{C50E555A-5421-4DD5-A559-FE3D8618D860}"/>
    <cellStyle name="Procent 2 5 6 2" xfId="29950" xr:uid="{5D9773E7-B40B-465D-B5FB-E285FDF949A3}"/>
    <cellStyle name="Procent 2 6" xfId="29951" xr:uid="{3C39BCBB-4EE0-46AA-928A-B461DBF6DDB4}"/>
    <cellStyle name="Procent 2 6 2" xfId="29952" xr:uid="{D4A83B8F-5128-4810-B792-20D0352DBBAF}"/>
    <cellStyle name="Procent 2 6 2 2" xfId="29953" xr:uid="{93434277-83E4-4B7E-830C-7BF7889CFCF0}"/>
    <cellStyle name="Procent 2 6 2 2 2" xfId="29954" xr:uid="{16EE8FB1-2454-40C0-8D20-30ECF571E296}"/>
    <cellStyle name="Procent 2 6 2 3" xfId="29955" xr:uid="{2FBE3D0C-60EF-410F-B278-B3084AA0D91D}"/>
    <cellStyle name="Procent 2 6 2 3 2" xfId="29956" xr:uid="{FF67C5DB-E8B8-471C-81C3-1EC09662B40C}"/>
    <cellStyle name="Procent 2 6 2 4" xfId="29957" xr:uid="{0896F9B7-33EB-4C6F-9826-7B7B6E8A074F}"/>
    <cellStyle name="Procent 2 6 3" xfId="29958" xr:uid="{61C4C368-E100-46F8-A5D2-AC5A8C807D7C}"/>
    <cellStyle name="Procent 2 6 3 2" xfId="29959" xr:uid="{DD212B0F-2EA5-4762-A9F1-40CDA635EF1D}"/>
    <cellStyle name="Procent 2 6 4" xfId="29960" xr:uid="{9BD1E313-3592-46D9-9F46-59A6F2A1FD8D}"/>
    <cellStyle name="Procent 2 6 4 2" xfId="29961" xr:uid="{58940447-46EE-4543-8EC9-94AD57372548}"/>
    <cellStyle name="Procent 2 6 5" xfId="29962" xr:uid="{B0822D4A-DE9E-430D-82D6-2F8B5F8EC15D}"/>
    <cellStyle name="Procent 2 6 5 2" xfId="29963" xr:uid="{BE5A0B3A-EA5E-48C1-91A9-0A5AA68A86F4}"/>
    <cellStyle name="Procent 2 6 6" xfId="29964" xr:uid="{4EC7F8CB-48E6-4248-8FAD-7837F4075D4E}"/>
    <cellStyle name="Procent 2 7" xfId="29965" xr:uid="{91BECA5E-3F24-4896-9E4F-D546E1B106A4}"/>
    <cellStyle name="Procent 2 7 2" xfId="29966" xr:uid="{EA5E5A1A-2333-49AA-BA32-04044EA1CDE3}"/>
    <cellStyle name="Procent 2 7 2 2" xfId="29967" xr:uid="{F2A8FBD4-33AC-4A04-A289-D0C30031D274}"/>
    <cellStyle name="Procent 2 7 2 2 2" xfId="29968" xr:uid="{FE56A66D-FBC7-44A0-8D32-365C44E310F1}"/>
    <cellStyle name="Procent 2 7 2 3" xfId="29969" xr:uid="{5DD27E1A-912B-4B60-8651-67BD4E8EA5A7}"/>
    <cellStyle name="Procent 2 7 2 3 2" xfId="29970" xr:uid="{606B8075-88B8-4DF6-8850-9C844E63D0C4}"/>
    <cellStyle name="Procent 2 7 2 4" xfId="29971" xr:uid="{7D81E5E7-22CB-4694-9F25-33CD9FAE443C}"/>
    <cellStyle name="Procent 2 7 3" xfId="29972" xr:uid="{491141DD-9B1A-4A42-9602-D877819460EE}"/>
    <cellStyle name="Procent 2 7 3 2" xfId="29973" xr:uid="{65293A09-8547-41AA-AA14-9B03F7BB120F}"/>
    <cellStyle name="Procent 2 7 4" xfId="29974" xr:uid="{D89D87C7-BD59-4283-AB1C-5318C53DF840}"/>
    <cellStyle name="Procent 2 7 4 2" xfId="29975" xr:uid="{B3F366A4-C8C4-41C1-93AF-937B3B8A6618}"/>
    <cellStyle name="Procent 2 7 5" xfId="29976" xr:uid="{A6D33D3B-0C74-41FE-A628-054FB5FDD5A5}"/>
    <cellStyle name="Procent 2 7 5 2" xfId="29977" xr:uid="{30F2C77E-7FEA-4CBA-ACD4-E66763F89650}"/>
    <cellStyle name="Procent 2 7 6" xfId="29978" xr:uid="{590FD92E-7D75-43CE-B9AD-13D078AFBF04}"/>
    <cellStyle name="Procent 2 8" xfId="29979" xr:uid="{373DB256-D47E-43C2-B050-B21155436E67}"/>
    <cellStyle name="Procent 2 8 2" xfId="29980" xr:uid="{81E7527C-A153-4880-820B-35D522F58978}"/>
    <cellStyle name="Procent 2 8 2 2" xfId="29981" xr:uid="{28935BC2-9A38-4772-8143-4CBFD7F4E3A3}"/>
    <cellStyle name="Procent 2 8 2 2 2" xfId="29982" xr:uid="{2F03B884-6C18-4300-AA4B-D00BA6DF8B41}"/>
    <cellStyle name="Procent 2 8 2 3" xfId="29983" xr:uid="{EA54FA37-C165-43FD-9D00-B83966110FA7}"/>
    <cellStyle name="Procent 2 8 2 3 2" xfId="29984" xr:uid="{07B85976-D024-4508-BED8-66CF341386A7}"/>
    <cellStyle name="Procent 2 8 2 4" xfId="29985" xr:uid="{AE792D85-1B62-4F80-B647-DDAD956D7F9F}"/>
    <cellStyle name="Procent 2 8 3" xfId="29986" xr:uid="{08BFF2C0-9DE3-4B93-881C-A6648DF1B3FB}"/>
    <cellStyle name="Procent 2 8 3 2" xfId="29987" xr:uid="{BAB9A3CA-2331-4870-9BA6-D0490C4379E9}"/>
    <cellStyle name="Procent 2 8 4" xfId="29988" xr:uid="{4B4B57B2-5DBC-46D5-8CE8-89AD50E1FC00}"/>
    <cellStyle name="Procent 2 8 4 2" xfId="29989" xr:uid="{EBB82BE8-EEC8-4CFE-BE91-8431865BCA45}"/>
    <cellStyle name="Procent 2 8 5" xfId="29990" xr:uid="{F1E4B206-FE11-4B01-9210-DD2C563543FA}"/>
    <cellStyle name="Procent 2 8 5 2" xfId="29991" xr:uid="{FED32EF9-7574-432A-AEE7-1CCBE46951E8}"/>
    <cellStyle name="Procent 2 8 6" xfId="29992" xr:uid="{C249978E-1A13-4E76-B82B-1AADD603F67C}"/>
    <cellStyle name="Procent 2 9" xfId="29993" xr:uid="{FFEF7D85-6D27-4883-B856-9FAFFE08B4DB}"/>
    <cellStyle name="Procent 2 9 2" xfId="29994" xr:uid="{45F5DB0A-7A01-4048-A5BB-8FF8FE107D36}"/>
    <cellStyle name="Procent 2 9 2 2" xfId="29995" xr:uid="{29776308-03C1-4B42-8E54-21F1C1C8EE29}"/>
    <cellStyle name="Procent 2 9 3" xfId="29996" xr:uid="{24874715-DDB7-4C66-BC55-F5143FE09CBF}"/>
    <cellStyle name="Procent 2 9 3 2" xfId="29997" xr:uid="{5AA73F69-B6EB-4FE9-93DC-5B6E3838F26B}"/>
    <cellStyle name="Procent 2 9 4" xfId="29998" xr:uid="{9DDE2AD9-9564-4935-8F20-E40B9D22E8CE}"/>
    <cellStyle name="Procent 3" xfId="2526" xr:uid="{00000000-0005-0000-0000-0000CD090000}"/>
    <cellStyle name="Procent 3 2" xfId="2527" xr:uid="{00000000-0005-0000-0000-0000CE090000}"/>
    <cellStyle name="Procent 3 2 2" xfId="12176" xr:uid="{83DD441B-D5AA-4441-A73E-2C423A721EBD}"/>
    <cellStyle name="Procent 3 2 2 2" xfId="30002" xr:uid="{458EEEB6-A995-4F13-B694-5D6257E5A75D}"/>
    <cellStyle name="Procent 3 2 2 3" xfId="30001" xr:uid="{E2ED05DC-1F9D-46C9-A8B8-AAF6CE19E5B4}"/>
    <cellStyle name="Procent 3 2 3" xfId="11576" xr:uid="{9D357626-2B35-485A-9F0F-89108B8C16C5}"/>
    <cellStyle name="Procent 3 2 3 2" xfId="30004" xr:uid="{8893B062-2203-4C2C-8345-A4A6B128D258}"/>
    <cellStyle name="Procent 3 2 3 3" xfId="30003" xr:uid="{05DCA17C-E43E-4B6C-A2CF-97E8977F06FA}"/>
    <cellStyle name="Procent 3 2 4" xfId="11089" xr:uid="{A531EE14-C0F8-4EB0-BC34-2A2CB2848806}"/>
    <cellStyle name="Procent 3 2 4 2" xfId="46266" xr:uid="{802BFF37-9349-4D9D-8605-B2F04B46EC70}"/>
    <cellStyle name="Procent 3 2 4 3" xfId="30005" xr:uid="{672BDF0B-C25B-40DE-9B89-F36393F73916}"/>
    <cellStyle name="Procent 3 2 5" xfId="30006" xr:uid="{86F648F7-7C6B-4CCC-81BF-A89BF00C7658}"/>
    <cellStyle name="Procent 3 2 6" xfId="30007" xr:uid="{A3964EFE-CF2D-4CDD-994C-4472C29B92EE}"/>
    <cellStyle name="Procent 3 2 7" xfId="30000" xr:uid="{CE3B1BD7-8389-48DC-BD91-B77A9EAA5ECA}"/>
    <cellStyle name="Procent 3 2 8" xfId="17968" xr:uid="{80227780-CF48-49B8-9F15-0D2D76027E5A}"/>
    <cellStyle name="Procent 3 2 9" xfId="9588" xr:uid="{551C5B3F-ECF7-4BE7-B2AA-2072332325F6}"/>
    <cellStyle name="Procent 3 3" xfId="4522" xr:uid="{2BE8DBFD-9061-48F6-B3D5-F878BE6E63E6}"/>
    <cellStyle name="Procent 3 3 2" xfId="30009" xr:uid="{5E06114F-80F2-4C0C-8A56-3AB6ABC312A6}"/>
    <cellStyle name="Procent 3 3 3" xfId="30008" xr:uid="{B408034F-4F2E-4DD8-B497-8159A9CC6BE6}"/>
    <cellStyle name="Procent 3 4" xfId="11575" xr:uid="{FC3ED7C2-8D0B-4481-824B-18B889DA868B}"/>
    <cellStyle name="Procent 3 4 2" xfId="30011" xr:uid="{B36EB40D-E303-4C49-81EE-E50378174570}"/>
    <cellStyle name="Procent 3 4 3" xfId="30010" xr:uid="{EBD081BB-C55C-4FA3-A4DF-C7AAD7D3CC09}"/>
    <cellStyle name="Procent 3 5" xfId="11088" xr:uid="{D5630E4A-390E-422D-A02E-B68FD22E548B}"/>
    <cellStyle name="Procent 3 5 2" xfId="30012" xr:uid="{E74B0E73-2EC3-49B5-B580-64179786CC11}"/>
    <cellStyle name="Procent 3 5 3" xfId="17967" xr:uid="{D8CFBE47-AA25-4A2D-899B-3BDB6DCB2276}"/>
    <cellStyle name="Procent 3 6" xfId="30013" xr:uid="{611CC7AC-FD21-4300-BBB8-64945D550D16}"/>
    <cellStyle name="Procent 3 7" xfId="30014" xr:uid="{75D1750D-AFFB-4A2E-8612-9961B0AA4298}"/>
    <cellStyle name="Procent 3 8" xfId="30015" xr:uid="{69F4D324-74D4-4471-A252-9C45178FB95A}"/>
    <cellStyle name="Procent 3 9" xfId="29999" xr:uid="{5EF5E4E3-B3AC-4D71-9F0A-A1EE9889B7AF}"/>
    <cellStyle name="Procent 4" xfId="9589" xr:uid="{0DF71F8C-7080-47B8-AA89-C63CA0E161CF}"/>
    <cellStyle name="Procent 4 10" xfId="18156" xr:uid="{08C1DADA-1E4F-4999-B8D7-CE9A1DDF0150}"/>
    <cellStyle name="Procent 4 2" xfId="9590" xr:uid="{10C70833-3B60-4168-95A0-EA542C6F7ECF}"/>
    <cellStyle name="Procent 4 2 2" xfId="10052" xr:uid="{375D6BE4-6D6F-44E5-8C6B-78F3C285CC1E}"/>
    <cellStyle name="Procent 4 2 2 2" xfId="10360" xr:uid="{D4D4334E-65BD-48AB-BC97-74BC4E1872F4}"/>
    <cellStyle name="Procent 4 2 2 2 2" xfId="12813" xr:uid="{95F8E065-E412-4DD6-987A-C940593B434D}"/>
    <cellStyle name="Procent 4 2 2 2 2 2" xfId="47171" xr:uid="{BCD184D0-7990-45E2-A91A-650982498673}"/>
    <cellStyle name="Procent 4 2 2 2 2 3" xfId="30019" xr:uid="{0AE0178A-8C8A-4061-9FB4-8CB1385134D6}"/>
    <cellStyle name="Procent 4 2 2 2 3" xfId="18910" xr:uid="{3889949B-2882-4269-AB1E-CBE48540074D}"/>
    <cellStyle name="Procent 4 2 2 3" xfId="12512" xr:uid="{E10135E2-A2CB-476E-BA52-8C2E301CA89C}"/>
    <cellStyle name="Procent 4 2 2 3 2" xfId="25086" xr:uid="{DC665F45-91DD-44D8-A824-98904657689A}"/>
    <cellStyle name="Procent 4 2 2 3 3" xfId="30020" xr:uid="{AAFD6543-8090-4BCB-98F9-F6641FCE3CE3}"/>
    <cellStyle name="Procent 4 2 2 4" xfId="30018" xr:uid="{A981ABDB-7CE9-4E94-A5D4-C19F226FC13E}"/>
    <cellStyle name="Procent 4 2 2 5" xfId="18761" xr:uid="{2F590C88-E27C-4206-9216-39CA18957EC3}"/>
    <cellStyle name="Procent 4 2 3" xfId="10126" xr:uid="{516A3AF8-1C6F-4931-94B5-E1B768E0589D}"/>
    <cellStyle name="Procent 4 2 3 2" xfId="10440" xr:uid="{20B544AF-F990-46C6-925D-BB5BD47699E1}"/>
    <cellStyle name="Procent 4 2 3 2 2" xfId="12893" xr:uid="{D2819FA4-2335-451F-8DA7-4F0CC1E5B117}"/>
    <cellStyle name="Procent 4 2 3 2 2 2" xfId="48055" xr:uid="{2F5D1A93-93A2-4F72-9236-BDC32F52CEB9}"/>
    <cellStyle name="Procent 4 2 3 2 2 3" xfId="30022" xr:uid="{19B50473-4E0D-40BF-9B9C-5CE986D7DAF5}"/>
    <cellStyle name="Procent 4 2 3 2 3" xfId="18952" xr:uid="{3AE00863-D88C-4082-A19F-07204EB6FC85}"/>
    <cellStyle name="Procent 4 2 3 3" xfId="12583" xr:uid="{993F53D7-5325-492E-BA91-E636D11B07BD}"/>
    <cellStyle name="Procent 4 2 3 3 2" xfId="47165" xr:uid="{BA63B904-14D6-4BC6-A4E2-7DB99B58D900}"/>
    <cellStyle name="Procent 4 2 3 3 3" xfId="30021" xr:uid="{B9E4ECCC-773A-4513-A169-89CFD8CD20F6}"/>
    <cellStyle name="Procent 4 2 3 4" xfId="18794" xr:uid="{76CA0586-1A00-4874-93C9-1A8F37C69E15}"/>
    <cellStyle name="Procent 4 2 4" xfId="10206" xr:uid="{3551AE42-EDD3-40C9-AE18-FFC5F682B011}"/>
    <cellStyle name="Procent 4 2 4 2" xfId="10520" xr:uid="{8DE3CAE9-213D-4F7F-8F0E-8CCC011C2659}"/>
    <cellStyle name="Procent 4 2 4 2 2" xfId="12973" xr:uid="{9A761622-6B18-441B-879E-18209D6EC1D7}"/>
    <cellStyle name="Procent 4 2 4 2 2 2" xfId="47103" xr:uid="{3ED0EF7D-0A65-4BDD-BAC2-64293533A886}"/>
    <cellStyle name="Procent 4 2 4 2 3" xfId="18994" xr:uid="{70C4E671-FFCF-408C-8390-2E93B5435450}"/>
    <cellStyle name="Procent 4 2 4 3" xfId="12659" xr:uid="{E82B1949-4F34-4CBB-A8A9-E50D6DDF79A6}"/>
    <cellStyle name="Procent 4 2 4 3 2" xfId="24695" xr:uid="{351D90B1-EDF5-45DA-9801-8ABABA07B1C2}"/>
    <cellStyle name="Procent 4 2 4 3 3" xfId="30023" xr:uid="{C8702F7F-12DE-414A-9A63-133813D1A1CB}"/>
    <cellStyle name="Procent 4 2 4 4" xfId="18832" xr:uid="{A7F4B115-EEA3-4652-9B77-A0D76964ECA0}"/>
    <cellStyle name="Procent 4 2 5" xfId="10286" xr:uid="{56F05D8C-F3DB-43E2-8F93-86B8AE0E071E}"/>
    <cellStyle name="Procent 4 2 5 2" xfId="12739" xr:uid="{A0707387-89B9-410E-A379-C4433904E795}"/>
    <cellStyle name="Procent 4 2 5 2 2" xfId="48339" xr:uid="{06BC8B4D-5D19-4BA4-BFCC-A8B3A57C5F9A}"/>
    <cellStyle name="Procent 4 2 5 2 3" xfId="30024" xr:uid="{72A5ABC9-6046-41DF-97E6-566DC0553BDD}"/>
    <cellStyle name="Procent 4 2 5 3" xfId="18874" xr:uid="{1097FA63-F42D-44DF-B102-2688862B9A7C}"/>
    <cellStyle name="Procent 4 2 6" xfId="10600" xr:uid="{CE797CC0-D120-4238-BEFF-4AFDA1F7ED8A}"/>
    <cellStyle name="Procent 4 2 6 2" xfId="13053" xr:uid="{D17FCDC0-E67A-4B40-878B-689910EC24BA}"/>
    <cellStyle name="Procent 4 2 6 2 2" xfId="46388" xr:uid="{48B4DF2F-ECFA-4F77-A09E-89D140FEAC7F}"/>
    <cellStyle name="Procent 4 2 6 3" xfId="19036" xr:uid="{BCE2E6A1-EEE6-4035-B316-70FD283B9DFC}"/>
    <cellStyle name="Procent 4 2 7" xfId="11675" xr:uid="{A0052799-7D57-405A-BD66-1A0F7F16A4B8}"/>
    <cellStyle name="Procent 4 2 7 2" xfId="46731" xr:uid="{C1412964-721A-4CAB-A4DC-BA2C4074E065}"/>
    <cellStyle name="Procent 4 2 7 3" xfId="30017" xr:uid="{44A36D65-7381-4D9F-969D-E29590D3CD44}"/>
    <cellStyle name="Procent 4 2 8" xfId="18297" xr:uid="{6013F72E-3E9B-4737-A272-63E563579C9A}"/>
    <cellStyle name="Procent 4 3" xfId="10051" xr:uid="{A3B26B35-3639-4916-9D6C-A8D8A8E70F71}"/>
    <cellStyle name="Procent 4 3 2" xfId="10359" xr:uid="{01F59474-4958-418D-910E-AC8F93808CC5}"/>
    <cellStyle name="Procent 4 3 2 2" xfId="12812" xr:uid="{12ED31E7-8D9E-40BB-A788-4620683B0AEE}"/>
    <cellStyle name="Procent 4 3 2 2 2" xfId="46798" xr:uid="{A5CE1AAD-8EF9-4DCA-8A57-A488E47C6DA0}"/>
    <cellStyle name="Procent 4 3 2 2 3" xfId="30026" xr:uid="{DB278022-156E-4FF6-9523-08968963F583}"/>
    <cellStyle name="Procent 4 3 2 3" xfId="18909" xr:uid="{C0293427-9852-43A3-8501-69B1AB88D293}"/>
    <cellStyle name="Procent 4 3 3" xfId="12511" xr:uid="{DFF12268-AF5A-4E6C-82EB-97893A4F1555}"/>
    <cellStyle name="Procent 4 3 3 2" xfId="47089" xr:uid="{F45B4D55-3092-441F-9055-868DD260E46B}"/>
    <cellStyle name="Procent 4 3 3 3" xfId="30027" xr:uid="{EDF6F2EF-C101-40A4-A1F6-D6494FB8792E}"/>
    <cellStyle name="Procent 4 3 4" xfId="30025" xr:uid="{46619F23-F2C4-46FB-ACB4-45F807781C13}"/>
    <cellStyle name="Procent 4 3 5" xfId="18760" xr:uid="{D6E66EA0-D8E8-4B3F-B6C9-845E00ADF54F}"/>
    <cellStyle name="Procent 4 4" xfId="10125" xr:uid="{D5C72FA3-7089-4DE1-8A20-C9E7904FC229}"/>
    <cellStyle name="Procent 4 4 2" xfId="10439" xr:uid="{66E565F7-66CF-4ECF-81A6-566907327E11}"/>
    <cellStyle name="Procent 4 4 2 2" xfId="12892" xr:uid="{4B056D01-E2C3-4B72-8514-281BA1DC79F0}"/>
    <cellStyle name="Procent 4 4 2 2 2" xfId="46806" xr:uid="{1272EC7D-0153-4DAA-9691-973BAB7B0155}"/>
    <cellStyle name="Procent 4 4 2 2 3" xfId="30029" xr:uid="{D88B011F-19ED-4C17-889C-B96FCB88B599}"/>
    <cellStyle name="Procent 4 4 2 3" xfId="18951" xr:uid="{D80953D8-8D0D-4D8C-A492-5F9135E88CF7}"/>
    <cellStyle name="Procent 4 4 3" xfId="12582" xr:uid="{55CFD67D-ACE3-4CAB-917C-DEADAD3CADDE}"/>
    <cellStyle name="Procent 4 4 3 2" xfId="46770" xr:uid="{6E9A6ED3-A58B-485B-98EE-A046EF5EEFC4}"/>
    <cellStyle name="Procent 4 4 3 3" xfId="30028" xr:uid="{B98565B7-AE58-4638-B8BC-E5CB1CB41B81}"/>
    <cellStyle name="Procent 4 4 4" xfId="18793" xr:uid="{4DAD576E-6F72-4C7E-8EFC-480DE40B0F9B}"/>
    <cellStyle name="Procent 4 5" xfId="10205" xr:uid="{5417C698-7E3A-4088-829D-4186EE818D30}"/>
    <cellStyle name="Procent 4 5 2" xfId="10519" xr:uid="{EF705B47-9768-4BCB-82D9-64791F03462C}"/>
    <cellStyle name="Procent 4 5 2 2" xfId="12972" xr:uid="{C75B27A5-C76F-4FE9-BC83-C37D89C572F8}"/>
    <cellStyle name="Procent 4 5 2 2 2" xfId="47102" xr:uid="{CD7841FE-596C-4A2F-AC88-960A179EC3ED}"/>
    <cellStyle name="Procent 4 5 2 2 3" xfId="30031" xr:uid="{409D7773-EE12-4B9C-B404-472510771091}"/>
    <cellStyle name="Procent 4 5 2 3" xfId="18993" xr:uid="{B3DC5CAB-E6DE-4C4F-B24B-0FD8922451CF}"/>
    <cellStyle name="Procent 4 5 3" xfId="12658" xr:uid="{77B469D5-A252-44F0-8470-88D16968AC11}"/>
    <cellStyle name="Procent 4 5 3 2" xfId="46781" xr:uid="{E0A3ABCB-3585-4C13-87B6-A0B1EADEDB09}"/>
    <cellStyle name="Procent 4 5 3 3" xfId="30030" xr:uid="{931BC5B0-49F8-4641-976B-05D581EB15DD}"/>
    <cellStyle name="Procent 4 5 4" xfId="18831" xr:uid="{07FBF471-1727-43B1-A1E2-71A7FCC343F4}"/>
    <cellStyle name="Procent 4 6" xfId="10285" xr:uid="{E152A111-A738-493C-A005-A91491814DC7}"/>
    <cellStyle name="Procent 4 6 2" xfId="12738" xr:uid="{19926A0C-09CD-4485-8D4E-799F3A3F9BDD}"/>
    <cellStyle name="Procent 4 6 2 2" xfId="46787" xr:uid="{7C9E4A05-23B8-4EBE-BECD-D33262F7411E}"/>
    <cellStyle name="Procent 4 6 2 3" xfId="30032" xr:uid="{04D815CA-FFA9-419E-B561-98F2310E2181}"/>
    <cellStyle name="Procent 4 6 3" xfId="18873" xr:uid="{862E12E9-D551-4DD3-B290-C1F6E54DDF5E}"/>
    <cellStyle name="Procent 4 7" xfId="10599" xr:uid="{3B25E2D4-9138-46F9-BD32-BFFCD28A8C00}"/>
    <cellStyle name="Procent 4 7 2" xfId="13052" xr:uid="{3CD59FF7-1D01-43CE-B1A9-5D8A41794FCD}"/>
    <cellStyle name="Procent 4 7 2 2" xfId="46387" xr:uid="{DF9D285F-4F7F-49D4-A3D0-F324E6D2AF71}"/>
    <cellStyle name="Procent 4 7 2 3" xfId="30033" xr:uid="{3241309B-8C72-4873-9730-ADBABE059870}"/>
    <cellStyle name="Procent 4 7 3" xfId="19035" xr:uid="{5CEBF075-A020-481E-BB7D-7C65640BA747}"/>
    <cellStyle name="Procent 4 8" xfId="13299" xr:uid="{9EC2D9CD-250E-4178-AE6F-63896C80988C}"/>
    <cellStyle name="Procent 4 9" xfId="11577" xr:uid="{ADE3A4B4-BD0D-40EE-9B3F-62365F465B2C}"/>
    <cellStyle name="Procent 4 9 2" xfId="48329" xr:uid="{B93D573B-1777-47C6-A4B4-593DF3FEA3C1}"/>
    <cellStyle name="Procent 4 9 3" xfId="30016" xr:uid="{E0ABAFF8-83C2-473E-B16F-56657971136A}"/>
    <cellStyle name="Procent 5" xfId="30034" xr:uid="{639A1DDB-D33E-40C1-AA8D-85114A2A8BB5}"/>
    <cellStyle name="Procent 5 2" xfId="30035" xr:uid="{F85F8E8F-7E91-4188-836D-08849F1F7F73}"/>
    <cellStyle name="Procent 5 2 2" xfId="30036" xr:uid="{2EA166EE-4E64-4A66-96C1-4F20A08F4600}"/>
    <cellStyle name="Procent 5 2 2 2" xfId="30037" xr:uid="{D447EB36-738E-47AA-BFEF-0A3773EA7D6B}"/>
    <cellStyle name="Procent 5 2 3" xfId="30038" xr:uid="{85BF1A97-722F-4E77-9B0B-F4F2340A7ED9}"/>
    <cellStyle name="Procent 5 2 3 2" xfId="30039" xr:uid="{84914794-81EB-4B3E-AB6C-970ED65D5E74}"/>
    <cellStyle name="Procent 5 2 4" xfId="30040" xr:uid="{2CEEA6EE-64D7-4FEA-A94F-6ECFE6849AE1}"/>
    <cellStyle name="Procent 5 3" xfId="30041" xr:uid="{53B1DCE5-1024-4841-B0A7-BB1F4BAB33E4}"/>
    <cellStyle name="Procent 5 3 2" xfId="30042" xr:uid="{05E67F03-883B-4D23-B4D2-7869CBFAC36E}"/>
    <cellStyle name="Procent 5 4" xfId="30043" xr:uid="{1A09C049-F9D4-4CAE-A0DA-57949A451405}"/>
    <cellStyle name="Procent 5 4 2" xfId="30044" xr:uid="{1952C118-F9CD-4FAB-9408-13D3215382A3}"/>
    <cellStyle name="Procent 5 5" xfId="30045" xr:uid="{3D95E014-A704-4344-97E2-F5798B2C8485}"/>
    <cellStyle name="Procent 5 5 2" xfId="30046" xr:uid="{1C870F39-5D36-42BE-AF60-56DEC3D61BF1}"/>
    <cellStyle name="Procent 5 6" xfId="30047" xr:uid="{28F5C5D8-E8AA-4EC8-BB0E-A14A62DFE1B6}"/>
    <cellStyle name="Procent 5 7" xfId="30048" xr:uid="{2C948872-AE63-457A-B6D0-13B187825BAF}"/>
    <cellStyle name="Procent 6" xfId="30049" xr:uid="{D3FF06F0-00DA-4850-9242-64836C988CCA}"/>
    <cellStyle name="Procent 6 2" xfId="30050" xr:uid="{839FA2C7-4447-4194-87CB-644BC2140B5D}"/>
    <cellStyle name="Procent 6 2 2" xfId="30051" xr:uid="{14AA50F6-8D41-4335-9055-CD517521674F}"/>
    <cellStyle name="Procent 6 2 2 2" xfId="30052" xr:uid="{9E389380-5012-4CF0-8860-98E58BF3C598}"/>
    <cellStyle name="Procent 6 2 3" xfId="30053" xr:uid="{DBDFB87E-DD08-4F66-9CBA-28484666E3DF}"/>
    <cellStyle name="Procent 6 2 3 2" xfId="30054" xr:uid="{94D59889-88AE-4391-91D7-9092C6D179DF}"/>
    <cellStyle name="Procent 6 2 4" xfId="30055" xr:uid="{B254A72B-E850-4280-A040-F4ECA1B38A91}"/>
    <cellStyle name="Procent 6 3" xfId="30056" xr:uid="{ADDECBD6-59E6-4E23-8A60-D9BE87AFB2BE}"/>
    <cellStyle name="Procent 6 3 2" xfId="30057" xr:uid="{58D4C950-9B64-498F-B7DD-609FADE61B91}"/>
    <cellStyle name="Procent 6 4" xfId="30058" xr:uid="{AB265F7E-8A02-4C4B-A1D6-B84290D2EF35}"/>
    <cellStyle name="Procent 6 4 2" xfId="30059" xr:uid="{479479C1-A248-45D1-8495-28A1856D784A}"/>
    <cellStyle name="Procent 6 5" xfId="30060" xr:uid="{B89BACFA-A89B-4343-824B-E891054EA383}"/>
    <cellStyle name="Procent 6 5 2" xfId="30061" xr:uid="{4ACF94DA-F0CE-42B5-A7E6-57E14E5D9C81}"/>
    <cellStyle name="Procent 6 6" xfId="30062" xr:uid="{8DA0B8E3-7811-4BC8-83FA-F5C8420DC977}"/>
    <cellStyle name="Procent 7" xfId="30063" xr:uid="{A81ED623-30A6-47A2-BF52-3026633E7FC7}"/>
    <cellStyle name="Procent 7 2" xfId="30064" xr:uid="{C2E0BF96-6874-4E28-8054-6505B4645967}"/>
    <cellStyle name="Procent 7 2 2" xfId="30065" xr:uid="{640EA493-7C1A-41B7-8A42-BD2D303D9F4D}"/>
    <cellStyle name="Procent 7 2 2 2" xfId="30066" xr:uid="{AD0C490D-A202-4A1F-B032-11690CCE09D1}"/>
    <cellStyle name="Procent 7 2 3" xfId="30067" xr:uid="{F1E8B8D9-828A-476C-9FAE-1D124DFA65C6}"/>
    <cellStyle name="Procent 7 2 3 2" xfId="30068" xr:uid="{A06FB2F5-DF98-4FA8-B546-5903150B4B54}"/>
    <cellStyle name="Procent 7 2 4" xfId="30069" xr:uid="{A66402E8-DE5B-454C-867C-A0DD6DDD6911}"/>
    <cellStyle name="Procent 7 3" xfId="30070" xr:uid="{F3E8304D-D094-456D-8C04-CC15124106E6}"/>
    <cellStyle name="Procent 7 3 2" xfId="30071" xr:uid="{1D528FE4-84DA-4D53-91BB-CA57A902086B}"/>
    <cellStyle name="Procent 7 4" xfId="30072" xr:uid="{1AFF626F-AA4F-46D1-BAE1-3E575A9164AC}"/>
    <cellStyle name="Procent 7 4 2" xfId="30073" xr:uid="{0AE49FD0-12A4-4AFD-A7AC-B68022FC03A5}"/>
    <cellStyle name="Procent 7 5" xfId="30074" xr:uid="{40F97892-2904-4265-B67B-86182F246657}"/>
    <cellStyle name="Procent 7 5 2" xfId="30075" xr:uid="{D444EE48-8D4F-4F3E-9C91-B8D59136A6A0}"/>
    <cellStyle name="Procent 7 6" xfId="30076" xr:uid="{E170AFC8-D1BB-4509-9460-77CD40C4721D}"/>
    <cellStyle name="Procent 8" xfId="30077" xr:uid="{D925AC30-1CFD-4653-AE2A-5AE0011550F2}"/>
    <cellStyle name="Procent 8 2" xfId="30078" xr:uid="{E59F35F5-9CAC-4522-916F-0AA9D847EAAB}"/>
    <cellStyle name="Procent 8 2 2" xfId="30079" xr:uid="{04D780AC-B24F-4B8C-AE19-8524AAD89A95}"/>
    <cellStyle name="Procent 8 2 2 2" xfId="30080" xr:uid="{A73B0612-8DF8-42C7-B527-FB28FD5FFEE9}"/>
    <cellStyle name="Procent 8 2 3" xfId="30081" xr:uid="{16B33988-35B5-4EAF-8D6A-6EC3DF0D41B7}"/>
    <cellStyle name="Procent 8 2 3 2" xfId="30082" xr:uid="{68FFC9DA-0C19-4BE6-9E72-539EB4B49E2B}"/>
    <cellStyle name="Procent 8 2 4" xfId="30083" xr:uid="{C9548408-741B-4BD7-B00B-58632F7E03B1}"/>
    <cellStyle name="Procent 8 3" xfId="30084" xr:uid="{92C174E8-BA94-45E4-B47A-74ECF3DB6CCC}"/>
    <cellStyle name="Procent 8 3 2" xfId="30085" xr:uid="{61A51746-9A90-4E71-AD4D-AAD4AAEBBC4B}"/>
    <cellStyle name="Procent 8 4" xfId="30086" xr:uid="{AAB980B0-8852-4C54-AE02-84339257867D}"/>
    <cellStyle name="Procent 8 4 2" xfId="30087" xr:uid="{BA3AF683-C738-4112-B5CF-9DF67EAB11B6}"/>
    <cellStyle name="Procent 8 5" xfId="30088" xr:uid="{6EA00A2F-B1A4-4C2E-B31F-C02D0EBE9DAC}"/>
    <cellStyle name="Procent 9" xfId="30089" xr:uid="{BFF66A3A-B61D-4D88-A19C-1D814DB9BABA}"/>
    <cellStyle name="Procent 9 2" xfId="30090" xr:uid="{3D13BF7D-AC48-4F66-81FC-177679271C2B}"/>
    <cellStyle name="Procent 9 2 2" xfId="30091" xr:uid="{F07918C9-21B9-4F3B-B343-F56721D1263D}"/>
    <cellStyle name="Procent 9 3" xfId="30092" xr:uid="{04227543-D995-474A-A02D-5149ABA0CE15}"/>
    <cellStyle name="Procent 9 3 2" xfId="30093" xr:uid="{4E428235-43E6-4C0B-B6B6-64BF67E988B2}"/>
    <cellStyle name="Procent 9 4" xfId="30094" xr:uid="{4BAD8124-3553-4D2D-8DAE-27FF1CEF6237}"/>
    <cellStyle name="SAPBEXaggData" xfId="32555" xr:uid="{5B040B63-A398-4F69-B92B-F488C7965FE5}"/>
    <cellStyle name="SAPBEXaggDataEmph" xfId="32556" xr:uid="{6C1ECABC-8312-4226-B8EA-49B7A2D46652}"/>
    <cellStyle name="SAPBEXaggItem" xfId="32557" xr:uid="{E85EBBCD-22D8-44BF-A867-542E48C18F4E}"/>
    <cellStyle name="SAPBEXaggItemX" xfId="32558" xr:uid="{7CFEA90E-9B53-4AF1-8660-5219F3F12FB4}"/>
    <cellStyle name="SAPBEXchaText" xfId="32559" xr:uid="{254F8BCD-4C2C-44C4-AC23-06795267E3EC}"/>
    <cellStyle name="SAPBEXexcBad" xfId="32560" xr:uid="{43F4D806-F18F-4802-8694-642A3E1EC3B0}"/>
    <cellStyle name="SAPBEXexcBad7" xfId="32561" xr:uid="{01AA113F-AE3A-4AFB-9AAD-190A7EFBA26C}"/>
    <cellStyle name="SAPBEXexcBad8" xfId="32562" xr:uid="{434AC0EF-0F90-4EFE-976B-FBAF1565057C}"/>
    <cellStyle name="SAPBEXexcBad9" xfId="32563" xr:uid="{072EAE30-7C7A-4CA7-A44B-74B110A5E6C1}"/>
    <cellStyle name="SAPBEXexcCritical" xfId="32564" xr:uid="{43ACB463-E5B4-47B4-8320-0ABD473AB423}"/>
    <cellStyle name="SAPBEXexcCritical4" xfId="32565" xr:uid="{D365594C-9D31-4C38-9FBF-792BB4CBAAD6}"/>
    <cellStyle name="SAPBEXexcCritical5" xfId="32566" xr:uid="{1E843E4E-7991-4480-A212-E6D597CE1E1C}"/>
    <cellStyle name="SAPBEXexcCritical6" xfId="32567" xr:uid="{1E6B65FB-5530-475F-A47D-30997ACF905D}"/>
    <cellStyle name="SAPBEXexcGood" xfId="32568" xr:uid="{9687E2B6-7CE6-465F-8D05-194430800BEE}"/>
    <cellStyle name="SAPBEXexcGood1" xfId="32569" xr:uid="{A1F1623C-BD56-424E-9AD1-71F490B2DC80}"/>
    <cellStyle name="SAPBEXexcGood2" xfId="32570" xr:uid="{1D7524FA-C041-445B-93A8-39055F45F0E1}"/>
    <cellStyle name="SAPBEXexcGood3" xfId="32571" xr:uid="{A1780438-A0B3-46CB-893A-827D919CDF3F}"/>
    <cellStyle name="SAPBEXexcVeryBad" xfId="32572" xr:uid="{CA0078C6-28E5-4F24-802E-0923FB60A18E}"/>
    <cellStyle name="SAPBEXfilterDrill" xfId="32573" xr:uid="{E11743F9-04DA-4B07-A7AC-BBE9AEF07117}"/>
    <cellStyle name="SAPBEXfilterItem" xfId="32574" xr:uid="{A08FEA3D-F4A6-41CB-B228-BD473E476FBF}"/>
    <cellStyle name="SAPBEXfilterText" xfId="32575" xr:uid="{EC43E546-1216-4A04-8AC8-772E5DA8F59F}"/>
    <cellStyle name="SAPBEXformats" xfId="32576" xr:uid="{6CD76F1F-E6DA-487E-A868-629D0E1F36C2}"/>
    <cellStyle name="SAPBEXheaderData" xfId="32577" xr:uid="{6BB12F0A-415A-4AD7-BA69-9EE86B5903A3}"/>
    <cellStyle name="SAPBEXheaderItem" xfId="32578" xr:uid="{AAD6D8FB-A65D-48FE-8B3C-D9981DD07121}"/>
    <cellStyle name="SAPBEXheaderText" xfId="32579" xr:uid="{2E51958C-25FF-49D8-9547-DDF036F5659D}"/>
    <cellStyle name="SAPBEXHLevel0" xfId="32580" xr:uid="{B8CE159D-BE7B-4775-90E4-A8B5FADCFE1E}"/>
    <cellStyle name="SAPBEXHLevel0X" xfId="32581" xr:uid="{E2B11A54-1AA2-45F2-9C2D-BFC9058FD76D}"/>
    <cellStyle name="SAPBEXHLevel1" xfId="32582" xr:uid="{6F6006F3-A1F4-4EAC-B0DC-9B00C194C1F9}"/>
    <cellStyle name="SAPBEXHLevel1X" xfId="32583" xr:uid="{0AD658B6-DDF4-4C89-8BEE-9330A793472D}"/>
    <cellStyle name="SAPBEXHLevel2" xfId="32584" xr:uid="{C447B12A-94A3-46FE-AA6C-78BF615F1AFA}"/>
    <cellStyle name="SAPBEXHLevel2X" xfId="32585" xr:uid="{776B0193-61E5-435B-8516-0FEDC8163F17}"/>
    <cellStyle name="SAPBEXHLevel3" xfId="32586" xr:uid="{B095D0F8-A031-4AB4-9791-136CFE81BCB1}"/>
    <cellStyle name="SAPBEXHLevel3X" xfId="32587" xr:uid="{CC5D23AE-AB07-4DE4-9E85-450A5721C643}"/>
    <cellStyle name="SAPBEXinputData" xfId="32588" xr:uid="{EC8BBB53-B7FE-462A-BDD0-820D014B6DC6}"/>
    <cellStyle name="SAPBEXresData" xfId="32589" xr:uid="{11AAAD77-60BB-4705-B98F-2A5C18F2129D}"/>
    <cellStyle name="SAPBEXresDataEmph" xfId="32590" xr:uid="{DAFC4933-E6D3-491D-B1BC-84C449EDC054}"/>
    <cellStyle name="SAPBEXresItem" xfId="32591" xr:uid="{A6653E2C-0EF8-4003-A9CF-2D596DDCAB8F}"/>
    <cellStyle name="SAPBEXresItemX" xfId="32592" xr:uid="{7F90F4C9-D1F1-46A7-8A67-375DD3637321}"/>
    <cellStyle name="SAPBEXstdData" xfId="32593" xr:uid="{8259F65A-C8C1-4EA2-95AA-49D376D1026C}"/>
    <cellStyle name="SAPBEXstdDataEmph" xfId="32594" xr:uid="{A0C6AD9F-C844-4A51-A72C-47E9A17FE9DE}"/>
    <cellStyle name="SAPBEXstdItem" xfId="32595" xr:uid="{3B1485E1-8647-443E-A476-ABC70CE42E81}"/>
    <cellStyle name="SAPBEXstdItemX" xfId="32596" xr:uid="{57648B2E-F574-4DE9-A800-FCEF7F62A05F}"/>
    <cellStyle name="SAPBEXsubData" xfId="32597" xr:uid="{D00864AD-F925-4030-8B35-0C086F1B582A}"/>
    <cellStyle name="SAPBEXsubDataEmph" xfId="32598" xr:uid="{9E1EF56D-4613-4753-9351-0E30119C853C}"/>
    <cellStyle name="SAPBEXsubItem" xfId="32599" xr:uid="{4C17CB06-A85F-40FA-951B-5283AF3D87F4}"/>
    <cellStyle name="SAPBEXtitle" xfId="32600" xr:uid="{9DE6D33B-C79A-42F2-B0BF-248CE7DE1EB2}"/>
    <cellStyle name="SAPBEXundefined" xfId="32601" xr:uid="{EE998C50-92A6-4E79-A217-97048AAAE7DD}"/>
    <cellStyle name="Shade" xfId="30238" xr:uid="{65674665-2554-42C7-8468-FE4F64C44900}"/>
    <cellStyle name="Shade 2" xfId="35052" xr:uid="{2EAF1A53-6759-40A0-AD9A-74609FBFE3D4}"/>
    <cellStyle name="Standard_Sce_D_Extraction" xfId="1235" xr:uid="{00000000-0005-0000-0000-0000CF090000}"/>
    <cellStyle name="Style 134 2" xfId="30249" xr:uid="{C2E6181A-5931-46DC-B108-CC2AA20E7C8E}"/>
    <cellStyle name="Style 134 2 2" xfId="35060" xr:uid="{39689CF6-0A7F-41F4-910D-8184623EA3A4}"/>
    <cellStyle name="Style 140" xfId="30250" xr:uid="{BC893754-88F2-4DEB-909F-36BB70836376}"/>
    <cellStyle name="Style 140 2" xfId="35061" xr:uid="{85428F3D-13B3-4EC5-8043-734ACE650FA2}"/>
    <cellStyle name="Style 142 2" xfId="30251" xr:uid="{3F7A971D-0957-4368-9800-FEF99DCB304E}"/>
    <cellStyle name="Style 142 2 2" xfId="35062" xr:uid="{B15C7D4B-20DE-4619-9CBE-92CD5120AC59}"/>
    <cellStyle name="Style 155" xfId="2528" xr:uid="{00000000-0005-0000-0000-0000D0090000}"/>
    <cellStyle name="Style 155 2" xfId="30095" xr:uid="{1AE39F3C-3354-47FE-A657-1DC29595DFBE}"/>
    <cellStyle name="Style 155 3" xfId="25169" xr:uid="{064B77B9-BFE6-4D69-8E54-40C2957D1B07}"/>
    <cellStyle name="Style 155 4" xfId="17969" xr:uid="{C8BB9085-3AAE-49C9-B324-26FBEF2E3EBE}"/>
    <cellStyle name="Style 156" xfId="2529" xr:uid="{00000000-0005-0000-0000-0000D1090000}"/>
    <cellStyle name="Style 156 2" xfId="30096" xr:uid="{A0B63EC8-33EA-4818-8628-7AE4D21C7035}"/>
    <cellStyle name="Style 157" xfId="2530" xr:uid="{00000000-0005-0000-0000-0000D2090000}"/>
    <cellStyle name="Style 157 2" xfId="30097" xr:uid="{4B0C6085-C593-4DB0-9A25-C66EC1C2EFE2}"/>
    <cellStyle name="Style 157 3" xfId="46722" xr:uid="{7968D6BE-6A57-40CB-B071-F9876D30EB72}"/>
    <cellStyle name="Style 157 4" xfId="17970" xr:uid="{D2F9267F-CA25-42E4-ADE0-2118830D0E7E}"/>
    <cellStyle name="Style 158" xfId="2531" xr:uid="{00000000-0005-0000-0000-0000D3090000}"/>
    <cellStyle name="Style 158 2" xfId="30098" xr:uid="{182950BC-C7DF-4862-BD83-2BE6E1C2D0AC}"/>
    <cellStyle name="Style 158 3" xfId="33720" xr:uid="{4D43C1FB-B26A-4258-AA39-12FF4FE86616}"/>
    <cellStyle name="Style 158 4" xfId="17971" xr:uid="{23BE44CB-34FC-4EA6-BA57-F01955BF6486}"/>
    <cellStyle name="Style 159" xfId="2532" xr:uid="{00000000-0005-0000-0000-0000D4090000}"/>
    <cellStyle name="Style 159 2" xfId="30099" xr:uid="{DC8A58CD-E782-446D-A2F2-1E56CF3C3B05}"/>
    <cellStyle name="Style 161" xfId="2533" xr:uid="{00000000-0005-0000-0000-0000D5090000}"/>
    <cellStyle name="Style 161 2" xfId="30100" xr:uid="{E4F5953F-9072-4B97-B9BB-6CE9A77DA2D2}"/>
    <cellStyle name="Style 161 3" xfId="34542" xr:uid="{55DC6C54-C432-460A-BC7F-B0CEB3715AC3}"/>
    <cellStyle name="Style 161 4" xfId="17972" xr:uid="{5207E07D-2D99-4C52-BED5-C1BA2E71ECA4}"/>
    <cellStyle name="Style 162" xfId="2534" xr:uid="{00000000-0005-0000-0000-0000D6090000}"/>
    <cellStyle name="Style 162 2" xfId="30101" xr:uid="{86C372F1-75B8-4F61-9A4E-BB909631A8CC}"/>
    <cellStyle name="Style 162 3" xfId="33471" xr:uid="{DE0D50B3-58AB-44C8-9476-5C5A0D7B58D2}"/>
    <cellStyle name="Style 162 4" xfId="17973" xr:uid="{31A3A1F2-3688-4731-9C11-F221B3489EA8}"/>
    <cellStyle name="Style 163" xfId="2535" xr:uid="{00000000-0005-0000-0000-0000D7090000}"/>
    <cellStyle name="Style 163 2" xfId="30102" xr:uid="{157BA546-EB80-4F23-8122-FE272988C033}"/>
    <cellStyle name="Style 163 3" xfId="46651" xr:uid="{679624DC-6F66-41CF-A324-741E26FE2574}"/>
    <cellStyle name="Style 163 4" xfId="17974" xr:uid="{523DF270-572E-41BF-B512-36EBBF19CD4F}"/>
    <cellStyle name="Style 223" xfId="2536" xr:uid="{00000000-0005-0000-0000-0000D8090000}"/>
    <cellStyle name="Style 223 2" xfId="30103" xr:uid="{46D7AF34-5786-498A-B183-9839F689A01B}"/>
    <cellStyle name="Style 223 3" xfId="47145" xr:uid="{F866079F-41A9-4264-B278-A6750E724ADD}"/>
    <cellStyle name="Style 223 4" xfId="17975" xr:uid="{96D730F3-C253-44CF-859B-A0AE3812349F}"/>
    <cellStyle name="Style 224" xfId="2537" xr:uid="{00000000-0005-0000-0000-0000D9090000}"/>
    <cellStyle name="Style 224 2" xfId="30104" xr:uid="{A0C54089-C3DF-4151-9FB8-5C4937CFA2F3}"/>
    <cellStyle name="Style 225" xfId="2538" xr:uid="{00000000-0005-0000-0000-0000DA090000}"/>
    <cellStyle name="Style 225 2" xfId="30105" xr:uid="{91E2AF55-977E-46B8-91ED-B5F4D3BE9228}"/>
    <cellStyle name="Style 225 3" xfId="47660" xr:uid="{35475E90-33B0-4594-A030-BED834F5A856}"/>
    <cellStyle name="Style 225 4" xfId="17976" xr:uid="{5E27BADC-F491-4363-A20F-64EBDFCBFF62}"/>
    <cellStyle name="Style 226" xfId="2539" xr:uid="{00000000-0005-0000-0000-0000DB090000}"/>
    <cellStyle name="Style 226 2" xfId="30106" xr:uid="{08D32651-BCDE-42A9-9361-0643EF774372}"/>
    <cellStyle name="Style 226 3" xfId="46267" xr:uid="{9AEC3CE5-614E-434A-B211-3937496610BD}"/>
    <cellStyle name="Style 226 4" xfId="17977" xr:uid="{14C26A4B-BD6F-4E58-9ADE-BD1D953E8E11}"/>
    <cellStyle name="Style 227" xfId="2540" xr:uid="{00000000-0005-0000-0000-0000DC090000}"/>
    <cellStyle name="Style 227 2" xfId="30107" xr:uid="{BE85438F-5C98-4DA3-AE44-9C8DD6E400C9}"/>
    <cellStyle name="Style 229" xfId="2541" xr:uid="{00000000-0005-0000-0000-0000DD090000}"/>
    <cellStyle name="Style 229 2" xfId="30108" xr:uid="{BAE60DB0-EDA2-49C1-84CB-9DCEBD927C31}"/>
    <cellStyle name="Style 229 3" xfId="47210" xr:uid="{3B8C1D1A-5C73-4657-B924-42047EA13A1A}"/>
    <cellStyle name="Style 229 4" xfId="17978" xr:uid="{9985B4B7-477C-4D19-875E-73182B302AAE}"/>
    <cellStyle name="Style 230" xfId="2542" xr:uid="{00000000-0005-0000-0000-0000DE090000}"/>
    <cellStyle name="Style 230 2" xfId="30109" xr:uid="{C1432DB6-F74D-4FA3-BEBE-67E760344C03}"/>
    <cellStyle name="Style 230 3" xfId="46652" xr:uid="{1B12501B-C983-44D4-B8ED-469EDC359565}"/>
    <cellStyle name="Style 230 4" xfId="17979" xr:uid="{602AD876-68A5-4BCD-B2EC-C72984FF9346}"/>
    <cellStyle name="Style 231" xfId="2543" xr:uid="{00000000-0005-0000-0000-0000DF090000}"/>
    <cellStyle name="Style 231 2" xfId="30110" xr:uid="{3ED97031-1647-4AE7-B03F-84C9655F1106}"/>
    <cellStyle name="Style 231 3" xfId="47738" xr:uid="{E3FFB67E-122B-4AA7-BA16-B45BB4F7CB37}"/>
    <cellStyle name="Style 231 4" xfId="17980" xr:uid="{09DD6038-8777-4C4C-98D7-1C5694F8CEF9}"/>
    <cellStyle name="Style 257" xfId="2544" xr:uid="{00000000-0005-0000-0000-0000E0090000}"/>
    <cellStyle name="Style 257 2" xfId="30111" xr:uid="{7BE5F1BF-0133-4840-BBFF-68260D19268C}"/>
    <cellStyle name="Style 257 3" xfId="48433" xr:uid="{820DEC72-377B-4000-9DC6-7F90F43F2E91}"/>
    <cellStyle name="Style 257 4" xfId="17981" xr:uid="{410C338F-D77A-498E-A593-542CD898A6E7}"/>
    <cellStyle name="Style 258" xfId="2545" xr:uid="{00000000-0005-0000-0000-0000E1090000}"/>
    <cellStyle name="Style 258 2" xfId="30112" xr:uid="{73F8AECE-BD5B-4EC5-80AE-C9353DF05282}"/>
    <cellStyle name="Style 259" xfId="2546" xr:uid="{00000000-0005-0000-0000-0000E2090000}"/>
    <cellStyle name="Style 259 2" xfId="30113" xr:uid="{C8EB6BF6-29E9-45D8-A444-404BED54F2EF}"/>
    <cellStyle name="Style 259 3" xfId="32444" xr:uid="{5B7DEDBD-F372-44B6-A560-976DDEECD336}"/>
    <cellStyle name="Style 259 4" xfId="17982" xr:uid="{8BD8297F-21E4-4DE2-81E5-BCC2576FDB79}"/>
    <cellStyle name="Style 260" xfId="2547" xr:uid="{00000000-0005-0000-0000-0000E3090000}"/>
    <cellStyle name="Style 260 2" xfId="30114" xr:uid="{F6871FB7-F382-462E-81ED-ACF66CD2F430}"/>
    <cellStyle name="Style 260 3" xfId="24506" xr:uid="{81528C06-2F6A-4531-93DC-B786633B27E9}"/>
    <cellStyle name="Style 260 4" xfId="17983" xr:uid="{849F8E60-9C7F-4839-A8A5-97A569DD7750}"/>
    <cellStyle name="Style 261" xfId="2548" xr:uid="{00000000-0005-0000-0000-0000E4090000}"/>
    <cellStyle name="Style 261 2" xfId="30115" xr:uid="{76785AD4-B64F-4359-97CE-63E15536F9A8}"/>
    <cellStyle name="Style 263" xfId="2549" xr:uid="{00000000-0005-0000-0000-0000E5090000}"/>
    <cellStyle name="Style 263 2" xfId="30116" xr:uid="{21500BC3-F85A-4B0F-A23D-0F3B925FD7A7}"/>
    <cellStyle name="Style 263 3" xfId="24717" xr:uid="{2BE6FD2B-6F09-449D-A74D-4C6A680CE56D}"/>
    <cellStyle name="Style 263 4" xfId="17984" xr:uid="{75056EAE-742E-43E5-8C11-75543D4153F6}"/>
    <cellStyle name="Style 264" xfId="2550" xr:uid="{00000000-0005-0000-0000-0000E6090000}"/>
    <cellStyle name="Style 264 2" xfId="30117" xr:uid="{50C1AB96-E4E7-4D9E-9ACD-7326D62457B6}"/>
    <cellStyle name="Style 264 3" xfId="33077" xr:uid="{49AC534D-D6CD-4818-822E-E18F0E4CFA86}"/>
    <cellStyle name="Style 264 4" xfId="17985" xr:uid="{24B81850-975D-450E-A15C-51758451F5AC}"/>
    <cellStyle name="Style 265" xfId="2551" xr:uid="{00000000-0005-0000-0000-0000E7090000}"/>
    <cellStyle name="Style 265 2" xfId="30118" xr:uid="{3746D772-9BBD-462B-8D9A-02CEF18798E6}"/>
    <cellStyle name="Style 265 3" xfId="46268" xr:uid="{F4D9064E-F666-4BB1-8B58-B21305480105}"/>
    <cellStyle name="Style 265 4" xfId="17986" xr:uid="{30A9CCE6-A0E5-49B9-899C-27C4B73C1811}"/>
    <cellStyle name="Style 461" xfId="2552" xr:uid="{00000000-0005-0000-0000-0000E8090000}"/>
    <cellStyle name="Style 461 2" xfId="30119" xr:uid="{B99EDF21-F51B-4772-8E3C-7458D604594B}"/>
    <cellStyle name="Style 461 3" xfId="46269" xr:uid="{B7E704D3-9092-4CA3-AF68-DF02BB57E9B3}"/>
    <cellStyle name="Style 461 4" xfId="17987" xr:uid="{F778F627-5657-4A9B-AB3D-1D0B2EA23384}"/>
    <cellStyle name="Style 467" xfId="2553" xr:uid="{00000000-0005-0000-0000-0000E9090000}"/>
    <cellStyle name="Style 467 2" xfId="30120" xr:uid="{422005E8-3222-4DD9-966F-3AC792DFCCB9}"/>
    <cellStyle name="Style 467 3" xfId="46270" xr:uid="{DFF357BF-4CBD-461F-BBA6-084C193782AF}"/>
    <cellStyle name="Style 467 4" xfId="17988" xr:uid="{6389B670-08FD-4C98-AC98-830AB87EE727}"/>
    <cellStyle name="Style 468" xfId="2554" xr:uid="{00000000-0005-0000-0000-0000EA090000}"/>
    <cellStyle name="Style 468 2" xfId="30121" xr:uid="{1F6320D7-C623-4AF5-9CF0-CA16E501E149}"/>
    <cellStyle name="Style 468 3" xfId="25168" xr:uid="{409961DB-3763-4802-B5E6-D61BEF4313DB}"/>
    <cellStyle name="Style 468 4" xfId="17989" xr:uid="{808EF224-BFA0-43DB-8B82-D6960EB4AEF9}"/>
    <cellStyle name="Style 469" xfId="2555" xr:uid="{00000000-0005-0000-0000-0000EB090000}"/>
    <cellStyle name="Style 469 2" xfId="30122" xr:uid="{1DDD1256-63D1-4362-A0B9-068594F22253}"/>
    <cellStyle name="Style 469 3" xfId="47222" xr:uid="{94F4A524-45BD-4BE9-B3D6-AED60E7A02EF}"/>
    <cellStyle name="Style 469 4" xfId="17990" xr:uid="{E4D3D895-A801-4BEB-BA3E-658251DD84DC}"/>
    <cellStyle name="Style 478" xfId="2556" xr:uid="{00000000-0005-0000-0000-0000EC090000}"/>
    <cellStyle name="Style 478 2" xfId="30123" xr:uid="{BF02F290-2DBD-49AB-86FD-D7B7FFB43EF2}"/>
    <cellStyle name="Style 478 3" xfId="46723" xr:uid="{34F82C2B-21B9-448C-BBA2-7CF5C2141EF5}"/>
    <cellStyle name="Style 478 4" xfId="17991" xr:uid="{E919FCAD-E67B-4192-B510-A285BE2D6FC1}"/>
    <cellStyle name="Style 479" xfId="2557" xr:uid="{00000000-0005-0000-0000-0000ED090000}"/>
    <cellStyle name="Style 479 2" xfId="30124" xr:uid="{18BED971-6A01-48B6-883C-E9BCF892816C}"/>
    <cellStyle name="Style 480" xfId="2558" xr:uid="{00000000-0005-0000-0000-0000EE090000}"/>
    <cellStyle name="Style 480 2" xfId="30125" xr:uid="{1F5E03CA-0C2A-4636-8361-37A366D55140}"/>
    <cellStyle name="Style 480 3" xfId="47074" xr:uid="{5EE226EB-1F00-4F3E-8A54-CF66DB698804}"/>
    <cellStyle name="Style 480 4" xfId="17992" xr:uid="{F7A9640C-70CE-40DA-A9AE-38E908859C39}"/>
    <cellStyle name="Style 481" xfId="2559" xr:uid="{00000000-0005-0000-0000-0000EF090000}"/>
    <cellStyle name="Style 481 2" xfId="30126" xr:uid="{5C889D1F-ACE5-4D51-A0B0-D9C9B2C9759E}"/>
    <cellStyle name="Style 481 3" xfId="46271" xr:uid="{6F8CC958-1112-4141-8BC9-4A9757CC633D}"/>
    <cellStyle name="Style 481 4" xfId="17993" xr:uid="{939F5AE7-81B4-4F33-B0DD-A7C529C19CC5}"/>
    <cellStyle name="Style 482" xfId="2560" xr:uid="{00000000-0005-0000-0000-0000F0090000}"/>
    <cellStyle name="Style 482 2" xfId="30127" xr:uid="{73A6AA99-FA02-4ECB-8843-3C666D260CD4}"/>
    <cellStyle name="Style 484" xfId="2561" xr:uid="{00000000-0005-0000-0000-0000F1090000}"/>
    <cellStyle name="Style 484 2" xfId="30128" xr:uid="{8D7CD5F9-FDD0-43C1-9A3F-9373CED29CDC}"/>
    <cellStyle name="Style 484 3" xfId="47811" xr:uid="{C625528B-BC8E-4AA7-B9D5-8439118AA15D}"/>
    <cellStyle name="Style 484 4" xfId="17994" xr:uid="{0B808CE0-A620-48F5-89CD-A1FEA2D2A925}"/>
    <cellStyle name="Style 485" xfId="2562" xr:uid="{00000000-0005-0000-0000-0000F2090000}"/>
    <cellStyle name="Style 485 2" xfId="30129" xr:uid="{B24D23E3-8DF2-45A0-8EFD-FAC07C49AB5C}"/>
    <cellStyle name="Style 485 3" xfId="46724" xr:uid="{7095ECD8-963F-4E9A-A32A-BFC4EDF5A495}"/>
    <cellStyle name="Style 485 4" xfId="17995" xr:uid="{7954D469-0FD6-4F03-A85B-C37357C30B59}"/>
    <cellStyle name="Style 486" xfId="2563" xr:uid="{00000000-0005-0000-0000-0000F3090000}"/>
    <cellStyle name="Style 486 2" xfId="30130" xr:uid="{FAC5AE4E-492C-4A0D-961F-B3738121D698}"/>
    <cellStyle name="Style 486 3" xfId="47750" xr:uid="{B9FA5D1A-A431-454F-A850-0F1AB59B93AA}"/>
    <cellStyle name="Style 486 4" xfId="17996" xr:uid="{E0E22133-3ACD-47B5-AFFA-CBCEEBF5444E}"/>
    <cellStyle name="Style 495" xfId="2564" xr:uid="{00000000-0005-0000-0000-0000F4090000}"/>
    <cellStyle name="Style 495 2" xfId="30131" xr:uid="{65500A1D-04DF-47BF-98A1-CEDFA302DC4D}"/>
    <cellStyle name="Style 495 3" xfId="47414" xr:uid="{DFED0254-78A0-44FF-850E-2D1E26B27052}"/>
    <cellStyle name="Style 495 4" xfId="17997" xr:uid="{F6382C9A-D521-4CDD-9886-89EDF5EF5129}"/>
    <cellStyle name="Style 496" xfId="2565" xr:uid="{00000000-0005-0000-0000-0000F5090000}"/>
    <cellStyle name="Style 496 2" xfId="30132" xr:uid="{CDE81A0A-6BC7-43D1-808A-B4001A77550A}"/>
    <cellStyle name="Style 497" xfId="2566" xr:uid="{00000000-0005-0000-0000-0000F6090000}"/>
    <cellStyle name="Style 497 2" xfId="30133" xr:uid="{91BBDF84-671F-4B43-8210-554227C89692}"/>
    <cellStyle name="Style 497 3" xfId="37254" xr:uid="{5C8DA488-FB14-45A2-AB7D-1E7B7C8841F9}"/>
    <cellStyle name="Style 497 4" xfId="17998" xr:uid="{A193A892-4D85-44AC-900D-D0F0AA80FAF1}"/>
    <cellStyle name="Style 498" xfId="2567" xr:uid="{00000000-0005-0000-0000-0000F7090000}"/>
    <cellStyle name="Style 498 2" xfId="30134" xr:uid="{BF79FEDA-570F-445A-BBA9-7A6CBAC944B6}"/>
    <cellStyle name="Style 498 3" xfId="48388" xr:uid="{EE10DFB8-92D1-4362-BC2A-AE7B590C6A92}"/>
    <cellStyle name="Style 498 4" xfId="17999" xr:uid="{4B5A9FEC-C478-45DB-A470-D766A860B0E7}"/>
    <cellStyle name="Style 499" xfId="2568" xr:uid="{00000000-0005-0000-0000-0000F8090000}"/>
    <cellStyle name="Style 499 2" xfId="30135" xr:uid="{94B0B268-CA0A-450F-9418-2C1B776CFCB6}"/>
    <cellStyle name="Style 501" xfId="2569" xr:uid="{00000000-0005-0000-0000-0000F9090000}"/>
    <cellStyle name="Style 501 2" xfId="30136" xr:uid="{CA6B122F-F699-4CF6-B445-4AF08B3CF5A7}"/>
    <cellStyle name="Style 501 3" xfId="48328" xr:uid="{4DDC0186-07B1-4603-9AC7-9309172037B3}"/>
    <cellStyle name="Style 501 4" xfId="18000" xr:uid="{51FAC7E1-77DE-475D-B887-C2EC0BFB29CE}"/>
    <cellStyle name="Style 502" xfId="2570" xr:uid="{00000000-0005-0000-0000-0000FA090000}"/>
    <cellStyle name="Style 502 2" xfId="30137" xr:uid="{075E48A7-8777-453A-8AB8-132DBBBA1639}"/>
    <cellStyle name="Style 502 3" xfId="48005" xr:uid="{804B00E6-BF78-4562-B86E-7792717AEA83}"/>
    <cellStyle name="Style 502 4" xfId="18001" xr:uid="{4AC1184E-B360-4655-A4C4-ECD616ED815A}"/>
    <cellStyle name="Style 503" xfId="2571" xr:uid="{00000000-0005-0000-0000-0000FB090000}"/>
    <cellStyle name="Style 503 2" xfId="30138" xr:uid="{A62484F0-17D7-4974-8C0C-685E7E1F11F7}"/>
    <cellStyle name="Style 503 3" xfId="25346" xr:uid="{0A7D507B-5E80-4B75-8A2E-486D2425C7CA}"/>
    <cellStyle name="Style 503 4" xfId="18002" xr:uid="{593D5D3B-504D-47D1-9779-EA08CBF2A0C5}"/>
    <cellStyle name="Style 580" xfId="2572" xr:uid="{00000000-0005-0000-0000-0000FC090000}"/>
    <cellStyle name="Style 580 2" xfId="30139" xr:uid="{47E7D68F-44B8-4D86-BD73-C968B3086A4D}"/>
    <cellStyle name="Style 580 3" xfId="47802" xr:uid="{1BDC2633-5D4C-42C6-8DB3-E872999457FE}"/>
    <cellStyle name="Style 580 4" xfId="18003" xr:uid="{E366B746-506E-4B9D-AB10-E5A4FD5A18B6}"/>
    <cellStyle name="Style 581" xfId="2573" xr:uid="{00000000-0005-0000-0000-0000FD090000}"/>
    <cellStyle name="Style 581 2" xfId="30140" xr:uid="{3A14FBFA-AF3D-4791-9BB9-8EC50BACD7C5}"/>
    <cellStyle name="Style 582" xfId="2574" xr:uid="{00000000-0005-0000-0000-0000FE090000}"/>
    <cellStyle name="Style 582 2" xfId="30141" xr:uid="{4D1525EE-4149-46AD-BFD6-70EB1FFAC353}"/>
    <cellStyle name="Style 582 3" xfId="48317" xr:uid="{862D20EA-537B-4E47-BA9C-D2FA0F41D448}"/>
    <cellStyle name="Style 582 4" xfId="18004" xr:uid="{3CE4C07C-D14F-461D-806D-1A72624018F8}"/>
    <cellStyle name="Style 583" xfId="2575" xr:uid="{00000000-0005-0000-0000-0000FF090000}"/>
    <cellStyle name="Style 583 2" xfId="30142" xr:uid="{82C776F8-2071-4986-A295-829DE9BC4684}"/>
    <cellStyle name="Style 583 3" xfId="47562" xr:uid="{14C6054B-F7EF-4B9A-8563-3DA83F8D769D}"/>
    <cellStyle name="Style 583 4" xfId="18005" xr:uid="{1A8E9981-3DCC-493B-B606-6EDC39066FE9}"/>
    <cellStyle name="Style 584" xfId="2576" xr:uid="{00000000-0005-0000-0000-0000000A0000}"/>
    <cellStyle name="Style 584 2" xfId="30143" xr:uid="{E212B9C0-1449-43F8-AE87-53A1C02EA419}"/>
    <cellStyle name="Style 586" xfId="2577" xr:uid="{00000000-0005-0000-0000-0000010A0000}"/>
    <cellStyle name="Style 586 2" xfId="30144" xr:uid="{FE68D12C-3D91-45AB-958F-C8184BDD2C19}"/>
    <cellStyle name="Style 586 3" xfId="46272" xr:uid="{A73B44D8-B7E4-48A4-9510-D486E689F27E}"/>
    <cellStyle name="Style 586 4" xfId="18006" xr:uid="{B11E81ED-7098-436E-A33A-058BEADA37C2}"/>
    <cellStyle name="Style 587" xfId="2578" xr:uid="{00000000-0005-0000-0000-0000020A0000}"/>
    <cellStyle name="Style 587 2" xfId="30145" xr:uid="{FA6638D1-47F6-49FD-8A69-1DDC729E3CA5}"/>
    <cellStyle name="Style 587 3" xfId="47008" xr:uid="{9B4661AA-F2A1-4C9B-88A3-E4363633DCC3}"/>
    <cellStyle name="Style 587 4" xfId="18007" xr:uid="{352B6684-FDA2-44F9-964E-46EF7FE6DD5E}"/>
    <cellStyle name="Style 588" xfId="2579" xr:uid="{00000000-0005-0000-0000-0000030A0000}"/>
    <cellStyle name="Style 588 2" xfId="30146" xr:uid="{55D56989-D6C4-489A-88B3-FF2ECDCD8B96}"/>
    <cellStyle name="Style 588 3" xfId="47517" xr:uid="{53D74B9E-EC89-45B3-A6F6-716A83928970}"/>
    <cellStyle name="Style 588 4" xfId="18008" xr:uid="{587FD5D5-C237-4DC1-A6D6-FC5E783F4710}"/>
    <cellStyle name="Testo avviso" xfId="1236" xr:uid="{00000000-0005-0000-0000-0000040A0000}"/>
    <cellStyle name="Testo avviso 2" xfId="30148" xr:uid="{4DA31E8B-78EE-472E-B273-839AA97D27FB}"/>
    <cellStyle name="Testo avviso 3" xfId="30149" xr:uid="{96B0EFD5-4EA9-48BD-A064-2697DB3D97F3}"/>
    <cellStyle name="Testo avviso 3 2" xfId="49481" xr:uid="{2A2AE01E-61A0-4397-B644-4A795F6262D4}"/>
    <cellStyle name="Testo avviso 4" xfId="30147" xr:uid="{A64F5CE1-3B2A-4E83-8B37-50534D692B0F}"/>
    <cellStyle name="Testo descrittivo" xfId="1237" xr:uid="{00000000-0005-0000-0000-0000050A0000}"/>
    <cellStyle name="Testo descrittivo 2" xfId="30151" xr:uid="{55EF8484-298B-492C-B0B0-13FA42ABF898}"/>
    <cellStyle name="Testo descrittivo 3" xfId="30152" xr:uid="{A57FE653-FADB-4232-8498-1E259218D70B}"/>
    <cellStyle name="Testo descrittivo 3 2" xfId="49482" xr:uid="{913EB928-72AC-43EB-A041-99670967EE43}"/>
    <cellStyle name="Testo descrittivo 4" xfId="30150" xr:uid="{C8777106-A3E0-426C-A0AC-BF3F3F5BEF14}"/>
    <cellStyle name="Titel 2" xfId="30153" xr:uid="{C000CEE7-774B-4933-90DB-99830A403D5E}"/>
    <cellStyle name="Titel 2 2" xfId="30154" xr:uid="{CD894B32-F0BE-4D5A-B1E9-A3977FFC4737}"/>
    <cellStyle name="Titel 2 3" xfId="30155" xr:uid="{D910C362-8412-4D3E-A04D-E6420CB2BEA3}"/>
    <cellStyle name="Titel 2 3 2" xfId="49483" xr:uid="{877986B2-6B7C-46D6-9744-D082F1DFB4E8}"/>
    <cellStyle name="Title 2" xfId="30156" xr:uid="{F6A5FF4D-F3C2-48F1-9C65-1F5781EF8102}"/>
    <cellStyle name="Title 2 2" xfId="30157" xr:uid="{80490719-7D55-4799-A81B-BF3AE7FD4BFC}"/>
    <cellStyle name="Title 2 3" xfId="30158" xr:uid="{D887D467-FC34-4F3E-9657-BFF149ECFB3D}"/>
    <cellStyle name="Title 2 3 2" xfId="49484" xr:uid="{57494121-0FE5-49CD-9D65-8B8A97B64611}"/>
    <cellStyle name="Title 3" xfId="30252" xr:uid="{1BB97462-D526-4A65-9490-4F09D255C4DD}"/>
    <cellStyle name="Titolo" xfId="1238" xr:uid="{00000000-0005-0000-0000-0000060A0000}"/>
    <cellStyle name="Titolo 1" xfId="1239" xr:uid="{00000000-0005-0000-0000-0000070A0000}"/>
    <cellStyle name="Titolo 1 2" xfId="1240" xr:uid="{00000000-0005-0000-0000-0000080A0000}"/>
    <cellStyle name="Titolo 1 2 2" xfId="30162" xr:uid="{138A7CC1-9470-44C3-BCB6-676ABF662435}"/>
    <cellStyle name="Titolo 1 2 3" xfId="30161" xr:uid="{0F627065-26B4-420D-9B53-F11E6A4537B1}"/>
    <cellStyle name="Titolo 1 3" xfId="30163" xr:uid="{01647556-8ED5-44EA-8961-322D23BAFC11}"/>
    <cellStyle name="Titolo 1 3 2" xfId="49485" xr:uid="{A42A53E5-88A4-4A85-9992-B9360E6860E0}"/>
    <cellStyle name="Titolo 1 4" xfId="30160" xr:uid="{8C7EEEB0-F7ED-4661-9680-DB48CDB5506E}"/>
    <cellStyle name="Titolo 2" xfId="1241" xr:uid="{00000000-0005-0000-0000-0000090A0000}"/>
    <cellStyle name="Titolo 2 2" xfId="1242" xr:uid="{00000000-0005-0000-0000-00000A0A0000}"/>
    <cellStyle name="Titolo 2 2 2" xfId="30166" xr:uid="{B84E2442-3478-411D-8CEA-011B165684CD}"/>
    <cellStyle name="Titolo 2 2 3" xfId="30165" xr:uid="{13B79010-6F65-41D6-A445-4ECF569BE18D}"/>
    <cellStyle name="Titolo 2 3" xfId="30167" xr:uid="{D9C5945D-30D2-415D-B7BD-8597F1C67CE7}"/>
    <cellStyle name="Titolo 2 3 2" xfId="49486" xr:uid="{2EEC4ABF-A8FD-482A-A9F5-D40B0D73CB05}"/>
    <cellStyle name="Titolo 2 4" xfId="30164" xr:uid="{E2B7B0D9-10B4-433A-BF6E-09C4D13FE3C9}"/>
    <cellStyle name="Titolo 3" xfId="1243" xr:uid="{00000000-0005-0000-0000-00000B0A0000}"/>
    <cellStyle name="Titolo 3 2" xfId="1244" xr:uid="{00000000-0005-0000-0000-00000C0A0000}"/>
    <cellStyle name="Titolo 3 2 2" xfId="17426" xr:uid="{70172808-39CB-470B-A03E-DEB15BEF6B31}"/>
    <cellStyle name="Titolo 3 2 2 2" xfId="21240" xr:uid="{28927BCD-EF65-4C90-9008-184481EA0E2D}"/>
    <cellStyle name="Titolo 3 2 2 3" xfId="30170" xr:uid="{B2F64C42-03DF-433D-ACB6-6B62EBC6458C}"/>
    <cellStyle name="Titolo 3 2 3" xfId="17577" xr:uid="{44556675-B045-4654-ABA2-CF0088096935}"/>
    <cellStyle name="Titolo 3 2 3 2" xfId="30171" xr:uid="{2B74858A-E768-4EAF-BA6A-81AEEFD95D15}"/>
    <cellStyle name="Titolo 3 2 4" xfId="30172" xr:uid="{898E9DF1-CCF1-49AE-9656-471701FCBB5E}"/>
    <cellStyle name="Titolo 3 2 5" xfId="30169" xr:uid="{0FD6E6A0-8379-4249-AFD7-D25C45A3A4FF}"/>
    <cellStyle name="Titolo 3 3" xfId="4523" xr:uid="{1EF959C1-F0C8-4104-B19C-1CB50B47E8C3}"/>
    <cellStyle name="Titolo 3 3 2" xfId="17427" xr:uid="{0644E227-CC01-44DE-B91C-2652A3B10BE1}"/>
    <cellStyle name="Titolo 3 3 2 2" xfId="21241" xr:uid="{3E66F410-B5ED-4AAC-8D1E-C9A8C75D9CD4}"/>
    <cellStyle name="Titolo 3 3 3" xfId="17705" xr:uid="{CA7E6AA3-15CD-4E09-BAD2-DC07A266982D}"/>
    <cellStyle name="Titolo 3 3 4" xfId="30173" xr:uid="{D13EF461-9594-4170-8F08-FFAFBE008B38}"/>
    <cellStyle name="Titolo 3 4" xfId="30174" xr:uid="{C828BA82-641C-4C6A-877B-35932266E715}"/>
    <cellStyle name="Titolo 3 4 2" xfId="49487" xr:uid="{831FFA43-7B39-4CD7-8433-AF2DBB121D6C}"/>
    <cellStyle name="Titolo 3 5" xfId="30168" xr:uid="{2C013F49-0483-41DE-BE2B-A7BCC6D656C5}"/>
    <cellStyle name="Titolo 4" xfId="1245" xr:uid="{00000000-0005-0000-0000-00000D0A0000}"/>
    <cellStyle name="Titolo 4 2" xfId="30176" xr:uid="{B48D6712-C9B0-4A61-A229-5D2E0AEEC234}"/>
    <cellStyle name="Titolo 4 3" xfId="30177" xr:uid="{36669F8C-C997-4002-A894-EBE3CC06BE21}"/>
    <cellStyle name="Titolo 4 3 2" xfId="49488" xr:uid="{236B43C5-89B8-48DF-B1C8-4FDCBB914F68}"/>
    <cellStyle name="Titolo 4 4" xfId="30175" xr:uid="{17CD9D06-B066-4791-B909-FB97FED7954E}"/>
    <cellStyle name="Titolo 5" xfId="30178" xr:uid="{DF12656E-C4CF-46FF-AB22-34A761F88389}"/>
    <cellStyle name="Titolo 6" xfId="30179" xr:uid="{E1D5AEE8-78F3-4F05-A0B9-336138574A17}"/>
    <cellStyle name="Titolo 6 2" xfId="49489" xr:uid="{8DB600E1-E9F5-4B24-949E-5AC6191A9FE2}"/>
    <cellStyle name="Titolo 7" xfId="30159" xr:uid="{8FF5E304-A90F-4FD4-B129-F847074BA9F6}"/>
    <cellStyle name="Total 2" xfId="2580" xr:uid="{00000000-0005-0000-0000-00000E0A0000}"/>
    <cellStyle name="Total 2 2" xfId="2581" xr:uid="{00000000-0005-0000-0000-00000F0A0000}"/>
    <cellStyle name="Total 2 2 2" xfId="30182" xr:uid="{5027D9D7-8F8B-4EEB-860D-7FBE208E21C8}"/>
    <cellStyle name="Total 2 2 3" xfId="30181" xr:uid="{4925AA96-3FF2-486D-A3E5-5BDD46E85BA7}"/>
    <cellStyle name="Total 2 3" xfId="30183" xr:uid="{9F65806E-ED8E-473F-B230-784EE090C9FE}"/>
    <cellStyle name="Total 2 4" xfId="30184" xr:uid="{7636AC02-6EF1-404D-B4D2-65B1C410CF01}"/>
    <cellStyle name="Total 2 4 2" xfId="32656" xr:uid="{A243E79E-3E7C-472E-9257-D496FA4D04FB}"/>
    <cellStyle name="Total 2 4 3" xfId="32657" xr:uid="{A8E2F191-F838-4EAC-BFFB-508EB19DCF70}"/>
    <cellStyle name="Total 2 5" xfId="30185" xr:uid="{1553AB72-B89E-4F3C-AC89-C43C5CEA0EFA}"/>
    <cellStyle name="Total 2 6" xfId="30180" xr:uid="{9F4126EF-3514-4F7D-B4FD-C7B269D9A330}"/>
    <cellStyle name="Total 3" xfId="30186" xr:uid="{B31D4AC8-29F9-4612-87D0-EAC8A1D50BAD}"/>
    <cellStyle name="Total 4" xfId="30187" xr:uid="{2F8DB624-A1B7-486E-BCF3-5C0DC27E8FAE}"/>
    <cellStyle name="Total 4 2" xfId="49490" xr:uid="{47F399BD-6B86-4106-9938-B910E12D7AD9}"/>
    <cellStyle name="Totale" xfId="1246" xr:uid="{00000000-0005-0000-0000-0000100A0000}"/>
    <cellStyle name="Totale 2" xfId="1247" xr:uid="{00000000-0005-0000-0000-0000110A0000}"/>
    <cellStyle name="Totale 2 2" xfId="2582" xr:uid="{00000000-0005-0000-0000-0000120A0000}"/>
    <cellStyle name="Totale 2 2 2" xfId="18009" xr:uid="{EDADB06C-39E6-4DD4-84D3-F33D45891ED5}"/>
    <cellStyle name="Totale 2 2 2 2" xfId="30191" xr:uid="{AE6A2569-2807-44C7-9027-ECFD5DC5C66B}"/>
    <cellStyle name="Totale 2 2 3" xfId="30190" xr:uid="{5BAF5390-08A1-423E-ADB3-1C6C81F1772E}"/>
    <cellStyle name="Totale 2 3" xfId="17542" xr:uid="{DF0A09E7-BAB4-41A4-9CFE-859837A2EAFE}"/>
    <cellStyle name="Totale 2 3 2" xfId="32658" xr:uid="{FEAF3803-4B7D-4E51-993D-B924D3266C07}"/>
    <cellStyle name="Totale 2 3 3" xfId="32659" xr:uid="{92451A12-4072-4685-BE8F-C2D37795ED2F}"/>
    <cellStyle name="Totale 2 3 4" xfId="30192" xr:uid="{992E6B8B-C906-4FBE-959F-0338454A3F6E}"/>
    <cellStyle name="Totale 2 4" xfId="30193" xr:uid="{A92BEC07-F6B0-4782-AA35-CF9AF3E339BF}"/>
    <cellStyle name="Totale 2 5" xfId="30253" xr:uid="{F7B7718A-B528-482E-88EE-9256EF147281}"/>
    <cellStyle name="Totale 2 6" xfId="30189" xr:uid="{AD4BE3C3-978D-49F9-8DE0-D43353786908}"/>
    <cellStyle name="Totale 3" xfId="1248" xr:uid="{00000000-0005-0000-0000-0000130A0000}"/>
    <cellStyle name="Totale 3 2" xfId="2583" xr:uid="{00000000-0005-0000-0000-0000140A0000}"/>
    <cellStyle name="Totale 3 2 2" xfId="18010" xr:uid="{04B1BC58-DAF0-448D-8CDC-5D9FEEB9E3B4}"/>
    <cellStyle name="Totale 3 2 2 2" xfId="30196" xr:uid="{ADE1F537-09F8-4786-941B-E750491689EC}"/>
    <cellStyle name="Totale 3 2 3" xfId="30195" xr:uid="{78CF210D-FF83-457F-B85D-0C65A4CF3A92}"/>
    <cellStyle name="Totale 3 3" xfId="17671" xr:uid="{AE79B254-10F9-4CFE-BAB4-70CACA22F61D}"/>
    <cellStyle name="Totale 3 3 2" xfId="32660" xr:uid="{04A357D6-7AB6-4404-8F2D-4288CF23A558}"/>
    <cellStyle name="Totale 3 3 3" xfId="32661" xr:uid="{A62524D3-3EFF-4CC2-9EE4-06A913C38846}"/>
    <cellStyle name="Totale 3 3 4" xfId="30197" xr:uid="{1C32B3DF-A440-4180-B465-0BF10FEB8628}"/>
    <cellStyle name="Totale 3 4" xfId="30198" xr:uid="{509BDD76-F814-4D60-A095-3F67A80BBFFF}"/>
    <cellStyle name="Totale 3 5" xfId="30194" xr:uid="{39F87D39-CD2A-4145-A134-BCA05E4DBB0C}"/>
    <cellStyle name="Totale 4" xfId="2584" xr:uid="{00000000-0005-0000-0000-0000150A0000}"/>
    <cellStyle name="Totale 4 2" xfId="17425" xr:uid="{B477000B-4389-4611-9EC4-6A4FF38A6D11}"/>
    <cellStyle name="Totale 4 2 2" xfId="30200" xr:uid="{6040C15C-330C-40DD-915F-6F73450FD20F}"/>
    <cellStyle name="Totale 4 3" xfId="30201" xr:uid="{C6CA08A9-B384-457B-8921-84A7C690B62E}"/>
    <cellStyle name="Totale 4 3 2" xfId="32662" xr:uid="{A3C380AD-17B5-407B-B0EC-274A1621DC66}"/>
    <cellStyle name="Totale 4 3 3" xfId="32663" xr:uid="{67C792CA-8357-47C4-9A75-8695CE3BDEE1}"/>
    <cellStyle name="Totale 4 4" xfId="30202" xr:uid="{8124C0DA-329A-42DA-AC26-9C533DE3F4BF}"/>
    <cellStyle name="Totale 4 5" xfId="30199" xr:uid="{4BC866A7-4C0A-4F2A-BF1D-FCC4D9E38BB6}"/>
    <cellStyle name="Totale 5" xfId="9591" xr:uid="{3A309893-B3EC-427E-B215-8D1AB2D0D9BD}"/>
    <cellStyle name="Totale 5 2" xfId="30204" xr:uid="{DB02F7C0-40D7-49BA-B2D0-9E47AF1D91F6}"/>
    <cellStyle name="Totale 5 3" xfId="30205" xr:uid="{1A708A0F-2B18-4C8B-A04F-4F4C53783E8C}"/>
    <cellStyle name="Totale 5 3 2" xfId="32664" xr:uid="{779AE650-1535-4C34-8A9C-429E3D08DAC7}"/>
    <cellStyle name="Totale 5 3 3" xfId="32665" xr:uid="{E49A4F37-CC51-4970-87BF-342C2C352A01}"/>
    <cellStyle name="Totale 5 4" xfId="30203" xr:uid="{E5D173DC-973D-4D94-B0FA-D4BF067D147B}"/>
    <cellStyle name="Totale 6" xfId="9592" xr:uid="{65C9D18C-7B70-4A88-A120-009B1C130F6C}"/>
    <cellStyle name="Totale 6 2" xfId="30207" xr:uid="{5632B114-4B3C-41B3-A31C-B11CE7662D0B}"/>
    <cellStyle name="Totale 6 3" xfId="30208" xr:uid="{A758C651-0D5B-43FF-8172-E992E44E8BD4}"/>
    <cellStyle name="Totale 6 3 2" xfId="32666" xr:uid="{3FBF9768-A433-41DC-B62F-96FEAE97D199}"/>
    <cellStyle name="Totale 6 3 3" xfId="32667" xr:uid="{CBD912C6-7770-486B-BC9E-52E7028940CA}"/>
    <cellStyle name="Totale 6 4" xfId="30206" xr:uid="{F4CEB16E-B672-4450-AF76-6B209E178E2B}"/>
    <cellStyle name="Totale 7" xfId="30209" xr:uid="{31AC5B82-3F99-489F-A7FA-69AA1E90E85E}"/>
    <cellStyle name="Totale 8" xfId="30210" xr:uid="{D00E958B-C822-47A4-9445-62A3933C4988}"/>
    <cellStyle name="Totale 8 2" xfId="32668" xr:uid="{D46FD1A9-C764-4DF3-A63E-869E047EF4EB}"/>
    <cellStyle name="Totale 8 3" xfId="32669" xr:uid="{92A6E68E-BC5B-4850-AC1C-A1B11198DAC3}"/>
    <cellStyle name="Totale 9" xfId="30188" xr:uid="{E147208A-E56B-4DC2-9185-029CD673DBE0}"/>
    <cellStyle name="Ugyldig 2" xfId="30211" xr:uid="{F98BDA20-C2B4-4995-BEBA-616545677391}"/>
    <cellStyle name="Uncertain" xfId="9593" xr:uid="{AF8651A8-190A-4F8E-B9B4-C438B62D8F88}"/>
    <cellStyle name="Uncertain 2" xfId="30212" xr:uid="{777CF45A-F1F8-4B0F-B4BC-61A6D869FC1A}"/>
    <cellStyle name="Usikre tal" xfId="1258" xr:uid="{00000000-0005-0000-0000-0000160A0000}"/>
    <cellStyle name="Valore non valido" xfId="1249" xr:uid="{00000000-0005-0000-0000-0000170A0000}"/>
    <cellStyle name="Valore non valido 2" xfId="30214" xr:uid="{A857B998-F08A-4ADC-9BC0-5524BBF4BEAA}"/>
    <cellStyle name="Valore non valido 3" xfId="30215" xr:uid="{B69F8EC5-6943-430D-B4EB-F4A803ED24DA}"/>
    <cellStyle name="Valore non valido 3 2" xfId="49491" xr:uid="{BCD417EA-BDC4-49AD-853B-D4D2DEFC81A3}"/>
    <cellStyle name="Valore non valido 4" xfId="30213" xr:uid="{0A95B2BE-A1EF-4574-96C8-25E0942D59A0}"/>
    <cellStyle name="Valore valido" xfId="1250" xr:uid="{00000000-0005-0000-0000-0000180A0000}"/>
    <cellStyle name="Valore valido 2" xfId="30217" xr:uid="{93AF6CC6-E71B-4E5D-9FC4-D734E4AA36BA}"/>
    <cellStyle name="Valore valido 3" xfId="30218" xr:uid="{51838BBD-D0AE-4893-8D4A-04FC60DC4B13}"/>
    <cellStyle name="Valore valido 3 2" xfId="49492" xr:uid="{A1116586-26E0-4942-90ED-02FC89D114E0}"/>
    <cellStyle name="Valore valido 4" xfId="30216" xr:uid="{29FD51CC-FBA8-47D7-BFF3-E486C492BCEC}"/>
    <cellStyle name="Warning Text 2" xfId="30219" xr:uid="{F7AED2B7-F29C-414C-947F-FA1E092BFD7B}"/>
    <cellStyle name="Warning Text 2 2" xfId="30220" xr:uid="{EE502782-C746-49AE-849A-C0A6A121D2CC}"/>
    <cellStyle name="Warning Text 2 3" xfId="30221" xr:uid="{02F0E41F-8F50-4328-B1CD-C684C50A310F}"/>
    <cellStyle name="Warning Text 2 3 2" xfId="49493" xr:uid="{6804EC70-8075-46A1-BFFE-32B6CF603649}"/>
    <cellStyle name="Warning Text 3" xfId="30222" xr:uid="{02FDC9A1-F1A4-4374-AA04-9ED52332E3CE}"/>
    <cellStyle name="Warning Text 4" xfId="30223" xr:uid="{C32BD348-27D4-474C-A959-14AFD340BC95}"/>
    <cellStyle name="Warning Text 4 2" xfId="49494" xr:uid="{2C004FEE-1F0F-429A-B1C9-830A271C85D4}"/>
    <cellStyle name="X08_Total Oil" xfId="30224" xr:uid="{E1322378-052E-4E86-B662-0E83888926EE}"/>
    <cellStyle name="X12_Total Figs 1 dec" xfId="30225" xr:uid="{9131759A-7833-4FE5-B737-D90B8365AB5D}"/>
    <cellStyle name="Years" xfId="9594" xr:uid="{CF7B546B-30D6-4CE5-89F8-3C68EE7D21A9}"/>
    <cellStyle name="Years 2" xfId="30226" xr:uid="{DD3C5B6B-8210-472F-9506-EEDBF00C598A}"/>
    <cellStyle name="Обычный_2++" xfId="30239" xr:uid="{C6518855-C026-42A0-AE57-538E01B522D8}"/>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84"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2.xml"/><Relationship Id="rId79" Type="http://schemas.openxmlformats.org/officeDocument/2006/relationships/connections" Target="connections.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tyles" Target="styles.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sharedStrings" Target="sharedStrings.xml"/><Relationship Id="rId86"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4.xml"/><Relationship Id="rId61" Type="http://schemas.openxmlformats.org/officeDocument/2006/relationships/worksheet" Target="worksheets/sheet61.xml"/><Relationship Id="rId82" Type="http://schemas.openxmlformats.org/officeDocument/2006/relationships/sheetMetadata" Target="metadata.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9</xdr:row>
      <xdr:rowOff>104776</xdr:rowOff>
    </xdr:from>
    <xdr:to>
      <xdr:col>23</xdr:col>
      <xdr:colOff>236982</xdr:colOff>
      <xdr:row>29</xdr:row>
      <xdr:rowOff>370913</xdr:rowOff>
    </xdr:to>
    <xdr:grpSp>
      <xdr:nvGrpSpPr>
        <xdr:cNvPr id="2" name="Group 1">
          <a:extLst>
            <a:ext uri="{FF2B5EF4-FFF2-40B4-BE49-F238E27FC236}">
              <a16:creationId xmlns:a16="http://schemas.microsoft.com/office/drawing/2014/main" id="{5C018088-2E6C-4B28-B706-27B440834D71}"/>
            </a:ext>
          </a:extLst>
        </xdr:cNvPr>
        <xdr:cNvGrpSpPr/>
      </xdr:nvGrpSpPr>
      <xdr:grpSpPr>
        <a:xfrm>
          <a:off x="13303250" y="2406651"/>
          <a:ext cx="6793357" cy="6838387"/>
          <a:chOff x="13449300" y="2619376"/>
          <a:chExt cx="5904357" cy="6876487"/>
        </a:xfrm>
      </xdr:grpSpPr>
      <xdr:grpSp>
        <xdr:nvGrpSpPr>
          <xdr:cNvPr id="3" name="Group 2">
            <a:extLst>
              <a:ext uri="{FF2B5EF4-FFF2-40B4-BE49-F238E27FC236}">
                <a16:creationId xmlns:a16="http://schemas.microsoft.com/office/drawing/2014/main" id="{7C3E2C3F-320D-424D-B2E5-2C31380FD3F5}"/>
              </a:ext>
            </a:extLst>
          </xdr:cNvPr>
          <xdr:cNvGrpSpPr/>
        </xdr:nvGrpSpPr>
        <xdr:grpSpPr>
          <a:xfrm>
            <a:off x="13449300" y="3381375"/>
            <a:ext cx="5904357" cy="6114488"/>
            <a:chOff x="13449300" y="3381375"/>
            <a:chExt cx="5904357" cy="6114488"/>
          </a:xfrm>
        </xdr:grpSpPr>
        <xdr:grpSp>
          <xdr:nvGrpSpPr>
            <xdr:cNvPr id="5" name="Group 4">
              <a:extLst>
                <a:ext uri="{FF2B5EF4-FFF2-40B4-BE49-F238E27FC236}">
                  <a16:creationId xmlns:a16="http://schemas.microsoft.com/office/drawing/2014/main" id="{0E266C41-8667-49DF-86C9-CAED8FB2A702}"/>
                </a:ext>
              </a:extLst>
            </xdr:cNvPr>
            <xdr:cNvGrpSpPr/>
          </xdr:nvGrpSpPr>
          <xdr:grpSpPr>
            <a:xfrm>
              <a:off x="13449300" y="5153025"/>
              <a:ext cx="5876925" cy="4342838"/>
              <a:chOff x="11239500" y="2200275"/>
              <a:chExt cx="5876925" cy="4342838"/>
            </a:xfrm>
          </xdr:grpSpPr>
          <xdr:pic>
            <xdr:nvPicPr>
              <xdr:cNvPr id="18" name="Picture 17">
                <a:extLst>
                  <a:ext uri="{FF2B5EF4-FFF2-40B4-BE49-F238E27FC236}">
                    <a16:creationId xmlns:a16="http://schemas.microsoft.com/office/drawing/2014/main" id="{E01E6598-CC3A-4E1A-90B3-D403F00810FD}"/>
                  </a:ext>
                </a:extLst>
              </xdr:cNvPr>
              <xdr:cNvPicPr>
                <a:picLocks noChangeAspect="1"/>
              </xdr:cNvPicPr>
            </xdr:nvPicPr>
            <xdr:blipFill>
              <a:blip xmlns:r="http://schemas.openxmlformats.org/officeDocument/2006/relationships" r:embed="rId1"/>
              <a:stretch>
                <a:fillRect/>
              </a:stretch>
            </xdr:blipFill>
            <xdr:spPr>
              <a:xfrm>
                <a:off x="11239500" y="2478456"/>
                <a:ext cx="5876925" cy="4064657"/>
              </a:xfrm>
              <a:prstGeom prst="rect">
                <a:avLst/>
              </a:prstGeom>
            </xdr:spPr>
          </xdr:pic>
          <xdr:sp macro="" textlink="">
            <xdr:nvSpPr>
              <xdr:cNvPr id="19" name="TextBox 18">
                <a:extLst>
                  <a:ext uri="{FF2B5EF4-FFF2-40B4-BE49-F238E27FC236}">
                    <a16:creationId xmlns:a16="http://schemas.microsoft.com/office/drawing/2014/main" id="{B7C170CC-A161-48D3-8CB3-BE7D823781FE}"/>
                  </a:ext>
                </a:extLst>
              </xdr:cNvPr>
              <xdr:cNvSpPr txBox="1"/>
            </xdr:nvSpPr>
            <xdr:spPr>
              <a:xfrm>
                <a:off x="11287125" y="2200275"/>
                <a:ext cx="36480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From Danish Energy Agency technology catalogue 2017</a:t>
                </a:r>
              </a:p>
            </xdr:txBody>
          </xdr:sp>
        </xdr:grpSp>
        <xdr:grpSp>
          <xdr:nvGrpSpPr>
            <xdr:cNvPr id="6" name="Group 5">
              <a:extLst>
                <a:ext uri="{FF2B5EF4-FFF2-40B4-BE49-F238E27FC236}">
                  <a16:creationId xmlns:a16="http://schemas.microsoft.com/office/drawing/2014/main" id="{B13B1409-F1FF-483B-B009-F04E7443ED0C}"/>
                </a:ext>
              </a:extLst>
            </xdr:cNvPr>
            <xdr:cNvGrpSpPr/>
          </xdr:nvGrpSpPr>
          <xdr:grpSpPr>
            <a:xfrm>
              <a:off x="13611225" y="3381375"/>
              <a:ext cx="5742432" cy="1362086"/>
              <a:chOff x="1499616" y="2555933"/>
              <a:chExt cx="5742432" cy="1362086"/>
            </a:xfrm>
          </xdr:grpSpPr>
          <xdr:sp macro="" textlink="">
            <xdr:nvSpPr>
              <xdr:cNvPr id="7" name="Rectangle 6">
                <a:extLst>
                  <a:ext uri="{FF2B5EF4-FFF2-40B4-BE49-F238E27FC236}">
                    <a16:creationId xmlns:a16="http://schemas.microsoft.com/office/drawing/2014/main" id="{33DDFACB-9DAD-45CF-AD7D-40D965651E27}"/>
                  </a:ext>
                </a:extLst>
              </xdr:cNvPr>
              <xdr:cNvSpPr/>
            </xdr:nvSpPr>
            <xdr:spPr>
              <a:xfrm>
                <a:off x="3523488" y="2657856"/>
                <a:ext cx="1475232" cy="11216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da-DK">
                    <a:solidFill>
                      <a:schemeClr val="tx1"/>
                    </a:solidFill>
                  </a:rPr>
                  <a:t>Heat Exchanger</a:t>
                </a:r>
              </a:p>
            </xdr:txBody>
          </xdr:sp>
          <xdr:cxnSp macro="">
            <xdr:nvCxnSpPr>
              <xdr:cNvPr id="8" name="Straight Arrow Connector 7">
                <a:extLst>
                  <a:ext uri="{FF2B5EF4-FFF2-40B4-BE49-F238E27FC236}">
                    <a16:creationId xmlns:a16="http://schemas.microsoft.com/office/drawing/2014/main" id="{D4595C06-BC5D-4D72-8163-C55D9C64095D}"/>
                  </a:ext>
                </a:extLst>
              </xdr:cNvPr>
              <xdr:cNvCxnSpPr/>
            </xdr:nvCxnSpPr>
            <xdr:spPr>
              <a:xfrm>
                <a:off x="2401824" y="2889504"/>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a:extLst>
                  <a:ext uri="{FF2B5EF4-FFF2-40B4-BE49-F238E27FC236}">
                    <a16:creationId xmlns:a16="http://schemas.microsoft.com/office/drawing/2014/main" id="{5A271CB9-AD4B-42A0-AFFA-EC6B65581E00}"/>
                  </a:ext>
                </a:extLst>
              </xdr:cNvPr>
              <xdr:cNvCxnSpPr/>
            </xdr:nvCxnSpPr>
            <xdr:spPr>
              <a:xfrm>
                <a:off x="4998720" y="2907792"/>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a:extLst>
                  <a:ext uri="{FF2B5EF4-FFF2-40B4-BE49-F238E27FC236}">
                    <a16:creationId xmlns:a16="http://schemas.microsoft.com/office/drawing/2014/main" id="{5725671B-D780-43E9-9448-829C2B8E351A}"/>
                  </a:ext>
                </a:extLst>
              </xdr:cNvPr>
              <xdr:cNvCxnSpPr/>
            </xdr:nvCxnSpPr>
            <xdr:spPr>
              <a:xfrm flipH="1">
                <a:off x="2401824" y="3566160"/>
                <a:ext cx="1121664" cy="60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18E1EEB2-1D3B-48EB-AD87-9CBDED0B4F27}"/>
                  </a:ext>
                </a:extLst>
              </xdr:cNvPr>
              <xdr:cNvCxnSpPr/>
            </xdr:nvCxnSpPr>
            <xdr:spPr>
              <a:xfrm flipH="1">
                <a:off x="4998720" y="3566160"/>
                <a:ext cx="1121664"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7">
                <a:extLst>
                  <a:ext uri="{FF2B5EF4-FFF2-40B4-BE49-F238E27FC236}">
                    <a16:creationId xmlns:a16="http://schemas.microsoft.com/office/drawing/2014/main" id="{7BC7BCF4-8FCE-4EFF-B2A9-BC9CBF66060E}"/>
                  </a:ext>
                </a:extLst>
              </xdr:cNvPr>
              <xdr:cNvSpPr txBox="1"/>
            </xdr:nvSpPr>
            <xdr:spPr>
              <a:xfrm>
                <a:off x="1499616" y="2993136"/>
                <a:ext cx="902208"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Air from/to data center</a:t>
                </a:r>
              </a:p>
            </xdr:txBody>
          </xdr:sp>
          <xdr:sp macro="" textlink="">
            <xdr:nvSpPr>
              <xdr:cNvPr id="13" name="TextBox 18">
                <a:extLst>
                  <a:ext uri="{FF2B5EF4-FFF2-40B4-BE49-F238E27FC236}">
                    <a16:creationId xmlns:a16="http://schemas.microsoft.com/office/drawing/2014/main" id="{E323AC54-71E0-4FD0-9A9B-526594424545}"/>
                  </a:ext>
                </a:extLst>
              </xdr:cNvPr>
              <xdr:cNvSpPr txBox="1"/>
            </xdr:nvSpPr>
            <xdr:spPr>
              <a:xfrm>
                <a:off x="6120384" y="2998417"/>
                <a:ext cx="112166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Closed loop for source of HP</a:t>
                </a:r>
              </a:p>
            </xdr:txBody>
          </xdr:sp>
          <xdr:sp macro="" textlink="">
            <xdr:nvSpPr>
              <xdr:cNvPr id="14" name="TextBox 19">
                <a:extLst>
                  <a:ext uri="{FF2B5EF4-FFF2-40B4-BE49-F238E27FC236}">
                    <a16:creationId xmlns:a16="http://schemas.microsoft.com/office/drawing/2014/main" id="{E8F824C2-C8E5-458A-B4C8-948FB440157B}"/>
                  </a:ext>
                </a:extLst>
              </xdr:cNvPr>
              <xdr:cNvSpPr txBox="1"/>
            </xdr:nvSpPr>
            <xdr:spPr>
              <a:xfrm>
                <a:off x="2401824" y="2577639"/>
                <a:ext cx="107289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T_air,in = 31 C</a:t>
                </a:r>
              </a:p>
            </xdr:txBody>
          </xdr:sp>
          <xdr:sp macro="" textlink="">
            <xdr:nvSpPr>
              <xdr:cNvPr id="15" name="TextBox 20">
                <a:extLst>
                  <a:ext uri="{FF2B5EF4-FFF2-40B4-BE49-F238E27FC236}">
                    <a16:creationId xmlns:a16="http://schemas.microsoft.com/office/drawing/2014/main" id="{568CC209-04CE-46B1-91C6-60A91E1C584E}"/>
                  </a:ext>
                </a:extLst>
              </xdr:cNvPr>
              <xdr:cNvSpPr txBox="1"/>
            </xdr:nvSpPr>
            <xdr:spPr>
              <a:xfrm>
                <a:off x="2316480" y="3641020"/>
                <a:ext cx="115824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T_air,out = 20 C</a:t>
                </a:r>
              </a:p>
            </xdr:txBody>
          </xdr:sp>
          <xdr:sp macro="" textlink="">
            <xdr:nvSpPr>
              <xdr:cNvPr id="16" name="TextBox 21">
                <a:extLst>
                  <a:ext uri="{FF2B5EF4-FFF2-40B4-BE49-F238E27FC236}">
                    <a16:creationId xmlns:a16="http://schemas.microsoft.com/office/drawing/2014/main" id="{8FE0E912-2182-476C-A819-D3B599B855FE}"/>
                  </a:ext>
                </a:extLst>
              </xdr:cNvPr>
              <xdr:cNvSpPr txBox="1"/>
            </xdr:nvSpPr>
            <xdr:spPr>
              <a:xfrm>
                <a:off x="4998720" y="2555933"/>
                <a:ext cx="1395708" cy="27885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T_source,in = 28 C</a:t>
                </a:r>
              </a:p>
            </xdr:txBody>
          </xdr:sp>
          <xdr:sp macro="" textlink="">
            <xdr:nvSpPr>
              <xdr:cNvPr id="17" name="TextBox 22">
                <a:extLst>
                  <a:ext uri="{FF2B5EF4-FFF2-40B4-BE49-F238E27FC236}">
                    <a16:creationId xmlns:a16="http://schemas.microsoft.com/office/drawing/2014/main" id="{CE0F1F1D-F8DB-4D07-8300-9716D387F077}"/>
                  </a:ext>
                </a:extLst>
              </xdr:cNvPr>
              <xdr:cNvSpPr txBox="1"/>
            </xdr:nvSpPr>
            <xdr:spPr>
              <a:xfrm>
                <a:off x="4998720" y="3641019"/>
                <a:ext cx="1426464"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T_source,out = 17 C</a:t>
                </a:r>
              </a:p>
            </xdr:txBody>
          </xdr:sp>
        </xdr:grpSp>
      </xdr:grpSp>
      <xdr:sp macro="" textlink="">
        <xdr:nvSpPr>
          <xdr:cNvPr id="4" name="TextBox 3">
            <a:extLst>
              <a:ext uri="{FF2B5EF4-FFF2-40B4-BE49-F238E27FC236}">
                <a16:creationId xmlns:a16="http://schemas.microsoft.com/office/drawing/2014/main" id="{15CB80F5-BB31-408E-BE21-E0A619746E1D}"/>
              </a:ext>
            </a:extLst>
          </xdr:cNvPr>
          <xdr:cNvSpPr txBox="1"/>
        </xdr:nvSpPr>
        <xdr:spPr>
          <a:xfrm>
            <a:off x="14344650" y="2619376"/>
            <a:ext cx="40862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Assumed configuration:</a:t>
            </a:r>
            <a:r>
              <a:rPr lang="en-US" sz="1400" b="1" baseline="0"/>
              <a:t> HX followed by heat pump</a:t>
            </a:r>
            <a:endParaRPr lang="en-US" sz="1400" b="1"/>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lex/Desktop/Kopi%20af%20alternativ_drivmiddelmodel_3.0_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VEDA/VEDA_Models/EMS/SubRES_TMPL/SubRes_ELC_Tech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olex/(%5e_%5e)/ResLab/Modelling/TIMES/TIMES-DK/SubRES_TMPL/SubRes_ELC_Plants20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VEDA/VEDA_Models/Denmark/TIMES-DK-DEA_ws2016/VT_DK_ELC_v1p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Mikkel/TIMES-DK/SuppXLS/Scen_SYS_SubAnnual_Data_Reduced-DH.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 val="HOU_E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LC_TechD"/>
      <sheetName val="ELC_ProcD"/>
      <sheetName val="Fuel"/>
      <sheetName val="O&amp;M waste and WIN "/>
    </sheetNames>
    <sheetDataSet>
      <sheetData sheetId="0"/>
      <sheetData sheetId="1"/>
      <sheetData sheetId="2"/>
      <sheetData sheetId="3"/>
      <sheetData sheetId="4">
        <row r="5">
          <cell r="E5">
            <v>0.29799999999999999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imeSlices"/>
      <sheetName val="ELC_AF-WinOn"/>
      <sheetName val="ELC_AF-WinNear"/>
      <sheetName val="ELC_AF-WinOff"/>
      <sheetName val="ELC_AF-Wav"/>
      <sheetName val="ELC_AF-PV"/>
      <sheetName val="ELC_AF-SOL"/>
      <sheetName val="RES_AF_BSOL_N"/>
      <sheetName val="SUP_Prices-NO"/>
      <sheetName val="SUP_Prices_TS-SE"/>
      <sheetName val="SUP_Prices_TS-DE"/>
      <sheetName val="SUP_Prices_TS-NL"/>
      <sheetName val="SUP_Prices_TS-UK"/>
      <sheetName val="RES_HSav_AF"/>
      <sheetName val="RES_HP_COP"/>
      <sheetName val="RES_DEM_FR"/>
      <sheetName val="ELC_HP_COP"/>
      <sheetName val="IND_HP_COP"/>
      <sheetName val="IND_AF"/>
      <sheetName val="IND_COM_FR"/>
      <sheetName val="LDC_HEAT"/>
      <sheetName val="EXH_COP"/>
      <sheetName val="TimeSeries"/>
      <sheetName val="Data_TS_Price"/>
      <sheetName val="AFA fak"/>
      <sheetName val="AF DATA"/>
      <sheetName val="FILL"/>
      <sheetName val="COPs"/>
      <sheetName val="COP 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sheetData>
      <sheetData sheetId="25" refreshError="1"/>
      <sheetData sheetId="26" refreshError="1"/>
      <sheetData sheetId="27" refreshError="1"/>
      <sheetData sheetId="28" refreshError="1"/>
      <sheetData sheetId="29">
        <row r="4">
          <cell r="D4">
            <v>1</v>
          </cell>
        </row>
      </sheetData>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3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iencedirect.com/topics/engineering/partial-load"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6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www.seatemperature.org/europe/denmark/" TargetMode="External"/><Relationship Id="rId1" Type="http://schemas.openxmlformats.org/officeDocument/2006/relationships/hyperlink" Target="https://www.seatemperature.org/europe/den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zoomScaleNormal="100" workbookViewId="0">
      <selection activeCell="B11" sqref="B11"/>
    </sheetView>
  </sheetViews>
  <sheetFormatPr baseColWidth="10" defaultColWidth="8.83203125" defaultRowHeight="15"/>
  <cols>
    <col min="1" max="1" width="11.5" customWidth="1"/>
    <col min="2" max="2" width="24.1640625" bestFit="1" customWidth="1"/>
    <col min="3" max="3" width="13.83203125" customWidth="1"/>
    <col min="4" max="4" width="19.83203125" customWidth="1"/>
    <col min="5" max="5" width="235" bestFit="1" customWidth="1"/>
  </cols>
  <sheetData>
    <row r="3" spans="1:5">
      <c r="A3" s="8" t="s">
        <v>505</v>
      </c>
      <c r="B3" s="8" t="s">
        <v>506</v>
      </c>
      <c r="C3" s="8" t="s">
        <v>507</v>
      </c>
      <c r="D3" s="8" t="s">
        <v>508</v>
      </c>
      <c r="E3" s="8" t="s">
        <v>509</v>
      </c>
    </row>
    <row r="4" spans="1:5" s="224" customFormat="1">
      <c r="A4" s="268">
        <v>43903</v>
      </c>
      <c r="B4" s="282" t="s">
        <v>708</v>
      </c>
      <c r="C4" s="8"/>
      <c r="D4" s="8"/>
      <c r="E4" s="282" t="s">
        <v>709</v>
      </c>
    </row>
    <row r="5" spans="1:5" s="267" customFormat="1">
      <c r="A5" s="268">
        <v>43144</v>
      </c>
      <c r="B5" s="267" t="s">
        <v>510</v>
      </c>
      <c r="C5" s="267" t="s">
        <v>687</v>
      </c>
      <c r="D5" s="267" t="e">
        <f>ADDRESS(ROW(#REF!),COLUMN(#REF!),4,1)</f>
        <v>#REF!</v>
      </c>
      <c r="E5" s="267" t="s">
        <v>688</v>
      </c>
    </row>
    <row r="6" spans="1:5" s="267" customFormat="1">
      <c r="A6" s="268">
        <v>42958</v>
      </c>
      <c r="B6" s="267" t="s">
        <v>684</v>
      </c>
      <c r="C6" s="267" t="s">
        <v>131</v>
      </c>
      <c r="D6" s="267" t="str">
        <f>ADDRESS(ROW('Electric heating'!L39),COLUMN('Electric heating'!L39),4,1)&amp;":"&amp;ADDRESS(ROW('Electric heating'!Q42),COLUMN('Electric heating'!Q42),4,1)</f>
        <v>L39:Q42</v>
      </c>
      <c r="E6" s="267" t="s">
        <v>685</v>
      </c>
    </row>
    <row r="7" spans="1:5" s="224" customFormat="1">
      <c r="A7" s="268">
        <v>42593</v>
      </c>
      <c r="B7" s="282" t="s">
        <v>606</v>
      </c>
      <c r="C7" s="282" t="s">
        <v>576</v>
      </c>
      <c r="D7" s="282"/>
      <c r="E7" s="282" t="s">
        <v>644</v>
      </c>
    </row>
    <row r="8" spans="1:5" s="224" customFormat="1">
      <c r="A8" s="268">
        <v>42578</v>
      </c>
      <c r="B8" s="282" t="s">
        <v>606</v>
      </c>
      <c r="C8" s="282" t="s">
        <v>533</v>
      </c>
      <c r="D8" s="282"/>
      <c r="E8" s="282" t="s">
        <v>636</v>
      </c>
    </row>
    <row r="9" spans="1:5" s="224" customFormat="1">
      <c r="A9" s="268">
        <v>42572</v>
      </c>
      <c r="B9" s="282" t="s">
        <v>606</v>
      </c>
      <c r="C9" s="282" t="s">
        <v>533</v>
      </c>
      <c r="D9" s="282"/>
      <c r="E9" s="282" t="s">
        <v>629</v>
      </c>
    </row>
    <row r="10" spans="1:5" s="224" customFormat="1">
      <c r="A10" s="268">
        <v>42572</v>
      </c>
      <c r="B10" s="282" t="s">
        <v>606</v>
      </c>
      <c r="C10" s="282" t="s">
        <v>624</v>
      </c>
      <c r="D10" s="282"/>
      <c r="E10" s="282" t="s">
        <v>625</v>
      </c>
    </row>
    <row r="11" spans="1:5" s="224" customFormat="1">
      <c r="A11" s="268">
        <v>42536</v>
      </c>
      <c r="B11" s="282" t="s">
        <v>606</v>
      </c>
      <c r="C11" s="282" t="s">
        <v>551</v>
      </c>
      <c r="D11" s="282"/>
      <c r="E11" s="282" t="s">
        <v>623</v>
      </c>
    </row>
    <row r="12" spans="1:5" s="224" customFormat="1">
      <c r="A12" s="268">
        <v>42502</v>
      </c>
      <c r="B12" s="282" t="s">
        <v>606</v>
      </c>
      <c r="C12" s="282" t="s">
        <v>533</v>
      </c>
      <c r="D12" s="282"/>
      <c r="E12" s="282" t="s">
        <v>622</v>
      </c>
    </row>
    <row r="13" spans="1:5" s="224" customFormat="1">
      <c r="A13" s="268">
        <v>42501</v>
      </c>
      <c r="B13" s="282" t="s">
        <v>606</v>
      </c>
      <c r="C13" s="282" t="s">
        <v>533</v>
      </c>
      <c r="D13" s="282"/>
      <c r="E13" s="282" t="s">
        <v>621</v>
      </c>
    </row>
    <row r="14" spans="1:5" s="224" customFormat="1">
      <c r="A14" s="268">
        <v>42488</v>
      </c>
      <c r="B14" s="282" t="s">
        <v>606</v>
      </c>
      <c r="C14" s="282" t="s">
        <v>551</v>
      </c>
      <c r="D14" s="282" t="s">
        <v>618</v>
      </c>
      <c r="E14" s="282" t="s">
        <v>619</v>
      </c>
    </row>
    <row r="15" spans="1:5" s="224" customFormat="1">
      <c r="A15" s="268">
        <v>42487</v>
      </c>
      <c r="B15" s="282" t="s">
        <v>606</v>
      </c>
      <c r="C15" s="282" t="s">
        <v>533</v>
      </c>
      <c r="D15" s="282"/>
      <c r="E15" s="282" t="s">
        <v>615</v>
      </c>
    </row>
    <row r="16" spans="1:5" s="224" customFormat="1">
      <c r="A16" s="268">
        <v>42487</v>
      </c>
      <c r="B16" s="282" t="s">
        <v>606</v>
      </c>
      <c r="C16" s="282" t="s">
        <v>533</v>
      </c>
      <c r="D16" s="282" t="s">
        <v>614</v>
      </c>
      <c r="E16" s="282" t="s">
        <v>613</v>
      </c>
    </row>
    <row r="17" spans="1:5" s="224" customFormat="1">
      <c r="A17" s="268">
        <v>42487</v>
      </c>
      <c r="B17" s="282" t="s">
        <v>606</v>
      </c>
      <c r="C17" s="282" t="s">
        <v>533</v>
      </c>
      <c r="D17" s="282" t="s">
        <v>611</v>
      </c>
      <c r="E17" s="282" t="s">
        <v>612</v>
      </c>
    </row>
    <row r="18" spans="1:5" s="224" customFormat="1">
      <c r="A18" s="268">
        <v>42486</v>
      </c>
      <c r="B18" s="282" t="s">
        <v>606</v>
      </c>
      <c r="C18" s="282" t="s">
        <v>533</v>
      </c>
      <c r="D18" s="282" t="s">
        <v>610</v>
      </c>
      <c r="E18" s="282" t="s">
        <v>609</v>
      </c>
    </row>
    <row r="19" spans="1:5" s="282" customFormat="1">
      <c r="A19" s="268">
        <v>42486</v>
      </c>
      <c r="B19" s="282" t="s">
        <v>606</v>
      </c>
      <c r="C19" s="282" t="s">
        <v>533</v>
      </c>
      <c r="D19" s="282" t="s">
        <v>607</v>
      </c>
      <c r="E19" s="282" t="s">
        <v>608</v>
      </c>
    </row>
    <row r="20" spans="1:5" s="224" customFormat="1">
      <c r="A20" s="268">
        <v>42479</v>
      </c>
      <c r="B20" s="282" t="s">
        <v>536</v>
      </c>
      <c r="C20" s="282" t="s">
        <v>539</v>
      </c>
      <c r="D20" s="282"/>
      <c r="E20" s="282" t="s">
        <v>540</v>
      </c>
    </row>
    <row r="21" spans="1:5" s="224" customFormat="1">
      <c r="A21" s="268">
        <v>42479</v>
      </c>
      <c r="B21" s="282" t="s">
        <v>536</v>
      </c>
      <c r="C21" s="282" t="s">
        <v>537</v>
      </c>
      <c r="D21" s="282"/>
      <c r="E21" s="282" t="s">
        <v>538</v>
      </c>
    </row>
    <row r="22" spans="1:5" s="224" customFormat="1">
      <c r="A22" s="268">
        <v>42467</v>
      </c>
      <c r="B22" s="282" t="s">
        <v>532</v>
      </c>
      <c r="C22" s="282" t="s">
        <v>533</v>
      </c>
      <c r="D22" s="282" t="s">
        <v>535</v>
      </c>
      <c r="E22" s="282" t="s">
        <v>534</v>
      </c>
    </row>
    <row r="23" spans="1:5" s="267" customFormat="1">
      <c r="A23" s="268">
        <v>42261</v>
      </c>
      <c r="B23" s="267" t="s">
        <v>528</v>
      </c>
      <c r="C23" s="267" t="s">
        <v>529</v>
      </c>
      <c r="D23" s="267" t="e">
        <f>ADDRESS(ROW(#REF!),COLUMN(#REF!),4,1)</f>
        <v>#REF!</v>
      </c>
      <c r="E23" s="267" t="s">
        <v>530</v>
      </c>
    </row>
    <row r="24" spans="1:5" s="267" customFormat="1">
      <c r="A24" s="268">
        <v>42129</v>
      </c>
      <c r="B24" s="267" t="s">
        <v>522</v>
      </c>
      <c r="C24" s="267" t="s">
        <v>511</v>
      </c>
      <c r="D24" s="267" t="e">
        <f>ADDRESS(ROW(#REF!),COLUMN(#REF!),4,1)</f>
        <v>#REF!</v>
      </c>
      <c r="E24" s="267" t="s">
        <v>526</v>
      </c>
    </row>
    <row r="25" spans="1:5" s="267" customFormat="1">
      <c r="A25" s="268">
        <v>42129</v>
      </c>
      <c r="B25" s="267" t="s">
        <v>522</v>
      </c>
      <c r="C25" s="267" t="s">
        <v>523</v>
      </c>
      <c r="D25" s="267" t="e">
        <f>ADDRESS(ROW(#REF!),COLUMN(#REF!),4,1)</f>
        <v>#REF!</v>
      </c>
      <c r="E25" s="267" t="s">
        <v>525</v>
      </c>
    </row>
    <row r="26" spans="1:5" s="267" customFormat="1">
      <c r="A26" s="268">
        <v>42129</v>
      </c>
      <c r="B26" s="267" t="s">
        <v>522</v>
      </c>
      <c r="C26" s="267" t="s">
        <v>523</v>
      </c>
      <c r="D26" s="267" t="e">
        <f>ADDRESS(ROW(#REF!),COLUMN(#REF!),4,1)</f>
        <v>#REF!</v>
      </c>
      <c r="E26" s="267" t="s">
        <v>524</v>
      </c>
    </row>
    <row r="27" spans="1:5" s="267" customFormat="1">
      <c r="A27" s="268">
        <v>42074</v>
      </c>
      <c r="B27" s="267" t="s">
        <v>510</v>
      </c>
      <c r="C27" s="267" t="s">
        <v>511</v>
      </c>
      <c r="D27" s="267" t="e">
        <f>ADDRESS(ROW(#REF!),COLUMN(#REF!),4,1)&amp;","&amp;ADDRESS(ROW(#REF!),COLUMN(#REF!),4,1)&amp;","&amp;ADDRESS(ROW(#REF!),COLUMN(#REF!),4,1)&amp;","&amp;ADDRESS(ROW(#REF!),COLUMN(#REF!),4,1)</f>
        <v>#REF!</v>
      </c>
      <c r="E27" s="267" t="s">
        <v>512</v>
      </c>
    </row>
    <row r="28" spans="1:5">
      <c r="A28" s="269">
        <v>41841</v>
      </c>
      <c r="B28" s="224" t="s">
        <v>477</v>
      </c>
      <c r="C28" s="224" t="s">
        <v>479</v>
      </c>
      <c r="D28" s="224" t="s">
        <v>513</v>
      </c>
      <c r="E28" s="224" t="s">
        <v>514</v>
      </c>
    </row>
    <row r="29" spans="1:5">
      <c r="A29" s="269">
        <v>41841</v>
      </c>
      <c r="B29" s="224" t="s">
        <v>477</v>
      </c>
      <c r="C29" s="224" t="s">
        <v>478</v>
      </c>
      <c r="D29" s="224" t="s">
        <v>513</v>
      </c>
      <c r="E29" s="224" t="s">
        <v>514</v>
      </c>
    </row>
    <row r="30" spans="1:5">
      <c r="A30" s="269">
        <v>41802</v>
      </c>
      <c r="B30" s="224" t="s">
        <v>474</v>
      </c>
      <c r="C30" s="224" t="s">
        <v>476</v>
      </c>
      <c r="D30" s="224" t="s">
        <v>515</v>
      </c>
      <c r="E30" s="224" t="s">
        <v>517</v>
      </c>
    </row>
    <row r="31" spans="1:5" ht="16">
      <c r="A31" s="269">
        <v>41802</v>
      </c>
      <c r="B31" s="224" t="s">
        <v>474</v>
      </c>
      <c r="C31" s="224" t="s">
        <v>475</v>
      </c>
      <c r="D31" s="74" t="s">
        <v>515</v>
      </c>
      <c r="E31" s="224" t="s">
        <v>516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D47"/>
  <sheetViews>
    <sheetView topLeftCell="A8" workbookViewId="0">
      <selection activeCell="D24" sqref="D24"/>
    </sheetView>
  </sheetViews>
  <sheetFormatPr baseColWidth="10" defaultColWidth="9.1640625" defaultRowHeight="14"/>
  <cols>
    <col min="1" max="1" width="9.1640625" style="289"/>
    <col min="2" max="2" width="24" style="289" bestFit="1" customWidth="1"/>
    <col min="3" max="3" width="138.5" style="289" customWidth="1"/>
    <col min="4" max="16384" width="9.1640625" style="289"/>
  </cols>
  <sheetData>
    <row r="1" spans="2:4" ht="19">
      <c r="B1" s="288" t="s">
        <v>541</v>
      </c>
    </row>
    <row r="3" spans="2:4" ht="15">
      <c r="B3" s="290" t="s">
        <v>542</v>
      </c>
      <c r="C3" s="289" t="s">
        <v>549</v>
      </c>
    </row>
    <row r="4" spans="2:4" ht="15">
      <c r="B4" s="290" t="s">
        <v>543</v>
      </c>
      <c r="C4" s="289" t="s">
        <v>557</v>
      </c>
    </row>
    <row r="5" spans="2:4" ht="15">
      <c r="B5" s="290"/>
    </row>
    <row r="6" spans="2:4" ht="15">
      <c r="B6" s="290" t="s">
        <v>544</v>
      </c>
      <c r="C6" s="289" t="s">
        <v>548</v>
      </c>
    </row>
    <row r="7" spans="2:4" ht="15">
      <c r="B7" s="290"/>
    </row>
    <row r="8" spans="2:4" ht="15">
      <c r="B8" s="291" t="s">
        <v>545</v>
      </c>
    </row>
    <row r="9" spans="2:4" ht="15">
      <c r="B9" s="290"/>
      <c r="D9" s="289" t="s">
        <v>697</v>
      </c>
    </row>
    <row r="10" spans="2:4" ht="15">
      <c r="B10" s="295" t="s">
        <v>546</v>
      </c>
      <c r="C10" s="292" t="s">
        <v>547</v>
      </c>
    </row>
    <row r="11" spans="2:4" ht="15">
      <c r="B11" s="294" t="s">
        <v>529</v>
      </c>
      <c r="C11" s="292" t="s">
        <v>527</v>
      </c>
    </row>
    <row r="12" spans="2:4" ht="15">
      <c r="B12" s="294" t="s">
        <v>698</v>
      </c>
      <c r="C12" s="292" t="s">
        <v>703</v>
      </c>
      <c r="D12" s="289" t="s">
        <v>2128</v>
      </c>
    </row>
    <row r="13" spans="2:4" ht="15">
      <c r="B13" s="294" t="s">
        <v>699</v>
      </c>
      <c r="C13" s="292" t="s">
        <v>704</v>
      </c>
      <c r="D13" s="289" t="s">
        <v>2128</v>
      </c>
    </row>
    <row r="14" spans="2:4" ht="15">
      <c r="B14" s="294" t="s">
        <v>700</v>
      </c>
      <c r="C14" s="292" t="s">
        <v>705</v>
      </c>
      <c r="D14" s="289" t="s">
        <v>2128</v>
      </c>
    </row>
    <row r="15" spans="2:4" ht="15">
      <c r="B15" s="294" t="s">
        <v>701</v>
      </c>
      <c r="C15" s="292" t="s">
        <v>706</v>
      </c>
      <c r="D15" s="289" t="s">
        <v>2128</v>
      </c>
    </row>
    <row r="16" spans="2:4" ht="15">
      <c r="B16" s="294" t="s">
        <v>702</v>
      </c>
      <c r="C16" s="292" t="s">
        <v>707</v>
      </c>
      <c r="D16" s="289" t="s">
        <v>2128</v>
      </c>
    </row>
    <row r="17" spans="2:4" ht="15">
      <c r="B17" s="294" t="s">
        <v>511</v>
      </c>
      <c r="C17" s="292" t="s">
        <v>558</v>
      </c>
      <c r="D17" s="289" t="s">
        <v>2128</v>
      </c>
    </row>
    <row r="18" spans="2:4" ht="15">
      <c r="B18" s="294" t="s">
        <v>550</v>
      </c>
      <c r="C18" s="292" t="s">
        <v>559</v>
      </c>
      <c r="D18" s="289" t="s">
        <v>2128</v>
      </c>
    </row>
    <row r="19" spans="2:4" ht="15">
      <c r="B19" s="294" t="s">
        <v>552</v>
      </c>
      <c r="C19" s="292" t="s">
        <v>560</v>
      </c>
      <c r="D19" s="289" t="s">
        <v>2128</v>
      </c>
    </row>
    <row r="20" spans="2:4" ht="15">
      <c r="B20" s="294" t="s">
        <v>553</v>
      </c>
      <c r="C20" s="292" t="s">
        <v>561</v>
      </c>
      <c r="D20" s="289" t="s">
        <v>2128</v>
      </c>
    </row>
    <row r="21" spans="2:4" ht="15">
      <c r="B21" s="294" t="s">
        <v>554</v>
      </c>
      <c r="C21" s="292" t="s">
        <v>562</v>
      </c>
      <c r="D21" s="289" t="s">
        <v>2128</v>
      </c>
    </row>
    <row r="22" spans="2:4" ht="15">
      <c r="B22" s="294" t="s">
        <v>555</v>
      </c>
      <c r="C22" s="292" t="s">
        <v>563</v>
      </c>
      <c r="D22" s="289" t="s">
        <v>2128</v>
      </c>
    </row>
    <row r="23" spans="2:4" ht="15">
      <c r="B23" s="294" t="s">
        <v>556</v>
      </c>
      <c r="C23" s="292" t="s">
        <v>564</v>
      </c>
      <c r="D23" s="289" t="s">
        <v>2128</v>
      </c>
    </row>
    <row r="24" spans="2:4" ht="15">
      <c r="B24" s="297" t="s">
        <v>551</v>
      </c>
      <c r="C24" s="292" t="s">
        <v>616</v>
      </c>
      <c r="D24" s="289" t="s">
        <v>2128</v>
      </c>
    </row>
    <row r="25" spans="2:4" ht="15">
      <c r="B25" s="293" t="s">
        <v>565</v>
      </c>
      <c r="C25" s="292" t="s">
        <v>583</v>
      </c>
    </row>
    <row r="26" spans="2:4" ht="15">
      <c r="B26" s="293" t="s">
        <v>37</v>
      </c>
      <c r="C26" s="292" t="s">
        <v>584</v>
      </c>
    </row>
    <row r="27" spans="2:4" ht="15">
      <c r="B27" s="293" t="s">
        <v>566</v>
      </c>
      <c r="C27" s="292" t="s">
        <v>585</v>
      </c>
    </row>
    <row r="28" spans="2:4" ht="15">
      <c r="B28" s="293" t="s">
        <v>567</v>
      </c>
      <c r="C28" s="292" t="s">
        <v>586</v>
      </c>
    </row>
    <row r="29" spans="2:4" ht="15">
      <c r="B29" s="293" t="s">
        <v>568</v>
      </c>
      <c r="C29" s="292" t="s">
        <v>587</v>
      </c>
    </row>
    <row r="30" spans="2:4" ht="15">
      <c r="B30" s="293" t="s">
        <v>569</v>
      </c>
      <c r="C30" s="292" t="s">
        <v>588</v>
      </c>
    </row>
    <row r="31" spans="2:4" ht="15">
      <c r="B31" s="293" t="s">
        <v>570</v>
      </c>
      <c r="C31" s="292" t="s">
        <v>589</v>
      </c>
    </row>
    <row r="32" spans="2:4" ht="15">
      <c r="B32" s="293" t="s">
        <v>93</v>
      </c>
      <c r="C32" s="292" t="s">
        <v>590</v>
      </c>
    </row>
    <row r="33" spans="2:3" ht="15">
      <c r="B33" s="293" t="s">
        <v>99</v>
      </c>
      <c r="C33" s="292" t="s">
        <v>591</v>
      </c>
    </row>
    <row r="34" spans="2:3" ht="15">
      <c r="B34" s="293" t="s">
        <v>571</v>
      </c>
      <c r="C34" s="292" t="s">
        <v>592</v>
      </c>
    </row>
    <row r="35" spans="2:3" ht="15">
      <c r="B35" s="293" t="s">
        <v>572</v>
      </c>
      <c r="C35" s="292" t="s">
        <v>593</v>
      </c>
    </row>
    <row r="36" spans="2:3" ht="15">
      <c r="B36" s="293" t="s">
        <v>573</v>
      </c>
      <c r="C36" s="292" t="s">
        <v>594</v>
      </c>
    </row>
    <row r="37" spans="2:3" ht="15">
      <c r="B37" s="293" t="s">
        <v>574</v>
      </c>
      <c r="C37" s="292" t="s">
        <v>595</v>
      </c>
    </row>
    <row r="38" spans="2:3" ht="15">
      <c r="B38" s="293" t="s">
        <v>575</v>
      </c>
      <c r="C38" s="292" t="s">
        <v>596</v>
      </c>
    </row>
    <row r="39" spans="2:3" ht="15">
      <c r="B39" s="293" t="s">
        <v>576</v>
      </c>
      <c r="C39" s="292" t="s">
        <v>597</v>
      </c>
    </row>
    <row r="40" spans="2:3" ht="15">
      <c r="B40" s="293" t="s">
        <v>117</v>
      </c>
      <c r="C40" s="292" t="s">
        <v>598</v>
      </c>
    </row>
    <row r="41" spans="2:3" ht="15">
      <c r="B41" s="293" t="s">
        <v>577</v>
      </c>
      <c r="C41" s="292" t="s">
        <v>599</v>
      </c>
    </row>
    <row r="42" spans="2:3" ht="15">
      <c r="B42" s="293" t="s">
        <v>578</v>
      </c>
      <c r="C42" s="289" t="s">
        <v>600</v>
      </c>
    </row>
    <row r="43" spans="2:3" ht="15">
      <c r="B43" s="293" t="s">
        <v>579</v>
      </c>
      <c r="C43" s="289" t="s">
        <v>601</v>
      </c>
    </row>
    <row r="44" spans="2:3" ht="15">
      <c r="B44" s="293" t="s">
        <v>580</v>
      </c>
      <c r="C44" s="289" t="s">
        <v>602</v>
      </c>
    </row>
    <row r="45" spans="2:3" ht="15">
      <c r="B45" s="293" t="s">
        <v>581</v>
      </c>
      <c r="C45" s="289" t="s">
        <v>603</v>
      </c>
    </row>
    <row r="46" spans="2:3" ht="15">
      <c r="B46" s="293" t="s">
        <v>582</v>
      </c>
      <c r="C46" s="289" t="s">
        <v>604</v>
      </c>
    </row>
    <row r="47" spans="2:3" ht="15">
      <c r="B47" s="293" t="s">
        <v>264</v>
      </c>
      <c r="C47" s="289" t="s">
        <v>605</v>
      </c>
    </row>
  </sheetData>
  <phoneticPr fontId="115" type="noConversion"/>
  <conditionalFormatting sqref="C3">
    <cfRule type="cellIs" dxfId="7" priority="1" operator="equal">
      <formula>"No"</formula>
    </cfRule>
    <cfRule type="cellIs" dxfId="6"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E32" sqref="E32"/>
    </sheetView>
  </sheetViews>
  <sheetFormatPr baseColWidth="10" defaultColWidth="8.83203125"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H17" sqref="H17"/>
    </sheetView>
  </sheetViews>
  <sheetFormatPr baseColWidth="10" defaultColWidth="8.83203125" defaultRowHeight="15"/>
  <sheetData>
    <row r="1" spans="2:3">
      <c r="B1" t="s">
        <v>783</v>
      </c>
    </row>
    <row r="2" spans="2:3">
      <c r="B2" s="711" t="s">
        <v>1011</v>
      </c>
    </row>
    <row r="3" spans="2:3">
      <c r="B3" s="711" t="s">
        <v>1012</v>
      </c>
    </row>
    <row r="4" spans="2:3">
      <c r="C4" s="711" t="s">
        <v>1013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0F473-A8AD-4E49-9FB9-5B34DD4B5AC6}">
  <sheetPr>
    <tabColor rgb="FF00B050"/>
  </sheetPr>
  <dimension ref="A1:AJ301"/>
  <sheetViews>
    <sheetView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7.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716</v>
      </c>
      <c r="N1" s="64"/>
      <c r="O1" s="64"/>
      <c r="P1" s="64"/>
      <c r="S1" s="727" t="s">
        <v>1004</v>
      </c>
      <c r="T1" s="776" t="s">
        <v>1003</v>
      </c>
      <c r="U1" s="775" t="s">
        <v>1053</v>
      </c>
      <c r="V1" s="776" t="s">
        <v>1054</v>
      </c>
      <c r="W1" s="780">
        <v>0.3</v>
      </c>
    </row>
    <row r="2" spans="2:36" ht="16" thickBot="1">
      <c r="E2" s="730" t="s">
        <v>531</v>
      </c>
      <c r="N2" s="731"/>
      <c r="O2" s="731"/>
      <c r="P2" s="731"/>
      <c r="S2" s="726">
        <f>MATCH($E$1,$AJ$22:$AJ$35)</f>
        <v>7</v>
      </c>
      <c r="T2" s="778">
        <f>MATCH($E$1,$AJ$22:$AJ$35)+1</f>
        <v>8</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FEMIS~INDSOx</v>
      </c>
      <c r="Y6" s="280" t="str">
        <f>"FEMIS~"&amp;D297</f>
        <v>FEMIS~INDNOx</v>
      </c>
      <c r="Z6" s="280" t="str">
        <f>"FEMIS~"&amp;D298</f>
        <v>FEMIS~INDCH4</v>
      </c>
      <c r="AA6" s="280" t="str">
        <f>"FEMIS~"&amp;D299</f>
        <v>FEMIS~INDNO2</v>
      </c>
      <c r="AB6" s="280" t="str">
        <f>"FEMIS~"&amp;D300</f>
        <v>FEMIS~INDPM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INDNDPHELCN1</v>
      </c>
      <c r="E9" s="261" t="str">
        <f>"Industrial heating technology "&amp;$AJ$12&amp;" "&amp;RIGHT(H9,2)&amp;" - Heat pump utilizing waste heat - new 1"</f>
        <v>Industrial heating technology N PH - Heat pump utilizing waste heat - new 1</v>
      </c>
      <c r="F9" s="224" t="s">
        <v>1149</v>
      </c>
      <c r="G9" s="173" t="s">
        <v>499</v>
      </c>
      <c r="H9" s="174" t="str">
        <f>$AI$14</f>
        <v>INDPH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INDNWH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INDPH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INDNWH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887</v>
      </c>
    </row>
    <row r="13" spans="2:36">
      <c r="B13" s="357" t="s">
        <v>998</v>
      </c>
      <c r="D13" s="212"/>
      <c r="E13" s="212"/>
      <c r="F13" s="224" t="s">
        <v>1149</v>
      </c>
      <c r="G13" s="173" t="s">
        <v>499</v>
      </c>
      <c r="H13" s="174" t="str">
        <f>$AI$14</f>
        <v>INDPH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INDPH</v>
      </c>
      <c r="AJ13" s="224" t="str">
        <f>"Industry "&amp;$AJ$12&amp;" Demand Heat High Temp. over 150C"</f>
        <v>Industry N Demand Heat High Temp. over 150C</v>
      </c>
    </row>
    <row r="14" spans="2:36">
      <c r="B14" s="357" t="s">
        <v>998</v>
      </c>
      <c r="D14" s="212"/>
      <c r="E14" s="212"/>
      <c r="F14" s="224" t="s">
        <v>1149</v>
      </c>
      <c r="G14" s="173" t="str">
        <f>$AI$20</f>
        <v>INDNWH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INDPH</v>
      </c>
      <c r="AJ14" s="224" t="str">
        <f>"Industry "&amp;$AJ$12&amp;" Demand Heat Medium Temp. up to 150C"</f>
        <v>Industry N Demand Heat Medium Temp. up to 150C</v>
      </c>
    </row>
    <row r="15" spans="2:36">
      <c r="B15" s="357" t="s">
        <v>998</v>
      </c>
      <c r="D15" s="212" t="str">
        <f>"IND"&amp;RIGHT(H15,4)&amp;RIGHT(G15,3)&amp;"N"&amp;RIGHT(E15,1)</f>
        <v>INDNDSHELCN1</v>
      </c>
      <c r="E15" s="261" t="str">
        <f>"Industrial heating technology "&amp;$AJ$12&amp;" "&amp;RIGHT(H15,2)&amp;" - Heat pump utilizing waste heat - new 1"</f>
        <v>Industrial heating technology N SH - Heat pump utilizing waste heat - new 1</v>
      </c>
      <c r="F15" s="224" t="s">
        <v>1149</v>
      </c>
      <c r="G15" s="173" t="s">
        <v>499</v>
      </c>
      <c r="H15" s="174" t="str">
        <f>$AI$15</f>
        <v>INDSH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INDSH</v>
      </c>
      <c r="AJ15" s="224" t="str">
        <f>"Industry "&amp;$AJ$12&amp;" Demand Heat Room Heat"</f>
        <v>Industry N Demand Heat Room Heat</v>
      </c>
    </row>
    <row r="16" spans="2:36">
      <c r="B16" s="357" t="s">
        <v>998</v>
      </c>
      <c r="D16" s="212"/>
      <c r="E16" s="261"/>
      <c r="F16" s="224" t="s">
        <v>1149</v>
      </c>
      <c r="G16" s="173" t="str">
        <f>$AI$20</f>
        <v>INDNWH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INDLA</v>
      </c>
      <c r="AJ16" s="224" t="str">
        <f>"Industry "&amp;$AJ$12&amp;" Demand Light Appliances"</f>
        <v>Industry N Demand Light Appliances</v>
      </c>
    </row>
    <row r="17" spans="2:36">
      <c r="B17" s="357" t="s">
        <v>998</v>
      </c>
      <c r="D17" s="212"/>
      <c r="E17" s="212"/>
      <c r="F17" s="224" t="s">
        <v>1149</v>
      </c>
      <c r="G17" s="173" t="s">
        <v>499</v>
      </c>
      <c r="H17" s="174" t="str">
        <f>$AI$15</f>
        <v>INDSH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INDEM</v>
      </c>
      <c r="AJ17" s="224" t="str">
        <f>"Industry "&amp;$AJ$12&amp;" Demand Electric Motors"</f>
        <v>Industry N Demand Electric Motors</v>
      </c>
    </row>
    <row r="18" spans="2:36">
      <c r="B18" s="357" t="s">
        <v>998</v>
      </c>
      <c r="D18" s="212"/>
      <c r="E18" s="212"/>
      <c r="F18" s="224" t="s">
        <v>1149</v>
      </c>
      <c r="G18" s="173" t="str">
        <f>$AI$20</f>
        <v>INDNWH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INDTF</v>
      </c>
      <c r="AJ18" s="224" t="str">
        <f>"Industry "&amp;$AJ$12&amp;" Demand Tractors, Trucks, Fishing boats, Forest machines"</f>
        <v>Industry N Demand Tractors, Trucks, Fishing boats, Forest machines</v>
      </c>
    </row>
    <row r="19" spans="2:36">
      <c r="B19" s="357" t="s">
        <v>998</v>
      </c>
      <c r="D19" s="212"/>
      <c r="E19" s="212"/>
      <c r="F19" s="224" t="s">
        <v>1149</v>
      </c>
      <c r="G19" s="173" t="s">
        <v>499</v>
      </c>
      <c r="H19" s="174" t="str">
        <f>$AI$15</f>
        <v>INDSH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INDFL</v>
      </c>
      <c r="AJ19" s="224" t="str">
        <f>"Industry "&amp;$AJ$12&amp;" Demand Forklifts"</f>
        <v>Industry N Demand Forklifts</v>
      </c>
    </row>
    <row r="20" spans="2:36">
      <c r="B20" s="357" t="s">
        <v>998</v>
      </c>
      <c r="D20" s="212"/>
      <c r="E20" s="212"/>
      <c r="F20" s="224" t="s">
        <v>1149</v>
      </c>
      <c r="G20" s="173" t="str">
        <f>$AI$20</f>
        <v>INDNWH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INDNWH</v>
      </c>
      <c r="AJ20" s="224" t="str">
        <f>"Industry "&amp;$AJ$12&amp;" Waste Heat"</f>
        <v>Industry N Waste Heat</v>
      </c>
    </row>
    <row r="21" spans="2:36">
      <c r="B21" s="357" t="s">
        <v>999</v>
      </c>
      <c r="D21" s="212" t="str">
        <f>"IND"&amp;RIGHT(H21,4)&amp;RIGHT(G21,3)&amp;"N"&amp;RIGHT(E21,1)</f>
        <v>INDNDPHELCN2</v>
      </c>
      <c r="E21" s="261" t="str">
        <f>"Industrial heating technology "&amp;$AJ$12&amp;" "&amp;RIGHT(H21,2)&amp;" - Heat driven heat pump utilizing waste heat - new 2"</f>
        <v>Industrial heating technology N PH - Heat driven heat pump utilizing waste heat - new 2</v>
      </c>
      <c r="F21" s="224" t="s">
        <v>1149</v>
      </c>
      <c r="G21" s="173" t="s">
        <v>499</v>
      </c>
      <c r="H21" s="174" t="str">
        <f>$AI$14</f>
        <v>INDPH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INDCO</v>
      </c>
      <c r="AJ21" s="224" t="str">
        <f>"Industry "&amp;$AJ$12&amp;" Cooling"</f>
        <v>Industry N Cooling</v>
      </c>
    </row>
    <row r="22" spans="2:36">
      <c r="B22" s="357" t="s">
        <v>999</v>
      </c>
      <c r="D22" s="212"/>
      <c r="E22" s="261"/>
      <c r="F22" s="224" t="s">
        <v>1149</v>
      </c>
      <c r="G22" s="173" t="str">
        <f>$AI$20</f>
        <v>INDNWH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INDPH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INDNWH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INDPH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INDNWH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INDNDSHELCN2</v>
      </c>
      <c r="E27" s="261" t="str">
        <f>"Industrial heating technology "&amp;$AJ$12&amp;" "&amp;RIGHT(H27,2)&amp;" - Heat driven heat pump utilizing waste heat - new 2"</f>
        <v>Industrial heating technology N SH - Heat driven heat pump utilizing waste heat - new 2</v>
      </c>
      <c r="F27" s="224" t="s">
        <v>1149</v>
      </c>
      <c r="G27" s="173" t="s">
        <v>499</v>
      </c>
      <c r="H27" s="174" t="str">
        <f>$AI$15</f>
        <v>INDSH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INDNWH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INDSH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INDNWH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INDSH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INDNWH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INDNDPHELCN3</v>
      </c>
      <c r="E33" s="261" t="str">
        <f>"Industrial heating technology "&amp;$AJ$12&amp;" "&amp;RIGHT(H33,2)&amp;" - High Temp abs. Heat pump utilizing waste heat - new 3"</f>
        <v>Industrial heating technology N PH - High Temp abs. Heat pump utilizing waste heat - new 3</v>
      </c>
      <c r="F33" s="224" t="s">
        <v>1149</v>
      </c>
      <c r="G33" s="173" t="s">
        <v>499</v>
      </c>
      <c r="H33" s="174" t="str">
        <f>$AI$14</f>
        <v>INDPH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INDNWH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INDPH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INDNWH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INDPH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INDNWH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INDNDSHELCN3</v>
      </c>
      <c r="E39" s="261" t="str">
        <f>"Industrial heating technology "&amp;$AJ$12&amp;" "&amp;RIGHT(H39,2)&amp;" - High Temp abs. Heat pump utilizing waste heat - new 3"</f>
        <v>Industrial heating technology N SH - High Temp abs. Heat pump utilizing waste heat - new 3</v>
      </c>
      <c r="F39" s="224" t="s">
        <v>1149</v>
      </c>
      <c r="G39" s="173" t="s">
        <v>499</v>
      </c>
      <c r="H39" s="174" t="str">
        <f>$AI$15</f>
        <v>INDSH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INDNWH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INDSH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INDNWH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INDSH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INDNWH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INDNDPHELCN4</v>
      </c>
      <c r="E45" s="261" t="str">
        <f>"Industrial heating technology "&amp;$AJ$12&amp;" "&amp;RIGHT(H45,2)&amp;" - Booster Heat pump utilizing waste heat - new 4"</f>
        <v>Industrial heating technology N PH - Booster Heat pump utilizing waste heat - new 4</v>
      </c>
      <c r="F45" s="224" t="s">
        <v>1149</v>
      </c>
      <c r="G45" s="173" t="s">
        <v>499</v>
      </c>
      <c r="H45" s="174" t="str">
        <f>$AI$14</f>
        <v>INDPH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INDNWH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INDPH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INDNWH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INDPH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INDNWH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INDNDSHELCN4</v>
      </c>
      <c r="E51" s="261" t="str">
        <f>"Industrial heating technology "&amp;$AJ$12&amp;" "&amp;RIGHT(H51,2)&amp;" - Booster Heat pump utilizing waste heat - new 4"</f>
        <v>Industrial heating technology N SH - Booster Heat pump utilizing waste heat - new 4</v>
      </c>
      <c r="F51" s="224" t="s">
        <v>1149</v>
      </c>
      <c r="G51" s="173" t="s">
        <v>499</v>
      </c>
      <c r="H51" s="174" t="str">
        <f>$AI$15</f>
        <v>INDSH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INDNWH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INDSH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INDNWH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INDSH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INDNWH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INDNDPHELCN5</v>
      </c>
      <c r="E57" s="261" t="str">
        <f>"Industrial heating technology "&amp;$AJ$12&amp;" "&amp;RIGHT(H57,2)&amp;" - MVR utilizing waste heat - new 5"</f>
        <v>Industrial heating technology N PH - MVR utilizing waste heat - new 5</v>
      </c>
      <c r="F57" s="224" t="s">
        <v>1149</v>
      </c>
      <c r="G57" s="173" t="s">
        <v>499</v>
      </c>
      <c r="H57" s="174" t="str">
        <f>$AI$14</f>
        <v>INDPH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INDNWH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INDPH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INDNWH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INDPH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INDNWH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INDNDPHWSTN1</v>
      </c>
      <c r="E63" s="261" t="str">
        <f>"Industrial heating technology "&amp;$AJ$12&amp;" "&amp;RIGHT(H63,2)&amp;" - Hotdisc - new 1"</f>
        <v>Industrial heating technology N PH - Hotdisc - new 1</v>
      </c>
      <c r="F63" s="224" t="s">
        <v>1149</v>
      </c>
      <c r="G63" s="832" t="s">
        <v>1005</v>
      </c>
      <c r="H63" s="174" t="str">
        <f>$AI$13</f>
        <v>INDPH</v>
      </c>
      <c r="I63" s="173" t="str">
        <f t="shared" ref="I63:I126" si="21">$AI$20</f>
        <v>INDNWH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INDNWH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INDNWH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INDNDPHELCN6</v>
      </c>
      <c r="E66" s="261" t="str">
        <f>"Industrial heating technology "&amp;$AJ$12&amp;" "&amp;RIGHT(H66,2)&amp;" - Dielectric heating - new 6"</f>
        <v>Industrial heating technology N PH - Dielectric heating - new 6</v>
      </c>
      <c r="F66" s="224" t="s">
        <v>1149</v>
      </c>
      <c r="G66" s="173" t="s">
        <v>499</v>
      </c>
      <c r="H66" s="174" t="str">
        <f>$AI$14</f>
        <v>INDPH</v>
      </c>
      <c r="I66" s="173" t="str">
        <f t="shared" si="21"/>
        <v>INDNWH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INDNWH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INDNWH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INDNDPHELCN7</v>
      </c>
      <c r="E69" s="261" t="str">
        <f>"Industrial heating technology "&amp;$AJ$12&amp;" "&amp;RIGHT(H69,2)&amp;" - Infrared heating - new 7"</f>
        <v>Industrial heating technology N PH - Infrared heating - new 7</v>
      </c>
      <c r="F69" s="224" t="s">
        <v>1149</v>
      </c>
      <c r="G69" s="173" t="s">
        <v>499</v>
      </c>
      <c r="H69" s="174" t="str">
        <f>$AI$14</f>
        <v>INDPH</v>
      </c>
      <c r="I69" s="173" t="str">
        <f t="shared" si="21"/>
        <v>INDNWH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INDNWH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INDNWH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INDNDPHELCN8</v>
      </c>
      <c r="E72" s="261" t="str">
        <f>"Industrial heating technology "&amp;$AJ$12&amp;" "&amp;RIGHT(H72,2)&amp;" - Electric boiler (Steam) - new 8"</f>
        <v>Industrial heating technology N PH - Electric boiler (Steam) - new 8</v>
      </c>
      <c r="F72" s="224" t="s">
        <v>1149</v>
      </c>
      <c r="G72" s="173" t="s">
        <v>499</v>
      </c>
      <c r="H72" s="174" t="str">
        <f>$AI$13</f>
        <v>INDPH</v>
      </c>
      <c r="I72" s="174" t="str">
        <f t="shared" si="21"/>
        <v>INDNWH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INDNWH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INDNWH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INDNDPHELCN8</v>
      </c>
      <c r="E75" s="261" t="str">
        <f>"Industrial heating technology "&amp;$AJ$12&amp;" "&amp;RIGHT(H75,2)&amp;" - Electric boiler (Steam) - new 8"</f>
        <v>Industrial heating technology N PH - Electric boiler (Steam) - new 8</v>
      </c>
      <c r="F75" s="224" t="s">
        <v>1149</v>
      </c>
      <c r="G75" s="173" t="s">
        <v>499</v>
      </c>
      <c r="H75" s="174" t="str">
        <f>$AI$14</f>
        <v>INDPH</v>
      </c>
      <c r="I75" s="174" t="str">
        <f t="shared" si="21"/>
        <v>INDNWH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INDNWH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INDNWH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INDNDSHELCN8</v>
      </c>
      <c r="E78" s="261" t="str">
        <f>"Industrial heating technology "&amp;$AJ$12&amp;" "&amp;RIGHT(H78,2)&amp;" - Electric boiler (Steam) - new 8"</f>
        <v>Industrial heating technology N SH - Electric boiler (Steam) - new 8</v>
      </c>
      <c r="F78" s="224" t="s">
        <v>1149</v>
      </c>
      <c r="G78" s="173" t="s">
        <v>499</v>
      </c>
      <c r="H78" s="174" t="str">
        <f>$AI$15</f>
        <v>INDSH</v>
      </c>
      <c r="I78" s="174" t="str">
        <f t="shared" si="21"/>
        <v>INDNWH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INDNWH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INDNWH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INDNDPHELCN9</v>
      </c>
      <c r="E81" s="707" t="str">
        <f>"Industrial heating technology "&amp;$AJ$12&amp;" "&amp;RIGHT(H81,2)&amp;" - Electric boiler (Hot Water) - new 9"</f>
        <v>Industrial heating technology N PH - Electric boiler (Hot Water) - new 9</v>
      </c>
      <c r="F81" s="224" t="s">
        <v>1149</v>
      </c>
      <c r="G81" s="708" t="s">
        <v>499</v>
      </c>
      <c r="H81" s="708" t="str">
        <f>$AI$14</f>
        <v>INDPH</v>
      </c>
      <c r="I81" s="708" t="str">
        <f t="shared" si="21"/>
        <v>INDNWH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INDNWH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INDNWH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INDNDSHELCN9</v>
      </c>
      <c r="E84" s="261" t="str">
        <f>"Industrial heating technology "&amp;$AJ$12&amp;" "&amp;RIGHT(H84,2)&amp;" - Electric boiler (Hot Water) - new 9"</f>
        <v>Industrial heating technology N SH - Electric boiler (Hot Water) - new 9</v>
      </c>
      <c r="F84" s="224" t="s">
        <v>1149</v>
      </c>
      <c r="G84" s="174" t="s">
        <v>499</v>
      </c>
      <c r="H84" s="174" t="str">
        <f>$AI$15</f>
        <v>INDSH</v>
      </c>
      <c r="I84" s="174" t="str">
        <f t="shared" si="21"/>
        <v>INDNWH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INDNWH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INDNWH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INDNDPHWCHN1</v>
      </c>
      <c r="E87" s="261" t="str">
        <f>"Industrial heating technology "&amp;$AJ$12&amp;" "&amp;RIGHT(H87,2)&amp;" - Wood chip boiler (Steam) - new 1"</f>
        <v>Industrial heating technology N PH - Wood chip boiler (Steam) - new 1</v>
      </c>
      <c r="F87" s="224" t="s">
        <v>1149</v>
      </c>
      <c r="G87" s="173" t="s">
        <v>498</v>
      </c>
      <c r="H87" s="174" t="str">
        <f>$AI$13</f>
        <v>INDPH</v>
      </c>
      <c r="I87" s="174" t="str">
        <f t="shared" si="21"/>
        <v>INDNWH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INDNWH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INDNWH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INDNDPHWCHN1</v>
      </c>
      <c r="E90" s="261" t="str">
        <f>"Industrial heating technology "&amp;$AJ$12&amp;" "&amp;RIGHT(H90,2)&amp;" - Wood chip boiler (Steam) - new 1"</f>
        <v>Industrial heating technology N PH - Wood chip boiler (Steam) - new 1</v>
      </c>
      <c r="F90" s="224" t="s">
        <v>1149</v>
      </c>
      <c r="G90" s="173" t="s">
        <v>498</v>
      </c>
      <c r="H90" s="174" t="str">
        <f>$AI$14</f>
        <v>INDPH</v>
      </c>
      <c r="I90" s="174" t="str">
        <f t="shared" si="21"/>
        <v>INDNWH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INDNWH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INDNWH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INDNDSHWCHN1</v>
      </c>
      <c r="E93" s="261" t="str">
        <f>"Industrial heating technology "&amp;$AJ$12&amp;" "&amp;RIGHT(H93,2)&amp;" - Wood chip boiler (Steam) - new 1"</f>
        <v>Industrial heating technology N SH - Wood chip boiler (Steam) - new 1</v>
      </c>
      <c r="F93" s="224" t="s">
        <v>1149</v>
      </c>
      <c r="G93" s="173" t="s">
        <v>498</v>
      </c>
      <c r="H93" s="174" t="str">
        <f>$AI$15</f>
        <v>INDSH</v>
      </c>
      <c r="I93" s="174" t="str">
        <f t="shared" si="21"/>
        <v>INDNWH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INDNWH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INDNWH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INDNDPHWCHN2</v>
      </c>
      <c r="E96" s="707" t="str">
        <f>"Industrial heating technology "&amp;$AJ$12&amp;" "&amp;RIGHT(H96,2)&amp;" - Wood chip boiler (Steam - condensing) - new 2"</f>
        <v>Industrial heating technology N PH - Wood chip boiler (Steam - condensing) - new 2</v>
      </c>
      <c r="F96" s="224" t="s">
        <v>1149</v>
      </c>
      <c r="G96" s="708" t="s">
        <v>498</v>
      </c>
      <c r="H96" s="708" t="str">
        <f>$AI$14</f>
        <v>INDPH</v>
      </c>
      <c r="I96" s="708" t="str">
        <f t="shared" si="21"/>
        <v>INDNWH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INDNWH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INDNWH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INDNDSHWCHN2</v>
      </c>
      <c r="E99" s="261" t="str">
        <f>"Industrial heating technology "&amp;$AJ$12&amp;" "&amp;RIGHT(H99,2)&amp;" - Wood chip boiler (Steam - condensing) - new 2"</f>
        <v>Industrial heating technology N SH - Wood chip boiler (Steam - condensing) - new 2</v>
      </c>
      <c r="F99" s="224" t="s">
        <v>1149</v>
      </c>
      <c r="G99" s="174" t="s">
        <v>498</v>
      </c>
      <c r="H99" s="174" t="str">
        <f>$AI$15</f>
        <v>INDSH</v>
      </c>
      <c r="I99" s="174" t="str">
        <f t="shared" si="21"/>
        <v>INDNWH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INDNWH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INDNWH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INDNDPHWCHN3</v>
      </c>
      <c r="E102" s="707" t="str">
        <f>"Industrial heating technology "&amp;$AJ$12&amp;" "&amp;RIGHT(H102,2)&amp;" - Wood chip boiler (Hot Water) - new 3"</f>
        <v>Industrial heating technology N PH - Wood chip boiler (Hot Water) - new 3</v>
      </c>
      <c r="F102" s="224" t="s">
        <v>1149</v>
      </c>
      <c r="G102" s="708" t="s">
        <v>498</v>
      </c>
      <c r="H102" s="708" t="str">
        <f>$AI$14</f>
        <v>INDPH</v>
      </c>
      <c r="I102" s="708" t="str">
        <f t="shared" si="21"/>
        <v>INDNWH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INDNWH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INDNWH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INDNDSHWCHN3</v>
      </c>
      <c r="E105" s="261" t="str">
        <f>"Industrial heating technology "&amp;$AJ$12&amp;" "&amp;RIGHT(H105,2)&amp;" - Wood chip boiler (Hot Water) - new 3"</f>
        <v>Industrial heating technology N SH - Wood chip boiler (Hot Water) - new 3</v>
      </c>
      <c r="F105" s="224" t="s">
        <v>1149</v>
      </c>
      <c r="G105" s="174" t="s">
        <v>498</v>
      </c>
      <c r="H105" s="174" t="str">
        <f>$AI$15</f>
        <v>INDSH</v>
      </c>
      <c r="I105" s="174" t="str">
        <f t="shared" si="21"/>
        <v>INDNWH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INDNWH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INDNWH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INDNDPHWCHN4</v>
      </c>
      <c r="E108" s="707" t="str">
        <f>"Industrial heating technology "&amp;$AJ$12&amp;" "&amp;RIGHT(H108,2)&amp;" - Wood chip boiler (Hot Water - condensing) - new 4"</f>
        <v>Industrial heating technology N PH - Wood chip boiler (Hot Water - condensing) - new 4</v>
      </c>
      <c r="F108" s="224" t="s">
        <v>1149</v>
      </c>
      <c r="G108" s="708" t="s">
        <v>498</v>
      </c>
      <c r="H108" s="708" t="str">
        <f>$AI$14</f>
        <v>INDPH</v>
      </c>
      <c r="I108" s="708" t="str">
        <f t="shared" si="21"/>
        <v>INDNWH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INDNWH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INDNWH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INDNDSHWCHN4</v>
      </c>
      <c r="E111" s="261" t="str">
        <f>"Industrial heating technology "&amp;$AJ$12&amp;" "&amp;RIGHT(H111,2)&amp;" - Wood chip boiler (Hot Water- condensing) - new 4"</f>
        <v>Industrial heating technology N SH - Wood chip boiler (Hot Water- condensing) - new 4</v>
      </c>
      <c r="F111" s="224" t="s">
        <v>1149</v>
      </c>
      <c r="G111" s="174" t="s">
        <v>498</v>
      </c>
      <c r="H111" s="174" t="str">
        <f>$AI$15</f>
        <v>INDSH</v>
      </c>
      <c r="I111" s="174" t="str">
        <f t="shared" si="21"/>
        <v>INDNWH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INDNWH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INDNWH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INDNDPHELCN10</v>
      </c>
      <c r="E114" s="261" t="str">
        <f>"Industrial heating technology "&amp;$AJ$12&amp;" "&amp;RIGHT(H114,2)&amp;" - Direct electric heating - new 10"</f>
        <v>Industrial heating technology N PH - Direct electric heating - new 10</v>
      </c>
      <c r="F114" s="224" t="s">
        <v>1149</v>
      </c>
      <c r="G114" s="173" t="s">
        <v>499</v>
      </c>
      <c r="H114" s="174" t="str">
        <f>$AI$13</f>
        <v>INDPH</v>
      </c>
      <c r="I114" s="174" t="str">
        <f t="shared" si="21"/>
        <v>INDNWH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INDNWH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INDNWH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INDNDPHELCN10</v>
      </c>
      <c r="E117" s="261" t="str">
        <f>"Industrial heating technology "&amp;$AJ$12&amp;" "&amp;RIGHT(H117,2)&amp;" - Direct electric heating - new 10"</f>
        <v>Industrial heating technology N PH - Direct electric heating - new 10</v>
      </c>
      <c r="F117" s="224" t="s">
        <v>1149</v>
      </c>
      <c r="G117" s="173" t="s">
        <v>499</v>
      </c>
      <c r="H117" s="174" t="str">
        <f>$AI$14</f>
        <v>INDPH</v>
      </c>
      <c r="I117" s="174" t="str">
        <f t="shared" si="21"/>
        <v>INDNWH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INDNWH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INDNWH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INDNDPHDSLN1</v>
      </c>
      <c r="E120" s="261" t="str">
        <f>"Industrial heating technology "&amp;$AJ$12&amp;" "&amp;RIGHT(H120,2)&amp;" - Oil boiler (Steam) - new 1"</f>
        <v>Industrial heating technology N PH - Oil boiler (Steam) - new 1</v>
      </c>
      <c r="F120" s="224" t="s">
        <v>1149</v>
      </c>
      <c r="G120" s="173" t="s">
        <v>2081</v>
      </c>
      <c r="H120" s="174" t="str">
        <f>$AI$13</f>
        <v>INDPH</v>
      </c>
      <c r="I120" s="174" t="str">
        <f t="shared" si="21"/>
        <v>INDNWH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INDNWH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INDNWH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INDNDPHDSLN1</v>
      </c>
      <c r="E123" s="261" t="str">
        <f>"Industrial heating technology "&amp;$AJ$12&amp;" "&amp;RIGHT(H123,2)&amp;" - Oil boiler (Steam) - new 1"</f>
        <v>Industrial heating technology N PH - Oil boiler (Steam) - new 1</v>
      </c>
      <c r="F123" s="224" t="s">
        <v>1149</v>
      </c>
      <c r="G123" s="173" t="s">
        <v>2081</v>
      </c>
      <c r="H123" s="174" t="str">
        <f>$AI$14</f>
        <v>INDPH</v>
      </c>
      <c r="I123" s="174" t="str">
        <f t="shared" si="21"/>
        <v>INDNWH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INDNWH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INDNWH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INDNDSHDSLN1</v>
      </c>
      <c r="E126" s="261" t="str">
        <f>"Industrial heating technology "&amp;$AJ$12&amp;" "&amp;RIGHT(H126,2)&amp;" - Oil boiler (Steam) - new 1"</f>
        <v>Industrial heating technology N SH - Oil boiler (Steam) - new 1</v>
      </c>
      <c r="F126" s="224" t="s">
        <v>1149</v>
      </c>
      <c r="G126" s="173" t="s">
        <v>2081</v>
      </c>
      <c r="H126" s="174" t="str">
        <f>$AI$15</f>
        <v>INDSH</v>
      </c>
      <c r="I126" s="174" t="str">
        <f t="shared" si="21"/>
        <v>INDNWH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INDNWH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INDNWH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INDNDPHDSLN2</v>
      </c>
      <c r="E129" s="707" t="str">
        <f>"Industrial heating technology "&amp;$AJ$12&amp;" "&amp;RIGHT(H129,2)&amp;" - Oil boiler (Steam - condensing) - new 2"</f>
        <v>Industrial heating technology N PH - Oil boiler (Steam - condensing) - new 2</v>
      </c>
      <c r="F129" s="224" t="s">
        <v>1149</v>
      </c>
      <c r="G129" s="173" t="s">
        <v>2081</v>
      </c>
      <c r="H129" s="708" t="str">
        <f>$AI$14</f>
        <v>INDPH</v>
      </c>
      <c r="I129" s="708" t="str">
        <f t="shared" si="142"/>
        <v>INDNWH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INDNWH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INDNWH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INDNDSHDSLN2</v>
      </c>
      <c r="E132" s="261" t="str">
        <f>"Industrial heating technology "&amp;$AJ$12&amp;" "&amp;RIGHT(H132,2)&amp;" - Oil boiler (Steam - condensing) - new 2"</f>
        <v>Industrial heating technology N SH - Oil boiler (Steam - condensing) - new 2</v>
      </c>
      <c r="F132" s="224" t="s">
        <v>1149</v>
      </c>
      <c r="G132" s="173" t="s">
        <v>2081</v>
      </c>
      <c r="H132" s="174" t="str">
        <f>$AI$15</f>
        <v>INDSH</v>
      </c>
      <c r="I132" s="174" t="str">
        <f t="shared" si="142"/>
        <v>INDNWH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INDNWH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INDNWH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INDNDPHGASN1</v>
      </c>
      <c r="E135" s="261" t="str">
        <f>"Industrial heating technology "&amp;$AJ$12&amp;" "&amp;RIGHT(H135,2)&amp;" - Gas boiler (Steam) - new 1"</f>
        <v>Industrial heating technology N PH - Gas boiler (Steam) - new 1</v>
      </c>
      <c r="F135" s="224" t="s">
        <v>1149</v>
      </c>
      <c r="G135" s="173" t="s">
        <v>2080</v>
      </c>
      <c r="H135" s="174" t="str">
        <f>$AI$13</f>
        <v>INDPH</v>
      </c>
      <c r="I135" s="174" t="str">
        <f t="shared" si="142"/>
        <v>INDNWH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INDNWH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INDNWH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INDNDPHGASN1</v>
      </c>
      <c r="E138" s="261" t="str">
        <f>"Industrial heating technology "&amp;$AJ$12&amp;" "&amp;RIGHT(H138,2)&amp;" - Gas boiler (Steam) - new 1"</f>
        <v>Industrial heating technology N PH - Gas boiler (Steam) - new 1</v>
      </c>
      <c r="F138" s="224" t="s">
        <v>1149</v>
      </c>
      <c r="G138" s="173" t="s">
        <v>2080</v>
      </c>
      <c r="H138" s="174" t="str">
        <f>$AI$14</f>
        <v>INDPH</v>
      </c>
      <c r="I138" s="174" t="str">
        <f t="shared" si="142"/>
        <v>INDNWH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INDNWH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INDNWH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INDNDSHGASN1</v>
      </c>
      <c r="E141" s="261" t="str">
        <f>"Industrial heating technology "&amp;$AJ$12&amp;" "&amp;RIGHT(H141,2)&amp;" - Gas boiler (Steam) - new 1"</f>
        <v>Industrial heating technology N SH - Gas boiler (Steam) - new 1</v>
      </c>
      <c r="F141" s="224" t="s">
        <v>1149</v>
      </c>
      <c r="G141" s="173" t="s">
        <v>2080</v>
      </c>
      <c r="H141" s="174" t="str">
        <f>$AI$15</f>
        <v>INDSH</v>
      </c>
      <c r="I141" s="174" t="str">
        <f t="shared" si="142"/>
        <v>INDNWH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INDNWH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INDNWH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INDNDPHGASN2</v>
      </c>
      <c r="E144" s="707" t="str">
        <f>"Industrial heating technology "&amp;$AJ$12&amp;" "&amp;RIGHT(H144,2)&amp;" - Gas boiler (Steam - condensing) - new 2"</f>
        <v>Industrial heating technology N PH - Gas boiler (Steam - condensing) - new 2</v>
      </c>
      <c r="F144" s="224" t="s">
        <v>1149</v>
      </c>
      <c r="G144" s="173" t="s">
        <v>2080</v>
      </c>
      <c r="H144" s="708" t="str">
        <f>$AI$14</f>
        <v>INDPH</v>
      </c>
      <c r="I144" s="708" t="str">
        <f t="shared" si="142"/>
        <v>INDNWH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INDNWH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INDNWH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INDNDSHGASN2</v>
      </c>
      <c r="E147" s="261" t="str">
        <f>"Industrial heating technology "&amp;$AJ$12&amp;" "&amp;RIGHT(H147,2)&amp;" - Gas boiler (Steam - condensing) - new 2"</f>
        <v>Industrial heating technology N SH - Gas boiler (Steam - condensing) - new 2</v>
      </c>
      <c r="F147" s="224" t="s">
        <v>1149</v>
      </c>
      <c r="G147" s="173" t="s">
        <v>2080</v>
      </c>
      <c r="H147" s="174" t="str">
        <f>$AI$15</f>
        <v>INDSH</v>
      </c>
      <c r="I147" s="174" t="str">
        <f t="shared" si="142"/>
        <v>INDNWH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INDNWH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INDNWH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INDNDPHGASN3</v>
      </c>
      <c r="E150" s="707" t="str">
        <f>"Industrial heating technology "&amp;$AJ$12&amp;" "&amp;RIGHT(H150,2)&amp;" - Gas boiler (Hot Water) - new 3"</f>
        <v>Industrial heating technology N PH - Gas boiler (Hot Water) - new 3</v>
      </c>
      <c r="F150" s="224" t="s">
        <v>1149</v>
      </c>
      <c r="G150" s="173" t="s">
        <v>2080</v>
      </c>
      <c r="H150" s="708" t="str">
        <f>$AI$14</f>
        <v>INDPH</v>
      </c>
      <c r="I150" s="708" t="str">
        <f t="shared" si="142"/>
        <v>INDNWH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INDNWH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INDNWH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INDNDSHGASN3</v>
      </c>
      <c r="E153" s="261" t="str">
        <f>"Industrial heating technology "&amp;$AJ$12&amp;" "&amp;RIGHT(H153,2)&amp;" - Gas boiler (Hot Water) - new 3"</f>
        <v>Industrial heating technology N SH - Gas boiler (Hot Water) - new 3</v>
      </c>
      <c r="F153" s="224" t="s">
        <v>1149</v>
      </c>
      <c r="G153" s="173" t="s">
        <v>2080</v>
      </c>
      <c r="H153" s="174" t="str">
        <f>$AI$15</f>
        <v>INDSH</v>
      </c>
      <c r="I153" s="174" t="str">
        <f t="shared" si="142"/>
        <v>INDNWH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INDNWH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INDNWH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INDNDPHGASN4</v>
      </c>
      <c r="E156" s="707" t="str">
        <f>"Industrial heating technology "&amp;$AJ$12&amp;" "&amp;RIGHT(H156,2)&amp;" - Gas boiler (Hot Water - condensing) - new 4"</f>
        <v>Industrial heating technology N PH - Gas boiler (Hot Water - condensing) - new 4</v>
      </c>
      <c r="F156" s="224" t="s">
        <v>1149</v>
      </c>
      <c r="G156" s="173" t="s">
        <v>2080</v>
      </c>
      <c r="H156" s="708" t="str">
        <f>$AI$14</f>
        <v>INDPH</v>
      </c>
      <c r="I156" s="708" t="str">
        <f t="shared" si="142"/>
        <v>INDNWH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INDNWH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INDNWH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INDNDSHGASN4</v>
      </c>
      <c r="E159" s="261" t="str">
        <f>"Industrial heating technology "&amp;$AJ$12&amp;" "&amp;RIGHT(H159,2)&amp;" - Gas boiler (Hot Water- condensing) - new 4"</f>
        <v>Industrial heating technology N SH - Gas boiler (Hot Water- condensing) - new 4</v>
      </c>
      <c r="F159" s="224" t="s">
        <v>1149</v>
      </c>
      <c r="G159" s="173" t="s">
        <v>2080</v>
      </c>
      <c r="H159" s="174" t="str">
        <f>$AI$15</f>
        <v>INDSH</v>
      </c>
      <c r="I159" s="174" t="str">
        <f t="shared" si="142"/>
        <v>INDNWH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INDNWH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INDNWH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INDNDPHGASN5</v>
      </c>
      <c r="E162" s="707" t="str">
        <f>"Industrial heating technology "&amp;$AJ$12&amp;" "&amp;RIGHT(H162,2)&amp;" - Gas boiler (Direct firing) - new 5"</f>
        <v>Industrial heating technology N PH - Gas boiler (Direct firing) - new 5</v>
      </c>
      <c r="F162" s="224" t="s">
        <v>1149</v>
      </c>
      <c r="G162" s="173" t="s">
        <v>2080</v>
      </c>
      <c r="H162" s="174" t="str">
        <f>$AI$13</f>
        <v>INDPH</v>
      </c>
      <c r="I162" s="174" t="str">
        <f t="shared" si="142"/>
        <v>INDNWH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INDNWH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INDNWH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INDNDPHGASN5</v>
      </c>
      <c r="E165" s="261" t="str">
        <f>"Industrial heating technology "&amp;$AJ$12&amp;" "&amp;RIGHT(H165,2)&amp;" - Gas boiler (Direct firing) - new 5"</f>
        <v>Industrial heating technology N PH - Gas boiler (Direct firing) - new 5</v>
      </c>
      <c r="F165" s="224" t="s">
        <v>1149</v>
      </c>
      <c r="G165" s="173" t="s">
        <v>2080</v>
      </c>
      <c r="H165" s="174" t="str">
        <f>$AI$14</f>
        <v>INDPH</v>
      </c>
      <c r="I165" s="721" t="str">
        <f t="shared" si="142"/>
        <v>INDNWH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INDNWH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INDNWH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INDNDPHCOAN1</v>
      </c>
      <c r="E168" s="261" t="str">
        <f>"Industrial heating technology "&amp;$AJ$12&amp;" "&amp;RIGHT(H168,2)&amp;" - Coal boiler (Steam) - new 1"</f>
        <v>Industrial heating technology N PH - Coal boiler (Steam) - new 1</v>
      </c>
      <c r="F168" s="224" t="s">
        <v>1149</v>
      </c>
      <c r="G168" s="55" t="s">
        <v>617</v>
      </c>
      <c r="H168" s="174" t="str">
        <f>$AI$13</f>
        <v>INDPH</v>
      </c>
      <c r="I168" s="174" t="str">
        <f t="shared" si="142"/>
        <v>INDNWH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INDNWH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INDNWH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INDNDPHCOAN1</v>
      </c>
      <c r="E171" s="261" t="str">
        <f>"Industrial heating technology "&amp;$AJ$12&amp;" "&amp;RIGHT(H171,2)&amp;" - Coal boiler (Steam) - new 1"</f>
        <v>Industrial heating technology N PH - Coal boiler (Steam) - new 1</v>
      </c>
      <c r="F171" s="224" t="s">
        <v>1149</v>
      </c>
      <c r="G171" s="55" t="s">
        <v>617</v>
      </c>
      <c r="H171" s="174" t="str">
        <f>$AI$14</f>
        <v>INDPH</v>
      </c>
      <c r="I171" s="174" t="str">
        <f t="shared" si="142"/>
        <v>INDNWH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INDNWH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INDNWH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INDNDSHCOAN1</v>
      </c>
      <c r="E174" s="261" t="str">
        <f>"Industrial heating technology "&amp;$AJ$12&amp;" "&amp;RIGHT(H174,2)&amp;" - Coal boiler (Steam) - new 1"</f>
        <v>Industrial heating technology N SH - Coal boiler (Steam) - new 1</v>
      </c>
      <c r="F174" s="224" t="s">
        <v>1149</v>
      </c>
      <c r="G174" s="55" t="s">
        <v>617</v>
      </c>
      <c r="H174" s="174" t="str">
        <f>$AI$15</f>
        <v>INDSH</v>
      </c>
      <c r="I174" s="174" t="str">
        <f t="shared" si="142"/>
        <v>INDNWH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INDNWH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INDNWH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INDNDPHCOAN2</v>
      </c>
      <c r="E177" s="261" t="str">
        <f>"Industrial heating technology "&amp;$AJ$12&amp;" "&amp;RIGHT(H177,2)&amp;" - Coal boiler (Hot Water) - new 2"</f>
        <v>Industrial heating technology N PH - Coal boiler (Hot Water) - new 2</v>
      </c>
      <c r="F177" s="224" t="s">
        <v>1149</v>
      </c>
      <c r="G177" s="55" t="s">
        <v>617</v>
      </c>
      <c r="H177" s="174" t="str">
        <f>$AI$14</f>
        <v>INDPH</v>
      </c>
      <c r="I177" s="174" t="str">
        <f t="shared" si="142"/>
        <v>INDNWH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INDNWH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INDNWH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INDNDSHCOAN2</v>
      </c>
      <c r="E180" s="261" t="str">
        <f>"Industrial heating technology "&amp;$AJ$12&amp;" "&amp;RIGHT(H180,2)&amp;" - Coal boiler (Hot Water) - new 2"</f>
        <v>Industrial heating technology N SH - Coal boiler (Hot Water) - new 2</v>
      </c>
      <c r="F180" s="224" t="s">
        <v>1149</v>
      </c>
      <c r="G180" s="55" t="s">
        <v>617</v>
      </c>
      <c r="H180" s="174" t="str">
        <f>$AI$15</f>
        <v>INDSH</v>
      </c>
      <c r="I180" s="174" t="str">
        <f t="shared" si="142"/>
        <v>INDNWH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INDNWH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INDNWH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INDNDSHSOLN1</v>
      </c>
      <c r="E183" s="261" t="str">
        <f>"Industrial heating technology "&amp;$AJ$12&amp;" "&amp;RIGHT(H183,2)&amp;" - Solar - new 1"</f>
        <v>Industrial heating technology N SH - Solar - new 1</v>
      </c>
      <c r="F183" s="224" t="s">
        <v>1149</v>
      </c>
      <c r="G183" s="55" t="s">
        <v>500</v>
      </c>
      <c r="H183" s="174" t="str">
        <f>$AI$15</f>
        <v>INDSH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INDNDSHHCEN1</v>
      </c>
      <c r="E187" s="224" t="str">
        <f>"Industrial heating technology "&amp;$AJ$12&amp;" "&amp;RIGHT(H187,2)&amp;" - central district heating - within DH area - new 1"</f>
        <v>Industrial heating technology N SH - central district heating - within DH area - new 1</v>
      </c>
      <c r="F187" s="224" t="s">
        <v>1149</v>
      </c>
      <c r="G187" s="225" t="s">
        <v>501</v>
      </c>
      <c r="H187" s="225" t="str">
        <f>AI15</f>
        <v>INDSH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INDNDPHHCEN1</v>
      </c>
      <c r="E188" s="224" t="str">
        <f>"Industrial heating technology "&amp;$AJ$12&amp;" "&amp;RIGHT(H188,2)&amp;" - central district heating - within DH area - new 1"</f>
        <v>Industrial heating technology N PH - central district heating - within DH area - new 1</v>
      </c>
      <c r="F188" s="224" t="s">
        <v>1149</v>
      </c>
      <c r="G188" s="225" t="s">
        <v>501</v>
      </c>
      <c r="H188" s="281" t="str">
        <f>AI14</f>
        <v>INDPH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INDNDSHHSEN1</v>
      </c>
      <c r="E189" s="224" t="str">
        <f>"Industrial heating technology "&amp;$AJ$12&amp;" "&amp;RIGHT(H189,2)&amp;" - central district heating - within DH area - new 1"</f>
        <v>Industrial heating technology N SH - central district heating - within DH area - new 1</v>
      </c>
      <c r="F189" s="224" t="s">
        <v>1149</v>
      </c>
      <c r="G189" s="225" t="s">
        <v>2124</v>
      </c>
      <c r="H189" s="225" t="str">
        <f>H187</f>
        <v>INDSH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INDNDPHHSEN1</v>
      </c>
      <c r="E190" s="224" t="str">
        <f>"Industrial heating technology "&amp;$AJ$12&amp;" "&amp;RIGHT(H190,2)&amp;" - central district heating - within DH area - new 1"</f>
        <v>Industrial heating technology N PH - central district heating - within DH area - new 1</v>
      </c>
      <c r="F190" s="224" t="s">
        <v>1149</v>
      </c>
      <c r="G190" s="225" t="s">
        <v>2124</v>
      </c>
      <c r="H190" s="225" t="str">
        <f>H188</f>
        <v>INDPH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INDNDSHHDEN1</v>
      </c>
      <c r="E191" s="224" t="str">
        <f>"Industrial heating technology "&amp;$AJ$12&amp;" "&amp;RIGHT(H191,2)&amp;" - decentral district heating - within DH area - new 1"</f>
        <v>Industrial heating technology N SH - decentral district heating - within DH area - new 1</v>
      </c>
      <c r="F191" s="224" t="s">
        <v>1149</v>
      </c>
      <c r="G191" s="259" t="s">
        <v>502</v>
      </c>
      <c r="H191" s="265" t="str">
        <f>AI15</f>
        <v>INDSH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INDNDPHHDEN1</v>
      </c>
      <c r="E192" s="224" t="str">
        <f>"Industrial heating technology "&amp;$AJ$12&amp;" "&amp;RIGHT(H192,2)&amp;" - decentral district heating - within DH area - new 1"</f>
        <v>Industrial heating technology N PH - decentral district heating - within DH area - new 1</v>
      </c>
      <c r="F192" s="224" t="s">
        <v>1149</v>
      </c>
      <c r="G192" s="259" t="s">
        <v>502</v>
      </c>
      <c r="H192" s="225" t="str">
        <f>AI14</f>
        <v>INDPH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INDNDLAELCN1</v>
      </c>
      <c r="E194" s="224" t="str">
        <f>"Industry "&amp;$AJ$12&amp;" "&amp;RIGHT(H194,2)&amp;" Electricity Light Appliance - New 1"</f>
        <v>Industry N LA Electricity Light Appliance - New 1</v>
      </c>
      <c r="F194" s="224" t="s">
        <v>1149</v>
      </c>
      <c r="G194" s="225" t="s">
        <v>499</v>
      </c>
      <c r="H194" s="225" t="str">
        <f>AI16</f>
        <v>INDLA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INDNDEMELCN1</v>
      </c>
      <c r="E198" s="224" t="str">
        <f>"Industry "&amp;$AJ$12&amp;" "&amp;RIGHT(H198,2)&amp;" Electricity Motors - New 1"</f>
        <v>Industry N EM Electricity Motors - New 1</v>
      </c>
      <c r="F198" s="224" t="s">
        <v>1149</v>
      </c>
      <c r="G198" s="225" t="s">
        <v>499</v>
      </c>
      <c r="H198" s="225" t="str">
        <f>AI17</f>
        <v>INDEM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531</v>
      </c>
      <c r="D202" s="212" t="str">
        <f>"IND"&amp;RIGHT(H202,4)&amp;"DSL"&amp;"N"&amp;RIGHT(E202,1)</f>
        <v>INDNDTFDSLN1</v>
      </c>
      <c r="E202" s="224" t="str">
        <f>"Industry "&amp;$AJ$12&amp;" "&amp;RIGHT(H202,2)&amp;" Tractors, Trucks, Fishing boats - New 1"</f>
        <v>Industry N TF Tractors, Trucks, Fishing boats - New 1</v>
      </c>
      <c r="F202" s="224" t="s">
        <v>1149</v>
      </c>
      <c r="G202" s="173" t="s">
        <v>2081</v>
      </c>
      <c r="H202" s="174" t="str">
        <f>$AI$18</f>
        <v>INDTF</v>
      </c>
      <c r="I202" s="174"/>
      <c r="J202" s="81">
        <v>2011</v>
      </c>
      <c r="K202" s="81">
        <v>2011</v>
      </c>
      <c r="L202" s="1127">
        <f>L203</f>
        <v>1</v>
      </c>
      <c r="M202" s="256"/>
      <c r="N202" s="256">
        <v>20</v>
      </c>
      <c r="O202" s="1127">
        <f>O203</f>
        <v>36.999946395904708</v>
      </c>
      <c r="P202" s="254"/>
      <c r="Q202" s="254"/>
      <c r="R202" s="1126">
        <v>1</v>
      </c>
      <c r="S202" s="1127">
        <v>1</v>
      </c>
      <c r="T202" s="228"/>
      <c r="U202" s="228"/>
      <c r="V202" s="228"/>
      <c r="W202" s="287"/>
      <c r="X202" s="55"/>
      <c r="Y202" s="55"/>
      <c r="Z202" s="55"/>
      <c r="AA202" s="55"/>
      <c r="AB202" s="55"/>
    </row>
    <row r="203" spans="1:32">
      <c r="A203" s="169" t="s">
        <v>2057</v>
      </c>
      <c r="B203" s="224" t="s">
        <v>531</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36.999946395904708</v>
      </c>
      <c r="P203" s="254"/>
      <c r="Q203" s="254"/>
      <c r="R203" s="1126"/>
      <c r="S203" s="275"/>
      <c r="T203" s="228"/>
      <c r="U203" s="228"/>
      <c r="V203" s="228"/>
      <c r="W203" s="228"/>
      <c r="X203" s="55"/>
      <c r="Y203" s="55"/>
      <c r="Z203" s="55"/>
      <c r="AA203" s="55"/>
      <c r="AB203" s="55"/>
    </row>
    <row r="204" spans="1:32">
      <c r="A204" s="169" t="s">
        <v>2057</v>
      </c>
      <c r="B204" s="224" t="s">
        <v>531</v>
      </c>
      <c r="D204" s="55"/>
      <c r="E204" s="55"/>
      <c r="F204" s="224" t="s">
        <v>1149</v>
      </c>
      <c r="G204" s="55"/>
      <c r="J204" s="256">
        <v>2030</v>
      </c>
      <c r="K204" s="256"/>
      <c r="L204" s="1127">
        <f>1/SUMIFS(Transport!$AS$13:$AS$264,Transport!$D$13:$D$264,$B204,Transport!$E$13:$E$264,$A204,Transport!$A$13:$A$264,$J204)</f>
        <v>1.2199274712491708</v>
      </c>
      <c r="M204" s="256"/>
      <c r="N204" s="256"/>
      <c r="O204" s="1127">
        <f>SUMIFS(Transport!$AT$13:$AT$264,Transport!$D$13:$D$264,$B204,Transport!$E$13:$E$264,$A204,Transport!$A$13:$A$264,$J204)/1000*6.5</f>
        <v>48.752577048571375</v>
      </c>
      <c r="P204" s="254"/>
      <c r="Q204" s="254"/>
      <c r="R204" s="1126"/>
      <c r="S204" s="275"/>
      <c r="T204" s="228"/>
      <c r="U204" s="228"/>
      <c r="V204" s="228"/>
      <c r="W204" s="228"/>
      <c r="X204" s="55"/>
      <c r="Y204" s="55"/>
      <c r="Z204" s="55"/>
      <c r="AA204" s="55"/>
      <c r="AB204" s="55"/>
    </row>
    <row r="205" spans="1:32">
      <c r="A205" s="169" t="s">
        <v>2057</v>
      </c>
      <c r="B205" s="224" t="s">
        <v>531</v>
      </c>
      <c r="D205" s="55"/>
      <c r="E205" s="55"/>
      <c r="F205" s="224" t="s">
        <v>1149</v>
      </c>
      <c r="G205" s="55"/>
      <c r="J205" s="256">
        <v>2050</v>
      </c>
      <c r="K205" s="256"/>
      <c r="L205" s="1127">
        <f>1/SUMIFS(Transport!$AS$13:$AS$264,Transport!$D$13:$D$264,$B205,Transport!$E$13:$E$264,$A205,Transport!$A$13:$A$264,$J205)</f>
        <v>1.3836759261532579</v>
      </c>
      <c r="M205" s="256"/>
      <c r="N205" s="256"/>
      <c r="O205" s="1127">
        <f>SUMIFS(Transport!$AT$13:$AT$264,Transport!$D$13:$D$264,$B205,Transport!$E$13:$E$264,$A205,Transport!$A$13:$A$264,$J205)/1000*6.5</f>
        <v>51.275615217488969</v>
      </c>
      <c r="P205" s="254"/>
      <c r="Q205" s="254"/>
      <c r="R205" s="1126"/>
      <c r="S205" s="275"/>
      <c r="T205" s="228"/>
      <c r="U205" s="228"/>
      <c r="V205" s="228"/>
      <c r="W205" s="228"/>
      <c r="X205" s="55"/>
      <c r="Y205" s="55"/>
      <c r="Z205" s="55"/>
      <c r="AA205" s="55"/>
      <c r="AB205" s="55"/>
    </row>
    <row r="206" spans="1:32">
      <c r="A206" s="169" t="s">
        <v>2062</v>
      </c>
      <c r="B206" s="224" t="s">
        <v>531</v>
      </c>
      <c r="D206" s="212" t="str">
        <f>"IND"&amp;RIGHT(H206,4)&amp;"H2G"&amp;"N"&amp;RIGHT(E206,1)</f>
        <v>INDNDTFH2GN2</v>
      </c>
      <c r="E206" s="224" t="str">
        <f>"Industry "&amp;$AJ$12&amp;" "&amp;RIGHT(H206,2)&amp;" Tractors, Trucks, Fishing boats - New 2"</f>
        <v>Industry N TF Tractors, Trucks, Fishing boats - New 2</v>
      </c>
      <c r="F206" s="224" t="s">
        <v>1149</v>
      </c>
      <c r="G206" s="55" t="s">
        <v>2077</v>
      </c>
      <c r="H206" s="174" t="str">
        <f>$AI$18</f>
        <v>INDTF</v>
      </c>
      <c r="I206" s="174"/>
      <c r="J206" s="81">
        <v>2017</v>
      </c>
      <c r="K206" s="81">
        <v>2030</v>
      </c>
      <c r="L206" s="1127">
        <f>1/SUMIFS(Transport!$AS$13:$AS$264,Transport!$D$13:$D$264,$B206,Transport!$E$13:$E$264,$A206,Transport!$A$13:$A$264,$J206)</f>
        <v>1.6019824405721168</v>
      </c>
      <c r="M206" s="256"/>
      <c r="N206" s="256">
        <v>20</v>
      </c>
      <c r="O206" s="1127">
        <f>SUMIFS(Transport!$AT$13:$AT$264,Transport!$D$13:$D$264,$B206,Transport!$E$13:$E$264,$A206,Transport!$A$13:$A$264,$J206)/1000*6.5</f>
        <v>69.01514464919731</v>
      </c>
      <c r="P206" s="254"/>
      <c r="Q206" s="254"/>
      <c r="R206" s="1126">
        <v>1</v>
      </c>
      <c r="S206" s="1127">
        <v>1</v>
      </c>
      <c r="T206" s="228"/>
      <c r="U206" s="228"/>
      <c r="V206" s="228"/>
      <c r="W206" s="287"/>
      <c r="X206" s="55"/>
      <c r="Y206" s="55"/>
      <c r="Z206" s="55"/>
      <c r="AA206" s="55"/>
      <c r="AB206" s="55"/>
    </row>
    <row r="207" spans="1:32">
      <c r="A207" s="169" t="s">
        <v>2062</v>
      </c>
      <c r="B207" s="224" t="s">
        <v>531</v>
      </c>
      <c r="D207" s="55"/>
      <c r="E207" s="55"/>
      <c r="F207" s="224" t="s">
        <v>1149</v>
      </c>
      <c r="G207" s="55"/>
      <c r="H207" s="174"/>
      <c r="I207" s="174"/>
      <c r="J207" s="256">
        <v>2017</v>
      </c>
      <c r="K207" s="256"/>
      <c r="L207" s="1127">
        <f>1/SUMIFS(Transport!$AS$13:$AS$264,Transport!$D$13:$D$264,$B207,Transport!$E$13:$E$264,$A207,Transport!$A$13:$A$264,$J207)</f>
        <v>1.6019824405721168</v>
      </c>
      <c r="M207" s="256"/>
      <c r="N207" s="256"/>
      <c r="O207" s="1127">
        <f>SUMIFS(Transport!$AT$13:$AT$264,Transport!$D$13:$D$264,$B207,Transport!$E$13:$E$264,$A207,Transport!$A$13:$A$264,$J207)/1000*6.5</f>
        <v>69.01514464919731</v>
      </c>
      <c r="P207" s="254"/>
      <c r="Q207" s="254"/>
      <c r="R207" s="1126"/>
      <c r="S207" s="275"/>
      <c r="T207" s="228"/>
      <c r="U207" s="228"/>
      <c r="V207" s="228"/>
      <c r="W207" s="228"/>
      <c r="X207" s="55"/>
      <c r="Y207" s="55"/>
      <c r="Z207" s="55"/>
      <c r="AA207" s="55"/>
      <c r="AB207" s="55"/>
    </row>
    <row r="208" spans="1:32">
      <c r="A208" s="169" t="s">
        <v>2062</v>
      </c>
      <c r="B208" s="224" t="s">
        <v>531</v>
      </c>
      <c r="D208" s="55"/>
      <c r="E208" s="55"/>
      <c r="F208" s="224" t="s">
        <v>1149</v>
      </c>
      <c r="G208" s="55"/>
      <c r="J208" s="256">
        <v>2030</v>
      </c>
      <c r="K208" s="256"/>
      <c r="L208" s="1127">
        <f>1/SUMIFS(Transport!$AS$13:$AS$264,Transport!$D$13:$D$264,$B208,Transport!$E$13:$E$264,$A208,Transport!$A$13:$A$264,$J208)</f>
        <v>2.4051363046081415</v>
      </c>
      <c r="M208" s="256"/>
      <c r="N208" s="256"/>
      <c r="O208" s="1127">
        <f>SUMIFS(Transport!$AT$13:$AT$264,Transport!$D$13:$D$264,$B208,Transport!$E$13:$E$264,$A208,Transport!$A$13:$A$264,$J208)/1000*6.5</f>
        <v>47.151989721401115</v>
      </c>
      <c r="P208" s="254"/>
      <c r="Q208" s="254"/>
      <c r="R208" s="1126"/>
      <c r="S208" s="275"/>
      <c r="T208" s="228"/>
      <c r="U208" s="228"/>
      <c r="V208" s="228"/>
      <c r="W208" s="228"/>
      <c r="X208" s="55"/>
      <c r="Y208" s="55"/>
      <c r="Z208" s="55"/>
      <c r="AA208" s="55"/>
      <c r="AB208" s="55"/>
    </row>
    <row r="209" spans="1:28">
      <c r="A209" s="169" t="s">
        <v>2062</v>
      </c>
      <c r="B209" s="224" t="s">
        <v>531</v>
      </c>
      <c r="D209" s="55"/>
      <c r="E209" s="55"/>
      <c r="F209" s="224" t="s">
        <v>1149</v>
      </c>
      <c r="G209" s="55"/>
      <c r="J209" s="256">
        <v>2050</v>
      </c>
      <c r="K209" s="256"/>
      <c r="L209" s="1127">
        <f>1/SUMIFS(Transport!$AS$13:$AS$264,Transport!$D$13:$D$264,$B209,Transport!$E$13:$E$264,$A209,Transport!$A$13:$A$264,$J209)</f>
        <v>2.9583695994767871</v>
      </c>
      <c r="M209" s="256"/>
      <c r="N209" s="256"/>
      <c r="O209" s="1127">
        <f>SUMIFS(Transport!$AT$13:$AT$264,Transport!$D$13:$D$264,$B209,Transport!$E$13:$E$264,$A209,Transport!$A$13:$A$264,$J209)/1000*6.5</f>
        <v>20.547630804983214</v>
      </c>
      <c r="P209" s="254"/>
      <c r="Q209" s="254"/>
      <c r="R209" s="1126"/>
      <c r="S209" s="275"/>
      <c r="T209" s="228"/>
      <c r="U209" s="228"/>
      <c r="V209" s="228"/>
      <c r="W209" s="228"/>
      <c r="X209" s="55"/>
      <c r="Y209" s="55"/>
      <c r="Z209" s="55"/>
      <c r="AA209" s="55"/>
      <c r="AB209" s="55"/>
    </row>
    <row r="210" spans="1:28">
      <c r="A210" s="169" t="s">
        <v>2061</v>
      </c>
      <c r="B210" s="224" t="s">
        <v>531</v>
      </c>
      <c r="D210" s="212" t="str">
        <f>"IND"&amp;RIGHT(H210,4)&amp;"ELC"&amp;"N"&amp;RIGHT(E210,1)</f>
        <v>INDNDTFELCN3</v>
      </c>
      <c r="E210" s="224" t="str">
        <f>"Industry "&amp;$AJ$12&amp;" "&amp;RIGHT(H210,2)&amp;" Tractors, Trucks, Fishing boats - New 3"</f>
        <v>Industry N TF Tractors, Trucks, Fishing boats - New 3</v>
      </c>
      <c r="F210" s="224" t="s">
        <v>1149</v>
      </c>
      <c r="G210" s="55" t="s">
        <v>499</v>
      </c>
      <c r="H210" s="174" t="str">
        <f>$AI$18</f>
        <v>INDTF</v>
      </c>
      <c r="I210" s="174"/>
      <c r="J210" s="81">
        <v>2017</v>
      </c>
      <c r="K210" s="81">
        <v>2025</v>
      </c>
      <c r="L210" s="1127">
        <f>1/SUMIFS(Transport!$AS$13:$AS$264,Transport!$D$13:$D$264,$B210,Transport!$E$13:$E$264,$A210,Transport!$A$13:$A$264,$J210)</f>
        <v>3.0438654899297122</v>
      </c>
      <c r="M210" s="256"/>
      <c r="N210" s="256">
        <v>20</v>
      </c>
      <c r="O210" s="1127">
        <f>SUMIFS(Transport!$AT$13:$AT$264,Transport!$D$13:$D$264,$B210,Transport!$E$13:$E$264,$A210,Transport!$A$13:$A$264,$J210)/1000*6.5</f>
        <v>97.045415985588349</v>
      </c>
      <c r="P210" s="254"/>
      <c r="Q210" s="254"/>
      <c r="R210" s="1126">
        <v>1</v>
      </c>
      <c r="S210" s="1127">
        <v>1</v>
      </c>
      <c r="T210" s="228"/>
      <c r="U210" s="228"/>
      <c r="V210" s="228"/>
      <c r="W210" s="287"/>
      <c r="X210" s="55"/>
      <c r="Y210" s="55"/>
      <c r="Z210" s="55"/>
      <c r="AA210" s="55"/>
      <c r="AB210" s="55"/>
    </row>
    <row r="211" spans="1:28">
      <c r="A211" s="169" t="s">
        <v>2061</v>
      </c>
      <c r="B211" s="224" t="s">
        <v>531</v>
      </c>
      <c r="D211" s="55"/>
      <c r="E211" s="55"/>
      <c r="F211" s="224" t="s">
        <v>1149</v>
      </c>
      <c r="G211" s="55"/>
      <c r="H211" s="174"/>
      <c r="I211" s="174"/>
      <c r="J211" s="256">
        <v>2017</v>
      </c>
      <c r="K211" s="256"/>
      <c r="L211" s="1127">
        <f>1/SUMIFS(Transport!$AS$13:$AS$264,Transport!$D$13:$D$264,$B211,Transport!$E$13:$E$264,$A211,Transport!$A$13:$A$264,$J211)</f>
        <v>3.0438654899297122</v>
      </c>
      <c r="M211" s="256"/>
      <c r="N211" s="256"/>
      <c r="O211" s="1127">
        <f>SUMIFS(Transport!$AT$13:$AT$264,Transport!$D$13:$D$264,$B211,Transport!$E$13:$E$264,$A211,Transport!$A$13:$A$264,$J211)/1000*6.5</f>
        <v>97.045415985588349</v>
      </c>
      <c r="P211" s="254"/>
      <c r="Q211" s="254"/>
      <c r="R211" s="201"/>
      <c r="S211" s="275"/>
      <c r="T211" s="228"/>
      <c r="U211" s="228"/>
      <c r="V211" s="228"/>
      <c r="W211" s="228"/>
      <c r="X211" s="55"/>
      <c r="Y211" s="55"/>
      <c r="Z211" s="55"/>
      <c r="AA211" s="55"/>
      <c r="AB211" s="55"/>
    </row>
    <row r="212" spans="1:28">
      <c r="A212" s="169" t="s">
        <v>2061</v>
      </c>
      <c r="B212" s="224" t="s">
        <v>531</v>
      </c>
      <c r="D212" s="55"/>
      <c r="E212" s="55"/>
      <c r="F212" s="224" t="s">
        <v>1149</v>
      </c>
      <c r="G212" s="55"/>
      <c r="J212" s="256">
        <v>2030</v>
      </c>
      <c r="K212" s="256"/>
      <c r="L212" s="1127">
        <f>1/SUMIFS(Transport!$AS$13:$AS$264,Transport!$D$13:$D$264,$B212,Transport!$E$13:$E$264,$A212,Transport!$A$13:$A$264,$J212)</f>
        <v>3.8508678900328275</v>
      </c>
      <c r="M212" s="256"/>
      <c r="N212" s="256"/>
      <c r="O212" s="1127">
        <f>SUMIFS(Transport!$AT$13:$AT$264,Transport!$D$13:$D$264,$B212,Transport!$E$13:$E$264,$A212,Transport!$A$13:$A$264,$J212)/1000*6.5</f>
        <v>52.981240184134329</v>
      </c>
      <c r="P212" s="254"/>
      <c r="Q212" s="254"/>
      <c r="R212" s="201"/>
      <c r="S212" s="275"/>
      <c r="T212" s="228"/>
      <c r="U212" s="228"/>
      <c r="V212" s="228"/>
      <c r="W212" s="228"/>
      <c r="X212" s="55"/>
      <c r="Y212" s="55"/>
      <c r="Z212" s="55"/>
      <c r="AA212" s="55"/>
      <c r="AB212" s="55"/>
    </row>
    <row r="213" spans="1:28">
      <c r="A213" s="169" t="s">
        <v>2061</v>
      </c>
      <c r="B213" s="224" t="s">
        <v>531</v>
      </c>
      <c r="D213" s="55"/>
      <c r="E213" s="55"/>
      <c r="F213" s="224" t="s">
        <v>1149</v>
      </c>
      <c r="G213" s="55"/>
      <c r="J213" s="256">
        <v>2050</v>
      </c>
      <c r="K213" s="256"/>
      <c r="L213" s="1127">
        <f>1/SUMIFS(Transport!$AS$13:$AS$264,Transport!$D$13:$D$264,$B213,Transport!$E$13:$E$264,$A213,Transport!$A$13:$A$264,$J213)</f>
        <v>3.8508678900328275</v>
      </c>
      <c r="M213" s="256"/>
      <c r="N213" s="256"/>
      <c r="O213" s="1127">
        <f>SUMIFS(Transport!$AT$13:$AT$264,Transport!$D$13:$D$264,$B213,Transport!$E$13:$E$264,$A213,Transport!$A$13:$A$264,$J213)/1000*6.5</f>
        <v>44.865046273927319</v>
      </c>
      <c r="P213" s="254"/>
      <c r="Q213" s="254"/>
      <c r="R213" s="201"/>
      <c r="S213" s="275"/>
      <c r="T213" s="228"/>
      <c r="U213" s="228"/>
      <c r="V213" s="228"/>
      <c r="W213" s="228"/>
      <c r="X213" s="55"/>
      <c r="Y213" s="55"/>
      <c r="Z213" s="55"/>
      <c r="AA213" s="55"/>
      <c r="AB213" s="55"/>
    </row>
    <row r="214" spans="1:28">
      <c r="A214" s="169"/>
      <c r="D214" s="212" t="str">
        <f>"IND"&amp;RIGHT(H214,4)&amp;RIGHT(G214,3)&amp;"N"&amp;RIGHT(E214,1)</f>
        <v>INDNDFLSYNN1</v>
      </c>
      <c r="E214" s="224" t="str">
        <f>"Industry "&amp;$AJ$12&amp;" "&amp;RIGHT(H202,2)&amp;" Forklifts - New 1"</f>
        <v>Industry N TF Forklifts - New 1</v>
      </c>
      <c r="F214" s="224" t="s">
        <v>1149</v>
      </c>
      <c r="G214" s="173" t="s">
        <v>2082</v>
      </c>
      <c r="H214" s="224" t="str">
        <f>AI19</f>
        <v>INDFL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INDNDCOELCN1</v>
      </c>
      <c r="E218" s="224" t="str">
        <f>"Industry "&amp;$AJ$12&amp;" "&amp;RIGHT(H218,2)&amp;" Cooling - New 1"</f>
        <v>Industry N CO Cooling - New 1</v>
      </c>
      <c r="F218" s="224" t="s">
        <v>1149</v>
      </c>
      <c r="G218" s="173" t="s">
        <v>499</v>
      </c>
      <c r="H218" s="224" t="str">
        <f>AI21</f>
        <v>INDCO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INDNDPHELCN1</v>
      </c>
      <c r="E229" s="212" t="str">
        <f t="shared" ref="E229:E260" si="265">VLOOKUP(D229,$D$9:$E$222,2,FALSE)</f>
        <v>Industrial heating technology N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INDNDSHELCN1</v>
      </c>
      <c r="E230" s="212" t="str">
        <f t="shared" ca="1" si="265"/>
        <v>Industrial heating technology N SH - Heat pump utilizing waste heat - new 1</v>
      </c>
      <c r="F230" s="262" t="s">
        <v>450</v>
      </c>
      <c r="G230" s="262" t="s">
        <v>449</v>
      </c>
      <c r="H230" s="263" t="s">
        <v>620</v>
      </c>
      <c r="I230" s="301"/>
      <c r="J230" s="264" t="s">
        <v>469</v>
      </c>
    </row>
    <row r="231" spans="1:10">
      <c r="A231" s="169"/>
      <c r="D231" s="212" t="str">
        <f t="shared" ca="1" si="266"/>
        <v>INDNDPHELCN2</v>
      </c>
      <c r="E231" s="212" t="str">
        <f t="shared" ca="1" si="265"/>
        <v>Industrial heating technology N PH - Heat driven heat pump utilizing waste heat - new 2</v>
      </c>
      <c r="F231" s="211" t="s">
        <v>450</v>
      </c>
      <c r="G231" s="211" t="s">
        <v>449</v>
      </c>
      <c r="H231" s="263" t="s">
        <v>620</v>
      </c>
      <c r="I231" s="208"/>
      <c r="J231" s="264" t="s">
        <v>469</v>
      </c>
    </row>
    <row r="232" spans="1:10">
      <c r="A232" s="169"/>
      <c r="B232" s="211"/>
      <c r="C232" s="211"/>
      <c r="D232" s="212" t="str">
        <f t="shared" ca="1" si="266"/>
        <v>INDNDSHELCN2</v>
      </c>
      <c r="E232" s="212" t="str">
        <f t="shared" ca="1" si="265"/>
        <v>Industrial heating technology N SH - Heat driven heat pump utilizing waste heat - new 2</v>
      </c>
      <c r="F232" s="262" t="s">
        <v>450</v>
      </c>
      <c r="G232" s="262" t="s">
        <v>449</v>
      </c>
      <c r="H232" s="263" t="s">
        <v>620</v>
      </c>
      <c r="I232" s="264"/>
      <c r="J232" s="264" t="s">
        <v>469</v>
      </c>
    </row>
    <row r="233" spans="1:10">
      <c r="A233" s="169"/>
      <c r="B233" s="211"/>
      <c r="C233" s="211"/>
      <c r="D233" s="212" t="str">
        <f t="shared" ca="1" si="266"/>
        <v>INDNDPHELCN3</v>
      </c>
      <c r="E233" s="212" t="str">
        <f t="shared" ca="1" si="265"/>
        <v>Industrial heating technology N PH - High Temp abs. Heat pump utilizing waste heat - new 3</v>
      </c>
      <c r="F233" s="262" t="s">
        <v>450</v>
      </c>
      <c r="G233" s="262" t="s">
        <v>449</v>
      </c>
      <c r="H233" s="263" t="s">
        <v>620</v>
      </c>
      <c r="I233" s="264"/>
      <c r="J233" s="264" t="s">
        <v>469</v>
      </c>
    </row>
    <row r="234" spans="1:10">
      <c r="A234" s="169"/>
      <c r="B234" s="211"/>
      <c r="C234" s="211"/>
      <c r="D234" s="212" t="str">
        <f t="shared" ca="1" si="266"/>
        <v>INDNDSHELCN3</v>
      </c>
      <c r="E234" s="212" t="str">
        <f t="shared" ca="1" si="265"/>
        <v>Industrial heating technology N SH - High Temp abs. Heat pump utilizing waste heat - new 3</v>
      </c>
      <c r="F234" s="262" t="s">
        <v>450</v>
      </c>
      <c r="G234" s="262" t="s">
        <v>449</v>
      </c>
      <c r="H234" s="263" t="s">
        <v>620</v>
      </c>
      <c r="I234" s="264"/>
      <c r="J234" s="264" t="s">
        <v>469</v>
      </c>
    </row>
    <row r="235" spans="1:10">
      <c r="A235" s="169"/>
      <c r="B235" s="211"/>
      <c r="C235" s="211"/>
      <c r="D235" s="212" t="str">
        <f t="shared" ca="1" si="266"/>
        <v>INDNDPHELCN4</v>
      </c>
      <c r="E235" s="212" t="str">
        <f t="shared" ca="1" si="265"/>
        <v>Industrial heating technology N PH - Booster Heat pump utilizing waste heat - new 4</v>
      </c>
      <c r="F235" s="262" t="s">
        <v>450</v>
      </c>
      <c r="G235" s="262" t="s">
        <v>449</v>
      </c>
      <c r="H235" s="263" t="s">
        <v>620</v>
      </c>
      <c r="I235" s="264"/>
      <c r="J235" s="264" t="s">
        <v>469</v>
      </c>
    </row>
    <row r="236" spans="1:10">
      <c r="A236" s="169"/>
      <c r="B236" s="211"/>
      <c r="C236" s="211"/>
      <c r="D236" s="212" t="str">
        <f t="shared" ca="1" si="266"/>
        <v>INDNDSHELCN4</v>
      </c>
      <c r="E236" s="212" t="str">
        <f t="shared" ca="1" si="265"/>
        <v>Industrial heating technology N SH - Booster Heat pump utilizing waste heat - new 4</v>
      </c>
      <c r="F236" s="262" t="s">
        <v>450</v>
      </c>
      <c r="G236" s="262" t="s">
        <v>449</v>
      </c>
      <c r="H236" s="263" t="s">
        <v>620</v>
      </c>
      <c r="I236" s="264"/>
      <c r="J236" s="264" t="s">
        <v>469</v>
      </c>
    </row>
    <row r="237" spans="1:10">
      <c r="A237" s="169"/>
      <c r="B237" s="211"/>
      <c r="C237" s="211"/>
      <c r="D237" s="212" t="str">
        <f t="shared" ca="1" si="266"/>
        <v>INDNDPHELCN5</v>
      </c>
      <c r="E237" s="212" t="str">
        <f t="shared" ca="1" si="265"/>
        <v>Industrial heating technology N PH - MVR utilizing waste heat - new 5</v>
      </c>
      <c r="F237" s="262" t="s">
        <v>450</v>
      </c>
      <c r="G237" s="262" t="s">
        <v>449</v>
      </c>
      <c r="H237" s="263"/>
      <c r="I237" s="264"/>
      <c r="J237" s="264" t="s">
        <v>469</v>
      </c>
    </row>
    <row r="238" spans="1:10">
      <c r="A238" s="169"/>
      <c r="B238" s="211"/>
      <c r="C238" s="211"/>
      <c r="D238" s="212" t="str">
        <f t="shared" ca="1" si="266"/>
        <v>INDNDPHWSTN1</v>
      </c>
      <c r="E238" s="212" t="str">
        <f t="shared" ca="1" si="265"/>
        <v>Industrial heating technology N PH - Hotdisc - new 1</v>
      </c>
      <c r="F238" s="262" t="s">
        <v>450</v>
      </c>
      <c r="G238" s="262" t="s">
        <v>449</v>
      </c>
      <c r="H238" s="263" t="s">
        <v>620</v>
      </c>
      <c r="I238" s="264"/>
      <c r="J238" s="264" t="s">
        <v>469</v>
      </c>
    </row>
    <row r="239" spans="1:10">
      <c r="A239" s="169"/>
      <c r="B239" s="211"/>
      <c r="C239" s="211"/>
      <c r="D239" s="212" t="str">
        <f t="shared" ref="D239:D278" ca="1" si="267">OFFSET($D$9,(ROW(D19)*3),0)</f>
        <v>INDNDPHELCN6</v>
      </c>
      <c r="E239" s="212" t="str">
        <f t="shared" ca="1" si="265"/>
        <v>Industrial heating technology N PH - Dielectric heating - new 6</v>
      </c>
      <c r="F239" s="262" t="s">
        <v>450</v>
      </c>
      <c r="G239" s="262" t="s">
        <v>449</v>
      </c>
      <c r="H239" s="263" t="s">
        <v>620</v>
      </c>
      <c r="I239" s="264"/>
      <c r="J239" s="264" t="s">
        <v>469</v>
      </c>
    </row>
    <row r="240" spans="1:10">
      <c r="A240" s="169"/>
      <c r="B240" s="211"/>
      <c r="C240" s="211"/>
      <c r="D240" s="212" t="str">
        <f t="shared" ca="1" si="267"/>
        <v>INDNDPHELCN7</v>
      </c>
      <c r="E240" s="212" t="str">
        <f t="shared" ca="1" si="265"/>
        <v>Industrial heating technology N PH - Infrared heating - new 7</v>
      </c>
      <c r="F240" s="262" t="s">
        <v>450</v>
      </c>
      <c r="G240" s="262" t="s">
        <v>449</v>
      </c>
      <c r="H240" s="263" t="s">
        <v>620</v>
      </c>
      <c r="I240" s="264"/>
      <c r="J240" s="264" t="s">
        <v>469</v>
      </c>
    </row>
    <row r="241" spans="1:16">
      <c r="A241" s="169"/>
      <c r="B241" s="211"/>
      <c r="C241" s="211"/>
      <c r="D241" s="212" t="str">
        <f t="shared" ca="1" si="267"/>
        <v>INDNDPHELCN8</v>
      </c>
      <c r="E241" s="212" t="str">
        <f t="shared" ca="1" si="265"/>
        <v>Industrial heating technology N PH - Electric boiler (Steam) - new 8</v>
      </c>
      <c r="F241" s="262" t="s">
        <v>450</v>
      </c>
      <c r="G241" s="262" t="s">
        <v>449</v>
      </c>
      <c r="H241" s="263" t="s">
        <v>620</v>
      </c>
      <c r="I241" s="264"/>
      <c r="J241" s="264" t="s">
        <v>469</v>
      </c>
    </row>
    <row r="242" spans="1:16">
      <c r="A242" s="169"/>
      <c r="B242" s="211"/>
      <c r="C242" s="211"/>
      <c r="D242" s="212" t="str">
        <f t="shared" ca="1" si="267"/>
        <v>INDNDPHELCN8</v>
      </c>
      <c r="E242" s="212" t="str">
        <f t="shared" ca="1" si="265"/>
        <v>Industrial heating technology N PH - Electric boiler (Steam) - new 8</v>
      </c>
      <c r="F242" s="262" t="s">
        <v>450</v>
      </c>
      <c r="G242" s="262" t="s">
        <v>449</v>
      </c>
      <c r="H242" s="263" t="s">
        <v>620</v>
      </c>
      <c r="I242" s="264"/>
      <c r="J242" s="264" t="s">
        <v>469</v>
      </c>
    </row>
    <row r="243" spans="1:16">
      <c r="A243" s="169"/>
      <c r="B243" s="211"/>
      <c r="C243" s="211"/>
      <c r="D243" s="212" t="str">
        <f t="shared" ca="1" si="267"/>
        <v>INDNDSHELCN8</v>
      </c>
      <c r="E243" s="212" t="str">
        <f t="shared" ca="1" si="265"/>
        <v>Industrial heating technology N SH - Electric boiler (Steam) - new 8</v>
      </c>
      <c r="F243" s="262" t="s">
        <v>450</v>
      </c>
      <c r="G243" s="262" t="s">
        <v>449</v>
      </c>
      <c r="H243" s="263" t="s">
        <v>620</v>
      </c>
      <c r="I243" s="264"/>
      <c r="J243" s="264" t="s">
        <v>469</v>
      </c>
      <c r="P243" s="173"/>
    </row>
    <row r="244" spans="1:16">
      <c r="A244" s="169"/>
      <c r="B244" s="211"/>
      <c r="C244" s="211"/>
      <c r="D244" s="212" t="str">
        <f t="shared" ca="1" si="267"/>
        <v>INDNDPHELCN9</v>
      </c>
      <c r="E244" s="212" t="str">
        <f t="shared" ca="1" si="265"/>
        <v>Industrial heating technology N PH - Electric boiler (Hot Water) - new 9</v>
      </c>
      <c r="F244" s="262" t="s">
        <v>450</v>
      </c>
      <c r="G244" s="262" t="s">
        <v>449</v>
      </c>
      <c r="H244" s="263" t="s">
        <v>620</v>
      </c>
      <c r="I244" s="264"/>
      <c r="J244" s="264" t="s">
        <v>469</v>
      </c>
      <c r="P244" s="173"/>
    </row>
    <row r="245" spans="1:16">
      <c r="A245" s="169"/>
      <c r="B245" s="211"/>
      <c r="C245" s="211"/>
      <c r="D245" s="212" t="str">
        <f t="shared" ca="1" si="267"/>
        <v>INDNDSHELCN9</v>
      </c>
      <c r="E245" s="212" t="str">
        <f t="shared" ca="1" si="265"/>
        <v>Industrial heating technology N SH - Electric boiler (Hot Water) - new 9</v>
      </c>
      <c r="F245" s="262" t="s">
        <v>450</v>
      </c>
      <c r="G245" s="262" t="s">
        <v>449</v>
      </c>
      <c r="H245" s="263" t="s">
        <v>620</v>
      </c>
      <c r="I245" s="264"/>
      <c r="J245" s="264" t="s">
        <v>469</v>
      </c>
      <c r="P245" s="173"/>
    </row>
    <row r="246" spans="1:16">
      <c r="A246" s="169"/>
      <c r="B246" s="211"/>
      <c r="C246" s="211"/>
      <c r="D246" s="212" t="str">
        <f t="shared" ca="1" si="267"/>
        <v>INDNDPHWCHN1</v>
      </c>
      <c r="E246" s="212" t="str">
        <f t="shared" ca="1" si="265"/>
        <v>Industrial heating technology N PH - Wood chip boiler (Steam) - new 1</v>
      </c>
      <c r="F246" s="262" t="s">
        <v>450</v>
      </c>
      <c r="G246" s="262" t="s">
        <v>449</v>
      </c>
      <c r="H246" s="263"/>
      <c r="I246" s="264"/>
      <c r="J246" s="264" t="s">
        <v>469</v>
      </c>
      <c r="P246" s="173"/>
    </row>
    <row r="247" spans="1:16">
      <c r="A247" s="169"/>
      <c r="B247" s="211"/>
      <c r="C247" s="211"/>
      <c r="D247" s="212" t="str">
        <f t="shared" ca="1" si="267"/>
        <v>INDNDPHWCHN1</v>
      </c>
      <c r="E247" s="212" t="str">
        <f t="shared" ca="1" si="265"/>
        <v>Industrial heating technology N PH - Wood chip boiler (Steam) - new 1</v>
      </c>
      <c r="F247" s="262" t="s">
        <v>450</v>
      </c>
      <c r="G247" s="262" t="s">
        <v>449</v>
      </c>
      <c r="H247" s="263"/>
      <c r="I247" s="264"/>
      <c r="J247" s="264" t="s">
        <v>469</v>
      </c>
      <c r="M247" s="171"/>
      <c r="N247" s="171"/>
      <c r="P247" s="173"/>
    </row>
    <row r="248" spans="1:16">
      <c r="A248" s="169"/>
      <c r="B248" s="211"/>
      <c r="C248" s="211"/>
      <c r="D248" s="212" t="str">
        <f t="shared" ca="1" si="267"/>
        <v>INDNDSHWCHN1</v>
      </c>
      <c r="E248" s="212" t="str">
        <f t="shared" ca="1" si="265"/>
        <v>Industrial heating technology N SH - Wood chip boiler (Steam) - new 1</v>
      </c>
      <c r="F248" s="262" t="s">
        <v>450</v>
      </c>
      <c r="G248" s="262" t="s">
        <v>449</v>
      </c>
      <c r="H248" s="263"/>
      <c r="I248" s="264"/>
      <c r="J248" s="264" t="s">
        <v>469</v>
      </c>
      <c r="M248" s="171"/>
      <c r="N248" s="171"/>
      <c r="P248" s="173"/>
    </row>
    <row r="249" spans="1:16">
      <c r="A249" s="169"/>
      <c r="B249" s="211"/>
      <c r="C249" s="211"/>
      <c r="D249" s="212" t="str">
        <f t="shared" ca="1" si="267"/>
        <v>INDNDPHWCHN2</v>
      </c>
      <c r="E249" s="212" t="str">
        <f t="shared" ca="1" si="265"/>
        <v>Industrial heating technology N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INDNDSHWCHN2</v>
      </c>
      <c r="E250" s="212" t="str">
        <f t="shared" ca="1" si="265"/>
        <v>Industrial heating technology N SH - Wood chip boiler (Steam - condensing) - new 2</v>
      </c>
      <c r="F250" s="262" t="s">
        <v>450</v>
      </c>
      <c r="G250" s="262" t="s">
        <v>449</v>
      </c>
      <c r="H250" s="263"/>
      <c r="I250" s="264"/>
      <c r="J250" s="264" t="s">
        <v>469</v>
      </c>
    </row>
    <row r="251" spans="1:16">
      <c r="A251" s="169"/>
      <c r="B251" s="212"/>
      <c r="C251" s="212"/>
      <c r="D251" s="212" t="str">
        <f t="shared" ca="1" si="267"/>
        <v>INDNDPHWCHN3</v>
      </c>
      <c r="E251" s="212" t="str">
        <f t="shared" ca="1" si="265"/>
        <v>Industrial heating technology N PH - Wood chip boiler (Hot Water) - new 3</v>
      </c>
      <c r="F251" s="262" t="s">
        <v>450</v>
      </c>
      <c r="G251" s="262" t="s">
        <v>449</v>
      </c>
      <c r="H251" s="261"/>
      <c r="I251" s="261"/>
      <c r="J251" s="264" t="s">
        <v>469</v>
      </c>
    </row>
    <row r="252" spans="1:16">
      <c r="A252" s="169"/>
      <c r="B252" s="212"/>
      <c r="C252" s="212"/>
      <c r="D252" s="212" t="str">
        <f t="shared" ca="1" si="267"/>
        <v>INDNDSHWCHN3</v>
      </c>
      <c r="E252" s="212" t="str">
        <f t="shared" ca="1" si="265"/>
        <v>Industrial heating technology N SH - Wood chip boiler (Hot Water) - new 3</v>
      </c>
      <c r="F252" s="262" t="s">
        <v>450</v>
      </c>
      <c r="G252" s="262" t="s">
        <v>449</v>
      </c>
      <c r="H252" s="261"/>
      <c r="I252" s="261"/>
      <c r="J252" s="264" t="s">
        <v>469</v>
      </c>
    </row>
    <row r="253" spans="1:16">
      <c r="A253" s="169"/>
      <c r="B253" s="212"/>
      <c r="C253" s="212"/>
      <c r="D253" s="212" t="str">
        <f t="shared" ca="1" si="267"/>
        <v>INDNDPHWCHN4</v>
      </c>
      <c r="E253" s="212" t="str">
        <f t="shared" ca="1" si="265"/>
        <v>Industrial heating technology N PH - Wood chip boiler (Hot Water - condensing) - new 4</v>
      </c>
      <c r="F253" s="262" t="s">
        <v>450</v>
      </c>
      <c r="G253" s="262" t="s">
        <v>449</v>
      </c>
      <c r="H253" s="261"/>
      <c r="I253" s="261"/>
      <c r="J253" s="264" t="s">
        <v>469</v>
      </c>
    </row>
    <row r="254" spans="1:16">
      <c r="A254" s="169"/>
      <c r="B254" s="212"/>
      <c r="C254" s="212"/>
      <c r="D254" s="212" t="str">
        <f t="shared" ca="1" si="267"/>
        <v>INDNDSHWCHN4</v>
      </c>
      <c r="E254" s="212" t="str">
        <f t="shared" ca="1" si="265"/>
        <v>Industrial heating technology N SH - Wood chip boiler (Hot Water- condensing) - new 4</v>
      </c>
      <c r="F254" s="262" t="s">
        <v>450</v>
      </c>
      <c r="G254" s="262" t="s">
        <v>449</v>
      </c>
      <c r="H254" s="261"/>
      <c r="I254" s="261"/>
      <c r="J254" s="264" t="s">
        <v>469</v>
      </c>
    </row>
    <row r="255" spans="1:16">
      <c r="B255" s="212"/>
      <c r="C255" s="212"/>
      <c r="D255" s="212" t="str">
        <f t="shared" ca="1" si="267"/>
        <v>INDNDPHELCN10</v>
      </c>
      <c r="E255" s="212" t="str">
        <f t="shared" ca="1" si="265"/>
        <v>Industrial heating technology N PH - Direct electric heating - new 10</v>
      </c>
      <c r="F255" s="262" t="s">
        <v>450</v>
      </c>
      <c r="G255" s="262" t="s">
        <v>449</v>
      </c>
      <c r="H255" s="261"/>
      <c r="I255" s="261"/>
      <c r="J255" s="264" t="s">
        <v>469</v>
      </c>
    </row>
    <row r="256" spans="1:16">
      <c r="B256" s="212"/>
      <c r="C256" s="212"/>
      <c r="D256" s="212" t="str">
        <f t="shared" ca="1" si="267"/>
        <v>INDNDPHELCN10</v>
      </c>
      <c r="E256" s="212" t="str">
        <f t="shared" ca="1" si="265"/>
        <v>Industrial heating technology N PH - Direct electric heating - new 10</v>
      </c>
      <c r="F256" s="262" t="s">
        <v>450</v>
      </c>
      <c r="G256" s="262" t="s">
        <v>449</v>
      </c>
      <c r="H256" s="261"/>
      <c r="I256" s="261"/>
      <c r="J256" s="264" t="s">
        <v>469</v>
      </c>
    </row>
    <row r="257" spans="1:10">
      <c r="B257" s="212"/>
      <c r="C257" s="212"/>
      <c r="D257" s="212" t="str">
        <f t="shared" ca="1" si="267"/>
        <v>INDNDPHDSLN1</v>
      </c>
      <c r="E257" s="212" t="str">
        <f t="shared" ca="1" si="265"/>
        <v>Industrial heating technology N PH - Oil boiler (Steam) - new 1</v>
      </c>
      <c r="F257" s="262" t="s">
        <v>450</v>
      </c>
      <c r="G257" s="262" t="s">
        <v>449</v>
      </c>
      <c r="H257" s="261"/>
      <c r="I257" s="261"/>
      <c r="J257" s="264" t="s">
        <v>469</v>
      </c>
    </row>
    <row r="258" spans="1:10">
      <c r="B258" s="212"/>
      <c r="C258" s="212"/>
      <c r="D258" s="212" t="str">
        <f t="shared" ca="1" si="267"/>
        <v>INDNDPHDSLN1</v>
      </c>
      <c r="E258" s="212" t="str">
        <f t="shared" ca="1" si="265"/>
        <v>Industrial heating technology N PH - Oil boiler (Steam) - new 1</v>
      </c>
      <c r="F258" s="262" t="s">
        <v>450</v>
      </c>
      <c r="G258" s="262" t="s">
        <v>449</v>
      </c>
      <c r="H258" s="261"/>
      <c r="I258" s="261"/>
      <c r="J258" s="264" t="s">
        <v>469</v>
      </c>
    </row>
    <row r="259" spans="1:10">
      <c r="B259" s="212"/>
      <c r="C259" s="212"/>
      <c r="D259" s="212" t="str">
        <f t="shared" ca="1" si="267"/>
        <v>INDNDSHDSLN1</v>
      </c>
      <c r="E259" s="212" t="str">
        <f t="shared" ca="1" si="265"/>
        <v>Industrial heating technology N SH - Oil boiler (Steam) - new 1</v>
      </c>
      <c r="F259" s="262" t="s">
        <v>450</v>
      </c>
      <c r="G259" s="262" t="s">
        <v>449</v>
      </c>
      <c r="H259" s="261"/>
      <c r="I259" s="261"/>
      <c r="J259" s="264" t="s">
        <v>469</v>
      </c>
    </row>
    <row r="260" spans="1:10">
      <c r="A260" s="214"/>
      <c r="B260" s="212"/>
      <c r="C260" s="212"/>
      <c r="D260" s="212" t="str">
        <f t="shared" ca="1" si="267"/>
        <v>INDNDPHDSLN2</v>
      </c>
      <c r="E260" s="212" t="str">
        <f t="shared" ca="1" si="265"/>
        <v>Industrial heating technology N PH - Oil boiler (Steam - condensing) - new 2</v>
      </c>
      <c r="F260" s="262" t="s">
        <v>450</v>
      </c>
      <c r="G260" s="262" t="s">
        <v>449</v>
      </c>
      <c r="H260" s="261"/>
      <c r="I260" s="261"/>
      <c r="J260" s="264" t="s">
        <v>469</v>
      </c>
    </row>
    <row r="261" spans="1:10">
      <c r="A261" s="214"/>
      <c r="B261" s="212"/>
      <c r="C261" s="212"/>
      <c r="D261" s="212" t="str">
        <f t="shared" ca="1" si="267"/>
        <v>INDNDSHDSLN2</v>
      </c>
      <c r="E261" s="212" t="str">
        <f t="shared" ref="E261:E290" ca="1" si="268">VLOOKUP(D261,$D$9:$E$222,2,FALSE)</f>
        <v>Industrial heating technology N SH - Oil boiler (Steam - condensing) - new 2</v>
      </c>
      <c r="F261" s="262" t="s">
        <v>450</v>
      </c>
      <c r="G261" s="262" t="s">
        <v>449</v>
      </c>
      <c r="H261" s="261"/>
      <c r="I261" s="261"/>
      <c r="J261" s="264" t="s">
        <v>469</v>
      </c>
    </row>
    <row r="262" spans="1:10">
      <c r="A262" s="214"/>
      <c r="B262" s="212"/>
      <c r="C262" s="212"/>
      <c r="D262" s="212" t="str">
        <f t="shared" ca="1" si="267"/>
        <v>INDNDPHGASN1</v>
      </c>
      <c r="E262" s="212" t="str">
        <f t="shared" ca="1" si="268"/>
        <v>Industrial heating technology N PH - Gas boiler (Steam) - new 1</v>
      </c>
      <c r="F262" s="262" t="s">
        <v>450</v>
      </c>
      <c r="G262" s="262" t="s">
        <v>449</v>
      </c>
      <c r="H262" s="261"/>
      <c r="I262" s="261"/>
      <c r="J262" s="264" t="s">
        <v>469</v>
      </c>
    </row>
    <row r="263" spans="1:10">
      <c r="A263" s="214"/>
      <c r="B263" s="212"/>
      <c r="C263" s="212"/>
      <c r="D263" s="212" t="str">
        <f t="shared" ca="1" si="267"/>
        <v>INDNDPHGASN1</v>
      </c>
      <c r="E263" s="212" t="str">
        <f t="shared" ca="1" si="268"/>
        <v>Industrial heating technology N PH - Gas boiler (Steam) - new 1</v>
      </c>
      <c r="F263" s="262" t="s">
        <v>450</v>
      </c>
      <c r="G263" s="262" t="s">
        <v>449</v>
      </c>
      <c r="H263" s="261"/>
      <c r="I263" s="261"/>
      <c r="J263" s="264" t="s">
        <v>469</v>
      </c>
    </row>
    <row r="264" spans="1:10">
      <c r="B264" s="212"/>
      <c r="C264" s="212"/>
      <c r="D264" s="212" t="str">
        <f t="shared" ca="1" si="267"/>
        <v>INDNDSHGASN1</v>
      </c>
      <c r="E264" s="212" t="str">
        <f t="shared" ca="1" si="268"/>
        <v>Industrial heating technology N SH - Gas boiler (Steam) - new 1</v>
      </c>
      <c r="F264" s="262" t="s">
        <v>450</v>
      </c>
      <c r="G264" s="262" t="s">
        <v>449</v>
      </c>
      <c r="H264" s="261"/>
      <c r="I264" s="261"/>
      <c r="J264" s="264" t="s">
        <v>469</v>
      </c>
    </row>
    <row r="265" spans="1:10">
      <c r="B265" s="212"/>
      <c r="C265" s="212"/>
      <c r="D265" s="212" t="str">
        <f t="shared" ca="1" si="267"/>
        <v>INDNDPHGASN2</v>
      </c>
      <c r="E265" s="212" t="str">
        <f t="shared" ca="1" si="268"/>
        <v>Industrial heating technology N PH - Gas boiler (Steam - condensing) - new 2</v>
      </c>
      <c r="F265" s="262" t="s">
        <v>450</v>
      </c>
      <c r="G265" s="262" t="s">
        <v>449</v>
      </c>
      <c r="H265" s="261"/>
      <c r="I265" s="261"/>
      <c r="J265" s="264" t="s">
        <v>469</v>
      </c>
    </row>
    <row r="266" spans="1:10">
      <c r="B266" s="212"/>
      <c r="C266" s="212"/>
      <c r="D266" s="212" t="str">
        <f t="shared" ca="1" si="267"/>
        <v>INDNDSHGASN2</v>
      </c>
      <c r="E266" s="212" t="str">
        <f t="shared" ca="1" si="268"/>
        <v>Industrial heating technology N SH - Gas boiler (Steam - condensing) - new 2</v>
      </c>
      <c r="F266" s="262" t="s">
        <v>450</v>
      </c>
      <c r="G266" s="262" t="s">
        <v>449</v>
      </c>
      <c r="H266" s="261"/>
      <c r="I266" s="261"/>
      <c r="J266" s="264" t="s">
        <v>469</v>
      </c>
    </row>
    <row r="267" spans="1:10">
      <c r="B267" s="212"/>
      <c r="C267" s="212"/>
      <c r="D267" s="212" t="str">
        <f t="shared" ca="1" si="267"/>
        <v>INDNDPHGASN3</v>
      </c>
      <c r="E267" s="212" t="str">
        <f t="shared" ca="1" si="268"/>
        <v>Industrial heating technology N PH - Gas boiler (Hot Water) - new 3</v>
      </c>
      <c r="F267" s="262" t="s">
        <v>450</v>
      </c>
      <c r="G267" s="262" t="s">
        <v>449</v>
      </c>
      <c r="H267" s="261"/>
      <c r="I267" s="261"/>
      <c r="J267" s="264" t="s">
        <v>469</v>
      </c>
    </row>
    <row r="268" spans="1:10">
      <c r="B268" s="212"/>
      <c r="C268" s="212"/>
      <c r="D268" s="212" t="str">
        <f t="shared" ca="1" si="267"/>
        <v>INDNDSHGASN3</v>
      </c>
      <c r="E268" s="212" t="str">
        <f t="shared" ca="1" si="268"/>
        <v>Industrial heating technology N SH - Gas boiler (Hot Water) - new 3</v>
      </c>
      <c r="F268" s="262" t="s">
        <v>450</v>
      </c>
      <c r="G268" s="262" t="s">
        <v>449</v>
      </c>
      <c r="H268" s="261"/>
      <c r="I268" s="261"/>
      <c r="J268" s="264" t="s">
        <v>469</v>
      </c>
    </row>
    <row r="269" spans="1:10">
      <c r="B269" s="212"/>
      <c r="C269" s="212"/>
      <c r="D269" s="212" t="str">
        <f t="shared" ca="1" si="267"/>
        <v>INDNDPHGASN4</v>
      </c>
      <c r="E269" s="212" t="str">
        <f t="shared" ca="1" si="268"/>
        <v>Industrial heating technology N PH - Gas boiler (Hot Water - condensing) - new 4</v>
      </c>
      <c r="F269" s="262" t="s">
        <v>450</v>
      </c>
      <c r="G269" s="262" t="s">
        <v>449</v>
      </c>
      <c r="H269" s="261"/>
      <c r="I269" s="261"/>
      <c r="J269" s="264" t="s">
        <v>469</v>
      </c>
    </row>
    <row r="270" spans="1:10">
      <c r="B270" s="212"/>
      <c r="C270" s="212"/>
      <c r="D270" s="212" t="str">
        <f t="shared" ca="1" si="267"/>
        <v>INDNDSHGASN4</v>
      </c>
      <c r="E270" s="212" t="str">
        <f t="shared" ca="1" si="268"/>
        <v>Industrial heating technology N SH - Gas boiler (Hot Water- condensing) - new 4</v>
      </c>
      <c r="F270" s="262" t="s">
        <v>450</v>
      </c>
      <c r="G270" s="262" t="s">
        <v>449</v>
      </c>
      <c r="H270" s="261"/>
      <c r="I270" s="261"/>
      <c r="J270" s="264" t="s">
        <v>469</v>
      </c>
    </row>
    <row r="271" spans="1:10">
      <c r="B271" s="212"/>
      <c r="C271" s="212"/>
      <c r="D271" s="212" t="str">
        <f t="shared" ca="1" si="267"/>
        <v>INDNDPHGASN5</v>
      </c>
      <c r="E271" s="212" t="str">
        <f t="shared" ca="1" si="268"/>
        <v>Industrial heating technology N PH - Gas boiler (Direct firing) - new 5</v>
      </c>
      <c r="F271" s="262" t="s">
        <v>450</v>
      </c>
      <c r="G271" s="262" t="s">
        <v>449</v>
      </c>
      <c r="H271" s="261"/>
      <c r="I271" s="261"/>
      <c r="J271" s="264" t="s">
        <v>469</v>
      </c>
    </row>
    <row r="272" spans="1:10">
      <c r="B272" s="212"/>
      <c r="C272" s="212"/>
      <c r="D272" s="212" t="str">
        <f t="shared" ca="1" si="267"/>
        <v>INDNDPHGASN5</v>
      </c>
      <c r="E272" s="212" t="str">
        <f t="shared" ca="1" si="268"/>
        <v>Industrial heating technology N PH - Gas boiler (Direct firing) - new 5</v>
      </c>
      <c r="F272" s="262" t="s">
        <v>450</v>
      </c>
      <c r="G272" s="262" t="s">
        <v>449</v>
      </c>
      <c r="H272" s="261"/>
      <c r="I272" s="261"/>
      <c r="J272" s="264" t="s">
        <v>469</v>
      </c>
    </row>
    <row r="273" spans="2:10">
      <c r="B273" s="212"/>
      <c r="C273" s="212"/>
      <c r="D273" s="212" t="str">
        <f t="shared" ca="1" si="267"/>
        <v>INDNDPHCOAN1</v>
      </c>
      <c r="E273" s="212" t="str">
        <f t="shared" ca="1" si="268"/>
        <v>Industrial heating technology N PH - Coal boiler (Steam) - new 1</v>
      </c>
      <c r="F273" s="262" t="s">
        <v>450</v>
      </c>
      <c r="G273" s="262" t="s">
        <v>449</v>
      </c>
      <c r="H273" s="261"/>
      <c r="I273" s="261"/>
      <c r="J273" s="264" t="s">
        <v>469</v>
      </c>
    </row>
    <row r="274" spans="2:10">
      <c r="B274" s="212"/>
      <c r="C274" s="212"/>
      <c r="D274" s="212" t="str">
        <f t="shared" ca="1" si="267"/>
        <v>INDNDPHCOAN1</v>
      </c>
      <c r="E274" s="212" t="str">
        <f t="shared" ca="1" si="268"/>
        <v>Industrial heating technology N PH - Coal boiler (Steam) - new 1</v>
      </c>
      <c r="F274" s="262" t="s">
        <v>450</v>
      </c>
      <c r="G274" s="262" t="s">
        <v>449</v>
      </c>
      <c r="H274" s="261"/>
      <c r="I274" s="261"/>
      <c r="J274" s="264" t="s">
        <v>469</v>
      </c>
    </row>
    <row r="275" spans="2:10">
      <c r="B275" s="212"/>
      <c r="C275" s="212"/>
      <c r="D275" s="212" t="str">
        <f t="shared" ca="1" si="267"/>
        <v>INDNDSHCOAN1</v>
      </c>
      <c r="E275" s="212" t="str">
        <f t="shared" ca="1" si="268"/>
        <v>Industrial heating technology N SH - Coal boiler (Steam) - new 1</v>
      </c>
      <c r="F275" s="262" t="s">
        <v>450</v>
      </c>
      <c r="G275" s="262" t="s">
        <v>449</v>
      </c>
      <c r="H275" s="261"/>
      <c r="I275" s="261"/>
      <c r="J275" s="264" t="s">
        <v>469</v>
      </c>
    </row>
    <row r="276" spans="2:10">
      <c r="B276" s="212"/>
      <c r="C276" s="212"/>
      <c r="D276" s="212" t="str">
        <f t="shared" ca="1" si="267"/>
        <v>INDNDPHCOAN2</v>
      </c>
      <c r="E276" s="212" t="str">
        <f t="shared" ca="1" si="268"/>
        <v>Industrial heating technology N PH - Coal boiler (Hot Water) - new 2</v>
      </c>
      <c r="F276" s="262" t="s">
        <v>450</v>
      </c>
      <c r="G276" s="262" t="s">
        <v>449</v>
      </c>
      <c r="H276" s="261"/>
      <c r="I276" s="261"/>
      <c r="J276" s="264" t="s">
        <v>469</v>
      </c>
    </row>
    <row r="277" spans="2:10">
      <c r="B277" s="212"/>
      <c r="C277" s="212"/>
      <c r="D277" s="212" t="str">
        <f t="shared" ca="1" si="267"/>
        <v>INDNDSHCOAN2</v>
      </c>
      <c r="E277" s="212" t="str">
        <f t="shared" ca="1" si="268"/>
        <v>Industrial heating technology N SH - Coal boiler (Hot Water) - new 2</v>
      </c>
      <c r="F277" s="262" t="s">
        <v>450</v>
      </c>
      <c r="G277" s="262" t="s">
        <v>449</v>
      </c>
      <c r="H277" s="261"/>
      <c r="I277" s="261"/>
      <c r="J277" s="264" t="s">
        <v>469</v>
      </c>
    </row>
    <row r="278" spans="2:10">
      <c r="B278" s="212"/>
      <c r="C278" s="212"/>
      <c r="D278" s="212" t="str">
        <f t="shared" ca="1" si="267"/>
        <v>INDNDSHSOLN1</v>
      </c>
      <c r="E278" s="212" t="str">
        <f t="shared" ca="1" si="268"/>
        <v>Industrial heating technology N SH - Solar - new 1</v>
      </c>
      <c r="F278" s="262" t="s">
        <v>450</v>
      </c>
      <c r="G278" s="262" t="s">
        <v>449</v>
      </c>
      <c r="H278" s="263" t="s">
        <v>620</v>
      </c>
      <c r="I278" s="261"/>
      <c r="J278" s="264" t="s">
        <v>469</v>
      </c>
    </row>
    <row r="279" spans="2:10">
      <c r="B279" s="212"/>
      <c r="C279" s="212"/>
      <c r="D279" s="889" t="str">
        <f>D187</f>
        <v>INDNDSHHCEN1</v>
      </c>
      <c r="E279" s="889" t="str">
        <f t="shared" si="268"/>
        <v>Industrial heating technology N SH - central district heating - within DH area - new 1</v>
      </c>
      <c r="F279" s="262" t="s">
        <v>450</v>
      </c>
      <c r="G279" s="262" t="s">
        <v>449</v>
      </c>
      <c r="H279" s="890"/>
      <c r="I279" s="890"/>
      <c r="J279" s="263" t="s">
        <v>469</v>
      </c>
    </row>
    <row r="280" spans="2:10">
      <c r="B280" s="212"/>
      <c r="C280" s="212"/>
      <c r="D280" s="889" t="str">
        <f>D188</f>
        <v>INDNDPHHCEN1</v>
      </c>
      <c r="E280" s="889" t="str">
        <f t="shared" si="268"/>
        <v>Industrial heating technology N PH - central district heating - within DH area - new 1</v>
      </c>
      <c r="F280" s="262" t="s">
        <v>450</v>
      </c>
      <c r="G280" s="262" t="s">
        <v>449</v>
      </c>
      <c r="H280" s="890"/>
      <c r="I280" s="890"/>
      <c r="J280" s="263" t="s">
        <v>469</v>
      </c>
    </row>
    <row r="281" spans="2:10">
      <c r="B281" s="212"/>
      <c r="C281" s="212"/>
      <c r="D281" s="889" t="str">
        <f>D189</f>
        <v>INDNDSHHSEN1</v>
      </c>
      <c r="E281" s="889" t="str">
        <f t="shared" si="268"/>
        <v>Industrial heating technology N SH - central district heating - within DH area - new 1</v>
      </c>
      <c r="F281" s="262" t="s">
        <v>450</v>
      </c>
      <c r="G281" s="262" t="s">
        <v>449</v>
      </c>
      <c r="H281" s="890"/>
      <c r="I281" s="890"/>
      <c r="J281" s="263" t="s">
        <v>469</v>
      </c>
    </row>
    <row r="282" spans="2:10">
      <c r="B282" s="212"/>
      <c r="C282" s="212"/>
      <c r="D282" s="889" t="str">
        <f>D190</f>
        <v>INDNDPHHSEN1</v>
      </c>
      <c r="E282" s="889" t="str">
        <f t="shared" si="268"/>
        <v>Industrial heating technology N PH - central district heating - within DH area - new 1</v>
      </c>
      <c r="F282" s="262" t="s">
        <v>450</v>
      </c>
      <c r="G282" s="262" t="s">
        <v>449</v>
      </c>
      <c r="H282" s="890"/>
      <c r="I282" s="890"/>
      <c r="J282" s="263" t="s">
        <v>469</v>
      </c>
    </row>
    <row r="283" spans="2:10">
      <c r="B283" s="212"/>
      <c r="C283" s="212"/>
      <c r="D283" s="212" t="str">
        <f t="shared" ref="D283" si="269">D191</f>
        <v>INDNDSHHDEN1</v>
      </c>
      <c r="E283" s="212" t="str">
        <f t="shared" si="268"/>
        <v>Industrial heating technology N SH - decentral district heating - within DH area - new 1</v>
      </c>
      <c r="F283" s="262" t="s">
        <v>450</v>
      </c>
      <c r="G283" s="262" t="s">
        <v>449</v>
      </c>
      <c r="H283" s="261"/>
      <c r="I283" s="261"/>
      <c r="J283" s="264" t="s">
        <v>469</v>
      </c>
    </row>
    <row r="284" spans="2:10">
      <c r="B284" s="212"/>
      <c r="C284" s="212"/>
      <c r="D284" s="212" t="str">
        <f>D192</f>
        <v>INDNDPHHDEN1</v>
      </c>
      <c r="E284" s="212" t="str">
        <f t="shared" si="268"/>
        <v>Industrial heating technology N PH - decentral district heating - within DH area - new 1</v>
      </c>
      <c r="F284" s="262" t="s">
        <v>450</v>
      </c>
      <c r="G284" s="262" t="s">
        <v>449</v>
      </c>
      <c r="H284" s="261"/>
      <c r="I284" s="261"/>
      <c r="J284" s="264" t="s">
        <v>469</v>
      </c>
    </row>
    <row r="285" spans="2:10">
      <c r="B285" s="212"/>
      <c r="C285" s="212"/>
      <c r="D285" s="212" t="str">
        <f>D194</f>
        <v>INDNDLAELCN1</v>
      </c>
      <c r="E285" s="212" t="str">
        <f t="shared" si="268"/>
        <v>Industry N LA Electricity Light Appliance - New 1</v>
      </c>
      <c r="F285" s="262" t="s">
        <v>450</v>
      </c>
      <c r="G285" s="262" t="s">
        <v>449</v>
      </c>
      <c r="H285" s="261"/>
      <c r="I285" s="261"/>
      <c r="J285" s="264" t="s">
        <v>469</v>
      </c>
    </row>
    <row r="286" spans="2:10">
      <c r="B286" s="212"/>
      <c r="C286" s="212"/>
      <c r="D286" s="212" t="str">
        <f>D198</f>
        <v>INDNDEMELCN1</v>
      </c>
      <c r="E286" s="212" t="str">
        <f t="shared" si="268"/>
        <v>Industry N EM Electricity Motors - New 1</v>
      </c>
      <c r="F286" s="262" t="s">
        <v>450</v>
      </c>
      <c r="G286" s="262" t="s">
        <v>449</v>
      </c>
      <c r="H286" s="261"/>
      <c r="I286" s="261"/>
      <c r="J286" s="264" t="s">
        <v>469</v>
      </c>
    </row>
    <row r="287" spans="2:10">
      <c r="B287" s="212"/>
      <c r="C287" s="212"/>
      <c r="D287" s="212" t="str">
        <f>D202</f>
        <v>INDNDTFDSLN1</v>
      </c>
      <c r="E287" s="212" t="str">
        <f t="shared" si="268"/>
        <v>Industry N TF Tractors, Trucks, Fishing boats - New 1</v>
      </c>
      <c r="F287" s="262" t="s">
        <v>450</v>
      </c>
      <c r="G287" s="262" t="s">
        <v>2078</v>
      </c>
      <c r="H287" s="261"/>
      <c r="I287" s="261"/>
      <c r="J287" s="264" t="s">
        <v>469</v>
      </c>
    </row>
    <row r="288" spans="2:10">
      <c r="B288" s="212"/>
      <c r="C288" s="212"/>
      <c r="D288" s="212" t="str">
        <f>D206</f>
        <v>INDNDTFH2GN2</v>
      </c>
      <c r="E288" s="212" t="str">
        <f t="shared" si="268"/>
        <v>Industry N TF Tractors, Trucks, Fishing boats - New 2</v>
      </c>
      <c r="F288" s="262" t="s">
        <v>450</v>
      </c>
      <c r="G288" s="262" t="s">
        <v>2078</v>
      </c>
      <c r="H288" s="261"/>
      <c r="I288" s="261"/>
      <c r="J288" s="264" t="s">
        <v>469</v>
      </c>
    </row>
    <row r="289" spans="2:10">
      <c r="B289" s="212"/>
      <c r="C289" s="212"/>
      <c r="D289" s="212" t="str">
        <f>D210</f>
        <v>INDNDTFELCN3</v>
      </c>
      <c r="E289" s="212" t="str">
        <f t="shared" si="268"/>
        <v>Industry N TF Tractors, Trucks, Fishing boats - New 3</v>
      </c>
      <c r="F289" s="262" t="s">
        <v>450</v>
      </c>
      <c r="G289" s="262" t="s">
        <v>2078</v>
      </c>
      <c r="H289" s="261"/>
      <c r="I289" s="261"/>
      <c r="J289" s="264" t="s">
        <v>469</v>
      </c>
    </row>
    <row r="290" spans="2:10">
      <c r="B290" s="212"/>
      <c r="C290" s="212"/>
      <c r="D290" s="212" t="str">
        <f>D214</f>
        <v>INDNDFLSYNN1</v>
      </c>
      <c r="E290" s="212" t="str">
        <f t="shared" si="268"/>
        <v>Industry N TF Forklifts - New 1</v>
      </c>
      <c r="F290" s="262" t="s">
        <v>450</v>
      </c>
      <c r="G290" s="262" t="s">
        <v>449</v>
      </c>
      <c r="H290" s="261"/>
      <c r="I290" s="261"/>
      <c r="J290" s="264" t="s">
        <v>469</v>
      </c>
    </row>
    <row r="291" spans="2:10">
      <c r="B291" s="212"/>
      <c r="C291" s="212"/>
      <c r="D291" s="212" t="str">
        <f>D218</f>
        <v>INDNDCOELCN1</v>
      </c>
      <c r="E291" s="212" t="str">
        <f>E218</f>
        <v>Industry N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INDSOx</v>
      </c>
      <c r="E296" s="270" t="str">
        <f>"Industrial heating  heating technology "&amp;$AJ$12&amp;" - SOx emission"</f>
        <v>Industrial heating  heating technology N - SOx emission</v>
      </c>
      <c r="F296" s="219" t="s">
        <v>352</v>
      </c>
      <c r="G296" s="211"/>
      <c r="H296" s="211"/>
      <c r="I296" s="211"/>
      <c r="J296" s="211"/>
    </row>
    <row r="297" spans="2:10">
      <c r="B297" s="214"/>
      <c r="C297" s="214"/>
      <c r="D297" s="260" t="str">
        <f>"I"&amp;LEFT($AJ$12,1)&amp;"DNOx"</f>
        <v>INDNOx</v>
      </c>
      <c r="E297" s="270" t="str">
        <f>"Industrial heating  heating technology "&amp;$AJ$12&amp;" - NOx emission"</f>
        <v>Industrial heating  heating technology N - NOx emission</v>
      </c>
      <c r="F297" s="219" t="s">
        <v>352</v>
      </c>
      <c r="G297" s="211"/>
      <c r="H297" s="214"/>
      <c r="I297" s="214"/>
      <c r="J297" s="214"/>
    </row>
    <row r="298" spans="2:10">
      <c r="B298" s="214"/>
      <c r="C298" s="214"/>
      <c r="D298" s="260" t="str">
        <f>"I"&amp;LEFT($AJ$12,1)&amp;"DCH4"</f>
        <v>INDCH4</v>
      </c>
      <c r="E298" s="270" t="str">
        <f>"Industrial heating  heating technology "&amp;$AJ$12&amp;" - CH4 emission"</f>
        <v>Industrial heating  heating technology N - CH4 emission</v>
      </c>
      <c r="F298" s="219" t="s">
        <v>352</v>
      </c>
      <c r="G298" s="211"/>
      <c r="H298" s="214"/>
      <c r="I298" s="214"/>
      <c r="J298" s="214"/>
    </row>
    <row r="299" spans="2:10">
      <c r="B299" s="214"/>
      <c r="C299" s="214"/>
      <c r="D299" s="260" t="str">
        <f>"I"&amp;LEFT($AJ$12,1)&amp;"DNO2"</f>
        <v>INDNO2</v>
      </c>
      <c r="E299" s="270" t="str">
        <f>"Industrial heating  heating technology "&amp;$AJ$12&amp;" - NO2 emission"</f>
        <v>Industrial heating  heating technology N - NO2 emission</v>
      </c>
      <c r="F299" s="219" t="s">
        <v>352</v>
      </c>
      <c r="G299" s="211"/>
      <c r="H299" s="214"/>
      <c r="I299" s="214"/>
      <c r="J299" s="214"/>
    </row>
    <row r="300" spans="2:10">
      <c r="B300" s="214"/>
      <c r="C300" s="214"/>
      <c r="D300" s="260" t="str">
        <f>"I"&amp;LEFT($AJ$12,1)&amp;"DPM"</f>
        <v>INDPM</v>
      </c>
      <c r="E300" s="270" t="str">
        <f>"Industrial heating  heating technology "&amp;$AJ$12&amp;" - Particle emission"</f>
        <v>Industrial heating  heating technology N - Particle emission</v>
      </c>
      <c r="F300" s="219" t="s">
        <v>352</v>
      </c>
      <c r="G300" s="211"/>
      <c r="H300" s="214"/>
      <c r="I300" s="214"/>
      <c r="J300" s="214"/>
    </row>
    <row r="301" spans="2:10">
      <c r="B301" s="224" t="s">
        <v>1057</v>
      </c>
      <c r="D301" s="224" t="str">
        <f>AI20</f>
        <v>INDNWH</v>
      </c>
      <c r="E301" s="270" t="str">
        <f>"Industrial heating technology "&amp;$AJ$12&amp;" - Waste heat"</f>
        <v>Industrial heating technology N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812FA3C-87B0-4C13-8602-A84FFC857FA3}">
          <x14:formula1>
            <xm:f>'Oil-fired boiler_NEW'!$T$4:$X$4</xm:f>
          </x14:formula1>
          <xm:sqref>E1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685B1-BC59-4F9C-AF5E-53EE4A5BB6DA}">
  <sheetPr>
    <tabColor rgb="FF00B050"/>
  </sheetPr>
  <dimension ref="A1:AJ301"/>
  <sheetViews>
    <sheetView topLeftCell="A249"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716</v>
      </c>
      <c r="N1" s="64"/>
      <c r="O1" s="64"/>
      <c r="P1" s="64"/>
      <c r="S1" s="727" t="s">
        <v>1004</v>
      </c>
      <c r="T1" s="776" t="s">
        <v>1003</v>
      </c>
      <c r="U1" s="775" t="s">
        <v>1053</v>
      </c>
      <c r="V1" s="776" t="s">
        <v>1054</v>
      </c>
      <c r="W1" s="780">
        <v>0.3</v>
      </c>
    </row>
    <row r="2" spans="2:36" ht="16" thickBot="1">
      <c r="E2" s="730" t="s">
        <v>1148</v>
      </c>
      <c r="N2" s="731"/>
      <c r="O2" s="731"/>
      <c r="P2" s="731"/>
      <c r="S2" s="726">
        <f>MATCH($E$1,$AJ$22:$AJ$35)</f>
        <v>7</v>
      </c>
      <c r="T2" s="778">
        <f>MATCH($E$1,$AJ$22:$AJ$35)+1</f>
        <v>8</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FEMIS~ILDSOx</v>
      </c>
      <c r="Y6" s="280" t="str">
        <f>"FEMIS~"&amp;D297</f>
        <v>FEMIS~ILDNOx</v>
      </c>
      <c r="Z6" s="280" t="str">
        <f>"FEMIS~"&amp;D298</f>
        <v>FEMIS~ILDCH4</v>
      </c>
      <c r="AA6" s="280" t="str">
        <f>"FEMIS~"&amp;D299</f>
        <v>FEMIS~ILDNO2</v>
      </c>
      <c r="AB6" s="280" t="str">
        <f>"FEMIS~"&amp;D300</f>
        <v>FEMIS~ILDPM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INDLDPHELCN1</v>
      </c>
      <c r="E9" s="261" t="str">
        <f>"Industrial heating technology "&amp;$AJ$12&amp;" "&amp;RIGHT(H9,2)&amp;" - Heat pump utilizing waste heat - new 1"</f>
        <v>Industrial heating technology L PH - Heat pump utilizing waste heat - new 1</v>
      </c>
      <c r="F9" s="224" t="s">
        <v>1149</v>
      </c>
      <c r="G9" s="173" t="s">
        <v>499</v>
      </c>
      <c r="H9" s="174" t="str">
        <f>$AI$14</f>
        <v>ILDPH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INDLWH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ILDPH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INDLWH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374</v>
      </c>
    </row>
    <row r="13" spans="2:36">
      <c r="B13" s="357" t="s">
        <v>998</v>
      </c>
      <c r="D13" s="212"/>
      <c r="E13" s="212"/>
      <c r="F13" s="224" t="s">
        <v>1149</v>
      </c>
      <c r="G13" s="173" t="s">
        <v>499</v>
      </c>
      <c r="H13" s="174" t="str">
        <f>$AI$14</f>
        <v>ILDPH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ILDPH</v>
      </c>
      <c r="AJ13" s="224" t="str">
        <f>"Industry "&amp;$AJ$12&amp;" Demand Heat High Temp. over 150C"</f>
        <v>Industry L Demand Heat High Temp. over 150C</v>
      </c>
    </row>
    <row r="14" spans="2:36">
      <c r="B14" s="357" t="s">
        <v>998</v>
      </c>
      <c r="D14" s="212"/>
      <c r="E14" s="212"/>
      <c r="F14" s="224" t="s">
        <v>1149</v>
      </c>
      <c r="G14" s="173" t="str">
        <f>$AI$20</f>
        <v>INDLWH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ILDPH</v>
      </c>
      <c r="AJ14" s="224" t="str">
        <f>"Industry "&amp;$AJ$12&amp;" Demand Heat Medium Temp. up to 150C"</f>
        <v>Industry L Demand Heat Medium Temp. up to 150C</v>
      </c>
    </row>
    <row r="15" spans="2:36">
      <c r="B15" s="357" t="s">
        <v>998</v>
      </c>
      <c r="D15" s="212" t="str">
        <f>"IND"&amp;RIGHT(H15,4)&amp;RIGHT(G15,3)&amp;"N"&amp;RIGHT(E15,1)</f>
        <v>INDLDSHELCN1</v>
      </c>
      <c r="E15" s="261" t="str">
        <f>"Industrial heating technology "&amp;$AJ$12&amp;" "&amp;RIGHT(H15,2)&amp;" - Heat pump utilizing waste heat - new 1"</f>
        <v>Industrial heating technology L SH - Heat pump utilizing waste heat - new 1</v>
      </c>
      <c r="F15" s="224" t="s">
        <v>1149</v>
      </c>
      <c r="G15" s="173" t="s">
        <v>499</v>
      </c>
      <c r="H15" s="174" t="str">
        <f>$AI$15</f>
        <v>ILDSH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ILDSH</v>
      </c>
      <c r="AJ15" s="224" t="str">
        <f>"Industry "&amp;$AJ$12&amp;" Demand Heat Room Heat"</f>
        <v>Industry L Demand Heat Room Heat</v>
      </c>
    </row>
    <row r="16" spans="2:36">
      <c r="B16" s="357" t="s">
        <v>998</v>
      </c>
      <c r="D16" s="212"/>
      <c r="E16" s="261"/>
      <c r="F16" s="224" t="s">
        <v>1149</v>
      </c>
      <c r="G16" s="173" t="str">
        <f>$AI$20</f>
        <v>INDLWH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ILDLA</v>
      </c>
      <c r="AJ16" s="224" t="str">
        <f>"Industry "&amp;$AJ$12&amp;" Demand Light Appliances"</f>
        <v>Industry L Demand Light Appliances</v>
      </c>
    </row>
    <row r="17" spans="2:36">
      <c r="B17" s="357" t="s">
        <v>998</v>
      </c>
      <c r="D17" s="212"/>
      <c r="E17" s="212"/>
      <c r="F17" s="224" t="s">
        <v>1149</v>
      </c>
      <c r="G17" s="173" t="s">
        <v>499</v>
      </c>
      <c r="H17" s="174" t="str">
        <f>$AI$15</f>
        <v>ILDSH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ILDEM</v>
      </c>
      <c r="AJ17" s="224" t="str">
        <f>"Industry "&amp;$AJ$12&amp;" Demand Electric Motors"</f>
        <v>Industry L Demand Electric Motors</v>
      </c>
    </row>
    <row r="18" spans="2:36">
      <c r="B18" s="357" t="s">
        <v>998</v>
      </c>
      <c r="D18" s="212"/>
      <c r="E18" s="212"/>
      <c r="F18" s="224" t="s">
        <v>1149</v>
      </c>
      <c r="G18" s="173" t="str">
        <f>$AI$20</f>
        <v>INDLWH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ILDTF</v>
      </c>
      <c r="AJ18" s="224" t="str">
        <f>"Industry "&amp;$AJ$12&amp;" Demand Tractors, Trucks, Fishing boats, Forest machines"</f>
        <v>Industry L Demand Tractors, Trucks, Fishing boats, Forest machines</v>
      </c>
    </row>
    <row r="19" spans="2:36">
      <c r="B19" s="357" t="s">
        <v>998</v>
      </c>
      <c r="D19" s="212"/>
      <c r="E19" s="212"/>
      <c r="F19" s="224" t="s">
        <v>1149</v>
      </c>
      <c r="G19" s="173" t="s">
        <v>499</v>
      </c>
      <c r="H19" s="174" t="str">
        <f>$AI$15</f>
        <v>ILDSH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ILDFL</v>
      </c>
      <c r="AJ19" s="224" t="str">
        <f>"Industry "&amp;$AJ$12&amp;" Demand Forklifts"</f>
        <v>Industry L Demand Forklifts</v>
      </c>
    </row>
    <row r="20" spans="2:36">
      <c r="B20" s="357" t="s">
        <v>998</v>
      </c>
      <c r="D20" s="212"/>
      <c r="E20" s="212"/>
      <c r="F20" s="224" t="s">
        <v>1149</v>
      </c>
      <c r="G20" s="173" t="str">
        <f>$AI$20</f>
        <v>INDLWH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INDLWH</v>
      </c>
      <c r="AJ20" s="224" t="str">
        <f>"Industry "&amp;$AJ$12&amp;" Waste Heat"</f>
        <v>Industry L Waste Heat</v>
      </c>
    </row>
    <row r="21" spans="2:36">
      <c r="B21" s="357" t="s">
        <v>999</v>
      </c>
      <c r="D21" s="212" t="str">
        <f>"IND"&amp;RIGHT(H21,4)&amp;RIGHT(G21,3)&amp;"N"&amp;RIGHT(E21,1)</f>
        <v>INDLDPHELCN2</v>
      </c>
      <c r="E21" s="261" t="str">
        <f>"Industrial heating technology "&amp;$AJ$12&amp;" "&amp;RIGHT(H21,2)&amp;" - Heat driven heat pump utilizing waste heat - new 2"</f>
        <v>Industrial heating technology L PH - Heat driven heat pump utilizing waste heat - new 2</v>
      </c>
      <c r="F21" s="224" t="s">
        <v>1149</v>
      </c>
      <c r="G21" s="173" t="s">
        <v>499</v>
      </c>
      <c r="H21" s="174" t="str">
        <f>$AI$14</f>
        <v>ILDPH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ILDCO</v>
      </c>
      <c r="AJ21" s="224" t="str">
        <f>"Industry "&amp;$AJ$12&amp;" Cooling"</f>
        <v>Industry L Cooling</v>
      </c>
    </row>
    <row r="22" spans="2:36">
      <c r="B22" s="357" t="s">
        <v>999</v>
      </c>
      <c r="D22" s="212"/>
      <c r="E22" s="261"/>
      <c r="F22" s="224" t="s">
        <v>1149</v>
      </c>
      <c r="G22" s="173" t="str">
        <f>$AI$20</f>
        <v>INDLWH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ILDPH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INDLWH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ILDPH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INDLWH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INDLDSHELCN2</v>
      </c>
      <c r="E27" s="261" t="str">
        <f>"Industrial heating technology "&amp;$AJ$12&amp;" "&amp;RIGHT(H27,2)&amp;" - Heat driven heat pump utilizing waste heat - new 2"</f>
        <v>Industrial heating technology L SH - Heat driven heat pump utilizing waste heat - new 2</v>
      </c>
      <c r="F27" s="224" t="s">
        <v>1149</v>
      </c>
      <c r="G27" s="173" t="s">
        <v>499</v>
      </c>
      <c r="H27" s="174" t="str">
        <f>$AI$15</f>
        <v>ILDSH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INDLWH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ILDSH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INDLWH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ILDSH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INDLWH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INDLDPHELCN3</v>
      </c>
      <c r="E33" s="261" t="str">
        <f>"Industrial heating technology "&amp;$AJ$12&amp;" "&amp;RIGHT(H33,2)&amp;" - High Temp abs. Heat pump utilizing waste heat - new 3"</f>
        <v>Industrial heating technology L PH - High Temp abs. Heat pump utilizing waste heat - new 3</v>
      </c>
      <c r="F33" s="224" t="s">
        <v>1149</v>
      </c>
      <c r="G33" s="173" t="s">
        <v>499</v>
      </c>
      <c r="H33" s="174" t="str">
        <f>$AI$14</f>
        <v>ILDPH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INDLWH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ILDPH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INDLWH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ILDPH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INDLWH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INDLDSHELCN3</v>
      </c>
      <c r="E39" s="261" t="str">
        <f>"Industrial heating technology "&amp;$AJ$12&amp;" "&amp;RIGHT(H39,2)&amp;" - High Temp abs. Heat pump utilizing waste heat - new 3"</f>
        <v>Industrial heating technology L SH - High Temp abs. Heat pump utilizing waste heat - new 3</v>
      </c>
      <c r="F39" s="224" t="s">
        <v>1149</v>
      </c>
      <c r="G39" s="173" t="s">
        <v>499</v>
      </c>
      <c r="H39" s="174" t="str">
        <f>$AI$15</f>
        <v>ILDSH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INDLWH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ILDSH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INDLWH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ILDSH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INDLWH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INDLDPHELCN4</v>
      </c>
      <c r="E45" s="261" t="str">
        <f>"Industrial heating technology "&amp;$AJ$12&amp;" "&amp;RIGHT(H45,2)&amp;" - Booster Heat pump utilizing waste heat - new 4"</f>
        <v>Industrial heating technology L PH - Booster Heat pump utilizing waste heat - new 4</v>
      </c>
      <c r="F45" s="224" t="s">
        <v>1149</v>
      </c>
      <c r="G45" s="173" t="s">
        <v>499</v>
      </c>
      <c r="H45" s="174" t="str">
        <f>$AI$14</f>
        <v>ILDPH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INDLWH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ILDPH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INDLWH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ILDPH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INDLWH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INDLDSHELCN4</v>
      </c>
      <c r="E51" s="261" t="str">
        <f>"Industrial heating technology "&amp;$AJ$12&amp;" "&amp;RIGHT(H51,2)&amp;" - Booster Heat pump utilizing waste heat - new 4"</f>
        <v>Industrial heating technology L SH - Booster Heat pump utilizing waste heat - new 4</v>
      </c>
      <c r="F51" s="224" t="s">
        <v>1149</v>
      </c>
      <c r="G51" s="173" t="s">
        <v>499</v>
      </c>
      <c r="H51" s="174" t="str">
        <f>$AI$15</f>
        <v>ILDSH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INDLWH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ILDSH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INDLWH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ILDSH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INDLWH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INDLDPHELCN5</v>
      </c>
      <c r="E57" s="261" t="str">
        <f>"Industrial heating technology "&amp;$AJ$12&amp;" "&amp;RIGHT(H57,2)&amp;" - MVR utilizing waste heat - new 5"</f>
        <v>Industrial heating technology L PH - MVR utilizing waste heat - new 5</v>
      </c>
      <c r="F57" s="224" t="s">
        <v>1149</v>
      </c>
      <c r="G57" s="173" t="s">
        <v>499</v>
      </c>
      <c r="H57" s="174" t="str">
        <f>$AI$14</f>
        <v>ILDPH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INDLWH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ILDPH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INDLWH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ILDPH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INDLWH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INDLDPHWSTN1</v>
      </c>
      <c r="E63" s="261" t="str">
        <f>"Industrial heating technology "&amp;$AJ$12&amp;" "&amp;RIGHT(H63,2)&amp;" - Hotdisc - new 1"</f>
        <v>Industrial heating technology L PH - Hotdisc - new 1</v>
      </c>
      <c r="F63" s="224" t="s">
        <v>1149</v>
      </c>
      <c r="G63" s="832" t="s">
        <v>1005</v>
      </c>
      <c r="H63" s="174" t="str">
        <f>$AI$13</f>
        <v>ILDPH</v>
      </c>
      <c r="I63" s="173" t="str">
        <f t="shared" ref="I63:I126" si="21">$AI$20</f>
        <v>INDLWH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INDLWH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INDLWH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INDLDPHELCN6</v>
      </c>
      <c r="E66" s="261" t="str">
        <f>"Industrial heating technology "&amp;$AJ$12&amp;" "&amp;RIGHT(H66,2)&amp;" - Dielectric heating - new 6"</f>
        <v>Industrial heating technology L PH - Dielectric heating - new 6</v>
      </c>
      <c r="F66" s="224" t="s">
        <v>1149</v>
      </c>
      <c r="G66" s="173" t="s">
        <v>499</v>
      </c>
      <c r="H66" s="174" t="str">
        <f>$AI$14</f>
        <v>ILDPH</v>
      </c>
      <c r="I66" s="173" t="str">
        <f t="shared" si="21"/>
        <v>INDLWH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INDLWH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INDLWH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INDLDPHELCN7</v>
      </c>
      <c r="E69" s="261" t="str">
        <f>"Industrial heating technology "&amp;$AJ$12&amp;" "&amp;RIGHT(H69,2)&amp;" - Infrared heating - new 7"</f>
        <v>Industrial heating technology L PH - Infrared heating - new 7</v>
      </c>
      <c r="F69" s="224" t="s">
        <v>1149</v>
      </c>
      <c r="G69" s="173" t="s">
        <v>499</v>
      </c>
      <c r="H69" s="174" t="str">
        <f>$AI$14</f>
        <v>ILDPH</v>
      </c>
      <c r="I69" s="173" t="str">
        <f t="shared" si="21"/>
        <v>INDLWH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INDLWH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INDLWH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INDLDPHELCN8</v>
      </c>
      <c r="E72" s="261" t="str">
        <f>"Industrial heating technology "&amp;$AJ$12&amp;" "&amp;RIGHT(H72,2)&amp;" - Electric boiler (Steam) - new 8"</f>
        <v>Industrial heating technology L PH - Electric boiler (Steam) - new 8</v>
      </c>
      <c r="F72" s="224" t="s">
        <v>1149</v>
      </c>
      <c r="G72" s="173" t="s">
        <v>499</v>
      </c>
      <c r="H72" s="174" t="str">
        <f>$AI$13</f>
        <v>ILDPH</v>
      </c>
      <c r="I72" s="174" t="str">
        <f t="shared" si="21"/>
        <v>INDLWH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INDLWH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INDLWH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INDLDPHELCN8</v>
      </c>
      <c r="E75" s="261" t="str">
        <f>"Industrial heating technology "&amp;$AJ$12&amp;" "&amp;RIGHT(H75,2)&amp;" - Electric boiler (Steam) - new 8"</f>
        <v>Industrial heating technology L PH - Electric boiler (Steam) - new 8</v>
      </c>
      <c r="F75" s="224" t="s">
        <v>1149</v>
      </c>
      <c r="G75" s="173" t="s">
        <v>499</v>
      </c>
      <c r="H75" s="174" t="str">
        <f>$AI$14</f>
        <v>ILDPH</v>
      </c>
      <c r="I75" s="174" t="str">
        <f t="shared" si="21"/>
        <v>INDLWH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INDLWH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INDLWH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INDLDSHELCN8</v>
      </c>
      <c r="E78" s="261" t="str">
        <f>"Industrial heating technology "&amp;$AJ$12&amp;" "&amp;RIGHT(H78,2)&amp;" - Electric boiler (Steam) - new 8"</f>
        <v>Industrial heating technology L SH - Electric boiler (Steam) - new 8</v>
      </c>
      <c r="F78" s="224" t="s">
        <v>1149</v>
      </c>
      <c r="G78" s="173" t="s">
        <v>499</v>
      </c>
      <c r="H78" s="174" t="str">
        <f>$AI$15</f>
        <v>ILDSH</v>
      </c>
      <c r="I78" s="174" t="str">
        <f t="shared" si="21"/>
        <v>INDLWH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INDLWH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INDLWH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INDLDPHELCN9</v>
      </c>
      <c r="E81" s="707" t="str">
        <f>"Industrial heating technology "&amp;$AJ$12&amp;" "&amp;RIGHT(H81,2)&amp;" - Electric boiler (Hot Water) - new 9"</f>
        <v>Industrial heating technology L PH - Electric boiler (Hot Water) - new 9</v>
      </c>
      <c r="F81" s="224" t="s">
        <v>1149</v>
      </c>
      <c r="G81" s="708" t="s">
        <v>499</v>
      </c>
      <c r="H81" s="708" t="str">
        <f>$AI$14</f>
        <v>ILDPH</v>
      </c>
      <c r="I81" s="708" t="str">
        <f t="shared" si="21"/>
        <v>INDLWH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INDLWH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INDLWH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INDLDSHELCN9</v>
      </c>
      <c r="E84" s="261" t="str">
        <f>"Industrial heating technology "&amp;$AJ$12&amp;" "&amp;RIGHT(H84,2)&amp;" - Electric boiler (Hot Water) - new 9"</f>
        <v>Industrial heating technology L SH - Electric boiler (Hot Water) - new 9</v>
      </c>
      <c r="F84" s="224" t="s">
        <v>1149</v>
      </c>
      <c r="G84" s="174" t="s">
        <v>499</v>
      </c>
      <c r="H84" s="174" t="str">
        <f>$AI$15</f>
        <v>ILDSH</v>
      </c>
      <c r="I84" s="174" t="str">
        <f t="shared" si="21"/>
        <v>INDLWH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INDLWH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INDLWH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INDLDPHWCHN1</v>
      </c>
      <c r="E87" s="261" t="str">
        <f>"Industrial heating technology "&amp;$AJ$12&amp;" "&amp;RIGHT(H87,2)&amp;" - Wood chip boiler (Steam) - new 1"</f>
        <v>Industrial heating technology L PH - Wood chip boiler (Steam) - new 1</v>
      </c>
      <c r="F87" s="224" t="s">
        <v>1149</v>
      </c>
      <c r="G87" s="173" t="s">
        <v>498</v>
      </c>
      <c r="H87" s="174" t="str">
        <f>$AI$13</f>
        <v>ILDPH</v>
      </c>
      <c r="I87" s="174" t="str">
        <f t="shared" si="21"/>
        <v>INDLWH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INDLWH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INDLWH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INDLDPHWCHN1</v>
      </c>
      <c r="E90" s="261" t="str">
        <f>"Industrial heating technology "&amp;$AJ$12&amp;" "&amp;RIGHT(H90,2)&amp;" - Wood chip boiler (Steam) - new 1"</f>
        <v>Industrial heating technology L PH - Wood chip boiler (Steam) - new 1</v>
      </c>
      <c r="F90" s="224" t="s">
        <v>1149</v>
      </c>
      <c r="G90" s="173" t="s">
        <v>498</v>
      </c>
      <c r="H90" s="174" t="str">
        <f>$AI$14</f>
        <v>ILDPH</v>
      </c>
      <c r="I90" s="174" t="str">
        <f t="shared" si="21"/>
        <v>INDLWH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INDLWH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INDLWH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INDLDSHWCHN1</v>
      </c>
      <c r="E93" s="261" t="str">
        <f>"Industrial heating technology "&amp;$AJ$12&amp;" "&amp;RIGHT(H93,2)&amp;" - Wood chip boiler (Steam) - new 1"</f>
        <v>Industrial heating technology L SH - Wood chip boiler (Steam) - new 1</v>
      </c>
      <c r="F93" s="224" t="s">
        <v>1149</v>
      </c>
      <c r="G93" s="173" t="s">
        <v>498</v>
      </c>
      <c r="H93" s="174" t="str">
        <f>$AI$15</f>
        <v>ILDSH</v>
      </c>
      <c r="I93" s="174" t="str">
        <f t="shared" si="21"/>
        <v>INDLWH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INDLWH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INDLWH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INDLDPHWCHN2</v>
      </c>
      <c r="E96" s="707" t="str">
        <f>"Industrial heating technology "&amp;$AJ$12&amp;" "&amp;RIGHT(H96,2)&amp;" - Wood chip boiler (Steam - condensing) - new 2"</f>
        <v>Industrial heating technology L PH - Wood chip boiler (Steam - condensing) - new 2</v>
      </c>
      <c r="F96" s="224" t="s">
        <v>1149</v>
      </c>
      <c r="G96" s="708" t="s">
        <v>498</v>
      </c>
      <c r="H96" s="708" t="str">
        <f>$AI$14</f>
        <v>ILDPH</v>
      </c>
      <c r="I96" s="708" t="str">
        <f t="shared" si="21"/>
        <v>INDLWH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INDLWH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INDLWH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INDLDSHWCHN2</v>
      </c>
      <c r="E99" s="261" t="str">
        <f>"Industrial heating technology "&amp;$AJ$12&amp;" "&amp;RIGHT(H99,2)&amp;" - Wood chip boiler (Steam - condensing) - new 2"</f>
        <v>Industrial heating technology L SH - Wood chip boiler (Steam - condensing) - new 2</v>
      </c>
      <c r="F99" s="224" t="s">
        <v>1149</v>
      </c>
      <c r="G99" s="174" t="s">
        <v>498</v>
      </c>
      <c r="H99" s="174" t="str">
        <f>$AI$15</f>
        <v>ILDSH</v>
      </c>
      <c r="I99" s="174" t="str">
        <f t="shared" si="21"/>
        <v>INDLWH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INDLWH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INDLWH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INDLDPHWCHN3</v>
      </c>
      <c r="E102" s="707" t="str">
        <f>"Industrial heating technology "&amp;$AJ$12&amp;" "&amp;RIGHT(H102,2)&amp;" - Wood chip boiler (Hot Water) - new 3"</f>
        <v>Industrial heating technology L PH - Wood chip boiler (Hot Water) - new 3</v>
      </c>
      <c r="F102" s="224" t="s">
        <v>1149</v>
      </c>
      <c r="G102" s="708" t="s">
        <v>498</v>
      </c>
      <c r="H102" s="708" t="str">
        <f>$AI$14</f>
        <v>ILDPH</v>
      </c>
      <c r="I102" s="708" t="str">
        <f t="shared" si="21"/>
        <v>INDLWH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INDLWH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INDLWH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INDLDSHWCHN3</v>
      </c>
      <c r="E105" s="261" t="str">
        <f>"Industrial heating technology "&amp;$AJ$12&amp;" "&amp;RIGHT(H105,2)&amp;" - Wood chip boiler (Hot Water) - new 3"</f>
        <v>Industrial heating technology L SH - Wood chip boiler (Hot Water) - new 3</v>
      </c>
      <c r="F105" s="224" t="s">
        <v>1149</v>
      </c>
      <c r="G105" s="174" t="s">
        <v>498</v>
      </c>
      <c r="H105" s="174" t="str">
        <f>$AI$15</f>
        <v>ILDSH</v>
      </c>
      <c r="I105" s="174" t="str">
        <f t="shared" si="21"/>
        <v>INDLWH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INDLWH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INDLWH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INDLDPHWCHN4</v>
      </c>
      <c r="E108" s="707" t="str">
        <f>"Industrial heating technology "&amp;$AJ$12&amp;" "&amp;RIGHT(H108,2)&amp;" - Wood chip boiler (Hot Water - condensing) - new 4"</f>
        <v>Industrial heating technology L PH - Wood chip boiler (Hot Water - condensing) - new 4</v>
      </c>
      <c r="F108" s="224" t="s">
        <v>1149</v>
      </c>
      <c r="G108" s="708" t="s">
        <v>498</v>
      </c>
      <c r="H108" s="708" t="str">
        <f>$AI$14</f>
        <v>ILDPH</v>
      </c>
      <c r="I108" s="708" t="str">
        <f t="shared" si="21"/>
        <v>INDLWH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INDLWH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INDLWH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INDLDSHWCHN4</v>
      </c>
      <c r="E111" s="261" t="str">
        <f>"Industrial heating technology "&amp;$AJ$12&amp;" "&amp;RIGHT(H111,2)&amp;" - Wood chip boiler (Hot Water- condensing) - new 4"</f>
        <v>Industrial heating technology L SH - Wood chip boiler (Hot Water- condensing) - new 4</v>
      </c>
      <c r="F111" s="224" t="s">
        <v>1149</v>
      </c>
      <c r="G111" s="174" t="s">
        <v>498</v>
      </c>
      <c r="H111" s="174" t="str">
        <f>$AI$15</f>
        <v>ILDSH</v>
      </c>
      <c r="I111" s="174" t="str">
        <f t="shared" si="21"/>
        <v>INDLWH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INDLWH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INDLWH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INDLDPHELCN10</v>
      </c>
      <c r="E114" s="261" t="str">
        <f>"Industrial heating technology "&amp;$AJ$12&amp;" "&amp;RIGHT(H114,2)&amp;" - Direct electric heating - new 10"</f>
        <v>Industrial heating technology L PH - Direct electric heating - new 10</v>
      </c>
      <c r="F114" s="224" t="s">
        <v>1149</v>
      </c>
      <c r="G114" s="173" t="s">
        <v>499</v>
      </c>
      <c r="H114" s="174" t="str">
        <f>$AI$13</f>
        <v>ILDPH</v>
      </c>
      <c r="I114" s="174" t="str">
        <f t="shared" si="21"/>
        <v>INDLWH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INDLWH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INDLWH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INDLDPHELCN10</v>
      </c>
      <c r="E117" s="261" t="str">
        <f>"Industrial heating technology "&amp;$AJ$12&amp;" "&amp;RIGHT(H117,2)&amp;" - Direct electric heating - new 10"</f>
        <v>Industrial heating technology L PH - Direct electric heating - new 10</v>
      </c>
      <c r="F117" s="224" t="s">
        <v>1149</v>
      </c>
      <c r="G117" s="173" t="s">
        <v>499</v>
      </c>
      <c r="H117" s="174" t="str">
        <f>$AI$14</f>
        <v>ILDPH</v>
      </c>
      <c r="I117" s="174" t="str">
        <f t="shared" si="21"/>
        <v>INDLWH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INDLWH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INDLWH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INDLDPHDSLN1</v>
      </c>
      <c r="E120" s="261" t="str">
        <f>"Industrial heating technology "&amp;$AJ$12&amp;" "&amp;RIGHT(H120,2)&amp;" - Oil boiler (Steam) - new 1"</f>
        <v>Industrial heating technology L PH - Oil boiler (Steam) - new 1</v>
      </c>
      <c r="F120" s="224" t="s">
        <v>1149</v>
      </c>
      <c r="G120" s="173" t="s">
        <v>2081</v>
      </c>
      <c r="H120" s="174" t="str">
        <f>$AI$13</f>
        <v>ILDPH</v>
      </c>
      <c r="I120" s="174" t="str">
        <f t="shared" si="21"/>
        <v>INDLWH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INDLWH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INDLWH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INDLDPHDSLN1</v>
      </c>
      <c r="E123" s="261" t="str">
        <f>"Industrial heating technology "&amp;$AJ$12&amp;" "&amp;RIGHT(H123,2)&amp;" - Oil boiler (Steam) - new 1"</f>
        <v>Industrial heating technology L PH - Oil boiler (Steam) - new 1</v>
      </c>
      <c r="F123" s="224" t="s">
        <v>1149</v>
      </c>
      <c r="G123" s="173" t="s">
        <v>2081</v>
      </c>
      <c r="H123" s="174" t="str">
        <f>$AI$14</f>
        <v>ILDPH</v>
      </c>
      <c r="I123" s="174" t="str">
        <f t="shared" si="21"/>
        <v>INDLWH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INDLWH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INDLWH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INDLDSHDSLN1</v>
      </c>
      <c r="E126" s="261" t="str">
        <f>"Industrial heating technology "&amp;$AJ$12&amp;" "&amp;RIGHT(H126,2)&amp;" - Oil boiler (Steam) - new 1"</f>
        <v>Industrial heating technology L SH - Oil boiler (Steam) - new 1</v>
      </c>
      <c r="F126" s="224" t="s">
        <v>1149</v>
      </c>
      <c r="G126" s="173" t="s">
        <v>2081</v>
      </c>
      <c r="H126" s="174" t="str">
        <f>$AI$15</f>
        <v>ILDSH</v>
      </c>
      <c r="I126" s="174" t="str">
        <f t="shared" si="21"/>
        <v>INDLWH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INDLWH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INDLWH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INDLDPHDSLN2</v>
      </c>
      <c r="E129" s="707" t="str">
        <f>"Industrial heating technology "&amp;$AJ$12&amp;" "&amp;RIGHT(H129,2)&amp;" - Oil boiler (Steam - condensing) - new 2"</f>
        <v>Industrial heating technology L PH - Oil boiler (Steam - condensing) - new 2</v>
      </c>
      <c r="F129" s="224" t="s">
        <v>1149</v>
      </c>
      <c r="G129" s="173" t="s">
        <v>2081</v>
      </c>
      <c r="H129" s="708" t="str">
        <f>$AI$14</f>
        <v>ILDPH</v>
      </c>
      <c r="I129" s="708" t="str">
        <f t="shared" si="142"/>
        <v>INDLWH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INDLWH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INDLWH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INDLDSHDSLN2</v>
      </c>
      <c r="E132" s="261" t="str">
        <f>"Industrial heating technology "&amp;$AJ$12&amp;" "&amp;RIGHT(H132,2)&amp;" - Oil boiler (Steam - condensing) - new 2"</f>
        <v>Industrial heating technology L SH - Oil boiler (Steam - condensing) - new 2</v>
      </c>
      <c r="F132" s="224" t="s">
        <v>1149</v>
      </c>
      <c r="G132" s="173" t="s">
        <v>2081</v>
      </c>
      <c r="H132" s="174" t="str">
        <f>$AI$15</f>
        <v>ILDSH</v>
      </c>
      <c r="I132" s="174" t="str">
        <f t="shared" si="142"/>
        <v>INDLWH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INDLWH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INDLWH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INDLDPHGASN1</v>
      </c>
      <c r="E135" s="261" t="str">
        <f>"Industrial heating technology "&amp;$AJ$12&amp;" "&amp;RIGHT(H135,2)&amp;" - Gas boiler (Steam) - new 1"</f>
        <v>Industrial heating technology L PH - Gas boiler (Steam) - new 1</v>
      </c>
      <c r="F135" s="224" t="s">
        <v>1149</v>
      </c>
      <c r="G135" s="173" t="s">
        <v>2080</v>
      </c>
      <c r="H135" s="174" t="str">
        <f>$AI$13</f>
        <v>ILDPH</v>
      </c>
      <c r="I135" s="174" t="str">
        <f t="shared" si="142"/>
        <v>INDLWH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INDLWH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INDLWH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INDLDPHGASN1</v>
      </c>
      <c r="E138" s="261" t="str">
        <f>"Industrial heating technology "&amp;$AJ$12&amp;" "&amp;RIGHT(H138,2)&amp;" - Gas boiler (Steam) - new 1"</f>
        <v>Industrial heating technology L PH - Gas boiler (Steam) - new 1</v>
      </c>
      <c r="F138" s="224" t="s">
        <v>1149</v>
      </c>
      <c r="G138" s="173" t="s">
        <v>2080</v>
      </c>
      <c r="H138" s="174" t="str">
        <f>$AI$14</f>
        <v>ILDPH</v>
      </c>
      <c r="I138" s="174" t="str">
        <f t="shared" si="142"/>
        <v>INDLWH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INDLWH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INDLWH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INDLDSHGASN1</v>
      </c>
      <c r="E141" s="261" t="str">
        <f>"Industrial heating technology "&amp;$AJ$12&amp;" "&amp;RIGHT(H141,2)&amp;" - Gas boiler (Steam) - new 1"</f>
        <v>Industrial heating technology L SH - Gas boiler (Steam) - new 1</v>
      </c>
      <c r="F141" s="224" t="s">
        <v>1149</v>
      </c>
      <c r="G141" s="173" t="s">
        <v>2080</v>
      </c>
      <c r="H141" s="174" t="str">
        <f>$AI$15</f>
        <v>ILDSH</v>
      </c>
      <c r="I141" s="174" t="str">
        <f t="shared" si="142"/>
        <v>INDLWH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INDLWH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INDLWH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INDLDPHGASN2</v>
      </c>
      <c r="E144" s="707" t="str">
        <f>"Industrial heating technology "&amp;$AJ$12&amp;" "&amp;RIGHT(H144,2)&amp;" - Gas boiler (Steam - condensing) - new 2"</f>
        <v>Industrial heating technology L PH - Gas boiler (Steam - condensing) - new 2</v>
      </c>
      <c r="F144" s="224" t="s">
        <v>1149</v>
      </c>
      <c r="G144" s="173" t="s">
        <v>2080</v>
      </c>
      <c r="H144" s="708" t="str">
        <f>$AI$14</f>
        <v>ILDPH</v>
      </c>
      <c r="I144" s="708" t="str">
        <f t="shared" si="142"/>
        <v>INDLWH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INDLWH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INDLWH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INDLDSHGASN2</v>
      </c>
      <c r="E147" s="261" t="str">
        <f>"Industrial heating technology "&amp;$AJ$12&amp;" "&amp;RIGHT(H147,2)&amp;" - Gas boiler (Steam - condensing) - new 2"</f>
        <v>Industrial heating technology L SH - Gas boiler (Steam - condensing) - new 2</v>
      </c>
      <c r="F147" s="224" t="s">
        <v>1149</v>
      </c>
      <c r="G147" s="173" t="s">
        <v>2080</v>
      </c>
      <c r="H147" s="174" t="str">
        <f>$AI$15</f>
        <v>ILDSH</v>
      </c>
      <c r="I147" s="174" t="str">
        <f t="shared" si="142"/>
        <v>INDLWH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INDLWH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INDLWH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INDLDPHGASN3</v>
      </c>
      <c r="E150" s="707" t="str">
        <f>"Industrial heating technology "&amp;$AJ$12&amp;" "&amp;RIGHT(H150,2)&amp;" - Gas boiler (Hot Water) - new 3"</f>
        <v>Industrial heating technology L PH - Gas boiler (Hot Water) - new 3</v>
      </c>
      <c r="F150" s="224" t="s">
        <v>1149</v>
      </c>
      <c r="G150" s="173" t="s">
        <v>2080</v>
      </c>
      <c r="H150" s="708" t="str">
        <f>$AI$14</f>
        <v>ILDPH</v>
      </c>
      <c r="I150" s="708" t="str">
        <f t="shared" si="142"/>
        <v>INDLWH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INDLWH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INDLWH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INDLDSHGASN3</v>
      </c>
      <c r="E153" s="261" t="str">
        <f>"Industrial heating technology "&amp;$AJ$12&amp;" "&amp;RIGHT(H153,2)&amp;" - Gas boiler (Hot Water) - new 3"</f>
        <v>Industrial heating technology L SH - Gas boiler (Hot Water) - new 3</v>
      </c>
      <c r="F153" s="224" t="s">
        <v>1149</v>
      </c>
      <c r="G153" s="173" t="s">
        <v>2080</v>
      </c>
      <c r="H153" s="174" t="str">
        <f>$AI$15</f>
        <v>ILDSH</v>
      </c>
      <c r="I153" s="174" t="str">
        <f t="shared" si="142"/>
        <v>INDLWH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INDLWH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INDLWH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INDLDPHGASN4</v>
      </c>
      <c r="E156" s="707" t="str">
        <f>"Industrial heating technology "&amp;$AJ$12&amp;" "&amp;RIGHT(H156,2)&amp;" - Gas boiler (Hot Water - condensing) - new 4"</f>
        <v>Industrial heating technology L PH - Gas boiler (Hot Water - condensing) - new 4</v>
      </c>
      <c r="F156" s="224" t="s">
        <v>1149</v>
      </c>
      <c r="G156" s="173" t="s">
        <v>2080</v>
      </c>
      <c r="H156" s="708" t="str">
        <f>$AI$14</f>
        <v>ILDPH</v>
      </c>
      <c r="I156" s="708" t="str">
        <f t="shared" si="142"/>
        <v>INDLWH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INDLWH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INDLWH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INDLDSHGASN4</v>
      </c>
      <c r="E159" s="261" t="str">
        <f>"Industrial heating technology "&amp;$AJ$12&amp;" "&amp;RIGHT(H159,2)&amp;" - Gas boiler (Hot Water- condensing) - new 4"</f>
        <v>Industrial heating technology L SH - Gas boiler (Hot Water- condensing) - new 4</v>
      </c>
      <c r="F159" s="224" t="s">
        <v>1149</v>
      </c>
      <c r="G159" s="173" t="s">
        <v>2080</v>
      </c>
      <c r="H159" s="174" t="str">
        <f>$AI$15</f>
        <v>ILDSH</v>
      </c>
      <c r="I159" s="174" t="str">
        <f t="shared" si="142"/>
        <v>INDLWH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INDLWH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INDLWH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INDLDPHGASN5</v>
      </c>
      <c r="E162" s="707" t="str">
        <f>"Industrial heating technology "&amp;$AJ$12&amp;" "&amp;RIGHT(H162,2)&amp;" - Gas boiler (Direct firing) - new 5"</f>
        <v>Industrial heating technology L PH - Gas boiler (Direct firing) - new 5</v>
      </c>
      <c r="F162" s="224" t="s">
        <v>1149</v>
      </c>
      <c r="G162" s="173" t="s">
        <v>2080</v>
      </c>
      <c r="H162" s="174" t="str">
        <f>$AI$13</f>
        <v>ILDPH</v>
      </c>
      <c r="I162" s="174" t="str">
        <f t="shared" si="142"/>
        <v>INDLWH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INDLWH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INDLWH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INDLDPHGASN5</v>
      </c>
      <c r="E165" s="261" t="str">
        <f>"Industrial heating technology "&amp;$AJ$12&amp;" "&amp;RIGHT(H165,2)&amp;" - Gas boiler (Direct firing) - new 5"</f>
        <v>Industrial heating technology L PH - Gas boiler (Direct firing) - new 5</v>
      </c>
      <c r="F165" s="224" t="s">
        <v>1149</v>
      </c>
      <c r="G165" s="173" t="s">
        <v>2080</v>
      </c>
      <c r="H165" s="174" t="str">
        <f>$AI$14</f>
        <v>ILDPH</v>
      </c>
      <c r="I165" s="721" t="str">
        <f t="shared" si="142"/>
        <v>INDLWH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INDLWH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INDLWH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INDLDPHCOAN1</v>
      </c>
      <c r="E168" s="261" t="str">
        <f>"Industrial heating technology "&amp;$AJ$12&amp;" "&amp;RIGHT(H168,2)&amp;" - Coal boiler (Steam) - new 1"</f>
        <v>Industrial heating technology L PH - Coal boiler (Steam) - new 1</v>
      </c>
      <c r="F168" s="224" t="s">
        <v>1149</v>
      </c>
      <c r="G168" s="55" t="s">
        <v>617</v>
      </c>
      <c r="H168" s="174" t="str">
        <f>$AI$13</f>
        <v>ILDPH</v>
      </c>
      <c r="I168" s="174" t="str">
        <f t="shared" si="142"/>
        <v>INDLWH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INDLWH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INDLWH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INDLDPHCOAN1</v>
      </c>
      <c r="E171" s="261" t="str">
        <f>"Industrial heating technology "&amp;$AJ$12&amp;" "&amp;RIGHT(H171,2)&amp;" - Coal boiler (Steam) - new 1"</f>
        <v>Industrial heating technology L PH - Coal boiler (Steam) - new 1</v>
      </c>
      <c r="F171" s="224" t="s">
        <v>1149</v>
      </c>
      <c r="G171" s="55" t="s">
        <v>617</v>
      </c>
      <c r="H171" s="174" t="str">
        <f>$AI$14</f>
        <v>ILDPH</v>
      </c>
      <c r="I171" s="174" t="str">
        <f t="shared" si="142"/>
        <v>INDLWH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INDLWH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INDLWH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INDLDSHCOAN1</v>
      </c>
      <c r="E174" s="261" t="str">
        <f>"Industrial heating technology "&amp;$AJ$12&amp;" "&amp;RIGHT(H174,2)&amp;" - Coal boiler (Steam) - new 1"</f>
        <v>Industrial heating technology L SH - Coal boiler (Steam) - new 1</v>
      </c>
      <c r="F174" s="224" t="s">
        <v>1149</v>
      </c>
      <c r="G174" s="55" t="s">
        <v>617</v>
      </c>
      <c r="H174" s="174" t="str">
        <f>$AI$15</f>
        <v>ILDSH</v>
      </c>
      <c r="I174" s="174" t="str">
        <f t="shared" si="142"/>
        <v>INDLWH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INDLWH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INDLWH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INDLDPHCOAN2</v>
      </c>
      <c r="E177" s="261" t="str">
        <f>"Industrial heating technology "&amp;$AJ$12&amp;" "&amp;RIGHT(H177,2)&amp;" - Coal boiler (Hot Water) - new 2"</f>
        <v>Industrial heating technology L PH - Coal boiler (Hot Water) - new 2</v>
      </c>
      <c r="F177" s="224" t="s">
        <v>1149</v>
      </c>
      <c r="G177" s="55" t="s">
        <v>617</v>
      </c>
      <c r="H177" s="174" t="str">
        <f>$AI$14</f>
        <v>ILDPH</v>
      </c>
      <c r="I177" s="174" t="str">
        <f t="shared" si="142"/>
        <v>INDLWH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INDLWH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INDLWH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INDLDSHCOAN2</v>
      </c>
      <c r="E180" s="261" t="str">
        <f>"Industrial heating technology "&amp;$AJ$12&amp;" "&amp;RIGHT(H180,2)&amp;" - Coal boiler (Hot Water) - new 2"</f>
        <v>Industrial heating technology L SH - Coal boiler (Hot Water) - new 2</v>
      </c>
      <c r="F180" s="224" t="s">
        <v>1149</v>
      </c>
      <c r="G180" s="55" t="s">
        <v>617</v>
      </c>
      <c r="H180" s="174" t="str">
        <f>$AI$15</f>
        <v>ILDSH</v>
      </c>
      <c r="I180" s="174" t="str">
        <f t="shared" si="142"/>
        <v>INDLWH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INDLWH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INDLWH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INDLDSHSOLN1</v>
      </c>
      <c r="E183" s="261" t="str">
        <f>"Industrial heating technology "&amp;$AJ$12&amp;" "&amp;RIGHT(H183,2)&amp;" - Solar - new 1"</f>
        <v>Industrial heating technology L SH - Solar - new 1</v>
      </c>
      <c r="F183" s="224" t="s">
        <v>1149</v>
      </c>
      <c r="G183" s="55" t="s">
        <v>500</v>
      </c>
      <c r="H183" s="174" t="str">
        <f>$AI$15</f>
        <v>ILDSH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INDLDSHHCEN1</v>
      </c>
      <c r="E187" s="224" t="str">
        <f>"Industrial heating technology "&amp;$AJ$12&amp;" "&amp;RIGHT(H187,2)&amp;" - central district heating - within DH area - new 1"</f>
        <v>Industrial heating technology L SH - central district heating - within DH area - new 1</v>
      </c>
      <c r="F187" s="224" t="s">
        <v>1149</v>
      </c>
      <c r="G187" s="225" t="s">
        <v>501</v>
      </c>
      <c r="H187" s="225" t="str">
        <f>AI15</f>
        <v>ILDSH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INDLDPHHCEN1</v>
      </c>
      <c r="E188" s="224" t="str">
        <f>"Industrial heating technology "&amp;$AJ$12&amp;" "&amp;RIGHT(H188,2)&amp;" - central district heating - within DH area - new 1"</f>
        <v>Industrial heating technology L PH - central district heating - within DH area - new 1</v>
      </c>
      <c r="F188" s="224" t="s">
        <v>1149</v>
      </c>
      <c r="G188" s="225" t="s">
        <v>501</v>
      </c>
      <c r="H188" s="281" t="str">
        <f>AI14</f>
        <v>ILDPH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INDLDSHHSEN1</v>
      </c>
      <c r="E189" s="224" t="str">
        <f>"Industrial heating technology "&amp;$AJ$12&amp;" "&amp;RIGHT(H189,2)&amp;" - central district heating - within DH area - new 1"</f>
        <v>Industrial heating technology L SH - central district heating - within DH area - new 1</v>
      </c>
      <c r="F189" s="224" t="s">
        <v>1149</v>
      </c>
      <c r="G189" s="225" t="s">
        <v>2124</v>
      </c>
      <c r="H189" s="225" t="str">
        <f>H187</f>
        <v>ILDSH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INDLDPHHSEN1</v>
      </c>
      <c r="E190" s="224" t="str">
        <f>"Industrial heating technology "&amp;$AJ$12&amp;" "&amp;RIGHT(H190,2)&amp;" - central district heating - within DH area - new 1"</f>
        <v>Industrial heating technology L PH - central district heating - within DH area - new 1</v>
      </c>
      <c r="F190" s="224" t="s">
        <v>1149</v>
      </c>
      <c r="G190" s="225" t="s">
        <v>2124</v>
      </c>
      <c r="H190" s="225" t="str">
        <f>H188</f>
        <v>ILDPH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INDLDSHHDEN1</v>
      </c>
      <c r="E191" s="224" t="str">
        <f>"Industrial heating technology "&amp;$AJ$12&amp;" "&amp;RIGHT(H191,2)&amp;" - decentral district heating - within DH area - new 1"</f>
        <v>Industrial heating technology L SH - decentral district heating - within DH area - new 1</v>
      </c>
      <c r="F191" s="224" t="s">
        <v>1149</v>
      </c>
      <c r="G191" s="259" t="s">
        <v>502</v>
      </c>
      <c r="H191" s="265" t="str">
        <f>AI15</f>
        <v>ILDSH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INDLDPHHDEN1</v>
      </c>
      <c r="E192" s="224" t="str">
        <f>"Industrial heating technology "&amp;$AJ$12&amp;" "&amp;RIGHT(H192,2)&amp;" - decentral district heating - within DH area - new 1"</f>
        <v>Industrial heating technology L PH - decentral district heating - within DH area - new 1</v>
      </c>
      <c r="F192" s="224" t="s">
        <v>1149</v>
      </c>
      <c r="G192" s="259" t="s">
        <v>502</v>
      </c>
      <c r="H192" s="225" t="str">
        <f>AI14</f>
        <v>ILDPH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INDLDLAELCN1</v>
      </c>
      <c r="E194" s="224" t="str">
        <f>"Industry "&amp;$AJ$12&amp;" "&amp;RIGHT(H194,2)&amp;" Electricity Light Appliance - New 1"</f>
        <v>Industry L LA Electricity Light Appliance - New 1</v>
      </c>
      <c r="F194" s="224" t="s">
        <v>1149</v>
      </c>
      <c r="G194" s="225" t="s">
        <v>499</v>
      </c>
      <c r="H194" s="225" t="str">
        <f>AI16</f>
        <v>ILDLA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INDLDEMELCN1</v>
      </c>
      <c r="E198" s="224" t="str">
        <f>"Industry "&amp;$AJ$12&amp;" "&amp;RIGHT(H198,2)&amp;" Electricity Motors - New 1"</f>
        <v>Industry L EM Electricity Motors - New 1</v>
      </c>
      <c r="F198" s="224" t="s">
        <v>1149</v>
      </c>
      <c r="G198" s="225" t="s">
        <v>499</v>
      </c>
      <c r="H198" s="225" t="str">
        <f>AI17</f>
        <v>ILDEM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INDLDTFDSLN1</v>
      </c>
      <c r="E202" s="224" t="str">
        <f>"Industry "&amp;$AJ$12&amp;" "&amp;RIGHT(H202,2)&amp;" Tractors, Trucks, Fishing boats - New 1"</f>
        <v>Industry L TF Tractors, Trucks, Fishing boats - New 1</v>
      </c>
      <c r="F202" s="224" t="s">
        <v>1149</v>
      </c>
      <c r="G202" s="173" t="s">
        <v>2081</v>
      </c>
      <c r="H202" s="174" t="str">
        <f>$AI$18</f>
        <v>ILDTF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INDLDTFH2GN2</v>
      </c>
      <c r="E206" s="224" t="str">
        <f>"Industry "&amp;$AJ$12&amp;" "&amp;RIGHT(H206,2)&amp;" Tractors, Trucks, Fishing boats - New 2"</f>
        <v>Industry L TF Tractors, Trucks, Fishing boats - New 2</v>
      </c>
      <c r="F206" s="224" t="s">
        <v>1149</v>
      </c>
      <c r="G206" s="55" t="s">
        <v>2077</v>
      </c>
      <c r="H206" s="174" t="str">
        <f>$AI$18</f>
        <v>ILDTF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INDLDTFELCN3</v>
      </c>
      <c r="E210" s="224" t="str">
        <f>"Industry "&amp;$AJ$12&amp;" "&amp;RIGHT(H210,2)&amp;" Tractors, Trucks, Fishing boats - New 3"</f>
        <v>Industry L TF Tractors, Trucks, Fishing boats - New 3</v>
      </c>
      <c r="F210" s="224" t="s">
        <v>1149</v>
      </c>
      <c r="G210" s="55" t="s">
        <v>499</v>
      </c>
      <c r="H210" s="174" t="str">
        <f>$AI$18</f>
        <v>ILDTF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INDLDFLSYNN1</v>
      </c>
      <c r="E214" s="224" t="str">
        <f>"Industry "&amp;$AJ$12&amp;" "&amp;RIGHT(H202,2)&amp;" Forklifts - New 1"</f>
        <v>Industry L TF Forklifts - New 1</v>
      </c>
      <c r="F214" s="224" t="s">
        <v>1149</v>
      </c>
      <c r="G214" s="173" t="s">
        <v>2082</v>
      </c>
      <c r="H214" s="224" t="str">
        <f>AI19</f>
        <v>ILDFL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INDLDCOELCN1</v>
      </c>
      <c r="E218" s="224" t="str">
        <f>"Industry "&amp;$AJ$12&amp;" "&amp;RIGHT(H218,2)&amp;" Cooling - New 1"</f>
        <v>Industry L CO Cooling - New 1</v>
      </c>
      <c r="F218" s="224" t="s">
        <v>1149</v>
      </c>
      <c r="G218" s="173" t="s">
        <v>499</v>
      </c>
      <c r="H218" s="224" t="str">
        <f>AI21</f>
        <v>ILDCO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INDLDPHELCN1</v>
      </c>
      <c r="E229" s="212" t="str">
        <f t="shared" ref="E229:E260" si="265">VLOOKUP(D229,$D$9:$E$222,2,FALSE)</f>
        <v>Industrial heating technology L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INDLDSHELCN1</v>
      </c>
      <c r="E230" s="212" t="str">
        <f t="shared" ca="1" si="265"/>
        <v>Industrial heating technology L SH - Heat pump utilizing waste heat - new 1</v>
      </c>
      <c r="F230" s="262" t="s">
        <v>450</v>
      </c>
      <c r="G230" s="262" t="s">
        <v>449</v>
      </c>
      <c r="H230" s="263" t="s">
        <v>620</v>
      </c>
      <c r="I230" s="301"/>
      <c r="J230" s="264" t="s">
        <v>469</v>
      </c>
    </row>
    <row r="231" spans="1:10">
      <c r="A231" s="169"/>
      <c r="D231" s="212" t="str">
        <f t="shared" ca="1" si="266"/>
        <v>INDLDPHELCN2</v>
      </c>
      <c r="E231" s="212" t="str">
        <f t="shared" ca="1" si="265"/>
        <v>Industrial heating technology L PH - Heat driven heat pump utilizing waste heat - new 2</v>
      </c>
      <c r="F231" s="211" t="s">
        <v>450</v>
      </c>
      <c r="G231" s="211" t="s">
        <v>449</v>
      </c>
      <c r="H231" s="263" t="s">
        <v>620</v>
      </c>
      <c r="I231" s="208"/>
      <c r="J231" s="264" t="s">
        <v>469</v>
      </c>
    </row>
    <row r="232" spans="1:10">
      <c r="A232" s="169"/>
      <c r="B232" s="211"/>
      <c r="C232" s="211"/>
      <c r="D232" s="212" t="str">
        <f t="shared" ca="1" si="266"/>
        <v>INDLDSHELCN2</v>
      </c>
      <c r="E232" s="212" t="str">
        <f t="shared" ca="1" si="265"/>
        <v>Industrial heating technology L SH - Heat driven heat pump utilizing waste heat - new 2</v>
      </c>
      <c r="F232" s="262" t="s">
        <v>450</v>
      </c>
      <c r="G232" s="262" t="s">
        <v>449</v>
      </c>
      <c r="H232" s="263" t="s">
        <v>620</v>
      </c>
      <c r="I232" s="264"/>
      <c r="J232" s="264" t="s">
        <v>469</v>
      </c>
    </row>
    <row r="233" spans="1:10">
      <c r="A233" s="169"/>
      <c r="B233" s="211"/>
      <c r="C233" s="211"/>
      <c r="D233" s="212" t="str">
        <f t="shared" ca="1" si="266"/>
        <v>INDLDPHELCN3</v>
      </c>
      <c r="E233" s="212" t="str">
        <f t="shared" ca="1" si="265"/>
        <v>Industrial heating technology L PH - High Temp abs. Heat pump utilizing waste heat - new 3</v>
      </c>
      <c r="F233" s="262" t="s">
        <v>450</v>
      </c>
      <c r="G233" s="262" t="s">
        <v>449</v>
      </c>
      <c r="H233" s="263" t="s">
        <v>620</v>
      </c>
      <c r="I233" s="264"/>
      <c r="J233" s="264" t="s">
        <v>469</v>
      </c>
    </row>
    <row r="234" spans="1:10">
      <c r="A234" s="169"/>
      <c r="B234" s="211"/>
      <c r="C234" s="211"/>
      <c r="D234" s="212" t="str">
        <f t="shared" ca="1" si="266"/>
        <v>INDLDSHELCN3</v>
      </c>
      <c r="E234" s="212" t="str">
        <f t="shared" ca="1" si="265"/>
        <v>Industrial heating technology L SH - High Temp abs. Heat pump utilizing waste heat - new 3</v>
      </c>
      <c r="F234" s="262" t="s">
        <v>450</v>
      </c>
      <c r="G234" s="262" t="s">
        <v>449</v>
      </c>
      <c r="H234" s="263" t="s">
        <v>620</v>
      </c>
      <c r="I234" s="264"/>
      <c r="J234" s="264" t="s">
        <v>469</v>
      </c>
    </row>
    <row r="235" spans="1:10">
      <c r="A235" s="169"/>
      <c r="B235" s="211"/>
      <c r="C235" s="211"/>
      <c r="D235" s="212" t="str">
        <f t="shared" ca="1" si="266"/>
        <v>INDLDPHELCN4</v>
      </c>
      <c r="E235" s="212" t="str">
        <f t="shared" ca="1" si="265"/>
        <v>Industrial heating technology L PH - Booster Heat pump utilizing waste heat - new 4</v>
      </c>
      <c r="F235" s="262" t="s">
        <v>450</v>
      </c>
      <c r="G235" s="262" t="s">
        <v>449</v>
      </c>
      <c r="H235" s="263" t="s">
        <v>620</v>
      </c>
      <c r="I235" s="264"/>
      <c r="J235" s="264" t="s">
        <v>469</v>
      </c>
    </row>
    <row r="236" spans="1:10">
      <c r="A236" s="169"/>
      <c r="B236" s="211"/>
      <c r="C236" s="211"/>
      <c r="D236" s="212" t="str">
        <f t="shared" ca="1" si="266"/>
        <v>INDLDSHELCN4</v>
      </c>
      <c r="E236" s="212" t="str">
        <f t="shared" ca="1" si="265"/>
        <v>Industrial heating technology L SH - Booster Heat pump utilizing waste heat - new 4</v>
      </c>
      <c r="F236" s="262" t="s">
        <v>450</v>
      </c>
      <c r="G236" s="262" t="s">
        <v>449</v>
      </c>
      <c r="H236" s="263" t="s">
        <v>620</v>
      </c>
      <c r="I236" s="264"/>
      <c r="J236" s="264" t="s">
        <v>469</v>
      </c>
    </row>
    <row r="237" spans="1:10">
      <c r="A237" s="169"/>
      <c r="B237" s="211"/>
      <c r="C237" s="211"/>
      <c r="D237" s="212" t="str">
        <f t="shared" ca="1" si="266"/>
        <v>INDLDPHELCN5</v>
      </c>
      <c r="E237" s="212" t="str">
        <f t="shared" ca="1" si="265"/>
        <v>Industrial heating technology L PH - MVR utilizing waste heat - new 5</v>
      </c>
      <c r="F237" s="262" t="s">
        <v>450</v>
      </c>
      <c r="G237" s="262" t="s">
        <v>449</v>
      </c>
      <c r="H237" s="263"/>
      <c r="I237" s="264"/>
      <c r="J237" s="264" t="s">
        <v>469</v>
      </c>
    </row>
    <row r="238" spans="1:10">
      <c r="A238" s="169"/>
      <c r="B238" s="211"/>
      <c r="C238" s="211"/>
      <c r="D238" s="212" t="str">
        <f t="shared" ca="1" si="266"/>
        <v>INDLDPHWSTN1</v>
      </c>
      <c r="E238" s="212" t="str">
        <f t="shared" ca="1" si="265"/>
        <v>Industrial heating technology L PH - Hotdisc - new 1</v>
      </c>
      <c r="F238" s="262" t="s">
        <v>450</v>
      </c>
      <c r="G238" s="262" t="s">
        <v>449</v>
      </c>
      <c r="H238" s="263" t="s">
        <v>620</v>
      </c>
      <c r="I238" s="264"/>
      <c r="J238" s="264" t="s">
        <v>469</v>
      </c>
    </row>
    <row r="239" spans="1:10">
      <c r="A239" s="169"/>
      <c r="B239" s="211"/>
      <c r="C239" s="211"/>
      <c r="D239" s="212" t="str">
        <f t="shared" ref="D239:D278" ca="1" si="267">OFFSET($D$9,(ROW(D19)*3),0)</f>
        <v>INDLDPHELCN6</v>
      </c>
      <c r="E239" s="212" t="str">
        <f t="shared" ca="1" si="265"/>
        <v>Industrial heating technology L PH - Dielectric heating - new 6</v>
      </c>
      <c r="F239" s="262" t="s">
        <v>450</v>
      </c>
      <c r="G239" s="262" t="s">
        <v>449</v>
      </c>
      <c r="H239" s="263" t="s">
        <v>620</v>
      </c>
      <c r="I239" s="264"/>
      <c r="J239" s="264" t="s">
        <v>469</v>
      </c>
    </row>
    <row r="240" spans="1:10">
      <c r="A240" s="169"/>
      <c r="B240" s="211"/>
      <c r="C240" s="211"/>
      <c r="D240" s="212" t="str">
        <f t="shared" ca="1" si="267"/>
        <v>INDLDPHELCN7</v>
      </c>
      <c r="E240" s="212" t="str">
        <f t="shared" ca="1" si="265"/>
        <v>Industrial heating technology L PH - Infrared heating - new 7</v>
      </c>
      <c r="F240" s="262" t="s">
        <v>450</v>
      </c>
      <c r="G240" s="262" t="s">
        <v>449</v>
      </c>
      <c r="H240" s="263" t="s">
        <v>620</v>
      </c>
      <c r="I240" s="264"/>
      <c r="J240" s="264" t="s">
        <v>469</v>
      </c>
    </row>
    <row r="241" spans="1:16">
      <c r="A241" s="169"/>
      <c r="B241" s="211"/>
      <c r="C241" s="211"/>
      <c r="D241" s="212" t="str">
        <f t="shared" ca="1" si="267"/>
        <v>INDLDPHELCN8</v>
      </c>
      <c r="E241" s="212" t="str">
        <f t="shared" ca="1" si="265"/>
        <v>Industrial heating technology L PH - Electric boiler (Steam) - new 8</v>
      </c>
      <c r="F241" s="262" t="s">
        <v>450</v>
      </c>
      <c r="G241" s="262" t="s">
        <v>449</v>
      </c>
      <c r="H241" s="263" t="s">
        <v>620</v>
      </c>
      <c r="I241" s="264"/>
      <c r="J241" s="264" t="s">
        <v>469</v>
      </c>
    </row>
    <row r="242" spans="1:16">
      <c r="A242" s="169"/>
      <c r="B242" s="211"/>
      <c r="C242" s="211"/>
      <c r="D242" s="212" t="str">
        <f t="shared" ca="1" si="267"/>
        <v>INDLDPHELCN8</v>
      </c>
      <c r="E242" s="212" t="str">
        <f t="shared" ca="1" si="265"/>
        <v>Industrial heating technology L PH - Electric boiler (Steam) - new 8</v>
      </c>
      <c r="F242" s="262" t="s">
        <v>450</v>
      </c>
      <c r="G242" s="262" t="s">
        <v>449</v>
      </c>
      <c r="H242" s="263" t="s">
        <v>620</v>
      </c>
      <c r="I242" s="264"/>
      <c r="J242" s="264" t="s">
        <v>469</v>
      </c>
    </row>
    <row r="243" spans="1:16">
      <c r="A243" s="169"/>
      <c r="B243" s="211"/>
      <c r="C243" s="211"/>
      <c r="D243" s="212" t="str">
        <f t="shared" ca="1" si="267"/>
        <v>INDLDSHELCN8</v>
      </c>
      <c r="E243" s="212" t="str">
        <f t="shared" ca="1" si="265"/>
        <v>Industrial heating technology L SH - Electric boiler (Steam) - new 8</v>
      </c>
      <c r="F243" s="262" t="s">
        <v>450</v>
      </c>
      <c r="G243" s="262" t="s">
        <v>449</v>
      </c>
      <c r="H243" s="263" t="s">
        <v>620</v>
      </c>
      <c r="I243" s="264"/>
      <c r="J243" s="264" t="s">
        <v>469</v>
      </c>
      <c r="P243" s="173"/>
    </row>
    <row r="244" spans="1:16">
      <c r="A244" s="169"/>
      <c r="B244" s="211"/>
      <c r="C244" s="211"/>
      <c r="D244" s="212" t="str">
        <f t="shared" ca="1" si="267"/>
        <v>INDLDPHELCN9</v>
      </c>
      <c r="E244" s="212" t="str">
        <f t="shared" ca="1" si="265"/>
        <v>Industrial heating technology L PH - Electric boiler (Hot Water) - new 9</v>
      </c>
      <c r="F244" s="262" t="s">
        <v>450</v>
      </c>
      <c r="G244" s="262" t="s">
        <v>449</v>
      </c>
      <c r="H244" s="263" t="s">
        <v>620</v>
      </c>
      <c r="I244" s="264"/>
      <c r="J244" s="264" t="s">
        <v>469</v>
      </c>
      <c r="P244" s="173"/>
    </row>
    <row r="245" spans="1:16">
      <c r="A245" s="169"/>
      <c r="B245" s="211"/>
      <c r="C245" s="211"/>
      <c r="D245" s="212" t="str">
        <f t="shared" ca="1" si="267"/>
        <v>INDLDSHELCN9</v>
      </c>
      <c r="E245" s="212" t="str">
        <f t="shared" ca="1" si="265"/>
        <v>Industrial heating technology L SH - Electric boiler (Hot Water) - new 9</v>
      </c>
      <c r="F245" s="262" t="s">
        <v>450</v>
      </c>
      <c r="G245" s="262" t="s">
        <v>449</v>
      </c>
      <c r="H245" s="263" t="s">
        <v>620</v>
      </c>
      <c r="I245" s="264"/>
      <c r="J245" s="264" t="s">
        <v>469</v>
      </c>
      <c r="P245" s="173"/>
    </row>
    <row r="246" spans="1:16">
      <c r="A246" s="169"/>
      <c r="B246" s="211"/>
      <c r="C246" s="211"/>
      <c r="D246" s="212" t="str">
        <f t="shared" ca="1" si="267"/>
        <v>INDLDPHWCHN1</v>
      </c>
      <c r="E246" s="212" t="str">
        <f t="shared" ca="1" si="265"/>
        <v>Industrial heating technology L PH - Wood chip boiler (Steam) - new 1</v>
      </c>
      <c r="F246" s="262" t="s">
        <v>450</v>
      </c>
      <c r="G246" s="262" t="s">
        <v>449</v>
      </c>
      <c r="H246" s="263"/>
      <c r="I246" s="264"/>
      <c r="J246" s="264" t="s">
        <v>469</v>
      </c>
      <c r="P246" s="173"/>
    </row>
    <row r="247" spans="1:16">
      <c r="A247" s="169"/>
      <c r="B247" s="211"/>
      <c r="C247" s="211"/>
      <c r="D247" s="212" t="str">
        <f t="shared" ca="1" si="267"/>
        <v>INDLDPHWCHN1</v>
      </c>
      <c r="E247" s="212" t="str">
        <f t="shared" ca="1" si="265"/>
        <v>Industrial heating technology L PH - Wood chip boiler (Steam) - new 1</v>
      </c>
      <c r="F247" s="262" t="s">
        <v>450</v>
      </c>
      <c r="G247" s="262" t="s">
        <v>449</v>
      </c>
      <c r="H247" s="263"/>
      <c r="I247" s="264"/>
      <c r="J247" s="264" t="s">
        <v>469</v>
      </c>
      <c r="M247" s="171"/>
      <c r="N247" s="171"/>
      <c r="P247" s="173"/>
    </row>
    <row r="248" spans="1:16">
      <c r="A248" s="169"/>
      <c r="B248" s="211"/>
      <c r="C248" s="211"/>
      <c r="D248" s="212" t="str">
        <f t="shared" ca="1" si="267"/>
        <v>INDLDSHWCHN1</v>
      </c>
      <c r="E248" s="212" t="str">
        <f t="shared" ca="1" si="265"/>
        <v>Industrial heating technology L SH - Wood chip boiler (Steam) - new 1</v>
      </c>
      <c r="F248" s="262" t="s">
        <v>450</v>
      </c>
      <c r="G248" s="262" t="s">
        <v>449</v>
      </c>
      <c r="H248" s="263"/>
      <c r="I248" s="264"/>
      <c r="J248" s="264" t="s">
        <v>469</v>
      </c>
      <c r="M248" s="171"/>
      <c r="N248" s="171"/>
      <c r="P248" s="173"/>
    </row>
    <row r="249" spans="1:16">
      <c r="A249" s="169"/>
      <c r="B249" s="211"/>
      <c r="C249" s="211"/>
      <c r="D249" s="212" t="str">
        <f t="shared" ca="1" si="267"/>
        <v>INDLDPHWCHN2</v>
      </c>
      <c r="E249" s="212" t="str">
        <f t="shared" ca="1" si="265"/>
        <v>Industrial heating technology 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INDLDSHWCHN2</v>
      </c>
      <c r="E250" s="212" t="str">
        <f t="shared" ca="1" si="265"/>
        <v>Industrial heating technology L SH - Wood chip boiler (Steam - condensing) - new 2</v>
      </c>
      <c r="F250" s="262" t="s">
        <v>450</v>
      </c>
      <c r="G250" s="262" t="s">
        <v>449</v>
      </c>
      <c r="H250" s="263"/>
      <c r="I250" s="264"/>
      <c r="J250" s="264" t="s">
        <v>469</v>
      </c>
    </row>
    <row r="251" spans="1:16">
      <c r="A251" s="169"/>
      <c r="B251" s="212"/>
      <c r="C251" s="212"/>
      <c r="D251" s="212" t="str">
        <f t="shared" ca="1" si="267"/>
        <v>INDLDPHWCHN3</v>
      </c>
      <c r="E251" s="212" t="str">
        <f t="shared" ca="1" si="265"/>
        <v>Industrial heating technology L PH - Wood chip boiler (Hot Water) - new 3</v>
      </c>
      <c r="F251" s="262" t="s">
        <v>450</v>
      </c>
      <c r="G251" s="262" t="s">
        <v>449</v>
      </c>
      <c r="H251" s="261"/>
      <c r="I251" s="261"/>
      <c r="J251" s="264" t="s">
        <v>469</v>
      </c>
    </row>
    <row r="252" spans="1:16">
      <c r="A252" s="169"/>
      <c r="B252" s="212"/>
      <c r="C252" s="212"/>
      <c r="D252" s="212" t="str">
        <f t="shared" ca="1" si="267"/>
        <v>INDLDSHWCHN3</v>
      </c>
      <c r="E252" s="212" t="str">
        <f t="shared" ca="1" si="265"/>
        <v>Industrial heating technology L SH - Wood chip boiler (Hot Water) - new 3</v>
      </c>
      <c r="F252" s="262" t="s">
        <v>450</v>
      </c>
      <c r="G252" s="262" t="s">
        <v>449</v>
      </c>
      <c r="H252" s="261"/>
      <c r="I252" s="261"/>
      <c r="J252" s="264" t="s">
        <v>469</v>
      </c>
    </row>
    <row r="253" spans="1:16">
      <c r="A253" s="169"/>
      <c r="B253" s="212"/>
      <c r="C253" s="212"/>
      <c r="D253" s="212" t="str">
        <f t="shared" ca="1" si="267"/>
        <v>INDLDPHWCHN4</v>
      </c>
      <c r="E253" s="212" t="str">
        <f t="shared" ca="1" si="265"/>
        <v>Industrial heating technology L PH - Wood chip boiler (Hot Water - condensing) - new 4</v>
      </c>
      <c r="F253" s="262" t="s">
        <v>450</v>
      </c>
      <c r="G253" s="262" t="s">
        <v>449</v>
      </c>
      <c r="H253" s="261"/>
      <c r="I253" s="261"/>
      <c r="J253" s="264" t="s">
        <v>469</v>
      </c>
    </row>
    <row r="254" spans="1:16">
      <c r="A254" s="169"/>
      <c r="B254" s="212"/>
      <c r="C254" s="212"/>
      <c r="D254" s="212" t="str">
        <f t="shared" ca="1" si="267"/>
        <v>INDLDSHWCHN4</v>
      </c>
      <c r="E254" s="212" t="str">
        <f t="shared" ca="1" si="265"/>
        <v>Industrial heating technology L SH - Wood chip boiler (Hot Water- condensing) - new 4</v>
      </c>
      <c r="F254" s="262" t="s">
        <v>450</v>
      </c>
      <c r="G254" s="262" t="s">
        <v>449</v>
      </c>
      <c r="H254" s="261"/>
      <c r="I254" s="261"/>
      <c r="J254" s="264" t="s">
        <v>469</v>
      </c>
    </row>
    <row r="255" spans="1:16">
      <c r="B255" s="212"/>
      <c r="C255" s="212"/>
      <c r="D255" s="212" t="str">
        <f t="shared" ca="1" si="267"/>
        <v>INDLDPHELCN10</v>
      </c>
      <c r="E255" s="212" t="str">
        <f t="shared" ca="1" si="265"/>
        <v>Industrial heating technology L PH - Direct electric heating - new 10</v>
      </c>
      <c r="F255" s="262" t="s">
        <v>450</v>
      </c>
      <c r="G255" s="262" t="s">
        <v>449</v>
      </c>
      <c r="H255" s="261"/>
      <c r="I255" s="261"/>
      <c r="J255" s="264" t="s">
        <v>469</v>
      </c>
    </row>
    <row r="256" spans="1:16">
      <c r="B256" s="212"/>
      <c r="C256" s="212"/>
      <c r="D256" s="212" t="str">
        <f t="shared" ca="1" si="267"/>
        <v>INDLDPHELCN10</v>
      </c>
      <c r="E256" s="212" t="str">
        <f t="shared" ca="1" si="265"/>
        <v>Industrial heating technology L PH - Direct electric heating - new 10</v>
      </c>
      <c r="F256" s="262" t="s">
        <v>450</v>
      </c>
      <c r="G256" s="262" t="s">
        <v>449</v>
      </c>
      <c r="H256" s="261"/>
      <c r="I256" s="261"/>
      <c r="J256" s="264" t="s">
        <v>469</v>
      </c>
    </row>
    <row r="257" spans="1:10">
      <c r="B257" s="212"/>
      <c r="C257" s="212"/>
      <c r="D257" s="212" t="str">
        <f t="shared" ca="1" si="267"/>
        <v>INDLDPHDSLN1</v>
      </c>
      <c r="E257" s="212" t="str">
        <f t="shared" ca="1" si="265"/>
        <v>Industrial heating technology L PH - Oil boiler (Steam) - new 1</v>
      </c>
      <c r="F257" s="262" t="s">
        <v>450</v>
      </c>
      <c r="G257" s="262" t="s">
        <v>449</v>
      </c>
      <c r="H257" s="261"/>
      <c r="I257" s="261"/>
      <c r="J257" s="264" t="s">
        <v>469</v>
      </c>
    </row>
    <row r="258" spans="1:10">
      <c r="B258" s="212"/>
      <c r="C258" s="212"/>
      <c r="D258" s="212" t="str">
        <f t="shared" ca="1" si="267"/>
        <v>INDLDPHDSLN1</v>
      </c>
      <c r="E258" s="212" t="str">
        <f t="shared" ca="1" si="265"/>
        <v>Industrial heating technology L PH - Oil boiler (Steam) - new 1</v>
      </c>
      <c r="F258" s="262" t="s">
        <v>450</v>
      </c>
      <c r="G258" s="262" t="s">
        <v>449</v>
      </c>
      <c r="H258" s="261"/>
      <c r="I258" s="261"/>
      <c r="J258" s="264" t="s">
        <v>469</v>
      </c>
    </row>
    <row r="259" spans="1:10">
      <c r="B259" s="212"/>
      <c r="C259" s="212"/>
      <c r="D259" s="212" t="str">
        <f t="shared" ca="1" si="267"/>
        <v>INDLDSHDSLN1</v>
      </c>
      <c r="E259" s="212" t="str">
        <f t="shared" ca="1" si="265"/>
        <v>Industrial heating technology L SH - Oil boiler (Steam) - new 1</v>
      </c>
      <c r="F259" s="262" t="s">
        <v>450</v>
      </c>
      <c r="G259" s="262" t="s">
        <v>449</v>
      </c>
      <c r="H259" s="261"/>
      <c r="I259" s="261"/>
      <c r="J259" s="264" t="s">
        <v>469</v>
      </c>
    </row>
    <row r="260" spans="1:10">
      <c r="A260" s="214"/>
      <c r="B260" s="212"/>
      <c r="C260" s="212"/>
      <c r="D260" s="212" t="str">
        <f t="shared" ca="1" si="267"/>
        <v>INDLDPHDSLN2</v>
      </c>
      <c r="E260" s="212" t="str">
        <f t="shared" ca="1" si="265"/>
        <v>Industrial heating technology L PH - Oil boiler (Steam - condensing) - new 2</v>
      </c>
      <c r="F260" s="262" t="s">
        <v>450</v>
      </c>
      <c r="G260" s="262" t="s">
        <v>449</v>
      </c>
      <c r="H260" s="261"/>
      <c r="I260" s="261"/>
      <c r="J260" s="264" t="s">
        <v>469</v>
      </c>
    </row>
    <row r="261" spans="1:10">
      <c r="A261" s="214"/>
      <c r="B261" s="212"/>
      <c r="C261" s="212"/>
      <c r="D261" s="212" t="str">
        <f t="shared" ca="1" si="267"/>
        <v>INDLDSHDSLN2</v>
      </c>
      <c r="E261" s="212" t="str">
        <f t="shared" ref="E261:E290" ca="1" si="268">VLOOKUP(D261,$D$9:$E$222,2,FALSE)</f>
        <v>Industrial heating technology L SH - Oil boiler (Steam - condensing) - new 2</v>
      </c>
      <c r="F261" s="262" t="s">
        <v>450</v>
      </c>
      <c r="G261" s="262" t="s">
        <v>449</v>
      </c>
      <c r="H261" s="261"/>
      <c r="I261" s="261"/>
      <c r="J261" s="264" t="s">
        <v>469</v>
      </c>
    </row>
    <row r="262" spans="1:10">
      <c r="A262" s="214"/>
      <c r="B262" s="212"/>
      <c r="C262" s="212"/>
      <c r="D262" s="212" t="str">
        <f t="shared" ca="1" si="267"/>
        <v>INDLDPHGASN1</v>
      </c>
      <c r="E262" s="212" t="str">
        <f t="shared" ca="1" si="268"/>
        <v>Industrial heating technology L PH - Gas boiler (Steam) - new 1</v>
      </c>
      <c r="F262" s="262" t="s">
        <v>450</v>
      </c>
      <c r="G262" s="262" t="s">
        <v>449</v>
      </c>
      <c r="H262" s="261"/>
      <c r="I262" s="261"/>
      <c r="J262" s="264" t="s">
        <v>469</v>
      </c>
    </row>
    <row r="263" spans="1:10">
      <c r="A263" s="214"/>
      <c r="B263" s="212"/>
      <c r="C263" s="212"/>
      <c r="D263" s="212" t="str">
        <f t="shared" ca="1" si="267"/>
        <v>INDLDPHGASN1</v>
      </c>
      <c r="E263" s="212" t="str">
        <f t="shared" ca="1" si="268"/>
        <v>Industrial heating technology L PH - Gas boiler (Steam) - new 1</v>
      </c>
      <c r="F263" s="262" t="s">
        <v>450</v>
      </c>
      <c r="G263" s="262" t="s">
        <v>449</v>
      </c>
      <c r="H263" s="261"/>
      <c r="I263" s="261"/>
      <c r="J263" s="264" t="s">
        <v>469</v>
      </c>
    </row>
    <row r="264" spans="1:10">
      <c r="B264" s="212"/>
      <c r="C264" s="212"/>
      <c r="D264" s="212" t="str">
        <f t="shared" ca="1" si="267"/>
        <v>INDLDSHGASN1</v>
      </c>
      <c r="E264" s="212" t="str">
        <f t="shared" ca="1" si="268"/>
        <v>Industrial heating technology L SH - Gas boiler (Steam) - new 1</v>
      </c>
      <c r="F264" s="262" t="s">
        <v>450</v>
      </c>
      <c r="G264" s="262" t="s">
        <v>449</v>
      </c>
      <c r="H264" s="261"/>
      <c r="I264" s="261"/>
      <c r="J264" s="264" t="s">
        <v>469</v>
      </c>
    </row>
    <row r="265" spans="1:10">
      <c r="B265" s="212"/>
      <c r="C265" s="212"/>
      <c r="D265" s="212" t="str">
        <f t="shared" ca="1" si="267"/>
        <v>INDLDPHGASN2</v>
      </c>
      <c r="E265" s="212" t="str">
        <f t="shared" ca="1" si="268"/>
        <v>Industrial heating technology L PH - Gas boiler (Steam - condensing) - new 2</v>
      </c>
      <c r="F265" s="262" t="s">
        <v>450</v>
      </c>
      <c r="G265" s="262" t="s">
        <v>449</v>
      </c>
      <c r="H265" s="261"/>
      <c r="I265" s="261"/>
      <c r="J265" s="264" t="s">
        <v>469</v>
      </c>
    </row>
    <row r="266" spans="1:10">
      <c r="B266" s="212"/>
      <c r="C266" s="212"/>
      <c r="D266" s="212" t="str">
        <f t="shared" ca="1" si="267"/>
        <v>INDLDSHGASN2</v>
      </c>
      <c r="E266" s="212" t="str">
        <f t="shared" ca="1" si="268"/>
        <v>Industrial heating technology L SH - Gas boiler (Steam - condensing) - new 2</v>
      </c>
      <c r="F266" s="262" t="s">
        <v>450</v>
      </c>
      <c r="G266" s="262" t="s">
        <v>449</v>
      </c>
      <c r="H266" s="261"/>
      <c r="I266" s="261"/>
      <c r="J266" s="264" t="s">
        <v>469</v>
      </c>
    </row>
    <row r="267" spans="1:10">
      <c r="B267" s="212"/>
      <c r="C267" s="212"/>
      <c r="D267" s="212" t="str">
        <f t="shared" ca="1" si="267"/>
        <v>INDLDPHGASN3</v>
      </c>
      <c r="E267" s="212" t="str">
        <f t="shared" ca="1" si="268"/>
        <v>Industrial heating technology L PH - Gas boiler (Hot Water) - new 3</v>
      </c>
      <c r="F267" s="262" t="s">
        <v>450</v>
      </c>
      <c r="G267" s="262" t="s">
        <v>449</v>
      </c>
      <c r="H267" s="261"/>
      <c r="I267" s="261"/>
      <c r="J267" s="264" t="s">
        <v>469</v>
      </c>
    </row>
    <row r="268" spans="1:10">
      <c r="B268" s="212"/>
      <c r="C268" s="212"/>
      <c r="D268" s="212" t="str">
        <f t="shared" ca="1" si="267"/>
        <v>INDLDSHGASN3</v>
      </c>
      <c r="E268" s="212" t="str">
        <f t="shared" ca="1" si="268"/>
        <v>Industrial heating technology L SH - Gas boiler (Hot Water) - new 3</v>
      </c>
      <c r="F268" s="262" t="s">
        <v>450</v>
      </c>
      <c r="G268" s="262" t="s">
        <v>449</v>
      </c>
      <c r="H268" s="261"/>
      <c r="I268" s="261"/>
      <c r="J268" s="264" t="s">
        <v>469</v>
      </c>
    </row>
    <row r="269" spans="1:10">
      <c r="B269" s="212"/>
      <c r="C269" s="212"/>
      <c r="D269" s="212" t="str">
        <f t="shared" ca="1" si="267"/>
        <v>INDLDPHGASN4</v>
      </c>
      <c r="E269" s="212" t="str">
        <f t="shared" ca="1" si="268"/>
        <v>Industrial heating technology L PH - Gas boiler (Hot Water - condensing) - new 4</v>
      </c>
      <c r="F269" s="262" t="s">
        <v>450</v>
      </c>
      <c r="G269" s="262" t="s">
        <v>449</v>
      </c>
      <c r="H269" s="261"/>
      <c r="I269" s="261"/>
      <c r="J269" s="264" t="s">
        <v>469</v>
      </c>
    </row>
    <row r="270" spans="1:10">
      <c r="B270" s="212"/>
      <c r="C270" s="212"/>
      <c r="D270" s="212" t="str">
        <f t="shared" ca="1" si="267"/>
        <v>INDLDSHGASN4</v>
      </c>
      <c r="E270" s="212" t="str">
        <f t="shared" ca="1" si="268"/>
        <v>Industrial heating technology L SH - Gas boiler (Hot Water- condensing) - new 4</v>
      </c>
      <c r="F270" s="262" t="s">
        <v>450</v>
      </c>
      <c r="G270" s="262" t="s">
        <v>449</v>
      </c>
      <c r="H270" s="261"/>
      <c r="I270" s="261"/>
      <c r="J270" s="264" t="s">
        <v>469</v>
      </c>
    </row>
    <row r="271" spans="1:10">
      <c r="B271" s="212"/>
      <c r="C271" s="212"/>
      <c r="D271" s="212" t="str">
        <f t="shared" ca="1" si="267"/>
        <v>INDLDPHGASN5</v>
      </c>
      <c r="E271" s="212" t="str">
        <f t="shared" ca="1" si="268"/>
        <v>Industrial heating technology L PH - Gas boiler (Direct firing) - new 5</v>
      </c>
      <c r="F271" s="262" t="s">
        <v>450</v>
      </c>
      <c r="G271" s="262" t="s">
        <v>449</v>
      </c>
      <c r="H271" s="261"/>
      <c r="I271" s="261"/>
      <c r="J271" s="264" t="s">
        <v>469</v>
      </c>
    </row>
    <row r="272" spans="1:10">
      <c r="B272" s="212"/>
      <c r="C272" s="212"/>
      <c r="D272" s="212" t="str">
        <f t="shared" ca="1" si="267"/>
        <v>INDLDPHGASN5</v>
      </c>
      <c r="E272" s="212" t="str">
        <f t="shared" ca="1" si="268"/>
        <v>Industrial heating technology L PH - Gas boiler (Direct firing) - new 5</v>
      </c>
      <c r="F272" s="262" t="s">
        <v>450</v>
      </c>
      <c r="G272" s="262" t="s">
        <v>449</v>
      </c>
      <c r="H272" s="261"/>
      <c r="I272" s="261"/>
      <c r="J272" s="264" t="s">
        <v>469</v>
      </c>
    </row>
    <row r="273" spans="2:10">
      <c r="B273" s="212"/>
      <c r="C273" s="212"/>
      <c r="D273" s="212" t="str">
        <f t="shared" ca="1" si="267"/>
        <v>INDLDPHCOAN1</v>
      </c>
      <c r="E273" s="212" t="str">
        <f t="shared" ca="1" si="268"/>
        <v>Industrial heating technology L PH - Coal boiler (Steam) - new 1</v>
      </c>
      <c r="F273" s="262" t="s">
        <v>450</v>
      </c>
      <c r="G273" s="262" t="s">
        <v>449</v>
      </c>
      <c r="H273" s="261"/>
      <c r="I273" s="261"/>
      <c r="J273" s="264" t="s">
        <v>469</v>
      </c>
    </row>
    <row r="274" spans="2:10">
      <c r="B274" s="212"/>
      <c r="C274" s="212"/>
      <c r="D274" s="212" t="str">
        <f t="shared" ca="1" si="267"/>
        <v>INDLDPHCOAN1</v>
      </c>
      <c r="E274" s="212" t="str">
        <f t="shared" ca="1" si="268"/>
        <v>Industrial heating technology L PH - Coal boiler (Steam) - new 1</v>
      </c>
      <c r="F274" s="262" t="s">
        <v>450</v>
      </c>
      <c r="G274" s="262" t="s">
        <v>449</v>
      </c>
      <c r="H274" s="261"/>
      <c r="I274" s="261"/>
      <c r="J274" s="264" t="s">
        <v>469</v>
      </c>
    </row>
    <row r="275" spans="2:10">
      <c r="B275" s="212"/>
      <c r="C275" s="212"/>
      <c r="D275" s="212" t="str">
        <f t="shared" ca="1" si="267"/>
        <v>INDLDSHCOAN1</v>
      </c>
      <c r="E275" s="212" t="str">
        <f t="shared" ca="1" si="268"/>
        <v>Industrial heating technology L SH - Coal boiler (Steam) - new 1</v>
      </c>
      <c r="F275" s="262" t="s">
        <v>450</v>
      </c>
      <c r="G275" s="262" t="s">
        <v>449</v>
      </c>
      <c r="H275" s="261"/>
      <c r="I275" s="261"/>
      <c r="J275" s="264" t="s">
        <v>469</v>
      </c>
    </row>
    <row r="276" spans="2:10">
      <c r="B276" s="212"/>
      <c r="C276" s="212"/>
      <c r="D276" s="212" t="str">
        <f t="shared" ca="1" si="267"/>
        <v>INDLDPHCOAN2</v>
      </c>
      <c r="E276" s="212" t="str">
        <f t="shared" ca="1" si="268"/>
        <v>Industrial heating technology L PH - Coal boiler (Hot Water) - new 2</v>
      </c>
      <c r="F276" s="262" t="s">
        <v>450</v>
      </c>
      <c r="G276" s="262" t="s">
        <v>449</v>
      </c>
      <c r="H276" s="261"/>
      <c r="I276" s="261"/>
      <c r="J276" s="264" t="s">
        <v>469</v>
      </c>
    </row>
    <row r="277" spans="2:10">
      <c r="B277" s="212"/>
      <c r="C277" s="212"/>
      <c r="D277" s="212" t="str">
        <f t="shared" ca="1" si="267"/>
        <v>INDLDSHCOAN2</v>
      </c>
      <c r="E277" s="212" t="str">
        <f t="shared" ca="1" si="268"/>
        <v>Industrial heating technology L SH - Coal boiler (Hot Water) - new 2</v>
      </c>
      <c r="F277" s="262" t="s">
        <v>450</v>
      </c>
      <c r="G277" s="262" t="s">
        <v>449</v>
      </c>
      <c r="H277" s="261"/>
      <c r="I277" s="261"/>
      <c r="J277" s="264" t="s">
        <v>469</v>
      </c>
    </row>
    <row r="278" spans="2:10">
      <c r="B278" s="212"/>
      <c r="C278" s="212"/>
      <c r="D278" s="212" t="str">
        <f t="shared" ca="1" si="267"/>
        <v>INDLDSHSOLN1</v>
      </c>
      <c r="E278" s="212" t="str">
        <f t="shared" ca="1" si="268"/>
        <v>Industrial heating technology L SH - Solar - new 1</v>
      </c>
      <c r="F278" s="262" t="s">
        <v>450</v>
      </c>
      <c r="G278" s="262" t="s">
        <v>449</v>
      </c>
      <c r="H278" s="263" t="s">
        <v>620</v>
      </c>
      <c r="I278" s="261"/>
      <c r="J278" s="264" t="s">
        <v>469</v>
      </c>
    </row>
    <row r="279" spans="2:10">
      <c r="B279" s="212"/>
      <c r="C279" s="212"/>
      <c r="D279" s="889" t="str">
        <f>D187</f>
        <v>INDLDSHHCEN1</v>
      </c>
      <c r="E279" s="889" t="str">
        <f t="shared" si="268"/>
        <v>Industrial heating technology L SH - central district heating - within DH area - new 1</v>
      </c>
      <c r="F279" s="262" t="s">
        <v>450</v>
      </c>
      <c r="G279" s="262" t="s">
        <v>449</v>
      </c>
      <c r="H279" s="890"/>
      <c r="I279" s="890"/>
      <c r="J279" s="263" t="s">
        <v>469</v>
      </c>
    </row>
    <row r="280" spans="2:10">
      <c r="B280" s="212"/>
      <c r="C280" s="212"/>
      <c r="D280" s="889" t="str">
        <f>D188</f>
        <v>INDLDPHHCEN1</v>
      </c>
      <c r="E280" s="889" t="str">
        <f t="shared" si="268"/>
        <v>Industrial heating technology L PH - central district heating - within DH area - new 1</v>
      </c>
      <c r="F280" s="262" t="s">
        <v>450</v>
      </c>
      <c r="G280" s="262" t="s">
        <v>449</v>
      </c>
      <c r="H280" s="890"/>
      <c r="I280" s="890"/>
      <c r="J280" s="263" t="s">
        <v>469</v>
      </c>
    </row>
    <row r="281" spans="2:10">
      <c r="B281" s="212"/>
      <c r="C281" s="212"/>
      <c r="D281" s="889" t="str">
        <f>D189</f>
        <v>INDLDSHHSEN1</v>
      </c>
      <c r="E281" s="889" t="str">
        <f t="shared" si="268"/>
        <v>Industrial heating technology L SH - central district heating - within DH area - new 1</v>
      </c>
      <c r="F281" s="262" t="s">
        <v>450</v>
      </c>
      <c r="G281" s="262" t="s">
        <v>449</v>
      </c>
      <c r="H281" s="890"/>
      <c r="I281" s="890"/>
      <c r="J281" s="263" t="s">
        <v>469</v>
      </c>
    </row>
    <row r="282" spans="2:10">
      <c r="B282" s="212"/>
      <c r="C282" s="212"/>
      <c r="D282" s="889" t="str">
        <f>D190</f>
        <v>INDLDPHHSEN1</v>
      </c>
      <c r="E282" s="889" t="str">
        <f t="shared" si="268"/>
        <v>Industrial heating technology L PH - central district heating - within DH area - new 1</v>
      </c>
      <c r="F282" s="262" t="s">
        <v>450</v>
      </c>
      <c r="G282" s="262" t="s">
        <v>449</v>
      </c>
      <c r="H282" s="890"/>
      <c r="I282" s="890"/>
      <c r="J282" s="263" t="s">
        <v>469</v>
      </c>
    </row>
    <row r="283" spans="2:10">
      <c r="B283" s="212"/>
      <c r="C283" s="212"/>
      <c r="D283" s="212" t="str">
        <f t="shared" ref="D283" si="269">D191</f>
        <v>INDLDSHHDEN1</v>
      </c>
      <c r="E283" s="212" t="str">
        <f t="shared" si="268"/>
        <v>Industrial heating technology L SH - decentral district heating - within DH area - new 1</v>
      </c>
      <c r="F283" s="262" t="s">
        <v>450</v>
      </c>
      <c r="G283" s="262" t="s">
        <v>449</v>
      </c>
      <c r="H283" s="261"/>
      <c r="I283" s="261"/>
      <c r="J283" s="264" t="s">
        <v>469</v>
      </c>
    </row>
    <row r="284" spans="2:10">
      <c r="B284" s="212"/>
      <c r="C284" s="212"/>
      <c r="D284" s="212" t="str">
        <f>D192</f>
        <v>INDLDPHHDEN1</v>
      </c>
      <c r="E284" s="212" t="str">
        <f t="shared" si="268"/>
        <v>Industrial heating technology L PH - decentral district heating - within DH area - new 1</v>
      </c>
      <c r="F284" s="262" t="s">
        <v>450</v>
      </c>
      <c r="G284" s="262" t="s">
        <v>449</v>
      </c>
      <c r="H284" s="261"/>
      <c r="I284" s="261"/>
      <c r="J284" s="264" t="s">
        <v>469</v>
      </c>
    </row>
    <row r="285" spans="2:10">
      <c r="B285" s="212"/>
      <c r="C285" s="212"/>
      <c r="D285" s="212" t="str">
        <f>D194</f>
        <v>INDLDLAELCN1</v>
      </c>
      <c r="E285" s="212" t="str">
        <f t="shared" si="268"/>
        <v>Industry L LA Electricity Light Appliance - New 1</v>
      </c>
      <c r="F285" s="262" t="s">
        <v>450</v>
      </c>
      <c r="G285" s="262" t="s">
        <v>449</v>
      </c>
      <c r="H285" s="261"/>
      <c r="I285" s="261"/>
      <c r="J285" s="264" t="s">
        <v>469</v>
      </c>
    </row>
    <row r="286" spans="2:10">
      <c r="B286" s="212"/>
      <c r="C286" s="212"/>
      <c r="D286" s="212" t="str">
        <f>D198</f>
        <v>INDLDEMELCN1</v>
      </c>
      <c r="E286" s="212" t="str">
        <f t="shared" si="268"/>
        <v>Industry L EM Electricity Motors - New 1</v>
      </c>
      <c r="F286" s="262" t="s">
        <v>450</v>
      </c>
      <c r="G286" s="262" t="s">
        <v>449</v>
      </c>
      <c r="H286" s="261"/>
      <c r="I286" s="261"/>
      <c r="J286" s="264" t="s">
        <v>469</v>
      </c>
    </row>
    <row r="287" spans="2:10">
      <c r="B287" s="212"/>
      <c r="C287" s="212"/>
      <c r="D287" s="212" t="str">
        <f>D202</f>
        <v>INDLDTFDSLN1</v>
      </c>
      <c r="E287" s="212" t="str">
        <f t="shared" si="268"/>
        <v>Industry L TF Tractors, Trucks, Fishing boats - New 1</v>
      </c>
      <c r="F287" s="262" t="s">
        <v>450</v>
      </c>
      <c r="G287" s="262" t="s">
        <v>2078</v>
      </c>
      <c r="H287" s="261"/>
      <c r="I287" s="261"/>
      <c r="J287" s="264" t="s">
        <v>469</v>
      </c>
    </row>
    <row r="288" spans="2:10">
      <c r="B288" s="212"/>
      <c r="C288" s="212"/>
      <c r="D288" s="212" t="str">
        <f>D206</f>
        <v>INDLDTFH2GN2</v>
      </c>
      <c r="E288" s="212" t="str">
        <f t="shared" si="268"/>
        <v>Industry L TF Tractors, Trucks, Fishing boats - New 2</v>
      </c>
      <c r="F288" s="262" t="s">
        <v>450</v>
      </c>
      <c r="G288" s="262" t="s">
        <v>2078</v>
      </c>
      <c r="H288" s="261"/>
      <c r="I288" s="261"/>
      <c r="J288" s="264" t="s">
        <v>469</v>
      </c>
    </row>
    <row r="289" spans="2:10">
      <c r="B289" s="212"/>
      <c r="C289" s="212"/>
      <c r="D289" s="212" t="str">
        <f>D210</f>
        <v>INDLDTFELCN3</v>
      </c>
      <c r="E289" s="212" t="str">
        <f t="shared" si="268"/>
        <v>Industry L TF Tractors, Trucks, Fishing boats - New 3</v>
      </c>
      <c r="F289" s="262" t="s">
        <v>450</v>
      </c>
      <c r="G289" s="262" t="s">
        <v>2078</v>
      </c>
      <c r="H289" s="261"/>
      <c r="I289" s="261"/>
      <c r="J289" s="264" t="s">
        <v>469</v>
      </c>
    </row>
    <row r="290" spans="2:10">
      <c r="B290" s="212"/>
      <c r="C290" s="212"/>
      <c r="D290" s="212" t="str">
        <f>D214</f>
        <v>INDLDFLSYNN1</v>
      </c>
      <c r="E290" s="212" t="str">
        <f t="shared" si="268"/>
        <v>Industry L TF Forklifts - New 1</v>
      </c>
      <c r="F290" s="262" t="s">
        <v>450</v>
      </c>
      <c r="G290" s="262" t="s">
        <v>449</v>
      </c>
      <c r="H290" s="261"/>
      <c r="I290" s="261"/>
      <c r="J290" s="264" t="s">
        <v>469</v>
      </c>
    </row>
    <row r="291" spans="2:10">
      <c r="B291" s="212"/>
      <c r="C291" s="212"/>
      <c r="D291" s="212" t="str">
        <f>D218</f>
        <v>INDLDCOELCN1</v>
      </c>
      <c r="E291" s="212" t="str">
        <f>E218</f>
        <v>Industry 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ILDSOx</v>
      </c>
      <c r="E296" s="270" t="str">
        <f>"Industrial heating  heating technology "&amp;$AJ$12&amp;" - SOx emission"</f>
        <v>Industrial heating  heating technology L - SOx emission</v>
      </c>
      <c r="F296" s="219" t="s">
        <v>352</v>
      </c>
      <c r="G296" s="211"/>
      <c r="H296" s="211"/>
      <c r="I296" s="211"/>
      <c r="J296" s="211"/>
    </row>
    <row r="297" spans="2:10">
      <c r="B297" s="214"/>
      <c r="C297" s="214"/>
      <c r="D297" s="260" t="str">
        <f>"I"&amp;LEFT($AJ$12,1)&amp;"DNOx"</f>
        <v>ILDNOx</v>
      </c>
      <c r="E297" s="270" t="str">
        <f>"Industrial heating  heating technology "&amp;$AJ$12&amp;" - NOx emission"</f>
        <v>Industrial heating  heating technology L - NOx emission</v>
      </c>
      <c r="F297" s="219" t="s">
        <v>352</v>
      </c>
      <c r="G297" s="211"/>
      <c r="H297" s="214"/>
      <c r="I297" s="214"/>
      <c r="J297" s="214"/>
    </row>
    <row r="298" spans="2:10">
      <c r="B298" s="214"/>
      <c r="C298" s="214"/>
      <c r="D298" s="260" t="str">
        <f>"I"&amp;LEFT($AJ$12,1)&amp;"DCH4"</f>
        <v>ILDCH4</v>
      </c>
      <c r="E298" s="270" t="str">
        <f>"Industrial heating  heating technology "&amp;$AJ$12&amp;" - CH4 emission"</f>
        <v>Industrial heating  heating technology L - CH4 emission</v>
      </c>
      <c r="F298" s="219" t="s">
        <v>352</v>
      </c>
      <c r="G298" s="211"/>
      <c r="H298" s="214"/>
      <c r="I298" s="214"/>
      <c r="J298" s="214"/>
    </row>
    <row r="299" spans="2:10">
      <c r="B299" s="214"/>
      <c r="C299" s="214"/>
      <c r="D299" s="260" t="str">
        <f>"I"&amp;LEFT($AJ$12,1)&amp;"DNO2"</f>
        <v>ILDNO2</v>
      </c>
      <c r="E299" s="270" t="str">
        <f>"Industrial heating  heating technology "&amp;$AJ$12&amp;" - NO2 emission"</f>
        <v>Industrial heating  heating technology L - NO2 emission</v>
      </c>
      <c r="F299" s="219" t="s">
        <v>352</v>
      </c>
      <c r="G299" s="211"/>
      <c r="H299" s="214"/>
      <c r="I299" s="214"/>
      <c r="J299" s="214"/>
    </row>
    <row r="300" spans="2:10">
      <c r="B300" s="214"/>
      <c r="C300" s="214"/>
      <c r="D300" s="260" t="str">
        <f>"I"&amp;LEFT($AJ$12,1)&amp;"DPM"</f>
        <v>ILDPM</v>
      </c>
      <c r="E300" s="270" t="str">
        <f>"Industrial heating  heating technology "&amp;$AJ$12&amp;" - Particle emission"</f>
        <v>Industrial heating  heating technology L - Particle emission</v>
      </c>
      <c r="F300" s="219" t="s">
        <v>352</v>
      </c>
      <c r="G300" s="211"/>
      <c r="H300" s="214"/>
      <c r="I300" s="214"/>
      <c r="J300" s="214"/>
    </row>
    <row r="301" spans="2:10">
      <c r="B301" s="224" t="s">
        <v>1057</v>
      </c>
      <c r="D301" s="224" t="str">
        <f>AI20</f>
        <v>INDLWH</v>
      </c>
      <c r="E301" s="270" t="str">
        <f>"Industrial heating technology "&amp;$AJ$12&amp;" - Waste heat"</f>
        <v>Industrial heating technology 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5E4C00F-BD5E-4A8F-A893-4181AB4DD74A}">
          <x14:formula1>
            <xm:f>'Oil-fired boiler_NEW'!$T$4:$X$4</xm:f>
          </x14:formula1>
          <xm:sqref>E1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E00E-A061-4F02-970F-A5767CED08CF}">
  <sheetPr>
    <tabColor rgb="FF00B050"/>
  </sheetPr>
  <dimension ref="A1:AJ301"/>
  <sheetViews>
    <sheetView topLeftCell="A197"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36" ht="14.5" customHeight="1">
      <c r="D1" s="728" t="s">
        <v>1016</v>
      </c>
      <c r="E1" s="729" t="s">
        <v>719</v>
      </c>
      <c r="N1" s="64"/>
      <c r="O1" s="64"/>
      <c r="P1" s="64"/>
      <c r="S1" s="727" t="s">
        <v>1004</v>
      </c>
      <c r="T1" s="776" t="s">
        <v>1003</v>
      </c>
      <c r="U1" s="775" t="s">
        <v>1053</v>
      </c>
      <c r="V1" s="776" t="s">
        <v>1054</v>
      </c>
      <c r="W1" s="780">
        <v>0.3</v>
      </c>
    </row>
    <row r="2" spans="2:36" ht="16" thickBot="1">
      <c r="E2" s="730" t="s">
        <v>1147</v>
      </c>
      <c r="N2" s="731"/>
      <c r="O2" s="731"/>
      <c r="P2" s="731"/>
      <c r="S2" s="726">
        <f>MATCH($E$1,$AJ$22:$AJ$35)</f>
        <v>13</v>
      </c>
      <c r="T2" s="778">
        <f>MATCH($E$1,$AJ$22:$AJ$35)+1</f>
        <v>14</v>
      </c>
      <c r="U2" s="779"/>
      <c r="V2" s="768" t="s">
        <v>1055</v>
      </c>
      <c r="W2" s="781">
        <v>0.2</v>
      </c>
    </row>
    <row r="3" spans="2:36" ht="16"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FEMIS~ITDSOx</v>
      </c>
      <c r="Y6" s="280" t="str">
        <f>"FEMIS~"&amp;D297</f>
        <v>FEMIS~ITDNOx</v>
      </c>
      <c r="Z6" s="280" t="str">
        <f>"FEMIS~"&amp;D298</f>
        <v>FEMIS~ITDCH4</v>
      </c>
      <c r="AA6" s="280" t="str">
        <f>"FEMIS~"&amp;D299</f>
        <v>FEMIS~ITDNO2</v>
      </c>
      <c r="AB6" s="280" t="str">
        <f>"FEMIS~"&amp;D300</f>
        <v>FEMIS~ITDPM</v>
      </c>
      <c r="AC6" s="224" t="s">
        <v>424</v>
      </c>
      <c r="AD6" s="224" t="s">
        <v>2001</v>
      </c>
      <c r="AE6" s="47" t="s">
        <v>338</v>
      </c>
      <c r="AF6" s="221" t="s">
        <v>473</v>
      </c>
    </row>
    <row r="7" spans="2:36"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INDTDPHELCN1</v>
      </c>
      <c r="E9" s="261" t="str">
        <f>"Industrial heating technology "&amp;$AJ$12&amp;" "&amp;RIGHT(H9,2)&amp;" - Heat pump utilizing waste heat - new 1"</f>
        <v>Industrial heating technology Transport PH - Heat pump utilizing waste heat - new 1</v>
      </c>
      <c r="F9" s="224" t="s">
        <v>1149</v>
      </c>
      <c r="G9" s="173" t="s">
        <v>499</v>
      </c>
      <c r="H9" s="174" t="str">
        <f>$AI$14</f>
        <v>ITDPH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INDTWH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ITDPH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INDTWH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2101</v>
      </c>
    </row>
    <row r="13" spans="2:36">
      <c r="B13" s="357" t="s">
        <v>998</v>
      </c>
      <c r="D13" s="212"/>
      <c r="E13" s="212"/>
      <c r="F13" s="224" t="s">
        <v>1149</v>
      </c>
      <c r="G13" s="173" t="s">
        <v>499</v>
      </c>
      <c r="H13" s="174" t="str">
        <f>$AI$14</f>
        <v>ITDPH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ITDPH</v>
      </c>
      <c r="AJ13" s="224" t="str">
        <f>"Industry "&amp;$AJ$12&amp;" Demand Heat High Temp. over 150C"</f>
        <v>Industry Transport Demand Heat High Temp. over 150C</v>
      </c>
    </row>
    <row r="14" spans="2:36">
      <c r="B14" s="357" t="s">
        <v>998</v>
      </c>
      <c r="D14" s="212"/>
      <c r="E14" s="212"/>
      <c r="F14" s="224" t="s">
        <v>1149</v>
      </c>
      <c r="G14" s="173" t="str">
        <f>$AI$20</f>
        <v>INDTWH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ITDPH</v>
      </c>
      <c r="AJ14" s="224" t="str">
        <f>"Industry "&amp;$AJ$12&amp;" Demand Heat Medium Temp. up to 150C"</f>
        <v>Industry Transport Demand Heat Medium Temp. up to 150C</v>
      </c>
    </row>
    <row r="15" spans="2:36">
      <c r="B15" s="357" t="s">
        <v>998</v>
      </c>
      <c r="D15" s="212" t="str">
        <f>"IND"&amp;RIGHT(H15,4)&amp;RIGHT(G15,3)&amp;"N"&amp;RIGHT(E15,1)</f>
        <v>INDTDSHELCN1</v>
      </c>
      <c r="E15" s="261" t="str">
        <f>"Industrial heating technology "&amp;$AJ$12&amp;" "&amp;RIGHT(H15,2)&amp;" - Heat pump utilizing waste heat - new 1"</f>
        <v>Industrial heating technology Transport SH - Heat pump utilizing waste heat - new 1</v>
      </c>
      <c r="F15" s="224" t="s">
        <v>1149</v>
      </c>
      <c r="G15" s="173" t="s">
        <v>499</v>
      </c>
      <c r="H15" s="174" t="str">
        <f>$AI$15</f>
        <v>ITDSH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ITDSH</v>
      </c>
      <c r="AJ15" s="224" t="str">
        <f>"Industry "&amp;$AJ$12&amp;" Demand Heat Room Heat"</f>
        <v>Industry Transport Demand Heat Room Heat</v>
      </c>
    </row>
    <row r="16" spans="2:36">
      <c r="B16" s="357" t="s">
        <v>998</v>
      </c>
      <c r="D16" s="212"/>
      <c r="E16" s="261"/>
      <c r="F16" s="224" t="s">
        <v>1149</v>
      </c>
      <c r="G16" s="173" t="str">
        <f>$AI$20</f>
        <v>INDTWH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ITDLA</v>
      </c>
      <c r="AJ16" s="224" t="str">
        <f>"Industry "&amp;$AJ$12&amp;" Demand Light Appliances"</f>
        <v>Industry Transport Demand Light Appliances</v>
      </c>
    </row>
    <row r="17" spans="2:36">
      <c r="B17" s="357" t="s">
        <v>998</v>
      </c>
      <c r="D17" s="212"/>
      <c r="E17" s="212"/>
      <c r="F17" s="224" t="s">
        <v>1149</v>
      </c>
      <c r="G17" s="173" t="s">
        <v>499</v>
      </c>
      <c r="H17" s="174" t="str">
        <f>$AI$15</f>
        <v>ITDSH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ITDEM</v>
      </c>
      <c r="AJ17" s="224" t="str">
        <f>"Industry "&amp;$AJ$12&amp;" Demand Electric Motors"</f>
        <v>Industry Transport Demand Electric Motors</v>
      </c>
    </row>
    <row r="18" spans="2:36">
      <c r="B18" s="357" t="s">
        <v>998</v>
      </c>
      <c r="D18" s="212"/>
      <c r="E18" s="212"/>
      <c r="F18" s="224" t="s">
        <v>1149</v>
      </c>
      <c r="G18" s="173" t="str">
        <f>$AI$20</f>
        <v>INDTWH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ITDTF</v>
      </c>
      <c r="AJ18" s="224" t="str">
        <f>"Industry "&amp;$AJ$12&amp;" Demand Tractors, Trucks, Fishing boats, Forest machines"</f>
        <v>Industry Transport Demand Tractors, Trucks, Fishing boats, Forest machines</v>
      </c>
    </row>
    <row r="19" spans="2:36">
      <c r="B19" s="357" t="s">
        <v>998</v>
      </c>
      <c r="D19" s="212"/>
      <c r="E19" s="212"/>
      <c r="F19" s="224" t="s">
        <v>1149</v>
      </c>
      <c r="G19" s="173" t="s">
        <v>499</v>
      </c>
      <c r="H19" s="174" t="str">
        <f>$AI$15</f>
        <v>ITDSH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ITDFL</v>
      </c>
      <c r="AJ19" s="224" t="str">
        <f>"Industry "&amp;$AJ$12&amp;" Demand Forklifts"</f>
        <v>Industry Transport Demand Forklifts</v>
      </c>
    </row>
    <row r="20" spans="2:36">
      <c r="B20" s="357" t="s">
        <v>998</v>
      </c>
      <c r="D20" s="212"/>
      <c r="E20" s="212"/>
      <c r="F20" s="224" t="s">
        <v>1149</v>
      </c>
      <c r="G20" s="173" t="str">
        <f>$AI$20</f>
        <v>INDTWH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INDTWH</v>
      </c>
      <c r="AJ20" s="224" t="str">
        <f>"Industry "&amp;$AJ$12&amp;" Waste Heat"</f>
        <v>Industry Transport Waste Heat</v>
      </c>
    </row>
    <row r="21" spans="2:36">
      <c r="B21" s="357" t="s">
        <v>999</v>
      </c>
      <c r="D21" s="212" t="str">
        <f>"IND"&amp;RIGHT(H21,4)&amp;RIGHT(G21,3)&amp;"N"&amp;RIGHT(E21,1)</f>
        <v>INDTDPHELCN2</v>
      </c>
      <c r="E21" s="261" t="str">
        <f>"Industrial heating technology "&amp;$AJ$12&amp;" "&amp;RIGHT(H21,2)&amp;" - Heat driven heat pump utilizing waste heat - new 2"</f>
        <v>Industrial heating technology Transport PH - Heat driven heat pump utilizing waste heat - new 2</v>
      </c>
      <c r="F21" s="224" t="s">
        <v>1149</v>
      </c>
      <c r="G21" s="173" t="s">
        <v>499</v>
      </c>
      <c r="H21" s="174" t="str">
        <f>$AI$14</f>
        <v>ITDPH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ITDCO</v>
      </c>
      <c r="AJ21" s="224" t="str">
        <f>"Industry "&amp;$AJ$12&amp;" Cooling"</f>
        <v>Industry Transport Cooling</v>
      </c>
    </row>
    <row r="22" spans="2:36">
      <c r="B22" s="357" t="s">
        <v>999</v>
      </c>
      <c r="D22" s="212"/>
      <c r="E22" s="261"/>
      <c r="F22" s="224" t="s">
        <v>1149</v>
      </c>
      <c r="G22" s="173" t="str">
        <f>$AI$20</f>
        <v>INDTWH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ITDPH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 customHeight="1">
      <c r="B24" s="357" t="s">
        <v>999</v>
      </c>
      <c r="D24" s="212"/>
      <c r="E24" s="212"/>
      <c r="F24" s="224" t="s">
        <v>1149</v>
      </c>
      <c r="G24" s="173" t="str">
        <f>$AI$20</f>
        <v>INDTWH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 customHeight="1">
      <c r="B25" s="357" t="s">
        <v>999</v>
      </c>
      <c r="D25" s="212"/>
      <c r="E25" s="212"/>
      <c r="F25" s="224" t="s">
        <v>1149</v>
      </c>
      <c r="G25" s="173" t="s">
        <v>499</v>
      </c>
      <c r="H25" s="174" t="str">
        <f>$AI$14</f>
        <v>ITDPH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INDTWH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INDTDSHELCN2</v>
      </c>
      <c r="E27" s="261" t="str">
        <f>"Industrial heating technology "&amp;$AJ$12&amp;" "&amp;RIGHT(H27,2)&amp;" - Heat driven heat pump utilizing waste heat - new 2"</f>
        <v>Industrial heating technology Transport SH - Heat driven heat pump utilizing waste heat - new 2</v>
      </c>
      <c r="F27" s="224" t="s">
        <v>1149</v>
      </c>
      <c r="G27" s="173" t="s">
        <v>499</v>
      </c>
      <c r="H27" s="174" t="str">
        <f>$AI$15</f>
        <v>ITDSH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INDTWH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ITDSH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INDTWH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ITDSH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INDTWH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INDTDPHELCN3</v>
      </c>
      <c r="E33" s="261" t="str">
        <f>"Industrial heating technology "&amp;$AJ$12&amp;" "&amp;RIGHT(H33,2)&amp;" - High Temp abs. Heat pump utilizing waste heat - new 3"</f>
        <v>Industrial heating technology Transport PH - High Temp abs. Heat pump utilizing waste heat - new 3</v>
      </c>
      <c r="F33" s="224" t="s">
        <v>1149</v>
      </c>
      <c r="G33" s="173" t="s">
        <v>499</v>
      </c>
      <c r="H33" s="174" t="str">
        <f>$AI$14</f>
        <v>ITDPH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INDTWH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ITDPH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INDTWH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ITDPH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INDTWH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INDTDSHELCN3</v>
      </c>
      <c r="E39" s="261" t="str">
        <f>"Industrial heating technology "&amp;$AJ$12&amp;" "&amp;RIGHT(H39,2)&amp;" - High Temp abs. Heat pump utilizing waste heat - new 3"</f>
        <v>Industrial heating technology Transport SH - High Temp abs. Heat pump utilizing waste heat - new 3</v>
      </c>
      <c r="F39" s="224" t="s">
        <v>1149</v>
      </c>
      <c r="G39" s="173" t="s">
        <v>499</v>
      </c>
      <c r="H39" s="174" t="str">
        <f>$AI$15</f>
        <v>ITDSH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INDTWH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ITDSH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INDTWH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ITDSH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INDTWH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INDTDPHELCN4</v>
      </c>
      <c r="E45" s="261" t="str">
        <f>"Industrial heating technology "&amp;$AJ$12&amp;" "&amp;RIGHT(H45,2)&amp;" - Booster Heat pump utilizing waste heat - new 4"</f>
        <v>Industrial heating technology Transport PH - Booster Heat pump utilizing waste heat - new 4</v>
      </c>
      <c r="F45" s="224" t="s">
        <v>1149</v>
      </c>
      <c r="G45" s="173" t="s">
        <v>499</v>
      </c>
      <c r="H45" s="174" t="str">
        <f>$AI$14</f>
        <v>ITDPH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INDTWH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ITDPH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INDTWH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ITDPH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INDTWH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INDTDSHELCN4</v>
      </c>
      <c r="E51" s="261" t="str">
        <f>"Industrial heating technology "&amp;$AJ$12&amp;" "&amp;RIGHT(H51,2)&amp;" - Booster Heat pump utilizing waste heat - new 4"</f>
        <v>Industrial heating technology Transport SH - Booster Heat pump utilizing waste heat - new 4</v>
      </c>
      <c r="F51" s="224" t="s">
        <v>1149</v>
      </c>
      <c r="G51" s="173" t="s">
        <v>499</v>
      </c>
      <c r="H51" s="174" t="str">
        <f>$AI$15</f>
        <v>ITDSH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INDTWH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ITDSH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INDTWH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ITDSH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INDTWH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INDTDPHELCN5</v>
      </c>
      <c r="E57" s="261" t="str">
        <f>"Industrial heating technology "&amp;$AJ$12&amp;" "&amp;RIGHT(H57,2)&amp;" - MVR utilizing waste heat - new 5"</f>
        <v>Industrial heating technology Transport PH - MVR utilizing waste heat - new 5</v>
      </c>
      <c r="F57" s="224" t="s">
        <v>1149</v>
      </c>
      <c r="G57" s="173" t="s">
        <v>499</v>
      </c>
      <c r="H57" s="174" t="str">
        <f>$AI$14</f>
        <v>ITDPH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INDTWH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ITDPH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INDTWH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ITDPH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INDTWH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INDTDPHWSTN1</v>
      </c>
      <c r="E63" s="261" t="str">
        <f>"Industrial heating technology "&amp;$AJ$12&amp;" "&amp;RIGHT(H63,2)&amp;" - Hotdisc - new 1"</f>
        <v>Industrial heating technology Transport PH - Hotdisc - new 1</v>
      </c>
      <c r="F63" s="224" t="s">
        <v>1149</v>
      </c>
      <c r="G63" s="832" t="s">
        <v>1005</v>
      </c>
      <c r="H63" s="174" t="str">
        <f>$AI$13</f>
        <v>ITDPH</v>
      </c>
      <c r="I63" s="173" t="str">
        <f t="shared" ref="I63:I126" si="21">$AI$20</f>
        <v>INDTWH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INDTWH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INDTWH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INDTDPHELCN6</v>
      </c>
      <c r="E66" s="261" t="str">
        <f>"Industrial heating technology "&amp;$AJ$12&amp;" "&amp;RIGHT(H66,2)&amp;" - Dielectric heating - new 6"</f>
        <v>Industrial heating technology Transport PH - Dielectric heating - new 6</v>
      </c>
      <c r="F66" s="224" t="s">
        <v>1149</v>
      </c>
      <c r="G66" s="173" t="s">
        <v>499</v>
      </c>
      <c r="H66" s="174" t="str">
        <f>$AI$14</f>
        <v>ITDPH</v>
      </c>
      <c r="I66" s="173" t="str">
        <f t="shared" si="21"/>
        <v>INDTWH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INDTWH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INDTWH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INDTDPHELCN7</v>
      </c>
      <c r="E69" s="261" t="str">
        <f>"Industrial heating technology "&amp;$AJ$12&amp;" "&amp;RIGHT(H69,2)&amp;" - Infrared heating - new 7"</f>
        <v>Industrial heating technology Transport PH - Infrared heating - new 7</v>
      </c>
      <c r="F69" s="224" t="s">
        <v>1149</v>
      </c>
      <c r="G69" s="173" t="s">
        <v>499</v>
      </c>
      <c r="H69" s="174" t="str">
        <f>$AI$14</f>
        <v>ITDPH</v>
      </c>
      <c r="I69" s="173" t="str">
        <f t="shared" si="21"/>
        <v>INDTWH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INDTWH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INDTWH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INDTDPHELCN8</v>
      </c>
      <c r="E72" s="261" t="str">
        <f>"Industrial heating technology "&amp;$AJ$12&amp;" "&amp;RIGHT(H72,2)&amp;" - Electric boiler (Steam) - new 8"</f>
        <v>Industrial heating technology Transport PH - Electric boiler (Steam) - new 8</v>
      </c>
      <c r="F72" s="224" t="s">
        <v>1149</v>
      </c>
      <c r="G72" s="173" t="s">
        <v>499</v>
      </c>
      <c r="H72" s="174" t="str">
        <f>$AI$13</f>
        <v>ITDPH</v>
      </c>
      <c r="I72" s="174" t="str">
        <f t="shared" si="21"/>
        <v>INDTWH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INDTWH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INDTWH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INDTDPHELCN8</v>
      </c>
      <c r="E75" s="261" t="str">
        <f>"Industrial heating technology "&amp;$AJ$12&amp;" "&amp;RIGHT(H75,2)&amp;" - Electric boiler (Steam) - new 8"</f>
        <v>Industrial heating technology Transport PH - Electric boiler (Steam) - new 8</v>
      </c>
      <c r="F75" s="224" t="s">
        <v>1149</v>
      </c>
      <c r="G75" s="173" t="s">
        <v>499</v>
      </c>
      <c r="H75" s="174" t="str">
        <f>$AI$14</f>
        <v>ITDPH</v>
      </c>
      <c r="I75" s="174" t="str">
        <f t="shared" si="21"/>
        <v>INDTWH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INDTWH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INDTWH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INDTDSHELCN8</v>
      </c>
      <c r="E78" s="261" t="str">
        <f>"Industrial heating technology "&amp;$AJ$12&amp;" "&amp;RIGHT(H78,2)&amp;" - Electric boiler (Steam) - new 8"</f>
        <v>Industrial heating technology Transport SH - Electric boiler (Steam) - new 8</v>
      </c>
      <c r="F78" s="224" t="s">
        <v>1149</v>
      </c>
      <c r="G78" s="173" t="s">
        <v>499</v>
      </c>
      <c r="H78" s="174" t="str">
        <f>$AI$15</f>
        <v>ITDSH</v>
      </c>
      <c r="I78" s="174" t="str">
        <f t="shared" si="21"/>
        <v>INDTWH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INDTWH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INDTWH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INDTDPHELCN9</v>
      </c>
      <c r="E81" s="707" t="str">
        <f>"Industrial heating technology "&amp;$AJ$12&amp;" "&amp;RIGHT(H81,2)&amp;" - Electric boiler (Hot Water) - new 9"</f>
        <v>Industrial heating technology Transport PH - Electric boiler (Hot Water) - new 9</v>
      </c>
      <c r="F81" s="224" t="s">
        <v>1149</v>
      </c>
      <c r="G81" s="708" t="s">
        <v>499</v>
      </c>
      <c r="H81" s="708" t="str">
        <f>$AI$14</f>
        <v>ITDPH</v>
      </c>
      <c r="I81" s="708" t="str">
        <f t="shared" si="21"/>
        <v>INDTWH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INDTWH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INDTWH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INDTDSHELCN9</v>
      </c>
      <c r="E84" s="261" t="str">
        <f>"Industrial heating technology "&amp;$AJ$12&amp;" "&amp;RIGHT(H84,2)&amp;" - Electric boiler (Hot Water) - new 9"</f>
        <v>Industrial heating technology Transport SH - Electric boiler (Hot Water) - new 9</v>
      </c>
      <c r="F84" s="224" t="s">
        <v>1149</v>
      </c>
      <c r="G84" s="174" t="s">
        <v>499</v>
      </c>
      <c r="H84" s="174" t="str">
        <f>$AI$15</f>
        <v>ITDSH</v>
      </c>
      <c r="I84" s="174" t="str">
        <f t="shared" si="21"/>
        <v>INDTWH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INDTWH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INDTWH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INDTDPHWCHN1</v>
      </c>
      <c r="E87" s="261" t="str">
        <f>"Industrial heating technology "&amp;$AJ$12&amp;" "&amp;RIGHT(H87,2)&amp;" - Wood chip boiler (Steam) - new 1"</f>
        <v>Industrial heating technology Transport PH - Wood chip boiler (Steam) - new 1</v>
      </c>
      <c r="F87" s="224" t="s">
        <v>1149</v>
      </c>
      <c r="G87" s="173" t="s">
        <v>498</v>
      </c>
      <c r="H87" s="174" t="str">
        <f>$AI$13</f>
        <v>ITDPH</v>
      </c>
      <c r="I87" s="174" t="str">
        <f t="shared" si="21"/>
        <v>INDTWH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INDTWH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INDTWH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INDTDPHWCHN1</v>
      </c>
      <c r="E90" s="261" t="str">
        <f>"Industrial heating technology "&amp;$AJ$12&amp;" "&amp;RIGHT(H90,2)&amp;" - Wood chip boiler (Steam) - new 1"</f>
        <v>Industrial heating technology Transport PH - Wood chip boiler (Steam) - new 1</v>
      </c>
      <c r="F90" s="224" t="s">
        <v>1149</v>
      </c>
      <c r="G90" s="173" t="s">
        <v>498</v>
      </c>
      <c r="H90" s="174" t="str">
        <f>$AI$14</f>
        <v>ITDPH</v>
      </c>
      <c r="I90" s="174" t="str">
        <f t="shared" si="21"/>
        <v>INDTWH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INDTWH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INDTWH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INDTDSHWCHN1</v>
      </c>
      <c r="E93" s="261" t="str">
        <f>"Industrial heating technology "&amp;$AJ$12&amp;" "&amp;RIGHT(H93,2)&amp;" - Wood chip boiler (Steam) - new 1"</f>
        <v>Industrial heating technology Transport SH - Wood chip boiler (Steam) - new 1</v>
      </c>
      <c r="F93" s="224" t="s">
        <v>1149</v>
      </c>
      <c r="G93" s="173" t="s">
        <v>498</v>
      </c>
      <c r="H93" s="174" t="str">
        <f>$AI$15</f>
        <v>ITDSH</v>
      </c>
      <c r="I93" s="174" t="str">
        <f t="shared" si="21"/>
        <v>INDTWH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INDTWH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INDTWH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INDTDPHWCHN2</v>
      </c>
      <c r="E96" s="707" t="str">
        <f>"Industrial heating technology "&amp;$AJ$12&amp;" "&amp;RIGHT(H96,2)&amp;" - Wood chip boiler (Steam - condensing) - new 2"</f>
        <v>Industrial heating technology Transport PH - Wood chip boiler (Steam - condensing) - new 2</v>
      </c>
      <c r="F96" s="224" t="s">
        <v>1149</v>
      </c>
      <c r="G96" s="708" t="s">
        <v>498</v>
      </c>
      <c r="H96" s="708" t="str">
        <f>$AI$14</f>
        <v>ITDPH</v>
      </c>
      <c r="I96" s="708" t="str">
        <f t="shared" si="21"/>
        <v>INDTWH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INDTWH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INDTWH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INDTDSHWCHN2</v>
      </c>
      <c r="E99" s="261" t="str">
        <f>"Industrial heating technology "&amp;$AJ$12&amp;" "&amp;RIGHT(H99,2)&amp;" - Wood chip boiler (Steam - condensing) - new 2"</f>
        <v>Industrial heating technology Transport SH - Wood chip boiler (Steam - condensing) - new 2</v>
      </c>
      <c r="F99" s="224" t="s">
        <v>1149</v>
      </c>
      <c r="G99" s="174" t="s">
        <v>498</v>
      </c>
      <c r="H99" s="174" t="str">
        <f>$AI$15</f>
        <v>ITDSH</v>
      </c>
      <c r="I99" s="174" t="str">
        <f t="shared" si="21"/>
        <v>INDTWH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INDTWH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INDTWH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INDTDPHWCHN3</v>
      </c>
      <c r="E102" s="707" t="str">
        <f>"Industrial heating technology "&amp;$AJ$12&amp;" "&amp;RIGHT(H102,2)&amp;" - Wood chip boiler (Hot Water) - new 3"</f>
        <v>Industrial heating technology Transport PH - Wood chip boiler (Hot Water) - new 3</v>
      </c>
      <c r="F102" s="224" t="s">
        <v>1149</v>
      </c>
      <c r="G102" s="708" t="s">
        <v>498</v>
      </c>
      <c r="H102" s="708" t="str">
        <f>$AI$14</f>
        <v>ITDPH</v>
      </c>
      <c r="I102" s="708" t="str">
        <f t="shared" si="21"/>
        <v>INDTWH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INDTWH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INDTWH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INDTDSHWCHN3</v>
      </c>
      <c r="E105" s="261" t="str">
        <f>"Industrial heating technology "&amp;$AJ$12&amp;" "&amp;RIGHT(H105,2)&amp;" - Wood chip boiler (Hot Water) - new 3"</f>
        <v>Industrial heating technology Transport SH - Wood chip boiler (Hot Water) - new 3</v>
      </c>
      <c r="F105" s="224" t="s">
        <v>1149</v>
      </c>
      <c r="G105" s="174" t="s">
        <v>498</v>
      </c>
      <c r="H105" s="174" t="str">
        <f>$AI$15</f>
        <v>ITDSH</v>
      </c>
      <c r="I105" s="174" t="str">
        <f t="shared" si="21"/>
        <v>INDTWH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INDTWH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INDTWH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INDTDPHWCHN4</v>
      </c>
      <c r="E108" s="707" t="str">
        <f>"Industrial heating technology "&amp;$AJ$12&amp;" "&amp;RIGHT(H108,2)&amp;" - Wood chip boiler (Hot Water - condensing) - new 4"</f>
        <v>Industrial heating technology Transport PH - Wood chip boiler (Hot Water - condensing) - new 4</v>
      </c>
      <c r="F108" s="224" t="s">
        <v>1149</v>
      </c>
      <c r="G108" s="708" t="s">
        <v>498</v>
      </c>
      <c r="H108" s="708" t="str">
        <f>$AI$14</f>
        <v>ITDPH</v>
      </c>
      <c r="I108" s="708" t="str">
        <f t="shared" si="21"/>
        <v>INDTWH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INDTWH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INDTWH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INDTDSHWCHN4</v>
      </c>
      <c r="E111" s="261" t="str">
        <f>"Industrial heating technology "&amp;$AJ$12&amp;" "&amp;RIGHT(H111,2)&amp;" - Wood chip boiler (Hot Water- condensing) - new 4"</f>
        <v>Industrial heating technology Transport SH - Wood chip boiler (Hot Water- condensing) - new 4</v>
      </c>
      <c r="F111" s="224" t="s">
        <v>1149</v>
      </c>
      <c r="G111" s="174" t="s">
        <v>498</v>
      </c>
      <c r="H111" s="174" t="str">
        <f>$AI$15</f>
        <v>ITDSH</v>
      </c>
      <c r="I111" s="174" t="str">
        <f t="shared" si="21"/>
        <v>INDTWH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INDTWH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INDTWH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INDTDPHELCN10</v>
      </c>
      <c r="E114" s="261" t="str">
        <f>"Industrial heating technology "&amp;$AJ$12&amp;" "&amp;RIGHT(H114,2)&amp;" - Direct electric heating - new 10"</f>
        <v>Industrial heating technology Transport PH - Direct electric heating - new 10</v>
      </c>
      <c r="F114" s="224" t="s">
        <v>1149</v>
      </c>
      <c r="G114" s="173" t="s">
        <v>499</v>
      </c>
      <c r="H114" s="174" t="str">
        <f>$AI$13</f>
        <v>ITDPH</v>
      </c>
      <c r="I114" s="174" t="str">
        <f t="shared" si="21"/>
        <v>INDTWH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0.05</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INDTWH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INDTWH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INDTDPHELCN10</v>
      </c>
      <c r="E117" s="261" t="str">
        <f>"Industrial heating technology "&amp;$AJ$12&amp;" "&amp;RIGHT(H117,2)&amp;" - Direct electric heating - new 10"</f>
        <v>Industrial heating technology Transport PH - Direct electric heating - new 10</v>
      </c>
      <c r="F117" s="224" t="s">
        <v>1149</v>
      </c>
      <c r="G117" s="173" t="s">
        <v>499</v>
      </c>
      <c r="H117" s="174" t="str">
        <f>$AI$14</f>
        <v>ITDPH</v>
      </c>
      <c r="I117" s="174" t="str">
        <f t="shared" si="21"/>
        <v>INDTWH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0.05</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INDTWH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INDTWH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INDTDPHDSLN1</v>
      </c>
      <c r="E120" s="261" t="str">
        <f>"Industrial heating technology "&amp;$AJ$12&amp;" "&amp;RIGHT(H120,2)&amp;" - Oil boiler (Steam) - new 1"</f>
        <v>Industrial heating technology Transport PH - Oil boiler (Steam) - new 1</v>
      </c>
      <c r="F120" s="224" t="s">
        <v>1149</v>
      </c>
      <c r="G120" s="173" t="s">
        <v>2081</v>
      </c>
      <c r="H120" s="174" t="str">
        <f>$AI$13</f>
        <v>ITDPH</v>
      </c>
      <c r="I120" s="174" t="str">
        <f t="shared" si="21"/>
        <v>INDTWH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INDTWH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INDTWH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INDTDPHDSLN1</v>
      </c>
      <c r="E123" s="261" t="str">
        <f>"Industrial heating technology "&amp;$AJ$12&amp;" "&amp;RIGHT(H123,2)&amp;" - Oil boiler (Steam) - new 1"</f>
        <v>Industrial heating technology Transport PH - Oil boiler (Steam) - new 1</v>
      </c>
      <c r="F123" s="224" t="s">
        <v>1149</v>
      </c>
      <c r="G123" s="173" t="s">
        <v>2081</v>
      </c>
      <c r="H123" s="174" t="str">
        <f>$AI$14</f>
        <v>ITDPH</v>
      </c>
      <c r="I123" s="174" t="str">
        <f t="shared" si="21"/>
        <v>INDTWH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INDTWH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INDTWH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INDTDSHDSLN1</v>
      </c>
      <c r="E126" s="261" t="str">
        <f>"Industrial heating technology "&amp;$AJ$12&amp;" "&amp;RIGHT(H126,2)&amp;" - Oil boiler (Steam) - new 1"</f>
        <v>Industrial heating technology Transport SH - Oil boiler (Steam) - new 1</v>
      </c>
      <c r="F126" s="224" t="s">
        <v>1149</v>
      </c>
      <c r="G126" s="173" t="s">
        <v>2081</v>
      </c>
      <c r="H126" s="174" t="str">
        <f>$AI$15</f>
        <v>ITDSH</v>
      </c>
      <c r="I126" s="174" t="str">
        <f t="shared" si="21"/>
        <v>INDTWH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INDTWH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INDTWH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INDTDPHDSLN2</v>
      </c>
      <c r="E129" s="707" t="str">
        <f>"Industrial heating technology "&amp;$AJ$12&amp;" "&amp;RIGHT(H129,2)&amp;" - Oil boiler (Steam - condensing) - new 2"</f>
        <v>Industrial heating technology Transport PH - Oil boiler (Steam - condensing) - new 2</v>
      </c>
      <c r="F129" s="224" t="s">
        <v>1149</v>
      </c>
      <c r="G129" s="173" t="s">
        <v>2081</v>
      </c>
      <c r="H129" s="708" t="str">
        <f>$AI$14</f>
        <v>ITDPH</v>
      </c>
      <c r="I129" s="708" t="str">
        <f t="shared" si="142"/>
        <v>INDTWH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INDTWH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INDTWH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INDTDSHDSLN2</v>
      </c>
      <c r="E132" s="261" t="str">
        <f>"Industrial heating technology "&amp;$AJ$12&amp;" "&amp;RIGHT(H132,2)&amp;" - Oil boiler (Steam - condensing) - new 2"</f>
        <v>Industrial heating technology Transport SH - Oil boiler (Steam - condensing) - new 2</v>
      </c>
      <c r="F132" s="224" t="s">
        <v>1149</v>
      </c>
      <c r="G132" s="173" t="s">
        <v>2081</v>
      </c>
      <c r="H132" s="174" t="str">
        <f>$AI$15</f>
        <v>ITDSH</v>
      </c>
      <c r="I132" s="174" t="str">
        <f t="shared" si="142"/>
        <v>INDTWH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INDTWH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INDTWH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INDTDPHGASN1</v>
      </c>
      <c r="E135" s="261" t="str">
        <f>"Industrial heating technology "&amp;$AJ$12&amp;" "&amp;RIGHT(H135,2)&amp;" - Gas boiler (Steam) - new 1"</f>
        <v>Industrial heating technology Transport PH - Gas boiler (Steam) - new 1</v>
      </c>
      <c r="F135" s="224" t="s">
        <v>1149</v>
      </c>
      <c r="G135" s="173" t="s">
        <v>2080</v>
      </c>
      <c r="H135" s="174" t="str">
        <f>$AI$13</f>
        <v>ITDPH</v>
      </c>
      <c r="I135" s="174" t="str">
        <f t="shared" si="142"/>
        <v>INDTWH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INDTWH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INDTWH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INDTDPHGASN1</v>
      </c>
      <c r="E138" s="261" t="str">
        <f>"Industrial heating technology "&amp;$AJ$12&amp;" "&amp;RIGHT(H138,2)&amp;" - Gas boiler (Steam) - new 1"</f>
        <v>Industrial heating technology Transport PH - Gas boiler (Steam) - new 1</v>
      </c>
      <c r="F138" s="224" t="s">
        <v>1149</v>
      </c>
      <c r="G138" s="173" t="s">
        <v>2080</v>
      </c>
      <c r="H138" s="174" t="str">
        <f>$AI$14</f>
        <v>ITDPH</v>
      </c>
      <c r="I138" s="174" t="str">
        <f t="shared" si="142"/>
        <v>INDTWH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INDTWH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INDTWH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INDTDSHGASN1</v>
      </c>
      <c r="E141" s="261" t="str">
        <f>"Industrial heating technology "&amp;$AJ$12&amp;" "&amp;RIGHT(H141,2)&amp;" - Gas boiler (Steam) - new 1"</f>
        <v>Industrial heating technology Transport SH - Gas boiler (Steam) - new 1</v>
      </c>
      <c r="F141" s="224" t="s">
        <v>1149</v>
      </c>
      <c r="G141" s="173" t="s">
        <v>2080</v>
      </c>
      <c r="H141" s="174" t="str">
        <f>$AI$15</f>
        <v>ITDSH</v>
      </c>
      <c r="I141" s="174" t="str">
        <f t="shared" si="142"/>
        <v>INDTWH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INDTWH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INDTWH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INDTDPHGASN2</v>
      </c>
      <c r="E144" s="707" t="str">
        <f>"Industrial heating technology "&amp;$AJ$12&amp;" "&amp;RIGHT(H144,2)&amp;" - Gas boiler (Steam - condensing) - new 2"</f>
        <v>Industrial heating technology Transport PH - Gas boiler (Steam - condensing) - new 2</v>
      </c>
      <c r="F144" s="224" t="s">
        <v>1149</v>
      </c>
      <c r="G144" s="173" t="s">
        <v>2080</v>
      </c>
      <c r="H144" s="708" t="str">
        <f>$AI$14</f>
        <v>ITDPH</v>
      </c>
      <c r="I144" s="708" t="str">
        <f t="shared" si="142"/>
        <v>INDTWH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INDTWH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INDTWH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INDTDSHGASN2</v>
      </c>
      <c r="E147" s="261" t="str">
        <f>"Industrial heating technology "&amp;$AJ$12&amp;" "&amp;RIGHT(H147,2)&amp;" - Gas boiler (Steam - condensing) - new 2"</f>
        <v>Industrial heating technology Transport SH - Gas boiler (Steam - condensing) - new 2</v>
      </c>
      <c r="F147" s="224" t="s">
        <v>1149</v>
      </c>
      <c r="G147" s="173" t="s">
        <v>2080</v>
      </c>
      <c r="H147" s="174" t="str">
        <f>$AI$15</f>
        <v>ITDSH</v>
      </c>
      <c r="I147" s="174" t="str">
        <f t="shared" si="142"/>
        <v>INDTWH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INDTWH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INDTWH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INDTDPHGASN3</v>
      </c>
      <c r="E150" s="707" t="str">
        <f>"Industrial heating technology "&amp;$AJ$12&amp;" "&amp;RIGHT(H150,2)&amp;" - Gas boiler (Hot Water) - new 3"</f>
        <v>Industrial heating technology Transport PH - Gas boiler (Hot Water) - new 3</v>
      </c>
      <c r="F150" s="224" t="s">
        <v>1149</v>
      </c>
      <c r="G150" s="173" t="s">
        <v>2080</v>
      </c>
      <c r="H150" s="708" t="str">
        <f>$AI$14</f>
        <v>ITDPH</v>
      </c>
      <c r="I150" s="708" t="str">
        <f t="shared" si="142"/>
        <v>INDTWH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INDTWH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INDTWH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INDTDSHGASN3</v>
      </c>
      <c r="E153" s="261" t="str">
        <f>"Industrial heating technology "&amp;$AJ$12&amp;" "&amp;RIGHT(H153,2)&amp;" - Gas boiler (Hot Water) - new 3"</f>
        <v>Industrial heating technology Transport SH - Gas boiler (Hot Water) - new 3</v>
      </c>
      <c r="F153" s="224" t="s">
        <v>1149</v>
      </c>
      <c r="G153" s="173" t="s">
        <v>2080</v>
      </c>
      <c r="H153" s="174" t="str">
        <f>$AI$15</f>
        <v>ITDSH</v>
      </c>
      <c r="I153" s="174" t="str">
        <f t="shared" si="142"/>
        <v>INDTWH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INDTWH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INDTWH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INDTDPHGASN4</v>
      </c>
      <c r="E156" s="707" t="str">
        <f>"Industrial heating technology "&amp;$AJ$12&amp;" "&amp;RIGHT(H156,2)&amp;" - Gas boiler (Hot Water - condensing) - new 4"</f>
        <v>Industrial heating technology Transport PH - Gas boiler (Hot Water - condensing) - new 4</v>
      </c>
      <c r="F156" s="224" t="s">
        <v>1149</v>
      </c>
      <c r="G156" s="173" t="s">
        <v>2080</v>
      </c>
      <c r="H156" s="708" t="str">
        <f>$AI$14</f>
        <v>ITDPH</v>
      </c>
      <c r="I156" s="708" t="str">
        <f t="shared" si="142"/>
        <v>INDTWH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INDTWH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INDTWH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INDTDSHGASN4</v>
      </c>
      <c r="E159" s="261" t="str">
        <f>"Industrial heating technology "&amp;$AJ$12&amp;" "&amp;RIGHT(H159,2)&amp;" - Gas boiler (Hot Water- condensing) - new 4"</f>
        <v>Industrial heating technology Transport SH - Gas boiler (Hot Water- condensing) - new 4</v>
      </c>
      <c r="F159" s="224" t="s">
        <v>1149</v>
      </c>
      <c r="G159" s="173" t="s">
        <v>2080</v>
      </c>
      <c r="H159" s="174" t="str">
        <f>$AI$15</f>
        <v>ITDSH</v>
      </c>
      <c r="I159" s="174" t="str">
        <f t="shared" si="142"/>
        <v>INDTWH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INDTWH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INDTWH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INDTDPHGASN5</v>
      </c>
      <c r="E162" s="707" t="str">
        <f>"Industrial heating technology "&amp;$AJ$12&amp;" "&amp;RIGHT(H162,2)&amp;" - Gas boiler (Direct firing) - new 5"</f>
        <v>Industrial heating technology Transport PH - Gas boiler (Direct firing) - new 5</v>
      </c>
      <c r="F162" s="224" t="s">
        <v>1149</v>
      </c>
      <c r="G162" s="173" t="s">
        <v>2080</v>
      </c>
      <c r="H162" s="174" t="str">
        <f>$AI$13</f>
        <v>ITDPH</v>
      </c>
      <c r="I162" s="174" t="str">
        <f t="shared" si="142"/>
        <v>INDTWH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INDTWH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INDTWH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INDTDPHGASN5</v>
      </c>
      <c r="E165" s="261" t="str">
        <f>"Industrial heating technology "&amp;$AJ$12&amp;" "&amp;RIGHT(H165,2)&amp;" - Gas boiler (Direct firing) - new 5"</f>
        <v>Industrial heating technology Transport PH - Gas boiler (Direct firing) - new 5</v>
      </c>
      <c r="F165" s="224" t="s">
        <v>1149</v>
      </c>
      <c r="G165" s="173" t="s">
        <v>2080</v>
      </c>
      <c r="H165" s="174" t="str">
        <f>$AI$14</f>
        <v>ITDPH</v>
      </c>
      <c r="I165" s="721" t="str">
        <f t="shared" si="142"/>
        <v>INDTWH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INDTWH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INDTWH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INDTDPHCOAN1</v>
      </c>
      <c r="E168" s="261" t="str">
        <f>"Industrial heating technology "&amp;$AJ$12&amp;" "&amp;RIGHT(H168,2)&amp;" - Coal boiler (Steam) - new 1"</f>
        <v>Industrial heating technology Transport PH - Coal boiler (Steam) - new 1</v>
      </c>
      <c r="F168" s="224" t="s">
        <v>1149</v>
      </c>
      <c r="G168" s="55" t="s">
        <v>617</v>
      </c>
      <c r="H168" s="174" t="str">
        <f>$AI$13</f>
        <v>ITDPH</v>
      </c>
      <c r="I168" s="174" t="str">
        <f t="shared" si="142"/>
        <v>INDTWH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INDTWH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INDTWH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INDTDPHCOAN1</v>
      </c>
      <c r="E171" s="261" t="str">
        <f>"Industrial heating technology "&amp;$AJ$12&amp;" "&amp;RIGHT(H171,2)&amp;" - Coal boiler (Steam) - new 1"</f>
        <v>Industrial heating technology Transport PH - Coal boiler (Steam) - new 1</v>
      </c>
      <c r="F171" s="224" t="s">
        <v>1149</v>
      </c>
      <c r="G171" s="55" t="s">
        <v>617</v>
      </c>
      <c r="H171" s="174" t="str">
        <f>$AI$14</f>
        <v>ITDPH</v>
      </c>
      <c r="I171" s="174" t="str">
        <f t="shared" si="142"/>
        <v>INDTWH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INDTWH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INDTWH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INDTDSHCOAN1</v>
      </c>
      <c r="E174" s="261" t="str">
        <f>"Industrial heating technology "&amp;$AJ$12&amp;" "&amp;RIGHT(H174,2)&amp;" - Coal boiler (Steam) - new 1"</f>
        <v>Industrial heating technology Transport SH - Coal boiler (Steam) - new 1</v>
      </c>
      <c r="F174" s="224" t="s">
        <v>1149</v>
      </c>
      <c r="G174" s="55" t="s">
        <v>617</v>
      </c>
      <c r="H174" s="174" t="str">
        <f>$AI$15</f>
        <v>ITDSH</v>
      </c>
      <c r="I174" s="174" t="str">
        <f t="shared" si="142"/>
        <v>INDTWH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INDTWH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INDTWH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INDTDPHCOAN2</v>
      </c>
      <c r="E177" s="261" t="str">
        <f>"Industrial heating technology "&amp;$AJ$12&amp;" "&amp;RIGHT(H177,2)&amp;" - Coal boiler (Hot Water) - new 2"</f>
        <v>Industrial heating technology Transport PH - Coal boiler (Hot Water) - new 2</v>
      </c>
      <c r="F177" s="224" t="s">
        <v>1149</v>
      </c>
      <c r="G177" s="55" t="s">
        <v>617</v>
      </c>
      <c r="H177" s="174" t="str">
        <f>$AI$14</f>
        <v>ITDPH</v>
      </c>
      <c r="I177" s="174" t="str">
        <f t="shared" si="142"/>
        <v>INDTWH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INDTWH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INDTWH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INDTDSHCOAN2</v>
      </c>
      <c r="E180" s="261" t="str">
        <f>"Industrial heating technology "&amp;$AJ$12&amp;" "&amp;RIGHT(H180,2)&amp;" - Coal boiler (Hot Water) - new 2"</f>
        <v>Industrial heating technology Transport SH - Coal boiler (Hot Water) - new 2</v>
      </c>
      <c r="F180" s="224" t="s">
        <v>1149</v>
      </c>
      <c r="G180" s="55" t="s">
        <v>617</v>
      </c>
      <c r="H180" s="174" t="str">
        <f>$AI$15</f>
        <v>ITDSH</v>
      </c>
      <c r="I180" s="174" t="str">
        <f t="shared" si="142"/>
        <v>INDTWH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INDTWH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INDTWH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INDTDSHSOLN1</v>
      </c>
      <c r="E183" s="261" t="str">
        <f>"Industrial heating technology "&amp;$AJ$12&amp;" "&amp;RIGHT(H183,2)&amp;" - Solar - new 1"</f>
        <v>Industrial heating technology Transport SH - Solar - new 1</v>
      </c>
      <c r="F183" s="224" t="s">
        <v>1149</v>
      </c>
      <c r="G183" s="55" t="s">
        <v>500</v>
      </c>
      <c r="H183" s="174" t="str">
        <f>$AI$15</f>
        <v>ITDSH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INDTDSHHCEN1</v>
      </c>
      <c r="E187" s="224" t="str">
        <f>"Industrial heating technology "&amp;$AJ$12&amp;" "&amp;RIGHT(H187,2)&amp;" - central district heating - within DH area - new 1"</f>
        <v>Industrial heating technology Transport SH - central district heating - within DH area - new 1</v>
      </c>
      <c r="F187" s="224" t="s">
        <v>1149</v>
      </c>
      <c r="G187" s="225" t="s">
        <v>501</v>
      </c>
      <c r="H187" s="225" t="str">
        <f>AI15</f>
        <v>ITDSH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INDTDPHHCEN1</v>
      </c>
      <c r="E188" s="224" t="str">
        <f>"Industrial heating technology "&amp;$AJ$12&amp;" "&amp;RIGHT(H188,2)&amp;" - central district heating - within DH area - new 1"</f>
        <v>Industrial heating technology Transport PH - central district heating - within DH area - new 1</v>
      </c>
      <c r="F188" s="224" t="s">
        <v>1149</v>
      </c>
      <c r="G188" s="225" t="s">
        <v>501</v>
      </c>
      <c r="H188" s="281" t="str">
        <f>AI14</f>
        <v>ITDPH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INDTDSHHSEN1</v>
      </c>
      <c r="E189" s="224" t="str">
        <f>"Industrial heating technology "&amp;$AJ$12&amp;" "&amp;RIGHT(H189,2)&amp;" - central district heating - within DH area - new 1"</f>
        <v>Industrial heating technology Transport SH - central district heating - within DH area - new 1</v>
      </c>
      <c r="F189" s="224" t="s">
        <v>1149</v>
      </c>
      <c r="G189" s="225" t="s">
        <v>2124</v>
      </c>
      <c r="H189" s="225" t="str">
        <f>H187</f>
        <v>ITDSH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INDTDPHHSEN1</v>
      </c>
      <c r="E190" s="224" t="str">
        <f>"Industrial heating technology "&amp;$AJ$12&amp;" "&amp;RIGHT(H190,2)&amp;" - central district heating - within DH area - new 1"</f>
        <v>Industrial heating technology Transport PH - central district heating - within DH area - new 1</v>
      </c>
      <c r="F190" s="224" t="s">
        <v>1149</v>
      </c>
      <c r="G190" s="225" t="s">
        <v>2124</v>
      </c>
      <c r="H190" s="225" t="str">
        <f>H188</f>
        <v>ITDPH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INDTDSHHDEN1</v>
      </c>
      <c r="E191" s="224" t="str">
        <f>"Industrial heating technology "&amp;$AJ$12&amp;" "&amp;RIGHT(H191,2)&amp;" - decentral district heating - within DH area - new 1"</f>
        <v>Industrial heating technology Transport SH - decentral district heating - within DH area - new 1</v>
      </c>
      <c r="F191" s="224" t="s">
        <v>1149</v>
      </c>
      <c r="G191" s="259" t="s">
        <v>502</v>
      </c>
      <c r="H191" s="265" t="str">
        <f>AI15</f>
        <v>ITDSH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INDTDPHHDEN1</v>
      </c>
      <c r="E192" s="224" t="str">
        <f>"Industrial heating technology "&amp;$AJ$12&amp;" "&amp;RIGHT(H192,2)&amp;" - decentral district heating - within DH area - new 1"</f>
        <v>Industrial heating technology Transport PH - decentral district heating - within DH area - new 1</v>
      </c>
      <c r="F192" s="224" t="s">
        <v>1149</v>
      </c>
      <c r="G192" s="259" t="s">
        <v>502</v>
      </c>
      <c r="H192" s="225" t="str">
        <f>AI14</f>
        <v>ITDPH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INDTDLAELCN1</v>
      </c>
      <c r="E194" s="224" t="str">
        <f>"Industry "&amp;$AJ$12&amp;" "&amp;RIGHT(H194,2)&amp;" Electricity Light Appliance - New 1"</f>
        <v>Industry Transport LA Electricity Light Appliance - New 1</v>
      </c>
      <c r="F194" s="224" t="s">
        <v>1149</v>
      </c>
      <c r="G194" s="225" t="s">
        <v>499</v>
      </c>
      <c r="H194" s="225" t="str">
        <f>AI16</f>
        <v>ITDLA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INDTDEMELCN1</v>
      </c>
      <c r="E198" s="224" t="str">
        <f>"Industry "&amp;$AJ$12&amp;" "&amp;RIGHT(H198,2)&amp;" Electricity Motors - New 1"</f>
        <v>Industry Transport EM Electricity Motors - New 1</v>
      </c>
      <c r="F198" s="224" t="s">
        <v>1149</v>
      </c>
      <c r="G198" s="225" t="s">
        <v>499</v>
      </c>
      <c r="H198" s="225" t="str">
        <f>AI17</f>
        <v>ITDEM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INDTDTFDSLN1</v>
      </c>
      <c r="E202" s="224" t="str">
        <f>"Industry "&amp;$AJ$12&amp;" "&amp;RIGHT(H202,2)&amp;" Tractors, Trucks, Fishing boats - New 1"</f>
        <v>Industry Transport TF Tractors, Trucks, Fishing boats - New 1</v>
      </c>
      <c r="F202" s="224" t="s">
        <v>1149</v>
      </c>
      <c r="G202" s="173" t="s">
        <v>2081</v>
      </c>
      <c r="H202" s="174" t="str">
        <f>$AI$18</f>
        <v>ITDTF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INDTDTFH2GN2</v>
      </c>
      <c r="E206" s="224" t="str">
        <f>"Industry "&amp;$AJ$12&amp;" "&amp;RIGHT(H206,2)&amp;" Tractors, Trucks, Fishing boats - New 2"</f>
        <v>Industry Transport TF Tractors, Trucks, Fishing boats - New 2</v>
      </c>
      <c r="F206" s="224" t="s">
        <v>1149</v>
      </c>
      <c r="G206" s="55" t="s">
        <v>2077</v>
      </c>
      <c r="H206" s="174" t="str">
        <f>$AI$18</f>
        <v>ITDTF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INDTDTFELCN3</v>
      </c>
      <c r="E210" s="224" t="str">
        <f>"Industry "&amp;$AJ$12&amp;" "&amp;RIGHT(H210,2)&amp;" Tractors, Trucks, Fishing boats - New 3"</f>
        <v>Industry Transport TF Tractors, Trucks, Fishing boats - New 3</v>
      </c>
      <c r="F210" s="224" t="s">
        <v>1149</v>
      </c>
      <c r="G210" s="55" t="s">
        <v>499</v>
      </c>
      <c r="H210" s="174" t="str">
        <f>$AI$18</f>
        <v>ITDTF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INDTDFLSYNN1</v>
      </c>
      <c r="E214" s="224" t="str">
        <f>"Industry "&amp;$AJ$12&amp;" "&amp;RIGHT(H202,2)&amp;" Forklifts - New 1"</f>
        <v>Industry Transport TF Forklifts - New 1</v>
      </c>
      <c r="F214" s="224" t="s">
        <v>1149</v>
      </c>
      <c r="G214" s="173" t="s">
        <v>2082</v>
      </c>
      <c r="H214" s="224" t="str">
        <f>AI19</f>
        <v>ITDFL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INDTDCOELCN1</v>
      </c>
      <c r="E218" s="224" t="str">
        <f>"Industry "&amp;$AJ$12&amp;" "&amp;RIGHT(H218,2)&amp;" Cooling - New 1"</f>
        <v>Industry Transport CO Cooling - New 1</v>
      </c>
      <c r="F218" s="224" t="s">
        <v>1149</v>
      </c>
      <c r="G218" s="173" t="s">
        <v>499</v>
      </c>
      <c r="H218" s="224" t="str">
        <f>AI21</f>
        <v>ITDCO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INDTDPHELCN1</v>
      </c>
      <c r="E229" s="212" t="str">
        <f t="shared" ref="E229:E260" si="265">VLOOKUP(D229,$D$9:$E$222,2,FALSE)</f>
        <v>Industrial heating technology Transport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INDTDSHELCN1</v>
      </c>
      <c r="E230" s="212" t="str">
        <f t="shared" ca="1" si="265"/>
        <v>Industrial heating technology Transport SH - Heat pump utilizing waste heat - new 1</v>
      </c>
      <c r="F230" s="262" t="s">
        <v>450</v>
      </c>
      <c r="G230" s="262" t="s">
        <v>449</v>
      </c>
      <c r="H230" s="263" t="s">
        <v>620</v>
      </c>
      <c r="I230" s="301"/>
      <c r="J230" s="264" t="s">
        <v>469</v>
      </c>
    </row>
    <row r="231" spans="1:10">
      <c r="A231" s="169"/>
      <c r="D231" s="212" t="str">
        <f t="shared" ca="1" si="266"/>
        <v>INDTDPHELCN2</v>
      </c>
      <c r="E231" s="212" t="str">
        <f t="shared" ca="1" si="265"/>
        <v>Industrial heating technology Transport PH - Heat driven heat pump utilizing waste heat - new 2</v>
      </c>
      <c r="F231" s="211" t="s">
        <v>450</v>
      </c>
      <c r="G231" s="211" t="s">
        <v>449</v>
      </c>
      <c r="H231" s="263" t="s">
        <v>620</v>
      </c>
      <c r="I231" s="208"/>
      <c r="J231" s="264" t="s">
        <v>469</v>
      </c>
    </row>
    <row r="232" spans="1:10">
      <c r="A232" s="169"/>
      <c r="B232" s="211"/>
      <c r="C232" s="211"/>
      <c r="D232" s="212" t="str">
        <f t="shared" ca="1" si="266"/>
        <v>INDTDSHELCN2</v>
      </c>
      <c r="E232" s="212" t="str">
        <f t="shared" ca="1" si="265"/>
        <v>Industrial heating technology Transport SH - Heat driven heat pump utilizing waste heat - new 2</v>
      </c>
      <c r="F232" s="262" t="s">
        <v>450</v>
      </c>
      <c r="G232" s="262" t="s">
        <v>449</v>
      </c>
      <c r="H232" s="263" t="s">
        <v>620</v>
      </c>
      <c r="I232" s="264"/>
      <c r="J232" s="264" t="s">
        <v>469</v>
      </c>
    </row>
    <row r="233" spans="1:10">
      <c r="A233" s="169"/>
      <c r="B233" s="211"/>
      <c r="C233" s="211"/>
      <c r="D233" s="212" t="str">
        <f t="shared" ca="1" si="266"/>
        <v>INDTDPHELCN3</v>
      </c>
      <c r="E233" s="212" t="str">
        <f t="shared" ca="1" si="265"/>
        <v>Industrial heating technology Transport PH - High Temp abs. Heat pump utilizing waste heat - new 3</v>
      </c>
      <c r="F233" s="262" t="s">
        <v>450</v>
      </c>
      <c r="G233" s="262" t="s">
        <v>449</v>
      </c>
      <c r="H233" s="263" t="s">
        <v>620</v>
      </c>
      <c r="I233" s="264"/>
      <c r="J233" s="264" t="s">
        <v>469</v>
      </c>
    </row>
    <row r="234" spans="1:10">
      <c r="A234" s="169"/>
      <c r="B234" s="211"/>
      <c r="C234" s="211"/>
      <c r="D234" s="212" t="str">
        <f t="shared" ca="1" si="266"/>
        <v>INDTDSHELCN3</v>
      </c>
      <c r="E234" s="212" t="str">
        <f t="shared" ca="1" si="265"/>
        <v>Industrial heating technology Transport SH - High Temp abs. Heat pump utilizing waste heat - new 3</v>
      </c>
      <c r="F234" s="262" t="s">
        <v>450</v>
      </c>
      <c r="G234" s="262" t="s">
        <v>449</v>
      </c>
      <c r="H234" s="263" t="s">
        <v>620</v>
      </c>
      <c r="I234" s="264"/>
      <c r="J234" s="264" t="s">
        <v>469</v>
      </c>
    </row>
    <row r="235" spans="1:10">
      <c r="A235" s="169"/>
      <c r="B235" s="211"/>
      <c r="C235" s="211"/>
      <c r="D235" s="212" t="str">
        <f t="shared" ca="1" si="266"/>
        <v>INDTDPHELCN4</v>
      </c>
      <c r="E235" s="212" t="str">
        <f t="shared" ca="1" si="265"/>
        <v>Industrial heating technology Transport PH - Booster Heat pump utilizing waste heat - new 4</v>
      </c>
      <c r="F235" s="262" t="s">
        <v>450</v>
      </c>
      <c r="G235" s="262" t="s">
        <v>449</v>
      </c>
      <c r="H235" s="263" t="s">
        <v>620</v>
      </c>
      <c r="I235" s="264"/>
      <c r="J235" s="264" t="s">
        <v>469</v>
      </c>
    </row>
    <row r="236" spans="1:10">
      <c r="A236" s="169"/>
      <c r="B236" s="211"/>
      <c r="C236" s="211"/>
      <c r="D236" s="212" t="str">
        <f t="shared" ca="1" si="266"/>
        <v>INDTDSHELCN4</v>
      </c>
      <c r="E236" s="212" t="str">
        <f t="shared" ca="1" si="265"/>
        <v>Industrial heating technology Transport SH - Booster Heat pump utilizing waste heat - new 4</v>
      </c>
      <c r="F236" s="262" t="s">
        <v>450</v>
      </c>
      <c r="G236" s="262" t="s">
        <v>449</v>
      </c>
      <c r="H236" s="263" t="s">
        <v>620</v>
      </c>
      <c r="I236" s="264"/>
      <c r="J236" s="264" t="s">
        <v>469</v>
      </c>
    </row>
    <row r="237" spans="1:10">
      <c r="A237" s="169"/>
      <c r="B237" s="211"/>
      <c r="C237" s="211"/>
      <c r="D237" s="212" t="str">
        <f t="shared" ca="1" si="266"/>
        <v>INDTDPHELCN5</v>
      </c>
      <c r="E237" s="212" t="str">
        <f t="shared" ca="1" si="265"/>
        <v>Industrial heating technology Transport PH - MVR utilizing waste heat - new 5</v>
      </c>
      <c r="F237" s="262" t="s">
        <v>450</v>
      </c>
      <c r="G237" s="262" t="s">
        <v>449</v>
      </c>
      <c r="H237" s="263"/>
      <c r="I237" s="264"/>
      <c r="J237" s="264" t="s">
        <v>469</v>
      </c>
    </row>
    <row r="238" spans="1:10">
      <c r="A238" s="169"/>
      <c r="B238" s="211"/>
      <c r="C238" s="211"/>
      <c r="D238" s="212" t="str">
        <f t="shared" ca="1" si="266"/>
        <v>INDTDPHWSTN1</v>
      </c>
      <c r="E238" s="212" t="str">
        <f t="shared" ca="1" si="265"/>
        <v>Industrial heating technology Transport PH - Hotdisc - new 1</v>
      </c>
      <c r="F238" s="262" t="s">
        <v>450</v>
      </c>
      <c r="G238" s="262" t="s">
        <v>449</v>
      </c>
      <c r="H238" s="263" t="s">
        <v>620</v>
      </c>
      <c r="I238" s="264"/>
      <c r="J238" s="264" t="s">
        <v>469</v>
      </c>
    </row>
    <row r="239" spans="1:10">
      <c r="A239" s="169"/>
      <c r="B239" s="211"/>
      <c r="C239" s="211"/>
      <c r="D239" s="212" t="str">
        <f t="shared" ref="D239:D278" ca="1" si="267">OFFSET($D$9,(ROW(D19)*3),0)</f>
        <v>INDTDPHELCN6</v>
      </c>
      <c r="E239" s="212" t="str">
        <f t="shared" ca="1" si="265"/>
        <v>Industrial heating technology Transport PH - Dielectric heating - new 6</v>
      </c>
      <c r="F239" s="262" t="s">
        <v>450</v>
      </c>
      <c r="G239" s="262" t="s">
        <v>449</v>
      </c>
      <c r="H239" s="263" t="s">
        <v>620</v>
      </c>
      <c r="I239" s="264"/>
      <c r="J239" s="264" t="s">
        <v>469</v>
      </c>
    </row>
    <row r="240" spans="1:10">
      <c r="A240" s="169"/>
      <c r="B240" s="211"/>
      <c r="C240" s="211"/>
      <c r="D240" s="212" t="str">
        <f t="shared" ca="1" si="267"/>
        <v>INDTDPHELCN7</v>
      </c>
      <c r="E240" s="212" t="str">
        <f t="shared" ca="1" si="265"/>
        <v>Industrial heating technology Transport PH - Infrared heating - new 7</v>
      </c>
      <c r="F240" s="262" t="s">
        <v>450</v>
      </c>
      <c r="G240" s="262" t="s">
        <v>449</v>
      </c>
      <c r="H240" s="263" t="s">
        <v>620</v>
      </c>
      <c r="I240" s="264"/>
      <c r="J240" s="264" t="s">
        <v>469</v>
      </c>
    </row>
    <row r="241" spans="1:16">
      <c r="A241" s="169"/>
      <c r="B241" s="211"/>
      <c r="C241" s="211"/>
      <c r="D241" s="212" t="str">
        <f t="shared" ca="1" si="267"/>
        <v>INDTDPHELCN8</v>
      </c>
      <c r="E241" s="212" t="str">
        <f t="shared" ca="1" si="265"/>
        <v>Industrial heating technology Transport PH - Electric boiler (Steam) - new 8</v>
      </c>
      <c r="F241" s="262" t="s">
        <v>450</v>
      </c>
      <c r="G241" s="262" t="s">
        <v>449</v>
      </c>
      <c r="H241" s="263" t="s">
        <v>620</v>
      </c>
      <c r="I241" s="264"/>
      <c r="J241" s="264" t="s">
        <v>469</v>
      </c>
    </row>
    <row r="242" spans="1:16">
      <c r="A242" s="169"/>
      <c r="B242" s="211"/>
      <c r="C242" s="211"/>
      <c r="D242" s="212" t="str">
        <f t="shared" ca="1" si="267"/>
        <v>INDTDPHELCN8</v>
      </c>
      <c r="E242" s="212" t="str">
        <f t="shared" ca="1" si="265"/>
        <v>Industrial heating technology Transport PH - Electric boiler (Steam) - new 8</v>
      </c>
      <c r="F242" s="262" t="s">
        <v>450</v>
      </c>
      <c r="G242" s="262" t="s">
        <v>449</v>
      </c>
      <c r="H242" s="263" t="s">
        <v>620</v>
      </c>
      <c r="I242" s="264"/>
      <c r="J242" s="264" t="s">
        <v>469</v>
      </c>
    </row>
    <row r="243" spans="1:16">
      <c r="A243" s="169"/>
      <c r="B243" s="211"/>
      <c r="C243" s="211"/>
      <c r="D243" s="212" t="str">
        <f t="shared" ca="1" si="267"/>
        <v>INDTDSHELCN8</v>
      </c>
      <c r="E243" s="212" t="str">
        <f t="shared" ca="1" si="265"/>
        <v>Industrial heating technology Transport SH - Electric boiler (Steam) - new 8</v>
      </c>
      <c r="F243" s="262" t="s">
        <v>450</v>
      </c>
      <c r="G243" s="262" t="s">
        <v>449</v>
      </c>
      <c r="H243" s="263" t="s">
        <v>620</v>
      </c>
      <c r="I243" s="264"/>
      <c r="J243" s="264" t="s">
        <v>469</v>
      </c>
      <c r="P243" s="173"/>
    </row>
    <row r="244" spans="1:16">
      <c r="A244" s="169"/>
      <c r="B244" s="211"/>
      <c r="C244" s="211"/>
      <c r="D244" s="212" t="str">
        <f t="shared" ca="1" si="267"/>
        <v>INDTDPHELCN9</v>
      </c>
      <c r="E244" s="212" t="str">
        <f t="shared" ca="1" si="265"/>
        <v>Industrial heating technology Transport PH - Electric boiler (Hot Water) - new 9</v>
      </c>
      <c r="F244" s="262" t="s">
        <v>450</v>
      </c>
      <c r="G244" s="262" t="s">
        <v>449</v>
      </c>
      <c r="H244" s="263" t="s">
        <v>620</v>
      </c>
      <c r="I244" s="264"/>
      <c r="J244" s="264" t="s">
        <v>469</v>
      </c>
      <c r="P244" s="173"/>
    </row>
    <row r="245" spans="1:16">
      <c r="A245" s="169"/>
      <c r="B245" s="211"/>
      <c r="C245" s="211"/>
      <c r="D245" s="212" t="str">
        <f t="shared" ca="1" si="267"/>
        <v>INDTDSHELCN9</v>
      </c>
      <c r="E245" s="212" t="str">
        <f t="shared" ca="1" si="265"/>
        <v>Industrial heating technology Transport SH - Electric boiler (Hot Water) - new 9</v>
      </c>
      <c r="F245" s="262" t="s">
        <v>450</v>
      </c>
      <c r="G245" s="262" t="s">
        <v>449</v>
      </c>
      <c r="H245" s="263" t="s">
        <v>620</v>
      </c>
      <c r="I245" s="264"/>
      <c r="J245" s="264" t="s">
        <v>469</v>
      </c>
      <c r="P245" s="173"/>
    </row>
    <row r="246" spans="1:16">
      <c r="A246" s="169"/>
      <c r="B246" s="211"/>
      <c r="C246" s="211"/>
      <c r="D246" s="212" t="str">
        <f t="shared" ca="1" si="267"/>
        <v>INDTDPHWCHN1</v>
      </c>
      <c r="E246" s="212" t="str">
        <f t="shared" ca="1" si="265"/>
        <v>Industrial heating technology Transport PH - Wood chip boiler (Steam) - new 1</v>
      </c>
      <c r="F246" s="262" t="s">
        <v>450</v>
      </c>
      <c r="G246" s="262" t="s">
        <v>449</v>
      </c>
      <c r="H246" s="263"/>
      <c r="I246" s="264"/>
      <c r="J246" s="264" t="s">
        <v>469</v>
      </c>
      <c r="P246" s="173"/>
    </row>
    <row r="247" spans="1:16">
      <c r="A247" s="169"/>
      <c r="B247" s="211"/>
      <c r="C247" s="211"/>
      <c r="D247" s="212" t="str">
        <f t="shared" ca="1" si="267"/>
        <v>INDTDPHWCHN1</v>
      </c>
      <c r="E247" s="212" t="str">
        <f t="shared" ca="1" si="265"/>
        <v>Industrial heating technology Transport PH - Wood chip boiler (Steam) - new 1</v>
      </c>
      <c r="F247" s="262" t="s">
        <v>450</v>
      </c>
      <c r="G247" s="262" t="s">
        <v>449</v>
      </c>
      <c r="H247" s="263"/>
      <c r="I247" s="264"/>
      <c r="J247" s="264" t="s">
        <v>469</v>
      </c>
      <c r="M247" s="171"/>
      <c r="N247" s="171"/>
      <c r="P247" s="173"/>
    </row>
    <row r="248" spans="1:16">
      <c r="A248" s="169"/>
      <c r="B248" s="211"/>
      <c r="C248" s="211"/>
      <c r="D248" s="212" t="str">
        <f t="shared" ca="1" si="267"/>
        <v>INDTDSHWCHN1</v>
      </c>
      <c r="E248" s="212" t="str">
        <f t="shared" ca="1" si="265"/>
        <v>Industrial heating technology Transport SH - Wood chip boiler (Steam) - new 1</v>
      </c>
      <c r="F248" s="262" t="s">
        <v>450</v>
      </c>
      <c r="G248" s="262" t="s">
        <v>449</v>
      </c>
      <c r="H248" s="263"/>
      <c r="I248" s="264"/>
      <c r="J248" s="264" t="s">
        <v>469</v>
      </c>
      <c r="M248" s="171"/>
      <c r="N248" s="171"/>
      <c r="P248" s="173"/>
    </row>
    <row r="249" spans="1:16">
      <c r="A249" s="169"/>
      <c r="B249" s="211"/>
      <c r="C249" s="211"/>
      <c r="D249" s="212" t="str">
        <f t="shared" ca="1" si="267"/>
        <v>INDTDPHWCHN2</v>
      </c>
      <c r="E249" s="212" t="str">
        <f t="shared" ca="1" si="265"/>
        <v>Industrial heating technology Transport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INDTDSHWCHN2</v>
      </c>
      <c r="E250" s="212" t="str">
        <f t="shared" ca="1" si="265"/>
        <v>Industrial heating technology Transport SH - Wood chip boiler (Steam - condensing) - new 2</v>
      </c>
      <c r="F250" s="262" t="s">
        <v>450</v>
      </c>
      <c r="G250" s="262" t="s">
        <v>449</v>
      </c>
      <c r="H250" s="263"/>
      <c r="I250" s="264"/>
      <c r="J250" s="264" t="s">
        <v>469</v>
      </c>
    </row>
    <row r="251" spans="1:16">
      <c r="A251" s="169"/>
      <c r="B251" s="212"/>
      <c r="C251" s="212"/>
      <c r="D251" s="212" t="str">
        <f t="shared" ca="1" si="267"/>
        <v>INDTDPHWCHN3</v>
      </c>
      <c r="E251" s="212" t="str">
        <f t="shared" ca="1" si="265"/>
        <v>Industrial heating technology Transport PH - Wood chip boiler (Hot Water) - new 3</v>
      </c>
      <c r="F251" s="262" t="s">
        <v>450</v>
      </c>
      <c r="G251" s="262" t="s">
        <v>449</v>
      </c>
      <c r="H251" s="261"/>
      <c r="I251" s="261"/>
      <c r="J251" s="264" t="s">
        <v>469</v>
      </c>
    </row>
    <row r="252" spans="1:16">
      <c r="A252" s="169"/>
      <c r="B252" s="212"/>
      <c r="C252" s="212"/>
      <c r="D252" s="212" t="str">
        <f t="shared" ca="1" si="267"/>
        <v>INDTDSHWCHN3</v>
      </c>
      <c r="E252" s="212" t="str">
        <f t="shared" ca="1" si="265"/>
        <v>Industrial heating technology Transport SH - Wood chip boiler (Hot Water) - new 3</v>
      </c>
      <c r="F252" s="262" t="s">
        <v>450</v>
      </c>
      <c r="G252" s="262" t="s">
        <v>449</v>
      </c>
      <c r="H252" s="261"/>
      <c r="I252" s="261"/>
      <c r="J252" s="264" t="s">
        <v>469</v>
      </c>
    </row>
    <row r="253" spans="1:16">
      <c r="A253" s="169"/>
      <c r="B253" s="212"/>
      <c r="C253" s="212"/>
      <c r="D253" s="212" t="str">
        <f t="shared" ca="1" si="267"/>
        <v>INDTDPHWCHN4</v>
      </c>
      <c r="E253" s="212" t="str">
        <f t="shared" ca="1" si="265"/>
        <v>Industrial heating technology Transport PH - Wood chip boiler (Hot Water - condensing) - new 4</v>
      </c>
      <c r="F253" s="262" t="s">
        <v>450</v>
      </c>
      <c r="G253" s="262" t="s">
        <v>449</v>
      </c>
      <c r="H253" s="261"/>
      <c r="I253" s="261"/>
      <c r="J253" s="264" t="s">
        <v>469</v>
      </c>
    </row>
    <row r="254" spans="1:16">
      <c r="A254" s="169"/>
      <c r="B254" s="212"/>
      <c r="C254" s="212"/>
      <c r="D254" s="212" t="str">
        <f t="shared" ca="1" si="267"/>
        <v>INDTDSHWCHN4</v>
      </c>
      <c r="E254" s="212" t="str">
        <f t="shared" ca="1" si="265"/>
        <v>Industrial heating technology Transport SH - Wood chip boiler (Hot Water- condensing) - new 4</v>
      </c>
      <c r="F254" s="262" t="s">
        <v>450</v>
      </c>
      <c r="G254" s="262" t="s">
        <v>449</v>
      </c>
      <c r="H254" s="261"/>
      <c r="I254" s="261"/>
      <c r="J254" s="264" t="s">
        <v>469</v>
      </c>
    </row>
    <row r="255" spans="1:16">
      <c r="B255" s="212"/>
      <c r="C255" s="212"/>
      <c r="D255" s="212" t="str">
        <f t="shared" ca="1" si="267"/>
        <v>INDTDPHELCN10</v>
      </c>
      <c r="E255" s="212" t="str">
        <f t="shared" ca="1" si="265"/>
        <v>Industrial heating technology Transport PH - Direct electric heating - new 10</v>
      </c>
      <c r="F255" s="262" t="s">
        <v>450</v>
      </c>
      <c r="G255" s="262" t="s">
        <v>449</v>
      </c>
      <c r="H255" s="261"/>
      <c r="I255" s="261"/>
      <c r="J255" s="264" t="s">
        <v>469</v>
      </c>
    </row>
    <row r="256" spans="1:16">
      <c r="B256" s="212"/>
      <c r="C256" s="212"/>
      <c r="D256" s="212" t="str">
        <f t="shared" ca="1" si="267"/>
        <v>INDTDPHELCN10</v>
      </c>
      <c r="E256" s="212" t="str">
        <f t="shared" ca="1" si="265"/>
        <v>Industrial heating technology Transport PH - Direct electric heating - new 10</v>
      </c>
      <c r="F256" s="262" t="s">
        <v>450</v>
      </c>
      <c r="G256" s="262" t="s">
        <v>449</v>
      </c>
      <c r="H256" s="261"/>
      <c r="I256" s="261"/>
      <c r="J256" s="264" t="s">
        <v>469</v>
      </c>
    </row>
    <row r="257" spans="1:10">
      <c r="B257" s="212"/>
      <c r="C257" s="212"/>
      <c r="D257" s="212" t="str">
        <f t="shared" ca="1" si="267"/>
        <v>INDTDPHDSLN1</v>
      </c>
      <c r="E257" s="212" t="str">
        <f t="shared" ca="1" si="265"/>
        <v>Industrial heating technology Transport PH - Oil boiler (Steam) - new 1</v>
      </c>
      <c r="F257" s="262" t="s">
        <v>450</v>
      </c>
      <c r="G257" s="262" t="s">
        <v>449</v>
      </c>
      <c r="H257" s="261"/>
      <c r="I257" s="261"/>
      <c r="J257" s="264" t="s">
        <v>469</v>
      </c>
    </row>
    <row r="258" spans="1:10">
      <c r="B258" s="212"/>
      <c r="C258" s="212"/>
      <c r="D258" s="212" t="str">
        <f t="shared" ca="1" si="267"/>
        <v>INDTDPHDSLN1</v>
      </c>
      <c r="E258" s="212" t="str">
        <f t="shared" ca="1" si="265"/>
        <v>Industrial heating technology Transport PH - Oil boiler (Steam) - new 1</v>
      </c>
      <c r="F258" s="262" t="s">
        <v>450</v>
      </c>
      <c r="G258" s="262" t="s">
        <v>449</v>
      </c>
      <c r="H258" s="261"/>
      <c r="I258" s="261"/>
      <c r="J258" s="264" t="s">
        <v>469</v>
      </c>
    </row>
    <row r="259" spans="1:10">
      <c r="B259" s="212"/>
      <c r="C259" s="212"/>
      <c r="D259" s="212" t="str">
        <f t="shared" ca="1" si="267"/>
        <v>INDTDSHDSLN1</v>
      </c>
      <c r="E259" s="212" t="str">
        <f t="shared" ca="1" si="265"/>
        <v>Industrial heating technology Transport SH - Oil boiler (Steam) - new 1</v>
      </c>
      <c r="F259" s="262" t="s">
        <v>450</v>
      </c>
      <c r="G259" s="262" t="s">
        <v>449</v>
      </c>
      <c r="H259" s="261"/>
      <c r="I259" s="261"/>
      <c r="J259" s="264" t="s">
        <v>469</v>
      </c>
    </row>
    <row r="260" spans="1:10">
      <c r="A260" s="214"/>
      <c r="B260" s="212"/>
      <c r="C260" s="212"/>
      <c r="D260" s="212" t="str">
        <f t="shared" ca="1" si="267"/>
        <v>INDTDPHDSLN2</v>
      </c>
      <c r="E260" s="212" t="str">
        <f t="shared" ca="1" si="265"/>
        <v>Industrial heating technology Transport PH - Oil boiler (Steam - condensing) - new 2</v>
      </c>
      <c r="F260" s="262" t="s">
        <v>450</v>
      </c>
      <c r="G260" s="262" t="s">
        <v>449</v>
      </c>
      <c r="H260" s="261"/>
      <c r="I260" s="261"/>
      <c r="J260" s="264" t="s">
        <v>469</v>
      </c>
    </row>
    <row r="261" spans="1:10">
      <c r="A261" s="214"/>
      <c r="B261" s="212"/>
      <c r="C261" s="212"/>
      <c r="D261" s="212" t="str">
        <f t="shared" ca="1" si="267"/>
        <v>INDTDSHDSLN2</v>
      </c>
      <c r="E261" s="212" t="str">
        <f t="shared" ref="E261:E290" ca="1" si="268">VLOOKUP(D261,$D$9:$E$222,2,FALSE)</f>
        <v>Industrial heating technology Transport SH - Oil boiler (Steam - condensing) - new 2</v>
      </c>
      <c r="F261" s="262" t="s">
        <v>450</v>
      </c>
      <c r="G261" s="262" t="s">
        <v>449</v>
      </c>
      <c r="H261" s="261"/>
      <c r="I261" s="261"/>
      <c r="J261" s="264" t="s">
        <v>469</v>
      </c>
    </row>
    <row r="262" spans="1:10">
      <c r="A262" s="214"/>
      <c r="B262" s="212"/>
      <c r="C262" s="212"/>
      <c r="D262" s="212" t="str">
        <f t="shared" ca="1" si="267"/>
        <v>INDTDPHGASN1</v>
      </c>
      <c r="E262" s="212" t="str">
        <f t="shared" ca="1" si="268"/>
        <v>Industrial heating technology Transport PH - Gas boiler (Steam) - new 1</v>
      </c>
      <c r="F262" s="262" t="s">
        <v>450</v>
      </c>
      <c r="G262" s="262" t="s">
        <v>449</v>
      </c>
      <c r="H262" s="261"/>
      <c r="I262" s="261"/>
      <c r="J262" s="264" t="s">
        <v>469</v>
      </c>
    </row>
    <row r="263" spans="1:10">
      <c r="A263" s="214"/>
      <c r="B263" s="212"/>
      <c r="C263" s="212"/>
      <c r="D263" s="212" t="str">
        <f t="shared" ca="1" si="267"/>
        <v>INDTDPHGASN1</v>
      </c>
      <c r="E263" s="212" t="str">
        <f t="shared" ca="1" si="268"/>
        <v>Industrial heating technology Transport PH - Gas boiler (Steam) - new 1</v>
      </c>
      <c r="F263" s="262" t="s">
        <v>450</v>
      </c>
      <c r="G263" s="262" t="s">
        <v>449</v>
      </c>
      <c r="H263" s="261"/>
      <c r="I263" s="261"/>
      <c r="J263" s="264" t="s">
        <v>469</v>
      </c>
    </row>
    <row r="264" spans="1:10">
      <c r="B264" s="212"/>
      <c r="C264" s="212"/>
      <c r="D264" s="212" t="str">
        <f t="shared" ca="1" si="267"/>
        <v>INDTDSHGASN1</v>
      </c>
      <c r="E264" s="212" t="str">
        <f t="shared" ca="1" si="268"/>
        <v>Industrial heating technology Transport SH - Gas boiler (Steam) - new 1</v>
      </c>
      <c r="F264" s="262" t="s">
        <v>450</v>
      </c>
      <c r="G264" s="262" t="s">
        <v>449</v>
      </c>
      <c r="H264" s="261"/>
      <c r="I264" s="261"/>
      <c r="J264" s="264" t="s">
        <v>469</v>
      </c>
    </row>
    <row r="265" spans="1:10">
      <c r="B265" s="212"/>
      <c r="C265" s="212"/>
      <c r="D265" s="212" t="str">
        <f t="shared" ca="1" si="267"/>
        <v>INDTDPHGASN2</v>
      </c>
      <c r="E265" s="212" t="str">
        <f t="shared" ca="1" si="268"/>
        <v>Industrial heating technology Transport PH - Gas boiler (Steam - condensing) - new 2</v>
      </c>
      <c r="F265" s="262" t="s">
        <v>450</v>
      </c>
      <c r="G265" s="262" t="s">
        <v>449</v>
      </c>
      <c r="H265" s="261"/>
      <c r="I265" s="261"/>
      <c r="J265" s="264" t="s">
        <v>469</v>
      </c>
    </row>
    <row r="266" spans="1:10">
      <c r="B266" s="212"/>
      <c r="C266" s="212"/>
      <c r="D266" s="212" t="str">
        <f t="shared" ca="1" si="267"/>
        <v>INDTDSHGASN2</v>
      </c>
      <c r="E266" s="212" t="str">
        <f t="shared" ca="1" si="268"/>
        <v>Industrial heating technology Transport SH - Gas boiler (Steam - condensing) - new 2</v>
      </c>
      <c r="F266" s="262" t="s">
        <v>450</v>
      </c>
      <c r="G266" s="262" t="s">
        <v>449</v>
      </c>
      <c r="H266" s="261"/>
      <c r="I266" s="261"/>
      <c r="J266" s="264" t="s">
        <v>469</v>
      </c>
    </row>
    <row r="267" spans="1:10">
      <c r="B267" s="212"/>
      <c r="C267" s="212"/>
      <c r="D267" s="212" t="str">
        <f t="shared" ca="1" si="267"/>
        <v>INDTDPHGASN3</v>
      </c>
      <c r="E267" s="212" t="str">
        <f t="shared" ca="1" si="268"/>
        <v>Industrial heating technology Transport PH - Gas boiler (Hot Water) - new 3</v>
      </c>
      <c r="F267" s="262" t="s">
        <v>450</v>
      </c>
      <c r="G267" s="262" t="s">
        <v>449</v>
      </c>
      <c r="H267" s="261"/>
      <c r="I267" s="261"/>
      <c r="J267" s="264" t="s">
        <v>469</v>
      </c>
    </row>
    <row r="268" spans="1:10">
      <c r="B268" s="212"/>
      <c r="C268" s="212"/>
      <c r="D268" s="212" t="str">
        <f t="shared" ca="1" si="267"/>
        <v>INDTDSHGASN3</v>
      </c>
      <c r="E268" s="212" t="str">
        <f t="shared" ca="1" si="268"/>
        <v>Industrial heating technology Transport SH - Gas boiler (Hot Water) - new 3</v>
      </c>
      <c r="F268" s="262" t="s">
        <v>450</v>
      </c>
      <c r="G268" s="262" t="s">
        <v>449</v>
      </c>
      <c r="H268" s="261"/>
      <c r="I268" s="261"/>
      <c r="J268" s="264" t="s">
        <v>469</v>
      </c>
    </row>
    <row r="269" spans="1:10">
      <c r="B269" s="212"/>
      <c r="C269" s="212"/>
      <c r="D269" s="212" t="str">
        <f t="shared" ca="1" si="267"/>
        <v>INDTDPHGASN4</v>
      </c>
      <c r="E269" s="212" t="str">
        <f t="shared" ca="1" si="268"/>
        <v>Industrial heating technology Transport PH - Gas boiler (Hot Water - condensing) - new 4</v>
      </c>
      <c r="F269" s="262" t="s">
        <v>450</v>
      </c>
      <c r="G269" s="262" t="s">
        <v>449</v>
      </c>
      <c r="H269" s="261"/>
      <c r="I269" s="261"/>
      <c r="J269" s="264" t="s">
        <v>469</v>
      </c>
    </row>
    <row r="270" spans="1:10">
      <c r="B270" s="212"/>
      <c r="C270" s="212"/>
      <c r="D270" s="212" t="str">
        <f t="shared" ca="1" si="267"/>
        <v>INDTDSHGASN4</v>
      </c>
      <c r="E270" s="212" t="str">
        <f t="shared" ca="1" si="268"/>
        <v>Industrial heating technology Transport SH - Gas boiler (Hot Water- condensing) - new 4</v>
      </c>
      <c r="F270" s="262" t="s">
        <v>450</v>
      </c>
      <c r="G270" s="262" t="s">
        <v>449</v>
      </c>
      <c r="H270" s="261"/>
      <c r="I270" s="261"/>
      <c r="J270" s="264" t="s">
        <v>469</v>
      </c>
    </row>
    <row r="271" spans="1:10">
      <c r="B271" s="212"/>
      <c r="C271" s="212"/>
      <c r="D271" s="212" t="str">
        <f t="shared" ca="1" si="267"/>
        <v>INDTDPHGASN5</v>
      </c>
      <c r="E271" s="212" t="str">
        <f t="shared" ca="1" si="268"/>
        <v>Industrial heating technology Transport PH - Gas boiler (Direct firing) - new 5</v>
      </c>
      <c r="F271" s="262" t="s">
        <v>450</v>
      </c>
      <c r="G271" s="262" t="s">
        <v>449</v>
      </c>
      <c r="H271" s="261"/>
      <c r="I271" s="261"/>
      <c r="J271" s="264" t="s">
        <v>469</v>
      </c>
    </row>
    <row r="272" spans="1:10">
      <c r="B272" s="212"/>
      <c r="C272" s="212"/>
      <c r="D272" s="212" t="str">
        <f t="shared" ca="1" si="267"/>
        <v>INDTDPHGASN5</v>
      </c>
      <c r="E272" s="212" t="str">
        <f t="shared" ca="1" si="268"/>
        <v>Industrial heating technology Transport PH - Gas boiler (Direct firing) - new 5</v>
      </c>
      <c r="F272" s="262" t="s">
        <v>450</v>
      </c>
      <c r="G272" s="262" t="s">
        <v>449</v>
      </c>
      <c r="H272" s="261"/>
      <c r="I272" s="261"/>
      <c r="J272" s="264" t="s">
        <v>469</v>
      </c>
    </row>
    <row r="273" spans="2:10">
      <c r="B273" s="212"/>
      <c r="C273" s="212"/>
      <c r="D273" s="212" t="str">
        <f t="shared" ca="1" si="267"/>
        <v>INDTDPHCOAN1</v>
      </c>
      <c r="E273" s="212" t="str">
        <f t="shared" ca="1" si="268"/>
        <v>Industrial heating technology Transport PH - Coal boiler (Steam) - new 1</v>
      </c>
      <c r="F273" s="262" t="s">
        <v>450</v>
      </c>
      <c r="G273" s="262" t="s">
        <v>449</v>
      </c>
      <c r="H273" s="261"/>
      <c r="I273" s="261"/>
      <c r="J273" s="264" t="s">
        <v>469</v>
      </c>
    </row>
    <row r="274" spans="2:10">
      <c r="B274" s="212"/>
      <c r="C274" s="212"/>
      <c r="D274" s="212" t="str">
        <f t="shared" ca="1" si="267"/>
        <v>INDTDPHCOAN1</v>
      </c>
      <c r="E274" s="212" t="str">
        <f t="shared" ca="1" si="268"/>
        <v>Industrial heating technology Transport PH - Coal boiler (Steam) - new 1</v>
      </c>
      <c r="F274" s="262" t="s">
        <v>450</v>
      </c>
      <c r="G274" s="262" t="s">
        <v>449</v>
      </c>
      <c r="H274" s="261"/>
      <c r="I274" s="261"/>
      <c r="J274" s="264" t="s">
        <v>469</v>
      </c>
    </row>
    <row r="275" spans="2:10">
      <c r="B275" s="212"/>
      <c r="C275" s="212"/>
      <c r="D275" s="212" t="str">
        <f t="shared" ca="1" si="267"/>
        <v>INDTDSHCOAN1</v>
      </c>
      <c r="E275" s="212" t="str">
        <f t="shared" ca="1" si="268"/>
        <v>Industrial heating technology Transport SH - Coal boiler (Steam) - new 1</v>
      </c>
      <c r="F275" s="262" t="s">
        <v>450</v>
      </c>
      <c r="G275" s="262" t="s">
        <v>449</v>
      </c>
      <c r="H275" s="261"/>
      <c r="I275" s="261"/>
      <c r="J275" s="264" t="s">
        <v>469</v>
      </c>
    </row>
    <row r="276" spans="2:10">
      <c r="B276" s="212"/>
      <c r="C276" s="212"/>
      <c r="D276" s="212" t="str">
        <f t="shared" ca="1" si="267"/>
        <v>INDTDPHCOAN2</v>
      </c>
      <c r="E276" s="212" t="str">
        <f t="shared" ca="1" si="268"/>
        <v>Industrial heating technology Transport PH - Coal boiler (Hot Water) - new 2</v>
      </c>
      <c r="F276" s="262" t="s">
        <v>450</v>
      </c>
      <c r="G276" s="262" t="s">
        <v>449</v>
      </c>
      <c r="H276" s="261"/>
      <c r="I276" s="261"/>
      <c r="J276" s="264" t="s">
        <v>469</v>
      </c>
    </row>
    <row r="277" spans="2:10">
      <c r="B277" s="212"/>
      <c r="C277" s="212"/>
      <c r="D277" s="212" t="str">
        <f t="shared" ca="1" si="267"/>
        <v>INDTDSHCOAN2</v>
      </c>
      <c r="E277" s="212" t="str">
        <f t="shared" ca="1" si="268"/>
        <v>Industrial heating technology Transport SH - Coal boiler (Hot Water) - new 2</v>
      </c>
      <c r="F277" s="262" t="s">
        <v>450</v>
      </c>
      <c r="G277" s="262" t="s">
        <v>449</v>
      </c>
      <c r="H277" s="261"/>
      <c r="I277" s="261"/>
      <c r="J277" s="264" t="s">
        <v>469</v>
      </c>
    </row>
    <row r="278" spans="2:10">
      <c r="B278" s="212"/>
      <c r="C278" s="212"/>
      <c r="D278" s="212" t="str">
        <f t="shared" ca="1" si="267"/>
        <v>INDTDSHSOLN1</v>
      </c>
      <c r="E278" s="212" t="str">
        <f t="shared" ca="1" si="268"/>
        <v>Industrial heating technology Transport SH - Solar - new 1</v>
      </c>
      <c r="F278" s="262" t="s">
        <v>450</v>
      </c>
      <c r="G278" s="262" t="s">
        <v>449</v>
      </c>
      <c r="H278" s="263" t="s">
        <v>620</v>
      </c>
      <c r="I278" s="261"/>
      <c r="J278" s="264" t="s">
        <v>469</v>
      </c>
    </row>
    <row r="279" spans="2:10">
      <c r="B279" s="212"/>
      <c r="C279" s="212"/>
      <c r="D279" s="889" t="str">
        <f>D187</f>
        <v>INDTDSHHCEN1</v>
      </c>
      <c r="E279" s="889" t="str">
        <f t="shared" si="268"/>
        <v>Industrial heating technology Transport SH - central district heating - within DH area - new 1</v>
      </c>
      <c r="F279" s="262" t="s">
        <v>450</v>
      </c>
      <c r="G279" s="262" t="s">
        <v>449</v>
      </c>
      <c r="H279" s="890"/>
      <c r="I279" s="890"/>
      <c r="J279" s="263" t="s">
        <v>469</v>
      </c>
    </row>
    <row r="280" spans="2:10">
      <c r="B280" s="212"/>
      <c r="C280" s="212"/>
      <c r="D280" s="889" t="str">
        <f>D188</f>
        <v>INDTDPHHCEN1</v>
      </c>
      <c r="E280" s="889" t="str">
        <f t="shared" si="268"/>
        <v>Industrial heating technology Transport PH - central district heating - within DH area - new 1</v>
      </c>
      <c r="F280" s="262" t="s">
        <v>450</v>
      </c>
      <c r="G280" s="262" t="s">
        <v>449</v>
      </c>
      <c r="H280" s="890"/>
      <c r="I280" s="890"/>
      <c r="J280" s="263" t="s">
        <v>469</v>
      </c>
    </row>
    <row r="281" spans="2:10">
      <c r="B281" s="212"/>
      <c r="C281" s="212"/>
      <c r="D281" s="889" t="str">
        <f>D189</f>
        <v>INDTDSHHSEN1</v>
      </c>
      <c r="E281" s="889" t="str">
        <f t="shared" si="268"/>
        <v>Industrial heating technology Transport SH - central district heating - within DH area - new 1</v>
      </c>
      <c r="F281" s="262" t="s">
        <v>450</v>
      </c>
      <c r="G281" s="262" t="s">
        <v>449</v>
      </c>
      <c r="H281" s="890"/>
      <c r="I281" s="890"/>
      <c r="J281" s="263" t="s">
        <v>469</v>
      </c>
    </row>
    <row r="282" spans="2:10">
      <c r="B282" s="212"/>
      <c r="C282" s="212"/>
      <c r="D282" s="889" t="str">
        <f>D190</f>
        <v>INDTDPHHSEN1</v>
      </c>
      <c r="E282" s="889" t="str">
        <f t="shared" si="268"/>
        <v>Industrial heating technology Transport PH - central district heating - within DH area - new 1</v>
      </c>
      <c r="F282" s="262" t="s">
        <v>450</v>
      </c>
      <c r="G282" s="262" t="s">
        <v>449</v>
      </c>
      <c r="H282" s="890"/>
      <c r="I282" s="890"/>
      <c r="J282" s="263" t="s">
        <v>469</v>
      </c>
    </row>
    <row r="283" spans="2:10">
      <c r="B283" s="212"/>
      <c r="C283" s="212"/>
      <c r="D283" s="212" t="str">
        <f t="shared" ref="D283" si="269">D191</f>
        <v>INDTDSHHDEN1</v>
      </c>
      <c r="E283" s="212" t="str">
        <f t="shared" si="268"/>
        <v>Industrial heating technology Transport SH - decentral district heating - within DH area - new 1</v>
      </c>
      <c r="F283" s="262" t="s">
        <v>450</v>
      </c>
      <c r="G283" s="262" t="s">
        <v>449</v>
      </c>
      <c r="H283" s="261"/>
      <c r="I283" s="261"/>
      <c r="J283" s="264" t="s">
        <v>469</v>
      </c>
    </row>
    <row r="284" spans="2:10">
      <c r="B284" s="212"/>
      <c r="C284" s="212"/>
      <c r="D284" s="212" t="str">
        <f>D192</f>
        <v>INDTDPHHDEN1</v>
      </c>
      <c r="E284" s="212" t="str">
        <f t="shared" si="268"/>
        <v>Industrial heating technology Transport PH - decentral district heating - within DH area - new 1</v>
      </c>
      <c r="F284" s="262" t="s">
        <v>450</v>
      </c>
      <c r="G284" s="262" t="s">
        <v>449</v>
      </c>
      <c r="H284" s="261"/>
      <c r="I284" s="261"/>
      <c r="J284" s="264" t="s">
        <v>469</v>
      </c>
    </row>
    <row r="285" spans="2:10">
      <c r="B285" s="212"/>
      <c r="C285" s="212"/>
      <c r="D285" s="212" t="str">
        <f>D194</f>
        <v>INDTDLAELCN1</v>
      </c>
      <c r="E285" s="212" t="str">
        <f t="shared" si="268"/>
        <v>Industry Transport LA Electricity Light Appliance - New 1</v>
      </c>
      <c r="F285" s="262" t="s">
        <v>450</v>
      </c>
      <c r="G285" s="262" t="s">
        <v>449</v>
      </c>
      <c r="H285" s="261"/>
      <c r="I285" s="261"/>
      <c r="J285" s="264" t="s">
        <v>469</v>
      </c>
    </row>
    <row r="286" spans="2:10">
      <c r="B286" s="212"/>
      <c r="C286" s="212"/>
      <c r="D286" s="212" t="str">
        <f>D198</f>
        <v>INDTDEMELCN1</v>
      </c>
      <c r="E286" s="212" t="str">
        <f t="shared" si="268"/>
        <v>Industry Transport EM Electricity Motors - New 1</v>
      </c>
      <c r="F286" s="262" t="s">
        <v>450</v>
      </c>
      <c r="G286" s="262" t="s">
        <v>449</v>
      </c>
      <c r="H286" s="261"/>
      <c r="I286" s="261"/>
      <c r="J286" s="264" t="s">
        <v>469</v>
      </c>
    </row>
    <row r="287" spans="2:10">
      <c r="B287" s="212"/>
      <c r="C287" s="212"/>
      <c r="D287" s="212" t="str">
        <f>D202</f>
        <v>INDTDTFDSLN1</v>
      </c>
      <c r="E287" s="212" t="str">
        <f t="shared" si="268"/>
        <v>Industry Transport TF Tractors, Trucks, Fishing boats - New 1</v>
      </c>
      <c r="F287" s="262" t="s">
        <v>450</v>
      </c>
      <c r="G287" s="262" t="s">
        <v>2078</v>
      </c>
      <c r="H287" s="261"/>
      <c r="I287" s="261"/>
      <c r="J287" s="264" t="s">
        <v>469</v>
      </c>
    </row>
    <row r="288" spans="2:10">
      <c r="B288" s="212"/>
      <c r="C288" s="212"/>
      <c r="D288" s="212" t="str">
        <f>D206</f>
        <v>INDTDTFH2GN2</v>
      </c>
      <c r="E288" s="212" t="str">
        <f t="shared" si="268"/>
        <v>Industry Transport TF Tractors, Trucks, Fishing boats - New 2</v>
      </c>
      <c r="F288" s="262" t="s">
        <v>450</v>
      </c>
      <c r="G288" s="262" t="s">
        <v>2078</v>
      </c>
      <c r="H288" s="261"/>
      <c r="I288" s="261"/>
      <c r="J288" s="264" t="s">
        <v>469</v>
      </c>
    </row>
    <row r="289" spans="2:10">
      <c r="B289" s="212"/>
      <c r="C289" s="212"/>
      <c r="D289" s="212" t="str">
        <f>D210</f>
        <v>INDTDTFELCN3</v>
      </c>
      <c r="E289" s="212" t="str">
        <f t="shared" si="268"/>
        <v>Industry Transport TF Tractors, Trucks, Fishing boats - New 3</v>
      </c>
      <c r="F289" s="262" t="s">
        <v>450</v>
      </c>
      <c r="G289" s="262" t="s">
        <v>2078</v>
      </c>
      <c r="H289" s="261"/>
      <c r="I289" s="261"/>
      <c r="J289" s="264" t="s">
        <v>469</v>
      </c>
    </row>
    <row r="290" spans="2:10">
      <c r="B290" s="212"/>
      <c r="C290" s="212"/>
      <c r="D290" s="212" t="str">
        <f>D214</f>
        <v>INDTDFLSYNN1</v>
      </c>
      <c r="E290" s="212" t="str">
        <f t="shared" si="268"/>
        <v>Industry Transport TF Forklifts - New 1</v>
      </c>
      <c r="F290" s="262" t="s">
        <v>450</v>
      </c>
      <c r="G290" s="262" t="s">
        <v>449</v>
      </c>
      <c r="H290" s="261"/>
      <c r="I290" s="261"/>
      <c r="J290" s="264" t="s">
        <v>469</v>
      </c>
    </row>
    <row r="291" spans="2:10">
      <c r="B291" s="212"/>
      <c r="C291" s="212"/>
      <c r="D291" s="212" t="str">
        <f>D218</f>
        <v>INDTDCOELCN1</v>
      </c>
      <c r="E291" s="212" t="str">
        <f>E218</f>
        <v>Industry Transport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ITDSOx</v>
      </c>
      <c r="E296" s="270" t="str">
        <f>"Industrial heating  heating technology "&amp;$AJ$12&amp;" - SOx emission"</f>
        <v>Industrial heating  heating technology Transport - SOx emission</v>
      </c>
      <c r="F296" s="219" t="s">
        <v>352</v>
      </c>
      <c r="G296" s="211"/>
      <c r="H296" s="211"/>
      <c r="I296" s="211"/>
      <c r="J296" s="211"/>
    </row>
    <row r="297" spans="2:10">
      <c r="B297" s="214"/>
      <c r="C297" s="214"/>
      <c r="D297" s="260" t="str">
        <f>"I"&amp;LEFT($AJ$12,1)&amp;"DNOx"</f>
        <v>ITDNOx</v>
      </c>
      <c r="E297" s="270" t="str">
        <f>"Industrial heating  heating technology "&amp;$AJ$12&amp;" - NOx emission"</f>
        <v>Industrial heating  heating technology Transport - NOx emission</v>
      </c>
      <c r="F297" s="219" t="s">
        <v>352</v>
      </c>
      <c r="G297" s="211"/>
      <c r="H297" s="214"/>
      <c r="I297" s="214"/>
      <c r="J297" s="214"/>
    </row>
    <row r="298" spans="2:10">
      <c r="B298" s="214"/>
      <c r="C298" s="214"/>
      <c r="D298" s="260" t="str">
        <f>"I"&amp;LEFT($AJ$12,1)&amp;"DCH4"</f>
        <v>ITDCH4</v>
      </c>
      <c r="E298" s="270" t="str">
        <f>"Industrial heating  heating technology "&amp;$AJ$12&amp;" - CH4 emission"</f>
        <v>Industrial heating  heating technology Transport - CH4 emission</v>
      </c>
      <c r="F298" s="219" t="s">
        <v>352</v>
      </c>
      <c r="G298" s="211"/>
      <c r="H298" s="214"/>
      <c r="I298" s="214"/>
      <c r="J298" s="214"/>
    </row>
    <row r="299" spans="2:10">
      <c r="B299" s="214"/>
      <c r="C299" s="214"/>
      <c r="D299" s="260" t="str">
        <f>"I"&amp;LEFT($AJ$12,1)&amp;"DNO2"</f>
        <v>ITDNO2</v>
      </c>
      <c r="E299" s="270" t="str">
        <f>"Industrial heating  heating technology "&amp;$AJ$12&amp;" - NO2 emission"</f>
        <v>Industrial heating  heating technology Transport - NO2 emission</v>
      </c>
      <c r="F299" s="219" t="s">
        <v>352</v>
      </c>
      <c r="G299" s="211"/>
      <c r="H299" s="214"/>
      <c r="I299" s="214"/>
      <c r="J299" s="214"/>
    </row>
    <row r="300" spans="2:10">
      <c r="B300" s="214"/>
      <c r="C300" s="214"/>
      <c r="D300" s="260" t="str">
        <f>"I"&amp;LEFT($AJ$12,1)&amp;"DPM"</f>
        <v>ITDPM</v>
      </c>
      <c r="E300" s="270" t="str">
        <f>"Industrial heating  heating technology "&amp;$AJ$12&amp;" - Particle emission"</f>
        <v>Industrial heating  heating technology Transport - Particle emission</v>
      </c>
      <c r="F300" s="219" t="s">
        <v>352</v>
      </c>
      <c r="G300" s="211"/>
      <c r="H300" s="214"/>
      <c r="I300" s="214"/>
      <c r="J300" s="214"/>
    </row>
    <row r="301" spans="2:10">
      <c r="B301" s="224" t="s">
        <v>1057</v>
      </c>
      <c r="D301" s="224" t="str">
        <f>AI20</f>
        <v>INDTWH</v>
      </c>
      <c r="E301" s="270" t="str">
        <f>"Industrial heating technology "&amp;$AJ$12&amp;" - Waste heat"</f>
        <v>Industrial heating technology Transport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AE2F8FF-0AE3-4F75-A812-6EBFB44F3796}">
          <x14:formula1>
            <xm:f>'Oil-fired boiler_NEW'!$T$4:$X$4</xm:f>
          </x14:formula1>
          <xm:sqref>E1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1D02-BE75-4EFB-B97F-D3EE64D18BEC}">
  <sheetPr>
    <tabColor rgb="FF00B050"/>
  </sheetPr>
  <dimension ref="A1:AP301"/>
  <sheetViews>
    <sheetView topLeftCell="V1"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692</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FEMIS~IPDSOx</v>
      </c>
      <c r="Y6" s="280" t="str">
        <f>"FEMIS~"&amp;D297</f>
        <v>FEMIS~IPDNOx</v>
      </c>
      <c r="Z6" s="280" t="str">
        <f>"FEMIS~"&amp;D298</f>
        <v>FEMIS~IPDCH4</v>
      </c>
      <c r="AA6" s="280" t="str">
        <f>"FEMIS~"&amp;D299</f>
        <v>FEMIS~IPDNO2</v>
      </c>
      <c r="AB6" s="280" t="str">
        <f>"FEMIS~"&amp;D300</f>
        <v>FEMIS~IPDPM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INDRDPHELCN1</v>
      </c>
      <c r="E9" s="261" t="str">
        <f>"Industrial heating technology "&amp;$AJ$12&amp;" "&amp;RIGHT(H9,2)&amp;" - Heat pump utilizing waste heat - new 1"</f>
        <v>Industrial heating technology Paper &amp; Pulp PH - Heat pump utilizing waste heat - new 1</v>
      </c>
      <c r="F9" s="224" t="s">
        <v>1149</v>
      </c>
      <c r="G9" s="173" t="s">
        <v>499</v>
      </c>
      <c r="H9" s="174" t="str">
        <f>$AI$14</f>
        <v>IRDPH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INDRWH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IRDPH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INDRWH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Paper &amp; Pulp</v>
      </c>
    </row>
    <row r="13" spans="2:42">
      <c r="B13" s="357" t="s">
        <v>998</v>
      </c>
      <c r="D13" s="212"/>
      <c r="E13" s="212"/>
      <c r="F13" s="224" t="s">
        <v>1149</v>
      </c>
      <c r="G13" s="173" t="s">
        <v>499</v>
      </c>
      <c r="H13" s="174" t="str">
        <f>$AI$14</f>
        <v>IRDPH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IRDPH</v>
      </c>
      <c r="AJ13" s="224" t="str">
        <f>AP14</f>
        <v>Paper &amp; Pulp industry Demand Heat High Temp. over 150C</v>
      </c>
      <c r="AO13" s="224" t="s">
        <v>2099</v>
      </c>
      <c r="AP13" s="224" t="s">
        <v>1245</v>
      </c>
    </row>
    <row r="14" spans="2:42">
      <c r="B14" s="357" t="s">
        <v>998</v>
      </c>
      <c r="D14" s="212"/>
      <c r="E14" s="212"/>
      <c r="F14" s="224" t="s">
        <v>1149</v>
      </c>
      <c r="G14" s="173" t="str">
        <f>$AI$20</f>
        <v>INDRWH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IRDPH</v>
      </c>
      <c r="AJ14" s="224" t="str">
        <f>AP13</f>
        <v>Paper &amp; Pulp industry Demand Heat Medium Temp. up to 150C</v>
      </c>
      <c r="AO14" s="224" t="s">
        <v>2099</v>
      </c>
      <c r="AP14" s="224" t="s">
        <v>1246</v>
      </c>
    </row>
    <row r="15" spans="2:42">
      <c r="B15" s="357" t="s">
        <v>998</v>
      </c>
      <c r="D15" s="212" t="str">
        <f>"IND"&amp;RIGHT(H15,4)&amp;RIGHT(G15,3)&amp;"N"&amp;RIGHT(E15,1)</f>
        <v>INDRDSHELCN1</v>
      </c>
      <c r="E15" s="261" t="str">
        <f>"Industrial heating technology "&amp;$AJ$12&amp;" "&amp;RIGHT(H15,2)&amp;" - Heat pump utilizing waste heat - new 1"</f>
        <v>Industrial heating technology Paper &amp; Pulp SH - Heat pump utilizing waste heat - new 1</v>
      </c>
      <c r="F15" s="224" t="s">
        <v>1149</v>
      </c>
      <c r="G15" s="173" t="s">
        <v>499</v>
      </c>
      <c r="H15" s="174" t="str">
        <f>$AI$15</f>
        <v>IRDSH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IRDSH</v>
      </c>
      <c r="AJ15" s="224" t="str">
        <f>AP15</f>
        <v>Paper &amp; Pulp industry Demand Heat Room Heat</v>
      </c>
      <c r="AO15" s="224" t="s">
        <v>2100</v>
      </c>
      <c r="AP15" s="224" t="s">
        <v>1247</v>
      </c>
    </row>
    <row r="16" spans="2:42">
      <c r="B16" s="357" t="s">
        <v>998</v>
      </c>
      <c r="D16" s="212"/>
      <c r="E16" s="261"/>
      <c r="F16" s="224" t="s">
        <v>1149</v>
      </c>
      <c r="G16" s="173" t="str">
        <f>$AI$20</f>
        <v>INDRWH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IRDLA</v>
      </c>
      <c r="AJ16" s="224" t="str">
        <f t="shared" si="0"/>
        <v>Paper &amp; Pulp industry Demand Light</v>
      </c>
      <c r="AO16" s="224" t="s">
        <v>1248</v>
      </c>
      <c r="AP16" s="224" t="s">
        <v>1249</v>
      </c>
    </row>
    <row r="17" spans="2:42">
      <c r="B17" s="357" t="s">
        <v>998</v>
      </c>
      <c r="D17" s="212"/>
      <c r="E17" s="212"/>
      <c r="F17" s="224" t="s">
        <v>1149</v>
      </c>
      <c r="G17" s="173" t="s">
        <v>499</v>
      </c>
      <c r="H17" s="174" t="str">
        <f>$AI$15</f>
        <v>IRDSH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IRDEM</v>
      </c>
      <c r="AJ17" s="224" t="str">
        <f t="shared" si="0"/>
        <v>Paper &amp; Pulp industry Demand Electric Motors</v>
      </c>
      <c r="AO17" s="224" t="s">
        <v>1250</v>
      </c>
      <c r="AP17" s="224" t="s">
        <v>1251</v>
      </c>
    </row>
    <row r="18" spans="2:42">
      <c r="B18" s="357" t="s">
        <v>998</v>
      </c>
      <c r="D18" s="212"/>
      <c r="E18" s="212"/>
      <c r="F18" s="224" t="s">
        <v>1149</v>
      </c>
      <c r="G18" s="173" t="str">
        <f>$AI$20</f>
        <v>INDRWH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IRDTF</v>
      </c>
      <c r="AJ18" s="224" t="str">
        <f t="shared" si="0"/>
        <v>Paper &amp; Pulp industry Demand Haulage Tractors, Trucks, Fishing boats, Forest machines</v>
      </c>
      <c r="AO18" s="224" t="s">
        <v>1252</v>
      </c>
      <c r="AP18" s="224" t="s">
        <v>1253</v>
      </c>
    </row>
    <row r="19" spans="2:42">
      <c r="B19" s="357" t="s">
        <v>998</v>
      </c>
      <c r="D19" s="212"/>
      <c r="E19" s="212"/>
      <c r="F19" s="224" t="s">
        <v>1149</v>
      </c>
      <c r="G19" s="173" t="s">
        <v>499</v>
      </c>
      <c r="H19" s="174" t="str">
        <f>$AI$15</f>
        <v>IRDSH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IRDFL</v>
      </c>
      <c r="AJ19" s="224" t="str">
        <f t="shared" si="0"/>
        <v>Paper &amp; Pulp industry Demand Haulage Forklifts</v>
      </c>
      <c r="AO19" s="224" t="s">
        <v>1254</v>
      </c>
      <c r="AP19" s="224" t="s">
        <v>1255</v>
      </c>
    </row>
    <row r="20" spans="2:42">
      <c r="B20" s="357" t="s">
        <v>998</v>
      </c>
      <c r="D20" s="212"/>
      <c r="E20" s="212"/>
      <c r="F20" s="224" t="s">
        <v>1149</v>
      </c>
      <c r="G20" s="173" t="str">
        <f>$AI$20</f>
        <v>INDRWH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INDRWH</v>
      </c>
      <c r="AJ20" s="224" t="str">
        <f>$AJ$12&amp;" Industrial Waste Heat"</f>
        <v>Paper &amp; Pulp Industrial Waste Heat</v>
      </c>
    </row>
    <row r="21" spans="2:42">
      <c r="B21" s="357" t="s">
        <v>999</v>
      </c>
      <c r="D21" s="212" t="str">
        <f>"IND"&amp;RIGHT(H21,4)&amp;RIGHT(G21,3)&amp;"N"&amp;RIGHT(E21,1)</f>
        <v>INDRDPHELCN2</v>
      </c>
      <c r="E21" s="261" t="str">
        <f>"Industrial heating technology "&amp;$AJ$12&amp;" "&amp;RIGHT(H21,2)&amp;" - Heat driven heat pump utilizing waste heat - new 2"</f>
        <v>Industrial heating technology Paper &amp; Pulp PH - Heat driven heat pump utilizing waste heat - new 2</v>
      </c>
      <c r="F21" s="224" t="s">
        <v>1149</v>
      </c>
      <c r="G21" s="173" t="s">
        <v>499</v>
      </c>
      <c r="H21" s="174" t="str">
        <f>$AI$14</f>
        <v>IRDPH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2109</v>
      </c>
      <c r="AJ21" s="224" t="s">
        <v>2110</v>
      </c>
    </row>
    <row r="22" spans="2:42">
      <c r="B22" s="357" t="s">
        <v>999</v>
      </c>
      <c r="D22" s="212"/>
      <c r="E22" s="261"/>
      <c r="F22" s="224" t="s">
        <v>1149</v>
      </c>
      <c r="G22" s="173" t="str">
        <f>$AI$20</f>
        <v>INDRWH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IRDPH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INDRWH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IRDPH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INDRWH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INDRDSHELCN2</v>
      </c>
      <c r="E27" s="261" t="str">
        <f>"Industrial heating technology "&amp;$AJ$12&amp;" "&amp;RIGHT(H27,2)&amp;" - Heat driven heat pump utilizing waste heat - new 2"</f>
        <v>Industrial heating technology Paper &amp; Pulp SH - Heat driven heat pump utilizing waste heat - new 2</v>
      </c>
      <c r="F27" s="224" t="s">
        <v>1149</v>
      </c>
      <c r="G27" s="173" t="s">
        <v>499</v>
      </c>
      <c r="H27" s="174" t="str">
        <f>$AI$15</f>
        <v>IRDSH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INDRWH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IRDSH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INDRWH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IRDSH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INDRWH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INDRDPHELCN3</v>
      </c>
      <c r="E33" s="261" t="str">
        <f>"Industrial heating technology "&amp;$AJ$12&amp;" "&amp;RIGHT(H33,2)&amp;" - High Temp abs. Heat pump utilizing waste heat - new 3"</f>
        <v>Industrial heating technology Paper &amp; Pulp PH - High Temp abs. Heat pump utilizing waste heat - new 3</v>
      </c>
      <c r="F33" s="224" t="s">
        <v>1149</v>
      </c>
      <c r="G33" s="173" t="s">
        <v>499</v>
      </c>
      <c r="H33" s="174" t="str">
        <f>$AI$14</f>
        <v>IRDPH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INDRWH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IRDPH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INDRWH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IRDPH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INDRWH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INDRDSHELCN3</v>
      </c>
      <c r="E39" s="261" t="str">
        <f>"Industrial heating technology "&amp;$AJ$12&amp;" "&amp;RIGHT(H39,2)&amp;" - High Temp abs. Heat pump utilizing waste heat - new 3"</f>
        <v>Industrial heating technology Paper &amp; Pulp SH - High Temp abs. Heat pump utilizing waste heat - new 3</v>
      </c>
      <c r="F39" s="224" t="s">
        <v>1149</v>
      </c>
      <c r="G39" s="173" t="s">
        <v>499</v>
      </c>
      <c r="H39" s="174" t="str">
        <f>$AI$15</f>
        <v>IRDSH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INDRWH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IRDSH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INDRWH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IRDSH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INDRWH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INDRDPHELCN4</v>
      </c>
      <c r="E45" s="261" t="str">
        <f>"Industrial heating technology "&amp;$AJ$12&amp;" "&amp;RIGHT(H45,2)&amp;" - Booster Heat pump utilizing waste heat - new 4"</f>
        <v>Industrial heating technology Paper &amp; Pulp PH - Booster Heat pump utilizing waste heat - new 4</v>
      </c>
      <c r="F45" s="224" t="s">
        <v>1149</v>
      </c>
      <c r="G45" s="173" t="s">
        <v>499</v>
      </c>
      <c r="H45" s="174" t="str">
        <f>$AI$14</f>
        <v>IRDPH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INDRWH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IRDPH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INDRWH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IRDPH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INDRWH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INDRDSHELCN4</v>
      </c>
      <c r="E51" s="261" t="str">
        <f>"Industrial heating technology "&amp;$AJ$12&amp;" "&amp;RIGHT(H51,2)&amp;" - Booster Heat pump utilizing waste heat - new 4"</f>
        <v>Industrial heating technology Paper &amp; Pulp SH - Booster Heat pump utilizing waste heat - new 4</v>
      </c>
      <c r="F51" s="224" t="s">
        <v>1149</v>
      </c>
      <c r="G51" s="173" t="s">
        <v>499</v>
      </c>
      <c r="H51" s="174" t="str">
        <f>$AI$15</f>
        <v>IRDSH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INDRWH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IRDSH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INDRWH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IRDSH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INDRWH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INDRDPHELCN5</v>
      </c>
      <c r="E57" s="261" t="str">
        <f>"Industrial heating technology "&amp;$AJ$12&amp;" "&amp;RIGHT(H57,2)&amp;" - MVR utilizing waste heat - new 5"</f>
        <v>Industrial heating technology Paper &amp; Pulp PH - MVR utilizing waste heat - new 5</v>
      </c>
      <c r="F57" s="224" t="s">
        <v>1149</v>
      </c>
      <c r="G57" s="173" t="s">
        <v>499</v>
      </c>
      <c r="H57" s="174" t="str">
        <f>$AI$14</f>
        <v>IRDPH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INDRWH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IRDPH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INDRWH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IRDPH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INDRWH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INDRDPHWSTN1</v>
      </c>
      <c r="E63" s="261" t="str">
        <f>"Industrial heating technology "&amp;$AJ$12&amp;" "&amp;RIGHT(H63,2)&amp;" - Hotdisc - new 1"</f>
        <v>Industrial heating technology Paper &amp; Pulp PH - Hotdisc - new 1</v>
      </c>
      <c r="F63" s="224" t="s">
        <v>1149</v>
      </c>
      <c r="G63" s="832" t="s">
        <v>1005</v>
      </c>
      <c r="H63" s="174" t="str">
        <f>$AI$13</f>
        <v>IRDPH</v>
      </c>
      <c r="I63" s="173" t="str">
        <f t="shared" ref="I63:I126" si="22">$AI$20</f>
        <v>INDRWH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INDRWH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INDRWH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INDRDPHELCN6</v>
      </c>
      <c r="E66" s="261" t="str">
        <f>"Industrial heating technology "&amp;$AJ$12&amp;" "&amp;RIGHT(H66,2)&amp;" - Dielectric heating - new 6"</f>
        <v>Industrial heating technology Paper &amp; Pulp PH - Dielectric heating - new 6</v>
      </c>
      <c r="F66" s="224" t="s">
        <v>1149</v>
      </c>
      <c r="G66" s="173" t="s">
        <v>499</v>
      </c>
      <c r="H66" s="174" t="str">
        <f>$AI$14</f>
        <v>IRDPH</v>
      </c>
      <c r="I66" s="173" t="str">
        <f t="shared" si="22"/>
        <v>INDRWH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INDRWH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INDRWH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INDRDPHELCN7</v>
      </c>
      <c r="E69" s="261" t="str">
        <f>"Industrial heating technology "&amp;$AJ$12&amp;" "&amp;RIGHT(H69,2)&amp;" - Infrared heating - new 7"</f>
        <v>Industrial heating technology Paper &amp; Pulp PH - Infrared heating - new 7</v>
      </c>
      <c r="F69" s="224" t="s">
        <v>1149</v>
      </c>
      <c r="G69" s="173" t="s">
        <v>499</v>
      </c>
      <c r="H69" s="174" t="str">
        <f>$AI$14</f>
        <v>IRDPH</v>
      </c>
      <c r="I69" s="173" t="str">
        <f t="shared" si="22"/>
        <v>INDRWH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INDRWH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INDRWH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INDRDPHELCN8</v>
      </c>
      <c r="E72" s="261" t="str">
        <f>"Industrial heating technology "&amp;$AJ$12&amp;" "&amp;RIGHT(H72,2)&amp;" - Electric boiler (Steam) - new 8"</f>
        <v>Industrial heating technology Paper &amp; Pulp PH - Electric boiler (Steam) - new 8</v>
      </c>
      <c r="F72" s="224" t="s">
        <v>1149</v>
      </c>
      <c r="G72" s="173" t="s">
        <v>499</v>
      </c>
      <c r="H72" s="174" t="str">
        <f>$AI$13</f>
        <v>IRDPH</v>
      </c>
      <c r="I72" s="174" t="str">
        <f t="shared" si="22"/>
        <v>INDRWH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INDRWH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INDRWH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INDRDPHELCN8</v>
      </c>
      <c r="E75" s="261" t="str">
        <f>"Industrial heating technology "&amp;$AJ$12&amp;" "&amp;RIGHT(H75,2)&amp;" - Electric boiler (Steam) - new 8"</f>
        <v>Industrial heating technology Paper &amp; Pulp PH - Electric boiler (Steam) - new 8</v>
      </c>
      <c r="F75" s="224" t="s">
        <v>1149</v>
      </c>
      <c r="G75" s="173" t="s">
        <v>499</v>
      </c>
      <c r="H75" s="174" t="str">
        <f>$AI$14</f>
        <v>IRDPH</v>
      </c>
      <c r="I75" s="174" t="str">
        <f t="shared" si="22"/>
        <v>INDRWH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INDRWH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INDRWH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INDRDSHELCN8</v>
      </c>
      <c r="E78" s="261" t="str">
        <f>"Industrial heating technology "&amp;$AJ$12&amp;" "&amp;RIGHT(H78,2)&amp;" - Electric boiler (Steam) - new 8"</f>
        <v>Industrial heating technology Paper &amp; Pulp SH - Electric boiler (Steam) - new 8</v>
      </c>
      <c r="F78" s="224" t="s">
        <v>1149</v>
      </c>
      <c r="G78" s="173" t="s">
        <v>499</v>
      </c>
      <c r="H78" s="174" t="str">
        <f>$AI$15</f>
        <v>IRDSH</v>
      </c>
      <c r="I78" s="174" t="str">
        <f t="shared" si="22"/>
        <v>INDRWH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INDRWH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INDRWH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INDRDPHELCN9</v>
      </c>
      <c r="E81" s="707" t="str">
        <f>"Industrial heating technology "&amp;$AJ$12&amp;" "&amp;RIGHT(H81,2)&amp;" - Electric boiler (Hot Water) - new 9"</f>
        <v>Industrial heating technology Paper &amp; Pulp PH - Electric boiler (Hot Water) - new 9</v>
      </c>
      <c r="F81" s="224" t="s">
        <v>1149</v>
      </c>
      <c r="G81" s="708" t="s">
        <v>499</v>
      </c>
      <c r="H81" s="708" t="str">
        <f>$AI$14</f>
        <v>IRDPH</v>
      </c>
      <c r="I81" s="708" t="str">
        <f t="shared" si="22"/>
        <v>INDRWH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INDRWH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INDRWH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INDRDSHELCN9</v>
      </c>
      <c r="E84" s="261" t="str">
        <f>"Industrial heating technology "&amp;$AJ$12&amp;" "&amp;RIGHT(H84,2)&amp;" - Electric boiler (Hot Water) - new 9"</f>
        <v>Industrial heating technology Paper &amp; Pulp SH - Electric boiler (Hot Water) - new 9</v>
      </c>
      <c r="F84" s="224" t="s">
        <v>1149</v>
      </c>
      <c r="G84" s="174" t="s">
        <v>499</v>
      </c>
      <c r="H84" s="174" t="str">
        <f>$AI$15</f>
        <v>IRDSH</v>
      </c>
      <c r="I84" s="174" t="str">
        <f t="shared" si="22"/>
        <v>INDRWH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INDRWH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INDRWH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INDRDPHWCHN1</v>
      </c>
      <c r="E87" s="261" t="str">
        <f>"Industrial heating technology "&amp;$AJ$12&amp;" "&amp;RIGHT(H87,2)&amp;" - Wood chip boiler (Steam) - new 1"</f>
        <v>Industrial heating technology Paper &amp; Pulp PH - Wood chip boiler (Steam) - new 1</v>
      </c>
      <c r="F87" s="224" t="s">
        <v>1149</v>
      </c>
      <c r="G87" s="173" t="s">
        <v>498</v>
      </c>
      <c r="H87" s="174" t="str">
        <f>$AI$13</f>
        <v>IRDPH</v>
      </c>
      <c r="I87" s="174" t="str">
        <f t="shared" si="22"/>
        <v>INDRWH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INDRWH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INDRWH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INDRDPHWCHN1</v>
      </c>
      <c r="E90" s="261" t="str">
        <f>"Industrial heating technology "&amp;$AJ$12&amp;" "&amp;RIGHT(H90,2)&amp;" - Wood chip boiler (Steam) - new 1"</f>
        <v>Industrial heating technology Paper &amp; Pulp PH - Wood chip boiler (Steam) - new 1</v>
      </c>
      <c r="F90" s="224" t="s">
        <v>1149</v>
      </c>
      <c r="G90" s="173" t="s">
        <v>498</v>
      </c>
      <c r="H90" s="174" t="str">
        <f>$AI$14</f>
        <v>IRDPH</v>
      </c>
      <c r="I90" s="174" t="str">
        <f t="shared" si="22"/>
        <v>INDRWH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INDRWH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INDRWH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INDRDSHWCHN1</v>
      </c>
      <c r="E93" s="261" t="str">
        <f>"Industrial heating technology "&amp;$AJ$12&amp;" "&amp;RIGHT(H93,2)&amp;" - Wood chip boiler (Steam) - new 1"</f>
        <v>Industrial heating technology Paper &amp; Pulp SH - Wood chip boiler (Steam) - new 1</v>
      </c>
      <c r="F93" s="224" t="s">
        <v>1149</v>
      </c>
      <c r="G93" s="173" t="s">
        <v>498</v>
      </c>
      <c r="H93" s="174" t="str">
        <f>$AI$15</f>
        <v>IRDSH</v>
      </c>
      <c r="I93" s="174" t="str">
        <f t="shared" si="22"/>
        <v>INDRWH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INDRWH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INDRWH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INDRDPHWCHN2</v>
      </c>
      <c r="E96" s="707" t="str">
        <f>"Industrial heating technology "&amp;$AJ$12&amp;" "&amp;RIGHT(H96,2)&amp;" - Wood chip boiler (Steam - condensing) - new 2"</f>
        <v>Industrial heating technology Paper &amp; Pulp PH - Wood chip boiler (Steam - condensing) - new 2</v>
      </c>
      <c r="F96" s="224" t="s">
        <v>1149</v>
      </c>
      <c r="G96" s="708" t="s">
        <v>498</v>
      </c>
      <c r="H96" s="708" t="str">
        <f>$AI$14</f>
        <v>IRDPH</v>
      </c>
      <c r="I96" s="708" t="str">
        <f t="shared" si="22"/>
        <v>INDRWH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INDRWH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INDRWH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INDRDSHWCHN2</v>
      </c>
      <c r="E99" s="261" t="str">
        <f>"Industrial heating technology "&amp;$AJ$12&amp;" "&amp;RIGHT(H99,2)&amp;" - Wood chip boiler (Steam - condensing) - new 2"</f>
        <v>Industrial heating technology Paper &amp; Pulp SH - Wood chip boiler (Steam - condensing) - new 2</v>
      </c>
      <c r="F99" s="224" t="s">
        <v>1149</v>
      </c>
      <c r="G99" s="174" t="s">
        <v>498</v>
      </c>
      <c r="H99" s="174" t="str">
        <f>$AI$15</f>
        <v>IRDSH</v>
      </c>
      <c r="I99" s="174" t="str">
        <f t="shared" si="22"/>
        <v>INDRWH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INDRWH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INDRWH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INDRDPHWCHN3</v>
      </c>
      <c r="E102" s="707" t="str">
        <f>"Industrial heating technology "&amp;$AJ$12&amp;" "&amp;RIGHT(H102,2)&amp;" - Wood chip boiler (Hot Water) - new 3"</f>
        <v>Industrial heating technology Paper &amp; Pulp PH - Wood chip boiler (Hot Water) - new 3</v>
      </c>
      <c r="F102" s="224" t="s">
        <v>1149</v>
      </c>
      <c r="G102" s="708" t="s">
        <v>498</v>
      </c>
      <c r="H102" s="708" t="str">
        <f>$AI$14</f>
        <v>IRDPH</v>
      </c>
      <c r="I102" s="708" t="str">
        <f t="shared" si="22"/>
        <v>INDRWH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INDRWH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INDRWH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INDRDSHWCHN3</v>
      </c>
      <c r="E105" s="261" t="str">
        <f>"Industrial heating technology "&amp;$AJ$12&amp;" "&amp;RIGHT(H105,2)&amp;" - Wood chip boiler (Hot Water) - new 3"</f>
        <v>Industrial heating technology Paper &amp; Pulp SH - Wood chip boiler (Hot Water) - new 3</v>
      </c>
      <c r="F105" s="224" t="s">
        <v>1149</v>
      </c>
      <c r="G105" s="174" t="s">
        <v>498</v>
      </c>
      <c r="H105" s="174" t="str">
        <f>$AI$15</f>
        <v>IRDSH</v>
      </c>
      <c r="I105" s="174" t="str">
        <f t="shared" si="22"/>
        <v>INDRWH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INDRWH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INDRWH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INDRDPHWCHN4</v>
      </c>
      <c r="E108" s="707" t="str">
        <f>"Industrial heating technology "&amp;$AJ$12&amp;" "&amp;RIGHT(H108,2)&amp;" - Wood chip boiler (Hot Water - condensing) - new 4"</f>
        <v>Industrial heating technology Paper &amp; Pulp PH - Wood chip boiler (Hot Water - condensing) - new 4</v>
      </c>
      <c r="F108" s="224" t="s">
        <v>1149</v>
      </c>
      <c r="G108" s="708" t="s">
        <v>498</v>
      </c>
      <c r="H108" s="708" t="str">
        <f>$AI$14</f>
        <v>IRDPH</v>
      </c>
      <c r="I108" s="708" t="str">
        <f t="shared" si="22"/>
        <v>INDRWH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INDRWH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INDRWH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INDRDSHWCHN4</v>
      </c>
      <c r="E111" s="261" t="str">
        <f>"Industrial heating technology "&amp;$AJ$12&amp;" "&amp;RIGHT(H111,2)&amp;" - Wood chip boiler (Hot Water- condensing) - new 4"</f>
        <v>Industrial heating technology Paper &amp; Pulp SH - Wood chip boiler (Hot Water- condensing) - new 4</v>
      </c>
      <c r="F111" s="224" t="s">
        <v>1149</v>
      </c>
      <c r="G111" s="174" t="s">
        <v>498</v>
      </c>
      <c r="H111" s="174" t="str">
        <f>$AI$15</f>
        <v>IRDSH</v>
      </c>
      <c r="I111" s="174" t="str">
        <f t="shared" si="22"/>
        <v>INDRWH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INDRWH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INDRWH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INDRDPHELCN10</v>
      </c>
      <c r="E114" s="261" t="str">
        <f>"Industrial heating technology "&amp;$AJ$12&amp;" "&amp;RIGHT(H114,2)&amp;" - Direct electric heating - new 10"</f>
        <v>Industrial heating technology Paper &amp; Pulp PH - Direct electric heating - new 10</v>
      </c>
      <c r="F114" s="224" t="s">
        <v>1149</v>
      </c>
      <c r="G114" s="173" t="s">
        <v>499</v>
      </c>
      <c r="H114" s="174" t="str">
        <f>$AI$13</f>
        <v>IRDPH</v>
      </c>
      <c r="I114" s="174" t="str">
        <f t="shared" si="22"/>
        <v>INDRWH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INDRWH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INDRWH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INDRDPHELCN10</v>
      </c>
      <c r="E117" s="261" t="str">
        <f>"Industrial heating technology "&amp;$AJ$12&amp;" "&amp;RIGHT(H117,2)&amp;" - Direct electric heating - new 10"</f>
        <v>Industrial heating technology Paper &amp; Pulp PH - Direct electric heating - new 10</v>
      </c>
      <c r="F117" s="224" t="s">
        <v>1149</v>
      </c>
      <c r="G117" s="173" t="s">
        <v>499</v>
      </c>
      <c r="H117" s="174" t="str">
        <f>$AI$14</f>
        <v>IRDPH</v>
      </c>
      <c r="I117" s="174" t="str">
        <f t="shared" si="22"/>
        <v>INDRWH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INDRWH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INDRWH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INDRDPHDSLN1</v>
      </c>
      <c r="E120" s="261" t="str">
        <f>"Industrial heating technology "&amp;$AJ$12&amp;" "&amp;RIGHT(H120,2)&amp;" - Oil boiler (Steam) - new 1"</f>
        <v>Industrial heating technology Paper &amp; Pulp PH - Oil boiler (Steam) - new 1</v>
      </c>
      <c r="F120" s="224" t="s">
        <v>1149</v>
      </c>
      <c r="G120" s="173" t="s">
        <v>2081</v>
      </c>
      <c r="H120" s="174" t="str">
        <f>$AI$13</f>
        <v>IRDPH</v>
      </c>
      <c r="I120" s="174" t="str">
        <f t="shared" si="22"/>
        <v>INDRWH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INDRWH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INDRWH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INDRDPHDSLN1</v>
      </c>
      <c r="E123" s="261" t="str">
        <f>"Industrial heating technology "&amp;$AJ$12&amp;" "&amp;RIGHT(H123,2)&amp;" - Oil boiler (Steam) - new 1"</f>
        <v>Industrial heating technology Paper &amp; Pulp PH - Oil boiler (Steam) - new 1</v>
      </c>
      <c r="F123" s="224" t="s">
        <v>1149</v>
      </c>
      <c r="G123" s="173" t="s">
        <v>2081</v>
      </c>
      <c r="H123" s="174" t="str">
        <f>$AI$14</f>
        <v>IRDPH</v>
      </c>
      <c r="I123" s="174" t="str">
        <f t="shared" si="22"/>
        <v>INDRWH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INDRWH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INDRWH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INDRDSHDSLN1</v>
      </c>
      <c r="E126" s="261" t="str">
        <f>"Industrial heating technology "&amp;$AJ$12&amp;" "&amp;RIGHT(H126,2)&amp;" - Oil boiler (Steam) - new 1"</f>
        <v>Industrial heating technology Paper &amp; Pulp SH - Oil boiler (Steam) - new 1</v>
      </c>
      <c r="F126" s="224" t="s">
        <v>1149</v>
      </c>
      <c r="G126" s="173" t="s">
        <v>2081</v>
      </c>
      <c r="H126" s="174" t="str">
        <f>$AI$15</f>
        <v>IRDSH</v>
      </c>
      <c r="I126" s="174" t="str">
        <f t="shared" si="22"/>
        <v>INDRWH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INDRWH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INDRWH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INDRDPHDSLN2</v>
      </c>
      <c r="E129" s="707" t="str">
        <f>"Industrial heating technology "&amp;$AJ$12&amp;" "&amp;RIGHT(H129,2)&amp;" - Oil boiler (Steam - condensing) - new 2"</f>
        <v>Industrial heating technology Paper &amp; Pulp PH - Oil boiler (Steam - condensing) - new 2</v>
      </c>
      <c r="F129" s="224" t="s">
        <v>1149</v>
      </c>
      <c r="G129" s="173" t="s">
        <v>2081</v>
      </c>
      <c r="H129" s="708" t="str">
        <f>$AI$14</f>
        <v>IRDPH</v>
      </c>
      <c r="I129" s="708" t="str">
        <f t="shared" si="143"/>
        <v>INDRWH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INDRWH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INDRWH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INDRDSHDSLN2</v>
      </c>
      <c r="E132" s="261" t="str">
        <f>"Industrial heating technology "&amp;$AJ$12&amp;" "&amp;RIGHT(H132,2)&amp;" - Oil boiler (Steam - condensing) - new 2"</f>
        <v>Industrial heating technology Paper &amp; Pulp SH - Oil boiler (Steam - condensing) - new 2</v>
      </c>
      <c r="F132" s="224" t="s">
        <v>1149</v>
      </c>
      <c r="G132" s="173" t="s">
        <v>2081</v>
      </c>
      <c r="H132" s="174" t="str">
        <f>$AI$15</f>
        <v>IRDSH</v>
      </c>
      <c r="I132" s="174" t="str">
        <f t="shared" si="143"/>
        <v>INDRWH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INDRWH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INDRWH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INDRDPHGASN1</v>
      </c>
      <c r="E135" s="261" t="str">
        <f>"Industrial heating technology "&amp;$AJ$12&amp;" "&amp;RIGHT(H135,2)&amp;" - Gas boiler (Steam) - new 1"</f>
        <v>Industrial heating technology Paper &amp; Pulp PH - Gas boiler (Steam) - new 1</v>
      </c>
      <c r="F135" s="224" t="s">
        <v>1149</v>
      </c>
      <c r="G135" s="173" t="s">
        <v>2080</v>
      </c>
      <c r="H135" s="174" t="str">
        <f>$AI$13</f>
        <v>IRDPH</v>
      </c>
      <c r="I135" s="174" t="str">
        <f t="shared" si="143"/>
        <v>INDRWH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INDRWH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INDRWH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INDRDPHGASN1</v>
      </c>
      <c r="E138" s="261" t="str">
        <f>"Industrial heating technology "&amp;$AJ$12&amp;" "&amp;RIGHT(H138,2)&amp;" - Gas boiler (Steam) - new 1"</f>
        <v>Industrial heating technology Paper &amp; Pulp PH - Gas boiler (Steam) - new 1</v>
      </c>
      <c r="F138" s="224" t="s">
        <v>1149</v>
      </c>
      <c r="G138" s="173" t="s">
        <v>2080</v>
      </c>
      <c r="H138" s="174" t="str">
        <f>$AI$14</f>
        <v>IRDPH</v>
      </c>
      <c r="I138" s="174" t="str">
        <f t="shared" si="143"/>
        <v>INDRWH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INDRWH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INDRWH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INDRDSHGASN1</v>
      </c>
      <c r="E141" s="261" t="str">
        <f>"Industrial heating technology "&amp;$AJ$12&amp;" "&amp;RIGHT(H141,2)&amp;" - Gas boiler (Steam) - new 1"</f>
        <v>Industrial heating technology Paper &amp; Pulp SH - Gas boiler (Steam) - new 1</v>
      </c>
      <c r="F141" s="224" t="s">
        <v>1149</v>
      </c>
      <c r="G141" s="173" t="s">
        <v>2080</v>
      </c>
      <c r="H141" s="174" t="str">
        <f>$AI$15</f>
        <v>IRDSH</v>
      </c>
      <c r="I141" s="174" t="str">
        <f t="shared" si="143"/>
        <v>INDRWH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INDRWH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INDRWH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INDRDPHGASN2</v>
      </c>
      <c r="E144" s="707" t="str">
        <f>"Industrial heating technology "&amp;$AJ$12&amp;" "&amp;RIGHT(H144,2)&amp;" - Gas boiler (Steam - condensing) - new 2"</f>
        <v>Industrial heating technology Paper &amp; Pulp PH - Gas boiler (Steam - condensing) - new 2</v>
      </c>
      <c r="F144" s="224" t="s">
        <v>1149</v>
      </c>
      <c r="G144" s="173" t="s">
        <v>2080</v>
      </c>
      <c r="H144" s="708" t="str">
        <f>$AI$14</f>
        <v>IRDPH</v>
      </c>
      <c r="I144" s="708" t="str">
        <f t="shared" si="143"/>
        <v>INDRWH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INDRWH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INDRWH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INDRDSHGASN2</v>
      </c>
      <c r="E147" s="261" t="str">
        <f>"Industrial heating technology "&amp;$AJ$12&amp;" "&amp;RIGHT(H147,2)&amp;" - Gas boiler (Steam - condensing) - new 2"</f>
        <v>Industrial heating technology Paper &amp; Pulp SH - Gas boiler (Steam - condensing) - new 2</v>
      </c>
      <c r="F147" s="224" t="s">
        <v>1149</v>
      </c>
      <c r="G147" s="173" t="s">
        <v>2080</v>
      </c>
      <c r="H147" s="174" t="str">
        <f>$AI$15</f>
        <v>IRDSH</v>
      </c>
      <c r="I147" s="174" t="str">
        <f t="shared" si="143"/>
        <v>INDRWH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INDRWH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INDRWH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INDRDPHGASN3</v>
      </c>
      <c r="E150" s="707" t="str">
        <f>"Industrial heating technology "&amp;$AJ$12&amp;" "&amp;RIGHT(H150,2)&amp;" - Gas boiler (Hot Water) - new 3"</f>
        <v>Industrial heating technology Paper &amp; Pulp PH - Gas boiler (Hot Water) - new 3</v>
      </c>
      <c r="F150" s="224" t="s">
        <v>1149</v>
      </c>
      <c r="G150" s="173" t="s">
        <v>2080</v>
      </c>
      <c r="H150" s="708" t="str">
        <f>$AI$14</f>
        <v>IRDPH</v>
      </c>
      <c r="I150" s="708" t="str">
        <f t="shared" si="143"/>
        <v>INDRWH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INDRWH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INDRWH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INDRDSHGASN3</v>
      </c>
      <c r="E153" s="261" t="str">
        <f>"Industrial heating technology "&amp;$AJ$12&amp;" "&amp;RIGHT(H153,2)&amp;" - Gas boiler (Hot Water) - new 3"</f>
        <v>Industrial heating technology Paper &amp; Pulp SH - Gas boiler (Hot Water) - new 3</v>
      </c>
      <c r="F153" s="224" t="s">
        <v>1149</v>
      </c>
      <c r="G153" s="173" t="s">
        <v>2080</v>
      </c>
      <c r="H153" s="174" t="str">
        <f>$AI$15</f>
        <v>IRDSH</v>
      </c>
      <c r="I153" s="174" t="str">
        <f t="shared" si="143"/>
        <v>INDRWH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INDRWH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INDRWH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INDRDPHGASN4</v>
      </c>
      <c r="E156" s="707" t="str">
        <f>"Industrial heating technology "&amp;$AJ$12&amp;" "&amp;RIGHT(H156,2)&amp;" - Gas boiler (Hot Water - condensing) - new 4"</f>
        <v>Industrial heating technology Paper &amp; Pulp PH - Gas boiler (Hot Water - condensing) - new 4</v>
      </c>
      <c r="F156" s="224" t="s">
        <v>1149</v>
      </c>
      <c r="G156" s="173" t="s">
        <v>2080</v>
      </c>
      <c r="H156" s="708" t="str">
        <f>$AI$14</f>
        <v>IRDPH</v>
      </c>
      <c r="I156" s="708" t="str">
        <f t="shared" si="143"/>
        <v>INDRWH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INDRWH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INDRWH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INDRDSHGASN4</v>
      </c>
      <c r="E159" s="261" t="str">
        <f>"Industrial heating technology "&amp;$AJ$12&amp;" "&amp;RIGHT(H159,2)&amp;" - Gas boiler (Hot Water- condensing) - new 4"</f>
        <v>Industrial heating technology Paper &amp; Pulp SH - Gas boiler (Hot Water- condensing) - new 4</v>
      </c>
      <c r="F159" s="224" t="s">
        <v>1149</v>
      </c>
      <c r="G159" s="173" t="s">
        <v>2080</v>
      </c>
      <c r="H159" s="174" t="str">
        <f>$AI$15</f>
        <v>IRDSH</v>
      </c>
      <c r="I159" s="174" t="str">
        <f t="shared" si="143"/>
        <v>INDRWH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INDRWH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INDRWH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INDRDPHGASN5</v>
      </c>
      <c r="E162" s="707" t="str">
        <f>"Industrial heating technology "&amp;$AJ$12&amp;" "&amp;RIGHT(H162,2)&amp;" - Gas boiler (Direct firing) - new 5"</f>
        <v>Industrial heating technology Paper &amp; Pulp PH - Gas boiler (Direct firing) - new 5</v>
      </c>
      <c r="F162" s="224" t="s">
        <v>1149</v>
      </c>
      <c r="G162" s="173" t="s">
        <v>2080</v>
      </c>
      <c r="H162" s="174" t="str">
        <f>$AI$13</f>
        <v>IRDPH</v>
      </c>
      <c r="I162" s="174" t="str">
        <f t="shared" si="143"/>
        <v>INDRWH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INDRWH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INDRWH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INDRDPHGASN5</v>
      </c>
      <c r="E165" s="261" t="str">
        <f>"Industrial heating technology "&amp;$AJ$12&amp;" "&amp;RIGHT(H165,2)&amp;" - Gas boiler (Direct firing) - new 5"</f>
        <v>Industrial heating technology Paper &amp; Pulp PH - Gas boiler (Direct firing) - new 5</v>
      </c>
      <c r="F165" s="224" t="s">
        <v>1149</v>
      </c>
      <c r="G165" s="173" t="s">
        <v>2080</v>
      </c>
      <c r="H165" s="174" t="str">
        <f>$AI$14</f>
        <v>IRDPH</v>
      </c>
      <c r="I165" s="721" t="str">
        <f t="shared" si="143"/>
        <v>INDRWH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INDRWH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INDRWH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INDRDPHCOAN1</v>
      </c>
      <c r="E168" s="261" t="str">
        <f>"Industrial heating technology "&amp;$AJ$12&amp;" "&amp;RIGHT(H168,2)&amp;" - Coal boiler (Steam) - new 1"</f>
        <v>Industrial heating technology Paper &amp; Pulp PH - Coal boiler (Steam) - new 1</v>
      </c>
      <c r="F168" s="224" t="s">
        <v>1149</v>
      </c>
      <c r="G168" s="55" t="s">
        <v>617</v>
      </c>
      <c r="H168" s="174" t="str">
        <f>$AI$13</f>
        <v>IRDPH</v>
      </c>
      <c r="I168" s="174" t="str">
        <f t="shared" si="143"/>
        <v>INDRWH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INDRWH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INDRWH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INDRDPHCOAN1</v>
      </c>
      <c r="E171" s="261" t="str">
        <f>"Industrial heating technology "&amp;$AJ$12&amp;" "&amp;RIGHT(H171,2)&amp;" - Coal boiler (Steam) - new 1"</f>
        <v>Industrial heating technology Paper &amp; Pulp PH - Coal boiler (Steam) - new 1</v>
      </c>
      <c r="F171" s="224" t="s">
        <v>1149</v>
      </c>
      <c r="G171" s="55" t="s">
        <v>617</v>
      </c>
      <c r="H171" s="174" t="str">
        <f>$AI$14</f>
        <v>IRDPH</v>
      </c>
      <c r="I171" s="174" t="str">
        <f t="shared" si="143"/>
        <v>INDRWH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INDRWH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INDRWH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INDRDSHCOAN1</v>
      </c>
      <c r="E174" s="261" t="str">
        <f>"Industrial heating technology "&amp;$AJ$12&amp;" "&amp;RIGHT(H174,2)&amp;" - Coal boiler (Steam) - new 1"</f>
        <v>Industrial heating technology Paper &amp; Pulp SH - Coal boiler (Steam) - new 1</v>
      </c>
      <c r="F174" s="224" t="s">
        <v>1149</v>
      </c>
      <c r="G174" s="55" t="s">
        <v>617</v>
      </c>
      <c r="H174" s="174" t="str">
        <f>$AI$15</f>
        <v>IRDSH</v>
      </c>
      <c r="I174" s="174" t="str">
        <f t="shared" si="143"/>
        <v>INDRWH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INDRWH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INDRWH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INDRDPHCOAN2</v>
      </c>
      <c r="E177" s="261" t="str">
        <f>"Industrial heating technology "&amp;$AJ$12&amp;" "&amp;RIGHT(H177,2)&amp;" - Coal boiler (Hot Water) - new 2"</f>
        <v>Industrial heating technology Paper &amp; Pulp PH - Coal boiler (Hot Water) - new 2</v>
      </c>
      <c r="F177" s="224" t="s">
        <v>1149</v>
      </c>
      <c r="G177" s="55" t="s">
        <v>617</v>
      </c>
      <c r="H177" s="174" t="str">
        <f>$AI$14</f>
        <v>IRDPH</v>
      </c>
      <c r="I177" s="174" t="str">
        <f t="shared" si="143"/>
        <v>INDRWH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INDRWH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INDRWH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INDRDSHCOAN2</v>
      </c>
      <c r="E180" s="261" t="str">
        <f>"Industrial heating technology "&amp;$AJ$12&amp;" "&amp;RIGHT(H180,2)&amp;" - Coal boiler (Hot Water) - new 2"</f>
        <v>Industrial heating technology Paper &amp; Pulp SH - Coal boiler (Hot Water) - new 2</v>
      </c>
      <c r="F180" s="224" t="s">
        <v>1149</v>
      </c>
      <c r="G180" s="55" t="s">
        <v>617</v>
      </c>
      <c r="H180" s="174" t="str">
        <f>$AI$15</f>
        <v>IRDSH</v>
      </c>
      <c r="I180" s="174" t="str">
        <f t="shared" si="143"/>
        <v>INDRWH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INDRWH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INDRWH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INDRDSHSOLN1</v>
      </c>
      <c r="E183" s="261" t="str">
        <f>"Industrial heating technology "&amp;$AJ$12&amp;" "&amp;RIGHT(H183,2)&amp;" - Solar - new 1"</f>
        <v>Industrial heating technology Paper &amp; Pulp SH - Solar - new 1</v>
      </c>
      <c r="F183" s="224" t="s">
        <v>1149</v>
      </c>
      <c r="G183" s="55" t="s">
        <v>500</v>
      </c>
      <c r="H183" s="174" t="str">
        <f>$AI$15</f>
        <v>IRDSH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INDRDSHHCEN1</v>
      </c>
      <c r="E187" s="224" t="str">
        <f>"Industrial heating technology "&amp;$AJ$12&amp;" "&amp;RIGHT(H187,2)&amp;" - central district heating - within DH area - new 1"</f>
        <v>Industrial heating technology Paper &amp; Pulp SH - central district heating - within DH area - new 1</v>
      </c>
      <c r="F187" s="224" t="s">
        <v>1149</v>
      </c>
      <c r="G187" s="225" t="s">
        <v>501</v>
      </c>
      <c r="H187" s="225" t="str">
        <f>AI15</f>
        <v>IRDSH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INDRDPHHCEN1</v>
      </c>
      <c r="E188" s="224" t="str">
        <f>"Industrial heating technology "&amp;$AJ$12&amp;" "&amp;RIGHT(H188,2)&amp;" - central district heating - within DH area - new 1"</f>
        <v>Industrial heating technology Paper &amp; Pulp PH - central district heating - within DH area - new 1</v>
      </c>
      <c r="F188" s="224" t="s">
        <v>1149</v>
      </c>
      <c r="G188" s="225" t="s">
        <v>501</v>
      </c>
      <c r="H188" s="281" t="str">
        <f>AI14</f>
        <v>IRDPH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INDRDSHHSEN1</v>
      </c>
      <c r="E189" s="224" t="str">
        <f>"Industrial heating technology "&amp;$AJ$12&amp;" "&amp;RIGHT(H189,2)&amp;" - central district heating - within DH area - new 1"</f>
        <v>Industrial heating technology Paper &amp; Pulp SH - central district heating - within DH area - new 1</v>
      </c>
      <c r="F189" s="224" t="s">
        <v>1149</v>
      </c>
      <c r="G189" s="225" t="s">
        <v>2124</v>
      </c>
      <c r="H189" s="225" t="str">
        <f>H187</f>
        <v>IRDSH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INDRDPHHSEN1</v>
      </c>
      <c r="E190" s="224" t="str">
        <f>"Industrial heating technology "&amp;$AJ$12&amp;" "&amp;RIGHT(H190,2)&amp;" - central district heating - within DH area - new 1"</f>
        <v>Industrial heating technology Paper &amp; Pulp PH - central district heating - within DH area - new 1</v>
      </c>
      <c r="F190" s="224" t="s">
        <v>1149</v>
      </c>
      <c r="G190" s="225" t="s">
        <v>2124</v>
      </c>
      <c r="H190" s="225" t="str">
        <f>H188</f>
        <v>IRDPH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INDRDSHHDEN1</v>
      </c>
      <c r="E191" s="224" t="str">
        <f>"Industrial heating technology "&amp;$AJ$12&amp;" "&amp;RIGHT(H191,2)&amp;" - decentral district heating - within DH area - new 1"</f>
        <v>Industrial heating technology Paper &amp; Pulp SH - decentral district heating - within DH area - new 1</v>
      </c>
      <c r="F191" s="224" t="s">
        <v>1149</v>
      </c>
      <c r="G191" s="259" t="s">
        <v>502</v>
      </c>
      <c r="H191" s="265" t="str">
        <f>AI15</f>
        <v>IRDSH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INDRDPHHDEN1</v>
      </c>
      <c r="E192" s="224" t="str">
        <f>"Industrial heating technology "&amp;$AJ$12&amp;" "&amp;RIGHT(H192,2)&amp;" - decentral district heating - within DH area - new 1"</f>
        <v>Industrial heating technology Paper &amp; Pulp PH - decentral district heating - within DH area - new 1</v>
      </c>
      <c r="F192" s="224" t="s">
        <v>1149</v>
      </c>
      <c r="G192" s="259" t="s">
        <v>502</v>
      </c>
      <c r="H192" s="225" t="str">
        <f>AI14</f>
        <v>IRDPH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INDRDLAELCN1</v>
      </c>
      <c r="E194" s="224" t="str">
        <f>"Industry "&amp;$AJ$12&amp;" "&amp;RIGHT(H194,2)&amp;" Electricity Light Appliance - New 1"</f>
        <v>Industry Paper &amp; Pulp LA Electricity Light Appliance - New 1</v>
      </c>
      <c r="F194" s="224" t="s">
        <v>1149</v>
      </c>
      <c r="G194" s="225" t="s">
        <v>499</v>
      </c>
      <c r="H194" s="225" t="str">
        <f>AI16</f>
        <v>IRDLA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INDRDEMELCN1</v>
      </c>
      <c r="E198" s="224" t="str">
        <f>"Industry "&amp;$AJ$12&amp;" "&amp;RIGHT(H198,2)&amp;" Electricity Motors - New 1"</f>
        <v>Industry Paper &amp; Pulp EM Electricity Motors - New 1</v>
      </c>
      <c r="F198" s="224" t="s">
        <v>1149</v>
      </c>
      <c r="G198" s="225" t="s">
        <v>499</v>
      </c>
      <c r="H198" s="225" t="str">
        <f>AI17</f>
        <v>IRDEM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INDRDTFDSLN1</v>
      </c>
      <c r="E202" s="224" t="str">
        <f>"Industry "&amp;$AJ$12&amp;" "&amp;RIGHT(H202,2)&amp;" Tractors, Trucks, Fishing boats - New 1"</f>
        <v>Industry Paper &amp; Pulp TF Tractors, Trucks, Fishing boats - New 1</v>
      </c>
      <c r="F202" s="224" t="s">
        <v>1149</v>
      </c>
      <c r="G202" s="173" t="s">
        <v>2081</v>
      </c>
      <c r="H202" s="174" t="str">
        <f>$AI$18</f>
        <v>IRDTF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INDRDTFH2GN2</v>
      </c>
      <c r="E206" s="224" t="str">
        <f>"Industry "&amp;$AJ$12&amp;" "&amp;RIGHT(H206,2)&amp;" Tractors, Trucks, Fishing boats - New 2"</f>
        <v>Industry Paper &amp; Pulp TF Tractors, Trucks, Fishing boats - New 2</v>
      </c>
      <c r="F206" s="224" t="s">
        <v>1149</v>
      </c>
      <c r="G206" s="55" t="s">
        <v>2077</v>
      </c>
      <c r="H206" s="174" t="str">
        <f>$AI$18</f>
        <v>IRDTF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INDRDTFELCN3</v>
      </c>
      <c r="E210" s="224" t="str">
        <f>"Industry "&amp;$AJ$12&amp;" "&amp;RIGHT(H210,2)&amp;" Tractors, Trucks, Fishing boats - New 3"</f>
        <v>Industry Paper &amp; Pulp TF Tractors, Trucks, Fishing boats - New 3</v>
      </c>
      <c r="F210" s="224" t="s">
        <v>1149</v>
      </c>
      <c r="G210" s="55" t="s">
        <v>499</v>
      </c>
      <c r="H210" s="174" t="str">
        <f>$AI$18</f>
        <v>IRDTF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INDRDFLSYNN1</v>
      </c>
      <c r="E214" s="224" t="str">
        <f>"Industry "&amp;$AJ$12&amp;" "&amp;RIGHT(H202,2)&amp;" Forklifts - New 1"</f>
        <v>Industry Paper &amp; Pulp TF Forklifts - New 1</v>
      </c>
      <c r="F214" s="224" t="s">
        <v>1149</v>
      </c>
      <c r="G214" s="173" t="s">
        <v>2082</v>
      </c>
      <c r="H214" s="224" t="str">
        <f>AI19</f>
        <v>IRDFL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INDRDCOELCN1</v>
      </c>
      <c r="E218" s="224" t="str">
        <f>"Industry "&amp;$AJ$12&amp;" "&amp;RIGHT(H218,2)&amp;" Cooling - New 1"</f>
        <v>Industry Paper &amp; Pulp CO Cooling - New 1</v>
      </c>
      <c r="F218" s="224" t="s">
        <v>1149</v>
      </c>
      <c r="G218" s="173" t="s">
        <v>499</v>
      </c>
      <c r="H218" s="224" t="str">
        <f>AI21</f>
        <v>IRDCO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INDRDPHELCN1</v>
      </c>
      <c r="E229" s="212" t="str">
        <f t="shared" ref="E229:E260" si="266">VLOOKUP(D229,$D$9:$E$222,2,FALSE)</f>
        <v>Industrial heating technology Paper &amp; Pulp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INDRDSHELCN1</v>
      </c>
      <c r="E230" s="212" t="str">
        <f t="shared" ca="1" si="266"/>
        <v>Industrial heating technology Paper &amp; Pulp SH - Heat pump utilizing waste heat - new 1</v>
      </c>
      <c r="F230" s="262" t="s">
        <v>450</v>
      </c>
      <c r="G230" s="262" t="s">
        <v>449</v>
      </c>
      <c r="H230" s="263" t="s">
        <v>620</v>
      </c>
      <c r="I230" s="301"/>
      <c r="J230" s="264" t="s">
        <v>469</v>
      </c>
    </row>
    <row r="231" spans="1:10">
      <c r="A231" s="169"/>
      <c r="D231" s="212" t="str">
        <f t="shared" ca="1" si="267"/>
        <v>INDRDPHELCN2</v>
      </c>
      <c r="E231" s="212" t="str">
        <f t="shared" ca="1" si="266"/>
        <v>Industrial heating technology Paper &amp; Pulp PH - Heat driven heat pump utilizing waste heat - new 2</v>
      </c>
      <c r="F231" s="211" t="s">
        <v>450</v>
      </c>
      <c r="G231" s="211" t="s">
        <v>449</v>
      </c>
      <c r="H231" s="263" t="s">
        <v>620</v>
      </c>
      <c r="I231" s="208"/>
      <c r="J231" s="264" t="s">
        <v>469</v>
      </c>
    </row>
    <row r="232" spans="1:10">
      <c r="A232" s="169"/>
      <c r="B232" s="211"/>
      <c r="C232" s="211"/>
      <c r="D232" s="212" t="str">
        <f t="shared" ca="1" si="267"/>
        <v>INDRDSHELCN2</v>
      </c>
      <c r="E232" s="212" t="str">
        <f t="shared" ca="1" si="266"/>
        <v>Industrial heating technology Paper &amp; Pulp SH - Heat driven heat pump utilizing waste heat - new 2</v>
      </c>
      <c r="F232" s="262" t="s">
        <v>450</v>
      </c>
      <c r="G232" s="262" t="s">
        <v>449</v>
      </c>
      <c r="H232" s="263" t="s">
        <v>620</v>
      </c>
      <c r="I232" s="264"/>
      <c r="J232" s="264" t="s">
        <v>469</v>
      </c>
    </row>
    <row r="233" spans="1:10">
      <c r="A233" s="169"/>
      <c r="B233" s="211"/>
      <c r="C233" s="211"/>
      <c r="D233" s="212" t="str">
        <f t="shared" ca="1" si="267"/>
        <v>INDRDPHELCN3</v>
      </c>
      <c r="E233" s="212" t="str">
        <f t="shared" ca="1" si="266"/>
        <v>Industrial heating technology Paper &amp; Pulp PH - High Temp abs. Heat pump utilizing waste heat - new 3</v>
      </c>
      <c r="F233" s="262" t="s">
        <v>450</v>
      </c>
      <c r="G233" s="262" t="s">
        <v>449</v>
      </c>
      <c r="H233" s="263" t="s">
        <v>620</v>
      </c>
      <c r="I233" s="264"/>
      <c r="J233" s="264" t="s">
        <v>469</v>
      </c>
    </row>
    <row r="234" spans="1:10">
      <c r="A234" s="169"/>
      <c r="B234" s="211"/>
      <c r="C234" s="211"/>
      <c r="D234" s="212" t="str">
        <f t="shared" ca="1" si="267"/>
        <v>INDRDSHELCN3</v>
      </c>
      <c r="E234" s="212" t="str">
        <f t="shared" ca="1" si="266"/>
        <v>Industrial heating technology Paper &amp; Pulp SH - High Temp abs. Heat pump utilizing waste heat - new 3</v>
      </c>
      <c r="F234" s="262" t="s">
        <v>450</v>
      </c>
      <c r="G234" s="262" t="s">
        <v>449</v>
      </c>
      <c r="H234" s="263" t="s">
        <v>620</v>
      </c>
      <c r="I234" s="264"/>
      <c r="J234" s="264" t="s">
        <v>469</v>
      </c>
    </row>
    <row r="235" spans="1:10">
      <c r="A235" s="169"/>
      <c r="B235" s="211"/>
      <c r="C235" s="211"/>
      <c r="D235" s="212" t="str">
        <f t="shared" ca="1" si="267"/>
        <v>INDRDPHELCN4</v>
      </c>
      <c r="E235" s="212" t="str">
        <f t="shared" ca="1" si="266"/>
        <v>Industrial heating technology Paper &amp; Pulp PH - Booster Heat pump utilizing waste heat - new 4</v>
      </c>
      <c r="F235" s="262" t="s">
        <v>450</v>
      </c>
      <c r="G235" s="262" t="s">
        <v>449</v>
      </c>
      <c r="H235" s="263" t="s">
        <v>620</v>
      </c>
      <c r="I235" s="264"/>
      <c r="J235" s="264" t="s">
        <v>469</v>
      </c>
    </row>
    <row r="236" spans="1:10">
      <c r="A236" s="169"/>
      <c r="B236" s="211"/>
      <c r="C236" s="211"/>
      <c r="D236" s="212" t="str">
        <f t="shared" ca="1" si="267"/>
        <v>INDRDSHELCN4</v>
      </c>
      <c r="E236" s="212" t="str">
        <f t="shared" ca="1" si="266"/>
        <v>Industrial heating technology Paper &amp; Pulp SH - Booster Heat pump utilizing waste heat - new 4</v>
      </c>
      <c r="F236" s="262" t="s">
        <v>450</v>
      </c>
      <c r="G236" s="262" t="s">
        <v>449</v>
      </c>
      <c r="H236" s="263" t="s">
        <v>620</v>
      </c>
      <c r="I236" s="264"/>
      <c r="J236" s="264" t="s">
        <v>469</v>
      </c>
    </row>
    <row r="237" spans="1:10">
      <c r="A237" s="169"/>
      <c r="B237" s="211"/>
      <c r="C237" s="211"/>
      <c r="D237" s="212" t="str">
        <f t="shared" ca="1" si="267"/>
        <v>INDRDPHELCN5</v>
      </c>
      <c r="E237" s="212" t="str">
        <f t="shared" ca="1" si="266"/>
        <v>Industrial heating technology Paper &amp; Pulp PH - MVR utilizing waste heat - new 5</v>
      </c>
      <c r="F237" s="262" t="s">
        <v>450</v>
      </c>
      <c r="G237" s="262" t="s">
        <v>449</v>
      </c>
      <c r="H237" s="263"/>
      <c r="I237" s="264"/>
      <c r="J237" s="264" t="s">
        <v>469</v>
      </c>
    </row>
    <row r="238" spans="1:10">
      <c r="A238" s="169"/>
      <c r="B238" s="211"/>
      <c r="C238" s="211"/>
      <c r="D238" s="212" t="str">
        <f t="shared" ca="1" si="267"/>
        <v>INDRDPHWSTN1</v>
      </c>
      <c r="E238" s="212" t="str">
        <f t="shared" ca="1" si="266"/>
        <v>Industrial heating technology Paper &amp; Pulp PH - Hotdisc - new 1</v>
      </c>
      <c r="F238" s="262" t="s">
        <v>450</v>
      </c>
      <c r="G238" s="262" t="s">
        <v>449</v>
      </c>
      <c r="H238" s="263" t="s">
        <v>620</v>
      </c>
      <c r="I238" s="264"/>
      <c r="J238" s="264" t="s">
        <v>469</v>
      </c>
    </row>
    <row r="239" spans="1:10">
      <c r="A239" s="169"/>
      <c r="B239" s="211"/>
      <c r="C239" s="211"/>
      <c r="D239" s="212" t="str">
        <f t="shared" ref="D239:D278" ca="1" si="268">OFFSET($D$9,(ROW(D19)*3),0)</f>
        <v>INDRDPHELCN6</v>
      </c>
      <c r="E239" s="212" t="str">
        <f t="shared" ca="1" si="266"/>
        <v>Industrial heating technology Paper &amp; Pulp PH - Dielectric heating - new 6</v>
      </c>
      <c r="F239" s="262" t="s">
        <v>450</v>
      </c>
      <c r="G239" s="262" t="s">
        <v>449</v>
      </c>
      <c r="H239" s="263" t="s">
        <v>620</v>
      </c>
      <c r="I239" s="264"/>
      <c r="J239" s="264" t="s">
        <v>469</v>
      </c>
    </row>
    <row r="240" spans="1:10">
      <c r="A240" s="169"/>
      <c r="B240" s="211"/>
      <c r="C240" s="211"/>
      <c r="D240" s="212" t="str">
        <f t="shared" ca="1" si="268"/>
        <v>INDRDPHELCN7</v>
      </c>
      <c r="E240" s="212" t="str">
        <f t="shared" ca="1" si="266"/>
        <v>Industrial heating technology Paper &amp; Pulp PH - Infrared heating - new 7</v>
      </c>
      <c r="F240" s="262" t="s">
        <v>450</v>
      </c>
      <c r="G240" s="262" t="s">
        <v>449</v>
      </c>
      <c r="H240" s="263" t="s">
        <v>620</v>
      </c>
      <c r="I240" s="264"/>
      <c r="J240" s="264" t="s">
        <v>469</v>
      </c>
    </row>
    <row r="241" spans="1:16">
      <c r="A241" s="169"/>
      <c r="B241" s="211"/>
      <c r="C241" s="211"/>
      <c r="D241" s="212" t="str">
        <f t="shared" ca="1" si="268"/>
        <v>INDRDPHELCN8</v>
      </c>
      <c r="E241" s="212" t="str">
        <f t="shared" ca="1" si="266"/>
        <v>Industrial heating technology Paper &amp; Pulp PH - Electric boiler (Steam) - new 8</v>
      </c>
      <c r="F241" s="262" t="s">
        <v>450</v>
      </c>
      <c r="G241" s="262" t="s">
        <v>449</v>
      </c>
      <c r="H241" s="263" t="s">
        <v>620</v>
      </c>
      <c r="I241" s="264"/>
      <c r="J241" s="264" t="s">
        <v>469</v>
      </c>
    </row>
    <row r="242" spans="1:16">
      <c r="A242" s="169"/>
      <c r="B242" s="211"/>
      <c r="C242" s="211"/>
      <c r="D242" s="212" t="str">
        <f t="shared" ca="1" si="268"/>
        <v>INDRDPHELCN8</v>
      </c>
      <c r="E242" s="212" t="str">
        <f t="shared" ca="1" si="266"/>
        <v>Industrial heating technology Paper &amp; Pulp PH - Electric boiler (Steam) - new 8</v>
      </c>
      <c r="F242" s="262" t="s">
        <v>450</v>
      </c>
      <c r="G242" s="262" t="s">
        <v>449</v>
      </c>
      <c r="H242" s="263" t="s">
        <v>620</v>
      </c>
      <c r="I242" s="264"/>
      <c r="J242" s="264" t="s">
        <v>469</v>
      </c>
    </row>
    <row r="243" spans="1:16">
      <c r="A243" s="169"/>
      <c r="B243" s="211"/>
      <c r="C243" s="211"/>
      <c r="D243" s="212" t="str">
        <f t="shared" ca="1" si="268"/>
        <v>INDRDSHELCN8</v>
      </c>
      <c r="E243" s="212" t="str">
        <f t="shared" ca="1" si="266"/>
        <v>Industrial heating technology Paper &amp; Pulp SH - Electric boiler (Steam) - new 8</v>
      </c>
      <c r="F243" s="262" t="s">
        <v>450</v>
      </c>
      <c r="G243" s="262" t="s">
        <v>449</v>
      </c>
      <c r="H243" s="263" t="s">
        <v>620</v>
      </c>
      <c r="I243" s="264"/>
      <c r="J243" s="264" t="s">
        <v>469</v>
      </c>
      <c r="P243" s="173"/>
    </row>
    <row r="244" spans="1:16">
      <c r="A244" s="169"/>
      <c r="B244" s="211"/>
      <c r="C244" s="211"/>
      <c r="D244" s="212" t="str">
        <f t="shared" ca="1" si="268"/>
        <v>INDRDPHELCN9</v>
      </c>
      <c r="E244" s="212" t="str">
        <f t="shared" ca="1" si="266"/>
        <v>Industrial heating technology Paper &amp; Pulp PH - Electric boiler (Hot Water) - new 9</v>
      </c>
      <c r="F244" s="262" t="s">
        <v>450</v>
      </c>
      <c r="G244" s="262" t="s">
        <v>449</v>
      </c>
      <c r="H244" s="263" t="s">
        <v>620</v>
      </c>
      <c r="I244" s="264"/>
      <c r="J244" s="264" t="s">
        <v>469</v>
      </c>
      <c r="P244" s="173"/>
    </row>
    <row r="245" spans="1:16">
      <c r="A245" s="169"/>
      <c r="B245" s="211"/>
      <c r="C245" s="211"/>
      <c r="D245" s="212" t="str">
        <f t="shared" ca="1" si="268"/>
        <v>INDRDSHELCN9</v>
      </c>
      <c r="E245" s="212" t="str">
        <f t="shared" ca="1" si="266"/>
        <v>Industrial heating technology Paper &amp; Pulp SH - Electric boiler (Hot Water) - new 9</v>
      </c>
      <c r="F245" s="262" t="s">
        <v>450</v>
      </c>
      <c r="G245" s="262" t="s">
        <v>449</v>
      </c>
      <c r="H245" s="263" t="s">
        <v>620</v>
      </c>
      <c r="I245" s="264"/>
      <c r="J245" s="264" t="s">
        <v>469</v>
      </c>
      <c r="P245" s="173"/>
    </row>
    <row r="246" spans="1:16">
      <c r="A246" s="169"/>
      <c r="B246" s="211"/>
      <c r="C246" s="211"/>
      <c r="D246" s="212" t="str">
        <f t="shared" ca="1" si="268"/>
        <v>INDRDPHWCHN1</v>
      </c>
      <c r="E246" s="212" t="str">
        <f t="shared" ca="1" si="266"/>
        <v>Industrial heating technology Paper &amp; Pulp PH - Wood chip boiler (Steam) - new 1</v>
      </c>
      <c r="F246" s="262" t="s">
        <v>450</v>
      </c>
      <c r="G246" s="262" t="s">
        <v>449</v>
      </c>
      <c r="H246" s="263"/>
      <c r="I246" s="264"/>
      <c r="J246" s="264" t="s">
        <v>469</v>
      </c>
      <c r="P246" s="173"/>
    </row>
    <row r="247" spans="1:16">
      <c r="A247" s="169"/>
      <c r="B247" s="211"/>
      <c r="C247" s="211"/>
      <c r="D247" s="212" t="str">
        <f t="shared" ca="1" si="268"/>
        <v>INDRDPHWCHN1</v>
      </c>
      <c r="E247" s="212" t="str">
        <f t="shared" ca="1" si="266"/>
        <v>Industrial heating technology Paper &amp; Pulp PH - Wood chip boiler (Steam) - new 1</v>
      </c>
      <c r="F247" s="262" t="s">
        <v>450</v>
      </c>
      <c r="G247" s="262" t="s">
        <v>449</v>
      </c>
      <c r="H247" s="263"/>
      <c r="I247" s="264"/>
      <c r="J247" s="264" t="s">
        <v>469</v>
      </c>
      <c r="M247" s="171"/>
      <c r="N247" s="171"/>
      <c r="P247" s="173"/>
    </row>
    <row r="248" spans="1:16">
      <c r="A248" s="169"/>
      <c r="B248" s="211"/>
      <c r="C248" s="211"/>
      <c r="D248" s="212" t="str">
        <f t="shared" ca="1" si="268"/>
        <v>INDRDSHWCHN1</v>
      </c>
      <c r="E248" s="212" t="str">
        <f t="shared" ca="1" si="266"/>
        <v>Industrial heating technology Paper &amp; Pulp SH - Wood chip boiler (Steam) - new 1</v>
      </c>
      <c r="F248" s="262" t="s">
        <v>450</v>
      </c>
      <c r="G248" s="262" t="s">
        <v>449</v>
      </c>
      <c r="H248" s="263"/>
      <c r="I248" s="264"/>
      <c r="J248" s="264" t="s">
        <v>469</v>
      </c>
      <c r="M248" s="171"/>
      <c r="N248" s="171"/>
      <c r="P248" s="173"/>
    </row>
    <row r="249" spans="1:16">
      <c r="A249" s="169"/>
      <c r="B249" s="211"/>
      <c r="C249" s="211"/>
      <c r="D249" s="212" t="str">
        <f t="shared" ca="1" si="268"/>
        <v>INDRDPHWCHN2</v>
      </c>
      <c r="E249" s="212" t="str">
        <f t="shared" ca="1" si="266"/>
        <v>Industrial heating technology Paper &amp; Pulp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INDRDSHWCHN2</v>
      </c>
      <c r="E250" s="212" t="str">
        <f t="shared" ca="1" si="266"/>
        <v>Industrial heating technology Paper &amp; Pulp SH - Wood chip boiler (Steam - condensing) - new 2</v>
      </c>
      <c r="F250" s="262" t="s">
        <v>450</v>
      </c>
      <c r="G250" s="262" t="s">
        <v>449</v>
      </c>
      <c r="H250" s="263"/>
      <c r="I250" s="264"/>
      <c r="J250" s="264" t="s">
        <v>469</v>
      </c>
    </row>
    <row r="251" spans="1:16">
      <c r="A251" s="169"/>
      <c r="B251" s="212"/>
      <c r="C251" s="212"/>
      <c r="D251" s="212" t="str">
        <f t="shared" ca="1" si="268"/>
        <v>INDRDPHWCHN3</v>
      </c>
      <c r="E251" s="212" t="str">
        <f t="shared" ca="1" si="266"/>
        <v>Industrial heating technology Paper &amp; Pulp PH - Wood chip boiler (Hot Water) - new 3</v>
      </c>
      <c r="F251" s="262" t="s">
        <v>450</v>
      </c>
      <c r="G251" s="262" t="s">
        <v>449</v>
      </c>
      <c r="H251" s="261"/>
      <c r="I251" s="261"/>
      <c r="J251" s="264" t="s">
        <v>469</v>
      </c>
    </row>
    <row r="252" spans="1:16">
      <c r="A252" s="169"/>
      <c r="B252" s="212"/>
      <c r="C252" s="212"/>
      <c r="D252" s="212" t="str">
        <f t="shared" ca="1" si="268"/>
        <v>INDRDSHWCHN3</v>
      </c>
      <c r="E252" s="212" t="str">
        <f t="shared" ca="1" si="266"/>
        <v>Industrial heating technology Paper &amp; Pulp SH - Wood chip boiler (Hot Water) - new 3</v>
      </c>
      <c r="F252" s="262" t="s">
        <v>450</v>
      </c>
      <c r="G252" s="262" t="s">
        <v>449</v>
      </c>
      <c r="H252" s="261"/>
      <c r="I252" s="261"/>
      <c r="J252" s="264" t="s">
        <v>469</v>
      </c>
    </row>
    <row r="253" spans="1:16">
      <c r="A253" s="169"/>
      <c r="B253" s="212"/>
      <c r="C253" s="212"/>
      <c r="D253" s="212" t="str">
        <f t="shared" ca="1" si="268"/>
        <v>INDRDPHWCHN4</v>
      </c>
      <c r="E253" s="212" t="str">
        <f t="shared" ca="1" si="266"/>
        <v>Industrial heating technology Paper &amp; Pulp PH - Wood chip boiler (Hot Water - condensing) - new 4</v>
      </c>
      <c r="F253" s="262" t="s">
        <v>450</v>
      </c>
      <c r="G253" s="262" t="s">
        <v>449</v>
      </c>
      <c r="H253" s="261"/>
      <c r="I253" s="261"/>
      <c r="J253" s="264" t="s">
        <v>469</v>
      </c>
    </row>
    <row r="254" spans="1:16">
      <c r="A254" s="169"/>
      <c r="B254" s="212"/>
      <c r="C254" s="212"/>
      <c r="D254" s="212" t="str">
        <f t="shared" ca="1" si="268"/>
        <v>INDRDSHWCHN4</v>
      </c>
      <c r="E254" s="212" t="str">
        <f t="shared" ca="1" si="266"/>
        <v>Industrial heating technology Paper &amp; Pulp SH - Wood chip boiler (Hot Water- condensing) - new 4</v>
      </c>
      <c r="F254" s="262" t="s">
        <v>450</v>
      </c>
      <c r="G254" s="262" t="s">
        <v>449</v>
      </c>
      <c r="H254" s="261"/>
      <c r="I254" s="261"/>
      <c r="J254" s="264" t="s">
        <v>469</v>
      </c>
    </row>
    <row r="255" spans="1:16">
      <c r="B255" s="212"/>
      <c r="C255" s="212"/>
      <c r="D255" s="212" t="str">
        <f t="shared" ca="1" si="268"/>
        <v>INDRDPHELCN10</v>
      </c>
      <c r="E255" s="212" t="str">
        <f t="shared" ca="1" si="266"/>
        <v>Industrial heating technology Paper &amp; Pulp PH - Direct electric heating - new 10</v>
      </c>
      <c r="F255" s="262" t="s">
        <v>450</v>
      </c>
      <c r="G255" s="262" t="s">
        <v>449</v>
      </c>
      <c r="H255" s="261"/>
      <c r="I255" s="261"/>
      <c r="J255" s="264" t="s">
        <v>469</v>
      </c>
    </row>
    <row r="256" spans="1:16">
      <c r="B256" s="212"/>
      <c r="C256" s="212"/>
      <c r="D256" s="212" t="str">
        <f t="shared" ca="1" si="268"/>
        <v>INDRDPHELCN10</v>
      </c>
      <c r="E256" s="212" t="str">
        <f t="shared" ca="1" si="266"/>
        <v>Industrial heating technology Paper &amp; Pulp PH - Direct electric heating - new 10</v>
      </c>
      <c r="F256" s="262" t="s">
        <v>450</v>
      </c>
      <c r="G256" s="262" t="s">
        <v>449</v>
      </c>
      <c r="H256" s="261"/>
      <c r="I256" s="261"/>
      <c r="J256" s="264" t="s">
        <v>469</v>
      </c>
    </row>
    <row r="257" spans="1:10">
      <c r="B257" s="212"/>
      <c r="C257" s="212"/>
      <c r="D257" s="212" t="str">
        <f t="shared" ca="1" si="268"/>
        <v>INDRDPHDSLN1</v>
      </c>
      <c r="E257" s="212" t="str">
        <f t="shared" ca="1" si="266"/>
        <v>Industrial heating technology Paper &amp; Pulp PH - Oil boiler (Steam) - new 1</v>
      </c>
      <c r="F257" s="262" t="s">
        <v>450</v>
      </c>
      <c r="G257" s="262" t="s">
        <v>449</v>
      </c>
      <c r="H257" s="261"/>
      <c r="I257" s="261"/>
      <c r="J257" s="264" t="s">
        <v>469</v>
      </c>
    </row>
    <row r="258" spans="1:10">
      <c r="B258" s="212"/>
      <c r="C258" s="212"/>
      <c r="D258" s="212" t="str">
        <f t="shared" ca="1" si="268"/>
        <v>INDRDPHDSLN1</v>
      </c>
      <c r="E258" s="212" t="str">
        <f t="shared" ca="1" si="266"/>
        <v>Industrial heating technology Paper &amp; Pulp PH - Oil boiler (Steam) - new 1</v>
      </c>
      <c r="F258" s="262" t="s">
        <v>450</v>
      </c>
      <c r="G258" s="262" t="s">
        <v>449</v>
      </c>
      <c r="H258" s="261"/>
      <c r="I258" s="261"/>
      <c r="J258" s="264" t="s">
        <v>469</v>
      </c>
    </row>
    <row r="259" spans="1:10">
      <c r="B259" s="212"/>
      <c r="C259" s="212"/>
      <c r="D259" s="212" t="str">
        <f t="shared" ca="1" si="268"/>
        <v>INDRDSHDSLN1</v>
      </c>
      <c r="E259" s="212" t="str">
        <f t="shared" ca="1" si="266"/>
        <v>Industrial heating technology Paper &amp; Pulp SH - Oil boiler (Steam) - new 1</v>
      </c>
      <c r="F259" s="262" t="s">
        <v>450</v>
      </c>
      <c r="G259" s="262" t="s">
        <v>449</v>
      </c>
      <c r="H259" s="261"/>
      <c r="I259" s="261"/>
      <c r="J259" s="264" t="s">
        <v>469</v>
      </c>
    </row>
    <row r="260" spans="1:10">
      <c r="A260" s="214"/>
      <c r="B260" s="212"/>
      <c r="C260" s="212"/>
      <c r="D260" s="212" t="str">
        <f t="shared" ca="1" si="268"/>
        <v>INDRDPHDSLN2</v>
      </c>
      <c r="E260" s="212" t="str">
        <f t="shared" ca="1" si="266"/>
        <v>Industrial heating technology Paper &amp; Pulp PH - Oil boiler (Steam - condensing) - new 2</v>
      </c>
      <c r="F260" s="262" t="s">
        <v>450</v>
      </c>
      <c r="G260" s="262" t="s">
        <v>449</v>
      </c>
      <c r="H260" s="261"/>
      <c r="I260" s="261"/>
      <c r="J260" s="264" t="s">
        <v>469</v>
      </c>
    </row>
    <row r="261" spans="1:10">
      <c r="A261" s="214"/>
      <c r="B261" s="212"/>
      <c r="C261" s="212"/>
      <c r="D261" s="212" t="str">
        <f t="shared" ca="1" si="268"/>
        <v>INDRDSHDSLN2</v>
      </c>
      <c r="E261" s="212" t="str">
        <f t="shared" ref="E261:E290" ca="1" si="269">VLOOKUP(D261,$D$9:$E$222,2,FALSE)</f>
        <v>Industrial heating technology Paper &amp; Pulp SH - Oil boiler (Steam - condensing) - new 2</v>
      </c>
      <c r="F261" s="262" t="s">
        <v>450</v>
      </c>
      <c r="G261" s="262" t="s">
        <v>449</v>
      </c>
      <c r="H261" s="261"/>
      <c r="I261" s="261"/>
      <c r="J261" s="264" t="s">
        <v>469</v>
      </c>
    </row>
    <row r="262" spans="1:10">
      <c r="A262" s="214"/>
      <c r="B262" s="212"/>
      <c r="C262" s="212"/>
      <c r="D262" s="212" t="str">
        <f t="shared" ca="1" si="268"/>
        <v>INDRDPHGASN1</v>
      </c>
      <c r="E262" s="212" t="str">
        <f t="shared" ca="1" si="269"/>
        <v>Industrial heating technology Paper &amp; Pulp PH - Gas boiler (Steam) - new 1</v>
      </c>
      <c r="F262" s="262" t="s">
        <v>450</v>
      </c>
      <c r="G262" s="262" t="s">
        <v>449</v>
      </c>
      <c r="H262" s="261"/>
      <c r="I262" s="261"/>
      <c r="J262" s="264" t="s">
        <v>469</v>
      </c>
    </row>
    <row r="263" spans="1:10">
      <c r="A263" s="214"/>
      <c r="B263" s="212"/>
      <c r="C263" s="212"/>
      <c r="D263" s="212" t="str">
        <f t="shared" ca="1" si="268"/>
        <v>INDRDPHGASN1</v>
      </c>
      <c r="E263" s="212" t="str">
        <f t="shared" ca="1" si="269"/>
        <v>Industrial heating technology Paper &amp; Pulp PH - Gas boiler (Steam) - new 1</v>
      </c>
      <c r="F263" s="262" t="s">
        <v>450</v>
      </c>
      <c r="G263" s="262" t="s">
        <v>449</v>
      </c>
      <c r="H263" s="261"/>
      <c r="I263" s="261"/>
      <c r="J263" s="264" t="s">
        <v>469</v>
      </c>
    </row>
    <row r="264" spans="1:10">
      <c r="B264" s="212"/>
      <c r="C264" s="212"/>
      <c r="D264" s="212" t="str">
        <f t="shared" ca="1" si="268"/>
        <v>INDRDSHGASN1</v>
      </c>
      <c r="E264" s="212" t="str">
        <f t="shared" ca="1" si="269"/>
        <v>Industrial heating technology Paper &amp; Pulp SH - Gas boiler (Steam) - new 1</v>
      </c>
      <c r="F264" s="262" t="s">
        <v>450</v>
      </c>
      <c r="G264" s="262" t="s">
        <v>449</v>
      </c>
      <c r="H264" s="261"/>
      <c r="I264" s="261"/>
      <c r="J264" s="264" t="s">
        <v>469</v>
      </c>
    </row>
    <row r="265" spans="1:10">
      <c r="B265" s="212"/>
      <c r="C265" s="212"/>
      <c r="D265" s="212" t="str">
        <f t="shared" ca="1" si="268"/>
        <v>INDRDPHGASN2</v>
      </c>
      <c r="E265" s="212" t="str">
        <f t="shared" ca="1" si="269"/>
        <v>Industrial heating technology Paper &amp; Pulp PH - Gas boiler (Steam - condensing) - new 2</v>
      </c>
      <c r="F265" s="262" t="s">
        <v>450</v>
      </c>
      <c r="G265" s="262" t="s">
        <v>449</v>
      </c>
      <c r="H265" s="261"/>
      <c r="I265" s="261"/>
      <c r="J265" s="264" t="s">
        <v>469</v>
      </c>
    </row>
    <row r="266" spans="1:10">
      <c r="B266" s="212"/>
      <c r="C266" s="212"/>
      <c r="D266" s="212" t="str">
        <f t="shared" ca="1" si="268"/>
        <v>INDRDSHGASN2</v>
      </c>
      <c r="E266" s="212" t="str">
        <f t="shared" ca="1" si="269"/>
        <v>Industrial heating technology Paper &amp; Pulp SH - Gas boiler (Steam - condensing) - new 2</v>
      </c>
      <c r="F266" s="262" t="s">
        <v>450</v>
      </c>
      <c r="G266" s="262" t="s">
        <v>449</v>
      </c>
      <c r="H266" s="261"/>
      <c r="I266" s="261"/>
      <c r="J266" s="264" t="s">
        <v>469</v>
      </c>
    </row>
    <row r="267" spans="1:10">
      <c r="B267" s="212"/>
      <c r="C267" s="212"/>
      <c r="D267" s="212" t="str">
        <f t="shared" ca="1" si="268"/>
        <v>INDRDPHGASN3</v>
      </c>
      <c r="E267" s="212" t="str">
        <f t="shared" ca="1" si="269"/>
        <v>Industrial heating technology Paper &amp; Pulp PH - Gas boiler (Hot Water) - new 3</v>
      </c>
      <c r="F267" s="262" t="s">
        <v>450</v>
      </c>
      <c r="G267" s="262" t="s">
        <v>449</v>
      </c>
      <c r="H267" s="261"/>
      <c r="I267" s="261"/>
      <c r="J267" s="264" t="s">
        <v>469</v>
      </c>
    </row>
    <row r="268" spans="1:10">
      <c r="B268" s="212"/>
      <c r="C268" s="212"/>
      <c r="D268" s="212" t="str">
        <f t="shared" ca="1" si="268"/>
        <v>INDRDSHGASN3</v>
      </c>
      <c r="E268" s="212" t="str">
        <f t="shared" ca="1" si="269"/>
        <v>Industrial heating technology Paper &amp; Pulp SH - Gas boiler (Hot Water) - new 3</v>
      </c>
      <c r="F268" s="262" t="s">
        <v>450</v>
      </c>
      <c r="G268" s="262" t="s">
        <v>449</v>
      </c>
      <c r="H268" s="261"/>
      <c r="I268" s="261"/>
      <c r="J268" s="264" t="s">
        <v>469</v>
      </c>
    </row>
    <row r="269" spans="1:10">
      <c r="B269" s="212"/>
      <c r="C269" s="212"/>
      <c r="D269" s="212" t="str">
        <f t="shared" ca="1" si="268"/>
        <v>INDRDPHGASN4</v>
      </c>
      <c r="E269" s="212" t="str">
        <f t="shared" ca="1" si="269"/>
        <v>Industrial heating technology Paper &amp; Pulp PH - Gas boiler (Hot Water - condensing) - new 4</v>
      </c>
      <c r="F269" s="262" t="s">
        <v>450</v>
      </c>
      <c r="G269" s="262" t="s">
        <v>449</v>
      </c>
      <c r="H269" s="261"/>
      <c r="I269" s="261"/>
      <c r="J269" s="264" t="s">
        <v>469</v>
      </c>
    </row>
    <row r="270" spans="1:10">
      <c r="B270" s="212"/>
      <c r="C270" s="212"/>
      <c r="D270" s="212" t="str">
        <f t="shared" ca="1" si="268"/>
        <v>INDRDSHGASN4</v>
      </c>
      <c r="E270" s="212" t="str">
        <f t="shared" ca="1" si="269"/>
        <v>Industrial heating technology Paper &amp; Pulp SH - Gas boiler (Hot Water- condensing) - new 4</v>
      </c>
      <c r="F270" s="262" t="s">
        <v>450</v>
      </c>
      <c r="G270" s="262" t="s">
        <v>449</v>
      </c>
      <c r="H270" s="261"/>
      <c r="I270" s="261"/>
      <c r="J270" s="264" t="s">
        <v>469</v>
      </c>
    </row>
    <row r="271" spans="1:10">
      <c r="B271" s="212"/>
      <c r="C271" s="212"/>
      <c r="D271" s="212" t="str">
        <f t="shared" ca="1" si="268"/>
        <v>INDRDPHGASN5</v>
      </c>
      <c r="E271" s="212" t="str">
        <f t="shared" ca="1" si="269"/>
        <v>Industrial heating technology Paper &amp; Pulp PH - Gas boiler (Direct firing) - new 5</v>
      </c>
      <c r="F271" s="262" t="s">
        <v>450</v>
      </c>
      <c r="G271" s="262" t="s">
        <v>449</v>
      </c>
      <c r="H271" s="261"/>
      <c r="I271" s="261"/>
      <c r="J271" s="264" t="s">
        <v>469</v>
      </c>
    </row>
    <row r="272" spans="1:10">
      <c r="B272" s="212"/>
      <c r="C272" s="212"/>
      <c r="D272" s="212" t="str">
        <f t="shared" ca="1" si="268"/>
        <v>INDRDPHGASN5</v>
      </c>
      <c r="E272" s="212" t="str">
        <f t="shared" ca="1" si="269"/>
        <v>Industrial heating technology Paper &amp; Pulp PH - Gas boiler (Direct firing) - new 5</v>
      </c>
      <c r="F272" s="262" t="s">
        <v>450</v>
      </c>
      <c r="G272" s="262" t="s">
        <v>449</v>
      </c>
      <c r="H272" s="261"/>
      <c r="I272" s="261"/>
      <c r="J272" s="264" t="s">
        <v>469</v>
      </c>
    </row>
    <row r="273" spans="2:10">
      <c r="B273" s="212"/>
      <c r="C273" s="212"/>
      <c r="D273" s="212" t="str">
        <f t="shared" ca="1" si="268"/>
        <v>INDRDPHCOAN1</v>
      </c>
      <c r="E273" s="212" t="str">
        <f t="shared" ca="1" si="269"/>
        <v>Industrial heating technology Paper &amp; Pulp PH - Coal boiler (Steam) - new 1</v>
      </c>
      <c r="F273" s="262" t="s">
        <v>450</v>
      </c>
      <c r="G273" s="262" t="s">
        <v>449</v>
      </c>
      <c r="H273" s="261"/>
      <c r="I273" s="261"/>
      <c r="J273" s="264" t="s">
        <v>469</v>
      </c>
    </row>
    <row r="274" spans="2:10">
      <c r="B274" s="212"/>
      <c r="C274" s="212"/>
      <c r="D274" s="212" t="str">
        <f t="shared" ca="1" si="268"/>
        <v>INDRDPHCOAN1</v>
      </c>
      <c r="E274" s="212" t="str">
        <f t="shared" ca="1" si="269"/>
        <v>Industrial heating technology Paper &amp; Pulp PH - Coal boiler (Steam) - new 1</v>
      </c>
      <c r="F274" s="262" t="s">
        <v>450</v>
      </c>
      <c r="G274" s="262" t="s">
        <v>449</v>
      </c>
      <c r="H274" s="261"/>
      <c r="I274" s="261"/>
      <c r="J274" s="264" t="s">
        <v>469</v>
      </c>
    </row>
    <row r="275" spans="2:10">
      <c r="B275" s="212"/>
      <c r="C275" s="212"/>
      <c r="D275" s="212" t="str">
        <f t="shared" ca="1" si="268"/>
        <v>INDRDSHCOAN1</v>
      </c>
      <c r="E275" s="212" t="str">
        <f t="shared" ca="1" si="269"/>
        <v>Industrial heating technology Paper &amp; Pulp SH - Coal boiler (Steam) - new 1</v>
      </c>
      <c r="F275" s="262" t="s">
        <v>450</v>
      </c>
      <c r="G275" s="262" t="s">
        <v>449</v>
      </c>
      <c r="H275" s="261"/>
      <c r="I275" s="261"/>
      <c r="J275" s="264" t="s">
        <v>469</v>
      </c>
    </row>
    <row r="276" spans="2:10">
      <c r="B276" s="212"/>
      <c r="C276" s="212"/>
      <c r="D276" s="212" t="str">
        <f t="shared" ca="1" si="268"/>
        <v>INDRDPHCOAN2</v>
      </c>
      <c r="E276" s="212" t="str">
        <f t="shared" ca="1" si="269"/>
        <v>Industrial heating technology Paper &amp; Pulp PH - Coal boiler (Hot Water) - new 2</v>
      </c>
      <c r="F276" s="262" t="s">
        <v>450</v>
      </c>
      <c r="G276" s="262" t="s">
        <v>449</v>
      </c>
      <c r="H276" s="261"/>
      <c r="I276" s="261"/>
      <c r="J276" s="264" t="s">
        <v>469</v>
      </c>
    </row>
    <row r="277" spans="2:10">
      <c r="B277" s="212"/>
      <c r="C277" s="212"/>
      <c r="D277" s="212" t="str">
        <f t="shared" ca="1" si="268"/>
        <v>INDRDSHCOAN2</v>
      </c>
      <c r="E277" s="212" t="str">
        <f t="shared" ca="1" si="269"/>
        <v>Industrial heating technology Paper &amp; Pulp SH - Coal boiler (Hot Water) - new 2</v>
      </c>
      <c r="F277" s="262" t="s">
        <v>450</v>
      </c>
      <c r="G277" s="262" t="s">
        <v>449</v>
      </c>
      <c r="H277" s="261"/>
      <c r="I277" s="261"/>
      <c r="J277" s="264" t="s">
        <v>469</v>
      </c>
    </row>
    <row r="278" spans="2:10">
      <c r="B278" s="212"/>
      <c r="C278" s="212"/>
      <c r="D278" s="212" t="str">
        <f t="shared" ca="1" si="268"/>
        <v>INDRDSHSOLN1</v>
      </c>
      <c r="E278" s="212" t="str">
        <f t="shared" ca="1" si="269"/>
        <v>Industrial heating technology Paper &amp; Pulp SH - Solar - new 1</v>
      </c>
      <c r="F278" s="262" t="s">
        <v>450</v>
      </c>
      <c r="G278" s="262" t="s">
        <v>449</v>
      </c>
      <c r="H278" s="263" t="s">
        <v>620</v>
      </c>
      <c r="I278" s="261"/>
      <c r="J278" s="264" t="s">
        <v>469</v>
      </c>
    </row>
    <row r="279" spans="2:10">
      <c r="B279" s="212"/>
      <c r="C279" s="212"/>
      <c r="D279" s="889" t="str">
        <f>D187</f>
        <v>INDRDSHHCEN1</v>
      </c>
      <c r="E279" s="889" t="str">
        <f t="shared" si="269"/>
        <v>Industrial heating technology Paper &amp; Pulp SH - central district heating - within DH area - new 1</v>
      </c>
      <c r="F279" s="262" t="s">
        <v>450</v>
      </c>
      <c r="G279" s="262" t="s">
        <v>449</v>
      </c>
      <c r="H279" s="890"/>
      <c r="I279" s="890"/>
      <c r="J279" s="263" t="s">
        <v>469</v>
      </c>
    </row>
    <row r="280" spans="2:10">
      <c r="B280" s="212"/>
      <c r="C280" s="212"/>
      <c r="D280" s="889" t="str">
        <f>D188</f>
        <v>INDRDPHHCEN1</v>
      </c>
      <c r="E280" s="889" t="str">
        <f t="shared" si="269"/>
        <v>Industrial heating technology Paper &amp; Pulp PH - central district heating - within DH area - new 1</v>
      </c>
      <c r="F280" s="262" t="s">
        <v>450</v>
      </c>
      <c r="G280" s="262" t="s">
        <v>449</v>
      </c>
      <c r="H280" s="890"/>
      <c r="I280" s="890"/>
      <c r="J280" s="263" t="s">
        <v>469</v>
      </c>
    </row>
    <row r="281" spans="2:10">
      <c r="B281" s="212"/>
      <c r="C281" s="212"/>
      <c r="D281" s="889" t="str">
        <f>D189</f>
        <v>INDRDSHHSEN1</v>
      </c>
      <c r="E281" s="889" t="str">
        <f t="shared" si="269"/>
        <v>Industrial heating technology Paper &amp; Pulp SH - central district heating - within DH area - new 1</v>
      </c>
      <c r="F281" s="262" t="s">
        <v>450</v>
      </c>
      <c r="G281" s="262" t="s">
        <v>449</v>
      </c>
      <c r="H281" s="890"/>
      <c r="I281" s="890"/>
      <c r="J281" s="263" t="s">
        <v>469</v>
      </c>
    </row>
    <row r="282" spans="2:10">
      <c r="B282" s="212"/>
      <c r="C282" s="212"/>
      <c r="D282" s="889" t="str">
        <f>D190</f>
        <v>INDRDPHHSEN1</v>
      </c>
      <c r="E282" s="889" t="str">
        <f t="shared" si="269"/>
        <v>Industrial heating technology Paper &amp; Pulp PH - central district heating - within DH area - new 1</v>
      </c>
      <c r="F282" s="262" t="s">
        <v>450</v>
      </c>
      <c r="G282" s="262" t="s">
        <v>449</v>
      </c>
      <c r="H282" s="890"/>
      <c r="I282" s="890"/>
      <c r="J282" s="263" t="s">
        <v>469</v>
      </c>
    </row>
    <row r="283" spans="2:10">
      <c r="B283" s="212"/>
      <c r="C283" s="212"/>
      <c r="D283" s="212" t="str">
        <f t="shared" ref="D283" si="270">D191</f>
        <v>INDRDSHHDEN1</v>
      </c>
      <c r="E283" s="212" t="str">
        <f t="shared" si="269"/>
        <v>Industrial heating technology Paper &amp; Pulp SH - decentral district heating - within DH area - new 1</v>
      </c>
      <c r="F283" s="262" t="s">
        <v>450</v>
      </c>
      <c r="G283" s="262" t="s">
        <v>449</v>
      </c>
      <c r="H283" s="261"/>
      <c r="I283" s="261"/>
      <c r="J283" s="264" t="s">
        <v>469</v>
      </c>
    </row>
    <row r="284" spans="2:10">
      <c r="B284" s="212"/>
      <c r="C284" s="212"/>
      <c r="D284" s="212" t="str">
        <f>D192</f>
        <v>INDRDPHHDEN1</v>
      </c>
      <c r="E284" s="212" t="str">
        <f t="shared" si="269"/>
        <v>Industrial heating technology Paper &amp; Pulp PH - decentral district heating - within DH area - new 1</v>
      </c>
      <c r="F284" s="262" t="s">
        <v>450</v>
      </c>
      <c r="G284" s="262" t="s">
        <v>449</v>
      </c>
      <c r="H284" s="261"/>
      <c r="I284" s="261"/>
      <c r="J284" s="264" t="s">
        <v>469</v>
      </c>
    </row>
    <row r="285" spans="2:10">
      <c r="B285" s="212"/>
      <c r="C285" s="212"/>
      <c r="D285" s="212" t="str">
        <f>D194</f>
        <v>INDRDLAELCN1</v>
      </c>
      <c r="E285" s="212" t="str">
        <f t="shared" si="269"/>
        <v>Industry Paper &amp; Pulp LA Electricity Light Appliance - New 1</v>
      </c>
      <c r="F285" s="262" t="s">
        <v>450</v>
      </c>
      <c r="G285" s="262" t="s">
        <v>449</v>
      </c>
      <c r="H285" s="261"/>
      <c r="I285" s="261"/>
      <c r="J285" s="264" t="s">
        <v>469</v>
      </c>
    </row>
    <row r="286" spans="2:10">
      <c r="B286" s="212"/>
      <c r="C286" s="212"/>
      <c r="D286" s="212" t="str">
        <f>D198</f>
        <v>INDRDEMELCN1</v>
      </c>
      <c r="E286" s="212" t="str">
        <f t="shared" si="269"/>
        <v>Industry Paper &amp; Pulp EM Electricity Motors - New 1</v>
      </c>
      <c r="F286" s="262" t="s">
        <v>450</v>
      </c>
      <c r="G286" s="262" t="s">
        <v>449</v>
      </c>
      <c r="H286" s="261"/>
      <c r="I286" s="261"/>
      <c r="J286" s="264" t="s">
        <v>469</v>
      </c>
    </row>
    <row r="287" spans="2:10">
      <c r="B287" s="212"/>
      <c r="C287" s="212"/>
      <c r="D287" s="212" t="str">
        <f>D202</f>
        <v>INDRDTFDSLN1</v>
      </c>
      <c r="E287" s="212" t="str">
        <f t="shared" si="269"/>
        <v>Industry Paper &amp; Pulp TF Tractors, Trucks, Fishing boats - New 1</v>
      </c>
      <c r="F287" s="262" t="s">
        <v>450</v>
      </c>
      <c r="G287" s="262" t="s">
        <v>2078</v>
      </c>
      <c r="H287" s="261"/>
      <c r="I287" s="261"/>
      <c r="J287" s="264" t="s">
        <v>469</v>
      </c>
    </row>
    <row r="288" spans="2:10">
      <c r="B288" s="212"/>
      <c r="C288" s="212"/>
      <c r="D288" s="212" t="str">
        <f>D206</f>
        <v>INDRDTFH2GN2</v>
      </c>
      <c r="E288" s="212" t="str">
        <f t="shared" si="269"/>
        <v>Industry Paper &amp; Pulp TF Tractors, Trucks, Fishing boats - New 2</v>
      </c>
      <c r="F288" s="262" t="s">
        <v>450</v>
      </c>
      <c r="G288" s="262" t="s">
        <v>2078</v>
      </c>
      <c r="H288" s="261"/>
      <c r="I288" s="261"/>
      <c r="J288" s="264" t="s">
        <v>469</v>
      </c>
    </row>
    <row r="289" spans="2:10">
      <c r="B289" s="212"/>
      <c r="C289" s="212"/>
      <c r="D289" s="212" t="str">
        <f>D210</f>
        <v>INDRDTFELCN3</v>
      </c>
      <c r="E289" s="212" t="str">
        <f t="shared" si="269"/>
        <v>Industry Paper &amp; Pulp TF Tractors, Trucks, Fishing boats - New 3</v>
      </c>
      <c r="F289" s="262" t="s">
        <v>450</v>
      </c>
      <c r="G289" s="262" t="s">
        <v>2078</v>
      </c>
      <c r="H289" s="261"/>
      <c r="I289" s="261"/>
      <c r="J289" s="264" t="s">
        <v>469</v>
      </c>
    </row>
    <row r="290" spans="2:10">
      <c r="B290" s="212"/>
      <c r="C290" s="212"/>
      <c r="D290" s="212" t="str">
        <f>D214</f>
        <v>INDRDFLSYNN1</v>
      </c>
      <c r="E290" s="212" t="str">
        <f t="shared" si="269"/>
        <v>Industry Paper &amp; Pulp TF Forklifts - New 1</v>
      </c>
      <c r="F290" s="262" t="s">
        <v>450</v>
      </c>
      <c r="G290" s="262" t="s">
        <v>449</v>
      </c>
      <c r="H290" s="261"/>
      <c r="I290" s="261"/>
      <c r="J290" s="264" t="s">
        <v>469</v>
      </c>
    </row>
    <row r="291" spans="2:10">
      <c r="B291" s="212"/>
      <c r="C291" s="212"/>
      <c r="D291" s="212" t="str">
        <f>D218</f>
        <v>INDRDCOELCN1</v>
      </c>
      <c r="E291" s="212" t="str">
        <f>E218</f>
        <v>Industry Paper &amp; Pulp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IPDSOx</v>
      </c>
      <c r="E296" s="270" t="str">
        <f>"Industrial heating  heating technology "&amp;$AJ$12&amp;" - SOx emission"</f>
        <v>Industrial heating  heating technology Paper &amp; Pulp - SOx emission</v>
      </c>
      <c r="F296" s="219" t="s">
        <v>352</v>
      </c>
      <c r="G296" s="211"/>
      <c r="H296" s="211"/>
      <c r="I296" s="211"/>
      <c r="J296" s="211"/>
    </row>
    <row r="297" spans="2:10">
      <c r="B297" s="214"/>
      <c r="C297" s="214"/>
      <c r="D297" s="260" t="str">
        <f>"I"&amp;LEFT($AJ$12,1)&amp;"DNOx"</f>
        <v>IPDNOx</v>
      </c>
      <c r="E297" s="270" t="str">
        <f>"Industrial heating  heating technology "&amp;$AJ$12&amp;" - NOx emission"</f>
        <v>Industrial heating  heating technology Paper &amp; Pulp - NOx emission</v>
      </c>
      <c r="F297" s="219" t="s">
        <v>352</v>
      </c>
      <c r="G297" s="211"/>
      <c r="H297" s="214"/>
      <c r="I297" s="214"/>
      <c r="J297" s="214"/>
    </row>
    <row r="298" spans="2:10">
      <c r="B298" s="214"/>
      <c r="C298" s="214"/>
      <c r="D298" s="260" t="str">
        <f>"I"&amp;LEFT($AJ$12,1)&amp;"DCH4"</f>
        <v>IPDCH4</v>
      </c>
      <c r="E298" s="270" t="str">
        <f>"Industrial heating  heating technology "&amp;$AJ$12&amp;" - CH4 emission"</f>
        <v>Industrial heating  heating technology Paper &amp; Pulp - CH4 emission</v>
      </c>
      <c r="F298" s="219" t="s">
        <v>352</v>
      </c>
      <c r="G298" s="211"/>
      <c r="H298" s="214"/>
      <c r="I298" s="214"/>
      <c r="J298" s="214"/>
    </row>
    <row r="299" spans="2:10">
      <c r="B299" s="214"/>
      <c r="C299" s="214"/>
      <c r="D299" s="260" t="str">
        <f>"I"&amp;LEFT($AJ$12,1)&amp;"DNO2"</f>
        <v>IPDNO2</v>
      </c>
      <c r="E299" s="270" t="str">
        <f>"Industrial heating  heating technology "&amp;$AJ$12&amp;" - NO2 emission"</f>
        <v>Industrial heating  heating technology Paper &amp; Pulp - NO2 emission</v>
      </c>
      <c r="F299" s="219" t="s">
        <v>352</v>
      </c>
      <c r="G299" s="211"/>
      <c r="H299" s="214"/>
      <c r="I299" s="214"/>
      <c r="J299" s="214"/>
    </row>
    <row r="300" spans="2:10">
      <c r="B300" s="214"/>
      <c r="C300" s="214"/>
      <c r="D300" s="260" t="str">
        <f>"I"&amp;LEFT($AJ$12,1)&amp;"DPM"</f>
        <v>IPDPM</v>
      </c>
      <c r="E300" s="270" t="str">
        <f>"Industrial heating  heating technology "&amp;$AJ$12&amp;" - Particle emission"</f>
        <v>Industrial heating  heating technology Paper &amp; Pulp - Particle emission</v>
      </c>
      <c r="F300" s="219" t="s">
        <v>352</v>
      </c>
      <c r="G300" s="211"/>
      <c r="H300" s="214"/>
      <c r="I300" s="214"/>
      <c r="J300" s="214"/>
    </row>
    <row r="301" spans="2:10">
      <c r="B301" s="224" t="s">
        <v>1057</v>
      </c>
      <c r="D301" s="224" t="str">
        <f>AI20</f>
        <v>INDRWH</v>
      </c>
      <c r="E301" s="270" t="str">
        <f>"Industrial heating technology "&amp;$AJ$12&amp;" - Waste heat"</f>
        <v>Industrial heating technology Paper &amp; Pulp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6800020-93E0-4B93-9BA4-1763BE2C01EC}">
          <x14:formula1>
            <xm:f>'Oil-fired boiler_NEW'!$T$4:$X$4</xm:f>
          </x14:formula1>
          <xm:sqref>E1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9998-164B-4976-8107-9F99D05D7716}">
  <sheetPr>
    <tabColor rgb="FF00B050"/>
  </sheetPr>
  <dimension ref="A1:AP301"/>
  <sheetViews>
    <sheetView topLeftCell="W6"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695</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FEMIS~IWDSOx</v>
      </c>
      <c r="Y6" s="280" t="str">
        <f>"FEMIS~"&amp;D297</f>
        <v>FEMIS~IWDNOx</v>
      </c>
      <c r="Z6" s="280" t="str">
        <f>"FEMIS~"&amp;D298</f>
        <v>FEMIS~IWDCH4</v>
      </c>
      <c r="AA6" s="280" t="str">
        <f>"FEMIS~"&amp;D299</f>
        <v>FEMIS~IWDNO2</v>
      </c>
      <c r="AB6" s="280" t="str">
        <f>"FEMIS~"&amp;D300</f>
        <v>FEMIS~IWDPM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INDWDPHELCN1</v>
      </c>
      <c r="E9" s="261" t="str">
        <f>"Industrial heating technology "&amp;$AJ$12&amp;" "&amp;RIGHT(H9,2)&amp;" - Heat pump utilizing waste heat - new 1"</f>
        <v>Industrial heating technology Wood products PH - Heat pump utilizing waste heat - new 1</v>
      </c>
      <c r="F9" s="224" t="s">
        <v>1149</v>
      </c>
      <c r="G9" s="173" t="s">
        <v>499</v>
      </c>
      <c r="H9" s="174" t="str">
        <f>$AI$14</f>
        <v>IWDPH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INDWWH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IWDPH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INDWWH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Wood products</v>
      </c>
    </row>
    <row r="13" spans="2:42">
      <c r="B13" s="357" t="s">
        <v>998</v>
      </c>
      <c r="D13" s="212"/>
      <c r="E13" s="212"/>
      <c r="F13" s="224" t="s">
        <v>1149</v>
      </c>
      <c r="G13" s="173" t="s">
        <v>499</v>
      </c>
      <c r="H13" s="174" t="str">
        <f>$AI$14</f>
        <v>IWDPH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IWDPH</v>
      </c>
      <c r="AJ13" s="224" t="str">
        <f>AP14</f>
        <v>Wood products industry Demand Heat High Temp. over 150C</v>
      </c>
      <c r="AO13" s="224" t="s">
        <v>2097</v>
      </c>
      <c r="AP13" s="224" t="s">
        <v>1234</v>
      </c>
    </row>
    <row r="14" spans="2:42">
      <c r="B14" s="357" t="s">
        <v>998</v>
      </c>
      <c r="D14" s="212"/>
      <c r="E14" s="212"/>
      <c r="F14" s="224" t="s">
        <v>1149</v>
      </c>
      <c r="G14" s="173" t="str">
        <f>$AI$20</f>
        <v>INDWWH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IWDPH</v>
      </c>
      <c r="AJ14" s="224" t="str">
        <f>AP13</f>
        <v>Wood products industry Demand Heat Medium Temp. up to 150C</v>
      </c>
      <c r="AO14" s="224" t="s">
        <v>2097</v>
      </c>
      <c r="AP14" s="224" t="s">
        <v>1235</v>
      </c>
    </row>
    <row r="15" spans="2:42">
      <c r="B15" s="357" t="s">
        <v>998</v>
      </c>
      <c r="D15" s="212" t="str">
        <f>"IND"&amp;RIGHT(H15,4)&amp;RIGHT(G15,3)&amp;"N"&amp;RIGHT(E15,1)</f>
        <v>INDWDSHELCN1</v>
      </c>
      <c r="E15" s="261" t="str">
        <f>"Industrial heating technology "&amp;$AJ$12&amp;" "&amp;RIGHT(H15,2)&amp;" - Heat pump utilizing waste heat - new 1"</f>
        <v>Industrial heating technology Wood products SH - Heat pump utilizing waste heat - new 1</v>
      </c>
      <c r="F15" s="224" t="s">
        <v>1149</v>
      </c>
      <c r="G15" s="173" t="s">
        <v>499</v>
      </c>
      <c r="H15" s="174" t="str">
        <f>$AI$15</f>
        <v>IWDSH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IWDSH</v>
      </c>
      <c r="AJ15" s="224" t="str">
        <f>AP15</f>
        <v>Wood products industry Demand Heat Room Heat</v>
      </c>
      <c r="AO15" s="224" t="s">
        <v>2098</v>
      </c>
      <c r="AP15" s="224" t="s">
        <v>1236</v>
      </c>
    </row>
    <row r="16" spans="2:42">
      <c r="B16" s="357" t="s">
        <v>998</v>
      </c>
      <c r="D16" s="212"/>
      <c r="E16" s="261"/>
      <c r="F16" s="224" t="s">
        <v>1149</v>
      </c>
      <c r="G16" s="173" t="str">
        <f>$AI$20</f>
        <v>INDWWH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IWDLA</v>
      </c>
      <c r="AJ16" s="224" t="str">
        <f t="shared" si="0"/>
        <v>Wood products industry Demand Light</v>
      </c>
      <c r="AO16" s="224" t="s">
        <v>1237</v>
      </c>
      <c r="AP16" s="224" t="s">
        <v>1238</v>
      </c>
    </row>
    <row r="17" spans="2:42">
      <c r="B17" s="357" t="s">
        <v>998</v>
      </c>
      <c r="D17" s="212"/>
      <c r="E17" s="212"/>
      <c r="F17" s="224" t="s">
        <v>1149</v>
      </c>
      <c r="G17" s="173" t="s">
        <v>499</v>
      </c>
      <c r="H17" s="174" t="str">
        <f>$AI$15</f>
        <v>IWDSH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IWDEM</v>
      </c>
      <c r="AJ17" s="224" t="str">
        <f t="shared" si="0"/>
        <v>Wood products industry Demand Electric Motors</v>
      </c>
      <c r="AO17" s="224" t="s">
        <v>1239</v>
      </c>
      <c r="AP17" s="224" t="s">
        <v>1240</v>
      </c>
    </row>
    <row r="18" spans="2:42">
      <c r="B18" s="357" t="s">
        <v>998</v>
      </c>
      <c r="D18" s="212"/>
      <c r="E18" s="212"/>
      <c r="F18" s="224" t="s">
        <v>1149</v>
      </c>
      <c r="G18" s="173" t="str">
        <f>$AI$20</f>
        <v>INDWWH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IWDTF</v>
      </c>
      <c r="AJ18" s="224" t="str">
        <f t="shared" si="0"/>
        <v>Wood products industry Demand Haulage Tractors, Trucks, Fishing boats, Forest machines</v>
      </c>
      <c r="AO18" s="224" t="s">
        <v>1241</v>
      </c>
      <c r="AP18" s="224" t="s">
        <v>1242</v>
      </c>
    </row>
    <row r="19" spans="2:42">
      <c r="B19" s="357" t="s">
        <v>998</v>
      </c>
      <c r="D19" s="212"/>
      <c r="E19" s="212"/>
      <c r="F19" s="224" t="s">
        <v>1149</v>
      </c>
      <c r="G19" s="173" t="s">
        <v>499</v>
      </c>
      <c r="H19" s="174" t="str">
        <f>$AI$15</f>
        <v>IWDSH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IWDFL</v>
      </c>
      <c r="AJ19" s="224" t="str">
        <f t="shared" si="0"/>
        <v>Wood products industry Demand Haulage Forklifts</v>
      </c>
      <c r="AO19" s="224" t="s">
        <v>1243</v>
      </c>
      <c r="AP19" s="224" t="s">
        <v>1244</v>
      </c>
    </row>
    <row r="20" spans="2:42">
      <c r="B20" s="357" t="s">
        <v>998</v>
      </c>
      <c r="D20" s="212"/>
      <c r="E20" s="212"/>
      <c r="F20" s="224" t="s">
        <v>1149</v>
      </c>
      <c r="G20" s="173" t="str">
        <f>$AI$20</f>
        <v>INDWWH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INDWWH</v>
      </c>
      <c r="AJ20" s="224" t="str">
        <f>$AJ$12&amp;" Industrial Waste Heat"</f>
        <v>Wood products Industrial Waste Heat</v>
      </c>
    </row>
    <row r="21" spans="2:42">
      <c r="B21" s="357" t="s">
        <v>999</v>
      </c>
      <c r="D21" s="212" t="str">
        <f>"IND"&amp;RIGHT(H21,4)&amp;RIGHT(G21,3)&amp;"N"&amp;RIGHT(E21,1)</f>
        <v>INDWDPHELCN2</v>
      </c>
      <c r="E21" s="261" t="str">
        <f>"Industrial heating technology "&amp;$AJ$12&amp;" "&amp;RIGHT(H21,2)&amp;" - Heat driven heat pump utilizing waste heat - new 2"</f>
        <v>Industrial heating technology Wood products PH - Heat driven heat pump utilizing waste heat - new 2</v>
      </c>
      <c r="F21" s="224" t="s">
        <v>1149</v>
      </c>
      <c r="G21" s="173" t="s">
        <v>499</v>
      </c>
      <c r="H21" s="174" t="str">
        <f>$AI$14</f>
        <v>IWDPH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IWDCO</v>
      </c>
      <c r="AJ21" s="224" t="s">
        <v>2111</v>
      </c>
    </row>
    <row r="22" spans="2:42">
      <c r="B22" s="357" t="s">
        <v>999</v>
      </c>
      <c r="D22" s="212"/>
      <c r="E22" s="261"/>
      <c r="F22" s="224" t="s">
        <v>1149</v>
      </c>
      <c r="G22" s="173" t="str">
        <f>$AI$20</f>
        <v>INDWWH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IWDPH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INDWWH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IWDPH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INDWWH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INDWDSHELCN2</v>
      </c>
      <c r="E27" s="261" t="str">
        <f>"Industrial heating technology "&amp;$AJ$12&amp;" "&amp;RIGHT(H27,2)&amp;" - Heat driven heat pump utilizing waste heat - new 2"</f>
        <v>Industrial heating technology Wood products SH - Heat driven heat pump utilizing waste heat - new 2</v>
      </c>
      <c r="F27" s="224" t="s">
        <v>1149</v>
      </c>
      <c r="G27" s="173" t="s">
        <v>499</v>
      </c>
      <c r="H27" s="174" t="str">
        <f>$AI$15</f>
        <v>IWDSH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INDWWH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IWDSH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INDWWH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IWDSH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INDWWH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INDWDPHELCN3</v>
      </c>
      <c r="E33" s="261" t="str">
        <f>"Industrial heating technology "&amp;$AJ$12&amp;" "&amp;RIGHT(H33,2)&amp;" - High Temp abs. Heat pump utilizing waste heat - new 3"</f>
        <v>Industrial heating technology Wood products PH - High Temp abs. Heat pump utilizing waste heat - new 3</v>
      </c>
      <c r="F33" s="224" t="s">
        <v>1149</v>
      </c>
      <c r="G33" s="173" t="s">
        <v>499</v>
      </c>
      <c r="H33" s="174" t="str">
        <f>$AI$14</f>
        <v>IWDPH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INDWWH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IWDPH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INDWWH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IWDPH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INDWWH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INDWDSHELCN3</v>
      </c>
      <c r="E39" s="261" t="str">
        <f>"Industrial heating technology "&amp;$AJ$12&amp;" "&amp;RIGHT(H39,2)&amp;" - High Temp abs. Heat pump utilizing waste heat - new 3"</f>
        <v>Industrial heating technology Wood products SH - High Temp abs. Heat pump utilizing waste heat - new 3</v>
      </c>
      <c r="F39" s="224" t="s">
        <v>1149</v>
      </c>
      <c r="G39" s="173" t="s">
        <v>499</v>
      </c>
      <c r="H39" s="174" t="str">
        <f>$AI$15</f>
        <v>IWDSH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INDWWH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IWDSH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INDWWH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IWDSH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INDWWH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INDWDPHELCN4</v>
      </c>
      <c r="E45" s="261" t="str">
        <f>"Industrial heating technology "&amp;$AJ$12&amp;" "&amp;RIGHT(H45,2)&amp;" - Booster Heat pump utilizing waste heat - new 4"</f>
        <v>Industrial heating technology Wood products PH - Booster Heat pump utilizing waste heat - new 4</v>
      </c>
      <c r="F45" s="224" t="s">
        <v>1149</v>
      </c>
      <c r="G45" s="173" t="s">
        <v>499</v>
      </c>
      <c r="H45" s="174" t="str">
        <f>$AI$14</f>
        <v>IWDPH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INDWWH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IWDPH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INDWWH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IWDPH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INDWWH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INDWDSHELCN4</v>
      </c>
      <c r="E51" s="261" t="str">
        <f>"Industrial heating technology "&amp;$AJ$12&amp;" "&amp;RIGHT(H51,2)&amp;" - Booster Heat pump utilizing waste heat - new 4"</f>
        <v>Industrial heating technology Wood products SH - Booster Heat pump utilizing waste heat - new 4</v>
      </c>
      <c r="F51" s="224" t="s">
        <v>1149</v>
      </c>
      <c r="G51" s="173" t="s">
        <v>499</v>
      </c>
      <c r="H51" s="174" t="str">
        <f>$AI$15</f>
        <v>IWDSH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INDWWH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IWDSH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INDWWH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IWDSH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INDWWH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INDWDPHELCN5</v>
      </c>
      <c r="E57" s="261" t="str">
        <f>"Industrial heating technology "&amp;$AJ$12&amp;" "&amp;RIGHT(H57,2)&amp;" - MVR utilizing waste heat - new 5"</f>
        <v>Industrial heating technology Wood products PH - MVR utilizing waste heat - new 5</v>
      </c>
      <c r="F57" s="224" t="s">
        <v>1149</v>
      </c>
      <c r="G57" s="173" t="s">
        <v>499</v>
      </c>
      <c r="H57" s="174" t="str">
        <f>$AI$14</f>
        <v>IWDPH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INDWWH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IWDPH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INDWWH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IWDPH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INDWWH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INDWDPHWSTN1</v>
      </c>
      <c r="E63" s="261" t="str">
        <f>"Industrial heating technology "&amp;$AJ$12&amp;" "&amp;RIGHT(H63,2)&amp;" - Hotdisc - new 1"</f>
        <v>Industrial heating technology Wood products PH - Hotdisc - new 1</v>
      </c>
      <c r="F63" s="224" t="s">
        <v>1149</v>
      </c>
      <c r="G63" s="832" t="s">
        <v>1005</v>
      </c>
      <c r="H63" s="174" t="str">
        <f>$AI$13</f>
        <v>IWDPH</v>
      </c>
      <c r="I63" s="173" t="str">
        <f t="shared" ref="I63:I126" si="22">$AI$20</f>
        <v>INDWWH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INDWWH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INDWWH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INDWDPHELCN6</v>
      </c>
      <c r="E66" s="261" t="str">
        <f>"Industrial heating technology "&amp;$AJ$12&amp;" "&amp;RIGHT(H66,2)&amp;" - Dielectric heating - new 6"</f>
        <v>Industrial heating technology Wood products PH - Dielectric heating - new 6</v>
      </c>
      <c r="F66" s="224" t="s">
        <v>1149</v>
      </c>
      <c r="G66" s="173" t="s">
        <v>499</v>
      </c>
      <c r="H66" s="174" t="str">
        <f>$AI$14</f>
        <v>IWDPH</v>
      </c>
      <c r="I66" s="173" t="str">
        <f t="shared" si="22"/>
        <v>INDWWH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INDWWH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INDWWH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INDWDPHELCN7</v>
      </c>
      <c r="E69" s="261" t="str">
        <f>"Industrial heating technology "&amp;$AJ$12&amp;" "&amp;RIGHT(H69,2)&amp;" - Infrared heating - new 7"</f>
        <v>Industrial heating technology Wood products PH - Infrared heating - new 7</v>
      </c>
      <c r="F69" s="224" t="s">
        <v>1149</v>
      </c>
      <c r="G69" s="173" t="s">
        <v>499</v>
      </c>
      <c r="H69" s="174" t="str">
        <f>$AI$14</f>
        <v>IWDPH</v>
      </c>
      <c r="I69" s="173" t="str">
        <f t="shared" si="22"/>
        <v>INDWWH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INDWWH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INDWWH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INDWDPHELCN8</v>
      </c>
      <c r="E72" s="261" t="str">
        <f>"Industrial heating technology "&amp;$AJ$12&amp;" "&amp;RIGHT(H72,2)&amp;" - Electric boiler (Steam) - new 8"</f>
        <v>Industrial heating technology Wood products PH - Electric boiler (Steam) - new 8</v>
      </c>
      <c r="F72" s="224" t="s">
        <v>1149</v>
      </c>
      <c r="G72" s="173" t="s">
        <v>499</v>
      </c>
      <c r="H72" s="174" t="str">
        <f>$AI$13</f>
        <v>IWDPH</v>
      </c>
      <c r="I72" s="174" t="str">
        <f t="shared" si="22"/>
        <v>INDWWH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INDWWH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INDWWH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INDWDPHELCN8</v>
      </c>
      <c r="E75" s="261" t="str">
        <f>"Industrial heating technology "&amp;$AJ$12&amp;" "&amp;RIGHT(H75,2)&amp;" - Electric boiler (Steam) - new 8"</f>
        <v>Industrial heating technology Wood products PH - Electric boiler (Steam) - new 8</v>
      </c>
      <c r="F75" s="224" t="s">
        <v>1149</v>
      </c>
      <c r="G75" s="173" t="s">
        <v>499</v>
      </c>
      <c r="H75" s="174" t="str">
        <f>$AI$14</f>
        <v>IWDPH</v>
      </c>
      <c r="I75" s="174" t="str">
        <f t="shared" si="22"/>
        <v>INDWWH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INDWWH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INDWWH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INDWDSHELCN8</v>
      </c>
      <c r="E78" s="261" t="str">
        <f>"Industrial heating technology "&amp;$AJ$12&amp;" "&amp;RIGHT(H78,2)&amp;" - Electric boiler (Steam) - new 8"</f>
        <v>Industrial heating technology Wood products SH - Electric boiler (Steam) - new 8</v>
      </c>
      <c r="F78" s="224" t="s">
        <v>1149</v>
      </c>
      <c r="G78" s="173" t="s">
        <v>499</v>
      </c>
      <c r="H78" s="174" t="str">
        <f>$AI$15</f>
        <v>IWDSH</v>
      </c>
      <c r="I78" s="174" t="str">
        <f t="shared" si="22"/>
        <v>INDWWH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INDWWH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INDWWH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INDWDPHELCN9</v>
      </c>
      <c r="E81" s="707" t="str">
        <f>"Industrial heating technology "&amp;$AJ$12&amp;" "&amp;RIGHT(H81,2)&amp;" - Electric boiler (Hot Water) - new 9"</f>
        <v>Industrial heating technology Wood products PH - Electric boiler (Hot Water) - new 9</v>
      </c>
      <c r="F81" s="224" t="s">
        <v>1149</v>
      </c>
      <c r="G81" s="708" t="s">
        <v>499</v>
      </c>
      <c r="H81" s="708" t="str">
        <f>$AI$14</f>
        <v>IWDPH</v>
      </c>
      <c r="I81" s="708" t="str">
        <f t="shared" si="22"/>
        <v>INDWWH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INDWWH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INDWWH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INDWDSHELCN9</v>
      </c>
      <c r="E84" s="261" t="str">
        <f>"Industrial heating technology "&amp;$AJ$12&amp;" "&amp;RIGHT(H84,2)&amp;" - Electric boiler (Hot Water) - new 9"</f>
        <v>Industrial heating technology Wood products SH - Electric boiler (Hot Water) - new 9</v>
      </c>
      <c r="F84" s="224" t="s">
        <v>1149</v>
      </c>
      <c r="G84" s="174" t="s">
        <v>499</v>
      </c>
      <c r="H84" s="174" t="str">
        <f>$AI$15</f>
        <v>IWDSH</v>
      </c>
      <c r="I84" s="174" t="str">
        <f t="shared" si="22"/>
        <v>INDWWH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INDWWH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INDWWH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INDWDPHWCHN1</v>
      </c>
      <c r="E87" s="261" t="str">
        <f>"Industrial heating technology "&amp;$AJ$12&amp;" "&amp;RIGHT(H87,2)&amp;" - Wood chip boiler (Steam) - new 1"</f>
        <v>Industrial heating technology Wood products PH - Wood chip boiler (Steam) - new 1</v>
      </c>
      <c r="F87" s="224" t="s">
        <v>1149</v>
      </c>
      <c r="G87" s="173" t="s">
        <v>498</v>
      </c>
      <c r="H87" s="174" t="str">
        <f>$AI$13</f>
        <v>IWDPH</v>
      </c>
      <c r="I87" s="174" t="str">
        <f t="shared" si="22"/>
        <v>INDWWH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INDWWH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INDWWH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INDWDPHWCHN1</v>
      </c>
      <c r="E90" s="261" t="str">
        <f>"Industrial heating technology "&amp;$AJ$12&amp;" "&amp;RIGHT(H90,2)&amp;" - Wood chip boiler (Steam) - new 1"</f>
        <v>Industrial heating technology Wood products PH - Wood chip boiler (Steam) - new 1</v>
      </c>
      <c r="F90" s="224" t="s">
        <v>1149</v>
      </c>
      <c r="G90" s="173" t="s">
        <v>498</v>
      </c>
      <c r="H90" s="174" t="str">
        <f>$AI$14</f>
        <v>IWDPH</v>
      </c>
      <c r="I90" s="174" t="str">
        <f t="shared" si="22"/>
        <v>INDWWH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INDWWH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INDWWH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INDWDSHWCHN1</v>
      </c>
      <c r="E93" s="261" t="str">
        <f>"Industrial heating technology "&amp;$AJ$12&amp;" "&amp;RIGHT(H93,2)&amp;" - Wood chip boiler (Steam) - new 1"</f>
        <v>Industrial heating technology Wood products SH - Wood chip boiler (Steam) - new 1</v>
      </c>
      <c r="F93" s="224" t="s">
        <v>1149</v>
      </c>
      <c r="G93" s="173" t="s">
        <v>498</v>
      </c>
      <c r="H93" s="174" t="str">
        <f>$AI$15</f>
        <v>IWDSH</v>
      </c>
      <c r="I93" s="174" t="str">
        <f t="shared" si="22"/>
        <v>INDWWH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INDWWH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INDWWH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INDWDPHWCHN2</v>
      </c>
      <c r="E96" s="707" t="str">
        <f>"Industrial heating technology "&amp;$AJ$12&amp;" "&amp;RIGHT(H96,2)&amp;" - Wood chip boiler (Steam - condensing) - new 2"</f>
        <v>Industrial heating technology Wood products PH - Wood chip boiler (Steam - condensing) - new 2</v>
      </c>
      <c r="F96" s="224" t="s">
        <v>1149</v>
      </c>
      <c r="G96" s="708" t="s">
        <v>498</v>
      </c>
      <c r="H96" s="708" t="str">
        <f>$AI$14</f>
        <v>IWDPH</v>
      </c>
      <c r="I96" s="708" t="str">
        <f t="shared" si="22"/>
        <v>INDWWH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INDWWH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INDWWH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INDWDSHWCHN2</v>
      </c>
      <c r="E99" s="261" t="str">
        <f>"Industrial heating technology "&amp;$AJ$12&amp;" "&amp;RIGHT(H99,2)&amp;" - Wood chip boiler (Steam - condensing) - new 2"</f>
        <v>Industrial heating technology Wood products SH - Wood chip boiler (Steam - condensing) - new 2</v>
      </c>
      <c r="F99" s="224" t="s">
        <v>1149</v>
      </c>
      <c r="G99" s="174" t="s">
        <v>498</v>
      </c>
      <c r="H99" s="174" t="str">
        <f>$AI$15</f>
        <v>IWDSH</v>
      </c>
      <c r="I99" s="174" t="str">
        <f t="shared" si="22"/>
        <v>INDWWH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INDWWH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INDWWH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INDWDPHWCHN3</v>
      </c>
      <c r="E102" s="707" t="str">
        <f>"Industrial heating technology "&amp;$AJ$12&amp;" "&amp;RIGHT(H102,2)&amp;" - Wood chip boiler (Hot Water) - new 3"</f>
        <v>Industrial heating technology Wood products PH - Wood chip boiler (Hot Water) - new 3</v>
      </c>
      <c r="F102" s="224" t="s">
        <v>1149</v>
      </c>
      <c r="G102" s="708" t="s">
        <v>498</v>
      </c>
      <c r="H102" s="708" t="str">
        <f>$AI$14</f>
        <v>IWDPH</v>
      </c>
      <c r="I102" s="708" t="str">
        <f t="shared" si="22"/>
        <v>INDWWH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INDWWH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INDWWH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INDWDSHWCHN3</v>
      </c>
      <c r="E105" s="261" t="str">
        <f>"Industrial heating technology "&amp;$AJ$12&amp;" "&amp;RIGHT(H105,2)&amp;" - Wood chip boiler (Hot Water) - new 3"</f>
        <v>Industrial heating technology Wood products SH - Wood chip boiler (Hot Water) - new 3</v>
      </c>
      <c r="F105" s="224" t="s">
        <v>1149</v>
      </c>
      <c r="G105" s="174" t="s">
        <v>498</v>
      </c>
      <c r="H105" s="174" t="str">
        <f>$AI$15</f>
        <v>IWDSH</v>
      </c>
      <c r="I105" s="174" t="str">
        <f t="shared" si="22"/>
        <v>INDWWH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INDWWH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INDWWH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INDWDPHWCHN4</v>
      </c>
      <c r="E108" s="707" t="str">
        <f>"Industrial heating technology "&amp;$AJ$12&amp;" "&amp;RIGHT(H108,2)&amp;" - Wood chip boiler (Hot Water - condensing) - new 4"</f>
        <v>Industrial heating technology Wood products PH - Wood chip boiler (Hot Water - condensing) - new 4</v>
      </c>
      <c r="F108" s="224" t="s">
        <v>1149</v>
      </c>
      <c r="G108" s="708" t="s">
        <v>498</v>
      </c>
      <c r="H108" s="708" t="str">
        <f>$AI$14</f>
        <v>IWDPH</v>
      </c>
      <c r="I108" s="708" t="str">
        <f t="shared" si="22"/>
        <v>INDWWH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INDWWH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INDWWH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INDWDSHWCHN4</v>
      </c>
      <c r="E111" s="261" t="str">
        <f>"Industrial heating technology "&amp;$AJ$12&amp;" "&amp;RIGHT(H111,2)&amp;" - Wood chip boiler (Hot Water- condensing) - new 4"</f>
        <v>Industrial heating technology Wood products SH - Wood chip boiler (Hot Water- condensing) - new 4</v>
      </c>
      <c r="F111" s="224" t="s">
        <v>1149</v>
      </c>
      <c r="G111" s="174" t="s">
        <v>498</v>
      </c>
      <c r="H111" s="174" t="str">
        <f>$AI$15</f>
        <v>IWDSH</v>
      </c>
      <c r="I111" s="174" t="str">
        <f t="shared" si="22"/>
        <v>INDWWH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INDWWH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INDWWH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INDWDPHELCN10</v>
      </c>
      <c r="E114" s="261" t="str">
        <f>"Industrial heating technology "&amp;$AJ$12&amp;" "&amp;RIGHT(H114,2)&amp;" - Direct electric heating - new 10"</f>
        <v>Industrial heating technology Wood products PH - Direct electric heating - new 10</v>
      </c>
      <c r="F114" s="224" t="s">
        <v>1149</v>
      </c>
      <c r="G114" s="173" t="s">
        <v>499</v>
      </c>
      <c r="H114" s="174" t="str">
        <f>$AI$13</f>
        <v>IWDPH</v>
      </c>
      <c r="I114" s="174" t="str">
        <f t="shared" si="22"/>
        <v>INDWWH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INDWWH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INDWWH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INDWDPHELCN10</v>
      </c>
      <c r="E117" s="261" t="str">
        <f>"Industrial heating technology "&amp;$AJ$12&amp;" "&amp;RIGHT(H117,2)&amp;" - Direct electric heating - new 10"</f>
        <v>Industrial heating technology Wood products PH - Direct electric heating - new 10</v>
      </c>
      <c r="F117" s="224" t="s">
        <v>1149</v>
      </c>
      <c r="G117" s="173" t="s">
        <v>499</v>
      </c>
      <c r="H117" s="174" t="str">
        <f>$AI$14</f>
        <v>IWDPH</v>
      </c>
      <c r="I117" s="174" t="str">
        <f t="shared" si="22"/>
        <v>INDWWH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INDWWH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INDWWH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INDWDPHDSLN1</v>
      </c>
      <c r="E120" s="261" t="str">
        <f>"Industrial heating technology "&amp;$AJ$12&amp;" "&amp;RIGHT(H120,2)&amp;" - Oil boiler (Steam) - new 1"</f>
        <v>Industrial heating technology Wood products PH - Oil boiler (Steam) - new 1</v>
      </c>
      <c r="F120" s="224" t="s">
        <v>1149</v>
      </c>
      <c r="G120" s="173" t="s">
        <v>2081</v>
      </c>
      <c r="H120" s="174" t="str">
        <f>$AI$13</f>
        <v>IWDPH</v>
      </c>
      <c r="I120" s="174" t="str">
        <f t="shared" si="22"/>
        <v>INDWWH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INDWWH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INDWWH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INDWDPHDSLN1</v>
      </c>
      <c r="E123" s="261" t="str">
        <f>"Industrial heating technology "&amp;$AJ$12&amp;" "&amp;RIGHT(H123,2)&amp;" - Oil boiler (Steam) - new 1"</f>
        <v>Industrial heating technology Wood products PH - Oil boiler (Steam) - new 1</v>
      </c>
      <c r="F123" s="224" t="s">
        <v>1149</v>
      </c>
      <c r="G123" s="173" t="s">
        <v>2081</v>
      </c>
      <c r="H123" s="174" t="str">
        <f>$AI$14</f>
        <v>IWDPH</v>
      </c>
      <c r="I123" s="174" t="str">
        <f t="shared" si="22"/>
        <v>INDWWH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INDWWH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INDWWH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INDWDSHDSLN1</v>
      </c>
      <c r="E126" s="261" t="str">
        <f>"Industrial heating technology "&amp;$AJ$12&amp;" "&amp;RIGHT(H126,2)&amp;" - Oil boiler (Steam) - new 1"</f>
        <v>Industrial heating technology Wood products SH - Oil boiler (Steam) - new 1</v>
      </c>
      <c r="F126" s="224" t="s">
        <v>1149</v>
      </c>
      <c r="G126" s="173" t="s">
        <v>2081</v>
      </c>
      <c r="H126" s="174" t="str">
        <f>$AI$15</f>
        <v>IWDSH</v>
      </c>
      <c r="I126" s="174" t="str">
        <f t="shared" si="22"/>
        <v>INDWWH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INDWWH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INDWWH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INDWDPHDSLN2</v>
      </c>
      <c r="E129" s="707" t="str">
        <f>"Industrial heating technology "&amp;$AJ$12&amp;" "&amp;RIGHT(H129,2)&amp;" - Oil boiler (Steam - condensing) - new 2"</f>
        <v>Industrial heating technology Wood products PH - Oil boiler (Steam - condensing) - new 2</v>
      </c>
      <c r="F129" s="224" t="s">
        <v>1149</v>
      </c>
      <c r="G129" s="173" t="s">
        <v>2081</v>
      </c>
      <c r="H129" s="708" t="str">
        <f>$AI$14</f>
        <v>IWDPH</v>
      </c>
      <c r="I129" s="708" t="str">
        <f t="shared" si="143"/>
        <v>INDWWH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INDWWH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INDWWH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INDWDSHDSLN2</v>
      </c>
      <c r="E132" s="261" t="str">
        <f>"Industrial heating technology "&amp;$AJ$12&amp;" "&amp;RIGHT(H132,2)&amp;" - Oil boiler (Steam - condensing) - new 2"</f>
        <v>Industrial heating technology Wood products SH - Oil boiler (Steam - condensing) - new 2</v>
      </c>
      <c r="F132" s="224" t="s">
        <v>1149</v>
      </c>
      <c r="G132" s="173" t="s">
        <v>2081</v>
      </c>
      <c r="H132" s="174" t="str">
        <f>$AI$15</f>
        <v>IWDSH</v>
      </c>
      <c r="I132" s="174" t="str">
        <f t="shared" si="143"/>
        <v>INDWWH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INDWWH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INDWWH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INDWDPHGASN1</v>
      </c>
      <c r="E135" s="261" t="str">
        <f>"Industrial heating technology "&amp;$AJ$12&amp;" "&amp;RIGHT(H135,2)&amp;" - Gas boiler (Steam) - new 1"</f>
        <v>Industrial heating technology Wood products PH - Gas boiler (Steam) - new 1</v>
      </c>
      <c r="F135" s="224" t="s">
        <v>1149</v>
      </c>
      <c r="G135" s="173" t="s">
        <v>2080</v>
      </c>
      <c r="H135" s="174" t="str">
        <f>$AI$13</f>
        <v>IWDPH</v>
      </c>
      <c r="I135" s="174" t="str">
        <f t="shared" si="143"/>
        <v>INDWWH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INDWWH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INDWWH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INDWDPHGASN1</v>
      </c>
      <c r="E138" s="261" t="str">
        <f>"Industrial heating technology "&amp;$AJ$12&amp;" "&amp;RIGHT(H138,2)&amp;" - Gas boiler (Steam) - new 1"</f>
        <v>Industrial heating technology Wood products PH - Gas boiler (Steam) - new 1</v>
      </c>
      <c r="F138" s="224" t="s">
        <v>1149</v>
      </c>
      <c r="G138" s="173" t="s">
        <v>2080</v>
      </c>
      <c r="H138" s="174" t="str">
        <f>$AI$14</f>
        <v>IWDPH</v>
      </c>
      <c r="I138" s="174" t="str">
        <f t="shared" si="143"/>
        <v>INDWWH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INDWWH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INDWWH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INDWDSHGASN1</v>
      </c>
      <c r="E141" s="261" t="str">
        <f>"Industrial heating technology "&amp;$AJ$12&amp;" "&amp;RIGHT(H141,2)&amp;" - Gas boiler (Steam) - new 1"</f>
        <v>Industrial heating technology Wood products SH - Gas boiler (Steam) - new 1</v>
      </c>
      <c r="F141" s="224" t="s">
        <v>1149</v>
      </c>
      <c r="G141" s="173" t="s">
        <v>2080</v>
      </c>
      <c r="H141" s="174" t="str">
        <f>$AI$15</f>
        <v>IWDSH</v>
      </c>
      <c r="I141" s="174" t="str">
        <f t="shared" si="143"/>
        <v>INDWWH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INDWWH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INDWWH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INDWDPHGASN2</v>
      </c>
      <c r="E144" s="707" t="str">
        <f>"Industrial heating technology "&amp;$AJ$12&amp;" "&amp;RIGHT(H144,2)&amp;" - Gas boiler (Steam - condensing) - new 2"</f>
        <v>Industrial heating technology Wood products PH - Gas boiler (Steam - condensing) - new 2</v>
      </c>
      <c r="F144" s="224" t="s">
        <v>1149</v>
      </c>
      <c r="G144" s="173" t="s">
        <v>2080</v>
      </c>
      <c r="H144" s="708" t="str">
        <f>$AI$14</f>
        <v>IWDPH</v>
      </c>
      <c r="I144" s="708" t="str">
        <f t="shared" si="143"/>
        <v>INDWWH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INDWWH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INDWWH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INDWDSHGASN2</v>
      </c>
      <c r="E147" s="261" t="str">
        <f>"Industrial heating technology "&amp;$AJ$12&amp;" "&amp;RIGHT(H147,2)&amp;" - Gas boiler (Steam - condensing) - new 2"</f>
        <v>Industrial heating technology Wood products SH - Gas boiler (Steam - condensing) - new 2</v>
      </c>
      <c r="F147" s="224" t="s">
        <v>1149</v>
      </c>
      <c r="G147" s="173" t="s">
        <v>2080</v>
      </c>
      <c r="H147" s="174" t="str">
        <f>$AI$15</f>
        <v>IWDSH</v>
      </c>
      <c r="I147" s="174" t="str">
        <f t="shared" si="143"/>
        <v>INDWWH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INDWWH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INDWWH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INDWDPHGASN3</v>
      </c>
      <c r="E150" s="707" t="str">
        <f>"Industrial heating technology "&amp;$AJ$12&amp;" "&amp;RIGHT(H150,2)&amp;" - Gas boiler (Hot Water) - new 3"</f>
        <v>Industrial heating technology Wood products PH - Gas boiler (Hot Water) - new 3</v>
      </c>
      <c r="F150" s="224" t="s">
        <v>1149</v>
      </c>
      <c r="G150" s="173" t="s">
        <v>2080</v>
      </c>
      <c r="H150" s="708" t="str">
        <f>$AI$14</f>
        <v>IWDPH</v>
      </c>
      <c r="I150" s="708" t="str">
        <f t="shared" si="143"/>
        <v>INDWWH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INDWWH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INDWWH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INDWDSHGASN3</v>
      </c>
      <c r="E153" s="261" t="str">
        <f>"Industrial heating technology "&amp;$AJ$12&amp;" "&amp;RIGHT(H153,2)&amp;" - Gas boiler (Hot Water) - new 3"</f>
        <v>Industrial heating technology Wood products SH - Gas boiler (Hot Water) - new 3</v>
      </c>
      <c r="F153" s="224" t="s">
        <v>1149</v>
      </c>
      <c r="G153" s="173" t="s">
        <v>2080</v>
      </c>
      <c r="H153" s="174" t="str">
        <f>$AI$15</f>
        <v>IWDSH</v>
      </c>
      <c r="I153" s="174" t="str">
        <f t="shared" si="143"/>
        <v>INDWWH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INDWWH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INDWWH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INDWDPHGASN4</v>
      </c>
      <c r="E156" s="707" t="str">
        <f>"Industrial heating technology "&amp;$AJ$12&amp;" "&amp;RIGHT(H156,2)&amp;" - Gas boiler (Hot Water - condensing) - new 4"</f>
        <v>Industrial heating technology Wood products PH - Gas boiler (Hot Water - condensing) - new 4</v>
      </c>
      <c r="F156" s="224" t="s">
        <v>1149</v>
      </c>
      <c r="G156" s="173" t="s">
        <v>2080</v>
      </c>
      <c r="H156" s="708" t="str">
        <f>$AI$14</f>
        <v>IWDPH</v>
      </c>
      <c r="I156" s="708" t="str">
        <f t="shared" si="143"/>
        <v>INDWWH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INDWWH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INDWWH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INDWDSHGASN4</v>
      </c>
      <c r="E159" s="261" t="str">
        <f>"Industrial heating technology "&amp;$AJ$12&amp;" "&amp;RIGHT(H159,2)&amp;" - Gas boiler (Hot Water- condensing) - new 4"</f>
        <v>Industrial heating technology Wood products SH - Gas boiler (Hot Water- condensing) - new 4</v>
      </c>
      <c r="F159" s="224" t="s">
        <v>1149</v>
      </c>
      <c r="G159" s="173" t="s">
        <v>2080</v>
      </c>
      <c r="H159" s="174" t="str">
        <f>$AI$15</f>
        <v>IWDSH</v>
      </c>
      <c r="I159" s="174" t="str">
        <f t="shared" si="143"/>
        <v>INDWWH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INDWWH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INDWWH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INDWDPHGASN5</v>
      </c>
      <c r="E162" s="707" t="str">
        <f>"Industrial heating technology "&amp;$AJ$12&amp;" "&amp;RIGHT(H162,2)&amp;" - Gas boiler (Direct firing) - new 5"</f>
        <v>Industrial heating technology Wood products PH - Gas boiler (Direct firing) - new 5</v>
      </c>
      <c r="F162" s="224" t="s">
        <v>1149</v>
      </c>
      <c r="G162" s="173" t="s">
        <v>2080</v>
      </c>
      <c r="H162" s="174" t="str">
        <f>$AI$13</f>
        <v>IWDPH</v>
      </c>
      <c r="I162" s="174" t="str">
        <f t="shared" si="143"/>
        <v>INDWWH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INDWWH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INDWWH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INDWDPHGASN5</v>
      </c>
      <c r="E165" s="261" t="str">
        <f>"Industrial heating technology "&amp;$AJ$12&amp;" "&amp;RIGHT(H165,2)&amp;" - Gas boiler (Direct firing) - new 5"</f>
        <v>Industrial heating technology Wood products PH - Gas boiler (Direct firing) - new 5</v>
      </c>
      <c r="F165" s="224" t="s">
        <v>1149</v>
      </c>
      <c r="G165" s="173" t="s">
        <v>2080</v>
      </c>
      <c r="H165" s="174" t="str">
        <f>$AI$14</f>
        <v>IWDPH</v>
      </c>
      <c r="I165" s="721" t="str">
        <f t="shared" si="143"/>
        <v>INDWWH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INDWWH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INDWWH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INDWDPHCOAN1</v>
      </c>
      <c r="E168" s="261" t="str">
        <f>"Industrial heating technology "&amp;$AJ$12&amp;" "&amp;RIGHT(H168,2)&amp;" - Coal boiler (Steam) - new 1"</f>
        <v>Industrial heating technology Wood products PH - Coal boiler (Steam) - new 1</v>
      </c>
      <c r="F168" s="224" t="s">
        <v>1149</v>
      </c>
      <c r="G168" s="55" t="s">
        <v>617</v>
      </c>
      <c r="H168" s="174" t="str">
        <f>$AI$13</f>
        <v>IWDPH</v>
      </c>
      <c r="I168" s="174" t="str">
        <f t="shared" si="143"/>
        <v>INDWWH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INDWWH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INDWWH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INDWDPHCOAN1</v>
      </c>
      <c r="E171" s="261" t="str">
        <f>"Industrial heating technology "&amp;$AJ$12&amp;" "&amp;RIGHT(H171,2)&amp;" - Coal boiler (Steam) - new 1"</f>
        <v>Industrial heating technology Wood products PH - Coal boiler (Steam) - new 1</v>
      </c>
      <c r="F171" s="224" t="s">
        <v>1149</v>
      </c>
      <c r="G171" s="55" t="s">
        <v>617</v>
      </c>
      <c r="H171" s="174" t="str">
        <f>$AI$14</f>
        <v>IWDPH</v>
      </c>
      <c r="I171" s="174" t="str">
        <f t="shared" si="143"/>
        <v>INDWWH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INDWWH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INDWWH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INDWDSHCOAN1</v>
      </c>
      <c r="E174" s="261" t="str">
        <f>"Industrial heating technology "&amp;$AJ$12&amp;" "&amp;RIGHT(H174,2)&amp;" - Coal boiler (Steam) - new 1"</f>
        <v>Industrial heating technology Wood products SH - Coal boiler (Steam) - new 1</v>
      </c>
      <c r="F174" s="224" t="s">
        <v>1149</v>
      </c>
      <c r="G174" s="55" t="s">
        <v>617</v>
      </c>
      <c r="H174" s="174" t="str">
        <f>$AI$15</f>
        <v>IWDSH</v>
      </c>
      <c r="I174" s="174" t="str">
        <f t="shared" si="143"/>
        <v>INDWWH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INDWWH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INDWWH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INDWDPHCOAN2</v>
      </c>
      <c r="E177" s="261" t="str">
        <f>"Industrial heating technology "&amp;$AJ$12&amp;" "&amp;RIGHT(H177,2)&amp;" - Coal boiler (Hot Water) - new 2"</f>
        <v>Industrial heating technology Wood products PH - Coal boiler (Hot Water) - new 2</v>
      </c>
      <c r="F177" s="224" t="s">
        <v>1149</v>
      </c>
      <c r="G177" s="55" t="s">
        <v>617</v>
      </c>
      <c r="H177" s="174" t="str">
        <f>$AI$14</f>
        <v>IWDPH</v>
      </c>
      <c r="I177" s="174" t="str">
        <f t="shared" si="143"/>
        <v>INDWWH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INDWWH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INDWWH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INDWDSHCOAN2</v>
      </c>
      <c r="E180" s="261" t="str">
        <f>"Industrial heating technology "&amp;$AJ$12&amp;" "&amp;RIGHT(H180,2)&amp;" - Coal boiler (Hot Water) - new 2"</f>
        <v>Industrial heating technology Wood products SH - Coal boiler (Hot Water) - new 2</v>
      </c>
      <c r="F180" s="224" t="s">
        <v>1149</v>
      </c>
      <c r="G180" s="55" t="s">
        <v>617</v>
      </c>
      <c r="H180" s="174" t="str">
        <f>$AI$15</f>
        <v>IWDSH</v>
      </c>
      <c r="I180" s="174" t="str">
        <f t="shared" si="143"/>
        <v>INDWWH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INDWWH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INDWWH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INDWDSHSOLN1</v>
      </c>
      <c r="E183" s="261" t="str">
        <f>"Industrial heating technology "&amp;$AJ$12&amp;" "&amp;RIGHT(H183,2)&amp;" - Solar - new 1"</f>
        <v>Industrial heating technology Wood products SH - Solar - new 1</v>
      </c>
      <c r="F183" s="224" t="s">
        <v>1149</v>
      </c>
      <c r="G183" s="55" t="s">
        <v>500</v>
      </c>
      <c r="H183" s="174" t="str">
        <f>$AI$15</f>
        <v>IWDSH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INDWDSHHCEN1</v>
      </c>
      <c r="E187" s="224" t="str">
        <f>"Industrial heating technology "&amp;$AJ$12&amp;" "&amp;RIGHT(H187,2)&amp;" - central district heating - within DH area - new 1"</f>
        <v>Industrial heating technology Wood products SH - central district heating - within DH area - new 1</v>
      </c>
      <c r="F187" s="224" t="s">
        <v>1149</v>
      </c>
      <c r="G187" s="225" t="s">
        <v>501</v>
      </c>
      <c r="H187" s="225" t="str">
        <f>AI15</f>
        <v>IWDSH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INDWDPHHCEN1</v>
      </c>
      <c r="E188" s="224" t="str">
        <f>"Industrial heating technology "&amp;$AJ$12&amp;" "&amp;RIGHT(H188,2)&amp;" - central district heating - within DH area - new 1"</f>
        <v>Industrial heating technology Wood products PH - central district heating - within DH area - new 1</v>
      </c>
      <c r="F188" s="224" t="s">
        <v>1149</v>
      </c>
      <c r="G188" s="225" t="s">
        <v>501</v>
      </c>
      <c r="H188" s="281" t="str">
        <f>AI14</f>
        <v>IWDPH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INDWDSHHSEN1</v>
      </c>
      <c r="E189" s="224" t="str">
        <f>"Industrial heating technology "&amp;$AJ$12&amp;" "&amp;RIGHT(H189,2)&amp;" - central district heating - within DH area - new 1"</f>
        <v>Industrial heating technology Wood products SH - central district heating - within DH area - new 1</v>
      </c>
      <c r="F189" s="224" t="s">
        <v>1149</v>
      </c>
      <c r="G189" s="225" t="s">
        <v>2124</v>
      </c>
      <c r="H189" s="225" t="str">
        <f>H187</f>
        <v>IWDSH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INDWDPHHSEN1</v>
      </c>
      <c r="E190" s="224" t="str">
        <f>"Industrial heating technology "&amp;$AJ$12&amp;" "&amp;RIGHT(H190,2)&amp;" - central district heating - within DH area - new 1"</f>
        <v>Industrial heating technology Wood products PH - central district heating - within DH area - new 1</v>
      </c>
      <c r="F190" s="224" t="s">
        <v>1149</v>
      </c>
      <c r="G190" s="225" t="s">
        <v>2124</v>
      </c>
      <c r="H190" s="225" t="str">
        <f>H188</f>
        <v>IWDPH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INDWDSHHDEN1</v>
      </c>
      <c r="E191" s="224" t="str">
        <f>"Industrial heating technology "&amp;$AJ$12&amp;" "&amp;RIGHT(H191,2)&amp;" - decentral district heating - within DH area - new 1"</f>
        <v>Industrial heating technology Wood products SH - decentral district heating - within DH area - new 1</v>
      </c>
      <c r="F191" s="224" t="s">
        <v>1149</v>
      </c>
      <c r="G191" s="259" t="s">
        <v>502</v>
      </c>
      <c r="H191" s="265" t="str">
        <f>AI15</f>
        <v>IWDSH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INDWDPHHDEN1</v>
      </c>
      <c r="E192" s="224" t="str">
        <f>"Industrial heating technology "&amp;$AJ$12&amp;" "&amp;RIGHT(H192,2)&amp;" - decentral district heating - within DH area - new 1"</f>
        <v>Industrial heating technology Wood products PH - decentral district heating - within DH area - new 1</v>
      </c>
      <c r="F192" s="224" t="s">
        <v>1149</v>
      </c>
      <c r="G192" s="259" t="s">
        <v>502</v>
      </c>
      <c r="H192" s="225" t="str">
        <f>AI14</f>
        <v>IWDPH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INDWDLAELCN1</v>
      </c>
      <c r="E194" s="224" t="str">
        <f>"Industry "&amp;$AJ$12&amp;" "&amp;RIGHT(H194,2)&amp;" Electricity Light Appliance - New 1"</f>
        <v>Industry Wood products LA Electricity Light Appliance - New 1</v>
      </c>
      <c r="F194" s="224" t="s">
        <v>1149</v>
      </c>
      <c r="G194" s="225" t="s">
        <v>499</v>
      </c>
      <c r="H194" s="225" t="str">
        <f>AI16</f>
        <v>IWDLA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INDWDEMELCN1</v>
      </c>
      <c r="E198" s="224" t="str">
        <f>"Industry "&amp;$AJ$12&amp;" "&amp;RIGHT(H198,2)&amp;" Electricity Motors - New 1"</f>
        <v>Industry Wood products EM Electricity Motors - New 1</v>
      </c>
      <c r="F198" s="224" t="s">
        <v>1149</v>
      </c>
      <c r="G198" s="225" t="s">
        <v>499</v>
      </c>
      <c r="H198" s="225" t="str">
        <f>AI17</f>
        <v>IWDEM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INDWDTFDSLN1</v>
      </c>
      <c r="E202" s="224" t="str">
        <f>"Industry "&amp;$AJ$12&amp;" "&amp;RIGHT(H202,2)&amp;" Tractors, Trucks, Fishing boats - New 1"</f>
        <v>Industry Wood products TF Tractors, Trucks, Fishing boats - New 1</v>
      </c>
      <c r="F202" s="224" t="s">
        <v>1149</v>
      </c>
      <c r="G202" s="173" t="s">
        <v>2081</v>
      </c>
      <c r="H202" s="174" t="str">
        <f>$AI$18</f>
        <v>IWDTF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INDWDTFH2GN2</v>
      </c>
      <c r="E206" s="224" t="str">
        <f>"Industry "&amp;$AJ$12&amp;" "&amp;RIGHT(H206,2)&amp;" Tractors, Trucks, Fishing boats - New 2"</f>
        <v>Industry Wood products TF Tractors, Trucks, Fishing boats - New 2</v>
      </c>
      <c r="F206" s="224" t="s">
        <v>1149</v>
      </c>
      <c r="G206" s="55" t="s">
        <v>2077</v>
      </c>
      <c r="H206" s="174" t="str">
        <f>$AI$18</f>
        <v>IWDTF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INDWDTFELCN3</v>
      </c>
      <c r="E210" s="224" t="str">
        <f>"Industry "&amp;$AJ$12&amp;" "&amp;RIGHT(H210,2)&amp;" Tractors, Trucks, Fishing boats - New 3"</f>
        <v>Industry Wood products TF Tractors, Trucks, Fishing boats - New 3</v>
      </c>
      <c r="F210" s="224" t="s">
        <v>1149</v>
      </c>
      <c r="G210" s="55" t="s">
        <v>499</v>
      </c>
      <c r="H210" s="174" t="str">
        <f>$AI$18</f>
        <v>IWDTF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INDWDFLSYNN1</v>
      </c>
      <c r="E214" s="224" t="str">
        <f>"Industry "&amp;$AJ$12&amp;" "&amp;RIGHT(H202,2)&amp;" Forklifts - New 1"</f>
        <v>Industry Wood products TF Forklifts - New 1</v>
      </c>
      <c r="F214" s="224" t="s">
        <v>1149</v>
      </c>
      <c r="G214" s="173" t="s">
        <v>2082</v>
      </c>
      <c r="H214" s="224" t="str">
        <f>AI19</f>
        <v>IWDFL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INDWDCOELCN1</v>
      </c>
      <c r="E218" s="224" t="str">
        <f>"Industry "&amp;$AJ$12&amp;" "&amp;RIGHT(H218,2)&amp;" Cooling - New 1"</f>
        <v>Industry Wood products CO Cooling - New 1</v>
      </c>
      <c r="F218" s="224" t="s">
        <v>1149</v>
      </c>
      <c r="G218" s="173" t="s">
        <v>499</v>
      </c>
      <c r="H218" s="224" t="str">
        <f>AI21</f>
        <v>IWDCO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INDWDPHELCN1</v>
      </c>
      <c r="E229" s="212" t="str">
        <f t="shared" ref="E229:E260" si="266">VLOOKUP(D229,$D$9:$E$222,2,FALSE)</f>
        <v>Industrial heating technology Wood products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INDWDSHELCN1</v>
      </c>
      <c r="E230" s="212" t="str">
        <f t="shared" ca="1" si="266"/>
        <v>Industrial heating technology Wood products SH - Heat pump utilizing waste heat - new 1</v>
      </c>
      <c r="F230" s="262" t="s">
        <v>450</v>
      </c>
      <c r="G230" s="262" t="s">
        <v>449</v>
      </c>
      <c r="H230" s="263" t="s">
        <v>620</v>
      </c>
      <c r="I230" s="301"/>
      <c r="J230" s="264" t="s">
        <v>469</v>
      </c>
    </row>
    <row r="231" spans="1:10">
      <c r="A231" s="169"/>
      <c r="D231" s="212" t="str">
        <f t="shared" ca="1" si="267"/>
        <v>INDWDPHELCN2</v>
      </c>
      <c r="E231" s="212" t="str">
        <f t="shared" ca="1" si="266"/>
        <v>Industrial heating technology Wood products PH - Heat driven heat pump utilizing waste heat - new 2</v>
      </c>
      <c r="F231" s="211" t="s">
        <v>450</v>
      </c>
      <c r="G231" s="211" t="s">
        <v>449</v>
      </c>
      <c r="H231" s="263" t="s">
        <v>620</v>
      </c>
      <c r="I231" s="208"/>
      <c r="J231" s="264" t="s">
        <v>469</v>
      </c>
    </row>
    <row r="232" spans="1:10">
      <c r="A232" s="169"/>
      <c r="B232" s="211"/>
      <c r="C232" s="211"/>
      <c r="D232" s="212" t="str">
        <f t="shared" ca="1" si="267"/>
        <v>INDWDSHELCN2</v>
      </c>
      <c r="E232" s="212" t="str">
        <f t="shared" ca="1" si="266"/>
        <v>Industrial heating technology Wood products SH - Heat driven heat pump utilizing waste heat - new 2</v>
      </c>
      <c r="F232" s="262" t="s">
        <v>450</v>
      </c>
      <c r="G232" s="262" t="s">
        <v>449</v>
      </c>
      <c r="H232" s="263" t="s">
        <v>620</v>
      </c>
      <c r="I232" s="264"/>
      <c r="J232" s="264" t="s">
        <v>469</v>
      </c>
    </row>
    <row r="233" spans="1:10">
      <c r="A233" s="169"/>
      <c r="B233" s="211"/>
      <c r="C233" s="211"/>
      <c r="D233" s="212" t="str">
        <f t="shared" ca="1" si="267"/>
        <v>INDWDPHELCN3</v>
      </c>
      <c r="E233" s="212" t="str">
        <f t="shared" ca="1" si="266"/>
        <v>Industrial heating technology Wood products PH - High Temp abs. Heat pump utilizing waste heat - new 3</v>
      </c>
      <c r="F233" s="262" t="s">
        <v>450</v>
      </c>
      <c r="G233" s="262" t="s">
        <v>449</v>
      </c>
      <c r="H233" s="263" t="s">
        <v>620</v>
      </c>
      <c r="I233" s="264"/>
      <c r="J233" s="264" t="s">
        <v>469</v>
      </c>
    </row>
    <row r="234" spans="1:10">
      <c r="A234" s="169"/>
      <c r="B234" s="211"/>
      <c r="C234" s="211"/>
      <c r="D234" s="212" t="str">
        <f t="shared" ca="1" si="267"/>
        <v>INDWDSHELCN3</v>
      </c>
      <c r="E234" s="212" t="str">
        <f t="shared" ca="1" si="266"/>
        <v>Industrial heating technology Wood products SH - High Temp abs. Heat pump utilizing waste heat - new 3</v>
      </c>
      <c r="F234" s="262" t="s">
        <v>450</v>
      </c>
      <c r="G234" s="262" t="s">
        <v>449</v>
      </c>
      <c r="H234" s="263" t="s">
        <v>620</v>
      </c>
      <c r="I234" s="264"/>
      <c r="J234" s="264" t="s">
        <v>469</v>
      </c>
    </row>
    <row r="235" spans="1:10">
      <c r="A235" s="169"/>
      <c r="B235" s="211"/>
      <c r="C235" s="211"/>
      <c r="D235" s="212" t="str">
        <f t="shared" ca="1" si="267"/>
        <v>INDWDPHELCN4</v>
      </c>
      <c r="E235" s="212" t="str">
        <f t="shared" ca="1" si="266"/>
        <v>Industrial heating technology Wood products PH - Booster Heat pump utilizing waste heat - new 4</v>
      </c>
      <c r="F235" s="262" t="s">
        <v>450</v>
      </c>
      <c r="G235" s="262" t="s">
        <v>449</v>
      </c>
      <c r="H235" s="263" t="s">
        <v>620</v>
      </c>
      <c r="I235" s="264"/>
      <c r="J235" s="264" t="s">
        <v>469</v>
      </c>
    </row>
    <row r="236" spans="1:10">
      <c r="A236" s="169"/>
      <c r="B236" s="211"/>
      <c r="C236" s="211"/>
      <c r="D236" s="212" t="str">
        <f t="shared" ca="1" si="267"/>
        <v>INDWDSHELCN4</v>
      </c>
      <c r="E236" s="212" t="str">
        <f t="shared" ca="1" si="266"/>
        <v>Industrial heating technology Wood products SH - Booster Heat pump utilizing waste heat - new 4</v>
      </c>
      <c r="F236" s="262" t="s">
        <v>450</v>
      </c>
      <c r="G236" s="262" t="s">
        <v>449</v>
      </c>
      <c r="H236" s="263" t="s">
        <v>620</v>
      </c>
      <c r="I236" s="264"/>
      <c r="J236" s="264" t="s">
        <v>469</v>
      </c>
    </row>
    <row r="237" spans="1:10">
      <c r="A237" s="169"/>
      <c r="B237" s="211"/>
      <c r="C237" s="211"/>
      <c r="D237" s="212" t="str">
        <f t="shared" ca="1" si="267"/>
        <v>INDWDPHELCN5</v>
      </c>
      <c r="E237" s="212" t="str">
        <f t="shared" ca="1" si="266"/>
        <v>Industrial heating technology Wood products PH - MVR utilizing waste heat - new 5</v>
      </c>
      <c r="F237" s="262" t="s">
        <v>450</v>
      </c>
      <c r="G237" s="262" t="s">
        <v>449</v>
      </c>
      <c r="H237" s="263"/>
      <c r="I237" s="264"/>
      <c r="J237" s="264" t="s">
        <v>469</v>
      </c>
    </row>
    <row r="238" spans="1:10">
      <c r="A238" s="169"/>
      <c r="B238" s="211"/>
      <c r="C238" s="211"/>
      <c r="D238" s="212" t="str">
        <f t="shared" ca="1" si="267"/>
        <v>INDWDPHWSTN1</v>
      </c>
      <c r="E238" s="212" t="str">
        <f t="shared" ca="1" si="266"/>
        <v>Industrial heating technology Wood products PH - Hotdisc - new 1</v>
      </c>
      <c r="F238" s="262" t="s">
        <v>450</v>
      </c>
      <c r="G238" s="262" t="s">
        <v>449</v>
      </c>
      <c r="H238" s="263" t="s">
        <v>620</v>
      </c>
      <c r="I238" s="264"/>
      <c r="J238" s="264" t="s">
        <v>469</v>
      </c>
    </row>
    <row r="239" spans="1:10">
      <c r="A239" s="169"/>
      <c r="B239" s="211"/>
      <c r="C239" s="211"/>
      <c r="D239" s="212" t="str">
        <f t="shared" ref="D239:D278" ca="1" si="268">OFFSET($D$9,(ROW(D19)*3),0)</f>
        <v>INDWDPHELCN6</v>
      </c>
      <c r="E239" s="212" t="str">
        <f t="shared" ca="1" si="266"/>
        <v>Industrial heating technology Wood products PH - Dielectric heating - new 6</v>
      </c>
      <c r="F239" s="262" t="s">
        <v>450</v>
      </c>
      <c r="G239" s="262" t="s">
        <v>449</v>
      </c>
      <c r="H239" s="263" t="s">
        <v>620</v>
      </c>
      <c r="I239" s="264"/>
      <c r="J239" s="264" t="s">
        <v>469</v>
      </c>
    </row>
    <row r="240" spans="1:10">
      <c r="A240" s="169"/>
      <c r="B240" s="211"/>
      <c r="C240" s="211"/>
      <c r="D240" s="212" t="str">
        <f t="shared" ca="1" si="268"/>
        <v>INDWDPHELCN7</v>
      </c>
      <c r="E240" s="212" t="str">
        <f t="shared" ca="1" si="266"/>
        <v>Industrial heating technology Wood products PH - Infrared heating - new 7</v>
      </c>
      <c r="F240" s="262" t="s">
        <v>450</v>
      </c>
      <c r="G240" s="262" t="s">
        <v>449</v>
      </c>
      <c r="H240" s="263" t="s">
        <v>620</v>
      </c>
      <c r="I240" s="264"/>
      <c r="J240" s="264" t="s">
        <v>469</v>
      </c>
    </row>
    <row r="241" spans="1:16">
      <c r="A241" s="169"/>
      <c r="B241" s="211"/>
      <c r="C241" s="211"/>
      <c r="D241" s="212" t="str">
        <f t="shared" ca="1" si="268"/>
        <v>INDWDPHELCN8</v>
      </c>
      <c r="E241" s="212" t="str">
        <f t="shared" ca="1" si="266"/>
        <v>Industrial heating technology Wood products PH - Electric boiler (Steam) - new 8</v>
      </c>
      <c r="F241" s="262" t="s">
        <v>450</v>
      </c>
      <c r="G241" s="262" t="s">
        <v>449</v>
      </c>
      <c r="H241" s="263" t="s">
        <v>620</v>
      </c>
      <c r="I241" s="264"/>
      <c r="J241" s="264" t="s">
        <v>469</v>
      </c>
    </row>
    <row r="242" spans="1:16">
      <c r="A242" s="169"/>
      <c r="B242" s="211"/>
      <c r="C242" s="211"/>
      <c r="D242" s="212" t="str">
        <f t="shared" ca="1" si="268"/>
        <v>INDWDPHELCN8</v>
      </c>
      <c r="E242" s="212" t="str">
        <f t="shared" ca="1" si="266"/>
        <v>Industrial heating technology Wood products PH - Electric boiler (Steam) - new 8</v>
      </c>
      <c r="F242" s="262" t="s">
        <v>450</v>
      </c>
      <c r="G242" s="262" t="s">
        <v>449</v>
      </c>
      <c r="H242" s="263" t="s">
        <v>620</v>
      </c>
      <c r="I242" s="264"/>
      <c r="J242" s="264" t="s">
        <v>469</v>
      </c>
    </row>
    <row r="243" spans="1:16">
      <c r="A243" s="169"/>
      <c r="B243" s="211"/>
      <c r="C243" s="211"/>
      <c r="D243" s="212" t="str">
        <f t="shared" ca="1" si="268"/>
        <v>INDWDSHELCN8</v>
      </c>
      <c r="E243" s="212" t="str">
        <f t="shared" ca="1" si="266"/>
        <v>Industrial heating technology Wood products SH - Electric boiler (Steam) - new 8</v>
      </c>
      <c r="F243" s="262" t="s">
        <v>450</v>
      </c>
      <c r="G243" s="262" t="s">
        <v>449</v>
      </c>
      <c r="H243" s="263" t="s">
        <v>620</v>
      </c>
      <c r="I243" s="264"/>
      <c r="J243" s="264" t="s">
        <v>469</v>
      </c>
      <c r="P243" s="173"/>
    </row>
    <row r="244" spans="1:16">
      <c r="A244" s="169"/>
      <c r="B244" s="211"/>
      <c r="C244" s="211"/>
      <c r="D244" s="212" t="str">
        <f t="shared" ca="1" si="268"/>
        <v>INDWDPHELCN9</v>
      </c>
      <c r="E244" s="212" t="str">
        <f t="shared" ca="1" si="266"/>
        <v>Industrial heating technology Wood products PH - Electric boiler (Hot Water) - new 9</v>
      </c>
      <c r="F244" s="262" t="s">
        <v>450</v>
      </c>
      <c r="G244" s="262" t="s">
        <v>449</v>
      </c>
      <c r="H244" s="263" t="s">
        <v>620</v>
      </c>
      <c r="I244" s="264"/>
      <c r="J244" s="264" t="s">
        <v>469</v>
      </c>
      <c r="P244" s="173"/>
    </row>
    <row r="245" spans="1:16">
      <c r="A245" s="169"/>
      <c r="B245" s="211"/>
      <c r="C245" s="211"/>
      <c r="D245" s="212" t="str">
        <f t="shared" ca="1" si="268"/>
        <v>INDWDSHELCN9</v>
      </c>
      <c r="E245" s="212" t="str">
        <f t="shared" ca="1" si="266"/>
        <v>Industrial heating technology Wood products SH - Electric boiler (Hot Water) - new 9</v>
      </c>
      <c r="F245" s="262" t="s">
        <v>450</v>
      </c>
      <c r="G245" s="262" t="s">
        <v>449</v>
      </c>
      <c r="H245" s="263" t="s">
        <v>620</v>
      </c>
      <c r="I245" s="264"/>
      <c r="J245" s="264" t="s">
        <v>469</v>
      </c>
      <c r="P245" s="173"/>
    </row>
    <row r="246" spans="1:16">
      <c r="A246" s="169"/>
      <c r="B246" s="211"/>
      <c r="C246" s="211"/>
      <c r="D246" s="212" t="str">
        <f t="shared" ca="1" si="268"/>
        <v>INDWDPHWCHN1</v>
      </c>
      <c r="E246" s="212" t="str">
        <f t="shared" ca="1" si="266"/>
        <v>Industrial heating technology Wood products PH - Wood chip boiler (Steam) - new 1</v>
      </c>
      <c r="F246" s="262" t="s">
        <v>450</v>
      </c>
      <c r="G246" s="262" t="s">
        <v>449</v>
      </c>
      <c r="H246" s="263"/>
      <c r="I246" s="264"/>
      <c r="J246" s="264" t="s">
        <v>469</v>
      </c>
      <c r="P246" s="173"/>
    </row>
    <row r="247" spans="1:16">
      <c r="A247" s="169"/>
      <c r="B247" s="211"/>
      <c r="C247" s="211"/>
      <c r="D247" s="212" t="str">
        <f t="shared" ca="1" si="268"/>
        <v>INDWDPHWCHN1</v>
      </c>
      <c r="E247" s="212" t="str">
        <f t="shared" ca="1" si="266"/>
        <v>Industrial heating technology Wood products PH - Wood chip boiler (Steam) - new 1</v>
      </c>
      <c r="F247" s="262" t="s">
        <v>450</v>
      </c>
      <c r="G247" s="262" t="s">
        <v>449</v>
      </c>
      <c r="H247" s="263"/>
      <c r="I247" s="264"/>
      <c r="J247" s="264" t="s">
        <v>469</v>
      </c>
      <c r="M247" s="171"/>
      <c r="N247" s="171"/>
      <c r="P247" s="173"/>
    </row>
    <row r="248" spans="1:16">
      <c r="A248" s="169"/>
      <c r="B248" s="211"/>
      <c r="C248" s="211"/>
      <c r="D248" s="212" t="str">
        <f t="shared" ca="1" si="268"/>
        <v>INDWDSHWCHN1</v>
      </c>
      <c r="E248" s="212" t="str">
        <f t="shared" ca="1" si="266"/>
        <v>Industrial heating technology Wood products SH - Wood chip boiler (Steam) - new 1</v>
      </c>
      <c r="F248" s="262" t="s">
        <v>450</v>
      </c>
      <c r="G248" s="262" t="s">
        <v>449</v>
      </c>
      <c r="H248" s="263"/>
      <c r="I248" s="264"/>
      <c r="J248" s="264" t="s">
        <v>469</v>
      </c>
      <c r="M248" s="171"/>
      <c r="N248" s="171"/>
      <c r="P248" s="173"/>
    </row>
    <row r="249" spans="1:16">
      <c r="A249" s="169"/>
      <c r="B249" s="211"/>
      <c r="C249" s="211"/>
      <c r="D249" s="212" t="str">
        <f t="shared" ca="1" si="268"/>
        <v>INDWDPHWCHN2</v>
      </c>
      <c r="E249" s="212" t="str">
        <f t="shared" ca="1" si="266"/>
        <v>Industrial heating technology Wood products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INDWDSHWCHN2</v>
      </c>
      <c r="E250" s="212" t="str">
        <f t="shared" ca="1" si="266"/>
        <v>Industrial heating technology Wood products SH - Wood chip boiler (Steam - condensing) - new 2</v>
      </c>
      <c r="F250" s="262" t="s">
        <v>450</v>
      </c>
      <c r="G250" s="262" t="s">
        <v>449</v>
      </c>
      <c r="H250" s="263"/>
      <c r="I250" s="264"/>
      <c r="J250" s="264" t="s">
        <v>469</v>
      </c>
    </row>
    <row r="251" spans="1:16">
      <c r="A251" s="169"/>
      <c r="B251" s="212"/>
      <c r="C251" s="212"/>
      <c r="D251" s="212" t="str">
        <f t="shared" ca="1" si="268"/>
        <v>INDWDPHWCHN3</v>
      </c>
      <c r="E251" s="212" t="str">
        <f t="shared" ca="1" si="266"/>
        <v>Industrial heating technology Wood products PH - Wood chip boiler (Hot Water) - new 3</v>
      </c>
      <c r="F251" s="262" t="s">
        <v>450</v>
      </c>
      <c r="G251" s="262" t="s">
        <v>449</v>
      </c>
      <c r="H251" s="261"/>
      <c r="I251" s="261"/>
      <c r="J251" s="264" t="s">
        <v>469</v>
      </c>
    </row>
    <row r="252" spans="1:16">
      <c r="A252" s="169"/>
      <c r="B252" s="212"/>
      <c r="C252" s="212"/>
      <c r="D252" s="212" t="str">
        <f t="shared" ca="1" si="268"/>
        <v>INDWDSHWCHN3</v>
      </c>
      <c r="E252" s="212" t="str">
        <f t="shared" ca="1" si="266"/>
        <v>Industrial heating technology Wood products SH - Wood chip boiler (Hot Water) - new 3</v>
      </c>
      <c r="F252" s="262" t="s">
        <v>450</v>
      </c>
      <c r="G252" s="262" t="s">
        <v>449</v>
      </c>
      <c r="H252" s="261"/>
      <c r="I252" s="261"/>
      <c r="J252" s="264" t="s">
        <v>469</v>
      </c>
    </row>
    <row r="253" spans="1:16">
      <c r="A253" s="169"/>
      <c r="B253" s="212"/>
      <c r="C253" s="212"/>
      <c r="D253" s="212" t="str">
        <f t="shared" ca="1" si="268"/>
        <v>INDWDPHWCHN4</v>
      </c>
      <c r="E253" s="212" t="str">
        <f t="shared" ca="1" si="266"/>
        <v>Industrial heating technology Wood products PH - Wood chip boiler (Hot Water - condensing) - new 4</v>
      </c>
      <c r="F253" s="262" t="s">
        <v>450</v>
      </c>
      <c r="G253" s="262" t="s">
        <v>449</v>
      </c>
      <c r="H253" s="261"/>
      <c r="I253" s="261"/>
      <c r="J253" s="264" t="s">
        <v>469</v>
      </c>
    </row>
    <row r="254" spans="1:16">
      <c r="A254" s="169"/>
      <c r="B254" s="212"/>
      <c r="C254" s="212"/>
      <c r="D254" s="212" t="str">
        <f t="shared" ca="1" si="268"/>
        <v>INDWDSHWCHN4</v>
      </c>
      <c r="E254" s="212" t="str">
        <f t="shared" ca="1" si="266"/>
        <v>Industrial heating technology Wood products SH - Wood chip boiler (Hot Water- condensing) - new 4</v>
      </c>
      <c r="F254" s="262" t="s">
        <v>450</v>
      </c>
      <c r="G254" s="262" t="s">
        <v>449</v>
      </c>
      <c r="H254" s="261"/>
      <c r="I254" s="261"/>
      <c r="J254" s="264" t="s">
        <v>469</v>
      </c>
    </row>
    <row r="255" spans="1:16">
      <c r="B255" s="212"/>
      <c r="C255" s="212"/>
      <c r="D255" s="212" t="str">
        <f t="shared" ca="1" si="268"/>
        <v>INDWDPHELCN10</v>
      </c>
      <c r="E255" s="212" t="str">
        <f t="shared" ca="1" si="266"/>
        <v>Industrial heating technology Wood products PH - Direct electric heating - new 10</v>
      </c>
      <c r="F255" s="262" t="s">
        <v>450</v>
      </c>
      <c r="G255" s="262" t="s">
        <v>449</v>
      </c>
      <c r="H255" s="261"/>
      <c r="I255" s="261"/>
      <c r="J255" s="264" t="s">
        <v>469</v>
      </c>
    </row>
    <row r="256" spans="1:16">
      <c r="B256" s="212"/>
      <c r="C256" s="212"/>
      <c r="D256" s="212" t="str">
        <f t="shared" ca="1" si="268"/>
        <v>INDWDPHELCN10</v>
      </c>
      <c r="E256" s="212" t="str">
        <f t="shared" ca="1" si="266"/>
        <v>Industrial heating technology Wood products PH - Direct electric heating - new 10</v>
      </c>
      <c r="F256" s="262" t="s">
        <v>450</v>
      </c>
      <c r="G256" s="262" t="s">
        <v>449</v>
      </c>
      <c r="H256" s="261"/>
      <c r="I256" s="261"/>
      <c r="J256" s="264" t="s">
        <v>469</v>
      </c>
    </row>
    <row r="257" spans="1:10">
      <c r="B257" s="212"/>
      <c r="C257" s="212"/>
      <c r="D257" s="212" t="str">
        <f t="shared" ca="1" si="268"/>
        <v>INDWDPHDSLN1</v>
      </c>
      <c r="E257" s="212" t="str">
        <f t="shared" ca="1" si="266"/>
        <v>Industrial heating technology Wood products PH - Oil boiler (Steam) - new 1</v>
      </c>
      <c r="F257" s="262" t="s">
        <v>450</v>
      </c>
      <c r="G257" s="262" t="s">
        <v>449</v>
      </c>
      <c r="H257" s="261"/>
      <c r="I257" s="261"/>
      <c r="J257" s="264" t="s">
        <v>469</v>
      </c>
    </row>
    <row r="258" spans="1:10">
      <c r="B258" s="212"/>
      <c r="C258" s="212"/>
      <c r="D258" s="212" t="str">
        <f t="shared" ca="1" si="268"/>
        <v>INDWDPHDSLN1</v>
      </c>
      <c r="E258" s="212" t="str">
        <f t="shared" ca="1" si="266"/>
        <v>Industrial heating technology Wood products PH - Oil boiler (Steam) - new 1</v>
      </c>
      <c r="F258" s="262" t="s">
        <v>450</v>
      </c>
      <c r="G258" s="262" t="s">
        <v>449</v>
      </c>
      <c r="H258" s="261"/>
      <c r="I258" s="261"/>
      <c r="J258" s="264" t="s">
        <v>469</v>
      </c>
    </row>
    <row r="259" spans="1:10">
      <c r="B259" s="212"/>
      <c r="C259" s="212"/>
      <c r="D259" s="212" t="str">
        <f t="shared" ca="1" si="268"/>
        <v>INDWDSHDSLN1</v>
      </c>
      <c r="E259" s="212" t="str">
        <f t="shared" ca="1" si="266"/>
        <v>Industrial heating technology Wood products SH - Oil boiler (Steam) - new 1</v>
      </c>
      <c r="F259" s="262" t="s">
        <v>450</v>
      </c>
      <c r="G259" s="262" t="s">
        <v>449</v>
      </c>
      <c r="H259" s="261"/>
      <c r="I259" s="261"/>
      <c r="J259" s="264" t="s">
        <v>469</v>
      </c>
    </row>
    <row r="260" spans="1:10">
      <c r="A260" s="214"/>
      <c r="B260" s="212"/>
      <c r="C260" s="212"/>
      <c r="D260" s="212" t="str">
        <f t="shared" ca="1" si="268"/>
        <v>INDWDPHDSLN2</v>
      </c>
      <c r="E260" s="212" t="str">
        <f t="shared" ca="1" si="266"/>
        <v>Industrial heating technology Wood products PH - Oil boiler (Steam - condensing) - new 2</v>
      </c>
      <c r="F260" s="262" t="s">
        <v>450</v>
      </c>
      <c r="G260" s="262" t="s">
        <v>449</v>
      </c>
      <c r="H260" s="261"/>
      <c r="I260" s="261"/>
      <c r="J260" s="264" t="s">
        <v>469</v>
      </c>
    </row>
    <row r="261" spans="1:10">
      <c r="A261" s="214"/>
      <c r="B261" s="212"/>
      <c r="C261" s="212"/>
      <c r="D261" s="212" t="str">
        <f t="shared" ca="1" si="268"/>
        <v>INDWDSHDSLN2</v>
      </c>
      <c r="E261" s="212" t="str">
        <f t="shared" ref="E261:E290" ca="1" si="269">VLOOKUP(D261,$D$9:$E$222,2,FALSE)</f>
        <v>Industrial heating technology Wood products SH - Oil boiler (Steam - condensing) - new 2</v>
      </c>
      <c r="F261" s="262" t="s">
        <v>450</v>
      </c>
      <c r="G261" s="262" t="s">
        <v>449</v>
      </c>
      <c r="H261" s="261"/>
      <c r="I261" s="261"/>
      <c r="J261" s="264" t="s">
        <v>469</v>
      </c>
    </row>
    <row r="262" spans="1:10">
      <c r="A262" s="214"/>
      <c r="B262" s="212"/>
      <c r="C262" s="212"/>
      <c r="D262" s="212" t="str">
        <f t="shared" ca="1" si="268"/>
        <v>INDWDPHGASN1</v>
      </c>
      <c r="E262" s="212" t="str">
        <f t="shared" ca="1" si="269"/>
        <v>Industrial heating technology Wood products PH - Gas boiler (Steam) - new 1</v>
      </c>
      <c r="F262" s="262" t="s">
        <v>450</v>
      </c>
      <c r="G262" s="262" t="s">
        <v>449</v>
      </c>
      <c r="H262" s="261"/>
      <c r="I262" s="261"/>
      <c r="J262" s="264" t="s">
        <v>469</v>
      </c>
    </row>
    <row r="263" spans="1:10">
      <c r="A263" s="214"/>
      <c r="B263" s="212"/>
      <c r="C263" s="212"/>
      <c r="D263" s="212" t="str">
        <f t="shared" ca="1" si="268"/>
        <v>INDWDPHGASN1</v>
      </c>
      <c r="E263" s="212" t="str">
        <f t="shared" ca="1" si="269"/>
        <v>Industrial heating technology Wood products PH - Gas boiler (Steam) - new 1</v>
      </c>
      <c r="F263" s="262" t="s">
        <v>450</v>
      </c>
      <c r="G263" s="262" t="s">
        <v>449</v>
      </c>
      <c r="H263" s="261"/>
      <c r="I263" s="261"/>
      <c r="J263" s="264" t="s">
        <v>469</v>
      </c>
    </row>
    <row r="264" spans="1:10">
      <c r="B264" s="212"/>
      <c r="C264" s="212"/>
      <c r="D264" s="212" t="str">
        <f t="shared" ca="1" si="268"/>
        <v>INDWDSHGASN1</v>
      </c>
      <c r="E264" s="212" t="str">
        <f t="shared" ca="1" si="269"/>
        <v>Industrial heating technology Wood products SH - Gas boiler (Steam) - new 1</v>
      </c>
      <c r="F264" s="262" t="s">
        <v>450</v>
      </c>
      <c r="G264" s="262" t="s">
        <v>449</v>
      </c>
      <c r="H264" s="261"/>
      <c r="I264" s="261"/>
      <c r="J264" s="264" t="s">
        <v>469</v>
      </c>
    </row>
    <row r="265" spans="1:10">
      <c r="B265" s="212"/>
      <c r="C265" s="212"/>
      <c r="D265" s="212" t="str">
        <f t="shared" ca="1" si="268"/>
        <v>INDWDPHGASN2</v>
      </c>
      <c r="E265" s="212" t="str">
        <f t="shared" ca="1" si="269"/>
        <v>Industrial heating technology Wood products PH - Gas boiler (Steam - condensing) - new 2</v>
      </c>
      <c r="F265" s="262" t="s">
        <v>450</v>
      </c>
      <c r="G265" s="262" t="s">
        <v>449</v>
      </c>
      <c r="H265" s="261"/>
      <c r="I265" s="261"/>
      <c r="J265" s="264" t="s">
        <v>469</v>
      </c>
    </row>
    <row r="266" spans="1:10">
      <c r="B266" s="212"/>
      <c r="C266" s="212"/>
      <c r="D266" s="212" t="str">
        <f t="shared" ca="1" si="268"/>
        <v>INDWDSHGASN2</v>
      </c>
      <c r="E266" s="212" t="str">
        <f t="shared" ca="1" si="269"/>
        <v>Industrial heating technology Wood products SH - Gas boiler (Steam - condensing) - new 2</v>
      </c>
      <c r="F266" s="262" t="s">
        <v>450</v>
      </c>
      <c r="G266" s="262" t="s">
        <v>449</v>
      </c>
      <c r="H266" s="261"/>
      <c r="I266" s="261"/>
      <c r="J266" s="264" t="s">
        <v>469</v>
      </c>
    </row>
    <row r="267" spans="1:10">
      <c r="B267" s="212"/>
      <c r="C267" s="212"/>
      <c r="D267" s="212" t="str">
        <f t="shared" ca="1" si="268"/>
        <v>INDWDPHGASN3</v>
      </c>
      <c r="E267" s="212" t="str">
        <f t="shared" ca="1" si="269"/>
        <v>Industrial heating technology Wood products PH - Gas boiler (Hot Water) - new 3</v>
      </c>
      <c r="F267" s="262" t="s">
        <v>450</v>
      </c>
      <c r="G267" s="262" t="s">
        <v>449</v>
      </c>
      <c r="H267" s="261"/>
      <c r="I267" s="261"/>
      <c r="J267" s="264" t="s">
        <v>469</v>
      </c>
    </row>
    <row r="268" spans="1:10">
      <c r="B268" s="212"/>
      <c r="C268" s="212"/>
      <c r="D268" s="212" t="str">
        <f t="shared" ca="1" si="268"/>
        <v>INDWDSHGASN3</v>
      </c>
      <c r="E268" s="212" t="str">
        <f t="shared" ca="1" si="269"/>
        <v>Industrial heating technology Wood products SH - Gas boiler (Hot Water) - new 3</v>
      </c>
      <c r="F268" s="262" t="s">
        <v>450</v>
      </c>
      <c r="G268" s="262" t="s">
        <v>449</v>
      </c>
      <c r="H268" s="261"/>
      <c r="I268" s="261"/>
      <c r="J268" s="264" t="s">
        <v>469</v>
      </c>
    </row>
    <row r="269" spans="1:10">
      <c r="B269" s="212"/>
      <c r="C269" s="212"/>
      <c r="D269" s="212" t="str">
        <f t="shared" ca="1" si="268"/>
        <v>INDWDPHGASN4</v>
      </c>
      <c r="E269" s="212" t="str">
        <f t="shared" ca="1" si="269"/>
        <v>Industrial heating technology Wood products PH - Gas boiler (Hot Water - condensing) - new 4</v>
      </c>
      <c r="F269" s="262" t="s">
        <v>450</v>
      </c>
      <c r="G269" s="262" t="s">
        <v>449</v>
      </c>
      <c r="H269" s="261"/>
      <c r="I269" s="261"/>
      <c r="J269" s="264" t="s">
        <v>469</v>
      </c>
    </row>
    <row r="270" spans="1:10">
      <c r="B270" s="212"/>
      <c r="C270" s="212"/>
      <c r="D270" s="212" t="str">
        <f t="shared" ca="1" si="268"/>
        <v>INDWDSHGASN4</v>
      </c>
      <c r="E270" s="212" t="str">
        <f t="shared" ca="1" si="269"/>
        <v>Industrial heating technology Wood products SH - Gas boiler (Hot Water- condensing) - new 4</v>
      </c>
      <c r="F270" s="262" t="s">
        <v>450</v>
      </c>
      <c r="G270" s="262" t="s">
        <v>449</v>
      </c>
      <c r="H270" s="261"/>
      <c r="I270" s="261"/>
      <c r="J270" s="264" t="s">
        <v>469</v>
      </c>
    </row>
    <row r="271" spans="1:10">
      <c r="B271" s="212"/>
      <c r="C271" s="212"/>
      <c r="D271" s="212" t="str">
        <f t="shared" ca="1" si="268"/>
        <v>INDWDPHGASN5</v>
      </c>
      <c r="E271" s="212" t="str">
        <f t="shared" ca="1" si="269"/>
        <v>Industrial heating technology Wood products PH - Gas boiler (Direct firing) - new 5</v>
      </c>
      <c r="F271" s="262" t="s">
        <v>450</v>
      </c>
      <c r="G271" s="262" t="s">
        <v>449</v>
      </c>
      <c r="H271" s="261"/>
      <c r="I271" s="261"/>
      <c r="J271" s="264" t="s">
        <v>469</v>
      </c>
    </row>
    <row r="272" spans="1:10">
      <c r="B272" s="212"/>
      <c r="C272" s="212"/>
      <c r="D272" s="212" t="str">
        <f t="shared" ca="1" si="268"/>
        <v>INDWDPHGASN5</v>
      </c>
      <c r="E272" s="212" t="str">
        <f t="shared" ca="1" si="269"/>
        <v>Industrial heating technology Wood products PH - Gas boiler (Direct firing) - new 5</v>
      </c>
      <c r="F272" s="262" t="s">
        <v>450</v>
      </c>
      <c r="G272" s="262" t="s">
        <v>449</v>
      </c>
      <c r="H272" s="261"/>
      <c r="I272" s="261"/>
      <c r="J272" s="264" t="s">
        <v>469</v>
      </c>
    </row>
    <row r="273" spans="2:10">
      <c r="B273" s="212"/>
      <c r="C273" s="212"/>
      <c r="D273" s="212" t="str">
        <f t="shared" ca="1" si="268"/>
        <v>INDWDPHCOAN1</v>
      </c>
      <c r="E273" s="212" t="str">
        <f t="shared" ca="1" si="269"/>
        <v>Industrial heating technology Wood products PH - Coal boiler (Steam) - new 1</v>
      </c>
      <c r="F273" s="262" t="s">
        <v>450</v>
      </c>
      <c r="G273" s="262" t="s">
        <v>449</v>
      </c>
      <c r="H273" s="261"/>
      <c r="I273" s="261"/>
      <c r="J273" s="264" t="s">
        <v>469</v>
      </c>
    </row>
    <row r="274" spans="2:10">
      <c r="B274" s="212"/>
      <c r="C274" s="212"/>
      <c r="D274" s="212" t="str">
        <f t="shared" ca="1" si="268"/>
        <v>INDWDPHCOAN1</v>
      </c>
      <c r="E274" s="212" t="str">
        <f t="shared" ca="1" si="269"/>
        <v>Industrial heating technology Wood products PH - Coal boiler (Steam) - new 1</v>
      </c>
      <c r="F274" s="262" t="s">
        <v>450</v>
      </c>
      <c r="G274" s="262" t="s">
        <v>449</v>
      </c>
      <c r="H274" s="261"/>
      <c r="I274" s="261"/>
      <c r="J274" s="264" t="s">
        <v>469</v>
      </c>
    </row>
    <row r="275" spans="2:10">
      <c r="B275" s="212"/>
      <c r="C275" s="212"/>
      <c r="D275" s="212" t="str">
        <f t="shared" ca="1" si="268"/>
        <v>INDWDSHCOAN1</v>
      </c>
      <c r="E275" s="212" t="str">
        <f t="shared" ca="1" si="269"/>
        <v>Industrial heating technology Wood products SH - Coal boiler (Steam) - new 1</v>
      </c>
      <c r="F275" s="262" t="s">
        <v>450</v>
      </c>
      <c r="G275" s="262" t="s">
        <v>449</v>
      </c>
      <c r="H275" s="261"/>
      <c r="I275" s="261"/>
      <c r="J275" s="264" t="s">
        <v>469</v>
      </c>
    </row>
    <row r="276" spans="2:10">
      <c r="B276" s="212"/>
      <c r="C276" s="212"/>
      <c r="D276" s="212" t="str">
        <f t="shared" ca="1" si="268"/>
        <v>INDWDPHCOAN2</v>
      </c>
      <c r="E276" s="212" t="str">
        <f t="shared" ca="1" si="269"/>
        <v>Industrial heating technology Wood products PH - Coal boiler (Hot Water) - new 2</v>
      </c>
      <c r="F276" s="262" t="s">
        <v>450</v>
      </c>
      <c r="G276" s="262" t="s">
        <v>449</v>
      </c>
      <c r="H276" s="261"/>
      <c r="I276" s="261"/>
      <c r="J276" s="264" t="s">
        <v>469</v>
      </c>
    </row>
    <row r="277" spans="2:10">
      <c r="B277" s="212"/>
      <c r="C277" s="212"/>
      <c r="D277" s="212" t="str">
        <f t="shared" ca="1" si="268"/>
        <v>INDWDSHCOAN2</v>
      </c>
      <c r="E277" s="212" t="str">
        <f t="shared" ca="1" si="269"/>
        <v>Industrial heating technology Wood products SH - Coal boiler (Hot Water) - new 2</v>
      </c>
      <c r="F277" s="262" t="s">
        <v>450</v>
      </c>
      <c r="G277" s="262" t="s">
        <v>449</v>
      </c>
      <c r="H277" s="261"/>
      <c r="I277" s="261"/>
      <c r="J277" s="264" t="s">
        <v>469</v>
      </c>
    </row>
    <row r="278" spans="2:10">
      <c r="B278" s="212"/>
      <c r="C278" s="212"/>
      <c r="D278" s="212" t="str">
        <f t="shared" ca="1" si="268"/>
        <v>INDWDSHSOLN1</v>
      </c>
      <c r="E278" s="212" t="str">
        <f t="shared" ca="1" si="269"/>
        <v>Industrial heating technology Wood products SH - Solar - new 1</v>
      </c>
      <c r="F278" s="262" t="s">
        <v>450</v>
      </c>
      <c r="G278" s="262" t="s">
        <v>449</v>
      </c>
      <c r="H278" s="263" t="s">
        <v>620</v>
      </c>
      <c r="I278" s="261"/>
      <c r="J278" s="264" t="s">
        <v>469</v>
      </c>
    </row>
    <row r="279" spans="2:10">
      <c r="B279" s="212"/>
      <c r="C279" s="212"/>
      <c r="D279" s="889" t="str">
        <f>D187</f>
        <v>INDWDSHHCEN1</v>
      </c>
      <c r="E279" s="889" t="str">
        <f t="shared" si="269"/>
        <v>Industrial heating technology Wood products SH - central district heating - within DH area - new 1</v>
      </c>
      <c r="F279" s="262" t="s">
        <v>450</v>
      </c>
      <c r="G279" s="262" t="s">
        <v>449</v>
      </c>
      <c r="H279" s="890"/>
      <c r="I279" s="890"/>
      <c r="J279" s="263" t="s">
        <v>469</v>
      </c>
    </row>
    <row r="280" spans="2:10">
      <c r="B280" s="212"/>
      <c r="C280" s="212"/>
      <c r="D280" s="889" t="str">
        <f>D188</f>
        <v>INDWDPHHCEN1</v>
      </c>
      <c r="E280" s="889" t="str">
        <f t="shared" si="269"/>
        <v>Industrial heating technology Wood products PH - central district heating - within DH area - new 1</v>
      </c>
      <c r="F280" s="262" t="s">
        <v>450</v>
      </c>
      <c r="G280" s="262" t="s">
        <v>449</v>
      </c>
      <c r="H280" s="890"/>
      <c r="I280" s="890"/>
      <c r="J280" s="263" t="s">
        <v>469</v>
      </c>
    </row>
    <row r="281" spans="2:10">
      <c r="B281" s="212"/>
      <c r="C281" s="212"/>
      <c r="D281" s="889" t="str">
        <f>D189</f>
        <v>INDWDSHHSEN1</v>
      </c>
      <c r="E281" s="889" t="str">
        <f t="shared" si="269"/>
        <v>Industrial heating technology Wood products SH - central district heating - within DH area - new 1</v>
      </c>
      <c r="F281" s="262" t="s">
        <v>450</v>
      </c>
      <c r="G281" s="262" t="s">
        <v>449</v>
      </c>
      <c r="H281" s="890"/>
      <c r="I281" s="890"/>
      <c r="J281" s="263" t="s">
        <v>469</v>
      </c>
    </row>
    <row r="282" spans="2:10">
      <c r="B282" s="212"/>
      <c r="C282" s="212"/>
      <c r="D282" s="889" t="str">
        <f>D190</f>
        <v>INDWDPHHSEN1</v>
      </c>
      <c r="E282" s="889" t="str">
        <f t="shared" si="269"/>
        <v>Industrial heating technology Wood products PH - central district heating - within DH area - new 1</v>
      </c>
      <c r="F282" s="262" t="s">
        <v>450</v>
      </c>
      <c r="G282" s="262" t="s">
        <v>449</v>
      </c>
      <c r="H282" s="890"/>
      <c r="I282" s="890"/>
      <c r="J282" s="263" t="s">
        <v>469</v>
      </c>
    </row>
    <row r="283" spans="2:10">
      <c r="B283" s="212"/>
      <c r="C283" s="212"/>
      <c r="D283" s="212" t="str">
        <f t="shared" ref="D283" si="270">D191</f>
        <v>INDWDSHHDEN1</v>
      </c>
      <c r="E283" s="212" t="str">
        <f t="shared" si="269"/>
        <v>Industrial heating technology Wood products SH - decentral district heating - within DH area - new 1</v>
      </c>
      <c r="F283" s="262" t="s">
        <v>450</v>
      </c>
      <c r="G283" s="262" t="s">
        <v>449</v>
      </c>
      <c r="H283" s="261"/>
      <c r="I283" s="261"/>
      <c r="J283" s="264" t="s">
        <v>469</v>
      </c>
    </row>
    <row r="284" spans="2:10">
      <c r="B284" s="212"/>
      <c r="C284" s="212"/>
      <c r="D284" s="212" t="str">
        <f>D192</f>
        <v>INDWDPHHDEN1</v>
      </c>
      <c r="E284" s="212" t="str">
        <f t="shared" si="269"/>
        <v>Industrial heating technology Wood products PH - decentral district heating - within DH area - new 1</v>
      </c>
      <c r="F284" s="262" t="s">
        <v>450</v>
      </c>
      <c r="G284" s="262" t="s">
        <v>449</v>
      </c>
      <c r="H284" s="261"/>
      <c r="I284" s="261"/>
      <c r="J284" s="264" t="s">
        <v>469</v>
      </c>
    </row>
    <row r="285" spans="2:10">
      <c r="B285" s="212"/>
      <c r="C285" s="212"/>
      <c r="D285" s="212" t="str">
        <f>D194</f>
        <v>INDWDLAELCN1</v>
      </c>
      <c r="E285" s="212" t="str">
        <f t="shared" si="269"/>
        <v>Industry Wood products LA Electricity Light Appliance - New 1</v>
      </c>
      <c r="F285" s="262" t="s">
        <v>450</v>
      </c>
      <c r="G285" s="262" t="s">
        <v>449</v>
      </c>
      <c r="H285" s="261"/>
      <c r="I285" s="261"/>
      <c r="J285" s="264" t="s">
        <v>469</v>
      </c>
    </row>
    <row r="286" spans="2:10">
      <c r="B286" s="212"/>
      <c r="C286" s="212"/>
      <c r="D286" s="212" t="str">
        <f>D198</f>
        <v>INDWDEMELCN1</v>
      </c>
      <c r="E286" s="212" t="str">
        <f t="shared" si="269"/>
        <v>Industry Wood products EM Electricity Motors - New 1</v>
      </c>
      <c r="F286" s="262" t="s">
        <v>450</v>
      </c>
      <c r="G286" s="262" t="s">
        <v>449</v>
      </c>
      <c r="H286" s="261"/>
      <c r="I286" s="261"/>
      <c r="J286" s="264" t="s">
        <v>469</v>
      </c>
    </row>
    <row r="287" spans="2:10">
      <c r="B287" s="212"/>
      <c r="C287" s="212"/>
      <c r="D287" s="212" t="str">
        <f>D202</f>
        <v>INDWDTFDSLN1</v>
      </c>
      <c r="E287" s="212" t="str">
        <f t="shared" si="269"/>
        <v>Industry Wood products TF Tractors, Trucks, Fishing boats - New 1</v>
      </c>
      <c r="F287" s="262" t="s">
        <v>450</v>
      </c>
      <c r="G287" s="262" t="s">
        <v>2078</v>
      </c>
      <c r="H287" s="261"/>
      <c r="I287" s="261"/>
      <c r="J287" s="264" t="s">
        <v>469</v>
      </c>
    </row>
    <row r="288" spans="2:10">
      <c r="B288" s="212"/>
      <c r="C288" s="212"/>
      <c r="D288" s="212" t="str">
        <f>D206</f>
        <v>INDWDTFH2GN2</v>
      </c>
      <c r="E288" s="212" t="str">
        <f t="shared" si="269"/>
        <v>Industry Wood products TF Tractors, Trucks, Fishing boats - New 2</v>
      </c>
      <c r="F288" s="262" t="s">
        <v>450</v>
      </c>
      <c r="G288" s="262" t="s">
        <v>2078</v>
      </c>
      <c r="H288" s="261"/>
      <c r="I288" s="261"/>
      <c r="J288" s="264" t="s">
        <v>469</v>
      </c>
    </row>
    <row r="289" spans="2:10">
      <c r="B289" s="212"/>
      <c r="C289" s="212"/>
      <c r="D289" s="212" t="str">
        <f>D210</f>
        <v>INDWDTFELCN3</v>
      </c>
      <c r="E289" s="212" t="str">
        <f t="shared" si="269"/>
        <v>Industry Wood products TF Tractors, Trucks, Fishing boats - New 3</v>
      </c>
      <c r="F289" s="262" t="s">
        <v>450</v>
      </c>
      <c r="G289" s="262" t="s">
        <v>2078</v>
      </c>
      <c r="H289" s="261"/>
      <c r="I289" s="261"/>
      <c r="J289" s="264" t="s">
        <v>469</v>
      </c>
    </row>
    <row r="290" spans="2:10">
      <c r="B290" s="212"/>
      <c r="C290" s="212"/>
      <c r="D290" s="212" t="str">
        <f>D214</f>
        <v>INDWDFLSYNN1</v>
      </c>
      <c r="E290" s="212" t="str">
        <f t="shared" si="269"/>
        <v>Industry Wood products TF Forklifts - New 1</v>
      </c>
      <c r="F290" s="262" t="s">
        <v>450</v>
      </c>
      <c r="G290" s="262" t="s">
        <v>449</v>
      </c>
      <c r="H290" s="261"/>
      <c r="I290" s="261"/>
      <c r="J290" s="264" t="s">
        <v>469</v>
      </c>
    </row>
    <row r="291" spans="2:10">
      <c r="B291" s="212"/>
      <c r="C291" s="212"/>
      <c r="D291" s="212" t="str">
        <f>D218</f>
        <v>INDWDCOELCN1</v>
      </c>
      <c r="E291" s="212" t="str">
        <f>E218</f>
        <v>Industry Wood products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IWDSOx</v>
      </c>
      <c r="E296" s="270" t="str">
        <f>"Industrial heating  heating technology "&amp;$AJ$12&amp;" - SOx emission"</f>
        <v>Industrial heating  heating technology Wood products - SOx emission</v>
      </c>
      <c r="F296" s="219" t="s">
        <v>352</v>
      </c>
      <c r="G296" s="211"/>
      <c r="H296" s="211"/>
      <c r="I296" s="211"/>
      <c r="J296" s="211"/>
    </row>
    <row r="297" spans="2:10">
      <c r="B297" s="214"/>
      <c r="C297" s="214"/>
      <c r="D297" s="260" t="str">
        <f>"I"&amp;LEFT($AJ$12,1)&amp;"DNOx"</f>
        <v>IWDNOx</v>
      </c>
      <c r="E297" s="270" t="str">
        <f>"Industrial heating  heating technology "&amp;$AJ$12&amp;" - NOx emission"</f>
        <v>Industrial heating  heating technology Wood products - NOx emission</v>
      </c>
      <c r="F297" s="219" t="s">
        <v>352</v>
      </c>
      <c r="G297" s="211"/>
      <c r="H297" s="214"/>
      <c r="I297" s="214"/>
      <c r="J297" s="214"/>
    </row>
    <row r="298" spans="2:10">
      <c r="B298" s="214"/>
      <c r="C298" s="214"/>
      <c r="D298" s="260" t="str">
        <f>"I"&amp;LEFT($AJ$12,1)&amp;"DCH4"</f>
        <v>IWDCH4</v>
      </c>
      <c r="E298" s="270" t="str">
        <f>"Industrial heating  heating technology "&amp;$AJ$12&amp;" - CH4 emission"</f>
        <v>Industrial heating  heating technology Wood products - CH4 emission</v>
      </c>
      <c r="F298" s="219" t="s">
        <v>352</v>
      </c>
      <c r="G298" s="211"/>
      <c r="H298" s="214"/>
      <c r="I298" s="214"/>
      <c r="J298" s="214"/>
    </row>
    <row r="299" spans="2:10">
      <c r="B299" s="214"/>
      <c r="C299" s="214"/>
      <c r="D299" s="260" t="str">
        <f>"I"&amp;LEFT($AJ$12,1)&amp;"DNO2"</f>
        <v>IWDNO2</v>
      </c>
      <c r="E299" s="270" t="str">
        <f>"Industrial heating  heating technology "&amp;$AJ$12&amp;" - NO2 emission"</f>
        <v>Industrial heating  heating technology Wood products - NO2 emission</v>
      </c>
      <c r="F299" s="219" t="s">
        <v>352</v>
      </c>
      <c r="G299" s="211"/>
      <c r="H299" s="214"/>
      <c r="I299" s="214"/>
      <c r="J299" s="214"/>
    </row>
    <row r="300" spans="2:10">
      <c r="B300" s="214"/>
      <c r="C300" s="214"/>
      <c r="D300" s="260" t="str">
        <f>"I"&amp;LEFT($AJ$12,1)&amp;"DPM"</f>
        <v>IWDPM</v>
      </c>
      <c r="E300" s="270" t="str">
        <f>"Industrial heating  heating technology "&amp;$AJ$12&amp;" - Particle emission"</f>
        <v>Industrial heating  heating technology Wood products - Particle emission</v>
      </c>
      <c r="F300" s="219" t="s">
        <v>352</v>
      </c>
      <c r="G300" s="211"/>
      <c r="H300" s="214"/>
      <c r="I300" s="214"/>
      <c r="J300" s="214"/>
    </row>
    <row r="301" spans="2:10">
      <c r="B301" s="224" t="s">
        <v>1057</v>
      </c>
      <c r="D301" s="224" t="str">
        <f>AI20</f>
        <v>INDWWH</v>
      </c>
      <c r="E301" s="270" t="str">
        <f>"Industrial heating technology "&amp;$AJ$12&amp;" - Waste heat"</f>
        <v>Industrial heating technology Wood products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DF68587-C75D-476C-A912-E553714A9C0B}">
          <x14:formula1>
            <xm:f>'Oil-fired boiler_NEW'!$T$4:$X$4</xm:f>
          </x14:formula1>
          <xm:sqref>E1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9155-C92C-4FFC-9121-81EEA92FE344}">
  <sheetPr>
    <tabColor rgb="FF00B050"/>
  </sheetPr>
  <dimension ref="A1:AP301"/>
  <sheetViews>
    <sheetView topLeftCell="T1"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716</v>
      </c>
      <c r="N1" s="64"/>
      <c r="O1" s="64"/>
      <c r="P1" s="64"/>
      <c r="S1" s="727" t="s">
        <v>1004</v>
      </c>
      <c r="T1" s="776" t="s">
        <v>1003</v>
      </c>
      <c r="U1" s="775" t="s">
        <v>1053</v>
      </c>
      <c r="V1" s="776" t="s">
        <v>1054</v>
      </c>
      <c r="W1" s="780">
        <v>0.3</v>
      </c>
    </row>
    <row r="2" spans="2:42" ht="16" thickBot="1">
      <c r="E2" s="730" t="s">
        <v>1146</v>
      </c>
      <c r="N2" s="731"/>
      <c r="O2" s="731"/>
      <c r="P2" s="731"/>
      <c r="S2" s="726">
        <f>MATCH($E$1,$AJ$22:$AJ$35)</f>
        <v>7</v>
      </c>
      <c r="T2" s="778">
        <f>MATCH($E$1,$AJ$22:$AJ$35)+1</f>
        <v>8</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FEMIS~IODSOx</v>
      </c>
      <c r="Y6" s="280" t="str">
        <f>"FEMIS~"&amp;D297</f>
        <v>FEMIS~IODNOx</v>
      </c>
      <c r="Z6" s="280" t="str">
        <f>"FEMIS~"&amp;D298</f>
        <v>FEMIS~IODCH4</v>
      </c>
      <c r="AA6" s="280" t="str">
        <f>"FEMIS~"&amp;D299</f>
        <v>FEMIS~IODNO2</v>
      </c>
      <c r="AB6" s="280" t="str">
        <f>"FEMIS~"&amp;D300</f>
        <v>FEMIS~IODPM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INDODPHELCN1</v>
      </c>
      <c r="E9" s="261" t="str">
        <f>"Industrial heating technology "&amp;$AJ$12&amp;" "&amp;RIGHT(H9,2)&amp;" - Heat pump utilizing waste heat - new 1"</f>
        <v>Industrial heating technology Other PH - Heat pump utilizing waste heat - new 1</v>
      </c>
      <c r="F9" s="224" t="s">
        <v>1149</v>
      </c>
      <c r="G9" s="173" t="s">
        <v>499</v>
      </c>
      <c r="H9" s="174" t="str">
        <f>$AI$14</f>
        <v>IODPH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INDOWH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IODPH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INDOWH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Other</v>
      </c>
    </row>
    <row r="13" spans="2:42">
      <c r="B13" s="357" t="s">
        <v>998</v>
      </c>
      <c r="D13" s="212"/>
      <c r="E13" s="212"/>
      <c r="F13" s="224" t="s">
        <v>1149</v>
      </c>
      <c r="G13" s="173" t="s">
        <v>499</v>
      </c>
      <c r="H13" s="174" t="str">
        <f>$AI$14</f>
        <v>IODPH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IODPH</v>
      </c>
      <c r="AJ13" s="224" t="str">
        <f>AP14</f>
        <v>Other comm Demand Heat High Temp. over 150C</v>
      </c>
      <c r="AO13" s="224" t="s">
        <v>2095</v>
      </c>
      <c r="AP13" s="224" t="s">
        <v>1223</v>
      </c>
    </row>
    <row r="14" spans="2:42">
      <c r="B14" s="357" t="s">
        <v>998</v>
      </c>
      <c r="D14" s="212"/>
      <c r="E14" s="212"/>
      <c r="F14" s="224" t="s">
        <v>1149</v>
      </c>
      <c r="G14" s="173" t="str">
        <f>$AI$20</f>
        <v>INDOWH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IODPH</v>
      </c>
      <c r="AJ14" s="224" t="str">
        <f>AP13</f>
        <v>Other comm Demand Heat Medium Temp. up to 150C</v>
      </c>
      <c r="AO14" s="224" t="s">
        <v>2095</v>
      </c>
      <c r="AP14" s="224" t="s">
        <v>1224</v>
      </c>
    </row>
    <row r="15" spans="2:42">
      <c r="B15" s="357" t="s">
        <v>998</v>
      </c>
      <c r="D15" s="212" t="str">
        <f>"IND"&amp;RIGHT(H15,4)&amp;RIGHT(G15,3)&amp;"N"&amp;RIGHT(E15,1)</f>
        <v>INDODSHELCN1</v>
      </c>
      <c r="E15" s="261" t="str">
        <f>"Industrial heating technology "&amp;$AJ$12&amp;" "&amp;RIGHT(H15,2)&amp;" - Heat pump utilizing waste heat - new 1"</f>
        <v>Industrial heating technology Other SH - Heat pump utilizing waste heat - new 1</v>
      </c>
      <c r="F15" s="224" t="s">
        <v>1149</v>
      </c>
      <c r="G15" s="173" t="s">
        <v>499</v>
      </c>
      <c r="H15" s="174" t="str">
        <f>$AI$15</f>
        <v>IODSH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IODSH</v>
      </c>
      <c r="AJ15" s="224" t="str">
        <f>AP15</f>
        <v>Other comm Demand Heat Room Heat</v>
      </c>
      <c r="AO15" s="224" t="s">
        <v>2096</v>
      </c>
      <c r="AP15" s="224" t="s">
        <v>1225</v>
      </c>
    </row>
    <row r="16" spans="2:42">
      <c r="B16" s="357" t="s">
        <v>998</v>
      </c>
      <c r="D16" s="212"/>
      <c r="E16" s="261"/>
      <c r="F16" s="224" t="s">
        <v>1149</v>
      </c>
      <c r="G16" s="173" t="str">
        <f>$AI$20</f>
        <v>INDOWH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IODLA</v>
      </c>
      <c r="AJ16" s="224" t="str">
        <f t="shared" si="0"/>
        <v>Other comm Demand Light</v>
      </c>
      <c r="AO16" s="224" t="s">
        <v>1226</v>
      </c>
      <c r="AP16" s="224" t="s">
        <v>1227</v>
      </c>
    </row>
    <row r="17" spans="2:42">
      <c r="B17" s="357" t="s">
        <v>998</v>
      </c>
      <c r="D17" s="212"/>
      <c r="E17" s="212"/>
      <c r="F17" s="224" t="s">
        <v>1149</v>
      </c>
      <c r="G17" s="173" t="s">
        <v>499</v>
      </c>
      <c r="H17" s="174" t="str">
        <f>$AI$15</f>
        <v>IODSH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IODEM</v>
      </c>
      <c r="AJ17" s="224" t="str">
        <f t="shared" si="0"/>
        <v>Other comm Demand Electric Motors</v>
      </c>
      <c r="AO17" s="224" t="s">
        <v>1228</v>
      </c>
      <c r="AP17" s="224" t="s">
        <v>1229</v>
      </c>
    </row>
    <row r="18" spans="2:42">
      <c r="B18" s="357" t="s">
        <v>998</v>
      </c>
      <c r="D18" s="212"/>
      <c r="E18" s="212"/>
      <c r="F18" s="224" t="s">
        <v>1149</v>
      </c>
      <c r="G18" s="173" t="str">
        <f>$AI$20</f>
        <v>INDOWH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IODTF</v>
      </c>
      <c r="AJ18" s="224" t="str">
        <f t="shared" si="0"/>
        <v>Other comm Demand Haulage Tractors, Trucks, Fishing boats, Forest machines</v>
      </c>
      <c r="AO18" s="224" t="s">
        <v>1230</v>
      </c>
      <c r="AP18" s="224" t="s">
        <v>1231</v>
      </c>
    </row>
    <row r="19" spans="2:42">
      <c r="B19" s="357" t="s">
        <v>998</v>
      </c>
      <c r="D19" s="212"/>
      <c r="E19" s="212"/>
      <c r="F19" s="224" t="s">
        <v>1149</v>
      </c>
      <c r="G19" s="173" t="s">
        <v>499</v>
      </c>
      <c r="H19" s="174" t="str">
        <f>$AI$15</f>
        <v>IODSH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IODFL</v>
      </c>
      <c r="AJ19" s="224" t="str">
        <f t="shared" si="0"/>
        <v>Other comm Demand Haulage Forklifts</v>
      </c>
      <c r="AO19" s="224" t="s">
        <v>1232</v>
      </c>
      <c r="AP19" s="224" t="s">
        <v>1233</v>
      </c>
    </row>
    <row r="20" spans="2:42">
      <c r="B20" s="357" t="s">
        <v>998</v>
      </c>
      <c r="D20" s="212"/>
      <c r="E20" s="212"/>
      <c r="F20" s="224" t="s">
        <v>1149</v>
      </c>
      <c r="G20" s="173" t="str">
        <f>$AI$20</f>
        <v>INDOWH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INDOWH</v>
      </c>
      <c r="AJ20" s="224" t="str">
        <f>$AJ$12&amp;" Industrial Waste Heat"</f>
        <v>Other Industrial Waste Heat</v>
      </c>
    </row>
    <row r="21" spans="2:42">
      <c r="B21" s="357" t="s">
        <v>999</v>
      </c>
      <c r="D21" s="212" t="str">
        <f>"IND"&amp;RIGHT(H21,4)&amp;RIGHT(G21,3)&amp;"N"&amp;RIGHT(E21,1)</f>
        <v>INDODPHELCN2</v>
      </c>
      <c r="E21" s="261" t="str">
        <f>"Industrial heating technology "&amp;$AJ$12&amp;" "&amp;RIGHT(H21,2)&amp;" - Heat driven heat pump utilizing waste heat - new 2"</f>
        <v>Industrial heating technology Other PH - Heat driven heat pump utilizing waste heat - new 2</v>
      </c>
      <c r="F21" s="224" t="s">
        <v>1149</v>
      </c>
      <c r="G21" s="173" t="s">
        <v>499</v>
      </c>
      <c r="H21" s="174" t="str">
        <f>$AI$14</f>
        <v>IODPH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IODCO</v>
      </c>
      <c r="AJ21" s="224" t="s">
        <v>2112</v>
      </c>
    </row>
    <row r="22" spans="2:42">
      <c r="B22" s="357" t="s">
        <v>999</v>
      </c>
      <c r="D22" s="212"/>
      <c r="E22" s="261"/>
      <c r="F22" s="224" t="s">
        <v>1149</v>
      </c>
      <c r="G22" s="173" t="str">
        <f>$AI$20</f>
        <v>INDOWH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IODPH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INDOWH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IODPH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INDOWH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INDODSHELCN2</v>
      </c>
      <c r="E27" s="261" t="str">
        <f>"Industrial heating technology "&amp;$AJ$12&amp;" "&amp;RIGHT(H27,2)&amp;" - Heat driven heat pump utilizing waste heat - new 2"</f>
        <v>Industrial heating technology Other SH - Heat driven heat pump utilizing waste heat - new 2</v>
      </c>
      <c r="F27" s="224" t="s">
        <v>1149</v>
      </c>
      <c r="G27" s="173" t="s">
        <v>499</v>
      </c>
      <c r="H27" s="174" t="str">
        <f>$AI$15</f>
        <v>IODSH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INDOWH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IODSH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INDOWH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IODSH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INDOWH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INDODPHELCN3</v>
      </c>
      <c r="E33" s="261" t="str">
        <f>"Industrial heating technology "&amp;$AJ$12&amp;" "&amp;RIGHT(H33,2)&amp;" - High Temp abs. Heat pump utilizing waste heat - new 3"</f>
        <v>Industrial heating technology Other PH - High Temp abs. Heat pump utilizing waste heat - new 3</v>
      </c>
      <c r="F33" s="224" t="s">
        <v>1149</v>
      </c>
      <c r="G33" s="173" t="s">
        <v>499</v>
      </c>
      <c r="H33" s="174" t="str">
        <f>$AI$14</f>
        <v>IODPH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INDOWH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IODPH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INDOWH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IODPH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INDOWH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INDODSHELCN3</v>
      </c>
      <c r="E39" s="261" t="str">
        <f>"Industrial heating technology "&amp;$AJ$12&amp;" "&amp;RIGHT(H39,2)&amp;" - High Temp abs. Heat pump utilizing waste heat - new 3"</f>
        <v>Industrial heating technology Other SH - High Temp abs. Heat pump utilizing waste heat - new 3</v>
      </c>
      <c r="F39" s="224" t="s">
        <v>1149</v>
      </c>
      <c r="G39" s="173" t="s">
        <v>499</v>
      </c>
      <c r="H39" s="174" t="str">
        <f>$AI$15</f>
        <v>IODSH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INDOWH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IODSH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INDOWH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IODSH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INDOWH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INDODPHELCN4</v>
      </c>
      <c r="E45" s="261" t="str">
        <f>"Industrial heating technology "&amp;$AJ$12&amp;" "&amp;RIGHT(H45,2)&amp;" - Booster Heat pump utilizing waste heat - new 4"</f>
        <v>Industrial heating technology Other PH - Booster Heat pump utilizing waste heat - new 4</v>
      </c>
      <c r="F45" s="224" t="s">
        <v>1149</v>
      </c>
      <c r="G45" s="173" t="s">
        <v>499</v>
      </c>
      <c r="H45" s="174" t="str">
        <f>$AI$14</f>
        <v>IODPH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INDOWH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IODPH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INDOWH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IODPH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INDOWH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INDODSHELCN4</v>
      </c>
      <c r="E51" s="261" t="str">
        <f>"Industrial heating technology "&amp;$AJ$12&amp;" "&amp;RIGHT(H51,2)&amp;" - Booster Heat pump utilizing waste heat - new 4"</f>
        <v>Industrial heating technology Other SH - Booster Heat pump utilizing waste heat - new 4</v>
      </c>
      <c r="F51" s="224" t="s">
        <v>1149</v>
      </c>
      <c r="G51" s="173" t="s">
        <v>499</v>
      </c>
      <c r="H51" s="174" t="str">
        <f>$AI$15</f>
        <v>IODSH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INDOWH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IODSH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INDOWH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IODSH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INDOWH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INDODPHELCN5</v>
      </c>
      <c r="E57" s="261" t="str">
        <f>"Industrial heating technology "&amp;$AJ$12&amp;" "&amp;RIGHT(H57,2)&amp;" - MVR utilizing waste heat - new 5"</f>
        <v>Industrial heating technology Other PH - MVR utilizing waste heat - new 5</v>
      </c>
      <c r="F57" s="224" t="s">
        <v>1149</v>
      </c>
      <c r="G57" s="173" t="s">
        <v>499</v>
      </c>
      <c r="H57" s="174" t="str">
        <f>$AI$14</f>
        <v>IODPH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INDOWH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IODPH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INDOWH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IODPH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INDOWH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INDODPHWSTN1</v>
      </c>
      <c r="E63" s="261" t="str">
        <f>"Industrial heating technology "&amp;$AJ$12&amp;" "&amp;RIGHT(H63,2)&amp;" - Hotdisc - new 1"</f>
        <v>Industrial heating technology Other PH - Hotdisc - new 1</v>
      </c>
      <c r="F63" s="224" t="s">
        <v>1149</v>
      </c>
      <c r="G63" s="832" t="s">
        <v>1005</v>
      </c>
      <c r="H63" s="174" t="str">
        <f>$AI$13</f>
        <v>IODPH</v>
      </c>
      <c r="I63" s="173" t="str">
        <f t="shared" ref="I63:I126" si="22">$AI$20</f>
        <v>INDOWH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INDOWH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INDOWH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INDODPHELCN6</v>
      </c>
      <c r="E66" s="261" t="str">
        <f>"Industrial heating technology "&amp;$AJ$12&amp;" "&amp;RIGHT(H66,2)&amp;" - Dielectric heating - new 6"</f>
        <v>Industrial heating technology Other PH - Dielectric heating - new 6</v>
      </c>
      <c r="F66" s="224" t="s">
        <v>1149</v>
      </c>
      <c r="G66" s="173" t="s">
        <v>499</v>
      </c>
      <c r="H66" s="174" t="str">
        <f>$AI$14</f>
        <v>IODPH</v>
      </c>
      <c r="I66" s="173" t="str">
        <f t="shared" si="22"/>
        <v>INDOWH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INDOWH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INDOWH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INDODPHELCN7</v>
      </c>
      <c r="E69" s="261" t="str">
        <f>"Industrial heating technology "&amp;$AJ$12&amp;" "&amp;RIGHT(H69,2)&amp;" - Infrared heating - new 7"</f>
        <v>Industrial heating technology Other PH - Infrared heating - new 7</v>
      </c>
      <c r="F69" s="224" t="s">
        <v>1149</v>
      </c>
      <c r="G69" s="173" t="s">
        <v>499</v>
      </c>
      <c r="H69" s="174" t="str">
        <f>$AI$14</f>
        <v>IODPH</v>
      </c>
      <c r="I69" s="173" t="str">
        <f t="shared" si="22"/>
        <v>INDOWH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INDOWH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INDOWH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INDODPHELCN8</v>
      </c>
      <c r="E72" s="261" t="str">
        <f>"Industrial heating technology "&amp;$AJ$12&amp;" "&amp;RIGHT(H72,2)&amp;" - Electric boiler (Steam) - new 8"</f>
        <v>Industrial heating technology Other PH - Electric boiler (Steam) - new 8</v>
      </c>
      <c r="F72" s="224" t="s">
        <v>1149</v>
      </c>
      <c r="G72" s="173" t="s">
        <v>499</v>
      </c>
      <c r="H72" s="174" t="str">
        <f>$AI$13</f>
        <v>IODPH</v>
      </c>
      <c r="I72" s="174" t="str">
        <f t="shared" si="22"/>
        <v>INDOWH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INDOWH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INDOWH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INDODPHELCN8</v>
      </c>
      <c r="E75" s="261" t="str">
        <f>"Industrial heating technology "&amp;$AJ$12&amp;" "&amp;RIGHT(H75,2)&amp;" - Electric boiler (Steam) - new 8"</f>
        <v>Industrial heating technology Other PH - Electric boiler (Steam) - new 8</v>
      </c>
      <c r="F75" s="224" t="s">
        <v>1149</v>
      </c>
      <c r="G75" s="173" t="s">
        <v>499</v>
      </c>
      <c r="H75" s="174" t="str">
        <f>$AI$14</f>
        <v>IODPH</v>
      </c>
      <c r="I75" s="174" t="str">
        <f t="shared" si="22"/>
        <v>INDOWH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INDOWH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INDOWH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INDODSHELCN8</v>
      </c>
      <c r="E78" s="261" t="str">
        <f>"Industrial heating technology "&amp;$AJ$12&amp;" "&amp;RIGHT(H78,2)&amp;" - Electric boiler (Steam) - new 8"</f>
        <v>Industrial heating technology Other SH - Electric boiler (Steam) - new 8</v>
      </c>
      <c r="F78" s="224" t="s">
        <v>1149</v>
      </c>
      <c r="G78" s="173" t="s">
        <v>499</v>
      </c>
      <c r="H78" s="174" t="str">
        <f>$AI$15</f>
        <v>IODSH</v>
      </c>
      <c r="I78" s="174" t="str">
        <f t="shared" si="22"/>
        <v>INDOWH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INDOWH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INDOWH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INDODPHELCN9</v>
      </c>
      <c r="E81" s="707" t="str">
        <f>"Industrial heating technology "&amp;$AJ$12&amp;" "&amp;RIGHT(H81,2)&amp;" - Electric boiler (Hot Water) - new 9"</f>
        <v>Industrial heating technology Other PH - Electric boiler (Hot Water) - new 9</v>
      </c>
      <c r="F81" s="224" t="s">
        <v>1149</v>
      </c>
      <c r="G81" s="708" t="s">
        <v>499</v>
      </c>
      <c r="H81" s="708" t="str">
        <f>$AI$14</f>
        <v>IODPH</v>
      </c>
      <c r="I81" s="708" t="str">
        <f t="shared" si="22"/>
        <v>INDOWH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INDOWH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INDOWH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INDODSHELCN9</v>
      </c>
      <c r="E84" s="261" t="str">
        <f>"Industrial heating technology "&amp;$AJ$12&amp;" "&amp;RIGHT(H84,2)&amp;" - Electric boiler (Hot Water) - new 9"</f>
        <v>Industrial heating technology Other SH - Electric boiler (Hot Water) - new 9</v>
      </c>
      <c r="F84" s="224" t="s">
        <v>1149</v>
      </c>
      <c r="G84" s="174" t="s">
        <v>499</v>
      </c>
      <c r="H84" s="174" t="str">
        <f>$AI$15</f>
        <v>IODSH</v>
      </c>
      <c r="I84" s="174" t="str">
        <f t="shared" si="22"/>
        <v>INDOWH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INDOWH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INDOWH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INDODPHWCHN1</v>
      </c>
      <c r="E87" s="261" t="str">
        <f>"Industrial heating technology "&amp;$AJ$12&amp;" "&amp;RIGHT(H87,2)&amp;" - Wood chip boiler (Steam) - new 1"</f>
        <v>Industrial heating technology Other PH - Wood chip boiler (Steam) - new 1</v>
      </c>
      <c r="F87" s="224" t="s">
        <v>1149</v>
      </c>
      <c r="G87" s="173" t="s">
        <v>498</v>
      </c>
      <c r="H87" s="174" t="str">
        <f>$AI$13</f>
        <v>IODPH</v>
      </c>
      <c r="I87" s="174" t="str">
        <f t="shared" si="22"/>
        <v>INDOWH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INDOWH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INDOWH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INDODPHWCHN1</v>
      </c>
      <c r="E90" s="261" t="str">
        <f>"Industrial heating technology "&amp;$AJ$12&amp;" "&amp;RIGHT(H90,2)&amp;" - Wood chip boiler (Steam) - new 1"</f>
        <v>Industrial heating technology Other PH - Wood chip boiler (Steam) - new 1</v>
      </c>
      <c r="F90" s="224" t="s">
        <v>1149</v>
      </c>
      <c r="G90" s="173" t="s">
        <v>498</v>
      </c>
      <c r="H90" s="174" t="str">
        <f>$AI$14</f>
        <v>IODPH</v>
      </c>
      <c r="I90" s="174" t="str">
        <f t="shared" si="22"/>
        <v>INDOWH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INDOWH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INDOWH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INDODSHWCHN1</v>
      </c>
      <c r="E93" s="261" t="str">
        <f>"Industrial heating technology "&amp;$AJ$12&amp;" "&amp;RIGHT(H93,2)&amp;" - Wood chip boiler (Steam) - new 1"</f>
        <v>Industrial heating technology Other SH - Wood chip boiler (Steam) - new 1</v>
      </c>
      <c r="F93" s="224" t="s">
        <v>1149</v>
      </c>
      <c r="G93" s="173" t="s">
        <v>498</v>
      </c>
      <c r="H93" s="174" t="str">
        <f>$AI$15</f>
        <v>IODSH</v>
      </c>
      <c r="I93" s="174" t="str">
        <f t="shared" si="22"/>
        <v>INDOWH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INDOWH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INDOWH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INDODPHWCHN2</v>
      </c>
      <c r="E96" s="707" t="str">
        <f>"Industrial heating technology "&amp;$AJ$12&amp;" "&amp;RIGHT(H96,2)&amp;" - Wood chip boiler (Steam - condensing) - new 2"</f>
        <v>Industrial heating technology Other PH - Wood chip boiler (Steam - condensing) - new 2</v>
      </c>
      <c r="F96" s="224" t="s">
        <v>1149</v>
      </c>
      <c r="G96" s="708" t="s">
        <v>498</v>
      </c>
      <c r="H96" s="708" t="str">
        <f>$AI$14</f>
        <v>IODPH</v>
      </c>
      <c r="I96" s="708" t="str">
        <f t="shared" si="22"/>
        <v>INDOWH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INDOWH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INDOWH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INDODSHWCHN2</v>
      </c>
      <c r="E99" s="261" t="str">
        <f>"Industrial heating technology "&amp;$AJ$12&amp;" "&amp;RIGHT(H99,2)&amp;" - Wood chip boiler (Steam - condensing) - new 2"</f>
        <v>Industrial heating technology Other SH - Wood chip boiler (Steam - condensing) - new 2</v>
      </c>
      <c r="F99" s="224" t="s">
        <v>1149</v>
      </c>
      <c r="G99" s="174" t="s">
        <v>498</v>
      </c>
      <c r="H99" s="174" t="str">
        <f>$AI$15</f>
        <v>IODSH</v>
      </c>
      <c r="I99" s="174" t="str">
        <f t="shared" si="22"/>
        <v>INDOWH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INDOWH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INDOWH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INDODPHWCHN3</v>
      </c>
      <c r="E102" s="707" t="str">
        <f>"Industrial heating technology "&amp;$AJ$12&amp;" "&amp;RIGHT(H102,2)&amp;" - Wood chip boiler (Hot Water) - new 3"</f>
        <v>Industrial heating technology Other PH - Wood chip boiler (Hot Water) - new 3</v>
      </c>
      <c r="F102" s="224" t="s">
        <v>1149</v>
      </c>
      <c r="G102" s="708" t="s">
        <v>498</v>
      </c>
      <c r="H102" s="708" t="str">
        <f>$AI$14</f>
        <v>IODPH</v>
      </c>
      <c r="I102" s="708" t="str">
        <f t="shared" si="22"/>
        <v>INDOWH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INDOWH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INDOWH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INDODSHWCHN3</v>
      </c>
      <c r="E105" s="261" t="str">
        <f>"Industrial heating technology "&amp;$AJ$12&amp;" "&amp;RIGHT(H105,2)&amp;" - Wood chip boiler (Hot Water) - new 3"</f>
        <v>Industrial heating technology Other SH - Wood chip boiler (Hot Water) - new 3</v>
      </c>
      <c r="F105" s="224" t="s">
        <v>1149</v>
      </c>
      <c r="G105" s="174" t="s">
        <v>498</v>
      </c>
      <c r="H105" s="174" t="str">
        <f>$AI$15</f>
        <v>IODSH</v>
      </c>
      <c r="I105" s="174" t="str">
        <f t="shared" si="22"/>
        <v>INDOWH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INDOWH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INDOWH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INDODPHWCHN4</v>
      </c>
      <c r="E108" s="707" t="str">
        <f>"Industrial heating technology "&amp;$AJ$12&amp;" "&amp;RIGHT(H108,2)&amp;" - Wood chip boiler (Hot Water - condensing) - new 4"</f>
        <v>Industrial heating technology Other PH - Wood chip boiler (Hot Water - condensing) - new 4</v>
      </c>
      <c r="F108" s="224" t="s">
        <v>1149</v>
      </c>
      <c r="G108" s="708" t="s">
        <v>498</v>
      </c>
      <c r="H108" s="708" t="str">
        <f>$AI$14</f>
        <v>IODPH</v>
      </c>
      <c r="I108" s="708" t="str">
        <f t="shared" si="22"/>
        <v>INDOWH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INDOWH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INDOWH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INDODSHWCHN4</v>
      </c>
      <c r="E111" s="261" t="str">
        <f>"Industrial heating technology "&amp;$AJ$12&amp;" "&amp;RIGHT(H111,2)&amp;" - Wood chip boiler (Hot Water- condensing) - new 4"</f>
        <v>Industrial heating technology Other SH - Wood chip boiler (Hot Water- condensing) - new 4</v>
      </c>
      <c r="F111" s="224" t="s">
        <v>1149</v>
      </c>
      <c r="G111" s="174" t="s">
        <v>498</v>
      </c>
      <c r="H111" s="174" t="str">
        <f>$AI$15</f>
        <v>IODSH</v>
      </c>
      <c r="I111" s="174" t="str">
        <f t="shared" si="22"/>
        <v>INDOWH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INDOWH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INDOWH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INDODPHELCN10</v>
      </c>
      <c r="E114" s="261" t="str">
        <f>"Industrial heating technology "&amp;$AJ$12&amp;" "&amp;RIGHT(H114,2)&amp;" - Direct electric heating - new 10"</f>
        <v>Industrial heating technology Other PH - Direct electric heating - new 10</v>
      </c>
      <c r="F114" s="224" t="s">
        <v>1149</v>
      </c>
      <c r="G114" s="173" t="s">
        <v>499</v>
      </c>
      <c r="H114" s="174" t="str">
        <f>$AI$13</f>
        <v>IODPH</v>
      </c>
      <c r="I114" s="174" t="str">
        <f t="shared" si="22"/>
        <v>INDOWH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INDOWH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INDOWH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INDODPHELCN10</v>
      </c>
      <c r="E117" s="261" t="str">
        <f>"Industrial heating technology "&amp;$AJ$12&amp;" "&amp;RIGHT(H117,2)&amp;" - Direct electric heating - new 10"</f>
        <v>Industrial heating technology Other PH - Direct electric heating - new 10</v>
      </c>
      <c r="F117" s="224" t="s">
        <v>1149</v>
      </c>
      <c r="G117" s="173" t="s">
        <v>499</v>
      </c>
      <c r="H117" s="174" t="str">
        <f>$AI$14</f>
        <v>IODPH</v>
      </c>
      <c r="I117" s="174" t="str">
        <f t="shared" si="22"/>
        <v>INDOWH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INDOWH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INDOWH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INDODPHDSLN1</v>
      </c>
      <c r="E120" s="261" t="str">
        <f>"Industrial heating technology "&amp;$AJ$12&amp;" "&amp;RIGHT(H120,2)&amp;" - Oil boiler (Steam) - new 1"</f>
        <v>Industrial heating technology Other PH - Oil boiler (Steam) - new 1</v>
      </c>
      <c r="F120" s="224" t="s">
        <v>1149</v>
      </c>
      <c r="G120" s="173" t="s">
        <v>2081</v>
      </c>
      <c r="H120" s="174" t="str">
        <f>$AI$13</f>
        <v>IODPH</v>
      </c>
      <c r="I120" s="174" t="str">
        <f t="shared" si="22"/>
        <v>INDOWH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INDOWH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INDOWH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INDODPHDSLN1</v>
      </c>
      <c r="E123" s="261" t="str">
        <f>"Industrial heating technology "&amp;$AJ$12&amp;" "&amp;RIGHT(H123,2)&amp;" - Oil boiler (Steam) - new 1"</f>
        <v>Industrial heating technology Other PH - Oil boiler (Steam) - new 1</v>
      </c>
      <c r="F123" s="224" t="s">
        <v>1149</v>
      </c>
      <c r="G123" s="173" t="s">
        <v>2081</v>
      </c>
      <c r="H123" s="174" t="str">
        <f>$AI$14</f>
        <v>IODPH</v>
      </c>
      <c r="I123" s="174" t="str">
        <f t="shared" si="22"/>
        <v>INDOWH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INDOWH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INDOWH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INDODSHDSLN1</v>
      </c>
      <c r="E126" s="261" t="str">
        <f>"Industrial heating technology "&amp;$AJ$12&amp;" "&amp;RIGHT(H126,2)&amp;" - Oil boiler (Steam) - new 1"</f>
        <v>Industrial heating technology Other SH - Oil boiler (Steam) - new 1</v>
      </c>
      <c r="F126" s="224" t="s">
        <v>1149</v>
      </c>
      <c r="G126" s="173" t="s">
        <v>2081</v>
      </c>
      <c r="H126" s="174" t="str">
        <f>$AI$15</f>
        <v>IODSH</v>
      </c>
      <c r="I126" s="174" t="str">
        <f t="shared" si="22"/>
        <v>INDOWH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INDOWH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INDOWH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INDODPHDSLN2</v>
      </c>
      <c r="E129" s="707" t="str">
        <f>"Industrial heating technology "&amp;$AJ$12&amp;" "&amp;RIGHT(H129,2)&amp;" - Oil boiler (Steam - condensing) - new 2"</f>
        <v>Industrial heating technology Other PH - Oil boiler (Steam - condensing) - new 2</v>
      </c>
      <c r="F129" s="224" t="s">
        <v>1149</v>
      </c>
      <c r="G129" s="173" t="s">
        <v>2081</v>
      </c>
      <c r="H129" s="708" t="str">
        <f>$AI$14</f>
        <v>IODPH</v>
      </c>
      <c r="I129" s="708" t="str">
        <f t="shared" si="143"/>
        <v>INDOWH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INDOWH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INDOWH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INDODSHDSLN2</v>
      </c>
      <c r="E132" s="261" t="str">
        <f>"Industrial heating technology "&amp;$AJ$12&amp;" "&amp;RIGHT(H132,2)&amp;" - Oil boiler (Steam - condensing) - new 2"</f>
        <v>Industrial heating technology Other SH - Oil boiler (Steam - condensing) - new 2</v>
      </c>
      <c r="F132" s="224" t="s">
        <v>1149</v>
      </c>
      <c r="G132" s="173" t="s">
        <v>2081</v>
      </c>
      <c r="H132" s="174" t="str">
        <f>$AI$15</f>
        <v>IODSH</v>
      </c>
      <c r="I132" s="174" t="str">
        <f t="shared" si="143"/>
        <v>INDOWH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INDOWH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INDOWH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INDODPHGASN1</v>
      </c>
      <c r="E135" s="261" t="str">
        <f>"Industrial heating technology "&amp;$AJ$12&amp;" "&amp;RIGHT(H135,2)&amp;" - Gas boiler (Steam) - new 1"</f>
        <v>Industrial heating technology Other PH - Gas boiler (Steam) - new 1</v>
      </c>
      <c r="F135" s="224" t="s">
        <v>1149</v>
      </c>
      <c r="G135" s="173" t="s">
        <v>2080</v>
      </c>
      <c r="H135" s="174" t="str">
        <f>$AI$13</f>
        <v>IODPH</v>
      </c>
      <c r="I135" s="174" t="str">
        <f t="shared" si="143"/>
        <v>INDOWH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INDOWH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INDOWH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INDODPHGASN1</v>
      </c>
      <c r="E138" s="261" t="str">
        <f>"Industrial heating technology "&amp;$AJ$12&amp;" "&amp;RIGHT(H138,2)&amp;" - Gas boiler (Steam) - new 1"</f>
        <v>Industrial heating technology Other PH - Gas boiler (Steam) - new 1</v>
      </c>
      <c r="F138" s="224" t="s">
        <v>1149</v>
      </c>
      <c r="G138" s="173" t="s">
        <v>2080</v>
      </c>
      <c r="H138" s="174" t="str">
        <f>$AI$14</f>
        <v>IODPH</v>
      </c>
      <c r="I138" s="174" t="str">
        <f t="shared" si="143"/>
        <v>INDOWH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INDOWH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INDOWH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INDODSHGASN1</v>
      </c>
      <c r="E141" s="261" t="str">
        <f>"Industrial heating technology "&amp;$AJ$12&amp;" "&amp;RIGHT(H141,2)&amp;" - Gas boiler (Steam) - new 1"</f>
        <v>Industrial heating technology Other SH - Gas boiler (Steam) - new 1</v>
      </c>
      <c r="F141" s="224" t="s">
        <v>1149</v>
      </c>
      <c r="G141" s="173" t="s">
        <v>2080</v>
      </c>
      <c r="H141" s="174" t="str">
        <f>$AI$15</f>
        <v>IODSH</v>
      </c>
      <c r="I141" s="174" t="str">
        <f t="shared" si="143"/>
        <v>INDOWH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INDOWH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INDOWH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INDODPHGASN2</v>
      </c>
      <c r="E144" s="707" t="str">
        <f>"Industrial heating technology "&amp;$AJ$12&amp;" "&amp;RIGHT(H144,2)&amp;" - Gas boiler (Steam - condensing) - new 2"</f>
        <v>Industrial heating technology Other PH - Gas boiler (Steam - condensing) - new 2</v>
      </c>
      <c r="F144" s="224" t="s">
        <v>1149</v>
      </c>
      <c r="G144" s="173" t="s">
        <v>2080</v>
      </c>
      <c r="H144" s="708" t="str">
        <f>$AI$14</f>
        <v>IODPH</v>
      </c>
      <c r="I144" s="708" t="str">
        <f t="shared" si="143"/>
        <v>INDOWH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INDOWH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INDOWH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INDODSHGASN2</v>
      </c>
      <c r="E147" s="261" t="str">
        <f>"Industrial heating technology "&amp;$AJ$12&amp;" "&amp;RIGHT(H147,2)&amp;" - Gas boiler (Steam - condensing) - new 2"</f>
        <v>Industrial heating technology Other SH - Gas boiler (Steam - condensing) - new 2</v>
      </c>
      <c r="F147" s="224" t="s">
        <v>1149</v>
      </c>
      <c r="G147" s="173" t="s">
        <v>2080</v>
      </c>
      <c r="H147" s="174" t="str">
        <f>$AI$15</f>
        <v>IODSH</v>
      </c>
      <c r="I147" s="174" t="str">
        <f t="shared" si="143"/>
        <v>INDOWH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INDOWH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INDOWH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INDODPHGASN3</v>
      </c>
      <c r="E150" s="707" t="str">
        <f>"Industrial heating technology "&amp;$AJ$12&amp;" "&amp;RIGHT(H150,2)&amp;" - Gas boiler (Hot Water) - new 3"</f>
        <v>Industrial heating technology Other PH - Gas boiler (Hot Water) - new 3</v>
      </c>
      <c r="F150" s="224" t="s">
        <v>1149</v>
      </c>
      <c r="G150" s="173" t="s">
        <v>2080</v>
      </c>
      <c r="H150" s="708" t="str">
        <f>$AI$14</f>
        <v>IODPH</v>
      </c>
      <c r="I150" s="708" t="str">
        <f t="shared" si="143"/>
        <v>INDOWH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INDOWH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INDOWH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INDODSHGASN3</v>
      </c>
      <c r="E153" s="261" t="str">
        <f>"Industrial heating technology "&amp;$AJ$12&amp;" "&amp;RIGHT(H153,2)&amp;" - Gas boiler (Hot Water) - new 3"</f>
        <v>Industrial heating technology Other SH - Gas boiler (Hot Water) - new 3</v>
      </c>
      <c r="F153" s="224" t="s">
        <v>1149</v>
      </c>
      <c r="G153" s="173" t="s">
        <v>2080</v>
      </c>
      <c r="H153" s="174" t="str">
        <f>$AI$15</f>
        <v>IODSH</v>
      </c>
      <c r="I153" s="174" t="str">
        <f t="shared" si="143"/>
        <v>INDOWH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INDOWH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INDOWH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INDODPHGASN4</v>
      </c>
      <c r="E156" s="707" t="str">
        <f>"Industrial heating technology "&amp;$AJ$12&amp;" "&amp;RIGHT(H156,2)&amp;" - Gas boiler (Hot Water - condensing) - new 4"</f>
        <v>Industrial heating technology Other PH - Gas boiler (Hot Water - condensing) - new 4</v>
      </c>
      <c r="F156" s="224" t="s">
        <v>1149</v>
      </c>
      <c r="G156" s="173" t="s">
        <v>2080</v>
      </c>
      <c r="H156" s="708" t="str">
        <f>$AI$14</f>
        <v>IODPH</v>
      </c>
      <c r="I156" s="708" t="str">
        <f t="shared" si="143"/>
        <v>INDOWH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INDOWH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INDOWH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INDODSHGASN4</v>
      </c>
      <c r="E159" s="261" t="str">
        <f>"Industrial heating technology "&amp;$AJ$12&amp;" "&amp;RIGHT(H159,2)&amp;" - Gas boiler (Hot Water- condensing) - new 4"</f>
        <v>Industrial heating technology Other SH - Gas boiler (Hot Water- condensing) - new 4</v>
      </c>
      <c r="F159" s="224" t="s">
        <v>1149</v>
      </c>
      <c r="G159" s="173" t="s">
        <v>2080</v>
      </c>
      <c r="H159" s="174" t="str">
        <f>$AI$15</f>
        <v>IODSH</v>
      </c>
      <c r="I159" s="174" t="str">
        <f t="shared" si="143"/>
        <v>INDOWH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INDOWH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INDOWH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INDODPHGASN5</v>
      </c>
      <c r="E162" s="707" t="str">
        <f>"Industrial heating technology "&amp;$AJ$12&amp;" "&amp;RIGHT(H162,2)&amp;" - Gas boiler (Direct firing) - new 5"</f>
        <v>Industrial heating technology Other PH - Gas boiler (Direct firing) - new 5</v>
      </c>
      <c r="F162" s="224" t="s">
        <v>1149</v>
      </c>
      <c r="G162" s="173" t="s">
        <v>2080</v>
      </c>
      <c r="H162" s="174" t="str">
        <f>$AI$13</f>
        <v>IODPH</v>
      </c>
      <c r="I162" s="174" t="str">
        <f t="shared" si="143"/>
        <v>INDOWH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INDOWH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INDOWH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INDODPHGASN5</v>
      </c>
      <c r="E165" s="261" t="str">
        <f>"Industrial heating technology "&amp;$AJ$12&amp;" "&amp;RIGHT(H165,2)&amp;" - Gas boiler (Direct firing) - new 5"</f>
        <v>Industrial heating technology Other PH - Gas boiler (Direct firing) - new 5</v>
      </c>
      <c r="F165" s="224" t="s">
        <v>1149</v>
      </c>
      <c r="G165" s="173" t="s">
        <v>2080</v>
      </c>
      <c r="H165" s="174" t="str">
        <f>$AI$14</f>
        <v>IODPH</v>
      </c>
      <c r="I165" s="721" t="str">
        <f t="shared" si="143"/>
        <v>INDOWH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INDOWH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INDOWH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INDODPHCOAN1</v>
      </c>
      <c r="E168" s="261" t="str">
        <f>"Industrial heating technology "&amp;$AJ$12&amp;" "&amp;RIGHT(H168,2)&amp;" - Coal boiler (Steam) - new 1"</f>
        <v>Industrial heating technology Other PH - Coal boiler (Steam) - new 1</v>
      </c>
      <c r="F168" s="224" t="s">
        <v>1149</v>
      </c>
      <c r="G168" s="55" t="s">
        <v>617</v>
      </c>
      <c r="H168" s="174" t="str">
        <f>$AI$13</f>
        <v>IODPH</v>
      </c>
      <c r="I168" s="174" t="str">
        <f t="shared" si="143"/>
        <v>INDOWH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INDOWH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INDOWH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INDODPHCOAN1</v>
      </c>
      <c r="E171" s="261" t="str">
        <f>"Industrial heating technology "&amp;$AJ$12&amp;" "&amp;RIGHT(H171,2)&amp;" - Coal boiler (Steam) - new 1"</f>
        <v>Industrial heating technology Other PH - Coal boiler (Steam) - new 1</v>
      </c>
      <c r="F171" s="224" t="s">
        <v>1149</v>
      </c>
      <c r="G171" s="55" t="s">
        <v>617</v>
      </c>
      <c r="H171" s="174" t="str">
        <f>$AI$14</f>
        <v>IODPH</v>
      </c>
      <c r="I171" s="174" t="str">
        <f t="shared" si="143"/>
        <v>INDOWH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INDOWH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INDOWH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INDODSHCOAN1</v>
      </c>
      <c r="E174" s="261" t="str">
        <f>"Industrial heating technology "&amp;$AJ$12&amp;" "&amp;RIGHT(H174,2)&amp;" - Coal boiler (Steam) - new 1"</f>
        <v>Industrial heating technology Other SH - Coal boiler (Steam) - new 1</v>
      </c>
      <c r="F174" s="224" t="s">
        <v>1149</v>
      </c>
      <c r="G174" s="55" t="s">
        <v>617</v>
      </c>
      <c r="H174" s="174" t="str">
        <f>$AI$15</f>
        <v>IODSH</v>
      </c>
      <c r="I174" s="174" t="str">
        <f t="shared" si="143"/>
        <v>INDOWH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INDOWH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INDOWH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INDODPHCOAN2</v>
      </c>
      <c r="E177" s="261" t="str">
        <f>"Industrial heating technology "&amp;$AJ$12&amp;" "&amp;RIGHT(H177,2)&amp;" - Coal boiler (Hot Water) - new 2"</f>
        <v>Industrial heating technology Other PH - Coal boiler (Hot Water) - new 2</v>
      </c>
      <c r="F177" s="224" t="s">
        <v>1149</v>
      </c>
      <c r="G177" s="55" t="s">
        <v>617</v>
      </c>
      <c r="H177" s="174" t="str">
        <f>$AI$14</f>
        <v>IODPH</v>
      </c>
      <c r="I177" s="174" t="str">
        <f t="shared" si="143"/>
        <v>INDOWH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INDOWH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INDOWH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INDODSHCOAN2</v>
      </c>
      <c r="E180" s="261" t="str">
        <f>"Industrial heating technology "&amp;$AJ$12&amp;" "&amp;RIGHT(H180,2)&amp;" - Coal boiler (Hot Water) - new 2"</f>
        <v>Industrial heating technology Other SH - Coal boiler (Hot Water) - new 2</v>
      </c>
      <c r="F180" s="224" t="s">
        <v>1149</v>
      </c>
      <c r="G180" s="55" t="s">
        <v>617</v>
      </c>
      <c r="H180" s="174" t="str">
        <f>$AI$15</f>
        <v>IODSH</v>
      </c>
      <c r="I180" s="174" t="str">
        <f t="shared" si="143"/>
        <v>INDOWH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INDOWH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INDOWH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INDODSHSOLN1</v>
      </c>
      <c r="E183" s="261" t="str">
        <f>"Industrial heating technology "&amp;$AJ$12&amp;" "&amp;RIGHT(H183,2)&amp;" - Solar - new 1"</f>
        <v>Industrial heating technology Other SH - Solar - new 1</v>
      </c>
      <c r="F183" s="224" t="s">
        <v>1149</v>
      </c>
      <c r="G183" s="55" t="s">
        <v>500</v>
      </c>
      <c r="H183" s="174" t="str">
        <f>$AI$15</f>
        <v>IODSH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INDODSHHCEN1</v>
      </c>
      <c r="E187" s="224" t="str">
        <f>"Industrial heating technology "&amp;$AJ$12&amp;" "&amp;RIGHT(H187,2)&amp;" - central district heating - within DH area - new 1"</f>
        <v>Industrial heating technology Other SH - central district heating - within DH area - new 1</v>
      </c>
      <c r="F187" s="224" t="s">
        <v>1149</v>
      </c>
      <c r="G187" s="225" t="s">
        <v>501</v>
      </c>
      <c r="H187" s="225" t="str">
        <f>AI15</f>
        <v>IODSH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INDODPHHCEN1</v>
      </c>
      <c r="E188" s="224" t="str">
        <f>"Industrial heating technology "&amp;$AJ$12&amp;" "&amp;RIGHT(H188,2)&amp;" - central district heating - within DH area - new 1"</f>
        <v>Industrial heating technology Other PH - central district heating - within DH area - new 1</v>
      </c>
      <c r="F188" s="224" t="s">
        <v>1149</v>
      </c>
      <c r="G188" s="225" t="s">
        <v>501</v>
      </c>
      <c r="H188" s="281" t="str">
        <f>AI14</f>
        <v>IODPH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INDODSHHSEN1</v>
      </c>
      <c r="E189" s="224" t="str">
        <f>"Industrial heating technology "&amp;$AJ$12&amp;" "&amp;RIGHT(H189,2)&amp;" - central district heating - within DH area - new 1"</f>
        <v>Industrial heating technology Other SH - central district heating - within DH area - new 1</v>
      </c>
      <c r="F189" s="224" t="s">
        <v>1149</v>
      </c>
      <c r="G189" s="225" t="s">
        <v>2124</v>
      </c>
      <c r="H189" s="225" t="str">
        <f>H187</f>
        <v>IODSH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INDODPHHSEN1</v>
      </c>
      <c r="E190" s="224" t="str">
        <f>"Industrial heating technology "&amp;$AJ$12&amp;" "&amp;RIGHT(H190,2)&amp;" - central district heating - within DH area - new 1"</f>
        <v>Industrial heating technology Other PH - central district heating - within DH area - new 1</v>
      </c>
      <c r="F190" s="224" t="s">
        <v>1149</v>
      </c>
      <c r="G190" s="225" t="s">
        <v>2124</v>
      </c>
      <c r="H190" s="225" t="str">
        <f>H188</f>
        <v>IODPH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INDODSHHDEN1</v>
      </c>
      <c r="E191" s="224" t="str">
        <f>"Industrial heating technology "&amp;$AJ$12&amp;" "&amp;RIGHT(H191,2)&amp;" - decentral district heating - within DH area - new 1"</f>
        <v>Industrial heating technology Other SH - decentral district heating - within DH area - new 1</v>
      </c>
      <c r="F191" s="224" t="s">
        <v>1149</v>
      </c>
      <c r="G191" s="259" t="s">
        <v>502</v>
      </c>
      <c r="H191" s="265" t="str">
        <f>AI15</f>
        <v>IODSH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INDODPHHDEN1</v>
      </c>
      <c r="E192" s="224" t="str">
        <f>"Industrial heating technology "&amp;$AJ$12&amp;" "&amp;RIGHT(H192,2)&amp;" - decentral district heating - within DH area - new 1"</f>
        <v>Industrial heating technology Other PH - decentral district heating - within DH area - new 1</v>
      </c>
      <c r="F192" s="224" t="s">
        <v>1149</v>
      </c>
      <c r="G192" s="259" t="s">
        <v>502</v>
      </c>
      <c r="H192" s="225" t="str">
        <f>AI14</f>
        <v>IODPH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INDODLAELCN1</v>
      </c>
      <c r="E194" s="224" t="str">
        <f>"Industry "&amp;$AJ$12&amp;" "&amp;RIGHT(H194,2)&amp;" Electricity Light Appliance - New 1"</f>
        <v>Industry Other LA Electricity Light Appliance - New 1</v>
      </c>
      <c r="F194" s="224" t="s">
        <v>1149</v>
      </c>
      <c r="G194" s="225" t="s">
        <v>499</v>
      </c>
      <c r="H194" s="225" t="str">
        <f>AI16</f>
        <v>IODLA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INDODEMELCN1</v>
      </c>
      <c r="E198" s="224" t="str">
        <f>"Industry "&amp;$AJ$12&amp;" "&amp;RIGHT(H198,2)&amp;" Electricity Motors - New 1"</f>
        <v>Industry Other EM Electricity Motors - New 1</v>
      </c>
      <c r="F198" s="224" t="s">
        <v>1149</v>
      </c>
      <c r="G198" s="225" t="s">
        <v>499</v>
      </c>
      <c r="H198" s="225" t="str">
        <f>AI17</f>
        <v>IODEM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INDODTFDSLN1</v>
      </c>
      <c r="E202" s="224" t="str">
        <f>"Industry "&amp;$AJ$12&amp;" "&amp;RIGHT(H202,2)&amp;" Tractors, Trucks, Fishing boats - New 1"</f>
        <v>Industry Other TF Tractors, Trucks, Fishing boats - New 1</v>
      </c>
      <c r="F202" s="224" t="s">
        <v>1149</v>
      </c>
      <c r="G202" s="173" t="s">
        <v>2081</v>
      </c>
      <c r="H202" s="174" t="str">
        <f>$AI$18</f>
        <v>IODTF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INDODTFH2GN2</v>
      </c>
      <c r="E206" s="224" t="str">
        <f>"Industry "&amp;$AJ$12&amp;" "&amp;RIGHT(H206,2)&amp;" Tractors, Trucks, Fishing boats - New 2"</f>
        <v>Industry Other TF Tractors, Trucks, Fishing boats - New 2</v>
      </c>
      <c r="F206" s="224" t="s">
        <v>1149</v>
      </c>
      <c r="G206" s="55" t="s">
        <v>2077</v>
      </c>
      <c r="H206" s="174" t="str">
        <f>$AI$18</f>
        <v>IODTF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INDODTFELCN3</v>
      </c>
      <c r="E210" s="224" t="str">
        <f>"Industry "&amp;$AJ$12&amp;" "&amp;RIGHT(H210,2)&amp;" Tractors, Trucks, Fishing boats - New 3"</f>
        <v>Industry Other TF Tractors, Trucks, Fishing boats - New 3</v>
      </c>
      <c r="F210" s="224" t="s">
        <v>1149</v>
      </c>
      <c r="G210" s="55" t="s">
        <v>499</v>
      </c>
      <c r="H210" s="174" t="str">
        <f>$AI$18</f>
        <v>IODTF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INDODFLSYNN1</v>
      </c>
      <c r="E214" s="224" t="str">
        <f>"Industry "&amp;$AJ$12&amp;" "&amp;RIGHT(H202,2)&amp;" Forklifts - New 1"</f>
        <v>Industry Other TF Forklifts - New 1</v>
      </c>
      <c r="F214" s="224" t="s">
        <v>1149</v>
      </c>
      <c r="G214" s="173" t="s">
        <v>2082</v>
      </c>
      <c r="H214" s="224" t="str">
        <f>AI19</f>
        <v>IODFL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INDODCOELCN1</v>
      </c>
      <c r="E218" s="224" t="str">
        <f>"Industry "&amp;$AJ$12&amp;" "&amp;RIGHT(H218,2)&amp;" Cooling - New 1"</f>
        <v>Industry Other CO Cooling - New 1</v>
      </c>
      <c r="F218" s="224" t="s">
        <v>1149</v>
      </c>
      <c r="G218" s="173" t="s">
        <v>499</v>
      </c>
      <c r="H218" s="224" t="str">
        <f>AI21</f>
        <v>IODCO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INDODPHELCN1</v>
      </c>
      <c r="E229" s="212" t="str">
        <f t="shared" ref="E229:E260" si="266">VLOOKUP(D229,$D$9:$E$222,2,FALSE)</f>
        <v>Industrial heating technology Other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INDODSHELCN1</v>
      </c>
      <c r="E230" s="212" t="str">
        <f t="shared" ca="1" si="266"/>
        <v>Industrial heating technology Other SH - Heat pump utilizing waste heat - new 1</v>
      </c>
      <c r="F230" s="262" t="s">
        <v>450</v>
      </c>
      <c r="G230" s="262" t="s">
        <v>449</v>
      </c>
      <c r="H230" s="263" t="s">
        <v>620</v>
      </c>
      <c r="I230" s="301"/>
      <c r="J230" s="264" t="s">
        <v>469</v>
      </c>
    </row>
    <row r="231" spans="1:10">
      <c r="A231" s="169"/>
      <c r="D231" s="212" t="str">
        <f t="shared" ca="1" si="267"/>
        <v>INDODPHELCN2</v>
      </c>
      <c r="E231" s="212" t="str">
        <f t="shared" ca="1" si="266"/>
        <v>Industrial heating technology Other PH - Heat driven heat pump utilizing waste heat - new 2</v>
      </c>
      <c r="F231" s="211" t="s">
        <v>450</v>
      </c>
      <c r="G231" s="211" t="s">
        <v>449</v>
      </c>
      <c r="H231" s="263" t="s">
        <v>620</v>
      </c>
      <c r="I231" s="208"/>
      <c r="J231" s="264" t="s">
        <v>469</v>
      </c>
    </row>
    <row r="232" spans="1:10">
      <c r="A232" s="169"/>
      <c r="B232" s="211"/>
      <c r="C232" s="211"/>
      <c r="D232" s="212" t="str">
        <f t="shared" ca="1" si="267"/>
        <v>INDODSHELCN2</v>
      </c>
      <c r="E232" s="212" t="str">
        <f t="shared" ca="1" si="266"/>
        <v>Industrial heating technology Other SH - Heat driven heat pump utilizing waste heat - new 2</v>
      </c>
      <c r="F232" s="262" t="s">
        <v>450</v>
      </c>
      <c r="G232" s="262" t="s">
        <v>449</v>
      </c>
      <c r="H232" s="263" t="s">
        <v>620</v>
      </c>
      <c r="I232" s="264"/>
      <c r="J232" s="264" t="s">
        <v>469</v>
      </c>
    </row>
    <row r="233" spans="1:10">
      <c r="A233" s="169"/>
      <c r="B233" s="211"/>
      <c r="C233" s="211"/>
      <c r="D233" s="212" t="str">
        <f t="shared" ca="1" si="267"/>
        <v>INDODPHELCN3</v>
      </c>
      <c r="E233" s="212" t="str">
        <f t="shared" ca="1" si="266"/>
        <v>Industrial heating technology Other PH - High Temp abs. Heat pump utilizing waste heat - new 3</v>
      </c>
      <c r="F233" s="262" t="s">
        <v>450</v>
      </c>
      <c r="G233" s="262" t="s">
        <v>449</v>
      </c>
      <c r="H233" s="263" t="s">
        <v>620</v>
      </c>
      <c r="I233" s="264"/>
      <c r="J233" s="264" t="s">
        <v>469</v>
      </c>
    </row>
    <row r="234" spans="1:10">
      <c r="A234" s="169"/>
      <c r="B234" s="211"/>
      <c r="C234" s="211"/>
      <c r="D234" s="212" t="str">
        <f t="shared" ca="1" si="267"/>
        <v>INDODSHELCN3</v>
      </c>
      <c r="E234" s="212" t="str">
        <f t="shared" ca="1" si="266"/>
        <v>Industrial heating technology Other SH - High Temp abs. Heat pump utilizing waste heat - new 3</v>
      </c>
      <c r="F234" s="262" t="s">
        <v>450</v>
      </c>
      <c r="G234" s="262" t="s">
        <v>449</v>
      </c>
      <c r="H234" s="263" t="s">
        <v>620</v>
      </c>
      <c r="I234" s="264"/>
      <c r="J234" s="264" t="s">
        <v>469</v>
      </c>
    </row>
    <row r="235" spans="1:10">
      <c r="A235" s="169"/>
      <c r="B235" s="211"/>
      <c r="C235" s="211"/>
      <c r="D235" s="212" t="str">
        <f t="shared" ca="1" si="267"/>
        <v>INDODPHELCN4</v>
      </c>
      <c r="E235" s="212" t="str">
        <f t="shared" ca="1" si="266"/>
        <v>Industrial heating technology Other PH - Booster Heat pump utilizing waste heat - new 4</v>
      </c>
      <c r="F235" s="262" t="s">
        <v>450</v>
      </c>
      <c r="G235" s="262" t="s">
        <v>449</v>
      </c>
      <c r="H235" s="263" t="s">
        <v>620</v>
      </c>
      <c r="I235" s="264"/>
      <c r="J235" s="264" t="s">
        <v>469</v>
      </c>
    </row>
    <row r="236" spans="1:10">
      <c r="A236" s="169"/>
      <c r="B236" s="211"/>
      <c r="C236" s="211"/>
      <c r="D236" s="212" t="str">
        <f t="shared" ca="1" si="267"/>
        <v>INDODSHELCN4</v>
      </c>
      <c r="E236" s="212" t="str">
        <f t="shared" ca="1" si="266"/>
        <v>Industrial heating technology Other SH - Booster Heat pump utilizing waste heat - new 4</v>
      </c>
      <c r="F236" s="262" t="s">
        <v>450</v>
      </c>
      <c r="G236" s="262" t="s">
        <v>449</v>
      </c>
      <c r="H236" s="263" t="s">
        <v>620</v>
      </c>
      <c r="I236" s="264"/>
      <c r="J236" s="264" t="s">
        <v>469</v>
      </c>
    </row>
    <row r="237" spans="1:10">
      <c r="A237" s="169"/>
      <c r="B237" s="211"/>
      <c r="C237" s="211"/>
      <c r="D237" s="212" t="str">
        <f t="shared" ca="1" si="267"/>
        <v>INDODPHELCN5</v>
      </c>
      <c r="E237" s="212" t="str">
        <f t="shared" ca="1" si="266"/>
        <v>Industrial heating technology Other PH - MVR utilizing waste heat - new 5</v>
      </c>
      <c r="F237" s="262" t="s">
        <v>450</v>
      </c>
      <c r="G237" s="262" t="s">
        <v>449</v>
      </c>
      <c r="H237" s="263"/>
      <c r="I237" s="264"/>
      <c r="J237" s="264" t="s">
        <v>469</v>
      </c>
    </row>
    <row r="238" spans="1:10">
      <c r="A238" s="169"/>
      <c r="B238" s="211"/>
      <c r="C238" s="211"/>
      <c r="D238" s="212" t="str">
        <f t="shared" ca="1" si="267"/>
        <v>INDODPHWSTN1</v>
      </c>
      <c r="E238" s="212" t="str">
        <f t="shared" ca="1" si="266"/>
        <v>Industrial heating technology Other PH - Hotdisc - new 1</v>
      </c>
      <c r="F238" s="262" t="s">
        <v>450</v>
      </c>
      <c r="G238" s="262" t="s">
        <v>449</v>
      </c>
      <c r="H238" s="263" t="s">
        <v>620</v>
      </c>
      <c r="I238" s="264"/>
      <c r="J238" s="264" t="s">
        <v>469</v>
      </c>
    </row>
    <row r="239" spans="1:10">
      <c r="A239" s="169"/>
      <c r="B239" s="211"/>
      <c r="C239" s="211"/>
      <c r="D239" s="212" t="str">
        <f t="shared" ref="D239:D278" ca="1" si="268">OFFSET($D$9,(ROW(D19)*3),0)</f>
        <v>INDODPHELCN6</v>
      </c>
      <c r="E239" s="212" t="str">
        <f t="shared" ca="1" si="266"/>
        <v>Industrial heating technology Other PH - Dielectric heating - new 6</v>
      </c>
      <c r="F239" s="262" t="s">
        <v>450</v>
      </c>
      <c r="G239" s="262" t="s">
        <v>449</v>
      </c>
      <c r="H239" s="263" t="s">
        <v>620</v>
      </c>
      <c r="I239" s="264"/>
      <c r="J239" s="264" t="s">
        <v>469</v>
      </c>
    </row>
    <row r="240" spans="1:10">
      <c r="A240" s="169"/>
      <c r="B240" s="211"/>
      <c r="C240" s="211"/>
      <c r="D240" s="212" t="str">
        <f t="shared" ca="1" si="268"/>
        <v>INDODPHELCN7</v>
      </c>
      <c r="E240" s="212" t="str">
        <f t="shared" ca="1" si="266"/>
        <v>Industrial heating technology Other PH - Infrared heating - new 7</v>
      </c>
      <c r="F240" s="262" t="s">
        <v>450</v>
      </c>
      <c r="G240" s="262" t="s">
        <v>449</v>
      </c>
      <c r="H240" s="263" t="s">
        <v>620</v>
      </c>
      <c r="I240" s="264"/>
      <c r="J240" s="264" t="s">
        <v>469</v>
      </c>
    </row>
    <row r="241" spans="1:16">
      <c r="A241" s="169"/>
      <c r="B241" s="211"/>
      <c r="C241" s="211"/>
      <c r="D241" s="212" t="str">
        <f t="shared" ca="1" si="268"/>
        <v>INDODPHELCN8</v>
      </c>
      <c r="E241" s="212" t="str">
        <f t="shared" ca="1" si="266"/>
        <v>Industrial heating technology Other PH - Electric boiler (Steam) - new 8</v>
      </c>
      <c r="F241" s="262" t="s">
        <v>450</v>
      </c>
      <c r="G241" s="262" t="s">
        <v>449</v>
      </c>
      <c r="H241" s="263" t="s">
        <v>620</v>
      </c>
      <c r="I241" s="264"/>
      <c r="J241" s="264" t="s">
        <v>469</v>
      </c>
    </row>
    <row r="242" spans="1:16">
      <c r="A242" s="169"/>
      <c r="B242" s="211"/>
      <c r="C242" s="211"/>
      <c r="D242" s="212" t="str">
        <f t="shared" ca="1" si="268"/>
        <v>INDODPHELCN8</v>
      </c>
      <c r="E242" s="212" t="str">
        <f t="shared" ca="1" si="266"/>
        <v>Industrial heating technology Other PH - Electric boiler (Steam) - new 8</v>
      </c>
      <c r="F242" s="262" t="s">
        <v>450</v>
      </c>
      <c r="G242" s="262" t="s">
        <v>449</v>
      </c>
      <c r="H242" s="263" t="s">
        <v>620</v>
      </c>
      <c r="I242" s="264"/>
      <c r="J242" s="264" t="s">
        <v>469</v>
      </c>
    </row>
    <row r="243" spans="1:16">
      <c r="A243" s="169"/>
      <c r="B243" s="211"/>
      <c r="C243" s="211"/>
      <c r="D243" s="212" t="str">
        <f t="shared" ca="1" si="268"/>
        <v>INDODSHELCN8</v>
      </c>
      <c r="E243" s="212" t="str">
        <f t="shared" ca="1" si="266"/>
        <v>Industrial heating technology Other SH - Electric boiler (Steam) - new 8</v>
      </c>
      <c r="F243" s="262" t="s">
        <v>450</v>
      </c>
      <c r="G243" s="262" t="s">
        <v>449</v>
      </c>
      <c r="H243" s="263" t="s">
        <v>620</v>
      </c>
      <c r="I243" s="264"/>
      <c r="J243" s="264" t="s">
        <v>469</v>
      </c>
      <c r="P243" s="173"/>
    </row>
    <row r="244" spans="1:16">
      <c r="A244" s="169"/>
      <c r="B244" s="211"/>
      <c r="C244" s="211"/>
      <c r="D244" s="212" t="str">
        <f t="shared" ca="1" si="268"/>
        <v>INDODPHELCN9</v>
      </c>
      <c r="E244" s="212" t="str">
        <f t="shared" ca="1" si="266"/>
        <v>Industrial heating technology Other PH - Electric boiler (Hot Water) - new 9</v>
      </c>
      <c r="F244" s="262" t="s">
        <v>450</v>
      </c>
      <c r="G244" s="262" t="s">
        <v>449</v>
      </c>
      <c r="H244" s="263" t="s">
        <v>620</v>
      </c>
      <c r="I244" s="264"/>
      <c r="J244" s="264" t="s">
        <v>469</v>
      </c>
      <c r="P244" s="173"/>
    </row>
    <row r="245" spans="1:16">
      <c r="A245" s="169"/>
      <c r="B245" s="211"/>
      <c r="C245" s="211"/>
      <c r="D245" s="212" t="str">
        <f t="shared" ca="1" si="268"/>
        <v>INDODSHELCN9</v>
      </c>
      <c r="E245" s="212" t="str">
        <f t="shared" ca="1" si="266"/>
        <v>Industrial heating technology Other SH - Electric boiler (Hot Water) - new 9</v>
      </c>
      <c r="F245" s="262" t="s">
        <v>450</v>
      </c>
      <c r="G245" s="262" t="s">
        <v>449</v>
      </c>
      <c r="H245" s="263" t="s">
        <v>620</v>
      </c>
      <c r="I245" s="264"/>
      <c r="J245" s="264" t="s">
        <v>469</v>
      </c>
      <c r="P245" s="173"/>
    </row>
    <row r="246" spans="1:16">
      <c r="A246" s="169"/>
      <c r="B246" s="211"/>
      <c r="C246" s="211"/>
      <c r="D246" s="212" t="str">
        <f t="shared" ca="1" si="268"/>
        <v>INDODPHWCHN1</v>
      </c>
      <c r="E246" s="212" t="str">
        <f t="shared" ca="1" si="266"/>
        <v>Industrial heating technology Other PH - Wood chip boiler (Steam) - new 1</v>
      </c>
      <c r="F246" s="262" t="s">
        <v>450</v>
      </c>
      <c r="G246" s="262" t="s">
        <v>449</v>
      </c>
      <c r="H246" s="263"/>
      <c r="I246" s="264"/>
      <c r="J246" s="264" t="s">
        <v>469</v>
      </c>
      <c r="P246" s="173"/>
    </row>
    <row r="247" spans="1:16">
      <c r="A247" s="169"/>
      <c r="B247" s="211"/>
      <c r="C247" s="211"/>
      <c r="D247" s="212" t="str">
        <f t="shared" ca="1" si="268"/>
        <v>INDODPHWCHN1</v>
      </c>
      <c r="E247" s="212" t="str">
        <f t="shared" ca="1" si="266"/>
        <v>Industrial heating technology Other PH - Wood chip boiler (Steam) - new 1</v>
      </c>
      <c r="F247" s="262" t="s">
        <v>450</v>
      </c>
      <c r="G247" s="262" t="s">
        <v>449</v>
      </c>
      <c r="H247" s="263"/>
      <c r="I247" s="264"/>
      <c r="J247" s="264" t="s">
        <v>469</v>
      </c>
      <c r="M247" s="171"/>
      <c r="N247" s="171"/>
      <c r="P247" s="173"/>
    </row>
    <row r="248" spans="1:16">
      <c r="A248" s="169"/>
      <c r="B248" s="211"/>
      <c r="C248" s="211"/>
      <c r="D248" s="212" t="str">
        <f t="shared" ca="1" si="268"/>
        <v>INDODSHWCHN1</v>
      </c>
      <c r="E248" s="212" t="str">
        <f t="shared" ca="1" si="266"/>
        <v>Industrial heating technology Other SH - Wood chip boiler (Steam) - new 1</v>
      </c>
      <c r="F248" s="262" t="s">
        <v>450</v>
      </c>
      <c r="G248" s="262" t="s">
        <v>449</v>
      </c>
      <c r="H248" s="263"/>
      <c r="I248" s="264"/>
      <c r="J248" s="264" t="s">
        <v>469</v>
      </c>
      <c r="M248" s="171"/>
      <c r="N248" s="171"/>
      <c r="P248" s="173"/>
    </row>
    <row r="249" spans="1:16">
      <c r="A249" s="169"/>
      <c r="B249" s="211"/>
      <c r="C249" s="211"/>
      <c r="D249" s="212" t="str">
        <f t="shared" ca="1" si="268"/>
        <v>INDODPHWCHN2</v>
      </c>
      <c r="E249" s="212" t="str">
        <f t="shared" ca="1" si="266"/>
        <v>Industrial heating technology Other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INDODSHWCHN2</v>
      </c>
      <c r="E250" s="212" t="str">
        <f t="shared" ca="1" si="266"/>
        <v>Industrial heating technology Other SH - Wood chip boiler (Steam - condensing) - new 2</v>
      </c>
      <c r="F250" s="262" t="s">
        <v>450</v>
      </c>
      <c r="G250" s="262" t="s">
        <v>449</v>
      </c>
      <c r="H250" s="263"/>
      <c r="I250" s="264"/>
      <c r="J250" s="264" t="s">
        <v>469</v>
      </c>
    </row>
    <row r="251" spans="1:16">
      <c r="A251" s="169"/>
      <c r="B251" s="212"/>
      <c r="C251" s="212"/>
      <c r="D251" s="212" t="str">
        <f t="shared" ca="1" si="268"/>
        <v>INDODPHWCHN3</v>
      </c>
      <c r="E251" s="212" t="str">
        <f t="shared" ca="1" si="266"/>
        <v>Industrial heating technology Other PH - Wood chip boiler (Hot Water) - new 3</v>
      </c>
      <c r="F251" s="262" t="s">
        <v>450</v>
      </c>
      <c r="G251" s="262" t="s">
        <v>449</v>
      </c>
      <c r="H251" s="261"/>
      <c r="I251" s="261"/>
      <c r="J251" s="264" t="s">
        <v>469</v>
      </c>
    </row>
    <row r="252" spans="1:16">
      <c r="A252" s="169"/>
      <c r="B252" s="212"/>
      <c r="C252" s="212"/>
      <c r="D252" s="212" t="str">
        <f t="shared" ca="1" si="268"/>
        <v>INDODSHWCHN3</v>
      </c>
      <c r="E252" s="212" t="str">
        <f t="shared" ca="1" si="266"/>
        <v>Industrial heating technology Other SH - Wood chip boiler (Hot Water) - new 3</v>
      </c>
      <c r="F252" s="262" t="s">
        <v>450</v>
      </c>
      <c r="G252" s="262" t="s">
        <v>449</v>
      </c>
      <c r="H252" s="261"/>
      <c r="I252" s="261"/>
      <c r="J252" s="264" t="s">
        <v>469</v>
      </c>
    </row>
    <row r="253" spans="1:16">
      <c r="A253" s="169"/>
      <c r="B253" s="212"/>
      <c r="C253" s="212"/>
      <c r="D253" s="212" t="str">
        <f t="shared" ca="1" si="268"/>
        <v>INDODPHWCHN4</v>
      </c>
      <c r="E253" s="212" t="str">
        <f t="shared" ca="1" si="266"/>
        <v>Industrial heating technology Other PH - Wood chip boiler (Hot Water - condensing) - new 4</v>
      </c>
      <c r="F253" s="262" t="s">
        <v>450</v>
      </c>
      <c r="G253" s="262" t="s">
        <v>449</v>
      </c>
      <c r="H253" s="261"/>
      <c r="I253" s="261"/>
      <c r="J253" s="264" t="s">
        <v>469</v>
      </c>
    </row>
    <row r="254" spans="1:16">
      <c r="A254" s="169"/>
      <c r="B254" s="212"/>
      <c r="C254" s="212"/>
      <c r="D254" s="212" t="str">
        <f t="shared" ca="1" si="268"/>
        <v>INDODSHWCHN4</v>
      </c>
      <c r="E254" s="212" t="str">
        <f t="shared" ca="1" si="266"/>
        <v>Industrial heating technology Other SH - Wood chip boiler (Hot Water- condensing) - new 4</v>
      </c>
      <c r="F254" s="262" t="s">
        <v>450</v>
      </c>
      <c r="G254" s="262" t="s">
        <v>449</v>
      </c>
      <c r="H254" s="261"/>
      <c r="I254" s="261"/>
      <c r="J254" s="264" t="s">
        <v>469</v>
      </c>
    </row>
    <row r="255" spans="1:16">
      <c r="B255" s="212"/>
      <c r="C255" s="212"/>
      <c r="D255" s="212" t="str">
        <f t="shared" ca="1" si="268"/>
        <v>INDODPHELCN10</v>
      </c>
      <c r="E255" s="212" t="str">
        <f t="shared" ca="1" si="266"/>
        <v>Industrial heating technology Other PH - Direct electric heating - new 10</v>
      </c>
      <c r="F255" s="262" t="s">
        <v>450</v>
      </c>
      <c r="G255" s="262" t="s">
        <v>449</v>
      </c>
      <c r="H255" s="261"/>
      <c r="I255" s="261"/>
      <c r="J255" s="264" t="s">
        <v>469</v>
      </c>
    </row>
    <row r="256" spans="1:16">
      <c r="B256" s="212"/>
      <c r="C256" s="212"/>
      <c r="D256" s="212" t="str">
        <f t="shared" ca="1" si="268"/>
        <v>INDODPHELCN10</v>
      </c>
      <c r="E256" s="212" t="str">
        <f t="shared" ca="1" si="266"/>
        <v>Industrial heating technology Other PH - Direct electric heating - new 10</v>
      </c>
      <c r="F256" s="262" t="s">
        <v>450</v>
      </c>
      <c r="G256" s="262" t="s">
        <v>449</v>
      </c>
      <c r="H256" s="261"/>
      <c r="I256" s="261"/>
      <c r="J256" s="264" t="s">
        <v>469</v>
      </c>
    </row>
    <row r="257" spans="1:10">
      <c r="B257" s="212"/>
      <c r="C257" s="212"/>
      <c r="D257" s="212" t="str">
        <f t="shared" ca="1" si="268"/>
        <v>INDODPHDSLN1</v>
      </c>
      <c r="E257" s="212" t="str">
        <f t="shared" ca="1" si="266"/>
        <v>Industrial heating technology Other PH - Oil boiler (Steam) - new 1</v>
      </c>
      <c r="F257" s="262" t="s">
        <v>450</v>
      </c>
      <c r="G257" s="262" t="s">
        <v>449</v>
      </c>
      <c r="H257" s="261"/>
      <c r="I257" s="261"/>
      <c r="J257" s="264" t="s">
        <v>469</v>
      </c>
    </row>
    <row r="258" spans="1:10">
      <c r="B258" s="212"/>
      <c r="C258" s="212"/>
      <c r="D258" s="212" t="str">
        <f t="shared" ca="1" si="268"/>
        <v>INDODPHDSLN1</v>
      </c>
      <c r="E258" s="212" t="str">
        <f t="shared" ca="1" si="266"/>
        <v>Industrial heating technology Other PH - Oil boiler (Steam) - new 1</v>
      </c>
      <c r="F258" s="262" t="s">
        <v>450</v>
      </c>
      <c r="G258" s="262" t="s">
        <v>449</v>
      </c>
      <c r="H258" s="261"/>
      <c r="I258" s="261"/>
      <c r="J258" s="264" t="s">
        <v>469</v>
      </c>
    </row>
    <row r="259" spans="1:10">
      <c r="B259" s="212"/>
      <c r="C259" s="212"/>
      <c r="D259" s="212" t="str">
        <f t="shared" ca="1" si="268"/>
        <v>INDODSHDSLN1</v>
      </c>
      <c r="E259" s="212" t="str">
        <f t="shared" ca="1" si="266"/>
        <v>Industrial heating technology Other SH - Oil boiler (Steam) - new 1</v>
      </c>
      <c r="F259" s="262" t="s">
        <v>450</v>
      </c>
      <c r="G259" s="262" t="s">
        <v>449</v>
      </c>
      <c r="H259" s="261"/>
      <c r="I259" s="261"/>
      <c r="J259" s="264" t="s">
        <v>469</v>
      </c>
    </row>
    <row r="260" spans="1:10">
      <c r="A260" s="214"/>
      <c r="B260" s="212"/>
      <c r="C260" s="212"/>
      <c r="D260" s="212" t="str">
        <f t="shared" ca="1" si="268"/>
        <v>INDODPHDSLN2</v>
      </c>
      <c r="E260" s="212" t="str">
        <f t="shared" ca="1" si="266"/>
        <v>Industrial heating technology Other PH - Oil boiler (Steam - condensing) - new 2</v>
      </c>
      <c r="F260" s="262" t="s">
        <v>450</v>
      </c>
      <c r="G260" s="262" t="s">
        <v>449</v>
      </c>
      <c r="H260" s="261"/>
      <c r="I260" s="261"/>
      <c r="J260" s="264" t="s">
        <v>469</v>
      </c>
    </row>
    <row r="261" spans="1:10">
      <c r="A261" s="214"/>
      <c r="B261" s="212"/>
      <c r="C261" s="212"/>
      <c r="D261" s="212" t="str">
        <f t="shared" ca="1" si="268"/>
        <v>INDODSHDSLN2</v>
      </c>
      <c r="E261" s="212" t="str">
        <f t="shared" ref="E261:E290" ca="1" si="269">VLOOKUP(D261,$D$9:$E$222,2,FALSE)</f>
        <v>Industrial heating technology Other SH - Oil boiler (Steam - condensing) - new 2</v>
      </c>
      <c r="F261" s="262" t="s">
        <v>450</v>
      </c>
      <c r="G261" s="262" t="s">
        <v>449</v>
      </c>
      <c r="H261" s="261"/>
      <c r="I261" s="261"/>
      <c r="J261" s="264" t="s">
        <v>469</v>
      </c>
    </row>
    <row r="262" spans="1:10">
      <c r="A262" s="214"/>
      <c r="B262" s="212"/>
      <c r="C262" s="212"/>
      <c r="D262" s="212" t="str">
        <f t="shared" ca="1" si="268"/>
        <v>INDODPHGASN1</v>
      </c>
      <c r="E262" s="212" t="str">
        <f t="shared" ca="1" si="269"/>
        <v>Industrial heating technology Other PH - Gas boiler (Steam) - new 1</v>
      </c>
      <c r="F262" s="262" t="s">
        <v>450</v>
      </c>
      <c r="G262" s="262" t="s">
        <v>449</v>
      </c>
      <c r="H262" s="261"/>
      <c r="I262" s="261"/>
      <c r="J262" s="264" t="s">
        <v>469</v>
      </c>
    </row>
    <row r="263" spans="1:10">
      <c r="A263" s="214"/>
      <c r="B263" s="212"/>
      <c r="C263" s="212"/>
      <c r="D263" s="212" t="str">
        <f t="shared" ca="1" si="268"/>
        <v>INDODPHGASN1</v>
      </c>
      <c r="E263" s="212" t="str">
        <f t="shared" ca="1" si="269"/>
        <v>Industrial heating technology Other PH - Gas boiler (Steam) - new 1</v>
      </c>
      <c r="F263" s="262" t="s">
        <v>450</v>
      </c>
      <c r="G263" s="262" t="s">
        <v>449</v>
      </c>
      <c r="H263" s="261"/>
      <c r="I263" s="261"/>
      <c r="J263" s="264" t="s">
        <v>469</v>
      </c>
    </row>
    <row r="264" spans="1:10">
      <c r="B264" s="212"/>
      <c r="C264" s="212"/>
      <c r="D264" s="212" t="str">
        <f t="shared" ca="1" si="268"/>
        <v>INDODSHGASN1</v>
      </c>
      <c r="E264" s="212" t="str">
        <f t="shared" ca="1" si="269"/>
        <v>Industrial heating technology Other SH - Gas boiler (Steam) - new 1</v>
      </c>
      <c r="F264" s="262" t="s">
        <v>450</v>
      </c>
      <c r="G264" s="262" t="s">
        <v>449</v>
      </c>
      <c r="H264" s="261"/>
      <c r="I264" s="261"/>
      <c r="J264" s="264" t="s">
        <v>469</v>
      </c>
    </row>
    <row r="265" spans="1:10">
      <c r="B265" s="212"/>
      <c r="C265" s="212"/>
      <c r="D265" s="212" t="str">
        <f t="shared" ca="1" si="268"/>
        <v>INDODPHGASN2</v>
      </c>
      <c r="E265" s="212" t="str">
        <f t="shared" ca="1" si="269"/>
        <v>Industrial heating technology Other PH - Gas boiler (Steam - condensing) - new 2</v>
      </c>
      <c r="F265" s="262" t="s">
        <v>450</v>
      </c>
      <c r="G265" s="262" t="s">
        <v>449</v>
      </c>
      <c r="H265" s="261"/>
      <c r="I265" s="261"/>
      <c r="J265" s="264" t="s">
        <v>469</v>
      </c>
    </row>
    <row r="266" spans="1:10">
      <c r="B266" s="212"/>
      <c r="C266" s="212"/>
      <c r="D266" s="212" t="str">
        <f t="shared" ca="1" si="268"/>
        <v>INDODSHGASN2</v>
      </c>
      <c r="E266" s="212" t="str">
        <f t="shared" ca="1" si="269"/>
        <v>Industrial heating technology Other SH - Gas boiler (Steam - condensing) - new 2</v>
      </c>
      <c r="F266" s="262" t="s">
        <v>450</v>
      </c>
      <c r="G266" s="262" t="s">
        <v>449</v>
      </c>
      <c r="H266" s="261"/>
      <c r="I266" s="261"/>
      <c r="J266" s="264" t="s">
        <v>469</v>
      </c>
    </row>
    <row r="267" spans="1:10">
      <c r="B267" s="212"/>
      <c r="C267" s="212"/>
      <c r="D267" s="212" t="str">
        <f t="shared" ca="1" si="268"/>
        <v>INDODPHGASN3</v>
      </c>
      <c r="E267" s="212" t="str">
        <f t="shared" ca="1" si="269"/>
        <v>Industrial heating technology Other PH - Gas boiler (Hot Water) - new 3</v>
      </c>
      <c r="F267" s="262" t="s">
        <v>450</v>
      </c>
      <c r="G267" s="262" t="s">
        <v>449</v>
      </c>
      <c r="H267" s="261"/>
      <c r="I267" s="261"/>
      <c r="J267" s="264" t="s">
        <v>469</v>
      </c>
    </row>
    <row r="268" spans="1:10">
      <c r="B268" s="212"/>
      <c r="C268" s="212"/>
      <c r="D268" s="212" t="str">
        <f t="shared" ca="1" si="268"/>
        <v>INDODSHGASN3</v>
      </c>
      <c r="E268" s="212" t="str">
        <f t="shared" ca="1" si="269"/>
        <v>Industrial heating technology Other SH - Gas boiler (Hot Water) - new 3</v>
      </c>
      <c r="F268" s="262" t="s">
        <v>450</v>
      </c>
      <c r="G268" s="262" t="s">
        <v>449</v>
      </c>
      <c r="H268" s="261"/>
      <c r="I268" s="261"/>
      <c r="J268" s="264" t="s">
        <v>469</v>
      </c>
    </row>
    <row r="269" spans="1:10">
      <c r="B269" s="212"/>
      <c r="C269" s="212"/>
      <c r="D269" s="212" t="str">
        <f t="shared" ca="1" si="268"/>
        <v>INDODPHGASN4</v>
      </c>
      <c r="E269" s="212" t="str">
        <f t="shared" ca="1" si="269"/>
        <v>Industrial heating technology Other PH - Gas boiler (Hot Water - condensing) - new 4</v>
      </c>
      <c r="F269" s="262" t="s">
        <v>450</v>
      </c>
      <c r="G269" s="262" t="s">
        <v>449</v>
      </c>
      <c r="H269" s="261"/>
      <c r="I269" s="261"/>
      <c r="J269" s="264" t="s">
        <v>469</v>
      </c>
    </row>
    <row r="270" spans="1:10">
      <c r="B270" s="212"/>
      <c r="C270" s="212"/>
      <c r="D270" s="212" t="str">
        <f t="shared" ca="1" si="268"/>
        <v>INDODSHGASN4</v>
      </c>
      <c r="E270" s="212" t="str">
        <f t="shared" ca="1" si="269"/>
        <v>Industrial heating technology Other SH - Gas boiler (Hot Water- condensing) - new 4</v>
      </c>
      <c r="F270" s="262" t="s">
        <v>450</v>
      </c>
      <c r="G270" s="262" t="s">
        <v>449</v>
      </c>
      <c r="H270" s="261"/>
      <c r="I270" s="261"/>
      <c r="J270" s="264" t="s">
        <v>469</v>
      </c>
    </row>
    <row r="271" spans="1:10">
      <c r="B271" s="212"/>
      <c r="C271" s="212"/>
      <c r="D271" s="212" t="str">
        <f t="shared" ca="1" si="268"/>
        <v>INDODPHGASN5</v>
      </c>
      <c r="E271" s="212" t="str">
        <f t="shared" ca="1" si="269"/>
        <v>Industrial heating technology Other PH - Gas boiler (Direct firing) - new 5</v>
      </c>
      <c r="F271" s="262" t="s">
        <v>450</v>
      </c>
      <c r="G271" s="262" t="s">
        <v>449</v>
      </c>
      <c r="H271" s="261"/>
      <c r="I271" s="261"/>
      <c r="J271" s="264" t="s">
        <v>469</v>
      </c>
    </row>
    <row r="272" spans="1:10">
      <c r="B272" s="212"/>
      <c r="C272" s="212"/>
      <c r="D272" s="212" t="str">
        <f t="shared" ca="1" si="268"/>
        <v>INDODPHGASN5</v>
      </c>
      <c r="E272" s="212" t="str">
        <f t="shared" ca="1" si="269"/>
        <v>Industrial heating technology Other PH - Gas boiler (Direct firing) - new 5</v>
      </c>
      <c r="F272" s="262" t="s">
        <v>450</v>
      </c>
      <c r="G272" s="262" t="s">
        <v>449</v>
      </c>
      <c r="H272" s="261"/>
      <c r="I272" s="261"/>
      <c r="J272" s="264" t="s">
        <v>469</v>
      </c>
    </row>
    <row r="273" spans="2:10">
      <c r="B273" s="212"/>
      <c r="C273" s="212"/>
      <c r="D273" s="212" t="str">
        <f t="shared" ca="1" si="268"/>
        <v>INDODPHCOAN1</v>
      </c>
      <c r="E273" s="212" t="str">
        <f t="shared" ca="1" si="269"/>
        <v>Industrial heating technology Other PH - Coal boiler (Steam) - new 1</v>
      </c>
      <c r="F273" s="262" t="s">
        <v>450</v>
      </c>
      <c r="G273" s="262" t="s">
        <v>449</v>
      </c>
      <c r="H273" s="261"/>
      <c r="I273" s="261"/>
      <c r="J273" s="264" t="s">
        <v>469</v>
      </c>
    </row>
    <row r="274" spans="2:10">
      <c r="B274" s="212"/>
      <c r="C274" s="212"/>
      <c r="D274" s="212" t="str">
        <f t="shared" ca="1" si="268"/>
        <v>INDODPHCOAN1</v>
      </c>
      <c r="E274" s="212" t="str">
        <f t="shared" ca="1" si="269"/>
        <v>Industrial heating technology Other PH - Coal boiler (Steam) - new 1</v>
      </c>
      <c r="F274" s="262" t="s">
        <v>450</v>
      </c>
      <c r="G274" s="262" t="s">
        <v>449</v>
      </c>
      <c r="H274" s="261"/>
      <c r="I274" s="261"/>
      <c r="J274" s="264" t="s">
        <v>469</v>
      </c>
    </row>
    <row r="275" spans="2:10">
      <c r="B275" s="212"/>
      <c r="C275" s="212"/>
      <c r="D275" s="212" t="str">
        <f t="shared" ca="1" si="268"/>
        <v>INDODSHCOAN1</v>
      </c>
      <c r="E275" s="212" t="str">
        <f t="shared" ca="1" si="269"/>
        <v>Industrial heating technology Other SH - Coal boiler (Steam) - new 1</v>
      </c>
      <c r="F275" s="262" t="s">
        <v>450</v>
      </c>
      <c r="G275" s="262" t="s">
        <v>449</v>
      </c>
      <c r="H275" s="261"/>
      <c r="I275" s="261"/>
      <c r="J275" s="264" t="s">
        <v>469</v>
      </c>
    </row>
    <row r="276" spans="2:10">
      <c r="B276" s="212"/>
      <c r="C276" s="212"/>
      <c r="D276" s="212" t="str">
        <f t="shared" ca="1" si="268"/>
        <v>INDODPHCOAN2</v>
      </c>
      <c r="E276" s="212" t="str">
        <f t="shared" ca="1" si="269"/>
        <v>Industrial heating technology Other PH - Coal boiler (Hot Water) - new 2</v>
      </c>
      <c r="F276" s="262" t="s">
        <v>450</v>
      </c>
      <c r="G276" s="262" t="s">
        <v>449</v>
      </c>
      <c r="H276" s="261"/>
      <c r="I276" s="261"/>
      <c r="J276" s="264" t="s">
        <v>469</v>
      </c>
    </row>
    <row r="277" spans="2:10">
      <c r="B277" s="212"/>
      <c r="C277" s="212"/>
      <c r="D277" s="212" t="str">
        <f t="shared" ca="1" si="268"/>
        <v>INDODSHCOAN2</v>
      </c>
      <c r="E277" s="212" t="str">
        <f t="shared" ca="1" si="269"/>
        <v>Industrial heating technology Other SH - Coal boiler (Hot Water) - new 2</v>
      </c>
      <c r="F277" s="262" t="s">
        <v>450</v>
      </c>
      <c r="G277" s="262" t="s">
        <v>449</v>
      </c>
      <c r="H277" s="261"/>
      <c r="I277" s="261"/>
      <c r="J277" s="264" t="s">
        <v>469</v>
      </c>
    </row>
    <row r="278" spans="2:10">
      <c r="B278" s="212"/>
      <c r="C278" s="212"/>
      <c r="D278" s="212" t="str">
        <f t="shared" ca="1" si="268"/>
        <v>INDODSHSOLN1</v>
      </c>
      <c r="E278" s="212" t="str">
        <f t="shared" ca="1" si="269"/>
        <v>Industrial heating technology Other SH - Solar - new 1</v>
      </c>
      <c r="F278" s="262" t="s">
        <v>450</v>
      </c>
      <c r="G278" s="262" t="s">
        <v>449</v>
      </c>
      <c r="H278" s="263" t="s">
        <v>620</v>
      </c>
      <c r="I278" s="261"/>
      <c r="J278" s="264" t="s">
        <v>469</v>
      </c>
    </row>
    <row r="279" spans="2:10">
      <c r="B279" s="212"/>
      <c r="C279" s="212"/>
      <c r="D279" s="889" t="str">
        <f>D187</f>
        <v>INDODSHHCEN1</v>
      </c>
      <c r="E279" s="889" t="str">
        <f t="shared" si="269"/>
        <v>Industrial heating technology Other SH - central district heating - within DH area - new 1</v>
      </c>
      <c r="F279" s="262" t="s">
        <v>450</v>
      </c>
      <c r="G279" s="262" t="s">
        <v>449</v>
      </c>
      <c r="H279" s="890"/>
      <c r="I279" s="890"/>
      <c r="J279" s="263" t="s">
        <v>469</v>
      </c>
    </row>
    <row r="280" spans="2:10">
      <c r="B280" s="212"/>
      <c r="C280" s="212"/>
      <c r="D280" s="889" t="str">
        <f>D188</f>
        <v>INDODPHHCEN1</v>
      </c>
      <c r="E280" s="889" t="str">
        <f t="shared" si="269"/>
        <v>Industrial heating technology Other PH - central district heating - within DH area - new 1</v>
      </c>
      <c r="F280" s="262" t="s">
        <v>450</v>
      </c>
      <c r="G280" s="262" t="s">
        <v>449</v>
      </c>
      <c r="H280" s="890"/>
      <c r="I280" s="890"/>
      <c r="J280" s="263" t="s">
        <v>469</v>
      </c>
    </row>
    <row r="281" spans="2:10">
      <c r="B281" s="212"/>
      <c r="C281" s="212"/>
      <c r="D281" s="889" t="str">
        <f>D189</f>
        <v>INDODSHHSEN1</v>
      </c>
      <c r="E281" s="889" t="str">
        <f t="shared" si="269"/>
        <v>Industrial heating technology Other SH - central district heating - within DH area - new 1</v>
      </c>
      <c r="F281" s="262" t="s">
        <v>450</v>
      </c>
      <c r="G281" s="262" t="s">
        <v>449</v>
      </c>
      <c r="H281" s="890"/>
      <c r="I281" s="890"/>
      <c r="J281" s="263" t="s">
        <v>469</v>
      </c>
    </row>
    <row r="282" spans="2:10">
      <c r="B282" s="212"/>
      <c r="C282" s="212"/>
      <c r="D282" s="889" t="str">
        <f>D190</f>
        <v>INDODPHHSEN1</v>
      </c>
      <c r="E282" s="889" t="str">
        <f t="shared" si="269"/>
        <v>Industrial heating technology Other PH - central district heating - within DH area - new 1</v>
      </c>
      <c r="F282" s="262" t="s">
        <v>450</v>
      </c>
      <c r="G282" s="262" t="s">
        <v>449</v>
      </c>
      <c r="H282" s="890"/>
      <c r="I282" s="890"/>
      <c r="J282" s="263" t="s">
        <v>469</v>
      </c>
    </row>
    <row r="283" spans="2:10">
      <c r="B283" s="212"/>
      <c r="C283" s="212"/>
      <c r="D283" s="212" t="str">
        <f t="shared" ref="D283" si="270">D191</f>
        <v>INDODSHHDEN1</v>
      </c>
      <c r="E283" s="212" t="str">
        <f t="shared" si="269"/>
        <v>Industrial heating technology Other SH - decentral district heating - within DH area - new 1</v>
      </c>
      <c r="F283" s="262" t="s">
        <v>450</v>
      </c>
      <c r="G283" s="262" t="s">
        <v>449</v>
      </c>
      <c r="H283" s="261"/>
      <c r="I283" s="261"/>
      <c r="J283" s="264" t="s">
        <v>469</v>
      </c>
    </row>
    <row r="284" spans="2:10">
      <c r="B284" s="212"/>
      <c r="C284" s="212"/>
      <c r="D284" s="212" t="str">
        <f>D192</f>
        <v>INDODPHHDEN1</v>
      </c>
      <c r="E284" s="212" t="str">
        <f t="shared" si="269"/>
        <v>Industrial heating technology Other PH - decentral district heating - within DH area - new 1</v>
      </c>
      <c r="F284" s="262" t="s">
        <v>450</v>
      </c>
      <c r="G284" s="262" t="s">
        <v>449</v>
      </c>
      <c r="H284" s="261"/>
      <c r="I284" s="261"/>
      <c r="J284" s="264" t="s">
        <v>469</v>
      </c>
    </row>
    <row r="285" spans="2:10">
      <c r="B285" s="212"/>
      <c r="C285" s="212"/>
      <c r="D285" s="212" t="str">
        <f>D194</f>
        <v>INDODLAELCN1</v>
      </c>
      <c r="E285" s="212" t="str">
        <f t="shared" si="269"/>
        <v>Industry Other LA Electricity Light Appliance - New 1</v>
      </c>
      <c r="F285" s="262" t="s">
        <v>450</v>
      </c>
      <c r="G285" s="262" t="s">
        <v>449</v>
      </c>
      <c r="H285" s="261"/>
      <c r="I285" s="261"/>
      <c r="J285" s="264" t="s">
        <v>469</v>
      </c>
    </row>
    <row r="286" spans="2:10">
      <c r="B286" s="212"/>
      <c r="C286" s="212"/>
      <c r="D286" s="212" t="str">
        <f>D198</f>
        <v>INDODEMELCN1</v>
      </c>
      <c r="E286" s="212" t="str">
        <f t="shared" si="269"/>
        <v>Industry Other EM Electricity Motors - New 1</v>
      </c>
      <c r="F286" s="262" t="s">
        <v>450</v>
      </c>
      <c r="G286" s="262" t="s">
        <v>449</v>
      </c>
      <c r="H286" s="261"/>
      <c r="I286" s="261"/>
      <c r="J286" s="264" t="s">
        <v>469</v>
      </c>
    </row>
    <row r="287" spans="2:10">
      <c r="B287" s="212"/>
      <c r="C287" s="212"/>
      <c r="D287" s="212" t="str">
        <f>D202</f>
        <v>INDODTFDSLN1</v>
      </c>
      <c r="E287" s="212" t="str">
        <f t="shared" si="269"/>
        <v>Industry Other TF Tractors, Trucks, Fishing boats - New 1</v>
      </c>
      <c r="F287" s="262" t="s">
        <v>450</v>
      </c>
      <c r="G287" s="262" t="s">
        <v>2078</v>
      </c>
      <c r="H287" s="261"/>
      <c r="I287" s="261"/>
      <c r="J287" s="264" t="s">
        <v>469</v>
      </c>
    </row>
    <row r="288" spans="2:10">
      <c r="B288" s="212"/>
      <c r="C288" s="212"/>
      <c r="D288" s="212" t="str">
        <f>D206</f>
        <v>INDODTFH2GN2</v>
      </c>
      <c r="E288" s="212" t="str">
        <f t="shared" si="269"/>
        <v>Industry Other TF Tractors, Trucks, Fishing boats - New 2</v>
      </c>
      <c r="F288" s="262" t="s">
        <v>450</v>
      </c>
      <c r="G288" s="262" t="s">
        <v>2078</v>
      </c>
      <c r="H288" s="261"/>
      <c r="I288" s="261"/>
      <c r="J288" s="264" t="s">
        <v>469</v>
      </c>
    </row>
    <row r="289" spans="2:10">
      <c r="B289" s="212"/>
      <c r="C289" s="212"/>
      <c r="D289" s="212" t="str">
        <f>D210</f>
        <v>INDODTFELCN3</v>
      </c>
      <c r="E289" s="212" t="str">
        <f t="shared" si="269"/>
        <v>Industry Other TF Tractors, Trucks, Fishing boats - New 3</v>
      </c>
      <c r="F289" s="262" t="s">
        <v>450</v>
      </c>
      <c r="G289" s="262" t="s">
        <v>2078</v>
      </c>
      <c r="H289" s="261"/>
      <c r="I289" s="261"/>
      <c r="J289" s="264" t="s">
        <v>469</v>
      </c>
    </row>
    <row r="290" spans="2:10">
      <c r="B290" s="212"/>
      <c r="C290" s="212"/>
      <c r="D290" s="212" t="str">
        <f>D214</f>
        <v>INDODFLSYNN1</v>
      </c>
      <c r="E290" s="212" t="str">
        <f t="shared" si="269"/>
        <v>Industry Other TF Forklifts - New 1</v>
      </c>
      <c r="F290" s="262" t="s">
        <v>450</v>
      </c>
      <c r="G290" s="262" t="s">
        <v>449</v>
      </c>
      <c r="H290" s="261"/>
      <c r="I290" s="261"/>
      <c r="J290" s="264" t="s">
        <v>469</v>
      </c>
    </row>
    <row r="291" spans="2:10">
      <c r="B291" s="212"/>
      <c r="C291" s="212"/>
      <c r="D291" s="212" t="str">
        <f>D218</f>
        <v>INDODCOELCN1</v>
      </c>
      <c r="E291" s="212" t="str">
        <f>E218</f>
        <v>Industry Other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IODSOx</v>
      </c>
      <c r="E296" s="270" t="str">
        <f>"Industrial heating  heating technology "&amp;$AJ$12&amp;" - SOx emission"</f>
        <v>Industrial heating  heating technology Other - SOx emission</v>
      </c>
      <c r="F296" s="219" t="s">
        <v>352</v>
      </c>
      <c r="G296" s="211"/>
      <c r="H296" s="211"/>
      <c r="I296" s="211"/>
      <c r="J296" s="211"/>
    </row>
    <row r="297" spans="2:10">
      <c r="B297" s="214"/>
      <c r="C297" s="214"/>
      <c r="D297" s="260" t="str">
        <f>"I"&amp;LEFT($AJ$12,1)&amp;"DNOx"</f>
        <v>IODNOx</v>
      </c>
      <c r="E297" s="270" t="str">
        <f>"Industrial heating  heating technology "&amp;$AJ$12&amp;" - NOx emission"</f>
        <v>Industrial heating  heating technology Other - NOx emission</v>
      </c>
      <c r="F297" s="219" t="s">
        <v>352</v>
      </c>
      <c r="G297" s="211"/>
      <c r="H297" s="214"/>
      <c r="I297" s="214"/>
      <c r="J297" s="214"/>
    </row>
    <row r="298" spans="2:10">
      <c r="B298" s="214"/>
      <c r="C298" s="214"/>
      <c r="D298" s="260" t="str">
        <f>"I"&amp;LEFT($AJ$12,1)&amp;"DCH4"</f>
        <v>IODCH4</v>
      </c>
      <c r="E298" s="270" t="str">
        <f>"Industrial heating  heating technology "&amp;$AJ$12&amp;" - CH4 emission"</f>
        <v>Industrial heating  heating technology Other - CH4 emission</v>
      </c>
      <c r="F298" s="219" t="s">
        <v>352</v>
      </c>
      <c r="G298" s="211"/>
      <c r="H298" s="214"/>
      <c r="I298" s="214"/>
      <c r="J298" s="214"/>
    </row>
    <row r="299" spans="2:10">
      <c r="B299" s="214"/>
      <c r="C299" s="214"/>
      <c r="D299" s="260" t="str">
        <f>"I"&amp;LEFT($AJ$12,1)&amp;"DNO2"</f>
        <v>IODNO2</v>
      </c>
      <c r="E299" s="270" t="str">
        <f>"Industrial heating  heating technology "&amp;$AJ$12&amp;" - NO2 emission"</f>
        <v>Industrial heating  heating technology Other - NO2 emission</v>
      </c>
      <c r="F299" s="219" t="s">
        <v>352</v>
      </c>
      <c r="G299" s="211"/>
      <c r="H299" s="214"/>
      <c r="I299" s="214"/>
      <c r="J299" s="214"/>
    </row>
    <row r="300" spans="2:10">
      <c r="B300" s="214"/>
      <c r="C300" s="214"/>
      <c r="D300" s="260" t="str">
        <f>"I"&amp;LEFT($AJ$12,1)&amp;"DPM"</f>
        <v>IODPM</v>
      </c>
      <c r="E300" s="270" t="str">
        <f>"Industrial heating  heating technology "&amp;$AJ$12&amp;" - Particle emission"</f>
        <v>Industrial heating  heating technology Other - Particle emission</v>
      </c>
      <c r="F300" s="219" t="s">
        <v>352</v>
      </c>
      <c r="G300" s="211"/>
      <c r="H300" s="214"/>
      <c r="I300" s="214"/>
      <c r="J300" s="214"/>
    </row>
    <row r="301" spans="2:10">
      <c r="B301" s="224" t="s">
        <v>1057</v>
      </c>
      <c r="D301" s="224" t="str">
        <f>AI20</f>
        <v>INDOWH</v>
      </c>
      <c r="E301" s="270" t="str">
        <f>"Industrial heating technology "&amp;$AJ$12&amp;" - Waste heat"</f>
        <v>Industrial heating technology Other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713A1C-4A00-4FAF-BC1C-CBDFE8F01AD6}">
          <x14:formula1>
            <xm:f>'Oil-fired boiler_NEW'!$T$4:$X$4</xm:f>
          </x14:formula1>
          <xm:sqref>E1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5CB2D-FFD3-4070-83C7-083FC5BBB422}">
  <sheetPr>
    <tabColor rgb="FF00B050"/>
  </sheetPr>
  <dimension ref="A1:AP301"/>
  <sheetViews>
    <sheetView topLeftCell="AH6"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717</v>
      </c>
      <c r="N1" s="64"/>
      <c r="O1" s="64"/>
      <c r="P1" s="64"/>
      <c r="S1" s="727" t="s">
        <v>1004</v>
      </c>
      <c r="T1" s="776" t="s">
        <v>1003</v>
      </c>
      <c r="U1" s="775" t="s">
        <v>1053</v>
      </c>
      <c r="V1" s="776" t="s">
        <v>1054</v>
      </c>
      <c r="W1" s="780">
        <v>0.3</v>
      </c>
    </row>
    <row r="2" spans="2:42" ht="16" thickBot="1">
      <c r="E2" s="730" t="s">
        <v>696</v>
      </c>
      <c r="N2" s="731"/>
      <c r="O2" s="731"/>
      <c r="P2" s="731"/>
      <c r="S2" s="726">
        <f>MATCH($E$1,$AJ$22:$AJ$35)</f>
        <v>9</v>
      </c>
      <c r="T2" s="778">
        <f>MATCH($E$1,$AJ$22:$AJ$35)+1</f>
        <v>10</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INDIDPHELCN1</v>
      </c>
      <c r="E9" s="261" t="str">
        <f>"Industrial heating technology "&amp;$AJ$12&amp;" "&amp;RIGHT(H9,2)&amp;" - Heat pump utilizing waste heat - new 1"</f>
        <v>Industrial heating technology Mining PH - Heat pump utilizing waste heat - new 1</v>
      </c>
      <c r="F9" s="224" t="s">
        <v>1149</v>
      </c>
      <c r="G9" s="173" t="s">
        <v>499</v>
      </c>
      <c r="H9" s="174" t="str">
        <f>$AI$14</f>
        <v>IIDPH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INDIWH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IIDPH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INDIWH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Mining</v>
      </c>
    </row>
    <row r="13" spans="2:42">
      <c r="B13" s="357" t="s">
        <v>998</v>
      </c>
      <c r="D13" s="212"/>
      <c r="E13" s="212"/>
      <c r="F13" s="224" t="s">
        <v>1149</v>
      </c>
      <c r="G13" s="173" t="s">
        <v>499</v>
      </c>
      <c r="H13" s="174" t="str">
        <f>$AI$14</f>
        <v>IIDPH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IIDPH</v>
      </c>
      <c r="AJ13" s="224" t="str">
        <f>AP14</f>
        <v>Mining Demand Heat High Temp. over 150C</v>
      </c>
      <c r="AO13" s="224" t="s">
        <v>2093</v>
      </c>
      <c r="AP13" s="224" t="s">
        <v>1212</v>
      </c>
    </row>
    <row r="14" spans="2:42">
      <c r="B14" s="357" t="s">
        <v>998</v>
      </c>
      <c r="D14" s="212"/>
      <c r="E14" s="212"/>
      <c r="F14" s="224" t="s">
        <v>1149</v>
      </c>
      <c r="G14" s="173" t="str">
        <f>$AI$20</f>
        <v>INDIWH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IIDPH</v>
      </c>
      <c r="AJ14" s="224" t="str">
        <f>AP13</f>
        <v>Mining Demand Heat Medium Temp. up to 150C</v>
      </c>
      <c r="AO14" s="224" t="s">
        <v>2093</v>
      </c>
      <c r="AP14" s="224" t="s">
        <v>1213</v>
      </c>
    </row>
    <row r="15" spans="2:42">
      <c r="B15" s="357" t="s">
        <v>998</v>
      </c>
      <c r="D15" s="212" t="str">
        <f>"IND"&amp;RIGHT(H15,4)&amp;RIGHT(G15,3)&amp;"N"&amp;RIGHT(E15,1)</f>
        <v>INDIDSHELCN1</v>
      </c>
      <c r="E15" s="261" t="str">
        <f>"Industrial heating technology "&amp;$AJ$12&amp;" "&amp;RIGHT(H15,2)&amp;" - Heat pump utilizing waste heat - new 1"</f>
        <v>Industrial heating technology Mining SH - Heat pump utilizing waste heat - new 1</v>
      </c>
      <c r="F15" s="224" t="s">
        <v>1149</v>
      </c>
      <c r="G15" s="173" t="s">
        <v>499</v>
      </c>
      <c r="H15" s="174" t="str">
        <f>$AI$15</f>
        <v>IIDSH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IIDSH</v>
      </c>
      <c r="AJ15" s="224" t="str">
        <f>AP15</f>
        <v>Mining Demand Heat Room Heat</v>
      </c>
      <c r="AO15" s="224" t="s">
        <v>2094</v>
      </c>
      <c r="AP15" s="224" t="s">
        <v>1214</v>
      </c>
    </row>
    <row r="16" spans="2:42">
      <c r="B16" s="357" t="s">
        <v>998</v>
      </c>
      <c r="D16" s="212"/>
      <c r="E16" s="261"/>
      <c r="F16" s="224" t="s">
        <v>1149</v>
      </c>
      <c r="G16" s="173" t="str">
        <f>$AI$20</f>
        <v>INDIWH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IIDLA</v>
      </c>
      <c r="AJ16" s="224" t="str">
        <f t="shared" si="0"/>
        <v>Mining Demand Light</v>
      </c>
      <c r="AO16" s="224" t="s">
        <v>1215</v>
      </c>
      <c r="AP16" s="224" t="s">
        <v>1216</v>
      </c>
    </row>
    <row r="17" spans="2:42">
      <c r="B17" s="357" t="s">
        <v>998</v>
      </c>
      <c r="D17" s="212"/>
      <c r="E17" s="212"/>
      <c r="F17" s="224" t="s">
        <v>1149</v>
      </c>
      <c r="G17" s="173" t="s">
        <v>499</v>
      </c>
      <c r="H17" s="174" t="str">
        <f>$AI$15</f>
        <v>IIDSH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IIDEM</v>
      </c>
      <c r="AJ17" s="224" t="str">
        <f t="shared" si="0"/>
        <v>Mining Demand Electric Motors</v>
      </c>
      <c r="AO17" s="224" t="s">
        <v>1217</v>
      </c>
      <c r="AP17" s="224" t="s">
        <v>1218</v>
      </c>
    </row>
    <row r="18" spans="2:42">
      <c r="B18" s="357" t="s">
        <v>998</v>
      </c>
      <c r="D18" s="212"/>
      <c r="E18" s="212"/>
      <c r="F18" s="224" t="s">
        <v>1149</v>
      </c>
      <c r="G18" s="173" t="str">
        <f>$AI$20</f>
        <v>INDIWH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IIDTF</v>
      </c>
      <c r="AJ18" s="224" t="str">
        <f t="shared" si="0"/>
        <v>Mining Demand Haulage Tractors, Trucks, Fishing boats, Forest machines</v>
      </c>
      <c r="AO18" s="224" t="s">
        <v>1219</v>
      </c>
      <c r="AP18" s="224" t="s">
        <v>1220</v>
      </c>
    </row>
    <row r="19" spans="2:42">
      <c r="B19" s="357" t="s">
        <v>998</v>
      </c>
      <c r="D19" s="212"/>
      <c r="E19" s="212"/>
      <c r="F19" s="224" t="s">
        <v>1149</v>
      </c>
      <c r="G19" s="173" t="s">
        <v>499</v>
      </c>
      <c r="H19" s="174" t="str">
        <f>$AI$15</f>
        <v>IIDSH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IIDFL</v>
      </c>
      <c r="AJ19" s="224" t="str">
        <f t="shared" si="0"/>
        <v>Mining Demand Haulage Forklifts</v>
      </c>
      <c r="AO19" s="224" t="s">
        <v>1221</v>
      </c>
      <c r="AP19" s="224" t="s">
        <v>1222</v>
      </c>
    </row>
    <row r="20" spans="2:42">
      <c r="B20" s="357" t="s">
        <v>998</v>
      </c>
      <c r="D20" s="212"/>
      <c r="E20" s="212"/>
      <c r="F20" s="224" t="s">
        <v>1149</v>
      </c>
      <c r="G20" s="173" t="str">
        <f>$AI$20</f>
        <v>INDIWH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INDIWH</v>
      </c>
      <c r="AJ20" s="224" t="str">
        <f>$AJ$12&amp;" Industrial Waste Heat"</f>
        <v>Mining Industrial Waste Heat</v>
      </c>
    </row>
    <row r="21" spans="2:42">
      <c r="B21" s="357" t="s">
        <v>999</v>
      </c>
      <c r="D21" s="212" t="str">
        <f>"IND"&amp;RIGHT(H21,4)&amp;RIGHT(G21,3)&amp;"N"&amp;RIGHT(E21,1)</f>
        <v>INDIDPHELCN2</v>
      </c>
      <c r="E21" s="261" t="str">
        <f>"Industrial heating technology "&amp;$AJ$12&amp;" "&amp;RIGHT(H21,2)&amp;" - Heat driven heat pump utilizing waste heat - new 2"</f>
        <v>Industrial heating technology Mining PH - Heat driven heat pump utilizing waste heat - new 2</v>
      </c>
      <c r="F21" s="224" t="s">
        <v>1149</v>
      </c>
      <c r="G21" s="173" t="s">
        <v>499</v>
      </c>
      <c r="H21" s="174" t="str">
        <f>$AI$14</f>
        <v>IIDPH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2114</v>
      </c>
      <c r="AJ21" s="224" t="s">
        <v>2113</v>
      </c>
    </row>
    <row r="22" spans="2:42">
      <c r="B22" s="357" t="s">
        <v>999</v>
      </c>
      <c r="D22" s="212"/>
      <c r="E22" s="261"/>
      <c r="F22" s="224" t="s">
        <v>1149</v>
      </c>
      <c r="G22" s="173" t="str">
        <f>$AI$20</f>
        <v>INDIWH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IIDPH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INDIWH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IIDPH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INDIWH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INDIDSHELCN2</v>
      </c>
      <c r="E27" s="261" t="str">
        <f>"Industrial heating technology "&amp;$AJ$12&amp;" "&amp;RIGHT(H27,2)&amp;" - Heat driven heat pump utilizing waste heat - new 2"</f>
        <v>Industrial heating technology Mining SH - Heat driven heat pump utilizing waste heat - new 2</v>
      </c>
      <c r="F27" s="224" t="s">
        <v>1149</v>
      </c>
      <c r="G27" s="173" t="s">
        <v>499</v>
      </c>
      <c r="H27" s="174" t="str">
        <f>$AI$15</f>
        <v>IIDSH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INDIWH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IIDSH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INDIWH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IIDSH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INDIWH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INDIDPHELCN3</v>
      </c>
      <c r="E33" s="261" t="str">
        <f>"Industrial heating technology "&amp;$AJ$12&amp;" "&amp;RIGHT(H33,2)&amp;" - High Temp abs. Heat pump utilizing waste heat - new 3"</f>
        <v>Industrial heating technology Mining PH - High Temp abs. Heat pump utilizing waste heat - new 3</v>
      </c>
      <c r="F33" s="224" t="s">
        <v>1149</v>
      </c>
      <c r="G33" s="173" t="s">
        <v>499</v>
      </c>
      <c r="H33" s="174" t="str">
        <f>$AI$14</f>
        <v>IIDPH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INDIWH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IIDPH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INDIWH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IIDPH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INDIWH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INDIDSHELCN3</v>
      </c>
      <c r="E39" s="261" t="str">
        <f>"Industrial heating technology "&amp;$AJ$12&amp;" "&amp;RIGHT(H39,2)&amp;" - High Temp abs. Heat pump utilizing waste heat - new 3"</f>
        <v>Industrial heating technology Mining SH - High Temp abs. Heat pump utilizing waste heat - new 3</v>
      </c>
      <c r="F39" s="224" t="s">
        <v>1149</v>
      </c>
      <c r="G39" s="173" t="s">
        <v>499</v>
      </c>
      <c r="H39" s="174" t="str">
        <f>$AI$15</f>
        <v>IIDSH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INDIWH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IIDSH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INDIWH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IIDSH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INDIWH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INDIDPHELCN4</v>
      </c>
      <c r="E45" s="261" t="str">
        <f>"Industrial heating technology "&amp;$AJ$12&amp;" "&amp;RIGHT(H45,2)&amp;" - Booster Heat pump utilizing waste heat - new 4"</f>
        <v>Industrial heating technology Mining PH - Booster Heat pump utilizing waste heat - new 4</v>
      </c>
      <c r="F45" s="224" t="s">
        <v>1149</v>
      </c>
      <c r="G45" s="173" t="s">
        <v>499</v>
      </c>
      <c r="H45" s="174" t="str">
        <f>$AI$14</f>
        <v>IIDPH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INDIWH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IIDPH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INDIWH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IIDPH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INDIWH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INDIDSHELCN4</v>
      </c>
      <c r="E51" s="261" t="str">
        <f>"Industrial heating technology "&amp;$AJ$12&amp;" "&amp;RIGHT(H51,2)&amp;" - Booster Heat pump utilizing waste heat - new 4"</f>
        <v>Industrial heating technology Mining SH - Booster Heat pump utilizing waste heat - new 4</v>
      </c>
      <c r="F51" s="224" t="s">
        <v>1149</v>
      </c>
      <c r="G51" s="173" t="s">
        <v>499</v>
      </c>
      <c r="H51" s="174" t="str">
        <f>$AI$15</f>
        <v>IIDSH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INDIWH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IIDSH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INDIWH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IIDSH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INDIWH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INDIDPHELCN5</v>
      </c>
      <c r="E57" s="261" t="str">
        <f>"Industrial heating technology "&amp;$AJ$12&amp;" "&amp;RIGHT(H57,2)&amp;" - MVR utilizing waste heat - new 5"</f>
        <v>Industrial heating technology Mining PH - MVR utilizing waste heat - new 5</v>
      </c>
      <c r="F57" s="224" t="s">
        <v>1149</v>
      </c>
      <c r="G57" s="173" t="s">
        <v>499</v>
      </c>
      <c r="H57" s="174" t="str">
        <f>$AI$14</f>
        <v>IIDPH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INDIWH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IIDPH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INDIWH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IIDPH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INDIWH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INDIDPHWSTN1</v>
      </c>
      <c r="E63" s="261" t="str">
        <f>"Industrial heating technology "&amp;$AJ$12&amp;" "&amp;RIGHT(H63,2)&amp;" - Hotdisc - new 1"</f>
        <v>Industrial heating technology Mining PH - Hotdisc - new 1</v>
      </c>
      <c r="F63" s="224" t="s">
        <v>1149</v>
      </c>
      <c r="G63" s="832" t="s">
        <v>1005</v>
      </c>
      <c r="H63" s="174" t="str">
        <f>$AI$13</f>
        <v>IIDPH</v>
      </c>
      <c r="I63" s="173" t="str">
        <f t="shared" ref="I63:I126" si="22">$AI$20</f>
        <v>INDIWH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INDIWH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INDIWH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INDIDPHELCN6</v>
      </c>
      <c r="E66" s="261" t="str">
        <f>"Industrial heating technology "&amp;$AJ$12&amp;" "&amp;RIGHT(H66,2)&amp;" - Dielectric heating - new 6"</f>
        <v>Industrial heating technology Mining PH - Dielectric heating - new 6</v>
      </c>
      <c r="F66" s="224" t="s">
        <v>1149</v>
      </c>
      <c r="G66" s="173" t="s">
        <v>499</v>
      </c>
      <c r="H66" s="174" t="str">
        <f>$AI$14</f>
        <v>IIDPH</v>
      </c>
      <c r="I66" s="173" t="str">
        <f t="shared" si="22"/>
        <v>INDIWH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INDIWH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INDIWH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INDIDPHELCN7</v>
      </c>
      <c r="E69" s="261" t="str">
        <f>"Industrial heating technology "&amp;$AJ$12&amp;" "&amp;RIGHT(H69,2)&amp;" - Infrared heating - new 7"</f>
        <v>Industrial heating technology Mining PH - Infrared heating - new 7</v>
      </c>
      <c r="F69" s="224" t="s">
        <v>1149</v>
      </c>
      <c r="G69" s="173" t="s">
        <v>499</v>
      </c>
      <c r="H69" s="174" t="str">
        <f>$AI$14</f>
        <v>IIDPH</v>
      </c>
      <c r="I69" s="173" t="str">
        <f t="shared" si="22"/>
        <v>INDIWH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INDIWH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INDIWH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INDIDPHELCN8</v>
      </c>
      <c r="E72" s="261" t="str">
        <f>"Industrial heating technology "&amp;$AJ$12&amp;" "&amp;RIGHT(H72,2)&amp;" - Electric boiler (Steam) - new 8"</f>
        <v>Industrial heating technology Mining PH - Electric boiler (Steam) - new 8</v>
      </c>
      <c r="F72" s="224" t="s">
        <v>1149</v>
      </c>
      <c r="G72" s="173" t="s">
        <v>499</v>
      </c>
      <c r="H72" s="174" t="str">
        <f>$AI$13</f>
        <v>IIDPH</v>
      </c>
      <c r="I72" s="174" t="str">
        <f t="shared" si="22"/>
        <v>INDIWH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INDIWH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INDIWH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INDIDPHELCN8</v>
      </c>
      <c r="E75" s="261" t="str">
        <f>"Industrial heating technology "&amp;$AJ$12&amp;" "&amp;RIGHT(H75,2)&amp;" - Electric boiler (Steam) - new 8"</f>
        <v>Industrial heating technology Mining PH - Electric boiler (Steam) - new 8</v>
      </c>
      <c r="F75" s="224" t="s">
        <v>1149</v>
      </c>
      <c r="G75" s="173" t="s">
        <v>499</v>
      </c>
      <c r="H75" s="174" t="str">
        <f>$AI$14</f>
        <v>IIDPH</v>
      </c>
      <c r="I75" s="174" t="str">
        <f t="shared" si="22"/>
        <v>INDIWH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INDIWH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INDIWH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INDIDSHELCN8</v>
      </c>
      <c r="E78" s="261" t="str">
        <f>"Industrial heating technology "&amp;$AJ$12&amp;" "&amp;RIGHT(H78,2)&amp;" - Electric boiler (Steam) - new 8"</f>
        <v>Industrial heating technology Mining SH - Electric boiler (Steam) - new 8</v>
      </c>
      <c r="F78" s="224" t="s">
        <v>1149</v>
      </c>
      <c r="G78" s="173" t="s">
        <v>499</v>
      </c>
      <c r="H78" s="174" t="str">
        <f>$AI$15</f>
        <v>IIDSH</v>
      </c>
      <c r="I78" s="174" t="str">
        <f t="shared" si="22"/>
        <v>INDIWH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INDIWH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INDIWH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INDIDPHELCN9</v>
      </c>
      <c r="E81" s="707" t="str">
        <f>"Industrial heating technology "&amp;$AJ$12&amp;" "&amp;RIGHT(H81,2)&amp;" - Electric boiler (Hot Water) - new 9"</f>
        <v>Industrial heating technology Mining PH - Electric boiler (Hot Water) - new 9</v>
      </c>
      <c r="F81" s="224" t="s">
        <v>1149</v>
      </c>
      <c r="G81" s="708" t="s">
        <v>499</v>
      </c>
      <c r="H81" s="708" t="str">
        <f>$AI$14</f>
        <v>IIDPH</v>
      </c>
      <c r="I81" s="708" t="str">
        <f t="shared" si="22"/>
        <v>INDIWH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INDIWH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INDIWH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INDIDSHELCN9</v>
      </c>
      <c r="E84" s="261" t="str">
        <f>"Industrial heating technology "&amp;$AJ$12&amp;" "&amp;RIGHT(H84,2)&amp;" - Electric boiler (Hot Water) - new 9"</f>
        <v>Industrial heating technology Mining SH - Electric boiler (Hot Water) - new 9</v>
      </c>
      <c r="F84" s="224" t="s">
        <v>1149</v>
      </c>
      <c r="G84" s="174" t="s">
        <v>499</v>
      </c>
      <c r="H84" s="174" t="str">
        <f>$AI$15</f>
        <v>IIDSH</v>
      </c>
      <c r="I84" s="174" t="str">
        <f t="shared" si="22"/>
        <v>INDIWH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INDIWH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INDIWH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INDIDPHWCHN1</v>
      </c>
      <c r="E87" s="261" t="str">
        <f>"Industrial heating technology "&amp;$AJ$12&amp;" "&amp;RIGHT(H87,2)&amp;" - Wood chip boiler (Steam) - new 1"</f>
        <v>Industrial heating technology Mining PH - Wood chip boiler (Steam) - new 1</v>
      </c>
      <c r="F87" s="224" t="s">
        <v>1149</v>
      </c>
      <c r="G87" s="173" t="s">
        <v>498</v>
      </c>
      <c r="H87" s="174" t="str">
        <f>$AI$13</f>
        <v>IIDPH</v>
      </c>
      <c r="I87" s="174" t="str">
        <f t="shared" si="22"/>
        <v>INDIWH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INDIWH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INDIWH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INDIDPHWCHN1</v>
      </c>
      <c r="E90" s="261" t="str">
        <f>"Industrial heating technology "&amp;$AJ$12&amp;" "&amp;RIGHT(H90,2)&amp;" - Wood chip boiler (Steam) - new 1"</f>
        <v>Industrial heating technology Mining PH - Wood chip boiler (Steam) - new 1</v>
      </c>
      <c r="F90" s="224" t="s">
        <v>1149</v>
      </c>
      <c r="G90" s="173" t="s">
        <v>498</v>
      </c>
      <c r="H90" s="174" t="str">
        <f>$AI$14</f>
        <v>IIDPH</v>
      </c>
      <c r="I90" s="174" t="str">
        <f t="shared" si="22"/>
        <v>INDIWH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INDIWH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INDIWH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INDIDSHWCHN1</v>
      </c>
      <c r="E93" s="261" t="str">
        <f>"Industrial heating technology "&amp;$AJ$12&amp;" "&amp;RIGHT(H93,2)&amp;" - Wood chip boiler (Steam) - new 1"</f>
        <v>Industrial heating technology Mining SH - Wood chip boiler (Steam) - new 1</v>
      </c>
      <c r="F93" s="224" t="s">
        <v>1149</v>
      </c>
      <c r="G93" s="173" t="s">
        <v>498</v>
      </c>
      <c r="H93" s="174" t="str">
        <f>$AI$15</f>
        <v>IIDSH</v>
      </c>
      <c r="I93" s="174" t="str">
        <f t="shared" si="22"/>
        <v>INDIWH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INDIWH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INDIWH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INDIDPHWCHN2</v>
      </c>
      <c r="E96" s="707" t="str">
        <f>"Industrial heating technology "&amp;$AJ$12&amp;" "&amp;RIGHT(H96,2)&amp;" - Wood chip boiler (Steam - condensing) - new 2"</f>
        <v>Industrial heating technology Mining PH - Wood chip boiler (Steam - condensing) - new 2</v>
      </c>
      <c r="F96" s="224" t="s">
        <v>1149</v>
      </c>
      <c r="G96" s="708" t="s">
        <v>498</v>
      </c>
      <c r="H96" s="708" t="str">
        <f>$AI$14</f>
        <v>IIDPH</v>
      </c>
      <c r="I96" s="708" t="str">
        <f t="shared" si="22"/>
        <v>INDIWH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INDIWH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INDIWH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INDIDSHWCHN2</v>
      </c>
      <c r="E99" s="261" t="str">
        <f>"Industrial heating technology "&amp;$AJ$12&amp;" "&amp;RIGHT(H99,2)&amp;" - Wood chip boiler (Steam - condensing) - new 2"</f>
        <v>Industrial heating technology Mining SH - Wood chip boiler (Steam - condensing) - new 2</v>
      </c>
      <c r="F99" s="224" t="s">
        <v>1149</v>
      </c>
      <c r="G99" s="174" t="s">
        <v>498</v>
      </c>
      <c r="H99" s="174" t="str">
        <f>$AI$15</f>
        <v>IIDSH</v>
      </c>
      <c r="I99" s="174" t="str">
        <f t="shared" si="22"/>
        <v>INDIWH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INDIWH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INDIWH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INDIDPHWCHN3</v>
      </c>
      <c r="E102" s="707" t="str">
        <f>"Industrial heating technology "&amp;$AJ$12&amp;" "&amp;RIGHT(H102,2)&amp;" - Wood chip boiler (Hot Water) - new 3"</f>
        <v>Industrial heating technology Mining PH - Wood chip boiler (Hot Water) - new 3</v>
      </c>
      <c r="F102" s="224" t="s">
        <v>1149</v>
      </c>
      <c r="G102" s="708" t="s">
        <v>498</v>
      </c>
      <c r="H102" s="708" t="str">
        <f>$AI$14</f>
        <v>IIDPH</v>
      </c>
      <c r="I102" s="708" t="str">
        <f t="shared" si="22"/>
        <v>INDIWH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INDIWH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INDIWH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INDIDSHWCHN3</v>
      </c>
      <c r="E105" s="261" t="str">
        <f>"Industrial heating technology "&amp;$AJ$12&amp;" "&amp;RIGHT(H105,2)&amp;" - Wood chip boiler (Hot Water) - new 3"</f>
        <v>Industrial heating technology Mining SH - Wood chip boiler (Hot Water) - new 3</v>
      </c>
      <c r="F105" s="224" t="s">
        <v>1149</v>
      </c>
      <c r="G105" s="174" t="s">
        <v>498</v>
      </c>
      <c r="H105" s="174" t="str">
        <f>$AI$15</f>
        <v>IIDSH</v>
      </c>
      <c r="I105" s="174" t="str">
        <f t="shared" si="22"/>
        <v>INDIWH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INDIWH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INDIWH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INDIDPHWCHN4</v>
      </c>
      <c r="E108" s="707" t="str">
        <f>"Industrial heating technology "&amp;$AJ$12&amp;" "&amp;RIGHT(H108,2)&amp;" - Wood chip boiler (Hot Water - condensing) - new 4"</f>
        <v>Industrial heating technology Mining PH - Wood chip boiler (Hot Water - condensing) - new 4</v>
      </c>
      <c r="F108" s="224" t="s">
        <v>1149</v>
      </c>
      <c r="G108" s="708" t="s">
        <v>498</v>
      </c>
      <c r="H108" s="708" t="str">
        <f>$AI$14</f>
        <v>IIDPH</v>
      </c>
      <c r="I108" s="708" t="str">
        <f t="shared" si="22"/>
        <v>INDIWH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INDIWH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INDIWH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INDIDSHWCHN4</v>
      </c>
      <c r="E111" s="261" t="str">
        <f>"Industrial heating technology "&amp;$AJ$12&amp;" "&amp;RIGHT(H111,2)&amp;" - Wood chip boiler (Hot Water- condensing) - new 4"</f>
        <v>Industrial heating technology Mining SH - Wood chip boiler (Hot Water- condensing) - new 4</v>
      </c>
      <c r="F111" s="224" t="s">
        <v>1149</v>
      </c>
      <c r="G111" s="174" t="s">
        <v>498</v>
      </c>
      <c r="H111" s="174" t="str">
        <f>$AI$15</f>
        <v>IIDSH</v>
      </c>
      <c r="I111" s="174" t="str">
        <f t="shared" si="22"/>
        <v>INDIWH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INDIWH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INDIWH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INDIDPHELCN10</v>
      </c>
      <c r="E114" s="261" t="str">
        <f>"Industrial heating technology "&amp;$AJ$12&amp;" "&amp;RIGHT(H114,2)&amp;" - Direct electric heating - new 10"</f>
        <v>Industrial heating technology Mining PH - Direct electric heating - new 10</v>
      </c>
      <c r="F114" s="224" t="s">
        <v>1149</v>
      </c>
      <c r="G114" s="173" t="s">
        <v>499</v>
      </c>
      <c r="H114" s="174" t="str">
        <f>$AI$13</f>
        <v>IIDPH</v>
      </c>
      <c r="I114" s="174" t="str">
        <f t="shared" si="22"/>
        <v>INDIWH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INDIWH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INDIWH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INDIDPHELCN10</v>
      </c>
      <c r="E117" s="261" t="str">
        <f>"Industrial heating technology "&amp;$AJ$12&amp;" "&amp;RIGHT(H117,2)&amp;" - Direct electric heating - new 10"</f>
        <v>Industrial heating technology Mining PH - Direct electric heating - new 10</v>
      </c>
      <c r="F117" s="224" t="s">
        <v>1149</v>
      </c>
      <c r="G117" s="173" t="s">
        <v>499</v>
      </c>
      <c r="H117" s="174" t="str">
        <f>$AI$14</f>
        <v>IIDPH</v>
      </c>
      <c r="I117" s="174" t="str">
        <f t="shared" si="22"/>
        <v>INDIWH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INDIWH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INDIWH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INDIDPHDSLN1</v>
      </c>
      <c r="E120" s="261" t="str">
        <f>"Industrial heating technology "&amp;$AJ$12&amp;" "&amp;RIGHT(H120,2)&amp;" - Oil boiler (Steam) - new 1"</f>
        <v>Industrial heating technology Mining PH - Oil boiler (Steam) - new 1</v>
      </c>
      <c r="F120" s="224" t="s">
        <v>1149</v>
      </c>
      <c r="G120" s="173" t="s">
        <v>2081</v>
      </c>
      <c r="H120" s="174" t="str">
        <f>$AI$13</f>
        <v>IIDPH</v>
      </c>
      <c r="I120" s="174" t="str">
        <f t="shared" si="22"/>
        <v>INDIWH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INDIWH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INDIWH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INDIDPHDSLN1</v>
      </c>
      <c r="E123" s="261" t="str">
        <f>"Industrial heating technology "&amp;$AJ$12&amp;" "&amp;RIGHT(H123,2)&amp;" - Oil boiler (Steam) - new 1"</f>
        <v>Industrial heating technology Mining PH - Oil boiler (Steam) - new 1</v>
      </c>
      <c r="F123" s="224" t="s">
        <v>1149</v>
      </c>
      <c r="G123" s="173" t="s">
        <v>2081</v>
      </c>
      <c r="H123" s="174" t="str">
        <f>$AI$14</f>
        <v>IIDPH</v>
      </c>
      <c r="I123" s="174" t="str">
        <f t="shared" si="22"/>
        <v>INDIWH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INDIWH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INDIWH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INDIDSHDSLN1</v>
      </c>
      <c r="E126" s="261" t="str">
        <f>"Industrial heating technology "&amp;$AJ$12&amp;" "&amp;RIGHT(H126,2)&amp;" - Oil boiler (Steam) - new 1"</f>
        <v>Industrial heating technology Mining SH - Oil boiler (Steam) - new 1</v>
      </c>
      <c r="F126" s="224" t="s">
        <v>1149</v>
      </c>
      <c r="G126" s="173" t="s">
        <v>2081</v>
      </c>
      <c r="H126" s="174" t="str">
        <f>$AI$15</f>
        <v>IIDSH</v>
      </c>
      <c r="I126" s="174" t="str">
        <f t="shared" si="22"/>
        <v>INDIWH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INDIWH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INDIWH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INDIDPHDSLN2</v>
      </c>
      <c r="E129" s="707" t="str">
        <f>"Industrial heating technology "&amp;$AJ$12&amp;" "&amp;RIGHT(H129,2)&amp;" - Oil boiler (Steam - condensing) - new 2"</f>
        <v>Industrial heating technology Mining PH - Oil boiler (Steam - condensing) - new 2</v>
      </c>
      <c r="F129" s="224" t="s">
        <v>1149</v>
      </c>
      <c r="G129" s="173" t="s">
        <v>2081</v>
      </c>
      <c r="H129" s="708" t="str">
        <f>$AI$14</f>
        <v>IIDPH</v>
      </c>
      <c r="I129" s="708" t="str">
        <f t="shared" si="143"/>
        <v>INDIWH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INDIWH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INDIWH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INDIDSHDSLN2</v>
      </c>
      <c r="E132" s="261" t="str">
        <f>"Industrial heating technology "&amp;$AJ$12&amp;" "&amp;RIGHT(H132,2)&amp;" - Oil boiler (Steam - condensing) - new 2"</f>
        <v>Industrial heating technology Mining SH - Oil boiler (Steam - condensing) - new 2</v>
      </c>
      <c r="F132" s="224" t="s">
        <v>1149</v>
      </c>
      <c r="G132" s="173" t="s">
        <v>2081</v>
      </c>
      <c r="H132" s="174" t="str">
        <f>$AI$15</f>
        <v>IIDSH</v>
      </c>
      <c r="I132" s="174" t="str">
        <f t="shared" si="143"/>
        <v>INDIWH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INDIWH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INDIWH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INDIDPHGASN1</v>
      </c>
      <c r="E135" s="261" t="str">
        <f>"Industrial heating technology "&amp;$AJ$12&amp;" "&amp;RIGHT(H135,2)&amp;" - Gas boiler (Steam) - new 1"</f>
        <v>Industrial heating technology Mining PH - Gas boiler (Steam) - new 1</v>
      </c>
      <c r="F135" s="224" t="s">
        <v>1149</v>
      </c>
      <c r="G135" s="173" t="s">
        <v>2080</v>
      </c>
      <c r="H135" s="174" t="str">
        <f>$AI$13</f>
        <v>IIDPH</v>
      </c>
      <c r="I135" s="174" t="str">
        <f t="shared" si="143"/>
        <v>INDIWH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INDIWH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INDIWH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INDIDPHGASN1</v>
      </c>
      <c r="E138" s="261" t="str">
        <f>"Industrial heating technology "&amp;$AJ$12&amp;" "&amp;RIGHT(H138,2)&amp;" - Gas boiler (Steam) - new 1"</f>
        <v>Industrial heating technology Mining PH - Gas boiler (Steam) - new 1</v>
      </c>
      <c r="F138" s="224" t="s">
        <v>1149</v>
      </c>
      <c r="G138" s="173" t="s">
        <v>2080</v>
      </c>
      <c r="H138" s="174" t="str">
        <f>$AI$14</f>
        <v>IIDPH</v>
      </c>
      <c r="I138" s="174" t="str">
        <f t="shared" si="143"/>
        <v>INDIWH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INDIWH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INDIWH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INDIDSHGASN1</v>
      </c>
      <c r="E141" s="261" t="str">
        <f>"Industrial heating technology "&amp;$AJ$12&amp;" "&amp;RIGHT(H141,2)&amp;" - Gas boiler (Steam) - new 1"</f>
        <v>Industrial heating technology Mining SH - Gas boiler (Steam) - new 1</v>
      </c>
      <c r="F141" s="224" t="s">
        <v>1149</v>
      </c>
      <c r="G141" s="173" t="s">
        <v>2080</v>
      </c>
      <c r="H141" s="174" t="str">
        <f>$AI$15</f>
        <v>IIDSH</v>
      </c>
      <c r="I141" s="174" t="str">
        <f t="shared" si="143"/>
        <v>INDIWH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INDIWH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INDIWH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INDIDPHGASN2</v>
      </c>
      <c r="E144" s="707" t="str">
        <f>"Industrial heating technology "&amp;$AJ$12&amp;" "&amp;RIGHT(H144,2)&amp;" - Gas boiler (Steam - condensing) - new 2"</f>
        <v>Industrial heating technology Mining PH - Gas boiler (Steam - condensing) - new 2</v>
      </c>
      <c r="F144" s="224" t="s">
        <v>1149</v>
      </c>
      <c r="G144" s="173" t="s">
        <v>2080</v>
      </c>
      <c r="H144" s="708" t="str">
        <f>$AI$14</f>
        <v>IIDPH</v>
      </c>
      <c r="I144" s="708" t="str">
        <f t="shared" si="143"/>
        <v>INDIWH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INDIWH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INDIWH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INDIDSHGASN2</v>
      </c>
      <c r="E147" s="261" t="str">
        <f>"Industrial heating technology "&amp;$AJ$12&amp;" "&amp;RIGHT(H147,2)&amp;" - Gas boiler (Steam - condensing) - new 2"</f>
        <v>Industrial heating technology Mining SH - Gas boiler (Steam - condensing) - new 2</v>
      </c>
      <c r="F147" s="224" t="s">
        <v>1149</v>
      </c>
      <c r="G147" s="173" t="s">
        <v>2080</v>
      </c>
      <c r="H147" s="174" t="str">
        <f>$AI$15</f>
        <v>IIDSH</v>
      </c>
      <c r="I147" s="174" t="str">
        <f t="shared" si="143"/>
        <v>INDIWH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INDIWH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INDIWH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INDIDPHGASN3</v>
      </c>
      <c r="E150" s="707" t="str">
        <f>"Industrial heating technology "&amp;$AJ$12&amp;" "&amp;RIGHT(H150,2)&amp;" - Gas boiler (Hot Water) - new 3"</f>
        <v>Industrial heating technology Mining PH - Gas boiler (Hot Water) - new 3</v>
      </c>
      <c r="F150" s="224" t="s">
        <v>1149</v>
      </c>
      <c r="G150" s="173" t="s">
        <v>2080</v>
      </c>
      <c r="H150" s="708" t="str">
        <f>$AI$14</f>
        <v>IIDPH</v>
      </c>
      <c r="I150" s="708" t="str">
        <f t="shared" si="143"/>
        <v>INDIWH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INDIWH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INDIWH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INDIDSHGASN3</v>
      </c>
      <c r="E153" s="261" t="str">
        <f>"Industrial heating technology "&amp;$AJ$12&amp;" "&amp;RIGHT(H153,2)&amp;" - Gas boiler (Hot Water) - new 3"</f>
        <v>Industrial heating technology Mining SH - Gas boiler (Hot Water) - new 3</v>
      </c>
      <c r="F153" s="224" t="s">
        <v>1149</v>
      </c>
      <c r="G153" s="173" t="s">
        <v>2080</v>
      </c>
      <c r="H153" s="174" t="str">
        <f>$AI$15</f>
        <v>IIDSH</v>
      </c>
      <c r="I153" s="174" t="str">
        <f t="shared" si="143"/>
        <v>INDIWH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INDIWH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INDIWH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INDIDPHGASN4</v>
      </c>
      <c r="E156" s="707" t="str">
        <f>"Industrial heating technology "&amp;$AJ$12&amp;" "&amp;RIGHT(H156,2)&amp;" - Gas boiler (Hot Water - condensing) - new 4"</f>
        <v>Industrial heating technology Mining PH - Gas boiler (Hot Water - condensing) - new 4</v>
      </c>
      <c r="F156" s="224" t="s">
        <v>1149</v>
      </c>
      <c r="G156" s="173" t="s">
        <v>2080</v>
      </c>
      <c r="H156" s="708" t="str">
        <f>$AI$14</f>
        <v>IIDPH</v>
      </c>
      <c r="I156" s="708" t="str">
        <f t="shared" si="143"/>
        <v>INDIWH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INDIWH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INDIWH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INDIDSHGASN4</v>
      </c>
      <c r="E159" s="261" t="str">
        <f>"Industrial heating technology "&amp;$AJ$12&amp;" "&amp;RIGHT(H159,2)&amp;" - Gas boiler (Hot Water- condensing) - new 4"</f>
        <v>Industrial heating technology Mining SH - Gas boiler (Hot Water- condensing) - new 4</v>
      </c>
      <c r="F159" s="224" t="s">
        <v>1149</v>
      </c>
      <c r="G159" s="173" t="s">
        <v>2080</v>
      </c>
      <c r="H159" s="174" t="str">
        <f>$AI$15</f>
        <v>IIDSH</v>
      </c>
      <c r="I159" s="174" t="str">
        <f t="shared" si="143"/>
        <v>INDIWH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INDIWH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INDIWH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INDIDPHGASN5</v>
      </c>
      <c r="E162" s="707" t="str">
        <f>"Industrial heating technology "&amp;$AJ$12&amp;" "&amp;RIGHT(H162,2)&amp;" - Gas boiler (Direct firing) - new 5"</f>
        <v>Industrial heating technology Mining PH - Gas boiler (Direct firing) - new 5</v>
      </c>
      <c r="F162" s="224" t="s">
        <v>1149</v>
      </c>
      <c r="G162" s="173" t="s">
        <v>2080</v>
      </c>
      <c r="H162" s="174" t="str">
        <f>$AI$13</f>
        <v>IIDPH</v>
      </c>
      <c r="I162" s="174" t="str">
        <f t="shared" si="143"/>
        <v>INDIWH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INDIWH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INDIWH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INDIDPHGASN5</v>
      </c>
      <c r="E165" s="261" t="str">
        <f>"Industrial heating technology "&amp;$AJ$12&amp;" "&amp;RIGHT(H165,2)&amp;" - Gas boiler (Direct firing) - new 5"</f>
        <v>Industrial heating technology Mining PH - Gas boiler (Direct firing) - new 5</v>
      </c>
      <c r="F165" s="224" t="s">
        <v>1149</v>
      </c>
      <c r="G165" s="173" t="s">
        <v>2080</v>
      </c>
      <c r="H165" s="174" t="str">
        <f>$AI$14</f>
        <v>IIDPH</v>
      </c>
      <c r="I165" s="721" t="str">
        <f t="shared" si="143"/>
        <v>INDIWH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INDIWH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INDIWH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INDIDPHCOAN1</v>
      </c>
      <c r="E168" s="261" t="str">
        <f>"Industrial heating technology "&amp;$AJ$12&amp;" "&amp;RIGHT(H168,2)&amp;" - Coal boiler (Steam) - new 1"</f>
        <v>Industrial heating technology Mining PH - Coal boiler (Steam) - new 1</v>
      </c>
      <c r="F168" s="224" t="s">
        <v>1149</v>
      </c>
      <c r="G168" s="55" t="s">
        <v>617</v>
      </c>
      <c r="H168" s="174" t="str">
        <f>$AI$13</f>
        <v>IIDPH</v>
      </c>
      <c r="I168" s="174" t="str">
        <f t="shared" si="143"/>
        <v>INDIWH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INDIWH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INDIWH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INDIDPHCOAN1</v>
      </c>
      <c r="E171" s="261" t="str">
        <f>"Industrial heating technology "&amp;$AJ$12&amp;" "&amp;RIGHT(H171,2)&amp;" - Coal boiler (Steam) - new 1"</f>
        <v>Industrial heating technology Mining PH - Coal boiler (Steam) - new 1</v>
      </c>
      <c r="F171" s="224" t="s">
        <v>1149</v>
      </c>
      <c r="G171" s="55" t="s">
        <v>617</v>
      </c>
      <c r="H171" s="174" t="str">
        <f>$AI$14</f>
        <v>IIDPH</v>
      </c>
      <c r="I171" s="174" t="str">
        <f t="shared" si="143"/>
        <v>INDIWH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INDIWH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INDIWH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INDIDSHCOAN1</v>
      </c>
      <c r="E174" s="261" t="str">
        <f>"Industrial heating technology "&amp;$AJ$12&amp;" "&amp;RIGHT(H174,2)&amp;" - Coal boiler (Steam) - new 1"</f>
        <v>Industrial heating technology Mining SH - Coal boiler (Steam) - new 1</v>
      </c>
      <c r="F174" s="224" t="s">
        <v>1149</v>
      </c>
      <c r="G174" s="55" t="s">
        <v>617</v>
      </c>
      <c r="H174" s="174" t="str">
        <f>$AI$15</f>
        <v>IIDSH</v>
      </c>
      <c r="I174" s="174" t="str">
        <f t="shared" si="143"/>
        <v>INDIWH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INDIWH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INDIWH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INDIDPHCOAN2</v>
      </c>
      <c r="E177" s="261" t="str">
        <f>"Industrial heating technology "&amp;$AJ$12&amp;" "&amp;RIGHT(H177,2)&amp;" - Coal boiler (Hot Water) - new 2"</f>
        <v>Industrial heating technology Mining PH - Coal boiler (Hot Water) - new 2</v>
      </c>
      <c r="F177" s="224" t="s">
        <v>1149</v>
      </c>
      <c r="G177" s="55" t="s">
        <v>617</v>
      </c>
      <c r="H177" s="174" t="str">
        <f>$AI$14</f>
        <v>IIDPH</v>
      </c>
      <c r="I177" s="174" t="str">
        <f t="shared" si="143"/>
        <v>INDIWH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INDIWH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INDIWH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INDIDSHCOAN2</v>
      </c>
      <c r="E180" s="261" t="str">
        <f>"Industrial heating technology "&amp;$AJ$12&amp;" "&amp;RIGHT(H180,2)&amp;" - Coal boiler (Hot Water) - new 2"</f>
        <v>Industrial heating technology Mining SH - Coal boiler (Hot Water) - new 2</v>
      </c>
      <c r="F180" s="224" t="s">
        <v>1149</v>
      </c>
      <c r="G180" s="55" t="s">
        <v>617</v>
      </c>
      <c r="H180" s="174" t="str">
        <f>$AI$15</f>
        <v>IIDSH</v>
      </c>
      <c r="I180" s="174" t="str">
        <f t="shared" si="143"/>
        <v>INDIWH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INDIWH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INDIWH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INDIDSHSOLN1</v>
      </c>
      <c r="E183" s="261" t="str">
        <f>"Industrial heating technology "&amp;$AJ$12&amp;" "&amp;RIGHT(H183,2)&amp;" - Solar - new 1"</f>
        <v>Industrial heating technology Mining SH - Solar - new 1</v>
      </c>
      <c r="F183" s="224" t="s">
        <v>1149</v>
      </c>
      <c r="G183" s="55" t="s">
        <v>500</v>
      </c>
      <c r="H183" s="174" t="str">
        <f>$AI$15</f>
        <v>IIDSH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INDIDSHHCEN1</v>
      </c>
      <c r="E187" s="224" t="str">
        <f>"Industrial heating technology "&amp;$AJ$12&amp;" "&amp;RIGHT(H187,2)&amp;" - central district heating - within DH area - new 1"</f>
        <v>Industrial heating technology Mining SH - central district heating - within DH area - new 1</v>
      </c>
      <c r="F187" s="224" t="s">
        <v>1149</v>
      </c>
      <c r="G187" s="225" t="s">
        <v>501</v>
      </c>
      <c r="H187" s="225" t="str">
        <f>AI15</f>
        <v>IIDSH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INDIDPHHCEN1</v>
      </c>
      <c r="E188" s="224" t="str">
        <f>"Industrial heating technology "&amp;$AJ$12&amp;" "&amp;RIGHT(H188,2)&amp;" - central district heating - within DH area - new 1"</f>
        <v>Industrial heating technology Mining PH - central district heating - within DH area - new 1</v>
      </c>
      <c r="F188" s="224" t="s">
        <v>1149</v>
      </c>
      <c r="G188" s="225" t="s">
        <v>501</v>
      </c>
      <c r="H188" s="281" t="str">
        <f>AI14</f>
        <v>IIDPH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INDIDSHHSEN1</v>
      </c>
      <c r="E189" s="224" t="str">
        <f>"Industrial heating technology "&amp;$AJ$12&amp;" "&amp;RIGHT(H189,2)&amp;" - central district heating - within DH area - new 1"</f>
        <v>Industrial heating technology Mining SH - central district heating - within DH area - new 1</v>
      </c>
      <c r="F189" s="224" t="s">
        <v>1149</v>
      </c>
      <c r="G189" s="225" t="s">
        <v>2124</v>
      </c>
      <c r="H189" s="225" t="str">
        <f>H187</f>
        <v>IIDSH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INDIDPHHSEN1</v>
      </c>
      <c r="E190" s="224" t="str">
        <f>"Industrial heating technology "&amp;$AJ$12&amp;" "&amp;RIGHT(H190,2)&amp;" - central district heating - within DH area - new 1"</f>
        <v>Industrial heating technology Mining PH - central district heating - within DH area - new 1</v>
      </c>
      <c r="F190" s="224" t="s">
        <v>1149</v>
      </c>
      <c r="G190" s="225" t="s">
        <v>2124</v>
      </c>
      <c r="H190" s="225" t="str">
        <f>H188</f>
        <v>IIDPH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INDIDSHHDEN1</v>
      </c>
      <c r="E191" s="224" t="str">
        <f>"Industrial heating technology "&amp;$AJ$12&amp;" "&amp;RIGHT(H191,2)&amp;" - decentral district heating - within DH area - new 1"</f>
        <v>Industrial heating technology Mining SH - decentral district heating - within DH area - new 1</v>
      </c>
      <c r="F191" s="224" t="s">
        <v>1149</v>
      </c>
      <c r="G191" s="259" t="s">
        <v>502</v>
      </c>
      <c r="H191" s="265" t="str">
        <f>AI15</f>
        <v>IIDSH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INDIDPHHDEN1</v>
      </c>
      <c r="E192" s="224" t="str">
        <f>"Industrial heating technology "&amp;$AJ$12&amp;" "&amp;RIGHT(H192,2)&amp;" - decentral district heating - within DH area - new 1"</f>
        <v>Industrial heating technology Mining PH - decentral district heating - within DH area - new 1</v>
      </c>
      <c r="F192" s="224" t="s">
        <v>1149</v>
      </c>
      <c r="G192" s="259" t="s">
        <v>502</v>
      </c>
      <c r="H192" s="225" t="str">
        <f>AI14</f>
        <v>IIDPH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INDIDLAELCN1</v>
      </c>
      <c r="E194" s="224" t="str">
        <f>"Industry "&amp;$AJ$12&amp;" "&amp;RIGHT(H194,2)&amp;" Electricity Light Appliance - New 1"</f>
        <v>Industry Mining LA Electricity Light Appliance - New 1</v>
      </c>
      <c r="F194" s="224" t="s">
        <v>1149</v>
      </c>
      <c r="G194" s="225" t="s">
        <v>499</v>
      </c>
      <c r="H194" s="225" t="str">
        <f>AI16</f>
        <v>IIDLA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INDIDEMELCN1</v>
      </c>
      <c r="E198" s="224" t="str">
        <f>"Industry "&amp;$AJ$12&amp;" "&amp;RIGHT(H198,2)&amp;" Electricity Motors - New 1"</f>
        <v>Industry Mining EM Electricity Motors - New 1</v>
      </c>
      <c r="F198" s="224" t="s">
        <v>1149</v>
      </c>
      <c r="G198" s="225" t="s">
        <v>499</v>
      </c>
      <c r="H198" s="225" t="str">
        <f>AI17</f>
        <v>IIDEM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INDIDTFDSLN1</v>
      </c>
      <c r="E202" s="224" t="str">
        <f>"Industry "&amp;$AJ$12&amp;" "&amp;RIGHT(H202,2)&amp;" Tractors, Trucks, Fishing boats - New 1"</f>
        <v>Industry Mining TF Tractors, Trucks, Fishing boats - New 1</v>
      </c>
      <c r="F202" s="224" t="s">
        <v>1149</v>
      </c>
      <c r="G202" s="173" t="s">
        <v>2081</v>
      </c>
      <c r="H202" s="174" t="str">
        <f>$AI$18</f>
        <v>IIDTF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INDIDTFH2GN2</v>
      </c>
      <c r="E206" s="224" t="str">
        <f>"Industry "&amp;$AJ$12&amp;" "&amp;RIGHT(H206,2)&amp;" Tractors, Trucks, Fishing boats - New 2"</f>
        <v>Industry Mining TF Tractors, Trucks, Fishing boats - New 2</v>
      </c>
      <c r="F206" s="224" t="s">
        <v>1149</v>
      </c>
      <c r="G206" s="55" t="s">
        <v>2077</v>
      </c>
      <c r="H206" s="174" t="str">
        <f>$AI$18</f>
        <v>IIDTF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INDIDTFELCN3</v>
      </c>
      <c r="E210" s="224" t="str">
        <f>"Industry "&amp;$AJ$12&amp;" "&amp;RIGHT(H210,2)&amp;" Tractors, Trucks, Fishing boats - New 3"</f>
        <v>Industry Mining TF Tractors, Trucks, Fishing boats - New 3</v>
      </c>
      <c r="F210" s="224" t="s">
        <v>1149</v>
      </c>
      <c r="G210" s="55" t="s">
        <v>499</v>
      </c>
      <c r="H210" s="174" t="str">
        <f>$AI$18</f>
        <v>IIDTF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INDIDFLSYNN1</v>
      </c>
      <c r="E214" s="224" t="str">
        <f>"Industry "&amp;$AJ$12&amp;" "&amp;RIGHT(H202,2)&amp;" Forklifts - New 1"</f>
        <v>Industry Mining TF Forklifts - New 1</v>
      </c>
      <c r="F214" s="224" t="s">
        <v>1149</v>
      </c>
      <c r="G214" s="173" t="s">
        <v>2082</v>
      </c>
      <c r="H214" s="224" t="str">
        <f>AI19</f>
        <v>IIDFL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INDIDCOELCN1</v>
      </c>
      <c r="E218" s="224" t="str">
        <f>"Industry "&amp;$AJ$12&amp;" "&amp;RIGHT(H218,2)&amp;" Cooling - New 1"</f>
        <v>Industry Mining CO Cooling - New 1</v>
      </c>
      <c r="F218" s="224" t="s">
        <v>1149</v>
      </c>
      <c r="G218" s="173" t="s">
        <v>499</v>
      </c>
      <c r="H218" s="224" t="str">
        <f>AI21</f>
        <v>IIDCO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INDIDPHELCN1</v>
      </c>
      <c r="E229" s="212" t="str">
        <f t="shared" ref="E229:E260" si="266">VLOOKUP(D229,$D$9:$E$222,2,FALSE)</f>
        <v>Industrial heating technology Mining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INDIDSHELCN1</v>
      </c>
      <c r="E230" s="212" t="str">
        <f t="shared" ca="1" si="266"/>
        <v>Industrial heating technology Mining SH - Heat pump utilizing waste heat - new 1</v>
      </c>
      <c r="F230" s="262" t="s">
        <v>450</v>
      </c>
      <c r="G230" s="262" t="s">
        <v>449</v>
      </c>
      <c r="H230" s="263" t="s">
        <v>620</v>
      </c>
      <c r="I230" s="301"/>
      <c r="J230" s="264" t="s">
        <v>469</v>
      </c>
    </row>
    <row r="231" spans="1:10">
      <c r="A231" s="169"/>
      <c r="D231" s="212" t="str">
        <f t="shared" ca="1" si="267"/>
        <v>INDIDPHELCN2</v>
      </c>
      <c r="E231" s="212" t="str">
        <f t="shared" ca="1" si="266"/>
        <v>Industrial heating technology Mining PH - Heat driven heat pump utilizing waste heat - new 2</v>
      </c>
      <c r="F231" s="211" t="s">
        <v>450</v>
      </c>
      <c r="G231" s="211" t="s">
        <v>449</v>
      </c>
      <c r="H231" s="263" t="s">
        <v>620</v>
      </c>
      <c r="I231" s="208"/>
      <c r="J231" s="264" t="s">
        <v>469</v>
      </c>
    </row>
    <row r="232" spans="1:10">
      <c r="A232" s="169"/>
      <c r="B232" s="211"/>
      <c r="C232" s="211"/>
      <c r="D232" s="212" t="str">
        <f t="shared" ca="1" si="267"/>
        <v>INDIDSHELCN2</v>
      </c>
      <c r="E232" s="212" t="str">
        <f t="shared" ca="1" si="266"/>
        <v>Industrial heating technology Mining SH - Heat driven heat pump utilizing waste heat - new 2</v>
      </c>
      <c r="F232" s="262" t="s">
        <v>450</v>
      </c>
      <c r="G232" s="262" t="s">
        <v>449</v>
      </c>
      <c r="H232" s="263" t="s">
        <v>620</v>
      </c>
      <c r="I232" s="264"/>
      <c r="J232" s="264" t="s">
        <v>469</v>
      </c>
    </row>
    <row r="233" spans="1:10">
      <c r="A233" s="169"/>
      <c r="B233" s="211"/>
      <c r="C233" s="211"/>
      <c r="D233" s="212" t="str">
        <f t="shared" ca="1" si="267"/>
        <v>INDIDPHELCN3</v>
      </c>
      <c r="E233" s="212" t="str">
        <f t="shared" ca="1" si="266"/>
        <v>Industrial heating technology Mining PH - High Temp abs. Heat pump utilizing waste heat - new 3</v>
      </c>
      <c r="F233" s="262" t="s">
        <v>450</v>
      </c>
      <c r="G233" s="262" t="s">
        <v>449</v>
      </c>
      <c r="H233" s="263" t="s">
        <v>620</v>
      </c>
      <c r="I233" s="264"/>
      <c r="J233" s="264" t="s">
        <v>469</v>
      </c>
    </row>
    <row r="234" spans="1:10">
      <c r="A234" s="169"/>
      <c r="B234" s="211"/>
      <c r="C234" s="211"/>
      <c r="D234" s="212" t="str">
        <f t="shared" ca="1" si="267"/>
        <v>INDIDSHELCN3</v>
      </c>
      <c r="E234" s="212" t="str">
        <f t="shared" ca="1" si="266"/>
        <v>Industrial heating technology Mining SH - High Temp abs. Heat pump utilizing waste heat - new 3</v>
      </c>
      <c r="F234" s="262" t="s">
        <v>450</v>
      </c>
      <c r="G234" s="262" t="s">
        <v>449</v>
      </c>
      <c r="H234" s="263" t="s">
        <v>620</v>
      </c>
      <c r="I234" s="264"/>
      <c r="J234" s="264" t="s">
        <v>469</v>
      </c>
    </row>
    <row r="235" spans="1:10">
      <c r="A235" s="169"/>
      <c r="B235" s="211"/>
      <c r="C235" s="211"/>
      <c r="D235" s="212" t="str">
        <f t="shared" ca="1" si="267"/>
        <v>INDIDPHELCN4</v>
      </c>
      <c r="E235" s="212" t="str">
        <f t="shared" ca="1" si="266"/>
        <v>Industrial heating technology Mining PH - Booster Heat pump utilizing waste heat - new 4</v>
      </c>
      <c r="F235" s="262" t="s">
        <v>450</v>
      </c>
      <c r="G235" s="262" t="s">
        <v>449</v>
      </c>
      <c r="H235" s="263" t="s">
        <v>620</v>
      </c>
      <c r="I235" s="264"/>
      <c r="J235" s="264" t="s">
        <v>469</v>
      </c>
    </row>
    <row r="236" spans="1:10">
      <c r="A236" s="169"/>
      <c r="B236" s="211"/>
      <c r="C236" s="211"/>
      <c r="D236" s="212" t="str">
        <f t="shared" ca="1" si="267"/>
        <v>INDIDSHELCN4</v>
      </c>
      <c r="E236" s="212" t="str">
        <f t="shared" ca="1" si="266"/>
        <v>Industrial heating technology Mining SH - Booster Heat pump utilizing waste heat - new 4</v>
      </c>
      <c r="F236" s="262" t="s">
        <v>450</v>
      </c>
      <c r="G236" s="262" t="s">
        <v>449</v>
      </c>
      <c r="H236" s="263" t="s">
        <v>620</v>
      </c>
      <c r="I236" s="264"/>
      <c r="J236" s="264" t="s">
        <v>469</v>
      </c>
    </row>
    <row r="237" spans="1:10">
      <c r="A237" s="169"/>
      <c r="B237" s="211"/>
      <c r="C237" s="211"/>
      <c r="D237" s="212" t="str">
        <f t="shared" ca="1" si="267"/>
        <v>INDIDPHELCN5</v>
      </c>
      <c r="E237" s="212" t="str">
        <f t="shared" ca="1" si="266"/>
        <v>Industrial heating technology Mining PH - MVR utilizing waste heat - new 5</v>
      </c>
      <c r="F237" s="262" t="s">
        <v>450</v>
      </c>
      <c r="G237" s="262" t="s">
        <v>449</v>
      </c>
      <c r="H237" s="263"/>
      <c r="I237" s="264"/>
      <c r="J237" s="264" t="s">
        <v>469</v>
      </c>
    </row>
    <row r="238" spans="1:10">
      <c r="A238" s="169"/>
      <c r="B238" s="211"/>
      <c r="C238" s="211"/>
      <c r="D238" s="212" t="str">
        <f t="shared" ca="1" si="267"/>
        <v>INDIDPHWSTN1</v>
      </c>
      <c r="E238" s="212" t="str">
        <f t="shared" ca="1" si="266"/>
        <v>Industrial heating technology Mining PH - Hotdisc - new 1</v>
      </c>
      <c r="F238" s="262" t="s">
        <v>450</v>
      </c>
      <c r="G238" s="262" t="s">
        <v>449</v>
      </c>
      <c r="H238" s="263" t="s">
        <v>620</v>
      </c>
      <c r="I238" s="264"/>
      <c r="J238" s="264" t="s">
        <v>469</v>
      </c>
    </row>
    <row r="239" spans="1:10">
      <c r="A239" s="169"/>
      <c r="B239" s="211"/>
      <c r="C239" s="211"/>
      <c r="D239" s="212" t="str">
        <f t="shared" ref="D239:D278" ca="1" si="268">OFFSET($D$9,(ROW(D19)*3),0)</f>
        <v>INDIDPHELCN6</v>
      </c>
      <c r="E239" s="212" t="str">
        <f t="shared" ca="1" si="266"/>
        <v>Industrial heating technology Mining PH - Dielectric heating - new 6</v>
      </c>
      <c r="F239" s="262" t="s">
        <v>450</v>
      </c>
      <c r="G239" s="262" t="s">
        <v>449</v>
      </c>
      <c r="H239" s="263" t="s">
        <v>620</v>
      </c>
      <c r="I239" s="264"/>
      <c r="J239" s="264" t="s">
        <v>469</v>
      </c>
    </row>
    <row r="240" spans="1:10">
      <c r="A240" s="169"/>
      <c r="B240" s="211"/>
      <c r="C240" s="211"/>
      <c r="D240" s="212" t="str">
        <f t="shared" ca="1" si="268"/>
        <v>INDIDPHELCN7</v>
      </c>
      <c r="E240" s="212" t="str">
        <f t="shared" ca="1" si="266"/>
        <v>Industrial heating technology Mining PH - Infrared heating - new 7</v>
      </c>
      <c r="F240" s="262" t="s">
        <v>450</v>
      </c>
      <c r="G240" s="262" t="s">
        <v>449</v>
      </c>
      <c r="H240" s="263" t="s">
        <v>620</v>
      </c>
      <c r="I240" s="264"/>
      <c r="J240" s="264" t="s">
        <v>469</v>
      </c>
    </row>
    <row r="241" spans="1:16">
      <c r="A241" s="169"/>
      <c r="B241" s="211"/>
      <c r="C241" s="211"/>
      <c r="D241" s="212" t="str">
        <f t="shared" ca="1" si="268"/>
        <v>INDIDPHELCN8</v>
      </c>
      <c r="E241" s="212" t="str">
        <f t="shared" ca="1" si="266"/>
        <v>Industrial heating technology Mining PH - Electric boiler (Steam) - new 8</v>
      </c>
      <c r="F241" s="262" t="s">
        <v>450</v>
      </c>
      <c r="G241" s="262" t="s">
        <v>449</v>
      </c>
      <c r="H241" s="263" t="s">
        <v>620</v>
      </c>
      <c r="I241" s="264"/>
      <c r="J241" s="264" t="s">
        <v>469</v>
      </c>
    </row>
    <row r="242" spans="1:16">
      <c r="A242" s="169"/>
      <c r="B242" s="211"/>
      <c r="C242" s="211"/>
      <c r="D242" s="212" t="str">
        <f t="shared" ca="1" si="268"/>
        <v>INDIDPHELCN8</v>
      </c>
      <c r="E242" s="212" t="str">
        <f t="shared" ca="1" si="266"/>
        <v>Industrial heating technology Mining PH - Electric boiler (Steam) - new 8</v>
      </c>
      <c r="F242" s="262" t="s">
        <v>450</v>
      </c>
      <c r="G242" s="262" t="s">
        <v>449</v>
      </c>
      <c r="H242" s="263" t="s">
        <v>620</v>
      </c>
      <c r="I242" s="264"/>
      <c r="J242" s="264" t="s">
        <v>469</v>
      </c>
    </row>
    <row r="243" spans="1:16">
      <c r="A243" s="169"/>
      <c r="B243" s="211"/>
      <c r="C243" s="211"/>
      <c r="D243" s="212" t="str">
        <f t="shared" ca="1" si="268"/>
        <v>INDIDSHELCN8</v>
      </c>
      <c r="E243" s="212" t="str">
        <f t="shared" ca="1" si="266"/>
        <v>Industrial heating technology Mining SH - Electric boiler (Steam) - new 8</v>
      </c>
      <c r="F243" s="262" t="s">
        <v>450</v>
      </c>
      <c r="G243" s="262" t="s">
        <v>449</v>
      </c>
      <c r="H243" s="263" t="s">
        <v>620</v>
      </c>
      <c r="I243" s="264"/>
      <c r="J243" s="264" t="s">
        <v>469</v>
      </c>
      <c r="P243" s="173"/>
    </row>
    <row r="244" spans="1:16">
      <c r="A244" s="169"/>
      <c r="B244" s="211"/>
      <c r="C244" s="211"/>
      <c r="D244" s="212" t="str">
        <f t="shared" ca="1" si="268"/>
        <v>INDIDPHELCN9</v>
      </c>
      <c r="E244" s="212" t="str">
        <f t="shared" ca="1" si="266"/>
        <v>Industrial heating technology Mining PH - Electric boiler (Hot Water) - new 9</v>
      </c>
      <c r="F244" s="262" t="s">
        <v>450</v>
      </c>
      <c r="G244" s="262" t="s">
        <v>449</v>
      </c>
      <c r="H244" s="263" t="s">
        <v>620</v>
      </c>
      <c r="I244" s="264"/>
      <c r="J244" s="264" t="s">
        <v>469</v>
      </c>
      <c r="P244" s="173"/>
    </row>
    <row r="245" spans="1:16">
      <c r="A245" s="169"/>
      <c r="B245" s="211"/>
      <c r="C245" s="211"/>
      <c r="D245" s="212" t="str">
        <f t="shared" ca="1" si="268"/>
        <v>INDIDSHELCN9</v>
      </c>
      <c r="E245" s="212" t="str">
        <f t="shared" ca="1" si="266"/>
        <v>Industrial heating technology Mining SH - Electric boiler (Hot Water) - new 9</v>
      </c>
      <c r="F245" s="262" t="s">
        <v>450</v>
      </c>
      <c r="G245" s="262" t="s">
        <v>449</v>
      </c>
      <c r="H245" s="263" t="s">
        <v>620</v>
      </c>
      <c r="I245" s="264"/>
      <c r="J245" s="264" t="s">
        <v>469</v>
      </c>
      <c r="P245" s="173"/>
    </row>
    <row r="246" spans="1:16">
      <c r="A246" s="169"/>
      <c r="B246" s="211"/>
      <c r="C246" s="211"/>
      <c r="D246" s="212" t="str">
        <f t="shared" ca="1" si="268"/>
        <v>INDIDPHWCHN1</v>
      </c>
      <c r="E246" s="212" t="str">
        <f t="shared" ca="1" si="266"/>
        <v>Industrial heating technology Mining PH - Wood chip boiler (Steam) - new 1</v>
      </c>
      <c r="F246" s="262" t="s">
        <v>450</v>
      </c>
      <c r="G246" s="262" t="s">
        <v>449</v>
      </c>
      <c r="H246" s="263"/>
      <c r="I246" s="264"/>
      <c r="J246" s="264" t="s">
        <v>469</v>
      </c>
      <c r="P246" s="173"/>
    </row>
    <row r="247" spans="1:16">
      <c r="A247" s="169"/>
      <c r="B247" s="211"/>
      <c r="C247" s="211"/>
      <c r="D247" s="212" t="str">
        <f t="shared" ca="1" si="268"/>
        <v>INDIDPHWCHN1</v>
      </c>
      <c r="E247" s="212" t="str">
        <f t="shared" ca="1" si="266"/>
        <v>Industrial heating technology Mining PH - Wood chip boiler (Steam) - new 1</v>
      </c>
      <c r="F247" s="262" t="s">
        <v>450</v>
      </c>
      <c r="G247" s="262" t="s">
        <v>449</v>
      </c>
      <c r="H247" s="263"/>
      <c r="I247" s="264"/>
      <c r="J247" s="264" t="s">
        <v>469</v>
      </c>
      <c r="M247" s="171"/>
      <c r="N247" s="171"/>
      <c r="P247" s="173"/>
    </row>
    <row r="248" spans="1:16">
      <c r="A248" s="169"/>
      <c r="B248" s="211"/>
      <c r="C248" s="211"/>
      <c r="D248" s="212" t="str">
        <f t="shared" ca="1" si="268"/>
        <v>INDIDSHWCHN1</v>
      </c>
      <c r="E248" s="212" t="str">
        <f t="shared" ca="1" si="266"/>
        <v>Industrial heating technology Mining SH - Wood chip boiler (Steam) - new 1</v>
      </c>
      <c r="F248" s="262" t="s">
        <v>450</v>
      </c>
      <c r="G248" s="262" t="s">
        <v>449</v>
      </c>
      <c r="H248" s="263"/>
      <c r="I248" s="264"/>
      <c r="J248" s="264" t="s">
        <v>469</v>
      </c>
      <c r="M248" s="171"/>
      <c r="N248" s="171"/>
      <c r="P248" s="173"/>
    </row>
    <row r="249" spans="1:16">
      <c r="A249" s="169"/>
      <c r="B249" s="211"/>
      <c r="C249" s="211"/>
      <c r="D249" s="212" t="str">
        <f t="shared" ca="1" si="268"/>
        <v>INDIDPHWCHN2</v>
      </c>
      <c r="E249" s="212" t="str">
        <f t="shared" ca="1" si="266"/>
        <v>Industrial heating technology Mining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INDIDSHWCHN2</v>
      </c>
      <c r="E250" s="212" t="str">
        <f t="shared" ca="1" si="266"/>
        <v>Industrial heating technology Mining SH - Wood chip boiler (Steam - condensing) - new 2</v>
      </c>
      <c r="F250" s="262" t="s">
        <v>450</v>
      </c>
      <c r="G250" s="262" t="s">
        <v>449</v>
      </c>
      <c r="H250" s="263"/>
      <c r="I250" s="264"/>
      <c r="J250" s="264" t="s">
        <v>469</v>
      </c>
    </row>
    <row r="251" spans="1:16">
      <c r="A251" s="169"/>
      <c r="B251" s="212"/>
      <c r="C251" s="212"/>
      <c r="D251" s="212" t="str">
        <f t="shared" ca="1" si="268"/>
        <v>INDIDPHWCHN3</v>
      </c>
      <c r="E251" s="212" t="str">
        <f t="shared" ca="1" si="266"/>
        <v>Industrial heating technology Mining PH - Wood chip boiler (Hot Water) - new 3</v>
      </c>
      <c r="F251" s="262" t="s">
        <v>450</v>
      </c>
      <c r="G251" s="262" t="s">
        <v>449</v>
      </c>
      <c r="H251" s="261"/>
      <c r="I251" s="261"/>
      <c r="J251" s="264" t="s">
        <v>469</v>
      </c>
    </row>
    <row r="252" spans="1:16">
      <c r="A252" s="169"/>
      <c r="B252" s="212"/>
      <c r="C252" s="212"/>
      <c r="D252" s="212" t="str">
        <f t="shared" ca="1" si="268"/>
        <v>INDIDSHWCHN3</v>
      </c>
      <c r="E252" s="212" t="str">
        <f t="shared" ca="1" si="266"/>
        <v>Industrial heating technology Mining SH - Wood chip boiler (Hot Water) - new 3</v>
      </c>
      <c r="F252" s="262" t="s">
        <v>450</v>
      </c>
      <c r="G252" s="262" t="s">
        <v>449</v>
      </c>
      <c r="H252" s="261"/>
      <c r="I252" s="261"/>
      <c r="J252" s="264" t="s">
        <v>469</v>
      </c>
    </row>
    <row r="253" spans="1:16">
      <c r="A253" s="169"/>
      <c r="B253" s="212"/>
      <c r="C253" s="212"/>
      <c r="D253" s="212" t="str">
        <f t="shared" ca="1" si="268"/>
        <v>INDIDPHWCHN4</v>
      </c>
      <c r="E253" s="212" t="str">
        <f t="shared" ca="1" si="266"/>
        <v>Industrial heating technology Mining PH - Wood chip boiler (Hot Water - condensing) - new 4</v>
      </c>
      <c r="F253" s="262" t="s">
        <v>450</v>
      </c>
      <c r="G253" s="262" t="s">
        <v>449</v>
      </c>
      <c r="H253" s="261"/>
      <c r="I253" s="261"/>
      <c r="J253" s="264" t="s">
        <v>469</v>
      </c>
    </row>
    <row r="254" spans="1:16">
      <c r="A254" s="169"/>
      <c r="B254" s="212"/>
      <c r="C254" s="212"/>
      <c r="D254" s="212" t="str">
        <f t="shared" ca="1" si="268"/>
        <v>INDIDSHWCHN4</v>
      </c>
      <c r="E254" s="212" t="str">
        <f t="shared" ca="1" si="266"/>
        <v>Industrial heating technology Mining SH - Wood chip boiler (Hot Water- condensing) - new 4</v>
      </c>
      <c r="F254" s="262" t="s">
        <v>450</v>
      </c>
      <c r="G254" s="262" t="s">
        <v>449</v>
      </c>
      <c r="H254" s="261"/>
      <c r="I254" s="261"/>
      <c r="J254" s="264" t="s">
        <v>469</v>
      </c>
    </row>
    <row r="255" spans="1:16">
      <c r="B255" s="212"/>
      <c r="C255" s="212"/>
      <c r="D255" s="212" t="str">
        <f t="shared" ca="1" si="268"/>
        <v>INDIDPHELCN10</v>
      </c>
      <c r="E255" s="212" t="str">
        <f t="shared" ca="1" si="266"/>
        <v>Industrial heating technology Mining PH - Direct electric heating - new 10</v>
      </c>
      <c r="F255" s="262" t="s">
        <v>450</v>
      </c>
      <c r="G255" s="262" t="s">
        <v>449</v>
      </c>
      <c r="H255" s="261"/>
      <c r="I255" s="261"/>
      <c r="J255" s="264" t="s">
        <v>469</v>
      </c>
    </row>
    <row r="256" spans="1:16">
      <c r="B256" s="212"/>
      <c r="C256" s="212"/>
      <c r="D256" s="212" t="str">
        <f t="shared" ca="1" si="268"/>
        <v>INDIDPHELCN10</v>
      </c>
      <c r="E256" s="212" t="str">
        <f t="shared" ca="1" si="266"/>
        <v>Industrial heating technology Mining PH - Direct electric heating - new 10</v>
      </c>
      <c r="F256" s="262" t="s">
        <v>450</v>
      </c>
      <c r="G256" s="262" t="s">
        <v>449</v>
      </c>
      <c r="H256" s="261"/>
      <c r="I256" s="261"/>
      <c r="J256" s="264" t="s">
        <v>469</v>
      </c>
    </row>
    <row r="257" spans="1:10">
      <c r="B257" s="212"/>
      <c r="C257" s="212"/>
      <c r="D257" s="212" t="str">
        <f t="shared" ca="1" si="268"/>
        <v>INDIDPHDSLN1</v>
      </c>
      <c r="E257" s="212" t="str">
        <f t="shared" ca="1" si="266"/>
        <v>Industrial heating technology Mining PH - Oil boiler (Steam) - new 1</v>
      </c>
      <c r="F257" s="262" t="s">
        <v>450</v>
      </c>
      <c r="G257" s="262" t="s">
        <v>449</v>
      </c>
      <c r="H257" s="261"/>
      <c r="I257" s="261"/>
      <c r="J257" s="264" t="s">
        <v>469</v>
      </c>
    </row>
    <row r="258" spans="1:10">
      <c r="B258" s="212"/>
      <c r="C258" s="212"/>
      <c r="D258" s="212" t="str">
        <f t="shared" ca="1" si="268"/>
        <v>INDIDPHDSLN1</v>
      </c>
      <c r="E258" s="212" t="str">
        <f t="shared" ca="1" si="266"/>
        <v>Industrial heating technology Mining PH - Oil boiler (Steam) - new 1</v>
      </c>
      <c r="F258" s="262" t="s">
        <v>450</v>
      </c>
      <c r="G258" s="262" t="s">
        <v>449</v>
      </c>
      <c r="H258" s="261"/>
      <c r="I258" s="261"/>
      <c r="J258" s="264" t="s">
        <v>469</v>
      </c>
    </row>
    <row r="259" spans="1:10">
      <c r="B259" s="212"/>
      <c r="C259" s="212"/>
      <c r="D259" s="212" t="str">
        <f t="shared" ca="1" si="268"/>
        <v>INDIDSHDSLN1</v>
      </c>
      <c r="E259" s="212" t="str">
        <f t="shared" ca="1" si="266"/>
        <v>Industrial heating technology Mining SH - Oil boiler (Steam) - new 1</v>
      </c>
      <c r="F259" s="262" t="s">
        <v>450</v>
      </c>
      <c r="G259" s="262" t="s">
        <v>449</v>
      </c>
      <c r="H259" s="261"/>
      <c r="I259" s="261"/>
      <c r="J259" s="264" t="s">
        <v>469</v>
      </c>
    </row>
    <row r="260" spans="1:10">
      <c r="A260" s="214"/>
      <c r="B260" s="212"/>
      <c r="C260" s="212"/>
      <c r="D260" s="212" t="str">
        <f t="shared" ca="1" si="268"/>
        <v>INDIDPHDSLN2</v>
      </c>
      <c r="E260" s="212" t="str">
        <f t="shared" ca="1" si="266"/>
        <v>Industrial heating technology Mining PH - Oil boiler (Steam - condensing) - new 2</v>
      </c>
      <c r="F260" s="262" t="s">
        <v>450</v>
      </c>
      <c r="G260" s="262" t="s">
        <v>449</v>
      </c>
      <c r="H260" s="261"/>
      <c r="I260" s="261"/>
      <c r="J260" s="264" t="s">
        <v>469</v>
      </c>
    </row>
    <row r="261" spans="1:10">
      <c r="A261" s="214"/>
      <c r="B261" s="212"/>
      <c r="C261" s="212"/>
      <c r="D261" s="212" t="str">
        <f t="shared" ca="1" si="268"/>
        <v>INDIDSHDSLN2</v>
      </c>
      <c r="E261" s="212" t="str">
        <f t="shared" ref="E261:E290" ca="1" si="269">VLOOKUP(D261,$D$9:$E$222,2,FALSE)</f>
        <v>Industrial heating technology Mining SH - Oil boiler (Steam - condensing) - new 2</v>
      </c>
      <c r="F261" s="262" t="s">
        <v>450</v>
      </c>
      <c r="G261" s="262" t="s">
        <v>449</v>
      </c>
      <c r="H261" s="261"/>
      <c r="I261" s="261"/>
      <c r="J261" s="264" t="s">
        <v>469</v>
      </c>
    </row>
    <row r="262" spans="1:10">
      <c r="A262" s="214"/>
      <c r="B262" s="212"/>
      <c r="C262" s="212"/>
      <c r="D262" s="212" t="str">
        <f t="shared" ca="1" si="268"/>
        <v>INDIDPHGASN1</v>
      </c>
      <c r="E262" s="212" t="str">
        <f t="shared" ca="1" si="269"/>
        <v>Industrial heating technology Mining PH - Gas boiler (Steam) - new 1</v>
      </c>
      <c r="F262" s="262" t="s">
        <v>450</v>
      </c>
      <c r="G262" s="262" t="s">
        <v>449</v>
      </c>
      <c r="H262" s="261"/>
      <c r="I262" s="261"/>
      <c r="J262" s="264" t="s">
        <v>469</v>
      </c>
    </row>
    <row r="263" spans="1:10">
      <c r="A263" s="214"/>
      <c r="B263" s="212"/>
      <c r="C263" s="212"/>
      <c r="D263" s="212" t="str">
        <f t="shared" ca="1" si="268"/>
        <v>INDIDPHGASN1</v>
      </c>
      <c r="E263" s="212" t="str">
        <f t="shared" ca="1" si="269"/>
        <v>Industrial heating technology Mining PH - Gas boiler (Steam) - new 1</v>
      </c>
      <c r="F263" s="262" t="s">
        <v>450</v>
      </c>
      <c r="G263" s="262" t="s">
        <v>449</v>
      </c>
      <c r="H263" s="261"/>
      <c r="I263" s="261"/>
      <c r="J263" s="264" t="s">
        <v>469</v>
      </c>
    </row>
    <row r="264" spans="1:10">
      <c r="B264" s="212"/>
      <c r="C264" s="212"/>
      <c r="D264" s="212" t="str">
        <f t="shared" ca="1" si="268"/>
        <v>INDIDSHGASN1</v>
      </c>
      <c r="E264" s="212" t="str">
        <f t="shared" ca="1" si="269"/>
        <v>Industrial heating technology Mining SH - Gas boiler (Steam) - new 1</v>
      </c>
      <c r="F264" s="262" t="s">
        <v>450</v>
      </c>
      <c r="G264" s="262" t="s">
        <v>449</v>
      </c>
      <c r="H264" s="261"/>
      <c r="I264" s="261"/>
      <c r="J264" s="264" t="s">
        <v>469</v>
      </c>
    </row>
    <row r="265" spans="1:10">
      <c r="B265" s="212"/>
      <c r="C265" s="212"/>
      <c r="D265" s="212" t="str">
        <f t="shared" ca="1" si="268"/>
        <v>INDIDPHGASN2</v>
      </c>
      <c r="E265" s="212" t="str">
        <f t="shared" ca="1" si="269"/>
        <v>Industrial heating technology Mining PH - Gas boiler (Steam - condensing) - new 2</v>
      </c>
      <c r="F265" s="262" t="s">
        <v>450</v>
      </c>
      <c r="G265" s="262" t="s">
        <v>449</v>
      </c>
      <c r="H265" s="261"/>
      <c r="I265" s="261"/>
      <c r="J265" s="264" t="s">
        <v>469</v>
      </c>
    </row>
    <row r="266" spans="1:10">
      <c r="B266" s="212"/>
      <c r="C266" s="212"/>
      <c r="D266" s="212" t="str">
        <f t="shared" ca="1" si="268"/>
        <v>INDIDSHGASN2</v>
      </c>
      <c r="E266" s="212" t="str">
        <f t="shared" ca="1" si="269"/>
        <v>Industrial heating technology Mining SH - Gas boiler (Steam - condensing) - new 2</v>
      </c>
      <c r="F266" s="262" t="s">
        <v>450</v>
      </c>
      <c r="G266" s="262" t="s">
        <v>449</v>
      </c>
      <c r="H266" s="261"/>
      <c r="I266" s="261"/>
      <c r="J266" s="264" t="s">
        <v>469</v>
      </c>
    </row>
    <row r="267" spans="1:10">
      <c r="B267" s="212"/>
      <c r="C267" s="212"/>
      <c r="D267" s="212" t="str">
        <f t="shared" ca="1" si="268"/>
        <v>INDIDPHGASN3</v>
      </c>
      <c r="E267" s="212" t="str">
        <f t="shared" ca="1" si="269"/>
        <v>Industrial heating technology Mining PH - Gas boiler (Hot Water) - new 3</v>
      </c>
      <c r="F267" s="262" t="s">
        <v>450</v>
      </c>
      <c r="G267" s="262" t="s">
        <v>449</v>
      </c>
      <c r="H267" s="261"/>
      <c r="I267" s="261"/>
      <c r="J267" s="264" t="s">
        <v>469</v>
      </c>
    </row>
    <row r="268" spans="1:10">
      <c r="B268" s="212"/>
      <c r="C268" s="212"/>
      <c r="D268" s="212" t="str">
        <f t="shared" ca="1" si="268"/>
        <v>INDIDSHGASN3</v>
      </c>
      <c r="E268" s="212" t="str">
        <f t="shared" ca="1" si="269"/>
        <v>Industrial heating technology Mining SH - Gas boiler (Hot Water) - new 3</v>
      </c>
      <c r="F268" s="262" t="s">
        <v>450</v>
      </c>
      <c r="G268" s="262" t="s">
        <v>449</v>
      </c>
      <c r="H268" s="261"/>
      <c r="I268" s="261"/>
      <c r="J268" s="264" t="s">
        <v>469</v>
      </c>
    </row>
    <row r="269" spans="1:10">
      <c r="B269" s="212"/>
      <c r="C269" s="212"/>
      <c r="D269" s="212" t="str">
        <f t="shared" ca="1" si="268"/>
        <v>INDIDPHGASN4</v>
      </c>
      <c r="E269" s="212" t="str">
        <f t="shared" ca="1" si="269"/>
        <v>Industrial heating technology Mining PH - Gas boiler (Hot Water - condensing) - new 4</v>
      </c>
      <c r="F269" s="262" t="s">
        <v>450</v>
      </c>
      <c r="G269" s="262" t="s">
        <v>449</v>
      </c>
      <c r="H269" s="261"/>
      <c r="I269" s="261"/>
      <c r="J269" s="264" t="s">
        <v>469</v>
      </c>
    </row>
    <row r="270" spans="1:10">
      <c r="B270" s="212"/>
      <c r="C270" s="212"/>
      <c r="D270" s="212" t="str">
        <f t="shared" ca="1" si="268"/>
        <v>INDIDSHGASN4</v>
      </c>
      <c r="E270" s="212" t="str">
        <f t="shared" ca="1" si="269"/>
        <v>Industrial heating technology Mining SH - Gas boiler (Hot Water- condensing) - new 4</v>
      </c>
      <c r="F270" s="262" t="s">
        <v>450</v>
      </c>
      <c r="G270" s="262" t="s">
        <v>449</v>
      </c>
      <c r="H270" s="261"/>
      <c r="I270" s="261"/>
      <c r="J270" s="264" t="s">
        <v>469</v>
      </c>
    </row>
    <row r="271" spans="1:10">
      <c r="B271" s="212"/>
      <c r="C271" s="212"/>
      <c r="D271" s="212" t="str">
        <f t="shared" ca="1" si="268"/>
        <v>INDIDPHGASN5</v>
      </c>
      <c r="E271" s="212" t="str">
        <f t="shared" ca="1" si="269"/>
        <v>Industrial heating technology Mining PH - Gas boiler (Direct firing) - new 5</v>
      </c>
      <c r="F271" s="262" t="s">
        <v>450</v>
      </c>
      <c r="G271" s="262" t="s">
        <v>449</v>
      </c>
      <c r="H271" s="261"/>
      <c r="I271" s="261"/>
      <c r="J271" s="264" t="s">
        <v>469</v>
      </c>
    </row>
    <row r="272" spans="1:10">
      <c r="B272" s="212"/>
      <c r="C272" s="212"/>
      <c r="D272" s="212" t="str">
        <f t="shared" ca="1" si="268"/>
        <v>INDIDPHGASN5</v>
      </c>
      <c r="E272" s="212" t="str">
        <f t="shared" ca="1" si="269"/>
        <v>Industrial heating technology Mining PH - Gas boiler (Direct firing) - new 5</v>
      </c>
      <c r="F272" s="262" t="s">
        <v>450</v>
      </c>
      <c r="G272" s="262" t="s">
        <v>449</v>
      </c>
      <c r="H272" s="261"/>
      <c r="I272" s="261"/>
      <c r="J272" s="264" t="s">
        <v>469</v>
      </c>
    </row>
    <row r="273" spans="2:10">
      <c r="B273" s="212"/>
      <c r="C273" s="212"/>
      <c r="D273" s="212" t="str">
        <f t="shared" ca="1" si="268"/>
        <v>INDIDPHCOAN1</v>
      </c>
      <c r="E273" s="212" t="str">
        <f t="shared" ca="1" si="269"/>
        <v>Industrial heating technology Mining PH - Coal boiler (Steam) - new 1</v>
      </c>
      <c r="F273" s="262" t="s">
        <v>450</v>
      </c>
      <c r="G273" s="262" t="s">
        <v>449</v>
      </c>
      <c r="H273" s="261"/>
      <c r="I273" s="261"/>
      <c r="J273" s="264" t="s">
        <v>469</v>
      </c>
    </row>
    <row r="274" spans="2:10">
      <c r="B274" s="212"/>
      <c r="C274" s="212"/>
      <c r="D274" s="212" t="str">
        <f t="shared" ca="1" si="268"/>
        <v>INDIDPHCOAN1</v>
      </c>
      <c r="E274" s="212" t="str">
        <f t="shared" ca="1" si="269"/>
        <v>Industrial heating technology Mining PH - Coal boiler (Steam) - new 1</v>
      </c>
      <c r="F274" s="262" t="s">
        <v>450</v>
      </c>
      <c r="G274" s="262" t="s">
        <v>449</v>
      </c>
      <c r="H274" s="261"/>
      <c r="I274" s="261"/>
      <c r="J274" s="264" t="s">
        <v>469</v>
      </c>
    </row>
    <row r="275" spans="2:10">
      <c r="B275" s="212"/>
      <c r="C275" s="212"/>
      <c r="D275" s="212" t="str">
        <f t="shared" ca="1" si="268"/>
        <v>INDIDSHCOAN1</v>
      </c>
      <c r="E275" s="212" t="str">
        <f t="shared" ca="1" si="269"/>
        <v>Industrial heating technology Mining SH - Coal boiler (Steam) - new 1</v>
      </c>
      <c r="F275" s="262" t="s">
        <v>450</v>
      </c>
      <c r="G275" s="262" t="s">
        <v>449</v>
      </c>
      <c r="H275" s="261"/>
      <c r="I275" s="261"/>
      <c r="J275" s="264" t="s">
        <v>469</v>
      </c>
    </row>
    <row r="276" spans="2:10">
      <c r="B276" s="212"/>
      <c r="C276" s="212"/>
      <c r="D276" s="212" t="str">
        <f t="shared" ca="1" si="268"/>
        <v>INDIDPHCOAN2</v>
      </c>
      <c r="E276" s="212" t="str">
        <f t="shared" ca="1" si="269"/>
        <v>Industrial heating technology Mining PH - Coal boiler (Hot Water) - new 2</v>
      </c>
      <c r="F276" s="262" t="s">
        <v>450</v>
      </c>
      <c r="G276" s="262" t="s">
        <v>449</v>
      </c>
      <c r="H276" s="261"/>
      <c r="I276" s="261"/>
      <c r="J276" s="264" t="s">
        <v>469</v>
      </c>
    </row>
    <row r="277" spans="2:10">
      <c r="B277" s="212"/>
      <c r="C277" s="212"/>
      <c r="D277" s="212" t="str">
        <f t="shared" ca="1" si="268"/>
        <v>INDIDSHCOAN2</v>
      </c>
      <c r="E277" s="212" t="str">
        <f t="shared" ca="1" si="269"/>
        <v>Industrial heating technology Mining SH - Coal boiler (Hot Water) - new 2</v>
      </c>
      <c r="F277" s="262" t="s">
        <v>450</v>
      </c>
      <c r="G277" s="262" t="s">
        <v>449</v>
      </c>
      <c r="H277" s="261"/>
      <c r="I277" s="261"/>
      <c r="J277" s="264" t="s">
        <v>469</v>
      </c>
    </row>
    <row r="278" spans="2:10">
      <c r="B278" s="212"/>
      <c r="C278" s="212"/>
      <c r="D278" s="212" t="str">
        <f t="shared" ca="1" si="268"/>
        <v>INDIDSHSOLN1</v>
      </c>
      <c r="E278" s="212" t="str">
        <f t="shared" ca="1" si="269"/>
        <v>Industrial heating technology Mining SH - Solar - new 1</v>
      </c>
      <c r="F278" s="262" t="s">
        <v>450</v>
      </c>
      <c r="G278" s="262" t="s">
        <v>449</v>
      </c>
      <c r="H278" s="263" t="s">
        <v>620</v>
      </c>
      <c r="I278" s="261"/>
      <c r="J278" s="264" t="s">
        <v>469</v>
      </c>
    </row>
    <row r="279" spans="2:10">
      <c r="B279" s="212"/>
      <c r="C279" s="212"/>
      <c r="D279" s="889" t="str">
        <f>D187</f>
        <v>INDIDSHHCEN1</v>
      </c>
      <c r="E279" s="889" t="str">
        <f t="shared" si="269"/>
        <v>Industrial heating technology Mining SH - central district heating - within DH area - new 1</v>
      </c>
      <c r="F279" s="262" t="s">
        <v>450</v>
      </c>
      <c r="G279" s="262" t="s">
        <v>449</v>
      </c>
      <c r="H279" s="890"/>
      <c r="I279" s="890"/>
      <c r="J279" s="263" t="s">
        <v>469</v>
      </c>
    </row>
    <row r="280" spans="2:10">
      <c r="B280" s="212"/>
      <c r="C280" s="212"/>
      <c r="D280" s="889" t="str">
        <f>D188</f>
        <v>INDIDPHHCEN1</v>
      </c>
      <c r="E280" s="889" t="str">
        <f t="shared" si="269"/>
        <v>Industrial heating technology Mining PH - central district heating - within DH area - new 1</v>
      </c>
      <c r="F280" s="262" t="s">
        <v>450</v>
      </c>
      <c r="G280" s="262" t="s">
        <v>449</v>
      </c>
      <c r="H280" s="890"/>
      <c r="I280" s="890"/>
      <c r="J280" s="263" t="s">
        <v>469</v>
      </c>
    </row>
    <row r="281" spans="2:10">
      <c r="B281" s="212"/>
      <c r="C281" s="212"/>
      <c r="D281" s="889" t="str">
        <f>D189</f>
        <v>INDIDSHHSEN1</v>
      </c>
      <c r="E281" s="889" t="str">
        <f t="shared" si="269"/>
        <v>Industrial heating technology Mining SH - central district heating - within DH area - new 1</v>
      </c>
      <c r="F281" s="262" t="s">
        <v>450</v>
      </c>
      <c r="G281" s="262" t="s">
        <v>449</v>
      </c>
      <c r="H281" s="890"/>
      <c r="I281" s="890"/>
      <c r="J281" s="263" t="s">
        <v>469</v>
      </c>
    </row>
    <row r="282" spans="2:10">
      <c r="B282" s="212"/>
      <c r="C282" s="212"/>
      <c r="D282" s="889" t="str">
        <f>D190</f>
        <v>INDIDPHHSEN1</v>
      </c>
      <c r="E282" s="889" t="str">
        <f t="shared" si="269"/>
        <v>Industrial heating technology Mining PH - central district heating - within DH area - new 1</v>
      </c>
      <c r="F282" s="262" t="s">
        <v>450</v>
      </c>
      <c r="G282" s="262" t="s">
        <v>449</v>
      </c>
      <c r="H282" s="890"/>
      <c r="I282" s="890"/>
      <c r="J282" s="263" t="s">
        <v>469</v>
      </c>
    </row>
    <row r="283" spans="2:10">
      <c r="B283" s="212"/>
      <c r="C283" s="212"/>
      <c r="D283" s="212" t="str">
        <f t="shared" ref="D283" si="270">D191</f>
        <v>INDIDSHHDEN1</v>
      </c>
      <c r="E283" s="212" t="str">
        <f t="shared" si="269"/>
        <v>Industrial heating technology Mining SH - decentral district heating - within DH area - new 1</v>
      </c>
      <c r="F283" s="262" t="s">
        <v>450</v>
      </c>
      <c r="G283" s="262" t="s">
        <v>449</v>
      </c>
      <c r="H283" s="261"/>
      <c r="I283" s="261"/>
      <c r="J283" s="264" t="s">
        <v>469</v>
      </c>
    </row>
    <row r="284" spans="2:10">
      <c r="B284" s="212"/>
      <c r="C284" s="212"/>
      <c r="D284" s="212" t="str">
        <f>D192</f>
        <v>INDIDPHHDEN1</v>
      </c>
      <c r="E284" s="212" t="str">
        <f t="shared" si="269"/>
        <v>Industrial heating technology Mining PH - decentral district heating - within DH area - new 1</v>
      </c>
      <c r="F284" s="262" t="s">
        <v>450</v>
      </c>
      <c r="G284" s="262" t="s">
        <v>449</v>
      </c>
      <c r="H284" s="261"/>
      <c r="I284" s="261"/>
      <c r="J284" s="264" t="s">
        <v>469</v>
      </c>
    </row>
    <row r="285" spans="2:10">
      <c r="B285" s="212"/>
      <c r="C285" s="212"/>
      <c r="D285" s="212" t="str">
        <f>D194</f>
        <v>INDIDLAELCN1</v>
      </c>
      <c r="E285" s="212" t="str">
        <f t="shared" si="269"/>
        <v>Industry Mining LA Electricity Light Appliance - New 1</v>
      </c>
      <c r="F285" s="262" t="s">
        <v>450</v>
      </c>
      <c r="G285" s="262" t="s">
        <v>449</v>
      </c>
      <c r="H285" s="261"/>
      <c r="I285" s="261"/>
      <c r="J285" s="264" t="s">
        <v>469</v>
      </c>
    </row>
    <row r="286" spans="2:10">
      <c r="B286" s="212"/>
      <c r="C286" s="212"/>
      <c r="D286" s="212" t="str">
        <f>D198</f>
        <v>INDIDEMELCN1</v>
      </c>
      <c r="E286" s="212" t="str">
        <f t="shared" si="269"/>
        <v>Industry Mining EM Electricity Motors - New 1</v>
      </c>
      <c r="F286" s="262" t="s">
        <v>450</v>
      </c>
      <c r="G286" s="262" t="s">
        <v>449</v>
      </c>
      <c r="H286" s="261"/>
      <c r="I286" s="261"/>
      <c r="J286" s="264" t="s">
        <v>469</v>
      </c>
    </row>
    <row r="287" spans="2:10">
      <c r="B287" s="212"/>
      <c r="C287" s="212"/>
      <c r="D287" s="212" t="str">
        <f>D202</f>
        <v>INDIDTFDSLN1</v>
      </c>
      <c r="E287" s="212" t="str">
        <f t="shared" si="269"/>
        <v>Industry Mining TF Tractors, Trucks, Fishing boats - New 1</v>
      </c>
      <c r="F287" s="262" t="s">
        <v>450</v>
      </c>
      <c r="G287" s="262" t="s">
        <v>2078</v>
      </c>
      <c r="H287" s="261"/>
      <c r="I287" s="261"/>
      <c r="J287" s="264" t="s">
        <v>469</v>
      </c>
    </row>
    <row r="288" spans="2:10">
      <c r="B288" s="212"/>
      <c r="C288" s="212"/>
      <c r="D288" s="212" t="str">
        <f>D206</f>
        <v>INDIDTFH2GN2</v>
      </c>
      <c r="E288" s="212" t="str">
        <f t="shared" si="269"/>
        <v>Industry Mining TF Tractors, Trucks, Fishing boats - New 2</v>
      </c>
      <c r="F288" s="262" t="s">
        <v>450</v>
      </c>
      <c r="G288" s="262" t="s">
        <v>2078</v>
      </c>
      <c r="H288" s="261"/>
      <c r="I288" s="261"/>
      <c r="J288" s="264" t="s">
        <v>469</v>
      </c>
    </row>
    <row r="289" spans="2:10">
      <c r="B289" s="212"/>
      <c r="C289" s="212"/>
      <c r="D289" s="212" t="str">
        <f>D210</f>
        <v>INDIDTFELCN3</v>
      </c>
      <c r="E289" s="212" t="str">
        <f t="shared" si="269"/>
        <v>Industry Mining TF Tractors, Trucks, Fishing boats - New 3</v>
      </c>
      <c r="F289" s="262" t="s">
        <v>450</v>
      </c>
      <c r="G289" s="262" t="s">
        <v>2078</v>
      </c>
      <c r="H289" s="261"/>
      <c r="I289" s="261"/>
      <c r="J289" s="264" t="s">
        <v>469</v>
      </c>
    </row>
    <row r="290" spans="2:10">
      <c r="B290" s="212"/>
      <c r="C290" s="212"/>
      <c r="D290" s="212" t="str">
        <f>D214</f>
        <v>INDIDFLSYNN1</v>
      </c>
      <c r="E290" s="212" t="str">
        <f t="shared" si="269"/>
        <v>Industry Mining TF Forklifts - New 1</v>
      </c>
      <c r="F290" s="262" t="s">
        <v>450</v>
      </c>
      <c r="G290" s="262" t="s">
        <v>449</v>
      </c>
      <c r="H290" s="261"/>
      <c r="I290" s="261"/>
      <c r="J290" s="264" t="s">
        <v>469</v>
      </c>
    </row>
    <row r="291" spans="2:10">
      <c r="B291" s="212"/>
      <c r="C291" s="212"/>
      <c r="D291" s="212" t="str">
        <f>D218</f>
        <v>INDIDCOELCN1</v>
      </c>
      <c r="E291" s="212" t="str">
        <f>E218</f>
        <v>Industry Mining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Mining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Mining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Mining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Mining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Mining - Particle emission</v>
      </c>
      <c r="F300" s="219" t="s">
        <v>352</v>
      </c>
      <c r="G300" s="211"/>
      <c r="H300" s="214"/>
      <c r="I300" s="214"/>
      <c r="J300" s="214"/>
    </row>
    <row r="301" spans="2:10">
      <c r="B301" s="224" t="s">
        <v>1057</v>
      </c>
      <c r="D301" s="224" t="str">
        <f>AI20</f>
        <v>INDIWH</v>
      </c>
      <c r="E301" s="270" t="str">
        <f>"Industrial heating technology "&amp;$AJ$12&amp;" - Waste heat"</f>
        <v>Industrial heating technology Mining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366FB9B-FF25-41C5-96C9-CBB893057C75}">
          <x14:formula1>
            <xm:f>'Oil-fired boiler_NEW'!$T$4:$X$4</xm:f>
          </x14:formula1>
          <xm:sqref>E1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DE50E-67AD-4BD9-B9DD-192AE8B500D6}">
  <sheetPr>
    <tabColor rgb="FF00B050"/>
  </sheetPr>
  <dimension ref="A1:AP301"/>
  <sheetViews>
    <sheetView topLeftCell="J29"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1138</v>
      </c>
      <c r="N2" s="731"/>
      <c r="O2" s="731"/>
      <c r="P2" s="731"/>
      <c r="S2" s="726">
        <f>MATCH($E$1,$AJ$22:$AJ$35)</f>
        <v>13</v>
      </c>
      <c r="T2" s="778">
        <f>MATCH($E$1,$AJ$22:$AJ$35)+1</f>
        <v>14</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FEMIS~IIDSOx</v>
      </c>
      <c r="Y6" s="280" t="str">
        <f>"FEMIS~"&amp;D297</f>
        <v>FEMIS~IIDNOx</v>
      </c>
      <c r="Z6" s="280" t="str">
        <f>"FEMIS~"&amp;D298</f>
        <v>FEMIS~IIDCH4</v>
      </c>
      <c r="AA6" s="280" t="str">
        <f>"FEMIS~"&amp;D299</f>
        <v>FEMIS~IIDNO2</v>
      </c>
      <c r="AB6" s="280" t="str">
        <f>"FEMIS~"&amp;D300</f>
        <v>FEMIS~IIDPM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INDSDPHELCN1</v>
      </c>
      <c r="E9" s="261" t="str">
        <f>"Industrial heating technology "&amp;$AJ$12&amp;" "&amp;RIGHT(H9,2)&amp;" - Heat pump utilizing waste heat - new 1"</f>
        <v>Industrial heating technology Iron &amp; Steel PH - Heat pump utilizing waste heat - new 1</v>
      </c>
      <c r="F9" s="224" t="s">
        <v>1149</v>
      </c>
      <c r="G9" s="173" t="s">
        <v>499</v>
      </c>
      <c r="H9" s="174" t="str">
        <f>$AI$14</f>
        <v>ISDPH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INDSWH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ISDPH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INDSWH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Iron &amp; Steel</v>
      </c>
    </row>
    <row r="13" spans="2:42">
      <c r="B13" s="357" t="s">
        <v>998</v>
      </c>
      <c r="D13" s="212"/>
      <c r="E13" s="212"/>
      <c r="F13" s="224" t="s">
        <v>1149</v>
      </c>
      <c r="G13" s="173" t="s">
        <v>499</v>
      </c>
      <c r="H13" s="174" t="str">
        <f>$AI$14</f>
        <v>ISDPH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ISDPH</v>
      </c>
      <c r="AJ13" s="224" t="str">
        <f>AP14</f>
        <v>Iron &amp; Steel  Demand Heat High Temp. over 150C</v>
      </c>
      <c r="AO13" s="224" t="s">
        <v>2091</v>
      </c>
      <c r="AP13" s="224" t="s">
        <v>1201</v>
      </c>
    </row>
    <row r="14" spans="2:42">
      <c r="B14" s="357" t="s">
        <v>998</v>
      </c>
      <c r="D14" s="212"/>
      <c r="E14" s="212"/>
      <c r="F14" s="224" t="s">
        <v>1149</v>
      </c>
      <c r="G14" s="173" t="str">
        <f>$AI$20</f>
        <v>INDSWH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ISDPH</v>
      </c>
      <c r="AJ14" s="224" t="str">
        <f>AP13</f>
        <v>Iron &amp; Steel  Demand Heat Medium Temp. up to 150C</v>
      </c>
      <c r="AO14" s="224" t="s">
        <v>2091</v>
      </c>
      <c r="AP14" s="224" t="s">
        <v>1202</v>
      </c>
    </row>
    <row r="15" spans="2:42">
      <c r="B15" s="357" t="s">
        <v>998</v>
      </c>
      <c r="D15" s="212" t="str">
        <f>"IND"&amp;RIGHT(H15,4)&amp;RIGHT(G15,3)&amp;"N"&amp;RIGHT(E15,1)</f>
        <v>INDSDSHELCN1</v>
      </c>
      <c r="E15" s="261" t="str">
        <f>"Industrial heating technology "&amp;$AJ$12&amp;" "&amp;RIGHT(H15,2)&amp;" - Heat pump utilizing waste heat - new 1"</f>
        <v>Industrial heating technology Iron &amp; Steel SH - Heat pump utilizing waste heat - new 1</v>
      </c>
      <c r="F15" s="224" t="s">
        <v>1149</v>
      </c>
      <c r="G15" s="173" t="s">
        <v>499</v>
      </c>
      <c r="H15" s="174" t="str">
        <f>$AI$15</f>
        <v>ISDSH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ISDSH</v>
      </c>
      <c r="AJ15" s="224" t="str">
        <f>AP15</f>
        <v>Iron &amp; Steel  Demand Heat Room Heat</v>
      </c>
      <c r="AO15" s="224" t="s">
        <v>2092</v>
      </c>
      <c r="AP15" s="224" t="s">
        <v>1203</v>
      </c>
    </row>
    <row r="16" spans="2:42">
      <c r="B16" s="357" t="s">
        <v>998</v>
      </c>
      <c r="D16" s="212"/>
      <c r="E16" s="261"/>
      <c r="F16" s="224" t="s">
        <v>1149</v>
      </c>
      <c r="G16" s="173" t="str">
        <f>$AI$20</f>
        <v>INDSWH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ISDLA</v>
      </c>
      <c r="AJ16" s="224" t="str">
        <f t="shared" si="0"/>
        <v>Iron &amp; Steel  Demand Light</v>
      </c>
      <c r="AO16" s="224" t="s">
        <v>1204</v>
      </c>
      <c r="AP16" s="224" t="s">
        <v>1205</v>
      </c>
    </row>
    <row r="17" spans="2:42">
      <c r="B17" s="357" t="s">
        <v>998</v>
      </c>
      <c r="D17" s="212"/>
      <c r="E17" s="212"/>
      <c r="F17" s="224" t="s">
        <v>1149</v>
      </c>
      <c r="G17" s="173" t="s">
        <v>499</v>
      </c>
      <c r="H17" s="174" t="str">
        <f>$AI$15</f>
        <v>ISDSH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ISDEM</v>
      </c>
      <c r="AJ17" s="224" t="str">
        <f t="shared" si="0"/>
        <v>Iron &amp; Steel  Demand Electric Motors</v>
      </c>
      <c r="AO17" s="224" t="s">
        <v>1206</v>
      </c>
      <c r="AP17" s="224" t="s">
        <v>1207</v>
      </c>
    </row>
    <row r="18" spans="2:42">
      <c r="B18" s="357" t="s">
        <v>998</v>
      </c>
      <c r="D18" s="212"/>
      <c r="E18" s="212"/>
      <c r="F18" s="224" t="s">
        <v>1149</v>
      </c>
      <c r="G18" s="173" t="str">
        <f>$AI$20</f>
        <v>INDSWH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ISDTF</v>
      </c>
      <c r="AJ18" s="224" t="str">
        <f t="shared" si="0"/>
        <v>Iron &amp; Steel  Demand Haulage Tractors, Trucks, Fishing boats, Forest machines</v>
      </c>
      <c r="AO18" s="224" t="s">
        <v>1208</v>
      </c>
      <c r="AP18" s="224" t="s">
        <v>1209</v>
      </c>
    </row>
    <row r="19" spans="2:42">
      <c r="B19" s="357" t="s">
        <v>998</v>
      </c>
      <c r="D19" s="212"/>
      <c r="E19" s="212"/>
      <c r="F19" s="224" t="s">
        <v>1149</v>
      </c>
      <c r="G19" s="173" t="s">
        <v>499</v>
      </c>
      <c r="H19" s="174" t="str">
        <f>$AI$15</f>
        <v>ISDSH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ISDFL</v>
      </c>
      <c r="AJ19" s="224" t="str">
        <f t="shared" si="0"/>
        <v>Iron &amp; Steel  Demand Haulage Forklifts</v>
      </c>
      <c r="AO19" s="224" t="s">
        <v>1210</v>
      </c>
      <c r="AP19" s="224" t="s">
        <v>1211</v>
      </c>
    </row>
    <row r="20" spans="2:42">
      <c r="B20" s="357" t="s">
        <v>998</v>
      </c>
      <c r="D20" s="212"/>
      <c r="E20" s="212"/>
      <c r="F20" s="224" t="s">
        <v>1149</v>
      </c>
      <c r="G20" s="173" t="str">
        <f>$AI$20</f>
        <v>INDSWH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INDSWH</v>
      </c>
      <c r="AJ20" s="224" t="str">
        <f>$AJ$12&amp;" Industrial Waste Heat"</f>
        <v>Iron &amp; Steel Industrial Waste Heat</v>
      </c>
    </row>
    <row r="21" spans="2:42">
      <c r="B21" s="357" t="s">
        <v>999</v>
      </c>
      <c r="D21" s="212" t="str">
        <f>"IND"&amp;RIGHT(H21,4)&amp;RIGHT(G21,3)&amp;"N"&amp;RIGHT(E21,1)</f>
        <v>INDSDPHELCN2</v>
      </c>
      <c r="E21" s="261" t="str">
        <f>"Industrial heating technology "&amp;$AJ$12&amp;" "&amp;RIGHT(H21,2)&amp;" - Heat driven heat pump utilizing waste heat - new 2"</f>
        <v>Industrial heating technology Iron &amp; Steel PH - Heat driven heat pump utilizing waste heat - new 2</v>
      </c>
      <c r="F21" s="224" t="s">
        <v>1149</v>
      </c>
      <c r="G21" s="173" t="s">
        <v>499</v>
      </c>
      <c r="H21" s="174" t="str">
        <f>$AI$14</f>
        <v>ISDPH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2116</v>
      </c>
      <c r="AJ21" s="224" t="s">
        <v>2115</v>
      </c>
    </row>
    <row r="22" spans="2:42">
      <c r="B22" s="357" t="s">
        <v>999</v>
      </c>
      <c r="D22" s="212"/>
      <c r="E22" s="261"/>
      <c r="F22" s="224" t="s">
        <v>1149</v>
      </c>
      <c r="G22" s="173" t="str">
        <f>$AI$20</f>
        <v>INDSWH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ISDPH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INDSWH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ISDPH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INDSWH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INDSDSHELCN2</v>
      </c>
      <c r="E27" s="261" t="str">
        <f>"Industrial heating technology "&amp;$AJ$12&amp;" "&amp;RIGHT(H27,2)&amp;" - Heat driven heat pump utilizing waste heat - new 2"</f>
        <v>Industrial heating technology Iron &amp; Steel SH - Heat driven heat pump utilizing waste heat - new 2</v>
      </c>
      <c r="F27" s="224" t="s">
        <v>1149</v>
      </c>
      <c r="G27" s="173" t="s">
        <v>499</v>
      </c>
      <c r="H27" s="174" t="str">
        <f>$AI$15</f>
        <v>ISDSH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INDSWH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ISDSH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INDSWH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ISDSH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INDSWH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INDSDPHELCN3</v>
      </c>
      <c r="E33" s="261" t="str">
        <f>"Industrial heating technology "&amp;$AJ$12&amp;" "&amp;RIGHT(H33,2)&amp;" - High Temp abs. Heat pump utilizing waste heat - new 3"</f>
        <v>Industrial heating technology Iron &amp; Steel PH - High Temp abs. Heat pump utilizing waste heat - new 3</v>
      </c>
      <c r="F33" s="224" t="s">
        <v>1149</v>
      </c>
      <c r="G33" s="173" t="s">
        <v>499</v>
      </c>
      <c r="H33" s="174" t="str">
        <f>$AI$14</f>
        <v>ISDPH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INDSWH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ISDPH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INDSWH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ISDPH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INDSWH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INDSDSHELCN3</v>
      </c>
      <c r="E39" s="261" t="str">
        <f>"Industrial heating technology "&amp;$AJ$12&amp;" "&amp;RIGHT(H39,2)&amp;" - High Temp abs. Heat pump utilizing waste heat - new 3"</f>
        <v>Industrial heating technology Iron &amp; Steel SH - High Temp abs. Heat pump utilizing waste heat - new 3</v>
      </c>
      <c r="F39" s="224" t="s">
        <v>1149</v>
      </c>
      <c r="G39" s="173" t="s">
        <v>499</v>
      </c>
      <c r="H39" s="174" t="str">
        <f>$AI$15</f>
        <v>ISDSH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INDSWH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ISDSH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INDSWH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ISDSH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INDSWH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INDSDPHELCN4</v>
      </c>
      <c r="E45" s="261" t="str">
        <f>"Industrial heating technology "&amp;$AJ$12&amp;" "&amp;RIGHT(H45,2)&amp;" - Booster Heat pump utilizing waste heat - new 4"</f>
        <v>Industrial heating technology Iron &amp; Steel PH - Booster Heat pump utilizing waste heat - new 4</v>
      </c>
      <c r="F45" s="224" t="s">
        <v>1149</v>
      </c>
      <c r="G45" s="173" t="s">
        <v>499</v>
      </c>
      <c r="H45" s="174" t="str">
        <f>$AI$14</f>
        <v>ISDPH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INDSWH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ISDPH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INDSWH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ISDPH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INDSWH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INDSDSHELCN4</v>
      </c>
      <c r="E51" s="261" t="str">
        <f>"Industrial heating technology "&amp;$AJ$12&amp;" "&amp;RIGHT(H51,2)&amp;" - Booster Heat pump utilizing waste heat - new 4"</f>
        <v>Industrial heating technology Iron &amp; Steel SH - Booster Heat pump utilizing waste heat - new 4</v>
      </c>
      <c r="F51" s="224" t="s">
        <v>1149</v>
      </c>
      <c r="G51" s="173" t="s">
        <v>499</v>
      </c>
      <c r="H51" s="174" t="str">
        <f>$AI$15</f>
        <v>ISDSH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INDSWH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ISDSH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INDSWH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ISDSH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INDSWH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INDSDPHELCN5</v>
      </c>
      <c r="E57" s="261" t="str">
        <f>"Industrial heating technology "&amp;$AJ$12&amp;" "&amp;RIGHT(H57,2)&amp;" - MVR utilizing waste heat - new 5"</f>
        <v>Industrial heating technology Iron &amp; Steel PH - MVR utilizing waste heat - new 5</v>
      </c>
      <c r="F57" s="224" t="s">
        <v>1149</v>
      </c>
      <c r="G57" s="173" t="s">
        <v>499</v>
      </c>
      <c r="H57" s="174" t="str">
        <f>$AI$14</f>
        <v>ISDPH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INDSWH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ISDPH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INDSWH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ISDPH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INDSWH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INDSDPHWSTN1</v>
      </c>
      <c r="E63" s="261" t="str">
        <f>"Industrial heating technology "&amp;$AJ$12&amp;" "&amp;RIGHT(H63,2)&amp;" - Hotdisc - new 1"</f>
        <v>Industrial heating technology Iron &amp; Steel PH - Hotdisc - new 1</v>
      </c>
      <c r="F63" s="224" t="s">
        <v>1149</v>
      </c>
      <c r="G63" s="832" t="s">
        <v>1005</v>
      </c>
      <c r="H63" s="174" t="str">
        <f>$AI$13</f>
        <v>ISDPH</v>
      </c>
      <c r="I63" s="173" t="str">
        <f t="shared" ref="I63:I126" si="22">$AI$20</f>
        <v>INDSWH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INDSWH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INDSWH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INDSDPHELCN6</v>
      </c>
      <c r="E66" s="261" t="str">
        <f>"Industrial heating technology "&amp;$AJ$12&amp;" "&amp;RIGHT(H66,2)&amp;" - Dielectric heating - new 6"</f>
        <v>Industrial heating technology Iron &amp; Steel PH - Dielectric heating - new 6</v>
      </c>
      <c r="F66" s="224" t="s">
        <v>1149</v>
      </c>
      <c r="G66" s="173" t="s">
        <v>499</v>
      </c>
      <c r="H66" s="174" t="str">
        <f>$AI$14</f>
        <v>ISDPH</v>
      </c>
      <c r="I66" s="173" t="str">
        <f t="shared" si="22"/>
        <v>INDSWH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INDSWH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INDSWH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INDSDPHELCN7</v>
      </c>
      <c r="E69" s="261" t="str">
        <f>"Industrial heating technology "&amp;$AJ$12&amp;" "&amp;RIGHT(H69,2)&amp;" - Infrared heating - new 7"</f>
        <v>Industrial heating technology Iron &amp; Steel PH - Infrared heating - new 7</v>
      </c>
      <c r="F69" s="224" t="s">
        <v>1149</v>
      </c>
      <c r="G69" s="173" t="s">
        <v>499</v>
      </c>
      <c r="H69" s="174" t="str">
        <f>$AI$14</f>
        <v>ISDPH</v>
      </c>
      <c r="I69" s="173" t="str">
        <f t="shared" si="22"/>
        <v>INDSWH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INDSWH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INDSWH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INDSDPHELCN8</v>
      </c>
      <c r="E72" s="261" t="str">
        <f>"Industrial heating technology "&amp;$AJ$12&amp;" "&amp;RIGHT(H72,2)&amp;" - Electric boiler (Steam) - new 8"</f>
        <v>Industrial heating technology Iron &amp; Steel PH - Electric boiler (Steam) - new 8</v>
      </c>
      <c r="F72" s="224" t="s">
        <v>1149</v>
      </c>
      <c r="G72" s="173" t="s">
        <v>499</v>
      </c>
      <c r="H72" s="174" t="str">
        <f>$AI$13</f>
        <v>ISDPH</v>
      </c>
      <c r="I72" s="174" t="str">
        <f t="shared" si="22"/>
        <v>INDSWH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INDSWH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INDSWH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INDSDPHELCN8</v>
      </c>
      <c r="E75" s="261" t="str">
        <f>"Industrial heating technology "&amp;$AJ$12&amp;" "&amp;RIGHT(H75,2)&amp;" - Electric boiler (Steam) - new 8"</f>
        <v>Industrial heating technology Iron &amp; Steel PH - Electric boiler (Steam) - new 8</v>
      </c>
      <c r="F75" s="224" t="s">
        <v>1149</v>
      </c>
      <c r="G75" s="173" t="s">
        <v>499</v>
      </c>
      <c r="H75" s="174" t="str">
        <f>$AI$14</f>
        <v>ISDPH</v>
      </c>
      <c r="I75" s="174" t="str">
        <f t="shared" si="22"/>
        <v>INDSWH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INDSWH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INDSWH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INDSDSHELCN8</v>
      </c>
      <c r="E78" s="261" t="str">
        <f>"Industrial heating technology "&amp;$AJ$12&amp;" "&amp;RIGHT(H78,2)&amp;" - Electric boiler (Steam) - new 8"</f>
        <v>Industrial heating technology Iron &amp; Steel SH - Electric boiler (Steam) - new 8</v>
      </c>
      <c r="F78" s="224" t="s">
        <v>1149</v>
      </c>
      <c r="G78" s="173" t="s">
        <v>499</v>
      </c>
      <c r="H78" s="174" t="str">
        <f>$AI$15</f>
        <v>ISDSH</v>
      </c>
      <c r="I78" s="174" t="str">
        <f t="shared" si="22"/>
        <v>INDSWH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INDSWH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INDSWH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INDSDPHELCN9</v>
      </c>
      <c r="E81" s="707" t="str">
        <f>"Industrial heating technology "&amp;$AJ$12&amp;" "&amp;RIGHT(H81,2)&amp;" - Electric boiler (Hot Water) - new 9"</f>
        <v>Industrial heating technology Iron &amp; Steel PH - Electric boiler (Hot Water) - new 9</v>
      </c>
      <c r="F81" s="224" t="s">
        <v>1149</v>
      </c>
      <c r="G81" s="708" t="s">
        <v>499</v>
      </c>
      <c r="H81" s="708" t="str">
        <f>$AI$14</f>
        <v>ISDPH</v>
      </c>
      <c r="I81" s="708" t="str">
        <f t="shared" si="22"/>
        <v>INDSWH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INDSWH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INDSWH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INDSDSHELCN9</v>
      </c>
      <c r="E84" s="261" t="str">
        <f>"Industrial heating technology "&amp;$AJ$12&amp;" "&amp;RIGHT(H84,2)&amp;" - Electric boiler (Hot Water) - new 9"</f>
        <v>Industrial heating technology Iron &amp; Steel SH - Electric boiler (Hot Water) - new 9</v>
      </c>
      <c r="F84" s="224" t="s">
        <v>1149</v>
      </c>
      <c r="G84" s="174" t="s">
        <v>499</v>
      </c>
      <c r="H84" s="174" t="str">
        <f>$AI$15</f>
        <v>ISDSH</v>
      </c>
      <c r="I84" s="174" t="str">
        <f t="shared" si="22"/>
        <v>INDSWH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INDSWH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INDSWH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INDSDPHWCHN1</v>
      </c>
      <c r="E87" s="261" t="str">
        <f>"Industrial heating technology "&amp;$AJ$12&amp;" "&amp;RIGHT(H87,2)&amp;" - Wood chip boiler (Steam) - new 1"</f>
        <v>Industrial heating technology Iron &amp; Steel PH - Wood chip boiler (Steam) - new 1</v>
      </c>
      <c r="F87" s="224" t="s">
        <v>1149</v>
      </c>
      <c r="G87" s="173" t="s">
        <v>498</v>
      </c>
      <c r="H87" s="174" t="str">
        <f>$AI$13</f>
        <v>ISDPH</v>
      </c>
      <c r="I87" s="174" t="str">
        <f t="shared" si="22"/>
        <v>INDSWH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INDSWH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INDSWH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INDSDPHWCHN1</v>
      </c>
      <c r="E90" s="261" t="str">
        <f>"Industrial heating technology "&amp;$AJ$12&amp;" "&amp;RIGHT(H90,2)&amp;" - Wood chip boiler (Steam) - new 1"</f>
        <v>Industrial heating technology Iron &amp; Steel PH - Wood chip boiler (Steam) - new 1</v>
      </c>
      <c r="F90" s="224" t="s">
        <v>1149</v>
      </c>
      <c r="G90" s="173" t="s">
        <v>498</v>
      </c>
      <c r="H90" s="174" t="str">
        <f>$AI$14</f>
        <v>ISDPH</v>
      </c>
      <c r="I90" s="174" t="str">
        <f t="shared" si="22"/>
        <v>INDSWH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INDSWH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INDSWH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INDSDSHWCHN1</v>
      </c>
      <c r="E93" s="261" t="str">
        <f>"Industrial heating technology "&amp;$AJ$12&amp;" "&amp;RIGHT(H93,2)&amp;" - Wood chip boiler (Steam) - new 1"</f>
        <v>Industrial heating technology Iron &amp; Steel SH - Wood chip boiler (Steam) - new 1</v>
      </c>
      <c r="F93" s="224" t="s">
        <v>1149</v>
      </c>
      <c r="G93" s="173" t="s">
        <v>498</v>
      </c>
      <c r="H93" s="174" t="str">
        <f>$AI$15</f>
        <v>ISDSH</v>
      </c>
      <c r="I93" s="174" t="str">
        <f t="shared" si="22"/>
        <v>INDSWH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INDSWH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INDSWH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INDSDPHWCHN2</v>
      </c>
      <c r="E96" s="707" t="str">
        <f>"Industrial heating technology "&amp;$AJ$12&amp;" "&amp;RIGHT(H96,2)&amp;" - Wood chip boiler (Steam - condensing) - new 2"</f>
        <v>Industrial heating technology Iron &amp; Steel PH - Wood chip boiler (Steam - condensing) - new 2</v>
      </c>
      <c r="F96" s="224" t="s">
        <v>1149</v>
      </c>
      <c r="G96" s="708" t="s">
        <v>498</v>
      </c>
      <c r="H96" s="708" t="str">
        <f>$AI$14</f>
        <v>ISDPH</v>
      </c>
      <c r="I96" s="708" t="str">
        <f t="shared" si="22"/>
        <v>INDSWH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INDSWH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INDSWH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INDSDSHWCHN2</v>
      </c>
      <c r="E99" s="261" t="str">
        <f>"Industrial heating technology "&amp;$AJ$12&amp;" "&amp;RIGHT(H99,2)&amp;" - Wood chip boiler (Steam - condensing) - new 2"</f>
        <v>Industrial heating technology Iron &amp; Steel SH - Wood chip boiler (Steam - condensing) - new 2</v>
      </c>
      <c r="F99" s="224" t="s">
        <v>1149</v>
      </c>
      <c r="G99" s="174" t="s">
        <v>498</v>
      </c>
      <c r="H99" s="174" t="str">
        <f>$AI$15</f>
        <v>ISDSH</v>
      </c>
      <c r="I99" s="174" t="str">
        <f t="shared" si="22"/>
        <v>INDSWH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INDSWH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INDSWH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INDSDPHWCHN3</v>
      </c>
      <c r="E102" s="707" t="str">
        <f>"Industrial heating technology "&amp;$AJ$12&amp;" "&amp;RIGHT(H102,2)&amp;" - Wood chip boiler (Hot Water) - new 3"</f>
        <v>Industrial heating technology Iron &amp; Steel PH - Wood chip boiler (Hot Water) - new 3</v>
      </c>
      <c r="F102" s="224" t="s">
        <v>1149</v>
      </c>
      <c r="G102" s="708" t="s">
        <v>498</v>
      </c>
      <c r="H102" s="708" t="str">
        <f>$AI$14</f>
        <v>ISDPH</v>
      </c>
      <c r="I102" s="708" t="str">
        <f t="shared" si="22"/>
        <v>INDSWH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INDSWH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INDSWH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INDSDSHWCHN3</v>
      </c>
      <c r="E105" s="261" t="str">
        <f>"Industrial heating technology "&amp;$AJ$12&amp;" "&amp;RIGHT(H105,2)&amp;" - Wood chip boiler (Hot Water) - new 3"</f>
        <v>Industrial heating technology Iron &amp; Steel SH - Wood chip boiler (Hot Water) - new 3</v>
      </c>
      <c r="F105" s="224" t="s">
        <v>1149</v>
      </c>
      <c r="G105" s="174" t="s">
        <v>498</v>
      </c>
      <c r="H105" s="174" t="str">
        <f>$AI$15</f>
        <v>ISDSH</v>
      </c>
      <c r="I105" s="174" t="str">
        <f t="shared" si="22"/>
        <v>INDSWH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INDSWH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INDSWH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INDSDPHWCHN4</v>
      </c>
      <c r="E108" s="707" t="str">
        <f>"Industrial heating technology "&amp;$AJ$12&amp;" "&amp;RIGHT(H108,2)&amp;" - Wood chip boiler (Hot Water - condensing) - new 4"</f>
        <v>Industrial heating technology Iron &amp; Steel PH - Wood chip boiler (Hot Water - condensing) - new 4</v>
      </c>
      <c r="F108" s="224" t="s">
        <v>1149</v>
      </c>
      <c r="G108" s="708" t="s">
        <v>498</v>
      </c>
      <c r="H108" s="708" t="str">
        <f>$AI$14</f>
        <v>ISDPH</v>
      </c>
      <c r="I108" s="708" t="str">
        <f t="shared" si="22"/>
        <v>INDSWH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INDSWH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INDSWH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INDSDSHWCHN4</v>
      </c>
      <c r="E111" s="261" t="str">
        <f>"Industrial heating technology "&amp;$AJ$12&amp;" "&amp;RIGHT(H111,2)&amp;" - Wood chip boiler (Hot Water- condensing) - new 4"</f>
        <v>Industrial heating technology Iron &amp; Steel SH - Wood chip boiler (Hot Water- condensing) - new 4</v>
      </c>
      <c r="F111" s="224" t="s">
        <v>1149</v>
      </c>
      <c r="G111" s="174" t="s">
        <v>498</v>
      </c>
      <c r="H111" s="174" t="str">
        <f>$AI$15</f>
        <v>ISDSH</v>
      </c>
      <c r="I111" s="174" t="str">
        <f t="shared" si="22"/>
        <v>INDSWH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INDSWH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INDSWH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INDSDPHELCN10</v>
      </c>
      <c r="E114" s="261" t="str">
        <f>"Industrial heating technology "&amp;$AJ$12&amp;" "&amp;RIGHT(H114,2)&amp;" - Direct electric heating - new 10"</f>
        <v>Industrial heating technology Iron &amp; Steel PH - Direct electric heating - new 10</v>
      </c>
      <c r="F114" s="224" t="s">
        <v>1149</v>
      </c>
      <c r="G114" s="173" t="s">
        <v>499</v>
      </c>
      <c r="H114" s="174" t="str">
        <f>$AI$13</f>
        <v>ISDPH</v>
      </c>
      <c r="I114" s="174" t="str">
        <f t="shared" si="22"/>
        <v>INDSWH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INDSWH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INDSWH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INDSDPHELCN10</v>
      </c>
      <c r="E117" s="261" t="str">
        <f>"Industrial heating technology "&amp;$AJ$12&amp;" "&amp;RIGHT(H117,2)&amp;" - Direct electric heating - new 10"</f>
        <v>Industrial heating technology Iron &amp; Steel PH - Direct electric heating - new 10</v>
      </c>
      <c r="F117" s="224" t="s">
        <v>1149</v>
      </c>
      <c r="G117" s="173" t="s">
        <v>499</v>
      </c>
      <c r="H117" s="174" t="str">
        <f>$AI$14</f>
        <v>ISDPH</v>
      </c>
      <c r="I117" s="174" t="str">
        <f t="shared" si="22"/>
        <v>INDSWH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INDSWH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INDSWH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INDSDPHDSLN1</v>
      </c>
      <c r="E120" s="261" t="str">
        <f>"Industrial heating technology "&amp;$AJ$12&amp;" "&amp;RIGHT(H120,2)&amp;" - Oil boiler (Steam) - new 1"</f>
        <v>Industrial heating technology Iron &amp; Steel PH - Oil boiler (Steam) - new 1</v>
      </c>
      <c r="F120" s="224" t="s">
        <v>1149</v>
      </c>
      <c r="G120" s="173" t="s">
        <v>2081</v>
      </c>
      <c r="H120" s="174" t="str">
        <f>$AI$13</f>
        <v>ISDPH</v>
      </c>
      <c r="I120" s="174" t="str">
        <f t="shared" si="22"/>
        <v>INDSWH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INDSWH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INDSWH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INDSDPHDSLN1</v>
      </c>
      <c r="E123" s="261" t="str">
        <f>"Industrial heating technology "&amp;$AJ$12&amp;" "&amp;RIGHT(H123,2)&amp;" - Oil boiler (Steam) - new 1"</f>
        <v>Industrial heating technology Iron &amp; Steel PH - Oil boiler (Steam) - new 1</v>
      </c>
      <c r="F123" s="224" t="s">
        <v>1149</v>
      </c>
      <c r="G123" s="173" t="s">
        <v>2081</v>
      </c>
      <c r="H123" s="174" t="str">
        <f>$AI$14</f>
        <v>ISDPH</v>
      </c>
      <c r="I123" s="174" t="str">
        <f t="shared" si="22"/>
        <v>INDSWH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INDSWH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INDSWH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INDSDSHDSLN1</v>
      </c>
      <c r="E126" s="261" t="str">
        <f>"Industrial heating technology "&amp;$AJ$12&amp;" "&amp;RIGHT(H126,2)&amp;" - Oil boiler (Steam) - new 1"</f>
        <v>Industrial heating technology Iron &amp; Steel SH - Oil boiler (Steam) - new 1</v>
      </c>
      <c r="F126" s="224" t="s">
        <v>1149</v>
      </c>
      <c r="G126" s="173" t="s">
        <v>2081</v>
      </c>
      <c r="H126" s="174" t="str">
        <f>$AI$15</f>
        <v>ISDSH</v>
      </c>
      <c r="I126" s="174" t="str">
        <f t="shared" si="22"/>
        <v>INDSWH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INDSWH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INDSWH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INDSDPHDSLN2</v>
      </c>
      <c r="E129" s="707" t="str">
        <f>"Industrial heating technology "&amp;$AJ$12&amp;" "&amp;RIGHT(H129,2)&amp;" - Oil boiler (Steam - condensing) - new 2"</f>
        <v>Industrial heating technology Iron &amp; Steel PH - Oil boiler (Steam - condensing) - new 2</v>
      </c>
      <c r="F129" s="224" t="s">
        <v>1149</v>
      </c>
      <c r="G129" s="173" t="s">
        <v>2081</v>
      </c>
      <c r="H129" s="708" t="str">
        <f>$AI$14</f>
        <v>ISDPH</v>
      </c>
      <c r="I129" s="708" t="str">
        <f t="shared" si="143"/>
        <v>INDSWH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INDSWH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INDSWH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INDSDSHDSLN2</v>
      </c>
      <c r="E132" s="261" t="str">
        <f>"Industrial heating technology "&amp;$AJ$12&amp;" "&amp;RIGHT(H132,2)&amp;" - Oil boiler (Steam - condensing) - new 2"</f>
        <v>Industrial heating technology Iron &amp; Steel SH - Oil boiler (Steam - condensing) - new 2</v>
      </c>
      <c r="F132" s="224" t="s">
        <v>1149</v>
      </c>
      <c r="G132" s="173" t="s">
        <v>2081</v>
      </c>
      <c r="H132" s="174" t="str">
        <f>$AI$15</f>
        <v>ISDSH</v>
      </c>
      <c r="I132" s="174" t="str">
        <f t="shared" si="143"/>
        <v>INDSWH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INDSWH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INDSWH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INDSDPHGASN1</v>
      </c>
      <c r="E135" s="261" t="str">
        <f>"Industrial heating technology "&amp;$AJ$12&amp;" "&amp;RIGHT(H135,2)&amp;" - Gas boiler (Steam) - new 1"</f>
        <v>Industrial heating technology Iron &amp; Steel PH - Gas boiler (Steam) - new 1</v>
      </c>
      <c r="F135" s="224" t="s">
        <v>1149</v>
      </c>
      <c r="G135" s="173" t="s">
        <v>2080</v>
      </c>
      <c r="H135" s="174" t="str">
        <f>$AI$13</f>
        <v>ISDPH</v>
      </c>
      <c r="I135" s="174" t="str">
        <f t="shared" si="143"/>
        <v>INDSWH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INDSWH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INDSWH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INDSDPHGASN1</v>
      </c>
      <c r="E138" s="261" t="str">
        <f>"Industrial heating technology "&amp;$AJ$12&amp;" "&amp;RIGHT(H138,2)&amp;" - Gas boiler (Steam) - new 1"</f>
        <v>Industrial heating technology Iron &amp; Steel PH - Gas boiler (Steam) - new 1</v>
      </c>
      <c r="F138" s="224" t="s">
        <v>1149</v>
      </c>
      <c r="G138" s="173" t="s">
        <v>2080</v>
      </c>
      <c r="H138" s="174" t="str">
        <f>$AI$14</f>
        <v>ISDPH</v>
      </c>
      <c r="I138" s="174" t="str">
        <f t="shared" si="143"/>
        <v>INDSWH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INDSWH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INDSWH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INDSDSHGASN1</v>
      </c>
      <c r="E141" s="261" t="str">
        <f>"Industrial heating technology "&amp;$AJ$12&amp;" "&amp;RIGHT(H141,2)&amp;" - Gas boiler (Steam) - new 1"</f>
        <v>Industrial heating technology Iron &amp; Steel SH - Gas boiler (Steam) - new 1</v>
      </c>
      <c r="F141" s="224" t="s">
        <v>1149</v>
      </c>
      <c r="G141" s="173" t="s">
        <v>2080</v>
      </c>
      <c r="H141" s="174" t="str">
        <f>$AI$15</f>
        <v>ISDSH</v>
      </c>
      <c r="I141" s="174" t="str">
        <f t="shared" si="143"/>
        <v>INDSWH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INDSWH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INDSWH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INDSDPHGASN2</v>
      </c>
      <c r="E144" s="707" t="str">
        <f>"Industrial heating technology "&amp;$AJ$12&amp;" "&amp;RIGHT(H144,2)&amp;" - Gas boiler (Steam - condensing) - new 2"</f>
        <v>Industrial heating technology Iron &amp; Steel PH - Gas boiler (Steam - condensing) - new 2</v>
      </c>
      <c r="F144" s="224" t="s">
        <v>1149</v>
      </c>
      <c r="G144" s="173" t="s">
        <v>2080</v>
      </c>
      <c r="H144" s="708" t="str">
        <f>$AI$14</f>
        <v>ISDPH</v>
      </c>
      <c r="I144" s="708" t="str">
        <f t="shared" si="143"/>
        <v>INDSWH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INDSWH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INDSWH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INDSDSHGASN2</v>
      </c>
      <c r="E147" s="261" t="str">
        <f>"Industrial heating technology "&amp;$AJ$12&amp;" "&amp;RIGHT(H147,2)&amp;" - Gas boiler (Steam - condensing) - new 2"</f>
        <v>Industrial heating technology Iron &amp; Steel SH - Gas boiler (Steam - condensing) - new 2</v>
      </c>
      <c r="F147" s="224" t="s">
        <v>1149</v>
      </c>
      <c r="G147" s="173" t="s">
        <v>2080</v>
      </c>
      <c r="H147" s="174" t="str">
        <f>$AI$15</f>
        <v>ISDSH</v>
      </c>
      <c r="I147" s="174" t="str">
        <f t="shared" si="143"/>
        <v>INDSWH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INDSWH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INDSWH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INDSDPHGASN3</v>
      </c>
      <c r="E150" s="707" t="str">
        <f>"Industrial heating technology "&amp;$AJ$12&amp;" "&amp;RIGHT(H150,2)&amp;" - Gas boiler (Hot Water) - new 3"</f>
        <v>Industrial heating technology Iron &amp; Steel PH - Gas boiler (Hot Water) - new 3</v>
      </c>
      <c r="F150" s="224" t="s">
        <v>1149</v>
      </c>
      <c r="G150" s="173" t="s">
        <v>2080</v>
      </c>
      <c r="H150" s="708" t="str">
        <f>$AI$14</f>
        <v>ISDPH</v>
      </c>
      <c r="I150" s="708" t="str">
        <f t="shared" si="143"/>
        <v>INDSWH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INDSWH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INDSWH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INDSDSHGASN3</v>
      </c>
      <c r="E153" s="261" t="str">
        <f>"Industrial heating technology "&amp;$AJ$12&amp;" "&amp;RIGHT(H153,2)&amp;" - Gas boiler (Hot Water) - new 3"</f>
        <v>Industrial heating technology Iron &amp; Steel SH - Gas boiler (Hot Water) - new 3</v>
      </c>
      <c r="F153" s="224" t="s">
        <v>1149</v>
      </c>
      <c r="G153" s="173" t="s">
        <v>2080</v>
      </c>
      <c r="H153" s="174" t="str">
        <f>$AI$15</f>
        <v>ISDSH</v>
      </c>
      <c r="I153" s="174" t="str">
        <f t="shared" si="143"/>
        <v>INDSWH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INDSWH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INDSWH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INDSDPHGASN4</v>
      </c>
      <c r="E156" s="707" t="str">
        <f>"Industrial heating technology "&amp;$AJ$12&amp;" "&amp;RIGHT(H156,2)&amp;" - Gas boiler (Hot Water - condensing) - new 4"</f>
        <v>Industrial heating technology Iron &amp; Steel PH - Gas boiler (Hot Water - condensing) - new 4</v>
      </c>
      <c r="F156" s="224" t="s">
        <v>1149</v>
      </c>
      <c r="G156" s="173" t="s">
        <v>2080</v>
      </c>
      <c r="H156" s="708" t="str">
        <f>$AI$14</f>
        <v>ISDPH</v>
      </c>
      <c r="I156" s="708" t="str">
        <f t="shared" si="143"/>
        <v>INDSWH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INDSWH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INDSWH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INDSDSHGASN4</v>
      </c>
      <c r="E159" s="261" t="str">
        <f>"Industrial heating technology "&amp;$AJ$12&amp;" "&amp;RIGHT(H159,2)&amp;" - Gas boiler (Hot Water- condensing) - new 4"</f>
        <v>Industrial heating technology Iron &amp; Steel SH - Gas boiler (Hot Water- condensing) - new 4</v>
      </c>
      <c r="F159" s="224" t="s">
        <v>1149</v>
      </c>
      <c r="G159" s="173" t="s">
        <v>2080</v>
      </c>
      <c r="H159" s="174" t="str">
        <f>$AI$15</f>
        <v>ISDSH</v>
      </c>
      <c r="I159" s="174" t="str">
        <f t="shared" si="143"/>
        <v>INDSWH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INDSWH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INDSWH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INDSDPHGASN5</v>
      </c>
      <c r="E162" s="707" t="str">
        <f>"Industrial heating technology "&amp;$AJ$12&amp;" "&amp;RIGHT(H162,2)&amp;" - Gas boiler (Direct firing) - new 5"</f>
        <v>Industrial heating technology Iron &amp; Steel PH - Gas boiler (Direct firing) - new 5</v>
      </c>
      <c r="F162" s="224" t="s">
        <v>1149</v>
      </c>
      <c r="G162" s="173" t="s">
        <v>2080</v>
      </c>
      <c r="H162" s="174" t="str">
        <f>$AI$13</f>
        <v>ISDPH</v>
      </c>
      <c r="I162" s="174" t="str">
        <f t="shared" si="143"/>
        <v>INDSWH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INDSWH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INDSWH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INDSDPHGASN5</v>
      </c>
      <c r="E165" s="261" t="str">
        <f>"Industrial heating technology "&amp;$AJ$12&amp;" "&amp;RIGHT(H165,2)&amp;" - Gas boiler (Direct firing) - new 5"</f>
        <v>Industrial heating technology Iron &amp; Steel PH - Gas boiler (Direct firing) - new 5</v>
      </c>
      <c r="F165" s="224" t="s">
        <v>1149</v>
      </c>
      <c r="G165" s="173" t="s">
        <v>2080</v>
      </c>
      <c r="H165" s="174" t="str">
        <f>$AI$14</f>
        <v>ISDPH</v>
      </c>
      <c r="I165" s="721" t="str">
        <f t="shared" si="143"/>
        <v>INDSWH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INDSWH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INDSWH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INDSDPHCOAN1</v>
      </c>
      <c r="E168" s="261" t="str">
        <f>"Industrial heating technology "&amp;$AJ$12&amp;" "&amp;RIGHT(H168,2)&amp;" - Coal boiler (Steam) - new 1"</f>
        <v>Industrial heating technology Iron &amp; Steel PH - Coal boiler (Steam) - new 1</v>
      </c>
      <c r="F168" s="224" t="s">
        <v>1149</v>
      </c>
      <c r="G168" s="55" t="s">
        <v>617</v>
      </c>
      <c r="H168" s="174" t="str">
        <f>$AI$13</f>
        <v>ISDPH</v>
      </c>
      <c r="I168" s="174" t="str">
        <f t="shared" si="143"/>
        <v>INDSWH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INDSWH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INDSWH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INDSDPHCOAN1</v>
      </c>
      <c r="E171" s="261" t="str">
        <f>"Industrial heating technology "&amp;$AJ$12&amp;" "&amp;RIGHT(H171,2)&amp;" - Coal boiler (Steam) - new 1"</f>
        <v>Industrial heating technology Iron &amp; Steel PH - Coal boiler (Steam) - new 1</v>
      </c>
      <c r="F171" s="224" t="s">
        <v>1149</v>
      </c>
      <c r="G171" s="55" t="s">
        <v>617</v>
      </c>
      <c r="H171" s="174" t="str">
        <f>$AI$14</f>
        <v>ISDPH</v>
      </c>
      <c r="I171" s="174" t="str">
        <f t="shared" si="143"/>
        <v>INDSWH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INDSWH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INDSWH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INDSDSHCOAN1</v>
      </c>
      <c r="E174" s="261" t="str">
        <f>"Industrial heating technology "&amp;$AJ$12&amp;" "&amp;RIGHT(H174,2)&amp;" - Coal boiler (Steam) - new 1"</f>
        <v>Industrial heating technology Iron &amp; Steel SH - Coal boiler (Steam) - new 1</v>
      </c>
      <c r="F174" s="224" t="s">
        <v>1149</v>
      </c>
      <c r="G174" s="55" t="s">
        <v>617</v>
      </c>
      <c r="H174" s="174" t="str">
        <f>$AI$15</f>
        <v>ISDSH</v>
      </c>
      <c r="I174" s="174" t="str">
        <f t="shared" si="143"/>
        <v>INDSWH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INDSWH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INDSWH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INDSDPHCOAN2</v>
      </c>
      <c r="E177" s="261" t="str">
        <f>"Industrial heating technology "&amp;$AJ$12&amp;" "&amp;RIGHT(H177,2)&amp;" - Coal boiler (Hot Water) - new 2"</f>
        <v>Industrial heating technology Iron &amp; Steel PH - Coal boiler (Hot Water) - new 2</v>
      </c>
      <c r="F177" s="224" t="s">
        <v>1149</v>
      </c>
      <c r="G177" s="55" t="s">
        <v>617</v>
      </c>
      <c r="H177" s="174" t="str">
        <f>$AI$14</f>
        <v>ISDPH</v>
      </c>
      <c r="I177" s="174" t="str">
        <f t="shared" si="143"/>
        <v>INDSWH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INDSWH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INDSWH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INDSDSHCOAN2</v>
      </c>
      <c r="E180" s="261" t="str">
        <f>"Industrial heating technology "&amp;$AJ$12&amp;" "&amp;RIGHT(H180,2)&amp;" - Coal boiler (Hot Water) - new 2"</f>
        <v>Industrial heating technology Iron &amp; Steel SH - Coal boiler (Hot Water) - new 2</v>
      </c>
      <c r="F180" s="224" t="s">
        <v>1149</v>
      </c>
      <c r="G180" s="55" t="s">
        <v>617</v>
      </c>
      <c r="H180" s="174" t="str">
        <f>$AI$15</f>
        <v>ISDSH</v>
      </c>
      <c r="I180" s="174" t="str">
        <f t="shared" si="143"/>
        <v>INDSWH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INDSWH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INDSWH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INDSDSHSOLN1</v>
      </c>
      <c r="E183" s="261" t="str">
        <f>"Industrial heating technology "&amp;$AJ$12&amp;" "&amp;RIGHT(H183,2)&amp;" - Solar - new 1"</f>
        <v>Industrial heating technology Iron &amp; Steel SH - Solar - new 1</v>
      </c>
      <c r="F183" s="224" t="s">
        <v>1149</v>
      </c>
      <c r="G183" s="55" t="s">
        <v>500</v>
      </c>
      <c r="H183" s="174" t="str">
        <f>$AI$15</f>
        <v>ISDSH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INDSDSHHCEN1</v>
      </c>
      <c r="E187" s="224" t="str">
        <f>"Industrial heating technology "&amp;$AJ$12&amp;" "&amp;RIGHT(H187,2)&amp;" - central district heating - within DH area - new 1"</f>
        <v>Industrial heating technology Iron &amp; Steel SH - central district heating - within DH area - new 1</v>
      </c>
      <c r="F187" s="224" t="s">
        <v>1149</v>
      </c>
      <c r="G187" s="225" t="s">
        <v>501</v>
      </c>
      <c r="H187" s="225" t="str">
        <f>AI15</f>
        <v>ISDSH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INDSDPHHCEN1</v>
      </c>
      <c r="E188" s="224" t="str">
        <f>"Industrial heating technology "&amp;$AJ$12&amp;" "&amp;RIGHT(H188,2)&amp;" - central district heating - within DH area - new 1"</f>
        <v>Industrial heating technology Iron &amp; Steel PH - central district heating - within DH area - new 1</v>
      </c>
      <c r="F188" s="224" t="s">
        <v>1149</v>
      </c>
      <c r="G188" s="225" t="s">
        <v>501</v>
      </c>
      <c r="H188" s="281" t="str">
        <f>AI14</f>
        <v>ISDPH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INDSDSHHSEN1</v>
      </c>
      <c r="E189" s="224" t="str">
        <f>"Industrial heating technology "&amp;$AJ$12&amp;" "&amp;RIGHT(H189,2)&amp;" - central district heating - within DH area - new 1"</f>
        <v>Industrial heating technology Iron &amp; Steel SH - central district heating - within DH area - new 1</v>
      </c>
      <c r="F189" s="224" t="s">
        <v>1149</v>
      </c>
      <c r="G189" s="225" t="s">
        <v>2124</v>
      </c>
      <c r="H189" s="225" t="str">
        <f>H187</f>
        <v>ISDSH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INDSDPHHSEN1</v>
      </c>
      <c r="E190" s="224" t="str">
        <f>"Industrial heating technology "&amp;$AJ$12&amp;" "&amp;RIGHT(H190,2)&amp;" - central district heating - within DH area - new 1"</f>
        <v>Industrial heating technology Iron &amp; Steel PH - central district heating - within DH area - new 1</v>
      </c>
      <c r="F190" s="224" t="s">
        <v>1149</v>
      </c>
      <c r="G190" s="225" t="s">
        <v>2124</v>
      </c>
      <c r="H190" s="225" t="str">
        <f>H188</f>
        <v>ISDPH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INDSDSHHDEN1</v>
      </c>
      <c r="E191" s="224" t="str">
        <f>"Industrial heating technology "&amp;$AJ$12&amp;" "&amp;RIGHT(H191,2)&amp;" - decentral district heating - within DH area - new 1"</f>
        <v>Industrial heating technology Iron &amp; Steel SH - decentral district heating - within DH area - new 1</v>
      </c>
      <c r="F191" s="224" t="s">
        <v>1149</v>
      </c>
      <c r="G191" s="259" t="s">
        <v>502</v>
      </c>
      <c r="H191" s="265" t="str">
        <f>AI15</f>
        <v>ISDSH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INDSDPHHDEN1</v>
      </c>
      <c r="E192" s="224" t="str">
        <f>"Industrial heating technology "&amp;$AJ$12&amp;" "&amp;RIGHT(H192,2)&amp;" - decentral district heating - within DH area - new 1"</f>
        <v>Industrial heating technology Iron &amp; Steel PH - decentral district heating - within DH area - new 1</v>
      </c>
      <c r="F192" s="224" t="s">
        <v>1149</v>
      </c>
      <c r="G192" s="259" t="s">
        <v>502</v>
      </c>
      <c r="H192" s="225" t="str">
        <f>AI14</f>
        <v>ISDPH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INDSDLAELCN1</v>
      </c>
      <c r="E194" s="224" t="str">
        <f>"Industry "&amp;$AJ$12&amp;" "&amp;RIGHT(H194,2)&amp;" Electricity Light Appliance - New 1"</f>
        <v>Industry Iron &amp; Steel LA Electricity Light Appliance - New 1</v>
      </c>
      <c r="F194" s="224" t="s">
        <v>1149</v>
      </c>
      <c r="G194" s="225" t="s">
        <v>499</v>
      </c>
      <c r="H194" s="225" t="str">
        <f>AI16</f>
        <v>ISDLA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INDSDEMELCN1</v>
      </c>
      <c r="E198" s="224" t="str">
        <f>"Industry "&amp;$AJ$12&amp;" "&amp;RIGHT(H198,2)&amp;" Electricity Motors - New 1"</f>
        <v>Industry Iron &amp; Steel EM Electricity Motors - New 1</v>
      </c>
      <c r="F198" s="224" t="s">
        <v>1149</v>
      </c>
      <c r="G198" s="225" t="s">
        <v>499</v>
      </c>
      <c r="H198" s="225" t="str">
        <f>AI17</f>
        <v>ISDEM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INDSDTFDSLN1</v>
      </c>
      <c r="E202" s="224" t="str">
        <f>"Industry "&amp;$AJ$12&amp;" "&amp;RIGHT(H202,2)&amp;" Tractors, Trucks, Fishing boats - New 1"</f>
        <v>Industry Iron &amp; Steel TF Tractors, Trucks, Fishing boats - New 1</v>
      </c>
      <c r="F202" s="224" t="s">
        <v>1149</v>
      </c>
      <c r="G202" s="173" t="s">
        <v>2081</v>
      </c>
      <c r="H202" s="174" t="str">
        <f>$AI$18</f>
        <v>ISDTF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INDSDTFH2GN2</v>
      </c>
      <c r="E206" s="224" t="str">
        <f>"Industry "&amp;$AJ$12&amp;" "&amp;RIGHT(H206,2)&amp;" Tractors, Trucks, Fishing boats - New 2"</f>
        <v>Industry Iron &amp; Steel TF Tractors, Trucks, Fishing boats - New 2</v>
      </c>
      <c r="F206" s="224" t="s">
        <v>1149</v>
      </c>
      <c r="G206" s="55" t="s">
        <v>2077</v>
      </c>
      <c r="H206" s="174" t="str">
        <f>$AI$18</f>
        <v>ISDTF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INDSDTFELCN3</v>
      </c>
      <c r="E210" s="224" t="str">
        <f>"Industry "&amp;$AJ$12&amp;" "&amp;RIGHT(H210,2)&amp;" Tractors, Trucks, Fishing boats - New 3"</f>
        <v>Industry Iron &amp; Steel TF Tractors, Trucks, Fishing boats - New 3</v>
      </c>
      <c r="F210" s="224" t="s">
        <v>1149</v>
      </c>
      <c r="G210" s="55" t="s">
        <v>499</v>
      </c>
      <c r="H210" s="174" t="str">
        <f>$AI$18</f>
        <v>ISDTF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INDSDFLSYNN1</v>
      </c>
      <c r="E214" s="224" t="str">
        <f>"Industry "&amp;$AJ$12&amp;" "&amp;RIGHT(H202,2)&amp;" Forklifts - New 1"</f>
        <v>Industry Iron &amp; Steel TF Forklifts - New 1</v>
      </c>
      <c r="F214" s="224" t="s">
        <v>1149</v>
      </c>
      <c r="G214" s="173" t="s">
        <v>2082</v>
      </c>
      <c r="H214" s="224" t="str">
        <f>AI19</f>
        <v>ISDFL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INDSDCOELCN1</v>
      </c>
      <c r="E218" s="224" t="str">
        <f>"Industry "&amp;$AJ$12&amp;" "&amp;RIGHT(H218,2)&amp;" Cooling - New 1"</f>
        <v>Industry Iron &amp; Steel CO Cooling - New 1</v>
      </c>
      <c r="F218" s="224" t="s">
        <v>1149</v>
      </c>
      <c r="G218" s="173" t="s">
        <v>499</v>
      </c>
      <c r="H218" s="224" t="str">
        <f>AI21</f>
        <v>ISDCO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INDSDPHELCN1</v>
      </c>
      <c r="E229" s="212" t="str">
        <f t="shared" ref="E229:E260" si="266">VLOOKUP(D229,$D$9:$E$222,2,FALSE)</f>
        <v>Industrial heating technology Iron &amp; Steel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INDSDSHELCN1</v>
      </c>
      <c r="E230" s="212" t="str">
        <f t="shared" ca="1" si="266"/>
        <v>Industrial heating technology Iron &amp; Steel SH - Heat pump utilizing waste heat - new 1</v>
      </c>
      <c r="F230" s="262" t="s">
        <v>450</v>
      </c>
      <c r="G230" s="262" t="s">
        <v>449</v>
      </c>
      <c r="H230" s="263" t="s">
        <v>620</v>
      </c>
      <c r="I230" s="301"/>
      <c r="J230" s="264" t="s">
        <v>469</v>
      </c>
    </row>
    <row r="231" spans="1:10">
      <c r="A231" s="169"/>
      <c r="D231" s="212" t="str">
        <f t="shared" ca="1" si="267"/>
        <v>INDSDPHELCN2</v>
      </c>
      <c r="E231" s="212" t="str">
        <f t="shared" ca="1" si="266"/>
        <v>Industrial heating technology Iron &amp; Steel PH - Heat driven heat pump utilizing waste heat - new 2</v>
      </c>
      <c r="F231" s="211" t="s">
        <v>450</v>
      </c>
      <c r="G231" s="211" t="s">
        <v>449</v>
      </c>
      <c r="H231" s="263" t="s">
        <v>620</v>
      </c>
      <c r="I231" s="208"/>
      <c r="J231" s="264" t="s">
        <v>469</v>
      </c>
    </row>
    <row r="232" spans="1:10">
      <c r="A232" s="169"/>
      <c r="B232" s="211"/>
      <c r="C232" s="211"/>
      <c r="D232" s="212" t="str">
        <f t="shared" ca="1" si="267"/>
        <v>INDSDSHELCN2</v>
      </c>
      <c r="E232" s="212" t="str">
        <f t="shared" ca="1" si="266"/>
        <v>Industrial heating technology Iron &amp; Steel SH - Heat driven heat pump utilizing waste heat - new 2</v>
      </c>
      <c r="F232" s="262" t="s">
        <v>450</v>
      </c>
      <c r="G232" s="262" t="s">
        <v>449</v>
      </c>
      <c r="H232" s="263" t="s">
        <v>620</v>
      </c>
      <c r="I232" s="264"/>
      <c r="J232" s="264" t="s">
        <v>469</v>
      </c>
    </row>
    <row r="233" spans="1:10">
      <c r="A233" s="169"/>
      <c r="B233" s="211"/>
      <c r="C233" s="211"/>
      <c r="D233" s="212" t="str">
        <f t="shared" ca="1" si="267"/>
        <v>INDSDPHELCN3</v>
      </c>
      <c r="E233" s="212" t="str">
        <f t="shared" ca="1" si="266"/>
        <v>Industrial heating technology Iron &amp; Steel PH - High Temp abs. Heat pump utilizing waste heat - new 3</v>
      </c>
      <c r="F233" s="262" t="s">
        <v>450</v>
      </c>
      <c r="G233" s="262" t="s">
        <v>449</v>
      </c>
      <c r="H233" s="263" t="s">
        <v>620</v>
      </c>
      <c r="I233" s="264"/>
      <c r="J233" s="264" t="s">
        <v>469</v>
      </c>
    </row>
    <row r="234" spans="1:10">
      <c r="A234" s="169"/>
      <c r="B234" s="211"/>
      <c r="C234" s="211"/>
      <c r="D234" s="212" t="str">
        <f t="shared" ca="1" si="267"/>
        <v>INDSDSHELCN3</v>
      </c>
      <c r="E234" s="212" t="str">
        <f t="shared" ca="1" si="266"/>
        <v>Industrial heating technology Iron &amp; Steel SH - High Temp abs. Heat pump utilizing waste heat - new 3</v>
      </c>
      <c r="F234" s="262" t="s">
        <v>450</v>
      </c>
      <c r="G234" s="262" t="s">
        <v>449</v>
      </c>
      <c r="H234" s="263" t="s">
        <v>620</v>
      </c>
      <c r="I234" s="264"/>
      <c r="J234" s="264" t="s">
        <v>469</v>
      </c>
    </row>
    <row r="235" spans="1:10">
      <c r="A235" s="169"/>
      <c r="B235" s="211"/>
      <c r="C235" s="211"/>
      <c r="D235" s="212" t="str">
        <f t="shared" ca="1" si="267"/>
        <v>INDSDPHELCN4</v>
      </c>
      <c r="E235" s="212" t="str">
        <f t="shared" ca="1" si="266"/>
        <v>Industrial heating technology Iron &amp; Steel PH - Booster Heat pump utilizing waste heat - new 4</v>
      </c>
      <c r="F235" s="262" t="s">
        <v>450</v>
      </c>
      <c r="G235" s="262" t="s">
        <v>449</v>
      </c>
      <c r="H235" s="263" t="s">
        <v>620</v>
      </c>
      <c r="I235" s="264"/>
      <c r="J235" s="264" t="s">
        <v>469</v>
      </c>
    </row>
    <row r="236" spans="1:10">
      <c r="A236" s="169"/>
      <c r="B236" s="211"/>
      <c r="C236" s="211"/>
      <c r="D236" s="212" t="str">
        <f t="shared" ca="1" si="267"/>
        <v>INDSDSHELCN4</v>
      </c>
      <c r="E236" s="212" t="str">
        <f t="shared" ca="1" si="266"/>
        <v>Industrial heating technology Iron &amp; Steel SH - Booster Heat pump utilizing waste heat - new 4</v>
      </c>
      <c r="F236" s="262" t="s">
        <v>450</v>
      </c>
      <c r="G236" s="262" t="s">
        <v>449</v>
      </c>
      <c r="H236" s="263" t="s">
        <v>620</v>
      </c>
      <c r="I236" s="264"/>
      <c r="J236" s="264" t="s">
        <v>469</v>
      </c>
    </row>
    <row r="237" spans="1:10">
      <c r="A237" s="169"/>
      <c r="B237" s="211"/>
      <c r="C237" s="211"/>
      <c r="D237" s="212" t="str">
        <f t="shared" ca="1" si="267"/>
        <v>INDSDPHELCN5</v>
      </c>
      <c r="E237" s="212" t="str">
        <f t="shared" ca="1" si="266"/>
        <v>Industrial heating technology Iron &amp; Steel PH - MVR utilizing waste heat - new 5</v>
      </c>
      <c r="F237" s="262" t="s">
        <v>450</v>
      </c>
      <c r="G237" s="262" t="s">
        <v>449</v>
      </c>
      <c r="H237" s="263"/>
      <c r="I237" s="264"/>
      <c r="J237" s="264" t="s">
        <v>469</v>
      </c>
    </row>
    <row r="238" spans="1:10">
      <c r="A238" s="169"/>
      <c r="B238" s="211"/>
      <c r="C238" s="211"/>
      <c r="D238" s="212" t="str">
        <f t="shared" ca="1" si="267"/>
        <v>INDSDPHWSTN1</v>
      </c>
      <c r="E238" s="212" t="str">
        <f t="shared" ca="1" si="266"/>
        <v>Industrial heating technology Iron &amp; Steel PH - Hotdisc - new 1</v>
      </c>
      <c r="F238" s="262" t="s">
        <v>450</v>
      </c>
      <c r="G238" s="262" t="s">
        <v>449</v>
      </c>
      <c r="H238" s="263" t="s">
        <v>620</v>
      </c>
      <c r="I238" s="264"/>
      <c r="J238" s="264" t="s">
        <v>469</v>
      </c>
    </row>
    <row r="239" spans="1:10">
      <c r="A239" s="169"/>
      <c r="B239" s="211"/>
      <c r="C239" s="211"/>
      <c r="D239" s="212" t="str">
        <f t="shared" ref="D239:D278" ca="1" si="268">OFFSET($D$9,(ROW(D19)*3),0)</f>
        <v>INDSDPHELCN6</v>
      </c>
      <c r="E239" s="212" t="str">
        <f t="shared" ca="1" si="266"/>
        <v>Industrial heating technology Iron &amp; Steel PH - Dielectric heating - new 6</v>
      </c>
      <c r="F239" s="262" t="s">
        <v>450</v>
      </c>
      <c r="G239" s="262" t="s">
        <v>449</v>
      </c>
      <c r="H239" s="263" t="s">
        <v>620</v>
      </c>
      <c r="I239" s="264"/>
      <c r="J239" s="264" t="s">
        <v>469</v>
      </c>
    </row>
    <row r="240" spans="1:10">
      <c r="A240" s="169"/>
      <c r="B240" s="211"/>
      <c r="C240" s="211"/>
      <c r="D240" s="212" t="str">
        <f t="shared" ca="1" si="268"/>
        <v>INDSDPHELCN7</v>
      </c>
      <c r="E240" s="212" t="str">
        <f t="shared" ca="1" si="266"/>
        <v>Industrial heating technology Iron &amp; Steel PH - Infrared heating - new 7</v>
      </c>
      <c r="F240" s="262" t="s">
        <v>450</v>
      </c>
      <c r="G240" s="262" t="s">
        <v>449</v>
      </c>
      <c r="H240" s="263" t="s">
        <v>620</v>
      </c>
      <c r="I240" s="264"/>
      <c r="J240" s="264" t="s">
        <v>469</v>
      </c>
    </row>
    <row r="241" spans="1:16">
      <c r="A241" s="169"/>
      <c r="B241" s="211"/>
      <c r="C241" s="211"/>
      <c r="D241" s="212" t="str">
        <f t="shared" ca="1" si="268"/>
        <v>INDSDPHELCN8</v>
      </c>
      <c r="E241" s="212" t="str">
        <f t="shared" ca="1" si="266"/>
        <v>Industrial heating technology Iron &amp; Steel PH - Electric boiler (Steam) - new 8</v>
      </c>
      <c r="F241" s="262" t="s">
        <v>450</v>
      </c>
      <c r="G241" s="262" t="s">
        <v>449</v>
      </c>
      <c r="H241" s="263" t="s">
        <v>620</v>
      </c>
      <c r="I241" s="264"/>
      <c r="J241" s="264" t="s">
        <v>469</v>
      </c>
    </row>
    <row r="242" spans="1:16">
      <c r="A242" s="169"/>
      <c r="B242" s="211"/>
      <c r="C242" s="211"/>
      <c r="D242" s="212" t="str">
        <f t="shared" ca="1" si="268"/>
        <v>INDSDPHELCN8</v>
      </c>
      <c r="E242" s="212" t="str">
        <f t="shared" ca="1" si="266"/>
        <v>Industrial heating technology Iron &amp; Steel PH - Electric boiler (Steam) - new 8</v>
      </c>
      <c r="F242" s="262" t="s">
        <v>450</v>
      </c>
      <c r="G242" s="262" t="s">
        <v>449</v>
      </c>
      <c r="H242" s="263" t="s">
        <v>620</v>
      </c>
      <c r="I242" s="264"/>
      <c r="J242" s="264" t="s">
        <v>469</v>
      </c>
    </row>
    <row r="243" spans="1:16">
      <c r="A243" s="169"/>
      <c r="B243" s="211"/>
      <c r="C243" s="211"/>
      <c r="D243" s="212" t="str">
        <f t="shared" ca="1" si="268"/>
        <v>INDSDSHELCN8</v>
      </c>
      <c r="E243" s="212" t="str">
        <f t="shared" ca="1" si="266"/>
        <v>Industrial heating technology Iron &amp; Steel SH - Electric boiler (Steam) - new 8</v>
      </c>
      <c r="F243" s="262" t="s">
        <v>450</v>
      </c>
      <c r="G243" s="262" t="s">
        <v>449</v>
      </c>
      <c r="H243" s="263" t="s">
        <v>620</v>
      </c>
      <c r="I243" s="264"/>
      <c r="J243" s="264" t="s">
        <v>469</v>
      </c>
      <c r="P243" s="173"/>
    </row>
    <row r="244" spans="1:16">
      <c r="A244" s="169"/>
      <c r="B244" s="211"/>
      <c r="C244" s="211"/>
      <c r="D244" s="212" t="str">
        <f t="shared" ca="1" si="268"/>
        <v>INDSDPHELCN9</v>
      </c>
      <c r="E244" s="212" t="str">
        <f t="shared" ca="1" si="266"/>
        <v>Industrial heating technology Iron &amp; Steel PH - Electric boiler (Hot Water) - new 9</v>
      </c>
      <c r="F244" s="262" t="s">
        <v>450</v>
      </c>
      <c r="G244" s="262" t="s">
        <v>449</v>
      </c>
      <c r="H244" s="263" t="s">
        <v>620</v>
      </c>
      <c r="I244" s="264"/>
      <c r="J244" s="264" t="s">
        <v>469</v>
      </c>
      <c r="P244" s="173"/>
    </row>
    <row r="245" spans="1:16">
      <c r="A245" s="169"/>
      <c r="B245" s="211"/>
      <c r="C245" s="211"/>
      <c r="D245" s="212" t="str">
        <f t="shared" ca="1" si="268"/>
        <v>INDSDSHELCN9</v>
      </c>
      <c r="E245" s="212" t="str">
        <f t="shared" ca="1" si="266"/>
        <v>Industrial heating technology Iron &amp; Steel SH - Electric boiler (Hot Water) - new 9</v>
      </c>
      <c r="F245" s="262" t="s">
        <v>450</v>
      </c>
      <c r="G245" s="262" t="s">
        <v>449</v>
      </c>
      <c r="H245" s="263" t="s">
        <v>620</v>
      </c>
      <c r="I245" s="264"/>
      <c r="J245" s="264" t="s">
        <v>469</v>
      </c>
      <c r="P245" s="173"/>
    </row>
    <row r="246" spans="1:16">
      <c r="A246" s="169"/>
      <c r="B246" s="211"/>
      <c r="C246" s="211"/>
      <c r="D246" s="212" t="str">
        <f t="shared" ca="1" si="268"/>
        <v>INDSDPHWCHN1</v>
      </c>
      <c r="E246" s="212" t="str">
        <f t="shared" ca="1" si="266"/>
        <v>Industrial heating technology Iron &amp; Steel PH - Wood chip boiler (Steam) - new 1</v>
      </c>
      <c r="F246" s="262" t="s">
        <v>450</v>
      </c>
      <c r="G246" s="262" t="s">
        <v>449</v>
      </c>
      <c r="H246" s="263"/>
      <c r="I246" s="264"/>
      <c r="J246" s="264" t="s">
        <v>469</v>
      </c>
      <c r="P246" s="173"/>
    </row>
    <row r="247" spans="1:16">
      <c r="A247" s="169"/>
      <c r="B247" s="211"/>
      <c r="C247" s="211"/>
      <c r="D247" s="212" t="str">
        <f t="shared" ca="1" si="268"/>
        <v>INDSDPHWCHN1</v>
      </c>
      <c r="E247" s="212" t="str">
        <f t="shared" ca="1" si="266"/>
        <v>Industrial heating technology Iron &amp; Steel PH - Wood chip boiler (Steam) - new 1</v>
      </c>
      <c r="F247" s="262" t="s">
        <v>450</v>
      </c>
      <c r="G247" s="262" t="s">
        <v>449</v>
      </c>
      <c r="H247" s="263"/>
      <c r="I247" s="264"/>
      <c r="J247" s="264" t="s">
        <v>469</v>
      </c>
      <c r="M247" s="171"/>
      <c r="N247" s="171"/>
      <c r="P247" s="173"/>
    </row>
    <row r="248" spans="1:16">
      <c r="A248" s="169"/>
      <c r="B248" s="211"/>
      <c r="C248" s="211"/>
      <c r="D248" s="212" t="str">
        <f t="shared" ca="1" si="268"/>
        <v>INDSDSHWCHN1</v>
      </c>
      <c r="E248" s="212" t="str">
        <f t="shared" ca="1" si="266"/>
        <v>Industrial heating technology Iron &amp; Steel SH - Wood chip boiler (Steam) - new 1</v>
      </c>
      <c r="F248" s="262" t="s">
        <v>450</v>
      </c>
      <c r="G248" s="262" t="s">
        <v>449</v>
      </c>
      <c r="H248" s="263"/>
      <c r="I248" s="264"/>
      <c r="J248" s="264" t="s">
        <v>469</v>
      </c>
      <c r="M248" s="171"/>
      <c r="N248" s="171"/>
      <c r="P248" s="173"/>
    </row>
    <row r="249" spans="1:16">
      <c r="A249" s="169"/>
      <c r="B249" s="211"/>
      <c r="C249" s="211"/>
      <c r="D249" s="212" t="str">
        <f t="shared" ca="1" si="268"/>
        <v>INDSDPHWCHN2</v>
      </c>
      <c r="E249" s="212" t="str">
        <f t="shared" ca="1" si="266"/>
        <v>Industrial heating technology Iron &amp; Steel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INDSDSHWCHN2</v>
      </c>
      <c r="E250" s="212" t="str">
        <f t="shared" ca="1" si="266"/>
        <v>Industrial heating technology Iron &amp; Steel SH - Wood chip boiler (Steam - condensing) - new 2</v>
      </c>
      <c r="F250" s="262" t="s">
        <v>450</v>
      </c>
      <c r="G250" s="262" t="s">
        <v>449</v>
      </c>
      <c r="H250" s="263"/>
      <c r="I250" s="264"/>
      <c r="J250" s="264" t="s">
        <v>469</v>
      </c>
    </row>
    <row r="251" spans="1:16">
      <c r="A251" s="169"/>
      <c r="B251" s="212"/>
      <c r="C251" s="212"/>
      <c r="D251" s="212" t="str">
        <f t="shared" ca="1" si="268"/>
        <v>INDSDPHWCHN3</v>
      </c>
      <c r="E251" s="212" t="str">
        <f t="shared" ca="1" si="266"/>
        <v>Industrial heating technology Iron &amp; Steel PH - Wood chip boiler (Hot Water) - new 3</v>
      </c>
      <c r="F251" s="262" t="s">
        <v>450</v>
      </c>
      <c r="G251" s="262" t="s">
        <v>449</v>
      </c>
      <c r="H251" s="261"/>
      <c r="I251" s="261"/>
      <c r="J251" s="264" t="s">
        <v>469</v>
      </c>
    </row>
    <row r="252" spans="1:16">
      <c r="A252" s="169"/>
      <c r="B252" s="212"/>
      <c r="C252" s="212"/>
      <c r="D252" s="212" t="str">
        <f t="shared" ca="1" si="268"/>
        <v>INDSDSHWCHN3</v>
      </c>
      <c r="E252" s="212" t="str">
        <f t="shared" ca="1" si="266"/>
        <v>Industrial heating technology Iron &amp; Steel SH - Wood chip boiler (Hot Water) - new 3</v>
      </c>
      <c r="F252" s="262" t="s">
        <v>450</v>
      </c>
      <c r="G252" s="262" t="s">
        <v>449</v>
      </c>
      <c r="H252" s="261"/>
      <c r="I252" s="261"/>
      <c r="J252" s="264" t="s">
        <v>469</v>
      </c>
    </row>
    <row r="253" spans="1:16">
      <c r="A253" s="169"/>
      <c r="B253" s="212"/>
      <c r="C253" s="212"/>
      <c r="D253" s="212" t="str">
        <f t="shared" ca="1" si="268"/>
        <v>INDSDPHWCHN4</v>
      </c>
      <c r="E253" s="212" t="str">
        <f t="shared" ca="1" si="266"/>
        <v>Industrial heating technology Iron &amp; Steel PH - Wood chip boiler (Hot Water - condensing) - new 4</v>
      </c>
      <c r="F253" s="262" t="s">
        <v>450</v>
      </c>
      <c r="G253" s="262" t="s">
        <v>449</v>
      </c>
      <c r="H253" s="261"/>
      <c r="I253" s="261"/>
      <c r="J253" s="264" t="s">
        <v>469</v>
      </c>
    </row>
    <row r="254" spans="1:16">
      <c r="A254" s="169"/>
      <c r="B254" s="212"/>
      <c r="C254" s="212"/>
      <c r="D254" s="212" t="str">
        <f t="shared" ca="1" si="268"/>
        <v>INDSDSHWCHN4</v>
      </c>
      <c r="E254" s="212" t="str">
        <f t="shared" ca="1" si="266"/>
        <v>Industrial heating technology Iron &amp; Steel SH - Wood chip boiler (Hot Water- condensing) - new 4</v>
      </c>
      <c r="F254" s="262" t="s">
        <v>450</v>
      </c>
      <c r="G254" s="262" t="s">
        <v>449</v>
      </c>
      <c r="H254" s="261"/>
      <c r="I254" s="261"/>
      <c r="J254" s="264" t="s">
        <v>469</v>
      </c>
    </row>
    <row r="255" spans="1:16">
      <c r="B255" s="212"/>
      <c r="C255" s="212"/>
      <c r="D255" s="212" t="str">
        <f t="shared" ca="1" si="268"/>
        <v>INDSDPHELCN10</v>
      </c>
      <c r="E255" s="212" t="str">
        <f t="shared" ca="1" si="266"/>
        <v>Industrial heating technology Iron &amp; Steel PH - Direct electric heating - new 10</v>
      </c>
      <c r="F255" s="262" t="s">
        <v>450</v>
      </c>
      <c r="G255" s="262" t="s">
        <v>449</v>
      </c>
      <c r="H255" s="261"/>
      <c r="I255" s="261"/>
      <c r="J255" s="264" t="s">
        <v>469</v>
      </c>
    </row>
    <row r="256" spans="1:16">
      <c r="B256" s="212"/>
      <c r="C256" s="212"/>
      <c r="D256" s="212" t="str">
        <f t="shared" ca="1" si="268"/>
        <v>INDSDPHELCN10</v>
      </c>
      <c r="E256" s="212" t="str">
        <f t="shared" ca="1" si="266"/>
        <v>Industrial heating technology Iron &amp; Steel PH - Direct electric heating - new 10</v>
      </c>
      <c r="F256" s="262" t="s">
        <v>450</v>
      </c>
      <c r="G256" s="262" t="s">
        <v>449</v>
      </c>
      <c r="H256" s="261"/>
      <c r="I256" s="261"/>
      <c r="J256" s="264" t="s">
        <v>469</v>
      </c>
    </row>
    <row r="257" spans="1:10">
      <c r="B257" s="212"/>
      <c r="C257" s="212"/>
      <c r="D257" s="212" t="str">
        <f t="shared" ca="1" si="268"/>
        <v>INDSDPHDSLN1</v>
      </c>
      <c r="E257" s="212" t="str">
        <f t="shared" ca="1" si="266"/>
        <v>Industrial heating technology Iron &amp; Steel PH - Oil boiler (Steam) - new 1</v>
      </c>
      <c r="F257" s="262" t="s">
        <v>450</v>
      </c>
      <c r="G257" s="262" t="s">
        <v>449</v>
      </c>
      <c r="H257" s="261"/>
      <c r="I257" s="261"/>
      <c r="J257" s="264" t="s">
        <v>469</v>
      </c>
    </row>
    <row r="258" spans="1:10">
      <c r="B258" s="212"/>
      <c r="C258" s="212"/>
      <c r="D258" s="212" t="str">
        <f t="shared" ca="1" si="268"/>
        <v>INDSDPHDSLN1</v>
      </c>
      <c r="E258" s="212" t="str">
        <f t="shared" ca="1" si="266"/>
        <v>Industrial heating technology Iron &amp; Steel PH - Oil boiler (Steam) - new 1</v>
      </c>
      <c r="F258" s="262" t="s">
        <v>450</v>
      </c>
      <c r="G258" s="262" t="s">
        <v>449</v>
      </c>
      <c r="H258" s="261"/>
      <c r="I258" s="261"/>
      <c r="J258" s="264" t="s">
        <v>469</v>
      </c>
    </row>
    <row r="259" spans="1:10">
      <c r="B259" s="212"/>
      <c r="C259" s="212"/>
      <c r="D259" s="212" t="str">
        <f t="shared" ca="1" si="268"/>
        <v>INDSDSHDSLN1</v>
      </c>
      <c r="E259" s="212" t="str">
        <f t="shared" ca="1" si="266"/>
        <v>Industrial heating technology Iron &amp; Steel SH - Oil boiler (Steam) - new 1</v>
      </c>
      <c r="F259" s="262" t="s">
        <v>450</v>
      </c>
      <c r="G259" s="262" t="s">
        <v>449</v>
      </c>
      <c r="H259" s="261"/>
      <c r="I259" s="261"/>
      <c r="J259" s="264" t="s">
        <v>469</v>
      </c>
    </row>
    <row r="260" spans="1:10">
      <c r="A260" s="214"/>
      <c r="B260" s="212"/>
      <c r="C260" s="212"/>
      <c r="D260" s="212" t="str">
        <f t="shared" ca="1" si="268"/>
        <v>INDSDPHDSLN2</v>
      </c>
      <c r="E260" s="212" t="str">
        <f t="shared" ca="1" si="266"/>
        <v>Industrial heating technology Iron &amp; Steel PH - Oil boiler (Steam - condensing) - new 2</v>
      </c>
      <c r="F260" s="262" t="s">
        <v>450</v>
      </c>
      <c r="G260" s="262" t="s">
        <v>449</v>
      </c>
      <c r="H260" s="261"/>
      <c r="I260" s="261"/>
      <c r="J260" s="264" t="s">
        <v>469</v>
      </c>
    </row>
    <row r="261" spans="1:10">
      <c r="A261" s="214"/>
      <c r="B261" s="212"/>
      <c r="C261" s="212"/>
      <c r="D261" s="212" t="str">
        <f t="shared" ca="1" si="268"/>
        <v>INDSDSHDSLN2</v>
      </c>
      <c r="E261" s="212" t="str">
        <f t="shared" ref="E261:E290" ca="1" si="269">VLOOKUP(D261,$D$9:$E$222,2,FALSE)</f>
        <v>Industrial heating technology Iron &amp; Steel SH - Oil boiler (Steam - condensing) - new 2</v>
      </c>
      <c r="F261" s="262" t="s">
        <v>450</v>
      </c>
      <c r="G261" s="262" t="s">
        <v>449</v>
      </c>
      <c r="H261" s="261"/>
      <c r="I261" s="261"/>
      <c r="J261" s="264" t="s">
        <v>469</v>
      </c>
    </row>
    <row r="262" spans="1:10">
      <c r="A262" s="214"/>
      <c r="B262" s="212"/>
      <c r="C262" s="212"/>
      <c r="D262" s="212" t="str">
        <f t="shared" ca="1" si="268"/>
        <v>INDSDPHGASN1</v>
      </c>
      <c r="E262" s="212" t="str">
        <f t="shared" ca="1" si="269"/>
        <v>Industrial heating technology Iron &amp; Steel PH - Gas boiler (Steam) - new 1</v>
      </c>
      <c r="F262" s="262" t="s">
        <v>450</v>
      </c>
      <c r="G262" s="262" t="s">
        <v>449</v>
      </c>
      <c r="H262" s="261"/>
      <c r="I262" s="261"/>
      <c r="J262" s="264" t="s">
        <v>469</v>
      </c>
    </row>
    <row r="263" spans="1:10">
      <c r="A263" s="214"/>
      <c r="B263" s="212"/>
      <c r="C263" s="212"/>
      <c r="D263" s="212" t="str">
        <f t="shared" ca="1" si="268"/>
        <v>INDSDPHGASN1</v>
      </c>
      <c r="E263" s="212" t="str">
        <f t="shared" ca="1" si="269"/>
        <v>Industrial heating technology Iron &amp; Steel PH - Gas boiler (Steam) - new 1</v>
      </c>
      <c r="F263" s="262" t="s">
        <v>450</v>
      </c>
      <c r="G263" s="262" t="s">
        <v>449</v>
      </c>
      <c r="H263" s="261"/>
      <c r="I263" s="261"/>
      <c r="J263" s="264" t="s">
        <v>469</v>
      </c>
    </row>
    <row r="264" spans="1:10">
      <c r="B264" s="212"/>
      <c r="C264" s="212"/>
      <c r="D264" s="212" t="str">
        <f t="shared" ca="1" si="268"/>
        <v>INDSDSHGASN1</v>
      </c>
      <c r="E264" s="212" t="str">
        <f t="shared" ca="1" si="269"/>
        <v>Industrial heating technology Iron &amp; Steel SH - Gas boiler (Steam) - new 1</v>
      </c>
      <c r="F264" s="262" t="s">
        <v>450</v>
      </c>
      <c r="G264" s="262" t="s">
        <v>449</v>
      </c>
      <c r="H264" s="261"/>
      <c r="I264" s="261"/>
      <c r="J264" s="264" t="s">
        <v>469</v>
      </c>
    </row>
    <row r="265" spans="1:10">
      <c r="B265" s="212"/>
      <c r="C265" s="212"/>
      <c r="D265" s="212" t="str">
        <f t="shared" ca="1" si="268"/>
        <v>INDSDPHGASN2</v>
      </c>
      <c r="E265" s="212" t="str">
        <f t="shared" ca="1" si="269"/>
        <v>Industrial heating technology Iron &amp; Steel PH - Gas boiler (Steam - condensing) - new 2</v>
      </c>
      <c r="F265" s="262" t="s">
        <v>450</v>
      </c>
      <c r="G265" s="262" t="s">
        <v>449</v>
      </c>
      <c r="H265" s="261"/>
      <c r="I265" s="261"/>
      <c r="J265" s="264" t="s">
        <v>469</v>
      </c>
    </row>
    <row r="266" spans="1:10">
      <c r="B266" s="212"/>
      <c r="C266" s="212"/>
      <c r="D266" s="212" t="str">
        <f t="shared" ca="1" si="268"/>
        <v>INDSDSHGASN2</v>
      </c>
      <c r="E266" s="212" t="str">
        <f t="shared" ca="1" si="269"/>
        <v>Industrial heating technology Iron &amp; Steel SH - Gas boiler (Steam - condensing) - new 2</v>
      </c>
      <c r="F266" s="262" t="s">
        <v>450</v>
      </c>
      <c r="G266" s="262" t="s">
        <v>449</v>
      </c>
      <c r="H266" s="261"/>
      <c r="I266" s="261"/>
      <c r="J266" s="264" t="s">
        <v>469</v>
      </c>
    </row>
    <row r="267" spans="1:10">
      <c r="B267" s="212"/>
      <c r="C267" s="212"/>
      <c r="D267" s="212" t="str">
        <f t="shared" ca="1" si="268"/>
        <v>INDSDPHGASN3</v>
      </c>
      <c r="E267" s="212" t="str">
        <f t="shared" ca="1" si="269"/>
        <v>Industrial heating technology Iron &amp; Steel PH - Gas boiler (Hot Water) - new 3</v>
      </c>
      <c r="F267" s="262" t="s">
        <v>450</v>
      </c>
      <c r="G267" s="262" t="s">
        <v>449</v>
      </c>
      <c r="H267" s="261"/>
      <c r="I267" s="261"/>
      <c r="J267" s="264" t="s">
        <v>469</v>
      </c>
    </row>
    <row r="268" spans="1:10">
      <c r="B268" s="212"/>
      <c r="C268" s="212"/>
      <c r="D268" s="212" t="str">
        <f t="shared" ca="1" si="268"/>
        <v>INDSDSHGASN3</v>
      </c>
      <c r="E268" s="212" t="str">
        <f t="shared" ca="1" si="269"/>
        <v>Industrial heating technology Iron &amp; Steel SH - Gas boiler (Hot Water) - new 3</v>
      </c>
      <c r="F268" s="262" t="s">
        <v>450</v>
      </c>
      <c r="G268" s="262" t="s">
        <v>449</v>
      </c>
      <c r="H268" s="261"/>
      <c r="I268" s="261"/>
      <c r="J268" s="264" t="s">
        <v>469</v>
      </c>
    </row>
    <row r="269" spans="1:10">
      <c r="B269" s="212"/>
      <c r="C269" s="212"/>
      <c r="D269" s="212" t="str">
        <f t="shared" ca="1" si="268"/>
        <v>INDSDPHGASN4</v>
      </c>
      <c r="E269" s="212" t="str">
        <f t="shared" ca="1" si="269"/>
        <v>Industrial heating technology Iron &amp; Steel PH - Gas boiler (Hot Water - condensing) - new 4</v>
      </c>
      <c r="F269" s="262" t="s">
        <v>450</v>
      </c>
      <c r="G269" s="262" t="s">
        <v>449</v>
      </c>
      <c r="H269" s="261"/>
      <c r="I269" s="261"/>
      <c r="J269" s="264" t="s">
        <v>469</v>
      </c>
    </row>
    <row r="270" spans="1:10">
      <c r="B270" s="212"/>
      <c r="C270" s="212"/>
      <c r="D270" s="212" t="str">
        <f t="shared" ca="1" si="268"/>
        <v>INDSDSHGASN4</v>
      </c>
      <c r="E270" s="212" t="str">
        <f t="shared" ca="1" si="269"/>
        <v>Industrial heating technology Iron &amp; Steel SH - Gas boiler (Hot Water- condensing) - new 4</v>
      </c>
      <c r="F270" s="262" t="s">
        <v>450</v>
      </c>
      <c r="G270" s="262" t="s">
        <v>449</v>
      </c>
      <c r="H270" s="261"/>
      <c r="I270" s="261"/>
      <c r="J270" s="264" t="s">
        <v>469</v>
      </c>
    </row>
    <row r="271" spans="1:10">
      <c r="B271" s="212"/>
      <c r="C271" s="212"/>
      <c r="D271" s="212" t="str">
        <f t="shared" ca="1" si="268"/>
        <v>INDSDPHGASN5</v>
      </c>
      <c r="E271" s="212" t="str">
        <f t="shared" ca="1" si="269"/>
        <v>Industrial heating technology Iron &amp; Steel PH - Gas boiler (Direct firing) - new 5</v>
      </c>
      <c r="F271" s="262" t="s">
        <v>450</v>
      </c>
      <c r="G271" s="262" t="s">
        <v>449</v>
      </c>
      <c r="H271" s="261"/>
      <c r="I271" s="261"/>
      <c r="J271" s="264" t="s">
        <v>469</v>
      </c>
    </row>
    <row r="272" spans="1:10">
      <c r="B272" s="212"/>
      <c r="C272" s="212"/>
      <c r="D272" s="212" t="str">
        <f t="shared" ca="1" si="268"/>
        <v>INDSDPHGASN5</v>
      </c>
      <c r="E272" s="212" t="str">
        <f t="shared" ca="1" si="269"/>
        <v>Industrial heating technology Iron &amp; Steel PH - Gas boiler (Direct firing) - new 5</v>
      </c>
      <c r="F272" s="262" t="s">
        <v>450</v>
      </c>
      <c r="G272" s="262" t="s">
        <v>449</v>
      </c>
      <c r="H272" s="261"/>
      <c r="I272" s="261"/>
      <c r="J272" s="264" t="s">
        <v>469</v>
      </c>
    </row>
    <row r="273" spans="2:10">
      <c r="B273" s="212"/>
      <c r="C273" s="212"/>
      <c r="D273" s="212" t="str">
        <f t="shared" ca="1" si="268"/>
        <v>INDSDPHCOAN1</v>
      </c>
      <c r="E273" s="212" t="str">
        <f t="shared" ca="1" si="269"/>
        <v>Industrial heating technology Iron &amp; Steel PH - Coal boiler (Steam) - new 1</v>
      </c>
      <c r="F273" s="262" t="s">
        <v>450</v>
      </c>
      <c r="G273" s="262" t="s">
        <v>449</v>
      </c>
      <c r="H273" s="261"/>
      <c r="I273" s="261"/>
      <c r="J273" s="264" t="s">
        <v>469</v>
      </c>
    </row>
    <row r="274" spans="2:10">
      <c r="B274" s="212"/>
      <c r="C274" s="212"/>
      <c r="D274" s="212" t="str">
        <f t="shared" ca="1" si="268"/>
        <v>INDSDPHCOAN1</v>
      </c>
      <c r="E274" s="212" t="str">
        <f t="shared" ca="1" si="269"/>
        <v>Industrial heating technology Iron &amp; Steel PH - Coal boiler (Steam) - new 1</v>
      </c>
      <c r="F274" s="262" t="s">
        <v>450</v>
      </c>
      <c r="G274" s="262" t="s">
        <v>449</v>
      </c>
      <c r="H274" s="261"/>
      <c r="I274" s="261"/>
      <c r="J274" s="264" t="s">
        <v>469</v>
      </c>
    </row>
    <row r="275" spans="2:10">
      <c r="B275" s="212"/>
      <c r="C275" s="212"/>
      <c r="D275" s="212" t="str">
        <f t="shared" ca="1" si="268"/>
        <v>INDSDSHCOAN1</v>
      </c>
      <c r="E275" s="212" t="str">
        <f t="shared" ca="1" si="269"/>
        <v>Industrial heating technology Iron &amp; Steel SH - Coal boiler (Steam) - new 1</v>
      </c>
      <c r="F275" s="262" t="s">
        <v>450</v>
      </c>
      <c r="G275" s="262" t="s">
        <v>449</v>
      </c>
      <c r="H275" s="261"/>
      <c r="I275" s="261"/>
      <c r="J275" s="264" t="s">
        <v>469</v>
      </c>
    </row>
    <row r="276" spans="2:10">
      <c r="B276" s="212"/>
      <c r="C276" s="212"/>
      <c r="D276" s="212" t="str">
        <f t="shared" ca="1" si="268"/>
        <v>INDSDPHCOAN2</v>
      </c>
      <c r="E276" s="212" t="str">
        <f t="shared" ca="1" si="269"/>
        <v>Industrial heating technology Iron &amp; Steel PH - Coal boiler (Hot Water) - new 2</v>
      </c>
      <c r="F276" s="262" t="s">
        <v>450</v>
      </c>
      <c r="G276" s="262" t="s">
        <v>449</v>
      </c>
      <c r="H276" s="261"/>
      <c r="I276" s="261"/>
      <c r="J276" s="264" t="s">
        <v>469</v>
      </c>
    </row>
    <row r="277" spans="2:10">
      <c r="B277" s="212"/>
      <c r="C277" s="212"/>
      <c r="D277" s="212" t="str">
        <f t="shared" ca="1" si="268"/>
        <v>INDSDSHCOAN2</v>
      </c>
      <c r="E277" s="212" t="str">
        <f t="shared" ca="1" si="269"/>
        <v>Industrial heating technology Iron &amp; Steel SH - Coal boiler (Hot Water) - new 2</v>
      </c>
      <c r="F277" s="262" t="s">
        <v>450</v>
      </c>
      <c r="G277" s="262" t="s">
        <v>449</v>
      </c>
      <c r="H277" s="261"/>
      <c r="I277" s="261"/>
      <c r="J277" s="264" t="s">
        <v>469</v>
      </c>
    </row>
    <row r="278" spans="2:10">
      <c r="B278" s="212"/>
      <c r="C278" s="212"/>
      <c r="D278" s="212" t="str">
        <f t="shared" ca="1" si="268"/>
        <v>INDSDSHSOLN1</v>
      </c>
      <c r="E278" s="212" t="str">
        <f t="shared" ca="1" si="269"/>
        <v>Industrial heating technology Iron &amp; Steel SH - Solar - new 1</v>
      </c>
      <c r="F278" s="262" t="s">
        <v>450</v>
      </c>
      <c r="G278" s="262" t="s">
        <v>449</v>
      </c>
      <c r="H278" s="263" t="s">
        <v>620</v>
      </c>
      <c r="I278" s="261"/>
      <c r="J278" s="264" t="s">
        <v>469</v>
      </c>
    </row>
    <row r="279" spans="2:10">
      <c r="B279" s="212"/>
      <c r="C279" s="212"/>
      <c r="D279" s="889" t="str">
        <f>D187</f>
        <v>INDSDSHHCEN1</v>
      </c>
      <c r="E279" s="889" t="str">
        <f t="shared" si="269"/>
        <v>Industrial heating technology Iron &amp; Steel SH - central district heating - within DH area - new 1</v>
      </c>
      <c r="F279" s="262" t="s">
        <v>450</v>
      </c>
      <c r="G279" s="262" t="s">
        <v>449</v>
      </c>
      <c r="H279" s="890"/>
      <c r="I279" s="890"/>
      <c r="J279" s="263" t="s">
        <v>469</v>
      </c>
    </row>
    <row r="280" spans="2:10">
      <c r="B280" s="212"/>
      <c r="C280" s="212"/>
      <c r="D280" s="889" t="str">
        <f>D188</f>
        <v>INDSDPHHCEN1</v>
      </c>
      <c r="E280" s="889" t="str">
        <f t="shared" si="269"/>
        <v>Industrial heating technology Iron &amp; Steel PH - central district heating - within DH area - new 1</v>
      </c>
      <c r="F280" s="262" t="s">
        <v>450</v>
      </c>
      <c r="G280" s="262" t="s">
        <v>449</v>
      </c>
      <c r="H280" s="890"/>
      <c r="I280" s="890"/>
      <c r="J280" s="263" t="s">
        <v>469</v>
      </c>
    </row>
    <row r="281" spans="2:10">
      <c r="B281" s="212"/>
      <c r="C281" s="212"/>
      <c r="D281" s="889" t="str">
        <f>D189</f>
        <v>INDSDSHHSEN1</v>
      </c>
      <c r="E281" s="889" t="str">
        <f t="shared" si="269"/>
        <v>Industrial heating technology Iron &amp; Steel SH - central district heating - within DH area - new 1</v>
      </c>
      <c r="F281" s="262" t="s">
        <v>450</v>
      </c>
      <c r="G281" s="262" t="s">
        <v>449</v>
      </c>
      <c r="H281" s="890"/>
      <c r="I281" s="890"/>
      <c r="J281" s="263" t="s">
        <v>469</v>
      </c>
    </row>
    <row r="282" spans="2:10">
      <c r="B282" s="212"/>
      <c r="C282" s="212"/>
      <c r="D282" s="889" t="str">
        <f>D190</f>
        <v>INDSDPHHSEN1</v>
      </c>
      <c r="E282" s="889" t="str">
        <f t="shared" si="269"/>
        <v>Industrial heating technology Iron &amp; Steel PH - central district heating - within DH area - new 1</v>
      </c>
      <c r="F282" s="262" t="s">
        <v>450</v>
      </c>
      <c r="G282" s="262" t="s">
        <v>449</v>
      </c>
      <c r="H282" s="890"/>
      <c r="I282" s="890"/>
      <c r="J282" s="263" t="s">
        <v>469</v>
      </c>
    </row>
    <row r="283" spans="2:10">
      <c r="B283" s="212"/>
      <c r="C283" s="212"/>
      <c r="D283" s="212" t="str">
        <f t="shared" ref="D283" si="270">D191</f>
        <v>INDSDSHHDEN1</v>
      </c>
      <c r="E283" s="212" t="str">
        <f t="shared" si="269"/>
        <v>Industrial heating technology Iron &amp; Steel SH - decentral district heating - within DH area - new 1</v>
      </c>
      <c r="F283" s="262" t="s">
        <v>450</v>
      </c>
      <c r="G283" s="262" t="s">
        <v>449</v>
      </c>
      <c r="H283" s="261"/>
      <c r="I283" s="261"/>
      <c r="J283" s="264" t="s">
        <v>469</v>
      </c>
    </row>
    <row r="284" spans="2:10">
      <c r="B284" s="212"/>
      <c r="C284" s="212"/>
      <c r="D284" s="212" t="str">
        <f>D192</f>
        <v>INDSDPHHDEN1</v>
      </c>
      <c r="E284" s="212" t="str">
        <f t="shared" si="269"/>
        <v>Industrial heating technology Iron &amp; Steel PH - decentral district heating - within DH area - new 1</v>
      </c>
      <c r="F284" s="262" t="s">
        <v>450</v>
      </c>
      <c r="G284" s="262" t="s">
        <v>449</v>
      </c>
      <c r="H284" s="261"/>
      <c r="I284" s="261"/>
      <c r="J284" s="264" t="s">
        <v>469</v>
      </c>
    </row>
    <row r="285" spans="2:10">
      <c r="B285" s="212"/>
      <c r="C285" s="212"/>
      <c r="D285" s="212" t="str">
        <f>D194</f>
        <v>INDSDLAELCN1</v>
      </c>
      <c r="E285" s="212" t="str">
        <f t="shared" si="269"/>
        <v>Industry Iron &amp; Steel LA Electricity Light Appliance - New 1</v>
      </c>
      <c r="F285" s="262" t="s">
        <v>450</v>
      </c>
      <c r="G285" s="262" t="s">
        <v>449</v>
      </c>
      <c r="H285" s="261"/>
      <c r="I285" s="261"/>
      <c r="J285" s="264" t="s">
        <v>469</v>
      </c>
    </row>
    <row r="286" spans="2:10">
      <c r="B286" s="212"/>
      <c r="C286" s="212"/>
      <c r="D286" s="212" t="str">
        <f>D198</f>
        <v>INDSDEMELCN1</v>
      </c>
      <c r="E286" s="212" t="str">
        <f t="shared" si="269"/>
        <v>Industry Iron &amp; Steel EM Electricity Motors - New 1</v>
      </c>
      <c r="F286" s="262" t="s">
        <v>450</v>
      </c>
      <c r="G286" s="262" t="s">
        <v>449</v>
      </c>
      <c r="H286" s="261"/>
      <c r="I286" s="261"/>
      <c r="J286" s="264" t="s">
        <v>469</v>
      </c>
    </row>
    <row r="287" spans="2:10">
      <c r="B287" s="212"/>
      <c r="C287" s="212"/>
      <c r="D287" s="212" t="str">
        <f>D202</f>
        <v>INDSDTFDSLN1</v>
      </c>
      <c r="E287" s="212" t="str">
        <f t="shared" si="269"/>
        <v>Industry Iron &amp; Steel TF Tractors, Trucks, Fishing boats - New 1</v>
      </c>
      <c r="F287" s="262" t="s">
        <v>450</v>
      </c>
      <c r="G287" s="262" t="s">
        <v>2078</v>
      </c>
      <c r="H287" s="261"/>
      <c r="I287" s="261"/>
      <c r="J287" s="264" t="s">
        <v>469</v>
      </c>
    </row>
    <row r="288" spans="2:10">
      <c r="B288" s="212"/>
      <c r="C288" s="212"/>
      <c r="D288" s="212" t="str">
        <f>D206</f>
        <v>INDSDTFH2GN2</v>
      </c>
      <c r="E288" s="212" t="str">
        <f t="shared" si="269"/>
        <v>Industry Iron &amp; Steel TF Tractors, Trucks, Fishing boats - New 2</v>
      </c>
      <c r="F288" s="262" t="s">
        <v>450</v>
      </c>
      <c r="G288" s="262" t="s">
        <v>2078</v>
      </c>
      <c r="H288" s="261"/>
      <c r="I288" s="261"/>
      <c r="J288" s="264" t="s">
        <v>469</v>
      </c>
    </row>
    <row r="289" spans="2:10">
      <c r="B289" s="212"/>
      <c r="C289" s="212"/>
      <c r="D289" s="212" t="str">
        <f>D210</f>
        <v>INDSDTFELCN3</v>
      </c>
      <c r="E289" s="212" t="str">
        <f t="shared" si="269"/>
        <v>Industry Iron &amp; Steel TF Tractors, Trucks, Fishing boats - New 3</v>
      </c>
      <c r="F289" s="262" t="s">
        <v>450</v>
      </c>
      <c r="G289" s="262" t="s">
        <v>2078</v>
      </c>
      <c r="H289" s="261"/>
      <c r="I289" s="261"/>
      <c r="J289" s="264" t="s">
        <v>469</v>
      </c>
    </row>
    <row r="290" spans="2:10">
      <c r="B290" s="212"/>
      <c r="C290" s="212"/>
      <c r="D290" s="212" t="str">
        <f>D214</f>
        <v>INDSDFLSYNN1</v>
      </c>
      <c r="E290" s="212" t="str">
        <f t="shared" si="269"/>
        <v>Industry Iron &amp; Steel TF Forklifts - New 1</v>
      </c>
      <c r="F290" s="262" t="s">
        <v>450</v>
      </c>
      <c r="G290" s="262" t="s">
        <v>449</v>
      </c>
      <c r="H290" s="261"/>
      <c r="I290" s="261"/>
      <c r="J290" s="264" t="s">
        <v>469</v>
      </c>
    </row>
    <row r="291" spans="2:10">
      <c r="B291" s="212"/>
      <c r="C291" s="212"/>
      <c r="D291" s="212" t="str">
        <f>D218</f>
        <v>INDSDCOELCN1</v>
      </c>
      <c r="E291" s="212" t="str">
        <f>E218</f>
        <v>Industry Iron &amp; Steel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IIDSOx</v>
      </c>
      <c r="E296" s="270" t="str">
        <f>"Industrial heating  heating technology "&amp;$AJ$12&amp;" - SOx emission"</f>
        <v>Industrial heating  heating technology Iron &amp; Steel - SOx emission</v>
      </c>
      <c r="F296" s="219" t="s">
        <v>352</v>
      </c>
      <c r="G296" s="211"/>
      <c r="H296" s="211"/>
      <c r="I296" s="211"/>
      <c r="J296" s="211"/>
    </row>
    <row r="297" spans="2:10">
      <c r="B297" s="214"/>
      <c r="C297" s="214"/>
      <c r="D297" s="260" t="str">
        <f>"I"&amp;LEFT($AJ$12,1)&amp;"DNOx"</f>
        <v>IIDNOx</v>
      </c>
      <c r="E297" s="270" t="str">
        <f>"Industrial heating  heating technology "&amp;$AJ$12&amp;" - NOx emission"</f>
        <v>Industrial heating  heating technology Iron &amp; Steel - NOx emission</v>
      </c>
      <c r="F297" s="219" t="s">
        <v>352</v>
      </c>
      <c r="G297" s="211"/>
      <c r="H297" s="214"/>
      <c r="I297" s="214"/>
      <c r="J297" s="214"/>
    </row>
    <row r="298" spans="2:10">
      <c r="B298" s="214"/>
      <c r="C298" s="214"/>
      <c r="D298" s="260" t="str">
        <f>"I"&amp;LEFT($AJ$12,1)&amp;"DCH4"</f>
        <v>IIDCH4</v>
      </c>
      <c r="E298" s="270" t="str">
        <f>"Industrial heating  heating technology "&amp;$AJ$12&amp;" - CH4 emission"</f>
        <v>Industrial heating  heating technology Iron &amp; Steel - CH4 emission</v>
      </c>
      <c r="F298" s="219" t="s">
        <v>352</v>
      </c>
      <c r="G298" s="211"/>
      <c r="H298" s="214"/>
      <c r="I298" s="214"/>
      <c r="J298" s="214"/>
    </row>
    <row r="299" spans="2:10">
      <c r="B299" s="214"/>
      <c r="C299" s="214"/>
      <c r="D299" s="260" t="str">
        <f>"I"&amp;LEFT($AJ$12,1)&amp;"DNO2"</f>
        <v>IIDNO2</v>
      </c>
      <c r="E299" s="270" t="str">
        <f>"Industrial heating  heating technology "&amp;$AJ$12&amp;" - NO2 emission"</f>
        <v>Industrial heating  heating technology Iron &amp; Steel - NO2 emission</v>
      </c>
      <c r="F299" s="219" t="s">
        <v>352</v>
      </c>
      <c r="G299" s="211"/>
      <c r="H299" s="214"/>
      <c r="I299" s="214"/>
      <c r="J299" s="214"/>
    </row>
    <row r="300" spans="2:10">
      <c r="B300" s="214"/>
      <c r="C300" s="214"/>
      <c r="D300" s="260" t="str">
        <f>"I"&amp;LEFT($AJ$12,1)&amp;"DPM"</f>
        <v>IIDPM</v>
      </c>
      <c r="E300" s="270" t="str">
        <f>"Industrial heating  heating technology "&amp;$AJ$12&amp;" - Particle emission"</f>
        <v>Industrial heating  heating technology Iron &amp; Steel - Particle emission</v>
      </c>
      <c r="F300" s="219" t="s">
        <v>352</v>
      </c>
      <c r="G300" s="211"/>
      <c r="H300" s="214"/>
      <c r="I300" s="214"/>
      <c r="J300" s="214"/>
    </row>
    <row r="301" spans="2:10">
      <c r="B301" s="224" t="s">
        <v>1057</v>
      </c>
      <c r="D301" s="224" t="str">
        <f>AI20</f>
        <v>INDSWH</v>
      </c>
      <c r="E301" s="270" t="str">
        <f>"Industrial heating technology "&amp;$AJ$12&amp;" - Waste heat"</f>
        <v>Industrial heating technology Iron &amp; Steel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9DED474-AF48-46DE-A1FD-C4243301A633}">
          <x14:formula1>
            <xm:f>'Oil-fired boiler_NEW'!$T$4:$X$4</xm:f>
          </x14:formula1>
          <xm:sqref>E1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F27B-FF11-492F-89CD-16B6B0FA1056}">
  <sheetPr>
    <tabColor rgb="FF00B050"/>
  </sheetPr>
  <dimension ref="A1:AP301"/>
  <sheetViews>
    <sheetView topLeftCell="J29"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690</v>
      </c>
      <c r="N2" s="731"/>
      <c r="O2" s="731"/>
      <c r="P2" s="731"/>
      <c r="S2" s="726">
        <f>MATCH($E$1,$AJ$22:$AJ$35)</f>
        <v>13</v>
      </c>
      <c r="T2" s="778">
        <f>MATCH($E$1,$AJ$22:$AJ$35)+1</f>
        <v>14</v>
      </c>
      <c r="U2" s="779"/>
      <c r="V2" s="768" t="s">
        <v>1055</v>
      </c>
      <c r="W2" s="781">
        <v>0.2</v>
      </c>
    </row>
    <row r="3" spans="2:42" ht="16" thickBot="1">
      <c r="E3" s="224" t="s">
        <v>2125</v>
      </c>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FEMIS~IADSOx</v>
      </c>
      <c r="Y6" s="280" t="str">
        <f>"FEMIS~"&amp;D297</f>
        <v>FEMIS~IADNOx</v>
      </c>
      <c r="Z6" s="280" t="str">
        <f>"FEMIS~"&amp;D298</f>
        <v>FEMIS~IADCH4</v>
      </c>
      <c r="AA6" s="280" t="str">
        <f>"FEMIS~"&amp;D299</f>
        <v>FEMIS~IADNO2</v>
      </c>
      <c r="AB6" s="280" t="str">
        <f>"FEMIS~"&amp;D300</f>
        <v>FEMIS~IADPM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INDADPHELCN1</v>
      </c>
      <c r="E9" s="261" t="str">
        <f>"Industrial heating technology "&amp;$AJ$12&amp;" "&amp;RIGHT(H9,2)&amp;" - Heat pump utilizing waste heat - new 1"</f>
        <v>Industrial heating technology Aluminium PH - Heat pump utilizing waste heat - new 1</v>
      </c>
      <c r="F9" s="224" t="s">
        <v>1149</v>
      </c>
      <c r="G9" s="173" t="s">
        <v>499</v>
      </c>
      <c r="H9" s="174" t="str">
        <f>$AI$14</f>
        <v>IADPH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INDAWH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IADPH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c r="AJ11" s="36" t="s">
        <v>690</v>
      </c>
    </row>
    <row r="12" spans="2:42">
      <c r="B12" s="357" t="s">
        <v>998</v>
      </c>
      <c r="D12" s="212"/>
      <c r="E12" s="212"/>
      <c r="F12" s="224" t="s">
        <v>1149</v>
      </c>
      <c r="G12" s="173" t="str">
        <f>$AI$20</f>
        <v>INDAWH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Aluminium</v>
      </c>
    </row>
    <row r="13" spans="2:42">
      <c r="B13" s="357" t="s">
        <v>998</v>
      </c>
      <c r="D13" s="212"/>
      <c r="E13" s="212"/>
      <c r="F13" s="224" t="s">
        <v>1149</v>
      </c>
      <c r="G13" s="173" t="s">
        <v>499</v>
      </c>
      <c r="H13" s="174" t="str">
        <f>$AI$14</f>
        <v>IADPH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IADPH</v>
      </c>
      <c r="AJ13" s="224" t="str">
        <f>AP14</f>
        <v>Aluminium industry Demand Heat High Temp. over 150C</v>
      </c>
      <c r="AO13" s="224" t="s">
        <v>2102</v>
      </c>
      <c r="AP13" s="224" t="s">
        <v>1194</v>
      </c>
    </row>
    <row r="14" spans="2:42">
      <c r="B14" s="357" t="s">
        <v>998</v>
      </c>
      <c r="D14" s="212"/>
      <c r="E14" s="212"/>
      <c r="F14" s="224" t="s">
        <v>1149</v>
      </c>
      <c r="G14" s="173" t="str">
        <f>$AI$20</f>
        <v>INDAWH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IADPH</v>
      </c>
      <c r="AJ14" s="224" t="str">
        <f>AP13</f>
        <v>Aluminium industry Demand Heat Medium Temp. up to 150C</v>
      </c>
      <c r="AO14" s="224" t="s">
        <v>2102</v>
      </c>
      <c r="AP14" s="224" t="s">
        <v>1195</v>
      </c>
    </row>
    <row r="15" spans="2:42">
      <c r="B15" s="357" t="s">
        <v>998</v>
      </c>
      <c r="D15" s="212" t="str">
        <f>"IND"&amp;RIGHT(H15,4)&amp;RIGHT(G15,3)&amp;"N"&amp;RIGHT(E15,1)</f>
        <v>INDADSHELCN1</v>
      </c>
      <c r="E15" s="261" t="str">
        <f>"Industrial heating technology "&amp;$AJ$12&amp;" "&amp;RIGHT(H15,2)&amp;" - Heat pump utilizing waste heat - new 1"</f>
        <v>Industrial heating technology Aluminium SH - Heat pump utilizing waste heat - new 1</v>
      </c>
      <c r="F15" s="224" t="s">
        <v>1149</v>
      </c>
      <c r="G15" s="173" t="s">
        <v>499</v>
      </c>
      <c r="H15" s="174" t="str">
        <f>$AI$15</f>
        <v>IADSH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IADSH</v>
      </c>
      <c r="AJ15" s="224" t="str">
        <f>AP15</f>
        <v>Aluminium industry Demand Heat Room Heat</v>
      </c>
      <c r="AO15" s="224" t="s">
        <v>2103</v>
      </c>
      <c r="AP15" s="224" t="s">
        <v>1196</v>
      </c>
    </row>
    <row r="16" spans="2:42">
      <c r="B16" s="357" t="s">
        <v>998</v>
      </c>
      <c r="D16" s="212"/>
      <c r="E16" s="261"/>
      <c r="F16" s="224" t="s">
        <v>1149</v>
      </c>
      <c r="G16" s="173" t="str">
        <f>$AI$20</f>
        <v>INDAWH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IADLA</v>
      </c>
      <c r="AJ16" s="224" t="str">
        <f t="shared" si="0"/>
        <v>Aluminium industry Demand Light</v>
      </c>
      <c r="AO16" s="224" t="s">
        <v>2104</v>
      </c>
      <c r="AP16" s="224" t="s">
        <v>1197</v>
      </c>
    </row>
    <row r="17" spans="2:42">
      <c r="B17" s="357" t="s">
        <v>998</v>
      </c>
      <c r="D17" s="212"/>
      <c r="E17" s="212"/>
      <c r="F17" s="224" t="s">
        <v>1149</v>
      </c>
      <c r="G17" s="173" t="s">
        <v>499</v>
      </c>
      <c r="H17" s="174" t="str">
        <f>$AI$15</f>
        <v>IADSH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IADEM</v>
      </c>
      <c r="AJ17" s="224" t="str">
        <f t="shared" si="0"/>
        <v>Aluminium industry Demand Electric Motors</v>
      </c>
      <c r="AO17" s="224" t="s">
        <v>2105</v>
      </c>
      <c r="AP17" s="224" t="s">
        <v>1198</v>
      </c>
    </row>
    <row r="18" spans="2:42">
      <c r="B18" s="357" t="s">
        <v>998</v>
      </c>
      <c r="D18" s="212"/>
      <c r="E18" s="212"/>
      <c r="F18" s="224" t="s">
        <v>1149</v>
      </c>
      <c r="G18" s="173" t="str">
        <f>$AI$20</f>
        <v>INDAWH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IADTF</v>
      </c>
      <c r="AJ18" s="224" t="str">
        <f t="shared" si="0"/>
        <v>Aluminium industry Demand Haulage Tractors, Trucks, Fishing boats, Forest machines</v>
      </c>
      <c r="AO18" s="224" t="s">
        <v>2106</v>
      </c>
      <c r="AP18" s="224" t="s">
        <v>1199</v>
      </c>
    </row>
    <row r="19" spans="2:42">
      <c r="B19" s="357" t="s">
        <v>998</v>
      </c>
      <c r="D19" s="212"/>
      <c r="E19" s="212"/>
      <c r="F19" s="224" t="s">
        <v>1149</v>
      </c>
      <c r="G19" s="173" t="s">
        <v>499</v>
      </c>
      <c r="H19" s="174" t="str">
        <f>$AI$15</f>
        <v>IADSH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IADFL</v>
      </c>
      <c r="AJ19" s="224" t="str">
        <f t="shared" si="0"/>
        <v>Aluminium industry Demand Haulage Forklifts</v>
      </c>
      <c r="AO19" s="224" t="s">
        <v>2107</v>
      </c>
      <c r="AP19" s="224" t="s">
        <v>1200</v>
      </c>
    </row>
    <row r="20" spans="2:42">
      <c r="B20" s="357" t="s">
        <v>998</v>
      </c>
      <c r="D20" s="212"/>
      <c r="E20" s="212"/>
      <c r="F20" s="224" t="s">
        <v>1149</v>
      </c>
      <c r="G20" s="173" t="str">
        <f>$AI$20</f>
        <v>INDAWH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INDAWH</v>
      </c>
      <c r="AJ20" s="224" t="str">
        <f>$AJ$12&amp;" Industrial Waste Heat"</f>
        <v>Aluminium Industrial Waste Heat</v>
      </c>
    </row>
    <row r="21" spans="2:42">
      <c r="B21" s="357" t="s">
        <v>999</v>
      </c>
      <c r="D21" s="212" t="str">
        <f>"IND"&amp;RIGHT(H21,4)&amp;RIGHT(G21,3)&amp;"N"&amp;RIGHT(E21,1)</f>
        <v>INDADPHELCN2</v>
      </c>
      <c r="E21" s="261" t="str">
        <f>"Industrial heating technology "&amp;$AJ$12&amp;" "&amp;RIGHT(H21,2)&amp;" - Heat driven heat pump utilizing waste heat - new 2"</f>
        <v>Industrial heating technology Aluminium PH - Heat driven heat pump utilizing waste heat - new 2</v>
      </c>
      <c r="F21" s="224" t="s">
        <v>1149</v>
      </c>
      <c r="G21" s="173" t="s">
        <v>499</v>
      </c>
      <c r="H21" s="174" t="str">
        <f>$AI$14</f>
        <v>IADPH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IADCO</v>
      </c>
      <c r="AJ21" s="224" t="s">
        <v>2117</v>
      </c>
    </row>
    <row r="22" spans="2:42">
      <c r="B22" s="357" t="s">
        <v>999</v>
      </c>
      <c r="D22" s="212"/>
      <c r="E22" s="261"/>
      <c r="F22" s="224" t="s">
        <v>1149</v>
      </c>
      <c r="G22" s="173" t="str">
        <f>$AI$20</f>
        <v>INDAWH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IADPH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INDAWH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IADPH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INDAWH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INDADSHELCN2</v>
      </c>
      <c r="E27" s="261" t="str">
        <f>"Industrial heating technology "&amp;$AJ$12&amp;" "&amp;RIGHT(H27,2)&amp;" - Heat driven heat pump utilizing waste heat - new 2"</f>
        <v>Industrial heating technology Aluminium SH - Heat driven heat pump utilizing waste heat - new 2</v>
      </c>
      <c r="F27" s="224" t="s">
        <v>1149</v>
      </c>
      <c r="G27" s="173" t="s">
        <v>499</v>
      </c>
      <c r="H27" s="174" t="str">
        <f>$AI$15</f>
        <v>IADSH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INDAWH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IADSH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INDAWH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IADSH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INDAWH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INDADPHELCN3</v>
      </c>
      <c r="E33" s="261" t="str">
        <f>"Industrial heating technology "&amp;$AJ$12&amp;" "&amp;RIGHT(H33,2)&amp;" - High Temp abs. Heat pump utilizing waste heat - new 3"</f>
        <v>Industrial heating technology Aluminium PH - High Temp abs. Heat pump utilizing waste heat - new 3</v>
      </c>
      <c r="F33" s="224" t="s">
        <v>1149</v>
      </c>
      <c r="G33" s="173" t="s">
        <v>499</v>
      </c>
      <c r="H33" s="174" t="str">
        <f>$AI$14</f>
        <v>IADPH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INDAWH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IADPH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INDAWH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IADPH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INDAWH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INDADSHELCN3</v>
      </c>
      <c r="E39" s="261" t="str">
        <f>"Industrial heating technology "&amp;$AJ$12&amp;" "&amp;RIGHT(H39,2)&amp;" - High Temp abs. Heat pump utilizing waste heat - new 3"</f>
        <v>Industrial heating technology Aluminium SH - High Temp abs. Heat pump utilizing waste heat - new 3</v>
      </c>
      <c r="F39" s="224" t="s">
        <v>1149</v>
      </c>
      <c r="G39" s="173" t="s">
        <v>499</v>
      </c>
      <c r="H39" s="174" t="str">
        <f>$AI$15</f>
        <v>IADSH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INDAWH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IADSH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INDAWH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IADSH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INDAWH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INDADPHELCN4</v>
      </c>
      <c r="E45" s="261" t="str">
        <f>"Industrial heating technology "&amp;$AJ$12&amp;" "&amp;RIGHT(H45,2)&amp;" - Booster Heat pump utilizing waste heat - new 4"</f>
        <v>Industrial heating technology Aluminium PH - Booster Heat pump utilizing waste heat - new 4</v>
      </c>
      <c r="F45" s="224" t="s">
        <v>1149</v>
      </c>
      <c r="G45" s="173" t="s">
        <v>499</v>
      </c>
      <c r="H45" s="174" t="str">
        <f>$AI$14</f>
        <v>IADPH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INDAWH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IADPH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INDAWH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IADPH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INDAWH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INDADSHELCN4</v>
      </c>
      <c r="E51" s="261" t="str">
        <f>"Industrial heating technology "&amp;$AJ$12&amp;" "&amp;RIGHT(H51,2)&amp;" - Booster Heat pump utilizing waste heat - new 4"</f>
        <v>Industrial heating technology Aluminium SH - Booster Heat pump utilizing waste heat - new 4</v>
      </c>
      <c r="F51" s="224" t="s">
        <v>1149</v>
      </c>
      <c r="G51" s="173" t="s">
        <v>499</v>
      </c>
      <c r="H51" s="174" t="str">
        <f>$AI$15</f>
        <v>IADSH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INDAWH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IADSH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INDAWH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IADSH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INDAWH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INDADPHELCN5</v>
      </c>
      <c r="E57" s="261" t="str">
        <f>"Industrial heating technology "&amp;$AJ$12&amp;" "&amp;RIGHT(H57,2)&amp;" - MVR utilizing waste heat - new 5"</f>
        <v>Industrial heating technology Aluminium PH - MVR utilizing waste heat - new 5</v>
      </c>
      <c r="F57" s="224" t="s">
        <v>1149</v>
      </c>
      <c r="G57" s="173" t="s">
        <v>499</v>
      </c>
      <c r="H57" s="174" t="str">
        <f>$AI$14</f>
        <v>IADPH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INDAWH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IADPH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INDAWH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IADPH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INDAWH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INDADPHWSTN1</v>
      </c>
      <c r="E63" s="261" t="str">
        <f>"Industrial heating technology "&amp;$AJ$12&amp;" "&amp;RIGHT(H63,2)&amp;" - Hotdisc - new 1"</f>
        <v>Industrial heating technology Aluminium PH - Hotdisc - new 1</v>
      </c>
      <c r="F63" s="224" t="s">
        <v>1149</v>
      </c>
      <c r="G63" s="832" t="s">
        <v>1005</v>
      </c>
      <c r="H63" s="174" t="str">
        <f>$AI$13</f>
        <v>IADPH</v>
      </c>
      <c r="I63" s="173" t="str">
        <f t="shared" ref="I63:I126" si="22">$AI$20</f>
        <v>INDAWH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INDAWH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INDAWH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INDADPHELCN6</v>
      </c>
      <c r="E66" s="261" t="str">
        <f>"Industrial heating technology "&amp;$AJ$12&amp;" "&amp;RIGHT(H66,2)&amp;" - Dielectric heating - new 6"</f>
        <v>Industrial heating technology Aluminium PH - Dielectric heating - new 6</v>
      </c>
      <c r="F66" s="224" t="s">
        <v>1149</v>
      </c>
      <c r="G66" s="173" t="s">
        <v>499</v>
      </c>
      <c r="H66" s="174" t="str">
        <f>$AI$14</f>
        <v>IADPH</v>
      </c>
      <c r="I66" s="173" t="str">
        <f t="shared" si="22"/>
        <v>INDAWH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INDAWH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INDAWH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INDADPHELCN7</v>
      </c>
      <c r="E69" s="261" t="str">
        <f>"Industrial heating technology "&amp;$AJ$12&amp;" "&amp;RIGHT(H69,2)&amp;" - Infrared heating - new 7"</f>
        <v>Industrial heating technology Aluminium PH - Infrared heating - new 7</v>
      </c>
      <c r="F69" s="224" t="s">
        <v>1149</v>
      </c>
      <c r="G69" s="173" t="s">
        <v>499</v>
      </c>
      <c r="H69" s="174" t="str">
        <f>$AI$14</f>
        <v>IADPH</v>
      </c>
      <c r="I69" s="173" t="str">
        <f t="shared" si="22"/>
        <v>INDAWH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INDAWH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INDAWH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INDADPHELCN8</v>
      </c>
      <c r="E72" s="261" t="str">
        <f>"Industrial heating technology "&amp;$AJ$12&amp;" "&amp;RIGHT(H72,2)&amp;" - Electric boiler (Steam) - new 8"</f>
        <v>Industrial heating technology Aluminium PH - Electric boiler (Steam) - new 8</v>
      </c>
      <c r="F72" s="224" t="s">
        <v>1149</v>
      </c>
      <c r="G72" s="173" t="s">
        <v>499</v>
      </c>
      <c r="H72" s="174" t="str">
        <f>$AI$13</f>
        <v>IADPH</v>
      </c>
      <c r="I72" s="174" t="str">
        <f t="shared" si="22"/>
        <v>INDAWH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INDAWH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INDAWH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INDADPHELCN8</v>
      </c>
      <c r="E75" s="261" t="str">
        <f>"Industrial heating technology "&amp;$AJ$12&amp;" "&amp;RIGHT(H75,2)&amp;" - Electric boiler (Steam) - new 8"</f>
        <v>Industrial heating technology Aluminium PH - Electric boiler (Steam) - new 8</v>
      </c>
      <c r="F75" s="224" t="s">
        <v>1149</v>
      </c>
      <c r="G75" s="173" t="s">
        <v>499</v>
      </c>
      <c r="H75" s="174" t="str">
        <f>$AI$14</f>
        <v>IADPH</v>
      </c>
      <c r="I75" s="174" t="str">
        <f t="shared" si="22"/>
        <v>INDAWH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INDAWH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INDAWH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INDADSHELCN8</v>
      </c>
      <c r="E78" s="261" t="str">
        <f>"Industrial heating technology "&amp;$AJ$12&amp;" "&amp;RIGHT(H78,2)&amp;" - Electric boiler (Steam) - new 8"</f>
        <v>Industrial heating technology Aluminium SH - Electric boiler (Steam) - new 8</v>
      </c>
      <c r="F78" s="224" t="s">
        <v>1149</v>
      </c>
      <c r="G78" s="173" t="s">
        <v>499</v>
      </c>
      <c r="H78" s="174" t="str">
        <f>$AI$15</f>
        <v>IADSH</v>
      </c>
      <c r="I78" s="174" t="str">
        <f t="shared" si="22"/>
        <v>INDAWH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INDAWH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INDAWH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INDADPHELCN9</v>
      </c>
      <c r="E81" s="707" t="str">
        <f>"Industrial heating technology "&amp;$AJ$12&amp;" "&amp;RIGHT(H81,2)&amp;" - Electric boiler (Hot Water) - new 9"</f>
        <v>Industrial heating technology Aluminium PH - Electric boiler (Hot Water) - new 9</v>
      </c>
      <c r="F81" s="224" t="s">
        <v>1149</v>
      </c>
      <c r="G81" s="708" t="s">
        <v>499</v>
      </c>
      <c r="H81" s="708" t="str">
        <f>$AI$14</f>
        <v>IADPH</v>
      </c>
      <c r="I81" s="708" t="str">
        <f t="shared" si="22"/>
        <v>INDAWH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INDAWH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INDAWH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INDADSHELCN9</v>
      </c>
      <c r="E84" s="261" t="str">
        <f>"Industrial heating technology "&amp;$AJ$12&amp;" "&amp;RIGHT(H84,2)&amp;" - Electric boiler (Hot Water) - new 9"</f>
        <v>Industrial heating technology Aluminium SH - Electric boiler (Hot Water) - new 9</v>
      </c>
      <c r="F84" s="224" t="s">
        <v>1149</v>
      </c>
      <c r="G84" s="174" t="s">
        <v>499</v>
      </c>
      <c r="H84" s="174" t="str">
        <f>$AI$15</f>
        <v>IADSH</v>
      </c>
      <c r="I84" s="174" t="str">
        <f t="shared" si="22"/>
        <v>INDAWH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INDAWH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INDAWH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INDADPHWCHN1</v>
      </c>
      <c r="E87" s="261" t="str">
        <f>"Industrial heating technology "&amp;$AJ$12&amp;" "&amp;RIGHT(H87,2)&amp;" - Wood chip boiler (Steam) - new 1"</f>
        <v>Industrial heating technology Aluminium PH - Wood chip boiler (Steam) - new 1</v>
      </c>
      <c r="F87" s="224" t="s">
        <v>1149</v>
      </c>
      <c r="G87" s="173" t="s">
        <v>498</v>
      </c>
      <c r="H87" s="174" t="str">
        <f>$AI$13</f>
        <v>IADPH</v>
      </c>
      <c r="I87" s="174" t="str">
        <f t="shared" si="22"/>
        <v>INDAWH</v>
      </c>
      <c r="J87" s="224">
        <f t="shared" si="32"/>
        <v>2011</v>
      </c>
      <c r="K87" s="299">
        <v>2025</v>
      </c>
      <c r="L87" s="333">
        <f t="shared" ref="L87:L92" ca="1" si="62">VLOOKUP($AD87,INDIRECT("'"&amp;$B87&amp;"'!"&amp;"$P$39:$AD$42"),3,FALSE)*0.4</f>
        <v>0.35600000000000004</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0.84399999999999986</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INDAWH</v>
      </c>
      <c r="J88" s="224">
        <f t="shared" si="32"/>
        <v>2030</v>
      </c>
      <c r="K88" s="81"/>
      <c r="L88" s="333">
        <f t="shared" ca="1" si="62"/>
        <v>0.35600000000000004</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0.84399999999999986</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INDAWH</v>
      </c>
      <c r="J89" s="224">
        <f t="shared" si="32"/>
        <v>2050</v>
      </c>
      <c r="K89" s="81"/>
      <c r="L89" s="333">
        <f t="shared" ca="1" si="62"/>
        <v>0.36000000000000004</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0.83999999999999986</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INDADPHWCHN1</v>
      </c>
      <c r="E90" s="261" t="str">
        <f>"Industrial heating technology "&amp;$AJ$12&amp;" "&amp;RIGHT(H90,2)&amp;" - Wood chip boiler (Steam) - new 1"</f>
        <v>Industrial heating technology Aluminium PH - Wood chip boiler (Steam) - new 1</v>
      </c>
      <c r="F90" s="224" t="s">
        <v>1149</v>
      </c>
      <c r="G90" s="173" t="s">
        <v>498</v>
      </c>
      <c r="H90" s="174" t="str">
        <f>$AI$14</f>
        <v>IADPH</v>
      </c>
      <c r="I90" s="174" t="str">
        <f t="shared" si="22"/>
        <v>INDAWH</v>
      </c>
      <c r="J90" s="224">
        <f t="shared" si="32"/>
        <v>2011</v>
      </c>
      <c r="K90" s="299">
        <v>2025</v>
      </c>
      <c r="L90" s="333">
        <f t="shared" ca="1" si="62"/>
        <v>0.35600000000000004</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0.84399999999999986</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INDAWH</v>
      </c>
      <c r="J91" s="224">
        <f t="shared" si="32"/>
        <v>2030</v>
      </c>
      <c r="K91" s="81"/>
      <c r="L91" s="333">
        <f t="shared" ca="1" si="62"/>
        <v>0.35600000000000004</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0.84399999999999986</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INDAWH</v>
      </c>
      <c r="J92" s="224">
        <f t="shared" si="32"/>
        <v>2050</v>
      </c>
      <c r="K92" s="81"/>
      <c r="L92" s="333">
        <f t="shared" ca="1" si="62"/>
        <v>0.36000000000000004</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0.83999999999999986</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INDADSHWCHN1</v>
      </c>
      <c r="E93" s="261" t="str">
        <f>"Industrial heating technology "&amp;$AJ$12&amp;" "&amp;RIGHT(H93,2)&amp;" - Wood chip boiler (Steam) - new 1"</f>
        <v>Industrial heating technology Aluminium SH - Wood chip boiler (Steam) - new 1</v>
      </c>
      <c r="F93" s="224" t="s">
        <v>1149</v>
      </c>
      <c r="G93" s="173" t="s">
        <v>498</v>
      </c>
      <c r="H93" s="174" t="str">
        <f>$AI$15</f>
        <v>IADSH</v>
      </c>
      <c r="I93" s="174" t="str">
        <f t="shared" si="22"/>
        <v>INDAWH</v>
      </c>
      <c r="J93" s="224">
        <f t="shared" si="32"/>
        <v>2011</v>
      </c>
      <c r="K93" s="299">
        <v>2025</v>
      </c>
      <c r="L93" s="199">
        <f t="shared" ref="L93:L95" ca="1" si="76">VLOOKUP($AD93,INDIRECT("'"&amp;$B93&amp;"'!"&amp;"$P$39:$AD$42"),3,FALSE)</f>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INDAWH</v>
      </c>
      <c r="J94" s="224">
        <f t="shared" si="32"/>
        <v>2030</v>
      </c>
      <c r="K94" s="81"/>
      <c r="L94" s="199">
        <f t="shared" ca="1" si="76"/>
        <v>0.89</v>
      </c>
      <c r="M94" s="199"/>
      <c r="N94" s="81"/>
      <c r="O94" s="723">
        <f t="shared" ca="1" si="63"/>
        <v>4.4022727272727264</v>
      </c>
      <c r="P94" s="723">
        <f t="shared" ca="1" si="64"/>
        <v>0.267455</v>
      </c>
      <c r="Q94" s="81">
        <f t="shared" ca="1" si="65"/>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INDAWH</v>
      </c>
      <c r="J95" s="224">
        <f t="shared" si="32"/>
        <v>2050</v>
      </c>
      <c r="K95" s="706"/>
      <c r="L95" s="199">
        <f t="shared" ca="1" si="76"/>
        <v>0.9</v>
      </c>
      <c r="M95" s="774"/>
      <c r="N95" s="706"/>
      <c r="O95" s="724">
        <f t="shared" ca="1" si="63"/>
        <v>3.9959090909090902</v>
      </c>
      <c r="P95" s="724">
        <f t="shared" ca="1" si="64"/>
        <v>0.25106499999999998</v>
      </c>
      <c r="Q95" s="706">
        <f t="shared" ca="1" si="65"/>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INDADPHWCHN2</v>
      </c>
      <c r="E96" s="707" t="str">
        <f>"Industrial heating technology "&amp;$AJ$12&amp;" "&amp;RIGHT(H96,2)&amp;" - Wood chip boiler (Steam - condensing) - new 2"</f>
        <v>Industrial heating technology Aluminium PH - Wood chip boiler (Steam - condensing) - new 2</v>
      </c>
      <c r="F96" s="224" t="s">
        <v>1149</v>
      </c>
      <c r="G96" s="708" t="s">
        <v>498</v>
      </c>
      <c r="H96" s="708" t="str">
        <f>$AI$14</f>
        <v>IADPH</v>
      </c>
      <c r="I96" s="708" t="str">
        <f t="shared" si="22"/>
        <v>INDAWH</v>
      </c>
      <c r="J96" s="224">
        <f t="shared" si="32"/>
        <v>2011</v>
      </c>
      <c r="K96" s="299">
        <v>2025</v>
      </c>
      <c r="L96" s="333">
        <f ca="1">VLOOKUP($AD96,INDIRECT("'"&amp;$B96&amp;"'!"&amp;"$P$39:$AD$42"),3,FALSE)*0.4</f>
        <v>0.35600000000000004</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0.84399999999999986</v>
      </c>
      <c r="W96" s="709"/>
      <c r="X96" s="698">
        <f t="shared" ca="1" si="80"/>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INDAWH</v>
      </c>
      <c r="J97" s="224">
        <f t="shared" si="32"/>
        <v>2030</v>
      </c>
      <c r="K97" s="81"/>
      <c r="L97" s="333">
        <f ca="1">VLOOKUP($AD97,INDIRECT("'"&amp;$B97&amp;"'!"&amp;"$P$39:$AD$42"),3,FALSE)*0.4</f>
        <v>0.35600000000000004</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0.84399999999999986</v>
      </c>
      <c r="W97" s="298"/>
      <c r="X97" s="698">
        <f t="shared" ca="1" si="80"/>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INDAWH</v>
      </c>
      <c r="J98" s="224">
        <f t="shared" si="32"/>
        <v>2050</v>
      </c>
      <c r="K98" s="81"/>
      <c r="L98" s="333">
        <f ca="1">VLOOKUP($AD98,INDIRECT("'"&amp;$B98&amp;"'!"&amp;"$P$39:$AD$42"),3,FALSE)*0.4</f>
        <v>0.36000000000000004</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0.83999999999999986</v>
      </c>
      <c r="W98" s="298"/>
      <c r="X98" s="698">
        <f t="shared" ca="1" si="80"/>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INDADSHWCHN2</v>
      </c>
      <c r="E99" s="261" t="str">
        <f>"Industrial heating technology "&amp;$AJ$12&amp;" "&amp;RIGHT(H99,2)&amp;" - Wood chip boiler (Steam - condensing) - new 2"</f>
        <v>Industrial heating technology Aluminium SH - Wood chip boiler (Steam - condensing) - new 2</v>
      </c>
      <c r="F99" s="224" t="s">
        <v>1149</v>
      </c>
      <c r="G99" s="174" t="s">
        <v>498</v>
      </c>
      <c r="H99" s="174" t="str">
        <f>$AI$15</f>
        <v>IADSH</v>
      </c>
      <c r="I99" s="174" t="str">
        <f t="shared" si="22"/>
        <v>INDAWH</v>
      </c>
      <c r="J99" s="224">
        <f t="shared" si="32"/>
        <v>2011</v>
      </c>
      <c r="K99" s="299">
        <v>2025</v>
      </c>
      <c r="L99" s="199">
        <f t="shared" ref="L99:L101" ca="1" si="91">VLOOKUP($AD99,INDIRECT("'"&amp;$B99&amp;"'!"&amp;"$P$118:$AD$121"),3,FALSE)</f>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INDAWH</v>
      </c>
      <c r="J100" s="224">
        <f t="shared" si="32"/>
        <v>2030</v>
      </c>
      <c r="K100" s="81"/>
      <c r="L100" s="199">
        <f t="shared" ca="1" si="91"/>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INDAWH</v>
      </c>
      <c r="J101" s="224">
        <f t="shared" si="32"/>
        <v>2050</v>
      </c>
      <c r="K101" s="81"/>
      <c r="L101" s="199">
        <f t="shared" ca="1" si="91"/>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INDADPHWCHN3</v>
      </c>
      <c r="E102" s="707" t="str">
        <f>"Industrial heating technology "&amp;$AJ$12&amp;" "&amp;RIGHT(H102,2)&amp;" - Wood chip boiler (Hot Water) - new 3"</f>
        <v>Industrial heating technology Aluminium PH - Wood chip boiler (Hot Water) - new 3</v>
      </c>
      <c r="F102" s="224" t="s">
        <v>1149</v>
      </c>
      <c r="G102" s="708" t="s">
        <v>498</v>
      </c>
      <c r="H102" s="708" t="str">
        <f>$AI$14</f>
        <v>IADPH</v>
      </c>
      <c r="I102" s="708" t="str">
        <f t="shared" si="22"/>
        <v>INDAWH</v>
      </c>
      <c r="J102" s="224">
        <f t="shared" si="32"/>
        <v>2011</v>
      </c>
      <c r="K102" s="299">
        <v>2025</v>
      </c>
      <c r="L102" s="333">
        <f ca="1">VLOOKUP($AD102,INDIRECT("'"&amp;$B102&amp;"'!"&amp;"$P$39:$AD$42"),3,FALSE)*0.4</f>
        <v>0.35600000000000004</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0.84399999999999986</v>
      </c>
      <c r="W102" s="709"/>
      <c r="X102" s="698">
        <f t="shared" ca="1" si="80"/>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INDAWH</v>
      </c>
      <c r="J103" s="224">
        <f t="shared" si="32"/>
        <v>2030</v>
      </c>
      <c r="K103" s="81"/>
      <c r="L103" s="333">
        <f ca="1">VLOOKUP($AD103,INDIRECT("'"&amp;$B103&amp;"'!"&amp;"$P$39:$AD$42"),3,FALSE)*0.4</f>
        <v>0.35600000000000004</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0.84399999999999986</v>
      </c>
      <c r="W103" s="298"/>
      <c r="X103" s="698">
        <f t="shared" ca="1" si="80"/>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INDAWH</v>
      </c>
      <c r="J104" s="224">
        <f t="shared" si="32"/>
        <v>2050</v>
      </c>
      <c r="K104" s="81"/>
      <c r="L104" s="333">
        <f ca="1">VLOOKUP($AD104,INDIRECT("'"&amp;$B104&amp;"'!"&amp;"$P$39:$AD$42"),3,FALSE)*0.4</f>
        <v>0.36000000000000004</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0.83999999999999986</v>
      </c>
      <c r="W104" s="298"/>
      <c r="X104" s="698">
        <f t="shared" ca="1" si="80"/>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INDADSHWCHN3</v>
      </c>
      <c r="E105" s="261" t="str">
        <f>"Industrial heating technology "&amp;$AJ$12&amp;" "&amp;RIGHT(H105,2)&amp;" - Wood chip boiler (Hot Water) - new 3"</f>
        <v>Industrial heating technology Aluminium SH - Wood chip boiler (Hot Water) - new 3</v>
      </c>
      <c r="F105" s="224" t="s">
        <v>1149</v>
      </c>
      <c r="G105" s="174" t="s">
        <v>498</v>
      </c>
      <c r="H105" s="174" t="str">
        <f>$AI$15</f>
        <v>IADSH</v>
      </c>
      <c r="I105" s="174" t="str">
        <f t="shared" si="22"/>
        <v>INDAWH</v>
      </c>
      <c r="J105" s="224">
        <f t="shared" si="32"/>
        <v>2011</v>
      </c>
      <c r="K105" s="299">
        <v>2025</v>
      </c>
      <c r="L105" s="199">
        <f t="shared" ref="L105:L107" ca="1" si="105">VLOOKUP($AD105,INDIRECT("'"&amp;$B105&amp;"'!"&amp;"$P$200:$AD$203"),3,FALSE)</f>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INDAWH</v>
      </c>
      <c r="J106" s="224">
        <f t="shared" si="32"/>
        <v>2030</v>
      </c>
      <c r="K106" s="81"/>
      <c r="L106" s="199">
        <f t="shared" ca="1" si="105"/>
        <v>0.9</v>
      </c>
      <c r="M106" s="199"/>
      <c r="N106" s="81"/>
      <c r="O106" s="723">
        <f t="shared" ca="1" si="95"/>
        <v>4.4022727272727282</v>
      </c>
      <c r="P106" s="723">
        <f t="shared" ca="1" si="96"/>
        <v>0.267455</v>
      </c>
      <c r="Q106" s="81">
        <f t="shared" ca="1" si="97"/>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INDAWH</v>
      </c>
      <c r="J107" s="224">
        <f t="shared" si="32"/>
        <v>2050</v>
      </c>
      <c r="K107" s="81"/>
      <c r="L107" s="199">
        <f t="shared" ca="1" si="105"/>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INDADPHWCHN4</v>
      </c>
      <c r="E108" s="707" t="str">
        <f>"Industrial heating technology "&amp;$AJ$12&amp;" "&amp;RIGHT(H108,2)&amp;" - Wood chip boiler (Hot Water - condensing) - new 4"</f>
        <v>Industrial heating technology Aluminium PH - Wood chip boiler (Hot Water - condensing) - new 4</v>
      </c>
      <c r="F108" s="224" t="s">
        <v>1149</v>
      </c>
      <c r="G108" s="708" t="s">
        <v>498</v>
      </c>
      <c r="H108" s="708" t="str">
        <f>$AI$14</f>
        <v>IADPH</v>
      </c>
      <c r="I108" s="708" t="str">
        <f t="shared" si="22"/>
        <v>INDAWH</v>
      </c>
      <c r="J108" s="224">
        <f t="shared" si="32"/>
        <v>2011</v>
      </c>
      <c r="K108" s="299">
        <v>2025</v>
      </c>
      <c r="L108" s="333">
        <f ca="1">VLOOKUP($AD108,INDIRECT("'"&amp;$B108&amp;"'!"&amp;"$P$279:$AD$282"),3,FALSE)*0.4</f>
        <v>0.46475843790907345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0.7352415620909265</v>
      </c>
      <c r="W108" s="709"/>
      <c r="X108" s="698">
        <f t="shared" ca="1" si="80"/>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INDAWH</v>
      </c>
      <c r="J109" s="224">
        <f t="shared" si="32"/>
        <v>2030</v>
      </c>
      <c r="K109" s="81"/>
      <c r="L109" s="333">
        <f ca="1">VLOOKUP($AD109,INDIRECT("'"&amp;$B109&amp;"'!"&amp;"$P$279:$AD$282"),3,FALSE)*0.4</f>
        <v>0.46475843790907345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0.7352415620909265</v>
      </c>
      <c r="W109" s="298"/>
      <c r="X109" s="698">
        <f t="shared" ca="1" si="80"/>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INDAWH</v>
      </c>
      <c r="J110" s="224">
        <f t="shared" si="32"/>
        <v>2050</v>
      </c>
      <c r="K110" s="81"/>
      <c r="L110" s="333">
        <f ca="1">VLOOKUP($AD110,INDIRECT("'"&amp;$B110&amp;"'!"&amp;"$P$279:$AD$282"),3,FALSE)*0.4</f>
        <v>0.46475843790907345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0.7352415620909265</v>
      </c>
      <c r="W110" s="298"/>
      <c r="X110" s="698">
        <f t="shared" ca="1" si="80"/>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INDADSHWCHN4</v>
      </c>
      <c r="E111" s="261" t="str">
        <f>"Industrial heating technology "&amp;$AJ$12&amp;" "&amp;RIGHT(H111,2)&amp;" - Wood chip boiler (Hot Water- condensing) - new 4"</f>
        <v>Industrial heating technology Aluminium SH - Wood chip boiler (Hot Water- condensing) - new 4</v>
      </c>
      <c r="F111" s="224" t="s">
        <v>1149</v>
      </c>
      <c r="G111" s="174" t="s">
        <v>498</v>
      </c>
      <c r="H111" s="174" t="str">
        <f>$AI$15</f>
        <v>IADSH</v>
      </c>
      <c r="I111" s="174" t="str">
        <f t="shared" si="22"/>
        <v>INDAWH</v>
      </c>
      <c r="J111" s="224">
        <f t="shared" si="32"/>
        <v>2011</v>
      </c>
      <c r="K111" s="299">
        <v>2025</v>
      </c>
      <c r="L111" s="199">
        <f t="shared" ref="L111:L113" ca="1" si="119">VLOOKUP($AD111,INDIRECT("'"&amp;$B111&amp;"'!"&amp;"$P$279:$AD$282"),3,FALSE)</f>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INDAWH</v>
      </c>
      <c r="J112" s="224">
        <f t="shared" si="32"/>
        <v>2030</v>
      </c>
      <c r="K112" s="81"/>
      <c r="L112" s="199">
        <f t="shared" ca="1" si="119"/>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INDAWH</v>
      </c>
      <c r="J113" s="224">
        <f t="shared" si="32"/>
        <v>2050</v>
      </c>
      <c r="K113" s="81"/>
      <c r="L113" s="199">
        <f t="shared" ca="1" si="119"/>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INDADPHELCN10</v>
      </c>
      <c r="E114" s="261" t="str">
        <f>"Industrial heating technology "&amp;$AJ$12&amp;" "&amp;RIGHT(H114,2)&amp;" - Direct electric heating - new 10"</f>
        <v>Industrial heating technology Aluminium PH - Direct electric heating - new 10</v>
      </c>
      <c r="F114" s="224" t="s">
        <v>1149</v>
      </c>
      <c r="G114" s="173" t="s">
        <v>499</v>
      </c>
      <c r="H114" s="174" t="str">
        <f>$AI$13</f>
        <v>IADPH</v>
      </c>
      <c r="I114" s="174" t="str">
        <f t="shared" si="22"/>
        <v>INDAWH</v>
      </c>
      <c r="J114" s="224">
        <f t="shared" si="32"/>
        <v>2011</v>
      </c>
      <c r="K114" s="299">
        <v>2020</v>
      </c>
      <c r="L114" s="333">
        <f ca="1">VLOOKUP($AD114,INDIRECT("'"&amp;$B114&amp;"'!"&amp;"$P$39:$AD$42"),3,FALSE)*0.4</f>
        <v>0.4</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0.8</v>
      </c>
      <c r="W114" s="298"/>
      <c r="X114" s="698">
        <f t="shared" ca="1" si="80"/>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INDAWH</v>
      </c>
      <c r="J115" s="224">
        <f t="shared" si="32"/>
        <v>2030</v>
      </c>
      <c r="K115" s="81"/>
      <c r="L115" s="333">
        <f ca="1">VLOOKUP($AD115,INDIRECT("'"&amp;$B115&amp;"'!"&amp;"$P$39:$AD$42"),3,FALSE)*0.4</f>
        <v>0.4</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0.8</v>
      </c>
      <c r="W115" s="298"/>
      <c r="X115" s="698">
        <f t="shared" ca="1" si="80"/>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INDAWH</v>
      </c>
      <c r="J116" s="224">
        <f t="shared" si="32"/>
        <v>2050</v>
      </c>
      <c r="K116" s="81"/>
      <c r="L116" s="333">
        <f ca="1">VLOOKUP($AD116,INDIRECT("'"&amp;$B116&amp;"'!"&amp;"$P$39:$AD$42"),3,FALSE)*0.4</f>
        <v>0.4</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0.8</v>
      </c>
      <c r="W116" s="298"/>
      <c r="X116" s="698">
        <f t="shared" ca="1" si="80"/>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INDADPHELCN10</v>
      </c>
      <c r="E117" s="261" t="str">
        <f>"Industrial heating technology "&amp;$AJ$12&amp;" "&amp;RIGHT(H117,2)&amp;" - Direct electric heating - new 10"</f>
        <v>Industrial heating technology Aluminium PH - Direct electric heating - new 10</v>
      </c>
      <c r="F117" s="224" t="s">
        <v>1149</v>
      </c>
      <c r="G117" s="173" t="s">
        <v>499</v>
      </c>
      <c r="H117" s="174" t="str">
        <f>$AI$14</f>
        <v>IADPH</v>
      </c>
      <c r="I117" s="174" t="str">
        <f t="shared" si="22"/>
        <v>INDAWH</v>
      </c>
      <c r="J117" s="224">
        <f t="shared" si="32"/>
        <v>2011</v>
      </c>
      <c r="K117" s="299">
        <v>2020</v>
      </c>
      <c r="L117" s="199">
        <f t="shared" ref="L117:L128" ca="1" si="133">VLOOKUP($AD117,INDIRECT("'"&amp;$B117&amp;"'!"&amp;"$P$39:$AD$42"),3,FALSE)</f>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4">IF(IF(RIGHT(H117,2)="PH",(1-L117)+$W$2,IF(RIGHT(H117,2)="HT",(1-L117)+$W$1,IF(RIGHT(H117,2)="SH",(1-L117)+$W$3,"")))&gt;0,IF(RIGHT(H117,2)="PH",(1-L117)+$W$2,IF(RIGHT(H117,2)="HT",(1-L117)+$W$1,IF(RIGHT(H117,2)="SH",(1-L117)+$W$3,""))),0)</f>
        <v>0.2</v>
      </c>
      <c r="W117" s="298"/>
      <c r="X117" s="698">
        <f t="shared" ca="1" si="80"/>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INDAWH</v>
      </c>
      <c r="J118" s="224">
        <f t="shared" si="32"/>
        <v>2030</v>
      </c>
      <c r="K118" s="81"/>
      <c r="L118" s="199">
        <f t="shared" ca="1" si="133"/>
        <v>1</v>
      </c>
      <c r="M118" s="199"/>
      <c r="N118" s="81"/>
      <c r="O118" s="723">
        <f t="shared" ca="1" si="123"/>
        <v>0.44700000000000001</v>
      </c>
      <c r="P118" s="723">
        <f t="shared" ca="1" si="124"/>
        <v>0</v>
      </c>
      <c r="Q118" s="81">
        <f t="shared" ca="1" si="125"/>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INDAWH</v>
      </c>
      <c r="J119" s="224">
        <f t="shared" si="32"/>
        <v>2050</v>
      </c>
      <c r="K119" s="81"/>
      <c r="L119" s="199">
        <f t="shared" ca="1" si="133"/>
        <v>1</v>
      </c>
      <c r="M119" s="199"/>
      <c r="N119" s="81"/>
      <c r="O119" s="723">
        <f t="shared" ca="1" si="123"/>
        <v>0.44700000000000001</v>
      </c>
      <c r="P119" s="723">
        <f t="shared" ca="1" si="124"/>
        <v>0</v>
      </c>
      <c r="Q119" s="81">
        <f t="shared" ca="1" si="125"/>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INDADPHDSLN1</v>
      </c>
      <c r="E120" s="261" t="str">
        <f>"Industrial heating technology "&amp;$AJ$12&amp;" "&amp;RIGHT(H120,2)&amp;" - Oil boiler (Steam) - new 1"</f>
        <v>Industrial heating technology Aluminium PH - Oil boiler (Steam) - new 1</v>
      </c>
      <c r="F120" s="224" t="s">
        <v>1149</v>
      </c>
      <c r="G120" s="173" t="s">
        <v>2081</v>
      </c>
      <c r="H120" s="174" t="str">
        <f>$AI$13</f>
        <v>IADPH</v>
      </c>
      <c r="I120" s="174" t="str">
        <f t="shared" si="22"/>
        <v>INDAWH</v>
      </c>
      <c r="J120" s="224">
        <f t="shared" si="32"/>
        <v>2011</v>
      </c>
      <c r="K120" s="299">
        <v>2025</v>
      </c>
      <c r="L120" s="333">
        <f t="shared" ref="L120:L125" ca="1" si="137">VLOOKUP($AD120,INDIRECT("'"&amp;$B120&amp;"'!"&amp;"$P$39:$AD$42"),3,FALSE)*0.4</f>
        <v>0.376</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8">IF(IF(RIGHT(H120,2)="PH",(1-L120)+$W$2,IF(RIGHT(H120,2)="HT",(1-L120)+$W$1,IF(RIGHT(H120,2)="SH",(1-L120)+$W$3,"")))&gt;0,IF(RIGHT(H120,2)="PH",(1-L120)+$W$2,IF(RIGHT(H120,2)="HT",(1-L120)+$W$1,IF(RIGHT(H120,2)="SH",(1-L120)+$W$3,""))),0)</f>
        <v>0.82400000000000007</v>
      </c>
      <c r="W120" s="298"/>
      <c r="X120" s="698">
        <f t="shared" ca="1" si="80"/>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INDAWH</v>
      </c>
      <c r="J121" s="224">
        <f t="shared" si="32"/>
        <v>2030</v>
      </c>
      <c r="K121" s="81"/>
      <c r="L121" s="333">
        <f t="shared" ca="1" si="137"/>
        <v>0.38</v>
      </c>
      <c r="M121" s="199"/>
      <c r="N121" s="81"/>
      <c r="O121" s="723">
        <f t="shared" ca="1" si="123"/>
        <v>0.3469940346244772</v>
      </c>
      <c r="P121" s="723">
        <f t="shared" ca="1" si="124"/>
        <v>1.2664999999999999E-2</v>
      </c>
      <c r="Q121" s="81">
        <f t="shared" ca="1" si="125"/>
        <v>1.8625</v>
      </c>
      <c r="R121" s="300"/>
      <c r="S121" s="300"/>
      <c r="T121" s="300"/>
      <c r="U121" s="300"/>
      <c r="V121" s="199">
        <f t="shared" ref="V121" ca="1" si="139">IF(IF(RIGHT(H120,2)="PH",(1-L121)+$W$2,IF(RIGHT(H120,2)="HT",(1-L121)+$W$1,IF(RIGHT(H120,2)="SH",(1-L121)+$W$3,"")))&gt;0,IF(RIGHT(H120,2)="PH",(1-L121)+$W$2,IF(RIGHT(H120,2)="HT",(1-L121)+$W$1,IF(RIGHT(H120,2)="SH",(1-L121)+$W$3,""))),0)</f>
        <v>0.82000000000000006</v>
      </c>
      <c r="W121" s="298"/>
      <c r="X121" s="698">
        <f t="shared" ca="1" si="80"/>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INDAWH</v>
      </c>
      <c r="J122" s="224">
        <f t="shared" si="32"/>
        <v>2050</v>
      </c>
      <c r="K122" s="81"/>
      <c r="L122" s="333">
        <f t="shared" ca="1" si="137"/>
        <v>0.38400000000000001</v>
      </c>
      <c r="M122" s="199"/>
      <c r="N122" s="81"/>
      <c r="O122" s="723">
        <f t="shared" ca="1" si="123"/>
        <v>0.32813985758696651</v>
      </c>
      <c r="P122" s="723">
        <f t="shared" ca="1" si="124"/>
        <v>1.1175000000000001E-2</v>
      </c>
      <c r="Q122" s="81">
        <f t="shared" ca="1" si="125"/>
        <v>1.8625</v>
      </c>
      <c r="R122" s="300"/>
      <c r="S122" s="300"/>
      <c r="T122" s="300"/>
      <c r="U122" s="300"/>
      <c r="V122" s="199">
        <f t="shared" ref="V122" ca="1" si="140">IF(IF(RIGHT(H120,2)="PH",(1-L122)+$W$2,IF(RIGHT(H120,2)="HT",(1-L122)+$W$1,IF(RIGHT(H120,2)="SH",(1-L122)+$W$3,"")))&gt;0,IF(RIGHT(H120,2)="PH",(1-L122)+$W$2,IF(RIGHT(H120,2)="HT",(1-L122)+$W$1,IF(RIGHT(H120,2)="SH",(1-L122)+$W$3,""))),0)</f>
        <v>0.81600000000000006</v>
      </c>
      <c r="W122" s="298"/>
      <c r="X122" s="698">
        <f t="shared" ca="1" si="80"/>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INDADPHDSLN1</v>
      </c>
      <c r="E123" s="261" t="str">
        <f>"Industrial heating technology "&amp;$AJ$12&amp;" "&amp;RIGHT(H123,2)&amp;" - Oil boiler (Steam) - new 1"</f>
        <v>Industrial heating technology Aluminium PH - Oil boiler (Steam) - new 1</v>
      </c>
      <c r="F123" s="224" t="s">
        <v>1149</v>
      </c>
      <c r="G123" s="173" t="s">
        <v>2081</v>
      </c>
      <c r="H123" s="174" t="str">
        <f>$AI$14</f>
        <v>IADPH</v>
      </c>
      <c r="I123" s="174" t="str">
        <f t="shared" si="22"/>
        <v>INDAWH</v>
      </c>
      <c r="J123" s="224">
        <f t="shared" si="32"/>
        <v>2011</v>
      </c>
      <c r="K123" s="299">
        <v>2025</v>
      </c>
      <c r="L123" s="333">
        <f t="shared" ca="1" si="137"/>
        <v>0.376</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41">IF(IF(RIGHT(H123,2)="PH",(1-L123)+$W$2,IF(RIGHT(H123,2)="HT",(1-L123)+$W$1,IF(RIGHT(H123,2)="SH",(1-L123)+$W$3,"")))&gt;0,IF(RIGHT(H123,2)="PH",(1-L123)+$W$2,IF(RIGHT(H123,2)="HT",(1-L123)+$W$1,IF(RIGHT(H123,2)="SH",(1-L123)+$W$3,""))),0)</f>
        <v>0.82400000000000007</v>
      </c>
      <c r="W123" s="298"/>
      <c r="X123" s="698">
        <f t="shared" ca="1" si="80"/>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INDAWH</v>
      </c>
      <c r="J124" s="224">
        <f t="shared" si="32"/>
        <v>2030</v>
      </c>
      <c r="K124" s="81"/>
      <c r="L124" s="333">
        <f t="shared" ca="1" si="137"/>
        <v>0.38</v>
      </c>
      <c r="M124" s="199"/>
      <c r="N124" s="81"/>
      <c r="O124" s="723">
        <f t="shared" ca="1" si="123"/>
        <v>0.3469940346244772</v>
      </c>
      <c r="P124" s="723">
        <f t="shared" ca="1" si="124"/>
        <v>1.2664999999999999E-2</v>
      </c>
      <c r="Q124" s="81">
        <f t="shared" ca="1" si="125"/>
        <v>1.8625</v>
      </c>
      <c r="R124" s="300"/>
      <c r="S124" s="300"/>
      <c r="T124" s="300"/>
      <c r="U124" s="300"/>
      <c r="V124" s="199">
        <f t="shared" ref="V124" ca="1" si="142">IF(IF(RIGHT(H123,2)="PH",(1-L124)+$W$2,IF(RIGHT(H123,2)="HT",(1-L124)+$W$1,IF(RIGHT(H123,2)="SH",(1-L124)+$W$3,"")))&gt;0,IF(RIGHT(H123,2)="PH",(1-L124)+$W$2,IF(RIGHT(H123,2)="HT",(1-L124)+$W$1,IF(RIGHT(H123,2)="SH",(1-L124)+$W$3,""))),0)</f>
        <v>0.82000000000000006</v>
      </c>
      <c r="W124" s="298"/>
      <c r="X124" s="698">
        <f t="shared" ca="1" si="80"/>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INDAWH</v>
      </c>
      <c r="J125" s="224">
        <f t="shared" si="32"/>
        <v>2050</v>
      </c>
      <c r="K125" s="81"/>
      <c r="L125" s="333">
        <f t="shared" ca="1" si="137"/>
        <v>0.38400000000000001</v>
      </c>
      <c r="M125" s="199"/>
      <c r="N125" s="81"/>
      <c r="O125" s="723">
        <f t="shared" ca="1" si="123"/>
        <v>0.32813985758696651</v>
      </c>
      <c r="P125" s="723">
        <f t="shared" ca="1" si="124"/>
        <v>1.1175000000000001E-2</v>
      </c>
      <c r="Q125" s="81">
        <f t="shared" ca="1" si="125"/>
        <v>1.8625</v>
      </c>
      <c r="R125" s="300"/>
      <c r="S125" s="300"/>
      <c r="T125" s="300"/>
      <c r="U125" s="300"/>
      <c r="V125" s="199">
        <f t="shared" ref="V125" ca="1" si="143">IF(IF(RIGHT(H123,2)="PH",(1-L125)+$W$2,IF(RIGHT(H123,2)="HT",(1-L125)+$W$1,IF(RIGHT(H123,2)="SH",(1-L125)+$W$3,"")))&gt;0,IF(RIGHT(H123,2)="PH",(1-L125)+$W$2,IF(RIGHT(H123,2)="HT",(1-L125)+$W$1,IF(RIGHT(H123,2)="SH",(1-L125)+$W$3,""))),0)</f>
        <v>0.81600000000000006</v>
      </c>
      <c r="W125" s="298"/>
      <c r="X125" s="698">
        <f t="shared" ca="1" si="80"/>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INDADSHDSLN1</v>
      </c>
      <c r="E126" s="261" t="str">
        <f>"Industrial heating technology "&amp;$AJ$12&amp;" "&amp;RIGHT(H126,2)&amp;" - Oil boiler (Steam) - new 1"</f>
        <v>Industrial heating technology Aluminium SH - Oil boiler (Steam) - new 1</v>
      </c>
      <c r="F126" s="224" t="s">
        <v>1149</v>
      </c>
      <c r="G126" s="173" t="s">
        <v>2081</v>
      </c>
      <c r="H126" s="174" t="str">
        <f>$AI$15</f>
        <v>IADSH</v>
      </c>
      <c r="I126" s="174" t="str">
        <f t="shared" si="22"/>
        <v>INDAWH</v>
      </c>
      <c r="J126" s="224">
        <f t="shared" si="32"/>
        <v>2011</v>
      </c>
      <c r="K126" s="299">
        <v>2025</v>
      </c>
      <c r="L126" s="199">
        <f t="shared" ca="1" si="133"/>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4">IF(IF(RIGHT(H126,2)="PH",(1-L126)+$W$2,IF(RIGHT(H126,2)="HT",(1-L126)+$W$1,IF(RIGHT(H126,2)="SH",(1-L126)+$W$3,"")))&gt;0,IF(RIGHT(H126,2)="PH",(1-L126)+$W$2,IF(RIGHT(H126,2)="HT",(1-L126)+$W$1,IF(RIGHT(H126,2)="SH",(1-L126)+$W$3,""))),0)</f>
        <v>6.0000000000000053E-2</v>
      </c>
      <c r="W126" s="298"/>
      <c r="X126" s="698">
        <f t="shared" ca="1" si="80"/>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5">$AI$20</f>
        <v>INDAWH</v>
      </c>
      <c r="J127" s="224">
        <f t="shared" si="32"/>
        <v>2030</v>
      </c>
      <c r="K127" s="81"/>
      <c r="L127" s="199">
        <f t="shared" ca="1" si="133"/>
        <v>0.95</v>
      </c>
      <c r="M127" s="199"/>
      <c r="N127" s="81"/>
      <c r="O127" s="723">
        <f t="shared" ca="1" si="123"/>
        <v>0.3469940346244772</v>
      </c>
      <c r="P127" s="723">
        <f t="shared" ca="1" si="124"/>
        <v>1.2664999999999999E-2</v>
      </c>
      <c r="Q127" s="81">
        <f t="shared" ca="1" si="125"/>
        <v>1.8625</v>
      </c>
      <c r="R127" s="300"/>
      <c r="S127" s="300"/>
      <c r="T127" s="300"/>
      <c r="U127" s="300"/>
      <c r="V127" s="199">
        <f t="shared" ref="V127" ca="1" si="146">IF(IF(RIGHT(H126,2)="PH",(1-L127)+$W$2,IF(RIGHT(H126,2)="HT",(1-L127)+$W$1,IF(RIGHT(H126,2)="SH",(1-L127)+$W$3,"")))&gt;0,IF(RIGHT(H126,2)="PH",(1-L127)+$W$2,IF(RIGHT(H126,2)="HT",(1-L127)+$W$1,IF(RIGHT(H126,2)="SH",(1-L127)+$W$3,""))),0)</f>
        <v>5.0000000000000044E-2</v>
      </c>
      <c r="W127" s="298"/>
      <c r="X127" s="698">
        <f t="shared" ref="X127:X158" ca="1" si="147">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5"/>
        <v>INDAWH</v>
      </c>
      <c r="J128" s="224">
        <f t="shared" ref="J128:J186" si="148">IF(AD128=2020,2011,AD128)</f>
        <v>2050</v>
      </c>
      <c r="K128" s="81"/>
      <c r="L128" s="199">
        <f t="shared" ca="1" si="133"/>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9">IF(IF(RIGHT(H126,2)="PH",(1-L128)+$W$2,IF(RIGHT(H126,2)="HT",(1-L128)+$W$1,IF(RIGHT(H126,2)="SH",(1-L128)+$W$3,"")))&gt;0,IF(RIGHT(H126,2)="PH",(1-L128)+$W$2,IF(RIGHT(H126,2)="HT",(1-L128)+$W$1,IF(RIGHT(H126,2)="SH",(1-L128)+$W$3,""))),0)</f>
        <v>4.0000000000000036E-2</v>
      </c>
      <c r="W128" s="704"/>
      <c r="X128" s="698">
        <f t="shared" ca="1" si="147"/>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INDADPHDSLN2</v>
      </c>
      <c r="E129" s="707" t="str">
        <f>"Industrial heating technology "&amp;$AJ$12&amp;" "&amp;RIGHT(H129,2)&amp;" - Oil boiler (Steam - condensing) - new 2"</f>
        <v>Industrial heating technology Aluminium PH - Oil boiler (Steam - condensing) - new 2</v>
      </c>
      <c r="F129" s="224" t="s">
        <v>1149</v>
      </c>
      <c r="G129" s="173" t="s">
        <v>2081</v>
      </c>
      <c r="H129" s="708" t="str">
        <f>$AI$14</f>
        <v>IADPH</v>
      </c>
      <c r="I129" s="708" t="str">
        <f t="shared" si="145"/>
        <v>INDAWH</v>
      </c>
      <c r="J129" s="224">
        <f t="shared" si="148"/>
        <v>2011</v>
      </c>
      <c r="K129" s="299">
        <v>2025</v>
      </c>
      <c r="L129" s="333">
        <f ca="1">VLOOKUP($AD129,INDIRECT("'"&amp;$B129&amp;"'!"&amp;"$P$118:$AD$121"),3,FALSE)*0.4</f>
        <v>0.38</v>
      </c>
      <c r="M129" s="199"/>
      <c r="N129" s="81">
        <f ca="1">VLOOKUP($AD129,INDIRECT("'"&amp;$B129&amp;"'!"&amp;"$P$118:$AD$121"),5,FALSE)</f>
        <v>25</v>
      </c>
      <c r="O129" s="723">
        <f t="shared" ref="O129:O134" ca="1" si="150">VLOOKUP($AD129,INDIRECT("'"&amp;$B129&amp;"'!"&amp;"$P$118:$AD$121"),6,FALSE)/1000</f>
        <v>0.32780000000000004</v>
      </c>
      <c r="P129" s="723">
        <f t="shared" ref="P129:P134" ca="1" si="151">VLOOKUP($AD129,INDIRECT("'"&amp;$B129&amp;"'!"&amp;"$P$118:$AD$121"),7,FALSE)/1000</f>
        <v>1.341E-2</v>
      </c>
      <c r="Q129" s="81">
        <f t="shared" ref="Q129:Q134" ca="1" si="152">VLOOKUP($AD129,INDIRECT("'"&amp;$B129&amp;"'!"&amp;"$P$118:$AD$121"),8,FALSE)</f>
        <v>2.0694444444444446</v>
      </c>
      <c r="R129" s="81">
        <v>3.1536000000000002E-2</v>
      </c>
      <c r="S129" s="199">
        <v>0.5</v>
      </c>
      <c r="T129" s="199">
        <f ca="1">HLOOKUP($T$2,INDIRECT("'"&amp;$B129&amp;"'!"&amp;"$P$85:$AC$98"),IF(H129=$AI$13,6,IF(H129=$AI$14,9,14)),FALSE)</f>
        <v>0</v>
      </c>
      <c r="U129" s="773"/>
      <c r="V129" s="199">
        <f t="shared" ref="V129" ca="1" si="153">IF(IF(RIGHT(H129,2)="PH",(1-L129)+$W$2,IF(RIGHT(H129,2)="HT",(1-L129)+$W$1,IF(RIGHT(H129,2)="SH",(1-L129)+$W$3,"")))&gt;0,IF(RIGHT(H129,2)="PH",(1-L129)+$W$2,IF(RIGHT(H129,2)="HT",(1-L129)+$W$1,IF(RIGHT(H129,2)="SH",(1-L129)+$W$3,""))),0)</f>
        <v>0.82000000000000006</v>
      </c>
      <c r="W129" s="709"/>
      <c r="X129" s="698">
        <f t="shared" ca="1" si="147"/>
        <v>0.5</v>
      </c>
      <c r="Y129" s="698">
        <f t="shared" ref="Y129:Y134" ca="1" si="154">VLOOKUP($AD129,INDIRECT("'"&amp;$B129&amp;"'!"&amp;"$P$118:$AD$121"),12,FALSE)</f>
        <v>25</v>
      </c>
      <c r="Z129" s="698">
        <f t="shared" ref="Z129:Z134" ca="1" si="155">VLOOKUP($AD129,INDIRECT("'"&amp;$B129&amp;"'!"&amp;"$P$118:$AD$121"),13,FALSE)</f>
        <v>0</v>
      </c>
      <c r="AA129" s="698">
        <f t="shared" ref="AA129:AA134" ca="1" si="156">VLOOKUP($AD129,INDIRECT("'"&amp;$B129&amp;"'!"&amp;"$P$118:$AD$121"),14,FALSE)</f>
        <v>0</v>
      </c>
      <c r="AB129" s="698">
        <f t="shared" ref="AB129:AB134" ca="1" si="157">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5"/>
        <v>INDAWH</v>
      </c>
      <c r="J130" s="224">
        <f t="shared" si="148"/>
        <v>2030</v>
      </c>
      <c r="K130" s="81"/>
      <c r="L130" s="333">
        <f ca="1">VLOOKUP($AD130,INDIRECT("'"&amp;$B130&amp;"'!"&amp;"$P$118:$AD$121"),3,FALSE)*0.4</f>
        <v>0.38400000000000001</v>
      </c>
      <c r="M130" s="199"/>
      <c r="N130" s="81"/>
      <c r="O130" s="723">
        <f t="shared" ca="1" si="150"/>
        <v>0.27759522769958173</v>
      </c>
      <c r="P130" s="723">
        <f t="shared" ca="1" si="151"/>
        <v>1.2664999999999999E-2</v>
      </c>
      <c r="Q130" s="81">
        <f t="shared" ca="1" si="152"/>
        <v>1.8625</v>
      </c>
      <c r="R130" s="300"/>
      <c r="S130" s="300"/>
      <c r="T130" s="300"/>
      <c r="U130" s="300"/>
      <c r="V130" s="199">
        <f t="shared" ref="V130" ca="1" si="158">IF(IF(RIGHT(H129,2)="PH",(1-L130)+$W$2,IF(RIGHT(H129,2)="HT",(1-L130)+$W$1,IF(RIGHT(H129,2)="SH",(1-L130)+$W$3,"")))&gt;0,IF(RIGHT(H129,2)="PH",(1-L130)+$W$2,IF(RIGHT(H129,2)="HT",(1-L130)+$W$1,IF(RIGHT(H129,2)="SH",(1-L130)+$W$3,""))),0)</f>
        <v>0.81600000000000006</v>
      </c>
      <c r="W130" s="298"/>
      <c r="X130" s="698">
        <f t="shared" ca="1" si="147"/>
        <v>0.5</v>
      </c>
      <c r="Y130" s="698">
        <f t="shared" ca="1" si="154"/>
        <v>20</v>
      </c>
      <c r="Z130" s="698">
        <f t="shared" ca="1" si="155"/>
        <v>0</v>
      </c>
      <c r="AA130" s="698">
        <f t="shared" ca="1" si="156"/>
        <v>0</v>
      </c>
      <c r="AB130" s="698">
        <f t="shared" ca="1" si="157"/>
        <v>0.1</v>
      </c>
      <c r="AC130" s="55"/>
      <c r="AD130" s="81">
        <v>2030</v>
      </c>
      <c r="AE130" s="81"/>
      <c r="AF130" s="700"/>
    </row>
    <row r="131" spans="2:32">
      <c r="B131" s="718" t="s">
        <v>1009</v>
      </c>
      <c r="C131" s="226"/>
      <c r="E131" s="261"/>
      <c r="F131" s="224" t="s">
        <v>1149</v>
      </c>
      <c r="G131" s="55"/>
      <c r="H131" s="174"/>
      <c r="I131" s="174" t="str">
        <f t="shared" si="145"/>
        <v>INDAWH</v>
      </c>
      <c r="J131" s="224">
        <f t="shared" si="148"/>
        <v>2050</v>
      </c>
      <c r="K131" s="81"/>
      <c r="L131" s="333">
        <f ca="1">VLOOKUP($AD131,INDIRECT("'"&amp;$B131&amp;"'!"&amp;"$P$118:$AD$121"),3,FALSE)*0.4</f>
        <v>0.38800000000000001</v>
      </c>
      <c r="M131" s="199"/>
      <c r="N131" s="81"/>
      <c r="O131" s="723">
        <f t="shared" ca="1" si="150"/>
        <v>0.26251188606957326</v>
      </c>
      <c r="P131" s="723">
        <f t="shared" ca="1" si="151"/>
        <v>1.1175000000000001E-2</v>
      </c>
      <c r="Q131" s="81">
        <f t="shared" ca="1" si="152"/>
        <v>1.8625</v>
      </c>
      <c r="R131" s="300"/>
      <c r="S131" s="300"/>
      <c r="T131" s="300"/>
      <c r="U131" s="300"/>
      <c r="V131" s="199">
        <f t="shared" ref="V131" ca="1" si="159">IF(IF(RIGHT(H129,2)="PH",(1-L131)+$W$2,IF(RIGHT(H129,2)="HT",(1-L131)+$W$1,IF(RIGHT(H129,2)="SH",(1-L131)+$W$3,"")))&gt;0,IF(RIGHT(H129,2)="PH",(1-L131)+$W$2,IF(RIGHT(H129,2)="HT",(1-L131)+$W$1,IF(RIGHT(H129,2)="SH",(1-L131)+$W$3,""))),0)</f>
        <v>0.81200000000000006</v>
      </c>
      <c r="W131" s="298"/>
      <c r="X131" s="698">
        <f t="shared" ca="1" si="147"/>
        <v>0.5</v>
      </c>
      <c r="Y131" s="698">
        <f t="shared" ca="1" si="154"/>
        <v>15</v>
      </c>
      <c r="Z131" s="698">
        <f t="shared" ca="1" si="155"/>
        <v>0</v>
      </c>
      <c r="AA131" s="698">
        <f t="shared" ca="1" si="156"/>
        <v>0</v>
      </c>
      <c r="AB131" s="698">
        <f t="shared" ca="1" si="157"/>
        <v>0.1</v>
      </c>
      <c r="AC131" s="203"/>
      <c r="AD131" s="81">
        <v>2050</v>
      </c>
      <c r="AE131" s="81"/>
      <c r="AF131" s="705"/>
    </row>
    <row r="132" spans="2:32">
      <c r="B132" s="718" t="s">
        <v>1009</v>
      </c>
      <c r="C132" s="226"/>
      <c r="D132" s="212" t="str">
        <f>"IND"&amp;RIGHT(H132,4)&amp;"DSL"&amp;"N"&amp;RIGHT(E132,1)</f>
        <v>INDADSHDSLN2</v>
      </c>
      <c r="E132" s="261" t="str">
        <f>"Industrial heating technology "&amp;$AJ$12&amp;" "&amp;RIGHT(H132,2)&amp;" - Oil boiler (Steam - condensing) - new 2"</f>
        <v>Industrial heating technology Aluminium SH - Oil boiler (Steam - condensing) - new 2</v>
      </c>
      <c r="F132" s="224" t="s">
        <v>1149</v>
      </c>
      <c r="G132" s="173" t="s">
        <v>2081</v>
      </c>
      <c r="H132" s="174" t="str">
        <f>$AI$15</f>
        <v>IADSH</v>
      </c>
      <c r="I132" s="174" t="str">
        <f t="shared" si="145"/>
        <v>INDAWH</v>
      </c>
      <c r="J132" s="224">
        <f t="shared" si="148"/>
        <v>2011</v>
      </c>
      <c r="K132" s="299">
        <v>2025</v>
      </c>
      <c r="L132" s="199">
        <f t="shared" ref="L132:L134" ca="1" si="160">VLOOKUP($AD132,INDIRECT("'"&amp;$B132&amp;"'!"&amp;"$P$118:$AD$121"),3,FALSE)</f>
        <v>0.95</v>
      </c>
      <c r="M132" s="199"/>
      <c r="N132" s="81">
        <f ca="1">VLOOKUP($AD132,INDIRECT("'"&amp;$B132&amp;"'!"&amp;"$P$118:$AD$121"),5,FALSE)</f>
        <v>25</v>
      </c>
      <c r="O132" s="723">
        <f t="shared" ca="1" si="150"/>
        <v>0.32780000000000004</v>
      </c>
      <c r="P132" s="723">
        <f t="shared" ca="1" si="151"/>
        <v>1.341E-2</v>
      </c>
      <c r="Q132" s="81">
        <f t="shared" ca="1" si="152"/>
        <v>2.0694444444444446</v>
      </c>
      <c r="R132" s="81">
        <v>3.1536000000000002E-2</v>
      </c>
      <c r="S132" s="199">
        <v>0.5</v>
      </c>
      <c r="T132" s="199">
        <f ca="1">HLOOKUP($T$2,INDIRECT("'"&amp;$B132&amp;"'!"&amp;"$P$85:$AC$98"),IF(H132=$AI$13,6,IF(H132=$AI$14,9,14)),FALSE)</f>
        <v>1</v>
      </c>
      <c r="U132" s="772"/>
      <c r="V132" s="199">
        <f t="shared" ref="V132" ca="1" si="161">IF(IF(RIGHT(H132,2)="PH",(1-L132)+$W$2,IF(RIGHT(H132,2)="HT",(1-L132)+$W$1,IF(RIGHT(H132,2)="SH",(1-L132)+$W$3,"")))&gt;0,IF(RIGHT(H132,2)="PH",(1-L132)+$W$2,IF(RIGHT(H132,2)="HT",(1-L132)+$W$1,IF(RIGHT(H132,2)="SH",(1-L132)+$W$3,""))),0)</f>
        <v>5.0000000000000044E-2</v>
      </c>
      <c r="W132" s="298"/>
      <c r="X132" s="698">
        <f t="shared" ca="1" si="147"/>
        <v>0.5</v>
      </c>
      <c r="Y132" s="698">
        <f t="shared" ca="1" si="154"/>
        <v>25</v>
      </c>
      <c r="Z132" s="698">
        <f t="shared" ca="1" si="155"/>
        <v>0</v>
      </c>
      <c r="AA132" s="698">
        <f t="shared" ca="1" si="156"/>
        <v>0</v>
      </c>
      <c r="AB132" s="698">
        <f t="shared" ca="1" si="157"/>
        <v>0.1</v>
      </c>
      <c r="AD132" s="81">
        <v>2020</v>
      </c>
      <c r="AE132" s="299"/>
      <c r="AF132" s="220"/>
    </row>
    <row r="133" spans="2:32">
      <c r="B133" s="718" t="s">
        <v>1009</v>
      </c>
      <c r="C133" s="226"/>
      <c r="E133" s="261"/>
      <c r="F133" s="224" t="s">
        <v>1149</v>
      </c>
      <c r="G133" s="55"/>
      <c r="H133" s="174"/>
      <c r="I133" s="174" t="str">
        <f t="shared" si="145"/>
        <v>INDAWH</v>
      </c>
      <c r="J133" s="224">
        <f t="shared" si="148"/>
        <v>2030</v>
      </c>
      <c r="K133" s="81"/>
      <c r="L133" s="199">
        <f t="shared" ca="1" si="160"/>
        <v>0.96</v>
      </c>
      <c r="M133" s="199"/>
      <c r="N133" s="81"/>
      <c r="O133" s="723">
        <f t="shared" ca="1" si="150"/>
        <v>0.27759522769958173</v>
      </c>
      <c r="P133" s="723">
        <f t="shared" ca="1" si="151"/>
        <v>1.2664999999999999E-2</v>
      </c>
      <c r="Q133" s="81">
        <f t="shared" ca="1" si="152"/>
        <v>1.8625</v>
      </c>
      <c r="R133" s="300"/>
      <c r="S133" s="300"/>
      <c r="T133" s="300"/>
      <c r="U133" s="300"/>
      <c r="V133" s="199">
        <f t="shared" ref="V133" ca="1" si="162">IF(IF(RIGHT(H132,2)="PH",(1-L133)+$W$2,IF(RIGHT(H132,2)="HT",(1-L133)+$W$1,IF(RIGHT(H132,2)="SH",(1-L133)+$W$3,"")))&gt;0,IF(RIGHT(H132,2)="PH",(1-L133)+$W$2,IF(RIGHT(H132,2)="HT",(1-L133)+$W$1,IF(RIGHT(H132,2)="SH",(1-L133)+$W$3,""))),0)</f>
        <v>4.0000000000000036E-2</v>
      </c>
      <c r="W133" s="298"/>
      <c r="X133" s="698">
        <f t="shared" ca="1" si="147"/>
        <v>0.5</v>
      </c>
      <c r="Y133" s="698">
        <f t="shared" ca="1" si="154"/>
        <v>20</v>
      </c>
      <c r="Z133" s="698">
        <f t="shared" ca="1" si="155"/>
        <v>0</v>
      </c>
      <c r="AA133" s="698">
        <f t="shared" ca="1" si="156"/>
        <v>0</v>
      </c>
      <c r="AB133" s="698">
        <f t="shared" ca="1" si="157"/>
        <v>0.1</v>
      </c>
      <c r="AD133" s="81">
        <v>2030</v>
      </c>
      <c r="AE133" s="81"/>
      <c r="AF133" s="220"/>
    </row>
    <row r="134" spans="2:32">
      <c r="B134" s="719" t="s">
        <v>1009</v>
      </c>
      <c r="C134" s="713"/>
      <c r="D134" s="701"/>
      <c r="E134" s="701"/>
      <c r="F134" s="224" t="s">
        <v>1149</v>
      </c>
      <c r="G134" s="203"/>
      <c r="H134" s="702"/>
      <c r="I134" s="702" t="str">
        <f t="shared" si="145"/>
        <v>INDAWH</v>
      </c>
      <c r="J134" s="224">
        <f t="shared" si="148"/>
        <v>2050</v>
      </c>
      <c r="K134" s="81"/>
      <c r="L134" s="199">
        <f t="shared" ca="1" si="160"/>
        <v>0.97</v>
      </c>
      <c r="M134" s="199"/>
      <c r="N134" s="81"/>
      <c r="O134" s="723">
        <f t="shared" ca="1" si="150"/>
        <v>0.26251188606957326</v>
      </c>
      <c r="P134" s="723">
        <f t="shared" ca="1" si="151"/>
        <v>1.1175000000000001E-2</v>
      </c>
      <c r="Q134" s="81">
        <f t="shared" ca="1" si="152"/>
        <v>1.8625</v>
      </c>
      <c r="R134" s="703"/>
      <c r="S134" s="703"/>
      <c r="T134" s="703"/>
      <c r="U134" s="703"/>
      <c r="V134" s="199">
        <f t="shared" ref="V134" ca="1" si="163">IF(IF(RIGHT(H132,2)="PH",(1-L134)+$W$2,IF(RIGHT(H132,2)="HT",(1-L134)+$W$1,IF(RIGHT(H132,2)="SH",(1-L134)+$W$3,"")))&gt;0,IF(RIGHT(H132,2)="PH",(1-L134)+$W$2,IF(RIGHT(H132,2)="HT",(1-L134)+$W$1,IF(RIGHT(H132,2)="SH",(1-L134)+$W$3,""))),0)</f>
        <v>3.0000000000000027E-2</v>
      </c>
      <c r="W134" s="704"/>
      <c r="X134" s="698">
        <f t="shared" ca="1" si="147"/>
        <v>0.5</v>
      </c>
      <c r="Y134" s="698">
        <f t="shared" ca="1" si="154"/>
        <v>15</v>
      </c>
      <c r="Z134" s="698">
        <f t="shared" ca="1" si="155"/>
        <v>0</v>
      </c>
      <c r="AA134" s="698">
        <f t="shared" ca="1" si="156"/>
        <v>0</v>
      </c>
      <c r="AB134" s="698">
        <f t="shared" ca="1" si="157"/>
        <v>0.1</v>
      </c>
      <c r="AD134" s="81">
        <v>2050</v>
      </c>
      <c r="AE134" s="81"/>
      <c r="AF134" s="220"/>
    </row>
    <row r="135" spans="2:32">
      <c r="B135" s="718" t="s">
        <v>1010</v>
      </c>
      <c r="C135" s="226"/>
      <c r="D135" s="212" t="str">
        <f>"IND"&amp;RIGHT(H135,4)&amp;"GAS"&amp;"N"&amp;RIGHT(E135,1)</f>
        <v>INDADPHGASN1</v>
      </c>
      <c r="E135" s="261" t="str">
        <f>"Industrial heating technology "&amp;$AJ$12&amp;" "&amp;RIGHT(H135,2)&amp;" - Gas boiler (Steam) - new 1"</f>
        <v>Industrial heating technology Aluminium PH - Gas boiler (Steam) - new 1</v>
      </c>
      <c r="F135" s="224" t="s">
        <v>1149</v>
      </c>
      <c r="G135" s="173" t="s">
        <v>2080</v>
      </c>
      <c r="H135" s="174" t="str">
        <f>$AI$13</f>
        <v>IADPH</v>
      </c>
      <c r="I135" s="174" t="str">
        <f t="shared" si="145"/>
        <v>INDAWH</v>
      </c>
      <c r="J135" s="224">
        <f t="shared" si="148"/>
        <v>2011</v>
      </c>
      <c r="K135" s="299">
        <v>2011</v>
      </c>
      <c r="L135" s="333">
        <f t="shared" ref="L135:L140" ca="1" si="164">VLOOKUP($AD135,INDIRECT("'"&amp;$B135&amp;"'!"&amp;"$P$39:$AD$42"),3,FALSE)*0.4</f>
        <v>0.36800000000000005</v>
      </c>
      <c r="M135" s="699"/>
      <c r="N135" s="299">
        <f ca="1">VLOOKUP($AD135,INDIRECT("'"&amp;$B135&amp;"'!"&amp;"$P$39:$AD$42"),5,FALSE)</f>
        <v>25</v>
      </c>
      <c r="O135" s="725">
        <f t="shared" ref="O135:O143" ca="1" si="165">VLOOKUP($AD135,INDIRECT("'"&amp;$B135&amp;"'!"&amp;"$P$39:$AD$42"),6,FALSE)/1000</f>
        <v>0.40636363636363632</v>
      </c>
      <c r="P135" s="725">
        <f t="shared" ref="P135:P143" ca="1" si="166">VLOOKUP($AD135,INDIRECT("'"&amp;$B135&amp;"'!"&amp;"$P$39:$AD$42"),7,FALSE)/1000</f>
        <v>1.49E-2</v>
      </c>
      <c r="Q135" s="299">
        <f t="shared" ref="Q135:Q143" ca="1" si="167">VLOOKUP($AD135,INDIRECT("'"&amp;$B135&amp;"'!"&amp;"$P$39:$AD$42"),8,FALSE)</f>
        <v>2.276388888888889</v>
      </c>
      <c r="R135" s="299">
        <v>3.1536000000000002E-2</v>
      </c>
      <c r="S135" s="699">
        <v>0.5</v>
      </c>
      <c r="T135" s="699">
        <f ca="1">HLOOKUP($T$2,INDIRECT("'"&amp;$B135&amp;"'!"&amp;"$P$6:$AC$19"),IF(H135=$AI$13,6,IF(H135=$AI$14,9,14)),FALSE)</f>
        <v>1</v>
      </c>
      <c r="U135" s="772"/>
      <c r="V135" s="199">
        <f t="shared" ref="V135" ca="1" si="168">IF(IF(RIGHT(H135,2)="PH",(1-L135)+$W$2,IF(RIGHT(H135,2)="HT",(1-L135)+$W$1,IF(RIGHT(H135,2)="SH",(1-L135)+$W$3,"")))&gt;0,IF(RIGHT(H135,2)="PH",(1-L135)+$W$2,IF(RIGHT(H135,2)="HT",(1-L135)+$W$1,IF(RIGHT(H135,2)="SH",(1-L135)+$W$3,""))),0)</f>
        <v>0.83199999999999985</v>
      </c>
      <c r="W135" s="298"/>
      <c r="X135" s="698">
        <f t="shared" ca="1" si="147"/>
        <v>0.3</v>
      </c>
      <c r="Y135" s="299">
        <f t="shared" ref="Y135:Y143" ca="1" si="169">VLOOKUP($AD135,INDIRECT("'"&amp;$B135&amp;"'!"&amp;"$P$39:$AD$42"),12,FALSE)</f>
        <v>9</v>
      </c>
      <c r="Z135" s="299">
        <f t="shared" ref="Z135:Z143" ca="1" si="170">VLOOKUP($AD135,INDIRECT("'"&amp;$B135&amp;"'!"&amp;"$P$39:$AD$42"),13,FALSE)</f>
        <v>3</v>
      </c>
      <c r="AA135" s="299">
        <f t="shared" ref="AA135:AA143" ca="1" si="171">VLOOKUP($AD135,INDIRECT("'"&amp;$B135&amp;"'!"&amp;"$P$39:$AD$42"),14,FALSE)</f>
        <v>1</v>
      </c>
      <c r="AB135" s="299">
        <f t="shared" ref="AB135:AB143" ca="1" si="172">VLOOKUP($AD135,INDIRECT("'"&amp;$B135&amp;"'!"&amp;"$P$39:$AD$42"),15,FALSE)</f>
        <v>0.1</v>
      </c>
      <c r="AD135" s="299">
        <v>2020</v>
      </c>
      <c r="AE135" s="81"/>
      <c r="AF135" s="220"/>
    </row>
    <row r="136" spans="2:32">
      <c r="B136" s="718" t="s">
        <v>1010</v>
      </c>
      <c r="C136" s="226"/>
      <c r="E136" s="212"/>
      <c r="F136" s="224" t="s">
        <v>1149</v>
      </c>
      <c r="H136" s="174"/>
      <c r="I136" s="174" t="str">
        <f t="shared" si="145"/>
        <v>INDAWH</v>
      </c>
      <c r="J136" s="224">
        <f t="shared" si="148"/>
        <v>2030</v>
      </c>
      <c r="K136" s="81"/>
      <c r="L136" s="333">
        <f t="shared" ca="1" si="164"/>
        <v>0.37200000000000005</v>
      </c>
      <c r="M136" s="199"/>
      <c r="N136" s="81"/>
      <c r="O136" s="723">
        <f t="shared" ca="1" si="165"/>
        <v>0.33863636363636368</v>
      </c>
      <c r="P136" s="723">
        <f t="shared" ca="1" si="166"/>
        <v>1.4154999999999999E-2</v>
      </c>
      <c r="Q136" s="81">
        <f t="shared" ca="1" si="167"/>
        <v>2.0694444444444446</v>
      </c>
      <c r="R136" s="300"/>
      <c r="S136" s="300"/>
      <c r="T136" s="300"/>
      <c r="U136" s="300"/>
      <c r="V136" s="199">
        <f t="shared" ref="V136" ca="1" si="173">IF(IF(RIGHT(H135,2)="PH",(1-L136)+$W$2,IF(RIGHT(H135,2)="HT",(1-L136)+$W$1,IF(RIGHT(H135,2)="SH",(1-L136)+$W$3,"")))&gt;0,IF(RIGHT(H135,2)="PH",(1-L136)+$W$2,IF(RIGHT(H135,2)="HT",(1-L136)+$W$1,IF(RIGHT(H135,2)="SH",(1-L136)+$W$3,""))),0)</f>
        <v>0.82799999999999985</v>
      </c>
      <c r="W136" s="298"/>
      <c r="X136" s="698">
        <f t="shared" ca="1" si="147"/>
        <v>0.3</v>
      </c>
      <c r="Y136" s="81">
        <f t="shared" ca="1" si="169"/>
        <v>7</v>
      </c>
      <c r="Z136" s="81">
        <f t="shared" ca="1" si="170"/>
        <v>2</v>
      </c>
      <c r="AA136" s="81">
        <f t="shared" ca="1" si="171"/>
        <v>1</v>
      </c>
      <c r="AB136" s="81">
        <f t="shared" ca="1" si="172"/>
        <v>0.1</v>
      </c>
      <c r="AD136" s="81">
        <v>2030</v>
      </c>
      <c r="AE136" s="81"/>
      <c r="AF136" s="220"/>
    </row>
    <row r="137" spans="2:32">
      <c r="B137" s="718" t="s">
        <v>1010</v>
      </c>
      <c r="C137" s="226"/>
      <c r="E137" s="212"/>
      <c r="F137" s="224" t="s">
        <v>1149</v>
      </c>
      <c r="H137" s="174"/>
      <c r="I137" s="174" t="str">
        <f t="shared" si="145"/>
        <v>INDAWH</v>
      </c>
      <c r="J137" s="224">
        <f t="shared" si="148"/>
        <v>2050</v>
      </c>
      <c r="K137" s="81"/>
      <c r="L137" s="333">
        <f t="shared" ca="1" si="164"/>
        <v>0.376</v>
      </c>
      <c r="M137" s="199"/>
      <c r="N137" s="81"/>
      <c r="O137" s="723">
        <f t="shared" ca="1" si="165"/>
        <v>0.33863636363636368</v>
      </c>
      <c r="P137" s="723">
        <f t="shared" ca="1" si="166"/>
        <v>1.2664999999999999E-2</v>
      </c>
      <c r="Q137" s="81">
        <f t="shared" ca="1" si="167"/>
        <v>2.0694444444444446</v>
      </c>
      <c r="R137" s="300"/>
      <c r="S137" s="300"/>
      <c r="T137" s="300"/>
      <c r="U137" s="300"/>
      <c r="V137" s="199">
        <f t="shared" ref="V137" ca="1" si="174">IF(IF(RIGHT(H135,2)="PH",(1-L137)+$W$2,IF(RIGHT(H135,2)="HT",(1-L137)+$W$1,IF(RIGHT(H135,2)="SH",(1-L137)+$W$3,"")))&gt;0,IF(RIGHT(H135,2)="PH",(1-L137)+$W$2,IF(RIGHT(H135,2)="HT",(1-L137)+$W$1,IF(RIGHT(H135,2)="SH",(1-L137)+$W$3,""))),0)</f>
        <v>0.82400000000000007</v>
      </c>
      <c r="W137" s="298"/>
      <c r="X137" s="698">
        <f t="shared" ca="1" si="147"/>
        <v>0.3</v>
      </c>
      <c r="Y137" s="81">
        <f t="shared" ca="1" si="169"/>
        <v>6</v>
      </c>
      <c r="Z137" s="81">
        <f t="shared" ca="1" si="170"/>
        <v>2</v>
      </c>
      <c r="AA137" s="81">
        <f t="shared" ca="1" si="171"/>
        <v>1</v>
      </c>
      <c r="AB137" s="81">
        <f t="shared" ca="1" si="172"/>
        <v>0.1</v>
      </c>
      <c r="AD137" s="81">
        <v>2050</v>
      </c>
      <c r="AE137" s="81"/>
      <c r="AF137" s="220"/>
    </row>
    <row r="138" spans="2:32">
      <c r="B138" s="718" t="s">
        <v>1010</v>
      </c>
      <c r="C138" s="226"/>
      <c r="D138" s="212" t="str">
        <f>"IND"&amp;RIGHT(H138,4)&amp;"GAS"&amp;"N"&amp;RIGHT(E138,1)</f>
        <v>INDADPHGASN1</v>
      </c>
      <c r="E138" s="261" t="str">
        <f>"Industrial heating technology "&amp;$AJ$12&amp;" "&amp;RIGHT(H138,2)&amp;" - Gas boiler (Steam) - new 1"</f>
        <v>Industrial heating technology Aluminium PH - Gas boiler (Steam) - new 1</v>
      </c>
      <c r="F138" s="224" t="s">
        <v>1149</v>
      </c>
      <c r="G138" s="173" t="s">
        <v>2080</v>
      </c>
      <c r="H138" s="174" t="str">
        <f>$AI$14</f>
        <v>IADPH</v>
      </c>
      <c r="I138" s="174" t="str">
        <f t="shared" si="145"/>
        <v>INDAWH</v>
      </c>
      <c r="J138" s="224">
        <f t="shared" si="148"/>
        <v>2011</v>
      </c>
      <c r="K138" s="299">
        <v>2020</v>
      </c>
      <c r="L138" s="333">
        <f t="shared" ca="1" si="164"/>
        <v>0.36800000000000005</v>
      </c>
      <c r="M138" s="199"/>
      <c r="N138" s="81">
        <f ca="1">VLOOKUP($AD138,INDIRECT("'"&amp;$B138&amp;"'!"&amp;"$P$39:$AD$42"),5,FALSE)</f>
        <v>25</v>
      </c>
      <c r="O138" s="723">
        <f t="shared" ca="1" si="165"/>
        <v>0.40636363636363632</v>
      </c>
      <c r="P138" s="723">
        <f t="shared" ca="1" si="166"/>
        <v>1.49E-2</v>
      </c>
      <c r="Q138" s="81">
        <f t="shared" ca="1" si="167"/>
        <v>2.276388888888889</v>
      </c>
      <c r="R138" s="81">
        <v>3.1536000000000002E-2</v>
      </c>
      <c r="S138" s="199">
        <v>0.5</v>
      </c>
      <c r="T138" s="199">
        <f ca="1">HLOOKUP($T$2,INDIRECT("'"&amp;$B138&amp;"'!"&amp;"$P$6:$AC$19"),IF(H138=$AI$13,6,IF(H138=$AI$14,9,14)),FALSE)</f>
        <v>1</v>
      </c>
      <c r="U138" s="772"/>
      <c r="V138" s="199">
        <f t="shared" ref="V138" ca="1" si="175">IF(IF(RIGHT(H138,2)="PH",(1-L138)+$W$2,IF(RIGHT(H138,2)="HT",(1-L138)+$W$1,IF(RIGHT(H138,2)="SH",(1-L138)+$W$3,"")))&gt;0,IF(RIGHT(H138,2)="PH",(1-L138)+$W$2,IF(RIGHT(H138,2)="HT",(1-L138)+$W$1,IF(RIGHT(H138,2)="SH",(1-L138)+$W$3,""))),0)</f>
        <v>0.83199999999999985</v>
      </c>
      <c r="W138" s="298"/>
      <c r="X138" s="698">
        <f t="shared" ca="1" si="147"/>
        <v>0.3</v>
      </c>
      <c r="Y138" s="81">
        <f t="shared" ca="1" si="169"/>
        <v>9</v>
      </c>
      <c r="Z138" s="81">
        <f t="shared" ca="1" si="170"/>
        <v>3</v>
      </c>
      <c r="AA138" s="81">
        <f t="shared" ca="1" si="171"/>
        <v>1</v>
      </c>
      <c r="AB138" s="81">
        <f t="shared" ca="1" si="172"/>
        <v>0.1</v>
      </c>
      <c r="AD138" s="81">
        <v>2020</v>
      </c>
      <c r="AE138" s="81"/>
      <c r="AF138" s="220"/>
    </row>
    <row r="139" spans="2:32">
      <c r="B139" s="718" t="s">
        <v>1010</v>
      </c>
      <c r="C139" s="226"/>
      <c r="E139" s="212"/>
      <c r="F139" s="224" t="s">
        <v>1149</v>
      </c>
      <c r="H139" s="174"/>
      <c r="I139" s="174" t="str">
        <f t="shared" si="145"/>
        <v>INDAWH</v>
      </c>
      <c r="J139" s="224">
        <f t="shared" si="148"/>
        <v>2030</v>
      </c>
      <c r="K139" s="81"/>
      <c r="L139" s="333">
        <f t="shared" ca="1" si="164"/>
        <v>0.37200000000000005</v>
      </c>
      <c r="M139" s="199"/>
      <c r="N139" s="81"/>
      <c r="O139" s="723">
        <f t="shared" ca="1" si="165"/>
        <v>0.33863636363636368</v>
      </c>
      <c r="P139" s="723">
        <f t="shared" ca="1" si="166"/>
        <v>1.4154999999999999E-2</v>
      </c>
      <c r="Q139" s="81">
        <f t="shared" ca="1" si="167"/>
        <v>2.0694444444444446</v>
      </c>
      <c r="R139" s="300"/>
      <c r="S139" s="300"/>
      <c r="T139" s="300"/>
      <c r="U139" s="300"/>
      <c r="V139" s="199">
        <f t="shared" ref="V139" ca="1" si="176">IF(IF(RIGHT(H138,2)="PH",(1-L139)+$W$2,IF(RIGHT(H138,2)="HT",(1-L139)+$W$1,IF(RIGHT(H138,2)="SH",(1-L139)+$W$3,"")))&gt;0,IF(RIGHT(H138,2)="PH",(1-L139)+$W$2,IF(RIGHT(H138,2)="HT",(1-L139)+$W$1,IF(RIGHT(H138,2)="SH",(1-L139)+$W$3,""))),0)</f>
        <v>0.82799999999999985</v>
      </c>
      <c r="W139" s="298"/>
      <c r="X139" s="698">
        <f t="shared" ca="1" si="147"/>
        <v>0.3</v>
      </c>
      <c r="Y139" s="81">
        <f t="shared" ca="1" si="169"/>
        <v>7</v>
      </c>
      <c r="Z139" s="81">
        <f t="shared" ca="1" si="170"/>
        <v>2</v>
      </c>
      <c r="AA139" s="81">
        <f t="shared" ca="1" si="171"/>
        <v>1</v>
      </c>
      <c r="AB139" s="81">
        <f t="shared" ca="1" si="172"/>
        <v>0.1</v>
      </c>
      <c r="AD139" s="81">
        <v>2030</v>
      </c>
      <c r="AE139" s="81"/>
      <c r="AF139" s="220"/>
    </row>
    <row r="140" spans="2:32">
      <c r="B140" s="718" t="s">
        <v>1010</v>
      </c>
      <c r="C140" s="226"/>
      <c r="E140" s="212"/>
      <c r="F140" s="224" t="s">
        <v>1149</v>
      </c>
      <c r="H140" s="174"/>
      <c r="I140" s="174" t="str">
        <f t="shared" si="145"/>
        <v>INDAWH</v>
      </c>
      <c r="J140" s="224">
        <f t="shared" si="148"/>
        <v>2050</v>
      </c>
      <c r="K140" s="81"/>
      <c r="L140" s="333">
        <f t="shared" ca="1" si="164"/>
        <v>0.376</v>
      </c>
      <c r="M140" s="199"/>
      <c r="N140" s="81"/>
      <c r="O140" s="723">
        <f t="shared" ca="1" si="165"/>
        <v>0.33863636363636368</v>
      </c>
      <c r="P140" s="723">
        <f t="shared" ca="1" si="166"/>
        <v>1.2664999999999999E-2</v>
      </c>
      <c r="Q140" s="81">
        <f t="shared" ca="1" si="167"/>
        <v>2.0694444444444446</v>
      </c>
      <c r="R140" s="300"/>
      <c r="S140" s="300"/>
      <c r="T140" s="300"/>
      <c r="U140" s="300"/>
      <c r="V140" s="199">
        <f t="shared" ref="V140" ca="1" si="177">IF(IF(RIGHT(H138,2)="PH",(1-L140)+$W$2,IF(RIGHT(H138,2)="HT",(1-L140)+$W$1,IF(RIGHT(H138,2)="SH",(1-L140)+$W$3,"")))&gt;0,IF(RIGHT(H138,2)="PH",(1-L140)+$W$2,IF(RIGHT(H138,2)="HT",(1-L140)+$W$1,IF(RIGHT(H138,2)="SH",(1-L140)+$W$3,""))),0)</f>
        <v>0.82400000000000007</v>
      </c>
      <c r="W140" s="298"/>
      <c r="X140" s="698">
        <f t="shared" ca="1" si="147"/>
        <v>0.3</v>
      </c>
      <c r="Y140" s="81">
        <f t="shared" ca="1" si="169"/>
        <v>6</v>
      </c>
      <c r="Z140" s="81">
        <f t="shared" ca="1" si="170"/>
        <v>2</v>
      </c>
      <c r="AA140" s="81">
        <f t="shared" ca="1" si="171"/>
        <v>1</v>
      </c>
      <c r="AB140" s="81">
        <f t="shared" ca="1" si="172"/>
        <v>0.1</v>
      </c>
      <c r="AC140" s="203"/>
      <c r="AD140" s="81">
        <v>2050</v>
      </c>
      <c r="AE140" s="81"/>
      <c r="AF140" s="705"/>
    </row>
    <row r="141" spans="2:32">
      <c r="B141" s="718" t="s">
        <v>1010</v>
      </c>
      <c r="C141" s="226"/>
      <c r="D141" s="212" t="str">
        <f>"IND"&amp;RIGHT(H141,4)&amp;"GAS"&amp;"N"&amp;RIGHT(E141,1)</f>
        <v>INDADSHGASN1</v>
      </c>
      <c r="E141" s="261" t="str">
        <f>"Industrial heating technology "&amp;$AJ$12&amp;" "&amp;RIGHT(H141,2)&amp;" - Gas boiler (Steam) - new 1"</f>
        <v>Industrial heating technology Aluminium SH - Gas boiler (Steam) - new 1</v>
      </c>
      <c r="F141" s="224" t="s">
        <v>1149</v>
      </c>
      <c r="G141" s="173" t="s">
        <v>2080</v>
      </c>
      <c r="H141" s="174" t="str">
        <f>$AI$15</f>
        <v>IADSH</v>
      </c>
      <c r="I141" s="174" t="str">
        <f t="shared" si="145"/>
        <v>INDAWH</v>
      </c>
      <c r="J141" s="224">
        <f t="shared" si="148"/>
        <v>2011</v>
      </c>
      <c r="K141" s="299">
        <v>2020</v>
      </c>
      <c r="L141" s="199">
        <f t="shared" ref="L141:L143" ca="1" si="178">VLOOKUP($AD141,INDIRECT("'"&amp;$B141&amp;"'!"&amp;"$P$39:$AD$42"),3,FALSE)</f>
        <v>0.92</v>
      </c>
      <c r="M141" s="199"/>
      <c r="N141" s="81">
        <f ca="1">VLOOKUP($AD141,INDIRECT("'"&amp;$B141&amp;"'!"&amp;"$P$39:$AD$42"),5,FALSE)</f>
        <v>25</v>
      </c>
      <c r="O141" s="723">
        <f t="shared" ca="1" si="165"/>
        <v>0.40636363636363632</v>
      </c>
      <c r="P141" s="723">
        <f t="shared" ca="1" si="166"/>
        <v>1.49E-2</v>
      </c>
      <c r="Q141" s="81">
        <f t="shared" ca="1" si="167"/>
        <v>2.276388888888889</v>
      </c>
      <c r="R141" s="81">
        <v>3.1536000000000002E-2</v>
      </c>
      <c r="S141" s="199">
        <v>0.5</v>
      </c>
      <c r="T141" s="199">
        <f ca="1">HLOOKUP($T$2,INDIRECT("'"&amp;$B141&amp;"'!"&amp;"$P$6:$AC$19"),IF(H141=$AI$13,6,IF(H141=$AI$14,9,14)),FALSE)</f>
        <v>1</v>
      </c>
      <c r="U141" s="772"/>
      <c r="V141" s="199">
        <f t="shared" ref="V141" ca="1" si="179">IF(IF(RIGHT(H141,2)="PH",(1-L141)+$W$2,IF(RIGHT(H141,2)="HT",(1-L141)+$W$1,IF(RIGHT(H141,2)="SH",(1-L141)+$W$3,"")))&gt;0,IF(RIGHT(H141,2)="PH",(1-L141)+$W$2,IF(RIGHT(H141,2)="HT",(1-L141)+$W$1,IF(RIGHT(H141,2)="SH",(1-L141)+$W$3,""))),0)</f>
        <v>7.999999999999996E-2</v>
      </c>
      <c r="W141" s="298"/>
      <c r="X141" s="698">
        <f t="shared" ca="1" si="147"/>
        <v>0.3</v>
      </c>
      <c r="Y141" s="81">
        <f t="shared" ca="1" si="169"/>
        <v>9</v>
      </c>
      <c r="Z141" s="81">
        <f t="shared" ca="1" si="170"/>
        <v>3</v>
      </c>
      <c r="AA141" s="81">
        <f t="shared" ca="1" si="171"/>
        <v>1</v>
      </c>
      <c r="AB141" s="81">
        <f t="shared" ca="1" si="172"/>
        <v>0.1</v>
      </c>
      <c r="AC141" s="296"/>
      <c r="AD141" s="81">
        <v>2020</v>
      </c>
      <c r="AE141" s="81"/>
      <c r="AF141" s="710"/>
    </row>
    <row r="142" spans="2:32">
      <c r="B142" s="718" t="s">
        <v>1010</v>
      </c>
      <c r="C142" s="226"/>
      <c r="E142" s="212"/>
      <c r="F142" s="224" t="s">
        <v>1149</v>
      </c>
      <c r="H142" s="174"/>
      <c r="I142" s="174" t="str">
        <f t="shared" si="145"/>
        <v>INDAWH</v>
      </c>
      <c r="J142" s="224">
        <f t="shared" si="148"/>
        <v>2030</v>
      </c>
      <c r="K142" s="81"/>
      <c r="L142" s="199">
        <f t="shared" ca="1" si="178"/>
        <v>0.93</v>
      </c>
      <c r="M142" s="199"/>
      <c r="N142" s="81"/>
      <c r="O142" s="723">
        <f t="shared" ca="1" si="165"/>
        <v>0.33863636363636368</v>
      </c>
      <c r="P142" s="723">
        <f t="shared" ca="1" si="166"/>
        <v>1.4154999999999999E-2</v>
      </c>
      <c r="Q142" s="81">
        <f t="shared" ca="1" si="167"/>
        <v>2.0694444444444446</v>
      </c>
      <c r="R142" s="300"/>
      <c r="S142" s="300"/>
      <c r="T142" s="300"/>
      <c r="U142" s="300"/>
      <c r="V142" s="199">
        <f t="shared" ref="V142" ca="1" si="180">IF(IF(RIGHT(H141,2)="PH",(1-L142)+$W$2,IF(RIGHT(H141,2)="HT",(1-L142)+$W$1,IF(RIGHT(H141,2)="SH",(1-L142)+$W$3,"")))&gt;0,IF(RIGHT(H141,2)="PH",(1-L142)+$W$2,IF(RIGHT(H141,2)="HT",(1-L142)+$W$1,IF(RIGHT(H141,2)="SH",(1-L142)+$W$3,""))),0)</f>
        <v>6.9999999999999951E-2</v>
      </c>
      <c r="W142" s="298"/>
      <c r="X142" s="698">
        <f t="shared" ca="1" si="147"/>
        <v>0.3</v>
      </c>
      <c r="Y142" s="81">
        <f t="shared" ca="1" si="169"/>
        <v>7</v>
      </c>
      <c r="Z142" s="81">
        <f t="shared" ca="1" si="170"/>
        <v>2</v>
      </c>
      <c r="AA142" s="81">
        <f t="shared" ca="1" si="171"/>
        <v>1</v>
      </c>
      <c r="AB142" s="81">
        <f t="shared" ca="1" si="172"/>
        <v>0.1</v>
      </c>
      <c r="AC142" s="55"/>
      <c r="AD142" s="81">
        <v>2030</v>
      </c>
      <c r="AE142" s="81"/>
      <c r="AF142" s="700"/>
    </row>
    <row r="143" spans="2:32">
      <c r="B143" s="719" t="s">
        <v>1010</v>
      </c>
      <c r="C143" s="713"/>
      <c r="D143" s="203"/>
      <c r="E143" s="701"/>
      <c r="F143" s="224" t="s">
        <v>1149</v>
      </c>
      <c r="G143" s="203"/>
      <c r="H143" s="702"/>
      <c r="I143" s="702" t="str">
        <f t="shared" si="145"/>
        <v>INDAWH</v>
      </c>
      <c r="J143" s="224">
        <f t="shared" si="148"/>
        <v>2050</v>
      </c>
      <c r="K143" s="81"/>
      <c r="L143" s="199">
        <f t="shared" ca="1" si="178"/>
        <v>0.94</v>
      </c>
      <c r="M143" s="199"/>
      <c r="N143" s="81"/>
      <c r="O143" s="723">
        <f t="shared" ca="1" si="165"/>
        <v>0.33863636363636368</v>
      </c>
      <c r="P143" s="723">
        <f t="shared" ca="1" si="166"/>
        <v>1.2664999999999999E-2</v>
      </c>
      <c r="Q143" s="81">
        <f t="shared" ca="1" si="167"/>
        <v>2.0694444444444446</v>
      </c>
      <c r="R143" s="703"/>
      <c r="S143" s="703"/>
      <c r="T143" s="703"/>
      <c r="U143" s="703"/>
      <c r="V143" s="199">
        <f t="shared" ref="V143" ca="1" si="181">IF(IF(RIGHT(H141,2)="PH",(1-L143)+$W$2,IF(RIGHT(H141,2)="HT",(1-L143)+$W$1,IF(RIGHT(H141,2)="SH",(1-L143)+$W$3,"")))&gt;0,IF(RIGHT(H141,2)="PH",(1-L143)+$W$2,IF(RIGHT(H141,2)="HT",(1-L143)+$W$1,IF(RIGHT(H141,2)="SH",(1-L143)+$W$3,""))),0)</f>
        <v>6.0000000000000053E-2</v>
      </c>
      <c r="W143" s="704"/>
      <c r="X143" s="698">
        <f t="shared" ca="1" si="147"/>
        <v>0.3</v>
      </c>
      <c r="Y143" s="81">
        <f t="shared" ca="1" si="169"/>
        <v>6</v>
      </c>
      <c r="Z143" s="81">
        <f t="shared" ca="1" si="170"/>
        <v>2</v>
      </c>
      <c r="AA143" s="81">
        <f t="shared" ca="1" si="171"/>
        <v>1</v>
      </c>
      <c r="AB143" s="81">
        <f t="shared" ca="1" si="172"/>
        <v>0.1</v>
      </c>
      <c r="AC143" s="55"/>
      <c r="AD143" s="81">
        <v>2050</v>
      </c>
      <c r="AE143" s="81"/>
      <c r="AF143" s="700"/>
    </row>
    <row r="144" spans="2:32">
      <c r="B144" s="718" t="s">
        <v>1010</v>
      </c>
      <c r="C144" s="226"/>
      <c r="D144" s="212" t="str">
        <f>"IND"&amp;RIGHT(H144,4)&amp;"GAS"&amp;"N"&amp;RIGHT(E144,1)</f>
        <v>INDADPHGASN2</v>
      </c>
      <c r="E144" s="707" t="str">
        <f>"Industrial heating technology "&amp;$AJ$12&amp;" "&amp;RIGHT(H144,2)&amp;" - Gas boiler (Steam - condensing) - new 2"</f>
        <v>Industrial heating technology Aluminium PH - Gas boiler (Steam - condensing) - new 2</v>
      </c>
      <c r="F144" s="224" t="s">
        <v>1149</v>
      </c>
      <c r="G144" s="173" t="s">
        <v>2080</v>
      </c>
      <c r="H144" s="708" t="str">
        <f>$AI$14</f>
        <v>IADPH</v>
      </c>
      <c r="I144" s="708" t="str">
        <f t="shared" si="145"/>
        <v>INDAWH</v>
      </c>
      <c r="J144" s="224">
        <f t="shared" si="148"/>
        <v>2011</v>
      </c>
      <c r="K144" s="299">
        <v>2020</v>
      </c>
      <c r="L144" s="333">
        <f ca="1">VLOOKUP($AD144,INDIRECT("'"&amp;$B144&amp;"'!"&amp;"$P$118:$AD$121"),3,FALSE)*0.4</f>
        <v>0.40400000000000003</v>
      </c>
      <c r="M144" s="199"/>
      <c r="N144" s="81">
        <f ca="1">VLOOKUP($AD144,INDIRECT("'"&amp;$B144&amp;"'!"&amp;"$P$118:$AD$121"),5,FALSE)</f>
        <v>25</v>
      </c>
      <c r="O144" s="723">
        <f t="shared" ref="O144:O149" ca="1" si="182">VLOOKUP($AD144,INDIRECT("'"&amp;$B144&amp;"'!"&amp;"$P$118:$AD$121"),6,FALSE)/1000</f>
        <v>0.44700000000000001</v>
      </c>
      <c r="P144" s="723">
        <f t="shared" ref="P144:P149" ca="1" si="183">VLOOKUP($AD144,INDIRECT("'"&amp;$B144&amp;"'!"&amp;"$P$118:$AD$121"),7,FALSE)/1000</f>
        <v>1.49E-2</v>
      </c>
      <c r="Q144" s="81">
        <f t="shared" ref="Q144:Q149" ca="1" si="184">VLOOKUP($AD144,INDIRECT("'"&amp;$B144&amp;"'!"&amp;"$P$118:$AD$121"),8,FALSE)</f>
        <v>2.276388888888889</v>
      </c>
      <c r="R144" s="81">
        <v>3.1536000000000002E-2</v>
      </c>
      <c r="S144" s="199">
        <v>0.5</v>
      </c>
      <c r="T144" s="199">
        <f ca="1">HLOOKUP($T$2,INDIRECT("'"&amp;$B144&amp;"'!"&amp;"$P$85:$AC$98"),IF(H144=$AI$13,6,IF(H144=$AI$14,9,14)),FALSE)</f>
        <v>0</v>
      </c>
      <c r="U144" s="773"/>
      <c r="V144" s="199">
        <f t="shared" ref="V144" ca="1" si="185">IF(IF(RIGHT(H144,2)="PH",(1-L144)+$W$2,IF(RIGHT(H144,2)="HT",(1-L144)+$W$1,IF(RIGHT(H144,2)="SH",(1-L144)+$W$3,"")))&gt;0,IF(RIGHT(H144,2)="PH",(1-L144)+$W$2,IF(RIGHT(H144,2)="HT",(1-L144)+$W$1,IF(RIGHT(H144,2)="SH",(1-L144)+$W$3,""))),0)</f>
        <v>0.79600000000000004</v>
      </c>
      <c r="W144" s="709"/>
      <c r="X144" s="698">
        <f t="shared" ca="1" si="147"/>
        <v>0.3</v>
      </c>
      <c r="Y144" s="698">
        <f t="shared" ref="Y144:Y149" ca="1" si="186">VLOOKUP($AD144,INDIRECT("'"&amp;$B144&amp;"'!"&amp;"$P$118:$AD$121"),12,FALSE)</f>
        <v>9</v>
      </c>
      <c r="Z144" s="698">
        <f t="shared" ref="Z144:Z149" ca="1" si="187">VLOOKUP($AD144,INDIRECT("'"&amp;$B144&amp;"'!"&amp;"$P$118:$AD$121"),13,FALSE)</f>
        <v>3</v>
      </c>
      <c r="AA144" s="698">
        <f t="shared" ref="AA144:AA149" ca="1" si="188">VLOOKUP($AD144,INDIRECT("'"&amp;$B144&amp;"'!"&amp;"$P$118:$AD$121"),14,FALSE)</f>
        <v>1</v>
      </c>
      <c r="AB144" s="698">
        <f t="shared" ref="AB144:AB149" ca="1" si="189">VLOOKUP($AD144,INDIRECT("'"&amp;$B144&amp;"'!"&amp;"$P$118:$AD$121"),15,FALSE)</f>
        <v>0.1</v>
      </c>
      <c r="AC144" s="55"/>
      <c r="AD144" s="81">
        <v>2020</v>
      </c>
      <c r="AE144" s="81"/>
      <c r="AF144" s="700"/>
    </row>
    <row r="145" spans="1:32">
      <c r="B145" s="718" t="s">
        <v>1010</v>
      </c>
      <c r="C145" s="226"/>
      <c r="E145" s="261"/>
      <c r="F145" s="224" t="s">
        <v>1149</v>
      </c>
      <c r="G145" s="55"/>
      <c r="H145" s="174"/>
      <c r="I145" s="174" t="str">
        <f t="shared" si="145"/>
        <v>INDAWH</v>
      </c>
      <c r="J145" s="224">
        <f t="shared" si="148"/>
        <v>2030</v>
      </c>
      <c r="K145" s="81"/>
      <c r="L145" s="333">
        <f ca="1">VLOOKUP($AD145,INDIRECT("'"&amp;$B145&amp;"'!"&amp;"$P$118:$AD$121"),3,FALSE)*0.4</f>
        <v>0.41200000000000003</v>
      </c>
      <c r="M145" s="199"/>
      <c r="N145" s="81"/>
      <c r="O145" s="723">
        <f t="shared" ca="1" si="182"/>
        <v>0.37250000000000005</v>
      </c>
      <c r="P145" s="723">
        <f t="shared" ca="1" si="183"/>
        <v>1.4154999999999999E-2</v>
      </c>
      <c r="Q145" s="81">
        <f t="shared" ca="1" si="184"/>
        <v>2.0694444444444446</v>
      </c>
      <c r="R145" s="300"/>
      <c r="S145" s="300"/>
      <c r="T145" s="300"/>
      <c r="U145" s="300"/>
      <c r="V145" s="199">
        <f t="shared" ref="V145" ca="1" si="190">IF(IF(RIGHT(H144,2)="PH",(1-L145)+$W$2,IF(RIGHT(H144,2)="HT",(1-L145)+$W$1,IF(RIGHT(H144,2)="SH",(1-L145)+$W$3,"")))&gt;0,IF(RIGHT(H144,2)="PH",(1-L145)+$W$2,IF(RIGHT(H144,2)="HT",(1-L145)+$W$1,IF(RIGHT(H144,2)="SH",(1-L145)+$W$3,""))),0)</f>
        <v>0.78800000000000003</v>
      </c>
      <c r="W145" s="298"/>
      <c r="X145" s="698">
        <f t="shared" ca="1" si="147"/>
        <v>0.3</v>
      </c>
      <c r="Y145" s="698">
        <f t="shared" ca="1" si="186"/>
        <v>7</v>
      </c>
      <c r="Z145" s="698">
        <f t="shared" ca="1" si="187"/>
        <v>2</v>
      </c>
      <c r="AA145" s="698">
        <f t="shared" ca="1" si="188"/>
        <v>1</v>
      </c>
      <c r="AB145" s="698">
        <f t="shared" ca="1" si="189"/>
        <v>0.1</v>
      </c>
      <c r="AC145" s="55"/>
      <c r="AD145" s="81">
        <v>2030</v>
      </c>
      <c r="AE145" s="81"/>
      <c r="AF145" s="700"/>
    </row>
    <row r="146" spans="1:32">
      <c r="A146" s="226"/>
      <c r="B146" s="718" t="s">
        <v>1010</v>
      </c>
      <c r="C146" s="226"/>
      <c r="E146" s="261"/>
      <c r="F146" s="224" t="s">
        <v>1149</v>
      </c>
      <c r="G146" s="55"/>
      <c r="H146" s="174"/>
      <c r="I146" s="174" t="str">
        <f t="shared" si="145"/>
        <v>INDAWH</v>
      </c>
      <c r="J146" s="224">
        <f t="shared" si="148"/>
        <v>2050</v>
      </c>
      <c r="K146" s="81"/>
      <c r="L146" s="333">
        <f ca="1">VLOOKUP($AD146,INDIRECT("'"&amp;$B146&amp;"'!"&amp;"$P$118:$AD$121"),3,FALSE)*0.4</f>
        <v>0.41200000000000003</v>
      </c>
      <c r="M146" s="199"/>
      <c r="N146" s="81"/>
      <c r="O146" s="723">
        <f t="shared" ca="1" si="182"/>
        <v>0.37250000000000005</v>
      </c>
      <c r="P146" s="723">
        <f t="shared" ca="1" si="183"/>
        <v>1.2664999999999999E-2</v>
      </c>
      <c r="Q146" s="81">
        <f t="shared" ca="1" si="184"/>
        <v>2.0694444444444446</v>
      </c>
      <c r="R146" s="300"/>
      <c r="S146" s="300"/>
      <c r="T146" s="300"/>
      <c r="U146" s="300"/>
      <c r="V146" s="199">
        <f t="shared" ref="V146" ca="1" si="191">IF(IF(RIGHT(H144,2)="PH",(1-L146)+$W$2,IF(RIGHT(H144,2)="HT",(1-L146)+$W$1,IF(RIGHT(H144,2)="SH",(1-L146)+$W$3,"")))&gt;0,IF(RIGHT(H144,2)="PH",(1-L146)+$W$2,IF(RIGHT(H144,2)="HT",(1-L146)+$W$1,IF(RIGHT(H144,2)="SH",(1-L146)+$W$3,""))),0)</f>
        <v>0.78800000000000003</v>
      </c>
      <c r="W146" s="298"/>
      <c r="X146" s="698">
        <f t="shared" ca="1" si="147"/>
        <v>0.3</v>
      </c>
      <c r="Y146" s="698">
        <f t="shared" ca="1" si="186"/>
        <v>6</v>
      </c>
      <c r="Z146" s="698">
        <f t="shared" ca="1" si="187"/>
        <v>2</v>
      </c>
      <c r="AA146" s="698">
        <f t="shared" ca="1" si="188"/>
        <v>1</v>
      </c>
      <c r="AB146" s="698">
        <f t="shared" ca="1" si="189"/>
        <v>0.1</v>
      </c>
      <c r="AC146" s="203"/>
      <c r="AD146" s="81">
        <v>2050</v>
      </c>
      <c r="AE146" s="81"/>
      <c r="AF146" s="705"/>
    </row>
    <row r="147" spans="1:32">
      <c r="A147" s="226"/>
      <c r="B147" s="718" t="s">
        <v>1010</v>
      </c>
      <c r="C147" s="226"/>
      <c r="D147" s="212" t="str">
        <f>"IND"&amp;RIGHT(H147,4)&amp;"GAS"&amp;"N"&amp;RIGHT(E147,1)</f>
        <v>INDADSHGASN2</v>
      </c>
      <c r="E147" s="261" t="str">
        <f>"Industrial heating technology "&amp;$AJ$12&amp;" "&amp;RIGHT(H147,2)&amp;" - Gas boiler (Steam - condensing) - new 2"</f>
        <v>Industrial heating technology Aluminium SH - Gas boiler (Steam - condensing) - new 2</v>
      </c>
      <c r="F147" s="224" t="s">
        <v>1149</v>
      </c>
      <c r="G147" s="173" t="s">
        <v>2080</v>
      </c>
      <c r="H147" s="174" t="str">
        <f>$AI$15</f>
        <v>IADSH</v>
      </c>
      <c r="I147" s="174" t="str">
        <f t="shared" si="145"/>
        <v>INDAWH</v>
      </c>
      <c r="J147" s="224">
        <f t="shared" si="148"/>
        <v>2011</v>
      </c>
      <c r="K147" s="299">
        <v>2020</v>
      </c>
      <c r="L147" s="199">
        <f t="shared" ref="L147:L149" ca="1" si="192">VLOOKUP($AD147,INDIRECT("'"&amp;$B147&amp;"'!"&amp;"$P$118:$AD$121"),3,FALSE)</f>
        <v>1.01</v>
      </c>
      <c r="M147" s="199"/>
      <c r="N147" s="81">
        <f ca="1">VLOOKUP($AD147,INDIRECT("'"&amp;$B147&amp;"'!"&amp;"$P$118:$AD$121"),5,FALSE)</f>
        <v>25</v>
      </c>
      <c r="O147" s="723">
        <f t="shared" ca="1" si="182"/>
        <v>0.44700000000000001</v>
      </c>
      <c r="P147" s="723">
        <f t="shared" ca="1" si="183"/>
        <v>1.49E-2</v>
      </c>
      <c r="Q147" s="81">
        <f t="shared" ca="1" si="184"/>
        <v>2.276388888888889</v>
      </c>
      <c r="R147" s="81">
        <v>3.1536000000000002E-2</v>
      </c>
      <c r="S147" s="199">
        <v>0.5</v>
      </c>
      <c r="T147" s="199">
        <f ca="1">HLOOKUP($T$2,INDIRECT("'"&amp;$B147&amp;"'!"&amp;"$P$85:$AC$98"),IF(H147=$AI$13,6,IF(H147=$AI$14,9,14)),FALSE)</f>
        <v>0</v>
      </c>
      <c r="U147" s="772"/>
      <c r="V147" s="199">
        <f t="shared" ref="V147" ca="1" si="193">IF(IF(RIGHT(H147,2)="PH",(1-L147)+$W$2,IF(RIGHT(H147,2)="HT",(1-L147)+$W$1,IF(RIGHT(H147,2)="SH",(1-L147)+$W$3,"")))&gt;0,IF(RIGHT(H147,2)="PH",(1-L147)+$W$2,IF(RIGHT(H147,2)="HT",(1-L147)+$W$1,IF(RIGHT(H147,2)="SH",(1-L147)+$W$3,""))),0)</f>
        <v>0</v>
      </c>
      <c r="W147" s="298"/>
      <c r="X147" s="698">
        <f t="shared" ca="1" si="147"/>
        <v>0.3</v>
      </c>
      <c r="Y147" s="698">
        <f t="shared" ca="1" si="186"/>
        <v>9</v>
      </c>
      <c r="Z147" s="698">
        <f t="shared" ca="1" si="187"/>
        <v>3</v>
      </c>
      <c r="AA147" s="698">
        <f t="shared" ca="1" si="188"/>
        <v>1</v>
      </c>
      <c r="AB147" s="698">
        <f t="shared" ca="1" si="189"/>
        <v>0.1</v>
      </c>
      <c r="AC147" s="296"/>
      <c r="AD147" s="81">
        <v>2020</v>
      </c>
      <c r="AE147" s="81"/>
      <c r="AF147" s="710"/>
    </row>
    <row r="148" spans="1:32">
      <c r="A148" s="226"/>
      <c r="B148" s="718" t="s">
        <v>1010</v>
      </c>
      <c r="C148" s="226"/>
      <c r="E148" s="261"/>
      <c r="F148" s="224" t="s">
        <v>1149</v>
      </c>
      <c r="G148" s="55"/>
      <c r="H148" s="174"/>
      <c r="I148" s="174" t="str">
        <f t="shared" si="145"/>
        <v>INDAWH</v>
      </c>
      <c r="J148" s="224">
        <f t="shared" si="148"/>
        <v>2030</v>
      </c>
      <c r="K148" s="81"/>
      <c r="L148" s="199">
        <f t="shared" ca="1" si="192"/>
        <v>1.03</v>
      </c>
      <c r="M148" s="199"/>
      <c r="N148" s="81"/>
      <c r="O148" s="723">
        <f t="shared" ca="1" si="182"/>
        <v>0.37250000000000005</v>
      </c>
      <c r="P148" s="723">
        <f t="shared" ca="1" si="183"/>
        <v>1.4154999999999999E-2</v>
      </c>
      <c r="Q148" s="81">
        <f t="shared" ca="1" si="184"/>
        <v>2.0694444444444446</v>
      </c>
      <c r="R148" s="300"/>
      <c r="S148" s="300"/>
      <c r="T148" s="300"/>
      <c r="U148" s="300"/>
      <c r="V148" s="199">
        <f t="shared" ref="V148" ca="1" si="194">IF(IF(RIGHT(H147,2)="PH",(1-L148)+$W$2,IF(RIGHT(H147,2)="HT",(1-L148)+$W$1,IF(RIGHT(H147,2)="SH",(1-L148)+$W$3,"")))&gt;0,IF(RIGHT(H147,2)="PH",(1-L148)+$W$2,IF(RIGHT(H147,2)="HT",(1-L148)+$W$1,IF(RIGHT(H147,2)="SH",(1-L148)+$W$3,""))),0)</f>
        <v>0</v>
      </c>
      <c r="W148" s="298"/>
      <c r="X148" s="698">
        <f t="shared" ca="1" si="147"/>
        <v>0.3</v>
      </c>
      <c r="Y148" s="698">
        <f t="shared" ca="1" si="186"/>
        <v>7</v>
      </c>
      <c r="Z148" s="698">
        <f t="shared" ca="1" si="187"/>
        <v>2</v>
      </c>
      <c r="AA148" s="698">
        <f t="shared" ca="1" si="188"/>
        <v>1</v>
      </c>
      <c r="AB148" s="698">
        <f t="shared" ca="1" si="189"/>
        <v>0.1</v>
      </c>
      <c r="AC148" s="55"/>
      <c r="AD148" s="81">
        <v>2030</v>
      </c>
      <c r="AE148" s="81"/>
      <c r="AF148" s="700"/>
    </row>
    <row r="149" spans="1:32">
      <c r="A149" s="226"/>
      <c r="B149" s="719" t="s">
        <v>1010</v>
      </c>
      <c r="C149" s="713"/>
      <c r="D149" s="203"/>
      <c r="E149" s="701"/>
      <c r="F149" s="224" t="s">
        <v>1149</v>
      </c>
      <c r="G149" s="203"/>
      <c r="H149" s="702"/>
      <c r="I149" s="702" t="str">
        <f t="shared" si="145"/>
        <v>INDAWH</v>
      </c>
      <c r="J149" s="224">
        <f t="shared" si="148"/>
        <v>2050</v>
      </c>
      <c r="K149" s="81"/>
      <c r="L149" s="199">
        <f t="shared" ca="1" si="192"/>
        <v>1.03</v>
      </c>
      <c r="M149" s="199"/>
      <c r="N149" s="81"/>
      <c r="O149" s="723">
        <f t="shared" ca="1" si="182"/>
        <v>0.37250000000000005</v>
      </c>
      <c r="P149" s="723">
        <f t="shared" ca="1" si="183"/>
        <v>1.2664999999999999E-2</v>
      </c>
      <c r="Q149" s="81">
        <f t="shared" ca="1" si="184"/>
        <v>2.0694444444444446</v>
      </c>
      <c r="R149" s="703"/>
      <c r="S149" s="703"/>
      <c r="T149" s="703"/>
      <c r="U149" s="703"/>
      <c r="V149" s="199">
        <f t="shared" ref="V149" ca="1" si="195">IF(IF(RIGHT(H147,2)="PH",(1-L149)+$W$2,IF(RIGHT(H147,2)="HT",(1-L149)+$W$1,IF(RIGHT(H147,2)="SH",(1-L149)+$W$3,"")))&gt;0,IF(RIGHT(H147,2)="PH",(1-L149)+$W$2,IF(RIGHT(H147,2)="HT",(1-L149)+$W$1,IF(RIGHT(H147,2)="SH",(1-L149)+$W$3,""))),0)</f>
        <v>0</v>
      </c>
      <c r="W149" s="704"/>
      <c r="X149" s="698">
        <f t="shared" ca="1" si="147"/>
        <v>0.3</v>
      </c>
      <c r="Y149" s="698">
        <f t="shared" ca="1" si="186"/>
        <v>6</v>
      </c>
      <c r="Z149" s="698">
        <f t="shared" ca="1" si="187"/>
        <v>2</v>
      </c>
      <c r="AA149" s="698">
        <f t="shared" ca="1" si="188"/>
        <v>1</v>
      </c>
      <c r="AB149" s="698">
        <f t="shared" ca="1" si="189"/>
        <v>0.1</v>
      </c>
      <c r="AC149" s="55"/>
      <c r="AD149" s="81">
        <v>2050</v>
      </c>
      <c r="AE149" s="81"/>
      <c r="AF149" s="700"/>
    </row>
    <row r="150" spans="1:32">
      <c r="A150" s="226"/>
      <c r="B150" s="718" t="s">
        <v>1010</v>
      </c>
      <c r="C150" s="226"/>
      <c r="D150" s="212" t="str">
        <f>"IND"&amp;RIGHT(H150,4)&amp;"GAS"&amp;"N"&amp;RIGHT(E150,1)</f>
        <v>INDADPHGASN3</v>
      </c>
      <c r="E150" s="707" t="str">
        <f>"Industrial heating technology "&amp;$AJ$12&amp;" "&amp;RIGHT(H150,2)&amp;" - Gas boiler (Hot Water) - new 3"</f>
        <v>Industrial heating technology Aluminium PH - Gas boiler (Hot Water) - new 3</v>
      </c>
      <c r="F150" s="224" t="s">
        <v>1149</v>
      </c>
      <c r="G150" s="173" t="s">
        <v>2080</v>
      </c>
      <c r="H150" s="708" t="str">
        <f>$AI$14</f>
        <v>IADPH</v>
      </c>
      <c r="I150" s="708" t="str">
        <f t="shared" si="145"/>
        <v>INDAWH</v>
      </c>
      <c r="J150" s="224">
        <f t="shared" si="148"/>
        <v>2011</v>
      </c>
      <c r="K150" s="299">
        <v>2020</v>
      </c>
      <c r="L150" s="333">
        <f ca="1">VLOOKUP($AD150,INDIRECT("'"&amp;$B150&amp;"'!"&amp;"$P$200:$AD$203"),3,FALSE)*0.4</f>
        <v>0.37200000000000005</v>
      </c>
      <c r="M150" s="199"/>
      <c r="N150" s="81">
        <f ca="1">VLOOKUP($AD150,INDIRECT("'"&amp;$B150&amp;"'!"&amp;"$P$200:$AD$203"),5,FALSE)</f>
        <v>25</v>
      </c>
      <c r="O150" s="723">
        <f t="shared" ref="O150:O155" ca="1" si="196">VLOOKUP($AD150,INDIRECT("'"&amp;$B150&amp;"'!"&amp;"$P$200:$AD$203"),6,FALSE)/1000</f>
        <v>0.3250909090909091</v>
      </c>
      <c r="P150" s="723">
        <f t="shared" ref="P150:P155" ca="1" si="197">VLOOKUP($AD150,INDIRECT("'"&amp;$B150&amp;"'!"&amp;"$P$200:$AD$203"),7,FALSE)/1000</f>
        <v>1.49E-2</v>
      </c>
      <c r="Q150" s="81">
        <f t="shared" ref="Q150:Q155" ca="1" si="198">VLOOKUP($AD150,INDIRECT("'"&amp;$B150&amp;"'!"&amp;"$P$200:$AD$203"),8,FALSE)</f>
        <v>2.276388888888889</v>
      </c>
      <c r="R150" s="81">
        <v>3.1536000000000002E-2</v>
      </c>
      <c r="S150" s="199">
        <v>0.5</v>
      </c>
      <c r="T150" s="199">
        <f ca="1">HLOOKUP($T$2,INDIRECT("'"&amp;$B150&amp;"'!"&amp;"$P$167:$AC$180"),IF(H150=$AI$13,6,IF(H150=$AI$14,9,14)),FALSE)</f>
        <v>0</v>
      </c>
      <c r="U150" s="773"/>
      <c r="V150" s="199">
        <f t="shared" ref="V150" ca="1" si="199">IF(IF(RIGHT(H150,2)="PH",(1-L150)+$W$2,IF(RIGHT(H150,2)="HT",(1-L150)+$W$1,IF(RIGHT(H150,2)="SH",(1-L150)+$W$3,"")))&gt;0,IF(RIGHT(H150,2)="PH",(1-L150)+$W$2,IF(RIGHT(H150,2)="HT",(1-L150)+$W$1,IF(RIGHT(H150,2)="SH",(1-L150)+$W$3,""))),0)</f>
        <v>0.82799999999999985</v>
      </c>
      <c r="W150" s="709"/>
      <c r="X150" s="698">
        <f t="shared" ca="1" si="147"/>
        <v>0.3</v>
      </c>
      <c r="Y150" s="698">
        <f t="shared" ref="Y150:Y155" ca="1" si="200">VLOOKUP($AD150,INDIRECT("'"&amp;$B150&amp;"'!"&amp;"$P$200:$AD$203"),12,FALSE)</f>
        <v>9</v>
      </c>
      <c r="Z150" s="698">
        <f t="shared" ref="Z150:Z155" ca="1" si="201">VLOOKUP($AD150,INDIRECT("'"&amp;$B150&amp;"'!"&amp;"$P$200:$AD$203"),13,FALSE)</f>
        <v>3</v>
      </c>
      <c r="AA150" s="698">
        <f t="shared" ref="AA150:AA155" ca="1" si="202">VLOOKUP($AD150,INDIRECT("'"&amp;$B150&amp;"'!"&amp;"$P$200:$AD$203"),14,FALSE)</f>
        <v>1</v>
      </c>
      <c r="AB150" s="698">
        <f t="shared" ref="AB150:AB155" ca="1" si="203">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5"/>
        <v>INDAWH</v>
      </c>
      <c r="J151" s="224">
        <f t="shared" si="148"/>
        <v>2030</v>
      </c>
      <c r="K151" s="81"/>
      <c r="L151" s="333">
        <f ca="1">VLOOKUP($AD151,INDIRECT("'"&amp;$B151&amp;"'!"&amp;"$P$200:$AD$203"),3,FALSE)*0.4</f>
        <v>0.376</v>
      </c>
      <c r="M151" s="199"/>
      <c r="N151" s="81"/>
      <c r="O151" s="723">
        <f t="shared" ca="1" si="196"/>
        <v>0.27090909090909093</v>
      </c>
      <c r="P151" s="723">
        <f t="shared" ca="1" si="197"/>
        <v>1.4154999999999999E-2</v>
      </c>
      <c r="Q151" s="81">
        <f t="shared" ca="1" si="198"/>
        <v>2.0694444444444446</v>
      </c>
      <c r="R151" s="300"/>
      <c r="S151" s="300"/>
      <c r="T151" s="300"/>
      <c r="U151" s="300"/>
      <c r="V151" s="199">
        <f t="shared" ref="V151" ca="1" si="204">IF(IF(RIGHT(H150,2)="PH",(1-L151)+$W$2,IF(RIGHT(H150,2)="HT",(1-L151)+$W$1,IF(RIGHT(H150,2)="SH",(1-L151)+$W$3,"")))&gt;0,IF(RIGHT(H150,2)="PH",(1-L151)+$W$2,IF(RIGHT(H150,2)="HT",(1-L151)+$W$1,IF(RIGHT(H150,2)="SH",(1-L151)+$W$3,""))),0)</f>
        <v>0.82400000000000007</v>
      </c>
      <c r="W151" s="298"/>
      <c r="X151" s="698">
        <f t="shared" ca="1" si="147"/>
        <v>0.3</v>
      </c>
      <c r="Y151" s="698">
        <f t="shared" ca="1" si="200"/>
        <v>7</v>
      </c>
      <c r="Z151" s="698">
        <f t="shared" ca="1" si="201"/>
        <v>2</v>
      </c>
      <c r="AA151" s="698">
        <f t="shared" ca="1" si="202"/>
        <v>1</v>
      </c>
      <c r="AB151" s="698">
        <f t="shared" ca="1" si="203"/>
        <v>0.1</v>
      </c>
      <c r="AC151" s="55"/>
      <c r="AD151" s="81">
        <v>2030</v>
      </c>
      <c r="AE151" s="81"/>
      <c r="AF151" s="700"/>
    </row>
    <row r="152" spans="1:32">
      <c r="B152" s="718" t="s">
        <v>1010</v>
      </c>
      <c r="C152" s="226"/>
      <c r="E152" s="261"/>
      <c r="F152" s="224" t="s">
        <v>1149</v>
      </c>
      <c r="G152" s="55"/>
      <c r="H152" s="174"/>
      <c r="I152" s="174" t="str">
        <f t="shared" si="145"/>
        <v>INDAWH</v>
      </c>
      <c r="J152" s="224">
        <f t="shared" si="148"/>
        <v>2050</v>
      </c>
      <c r="K152" s="81"/>
      <c r="L152" s="333">
        <f ca="1">VLOOKUP($AD152,INDIRECT("'"&amp;$B152&amp;"'!"&amp;"$P$200:$AD$203"),3,FALSE)*0.4</f>
        <v>0.38</v>
      </c>
      <c r="M152" s="199"/>
      <c r="N152" s="81"/>
      <c r="O152" s="723">
        <f t="shared" ca="1" si="196"/>
        <v>0.27090909090909093</v>
      </c>
      <c r="P152" s="723">
        <f t="shared" ca="1" si="197"/>
        <v>1.2664999999999999E-2</v>
      </c>
      <c r="Q152" s="81">
        <f t="shared" ca="1" si="198"/>
        <v>2.0694444444444446</v>
      </c>
      <c r="R152" s="300"/>
      <c r="S152" s="300"/>
      <c r="T152" s="300"/>
      <c r="U152" s="300"/>
      <c r="V152" s="199">
        <f t="shared" ref="V152" ca="1" si="205">IF(IF(RIGHT(H150,2)="PH",(1-L152)+$W$2,IF(RIGHT(H150,2)="HT",(1-L152)+$W$1,IF(RIGHT(H150,2)="SH",(1-L152)+$W$3,"")))&gt;0,IF(RIGHT(H150,2)="PH",(1-L152)+$W$2,IF(RIGHT(H150,2)="HT",(1-L152)+$W$1,IF(RIGHT(H150,2)="SH",(1-L152)+$W$3,""))),0)</f>
        <v>0.82000000000000006</v>
      </c>
      <c r="W152" s="720"/>
      <c r="X152" s="698">
        <f t="shared" ca="1" si="147"/>
        <v>0.3</v>
      </c>
      <c r="Y152" s="698">
        <f t="shared" ca="1" si="200"/>
        <v>6</v>
      </c>
      <c r="Z152" s="698">
        <f t="shared" ca="1" si="201"/>
        <v>2</v>
      </c>
      <c r="AA152" s="698">
        <f t="shared" ca="1" si="202"/>
        <v>1</v>
      </c>
      <c r="AB152" s="698">
        <f t="shared" ca="1" si="203"/>
        <v>0.1</v>
      </c>
      <c r="AC152" s="203"/>
      <c r="AD152" s="81">
        <v>2050</v>
      </c>
      <c r="AE152" s="81"/>
      <c r="AF152" s="705"/>
    </row>
    <row r="153" spans="1:32">
      <c r="B153" s="718" t="s">
        <v>1010</v>
      </c>
      <c r="C153" s="64"/>
      <c r="D153" s="212" t="str">
        <f>"IND"&amp;RIGHT(H153,4)&amp;"GAS"&amp;"N"&amp;RIGHT(E153,1)</f>
        <v>INDADSHGASN3</v>
      </c>
      <c r="E153" s="261" t="str">
        <f>"Industrial heating technology "&amp;$AJ$12&amp;" "&amp;RIGHT(H153,2)&amp;" - Gas boiler (Hot Water) - new 3"</f>
        <v>Industrial heating technology Aluminium SH - Gas boiler (Hot Water) - new 3</v>
      </c>
      <c r="F153" s="224" t="s">
        <v>1149</v>
      </c>
      <c r="G153" s="173" t="s">
        <v>2080</v>
      </c>
      <c r="H153" s="174" t="str">
        <f>$AI$15</f>
        <v>IADSH</v>
      </c>
      <c r="I153" s="174" t="str">
        <f t="shared" si="145"/>
        <v>INDAWH</v>
      </c>
      <c r="J153" s="224">
        <f t="shared" si="148"/>
        <v>2011</v>
      </c>
      <c r="K153" s="299">
        <v>2020</v>
      </c>
      <c r="L153" s="199">
        <f t="shared" ref="L153:L155" ca="1" si="206">VLOOKUP($AD153,INDIRECT("'"&amp;$B153&amp;"'!"&amp;"$P$200:$AD$203"),3,FALSE)</f>
        <v>0.93</v>
      </c>
      <c r="M153" s="199"/>
      <c r="N153" s="81">
        <f ca="1">VLOOKUP($AD153,INDIRECT("'"&amp;$B153&amp;"'!"&amp;"$P$200:$AD$203"),5,FALSE)</f>
        <v>25</v>
      </c>
      <c r="O153" s="723">
        <f t="shared" ca="1" si="196"/>
        <v>0.3250909090909091</v>
      </c>
      <c r="P153" s="723">
        <f t="shared" ca="1" si="197"/>
        <v>1.49E-2</v>
      </c>
      <c r="Q153" s="81">
        <f t="shared" ca="1" si="198"/>
        <v>2.276388888888889</v>
      </c>
      <c r="R153" s="81">
        <v>3.1536000000000002E-2</v>
      </c>
      <c r="S153" s="199">
        <v>0.5</v>
      </c>
      <c r="T153" s="199">
        <f ca="1">HLOOKUP($T$2,INDIRECT("'"&amp;$B153&amp;"'!"&amp;"$P$167:$AC$180"),IF(H153=$AI$13,6,IF(H153=$AI$14,9,14)),FALSE)</f>
        <v>1</v>
      </c>
      <c r="U153" s="772"/>
      <c r="V153" s="199">
        <f t="shared" ref="V153" ca="1" si="207">IF(IF(RIGHT(H153,2)="PH",(1-L153)+$W$2,IF(RIGHT(H153,2)="HT",(1-L153)+$W$1,IF(RIGHT(H153,2)="SH",(1-L153)+$W$3,"")))&gt;0,IF(RIGHT(H153,2)="PH",(1-L153)+$W$2,IF(RIGHT(H153,2)="HT",(1-L153)+$W$1,IF(RIGHT(H153,2)="SH",(1-L153)+$W$3,""))),0)</f>
        <v>6.9999999999999951E-2</v>
      </c>
      <c r="W153" s="298"/>
      <c r="X153" s="698">
        <f t="shared" ca="1" si="147"/>
        <v>0.3</v>
      </c>
      <c r="Y153" s="698">
        <f t="shared" ca="1" si="200"/>
        <v>9</v>
      </c>
      <c r="Z153" s="698">
        <f t="shared" ca="1" si="201"/>
        <v>3</v>
      </c>
      <c r="AA153" s="698">
        <f t="shared" ca="1" si="202"/>
        <v>1</v>
      </c>
      <c r="AB153" s="698">
        <f t="shared" ca="1" si="203"/>
        <v>0.1</v>
      </c>
      <c r="AC153" s="296"/>
      <c r="AD153" s="81">
        <v>2020</v>
      </c>
      <c r="AE153" s="81"/>
      <c r="AF153" s="710"/>
    </row>
    <row r="154" spans="1:32">
      <c r="B154" s="718" t="s">
        <v>1010</v>
      </c>
      <c r="C154" s="64"/>
      <c r="E154" s="261"/>
      <c r="F154" s="224" t="s">
        <v>1149</v>
      </c>
      <c r="G154" s="55"/>
      <c r="H154" s="174"/>
      <c r="I154" s="174" t="str">
        <f t="shared" si="145"/>
        <v>INDAWH</v>
      </c>
      <c r="J154" s="224">
        <f t="shared" si="148"/>
        <v>2030</v>
      </c>
      <c r="K154" s="81"/>
      <c r="L154" s="199">
        <f t="shared" ca="1" si="206"/>
        <v>0.94</v>
      </c>
      <c r="M154" s="199"/>
      <c r="N154" s="81"/>
      <c r="O154" s="723">
        <f t="shared" ca="1" si="196"/>
        <v>0.27090909090909093</v>
      </c>
      <c r="P154" s="723">
        <f t="shared" ca="1" si="197"/>
        <v>1.4154999999999999E-2</v>
      </c>
      <c r="Q154" s="81">
        <f t="shared" ca="1" si="198"/>
        <v>2.0694444444444446</v>
      </c>
      <c r="R154" s="300"/>
      <c r="S154" s="300"/>
      <c r="T154" s="300"/>
      <c r="U154" s="300"/>
      <c r="V154" s="199">
        <f t="shared" ref="V154" ca="1" si="208">IF(IF(RIGHT(H153,2)="PH",(1-L154)+$W$2,IF(RIGHT(H153,2)="HT",(1-L154)+$W$1,IF(RIGHT(H153,2)="SH",(1-L154)+$W$3,"")))&gt;0,IF(RIGHT(H153,2)="PH",(1-L154)+$W$2,IF(RIGHT(H153,2)="HT",(1-L154)+$W$1,IF(RIGHT(H153,2)="SH",(1-L154)+$W$3,""))),0)</f>
        <v>6.0000000000000053E-2</v>
      </c>
      <c r="W154" s="298"/>
      <c r="X154" s="698">
        <f t="shared" ca="1" si="147"/>
        <v>0.3</v>
      </c>
      <c r="Y154" s="698">
        <f t="shared" ca="1" si="200"/>
        <v>7</v>
      </c>
      <c r="Z154" s="698">
        <f t="shared" ca="1" si="201"/>
        <v>2</v>
      </c>
      <c r="AA154" s="698">
        <f t="shared" ca="1" si="202"/>
        <v>1</v>
      </c>
      <c r="AB154" s="698">
        <f t="shared" ca="1" si="203"/>
        <v>0.1</v>
      </c>
      <c r="AC154" s="55"/>
      <c r="AD154" s="81">
        <v>2030</v>
      </c>
      <c r="AE154" s="81"/>
      <c r="AF154" s="700"/>
    </row>
    <row r="155" spans="1:32">
      <c r="A155" s="226"/>
      <c r="B155" s="719" t="s">
        <v>1010</v>
      </c>
      <c r="C155" s="713"/>
      <c r="D155" s="203"/>
      <c r="E155" s="701"/>
      <c r="F155" s="224" t="s">
        <v>1149</v>
      </c>
      <c r="G155" s="203"/>
      <c r="H155" s="702"/>
      <c r="I155" s="702" t="str">
        <f t="shared" si="145"/>
        <v>INDAWH</v>
      </c>
      <c r="J155" s="224">
        <f t="shared" si="148"/>
        <v>2050</v>
      </c>
      <c r="K155" s="81"/>
      <c r="L155" s="199">
        <f t="shared" ca="1" si="206"/>
        <v>0.95</v>
      </c>
      <c r="M155" s="199"/>
      <c r="N155" s="81"/>
      <c r="O155" s="723">
        <f t="shared" ca="1" si="196"/>
        <v>0.27090909090909093</v>
      </c>
      <c r="P155" s="723">
        <f t="shared" ca="1" si="197"/>
        <v>1.2664999999999999E-2</v>
      </c>
      <c r="Q155" s="81">
        <f t="shared" ca="1" si="198"/>
        <v>2.0694444444444446</v>
      </c>
      <c r="R155" s="300"/>
      <c r="S155" s="300"/>
      <c r="T155" s="300"/>
      <c r="U155" s="300"/>
      <c r="V155" s="199">
        <f t="shared" ref="V155" ca="1" si="209">IF(IF(RIGHT(H153,2)="PH",(1-L155)+$W$2,IF(RIGHT(H153,2)="HT",(1-L155)+$W$1,IF(RIGHT(H153,2)="SH",(1-L155)+$W$3,"")))&gt;0,IF(RIGHT(H153,2)="PH",(1-L155)+$W$2,IF(RIGHT(H153,2)="HT",(1-L155)+$W$1,IF(RIGHT(H153,2)="SH",(1-L155)+$W$3,""))),0)</f>
        <v>5.0000000000000044E-2</v>
      </c>
      <c r="W155" s="298"/>
      <c r="X155" s="698">
        <f t="shared" ca="1" si="147"/>
        <v>0.3</v>
      </c>
      <c r="Y155" s="698">
        <f t="shared" ca="1" si="200"/>
        <v>6</v>
      </c>
      <c r="Z155" s="698">
        <f t="shared" ca="1" si="201"/>
        <v>2</v>
      </c>
      <c r="AA155" s="698">
        <f t="shared" ca="1" si="202"/>
        <v>1</v>
      </c>
      <c r="AB155" s="698">
        <f t="shared" ca="1" si="203"/>
        <v>0.1</v>
      </c>
      <c r="AC155" s="55"/>
      <c r="AD155" s="81">
        <v>2050</v>
      </c>
      <c r="AE155" s="81"/>
      <c r="AF155" s="700"/>
    </row>
    <row r="156" spans="1:32">
      <c r="B156" s="718" t="s">
        <v>1010</v>
      </c>
      <c r="C156" s="64"/>
      <c r="D156" s="212" t="str">
        <f>"IND"&amp;RIGHT(H156,4)&amp;"GAS"&amp;"N"&amp;RIGHT(E156,1)</f>
        <v>INDADPHGASN4</v>
      </c>
      <c r="E156" s="707" t="str">
        <f>"Industrial heating technology "&amp;$AJ$12&amp;" "&amp;RIGHT(H156,2)&amp;" - Gas boiler (Hot Water - condensing) - new 4"</f>
        <v>Industrial heating technology Aluminium PH - Gas boiler (Hot Water - condensing) - new 4</v>
      </c>
      <c r="F156" s="224" t="s">
        <v>1149</v>
      </c>
      <c r="G156" s="173" t="s">
        <v>2080</v>
      </c>
      <c r="H156" s="708" t="str">
        <f>$AI$14</f>
        <v>IADPH</v>
      </c>
      <c r="I156" s="708" t="str">
        <f t="shared" si="145"/>
        <v>INDAWH</v>
      </c>
      <c r="J156" s="224">
        <f t="shared" si="148"/>
        <v>2011</v>
      </c>
      <c r="K156" s="299">
        <v>2020</v>
      </c>
      <c r="L156" s="333">
        <f ca="1">VLOOKUP($AD156,INDIRECT("'"&amp;$B156&amp;"'!"&amp;"$P$279:$AD$282"),3,FALSE)*0.4</f>
        <v>0.40400000000000003</v>
      </c>
      <c r="M156" s="199"/>
      <c r="N156" s="81">
        <f ca="1">VLOOKUP($AD156,INDIRECT("'"&amp;$B156&amp;"'!"&amp;"$P$279:$AD$282"),5,FALSE)</f>
        <v>25</v>
      </c>
      <c r="O156" s="723">
        <f t="shared" ref="O156:O161" ca="1" si="210">VLOOKUP($AD156,INDIRECT("'"&amp;$B156&amp;"'!"&amp;"$P$279:$AD$282"),6,FALSE)/1000</f>
        <v>0.35760000000000003</v>
      </c>
      <c r="P156" s="723">
        <f t="shared" ref="P156:P161" ca="1" si="211">VLOOKUP($AD156,INDIRECT("'"&amp;$B156&amp;"'!"&amp;"$P$279:$AD$282"),7,FALSE)/1000</f>
        <v>1.49E-2</v>
      </c>
      <c r="Q156" s="81">
        <f t="shared" ref="Q156:Q161" ca="1" si="212">VLOOKUP($AD156,INDIRECT("'"&amp;$B156&amp;"'!"&amp;"$P$279:$AD$282"),8,FALSE)</f>
        <v>2.276388888888889</v>
      </c>
      <c r="R156" s="81">
        <v>3.1536000000000002E-2</v>
      </c>
      <c r="S156" s="199">
        <v>0.5</v>
      </c>
      <c r="T156" s="199">
        <f ca="1">HLOOKUP($T$2,INDIRECT("'"&amp;$B156&amp;"'!"&amp;"$P$246:$AC$259"),IF(H156=$AI$13,6,IF(H156=$AI$14,9,14)),FALSE)</f>
        <v>0</v>
      </c>
      <c r="U156" s="773"/>
      <c r="V156" s="199">
        <f t="shared" ref="V156" ca="1" si="213">IF(IF(RIGHT(H156,2)="PH",(1-L156)+$W$2,IF(RIGHT(H156,2)="HT",(1-L156)+$W$1,IF(RIGHT(H156,2)="SH",(1-L156)+$W$3,"")))&gt;0,IF(RIGHT(H156,2)="PH",(1-L156)+$W$2,IF(RIGHT(H156,2)="HT",(1-L156)+$W$1,IF(RIGHT(H156,2)="SH",(1-L156)+$W$3,""))),0)</f>
        <v>0.79600000000000004</v>
      </c>
      <c r="W156" s="709"/>
      <c r="X156" s="698">
        <f t="shared" ca="1" si="147"/>
        <v>0.3</v>
      </c>
      <c r="Y156" s="698">
        <f t="shared" ref="Y156:Y161" ca="1" si="214">VLOOKUP($AD156,INDIRECT("'"&amp;$B156&amp;"'!"&amp;"$P$279:$AD$282"),12,FALSE)</f>
        <v>9</v>
      </c>
      <c r="Z156" s="698">
        <f t="shared" ref="Z156:Z161" ca="1" si="215">VLOOKUP($AD156,INDIRECT("'"&amp;$B156&amp;"'!"&amp;"$P$279:$AD$282"),13,FALSE)</f>
        <v>3</v>
      </c>
      <c r="AA156" s="698">
        <f t="shared" ref="AA156:AA161" ca="1" si="216">VLOOKUP($AD156,INDIRECT("'"&amp;$B156&amp;"'!"&amp;"$P$279:$AD$282"),14,FALSE)</f>
        <v>1</v>
      </c>
      <c r="AB156" s="698">
        <f t="shared" ref="AB156:AB161" ca="1" si="217">VLOOKUP($AD156,INDIRECT("'"&amp;$B156&amp;"'!"&amp;"$P$279:$AD$282"),15,FALSE)</f>
        <v>0.1</v>
      </c>
      <c r="AC156" s="55"/>
      <c r="AD156" s="81">
        <v>2020</v>
      </c>
      <c r="AE156" s="81"/>
      <c r="AF156" s="700"/>
    </row>
    <row r="157" spans="1:32">
      <c r="B157" s="718" t="s">
        <v>1010</v>
      </c>
      <c r="C157" s="64"/>
      <c r="E157" s="261"/>
      <c r="F157" s="224" t="s">
        <v>1149</v>
      </c>
      <c r="G157" s="55"/>
      <c r="H157" s="174"/>
      <c r="I157" s="174" t="str">
        <f t="shared" si="145"/>
        <v>INDAWH</v>
      </c>
      <c r="J157" s="224">
        <f t="shared" si="148"/>
        <v>2030</v>
      </c>
      <c r="K157" s="81"/>
      <c r="L157" s="333">
        <f ca="1">VLOOKUP($AD157,INDIRECT("'"&amp;$B157&amp;"'!"&amp;"$P$279:$AD$282"),3,FALSE)*0.4</f>
        <v>0.41200000000000003</v>
      </c>
      <c r="M157" s="199"/>
      <c r="N157" s="81"/>
      <c r="O157" s="723">
        <f t="shared" ca="1" si="210"/>
        <v>0.29800000000000004</v>
      </c>
      <c r="P157" s="723">
        <f t="shared" ca="1" si="211"/>
        <v>1.4154999999999999E-2</v>
      </c>
      <c r="Q157" s="81">
        <f t="shared" ca="1" si="212"/>
        <v>2.0694444444444446</v>
      </c>
      <c r="R157" s="300"/>
      <c r="S157" s="300"/>
      <c r="T157" s="300"/>
      <c r="U157" s="300"/>
      <c r="V157" s="199">
        <f t="shared" ref="V157" ca="1" si="218">IF(IF(RIGHT(H156,2)="PH",(1-L157)+$W$2,IF(RIGHT(H156,2)="HT",(1-L157)+$W$1,IF(RIGHT(H156,2)="SH",(1-L157)+$W$3,"")))&gt;0,IF(RIGHT(H156,2)="PH",(1-L157)+$W$2,IF(RIGHT(H156,2)="HT",(1-L157)+$W$1,IF(RIGHT(H156,2)="SH",(1-L157)+$W$3,""))),0)</f>
        <v>0.78800000000000003</v>
      </c>
      <c r="W157" s="298"/>
      <c r="X157" s="698">
        <f t="shared" ca="1" si="147"/>
        <v>0.3</v>
      </c>
      <c r="Y157" s="698">
        <f t="shared" ca="1" si="214"/>
        <v>7</v>
      </c>
      <c r="Z157" s="698">
        <f t="shared" ca="1" si="215"/>
        <v>2</v>
      </c>
      <c r="AA157" s="698">
        <f t="shared" ca="1" si="216"/>
        <v>1</v>
      </c>
      <c r="AB157" s="698">
        <f t="shared" ca="1" si="217"/>
        <v>0.1</v>
      </c>
      <c r="AC157" s="55"/>
      <c r="AD157" s="81">
        <v>2030</v>
      </c>
      <c r="AE157" s="81"/>
      <c r="AF157" s="700"/>
    </row>
    <row r="158" spans="1:32">
      <c r="B158" s="718" t="s">
        <v>1010</v>
      </c>
      <c r="C158" s="64"/>
      <c r="E158" s="261"/>
      <c r="F158" s="224" t="s">
        <v>1149</v>
      </c>
      <c r="G158" s="55"/>
      <c r="H158" s="174"/>
      <c r="I158" s="174" t="str">
        <f t="shared" si="145"/>
        <v>INDAWH</v>
      </c>
      <c r="J158" s="224">
        <f t="shared" si="148"/>
        <v>2050</v>
      </c>
      <c r="K158" s="81"/>
      <c r="L158" s="333">
        <f ca="1">VLOOKUP($AD158,INDIRECT("'"&amp;$B158&amp;"'!"&amp;"$P$279:$AD$282"),3,FALSE)*0.4</f>
        <v>0.41200000000000003</v>
      </c>
      <c r="M158" s="199"/>
      <c r="N158" s="81"/>
      <c r="O158" s="723">
        <f t="shared" ca="1" si="210"/>
        <v>0.29800000000000004</v>
      </c>
      <c r="P158" s="723">
        <f t="shared" ca="1" si="211"/>
        <v>1.2664999999999999E-2</v>
      </c>
      <c r="Q158" s="81">
        <f t="shared" ca="1" si="212"/>
        <v>2.0694444444444446</v>
      </c>
      <c r="R158" s="300"/>
      <c r="S158" s="300"/>
      <c r="T158" s="300"/>
      <c r="U158" s="300"/>
      <c r="V158" s="199">
        <f t="shared" ref="V158" ca="1" si="219">IF(IF(RIGHT(H156,2)="PH",(1-L158)+$W$2,IF(RIGHT(H156,2)="HT",(1-L158)+$W$1,IF(RIGHT(H156,2)="SH",(1-L158)+$W$3,"")))&gt;0,IF(RIGHT(H156,2)="PH",(1-L158)+$W$2,IF(RIGHT(H156,2)="HT",(1-L158)+$W$1,IF(RIGHT(H156,2)="SH",(1-L158)+$W$3,""))),0)</f>
        <v>0.78800000000000003</v>
      </c>
      <c r="W158" s="298"/>
      <c r="X158" s="698">
        <f t="shared" ca="1" si="147"/>
        <v>0.3</v>
      </c>
      <c r="Y158" s="698">
        <f t="shared" ca="1" si="214"/>
        <v>6</v>
      </c>
      <c r="Z158" s="698">
        <f t="shared" ca="1" si="215"/>
        <v>2</v>
      </c>
      <c r="AA158" s="698">
        <f t="shared" ca="1" si="216"/>
        <v>1</v>
      </c>
      <c r="AB158" s="698">
        <f t="shared" ca="1" si="217"/>
        <v>0.1</v>
      </c>
      <c r="AC158" s="203"/>
      <c r="AD158" s="81">
        <v>2050</v>
      </c>
      <c r="AE158" s="81"/>
      <c r="AF158" s="705"/>
    </row>
    <row r="159" spans="1:32">
      <c r="A159" s="226"/>
      <c r="B159" s="718" t="s">
        <v>1010</v>
      </c>
      <c r="C159" s="64"/>
      <c r="D159" s="212" t="str">
        <f>"IND"&amp;RIGHT(H159,4)&amp;"GAS"&amp;"N"&amp;RIGHT(E159,1)</f>
        <v>INDADSHGASN4</v>
      </c>
      <c r="E159" s="261" t="str">
        <f>"Industrial heating technology "&amp;$AJ$12&amp;" "&amp;RIGHT(H159,2)&amp;" - Gas boiler (Hot Water- condensing) - new 4"</f>
        <v>Industrial heating technology Aluminium SH - Gas boiler (Hot Water- condensing) - new 4</v>
      </c>
      <c r="F159" s="224" t="s">
        <v>1149</v>
      </c>
      <c r="G159" s="173" t="s">
        <v>2080</v>
      </c>
      <c r="H159" s="174" t="str">
        <f>$AI$15</f>
        <v>IADSH</v>
      </c>
      <c r="I159" s="174" t="str">
        <f t="shared" si="145"/>
        <v>INDAWH</v>
      </c>
      <c r="J159" s="224">
        <f t="shared" si="148"/>
        <v>2011</v>
      </c>
      <c r="K159" s="299">
        <v>2020</v>
      </c>
      <c r="L159" s="199">
        <f t="shared" ref="L159:L161" ca="1" si="220">VLOOKUP($AD159,INDIRECT("'"&amp;$B159&amp;"'!"&amp;"$P$279:$AD$282"),3,FALSE)</f>
        <v>1.01</v>
      </c>
      <c r="M159" s="199"/>
      <c r="N159" s="81">
        <f ca="1">VLOOKUP($AD159,INDIRECT("'"&amp;$B159&amp;"'!"&amp;"$P$279:$AD$282"),5,FALSE)</f>
        <v>25</v>
      </c>
      <c r="O159" s="723">
        <f t="shared" ca="1" si="210"/>
        <v>0.35760000000000003</v>
      </c>
      <c r="P159" s="723">
        <f t="shared" ca="1" si="211"/>
        <v>1.49E-2</v>
      </c>
      <c r="Q159" s="81">
        <f t="shared" ca="1" si="212"/>
        <v>2.276388888888889</v>
      </c>
      <c r="R159" s="81">
        <v>3.1536000000000002E-2</v>
      </c>
      <c r="S159" s="199">
        <v>0.5</v>
      </c>
      <c r="T159" s="199">
        <f ca="1">HLOOKUP($T$2,INDIRECT("'"&amp;$B159&amp;"'!"&amp;"$P$246:$AC$259"),IF(H159=$AI$13,6,IF(H159=$AI$14,9,14)),FALSE)</f>
        <v>0</v>
      </c>
      <c r="U159" s="773"/>
      <c r="V159" s="199">
        <f t="shared" ref="V159" ca="1" si="221">IF(IF(RIGHT(H159,2)="PH",(1-L159)+$W$2,IF(RIGHT(H159,2)="HT",(1-L159)+$W$1,IF(RIGHT(H159,2)="SH",(1-L159)+$W$3,"")))&gt;0,IF(RIGHT(H159,2)="PH",(1-L159)+$W$2,IF(RIGHT(H159,2)="HT",(1-L159)+$W$1,IF(RIGHT(H159,2)="SH",(1-L159)+$W$3,""))),0)</f>
        <v>0</v>
      </c>
      <c r="W159" s="709"/>
      <c r="X159" s="698">
        <f t="shared" ref="X159:X177" ca="1" si="222">IF(VLOOKUP($AD159,INDIRECT("'"&amp;$B159&amp;"'!"&amp;"$P$39:$AD$42"),11,FALSE)="Cf. the utilized electricity",0,VLOOKUP($AD159,INDIRECT("'"&amp;$B159&amp;"'!"&amp;"$P$39:$AD$42"),11,FALSE))</f>
        <v>0.3</v>
      </c>
      <c r="Y159" s="698">
        <f t="shared" ca="1" si="214"/>
        <v>9</v>
      </c>
      <c r="Z159" s="698">
        <f t="shared" ca="1" si="215"/>
        <v>3</v>
      </c>
      <c r="AA159" s="698">
        <f t="shared" ca="1" si="216"/>
        <v>1</v>
      </c>
      <c r="AB159" s="698">
        <f t="shared" ca="1" si="217"/>
        <v>0.1</v>
      </c>
      <c r="AC159" s="296"/>
      <c r="AD159" s="81">
        <v>2020</v>
      </c>
      <c r="AE159" s="81"/>
      <c r="AF159" s="710"/>
    </row>
    <row r="160" spans="1:32">
      <c r="B160" s="718" t="s">
        <v>1010</v>
      </c>
      <c r="C160" s="64"/>
      <c r="E160" s="261"/>
      <c r="F160" s="224" t="s">
        <v>1149</v>
      </c>
      <c r="G160" s="55"/>
      <c r="H160" s="174"/>
      <c r="I160" s="174" t="str">
        <f t="shared" si="145"/>
        <v>INDAWH</v>
      </c>
      <c r="J160" s="224">
        <f t="shared" si="148"/>
        <v>2030</v>
      </c>
      <c r="K160" s="81"/>
      <c r="L160" s="199">
        <f t="shared" ca="1" si="220"/>
        <v>1.03</v>
      </c>
      <c r="M160" s="199"/>
      <c r="N160" s="81"/>
      <c r="O160" s="723">
        <f t="shared" ca="1" si="210"/>
        <v>0.29800000000000004</v>
      </c>
      <c r="P160" s="723">
        <f t="shared" ca="1" si="211"/>
        <v>1.4154999999999999E-2</v>
      </c>
      <c r="Q160" s="81">
        <f t="shared" ca="1" si="212"/>
        <v>2.0694444444444446</v>
      </c>
      <c r="R160" s="300"/>
      <c r="S160" s="300"/>
      <c r="T160" s="300"/>
      <c r="U160" s="300"/>
      <c r="V160" s="199">
        <f t="shared" ref="V160" ca="1" si="223">IF(IF(RIGHT(H159,2)="PH",(1-L160)+$W$2,IF(RIGHT(H159,2)="HT",(1-L160)+$W$1,IF(RIGHT(H159,2)="SH",(1-L160)+$W$3,"")))&gt;0,IF(RIGHT(H159,2)="PH",(1-L160)+$W$2,IF(RIGHT(H159,2)="HT",(1-L160)+$W$1,IF(RIGHT(H159,2)="SH",(1-L160)+$W$3,""))),0)</f>
        <v>0</v>
      </c>
      <c r="W160" s="298"/>
      <c r="X160" s="698">
        <f t="shared" ca="1" si="222"/>
        <v>0.3</v>
      </c>
      <c r="Y160" s="698">
        <f t="shared" ca="1" si="214"/>
        <v>7</v>
      </c>
      <c r="Z160" s="698">
        <f t="shared" ca="1" si="215"/>
        <v>2</v>
      </c>
      <c r="AA160" s="698">
        <f t="shared" ca="1" si="216"/>
        <v>1</v>
      </c>
      <c r="AB160" s="698">
        <f t="shared" ca="1" si="217"/>
        <v>0.1</v>
      </c>
      <c r="AC160" s="55"/>
      <c r="AD160" s="81">
        <v>2030</v>
      </c>
      <c r="AE160" s="81"/>
      <c r="AF160" s="700"/>
    </row>
    <row r="161" spans="1:32">
      <c r="B161" s="719" t="s">
        <v>1010</v>
      </c>
      <c r="C161" s="713"/>
      <c r="D161" s="701"/>
      <c r="E161" s="701"/>
      <c r="F161" s="224" t="s">
        <v>1149</v>
      </c>
      <c r="G161" s="203"/>
      <c r="H161" s="702"/>
      <c r="I161" s="702" t="str">
        <f t="shared" si="145"/>
        <v>INDAWH</v>
      </c>
      <c r="J161" s="224">
        <f t="shared" si="148"/>
        <v>2050</v>
      </c>
      <c r="K161" s="81"/>
      <c r="L161" s="199">
        <f t="shared" ca="1" si="220"/>
        <v>1.03</v>
      </c>
      <c r="M161" s="199"/>
      <c r="N161" s="81"/>
      <c r="O161" s="723">
        <f t="shared" ca="1" si="210"/>
        <v>0.29800000000000004</v>
      </c>
      <c r="P161" s="723">
        <f t="shared" ca="1" si="211"/>
        <v>1.2664999999999999E-2</v>
      </c>
      <c r="Q161" s="81">
        <f t="shared" ca="1" si="212"/>
        <v>2.0694444444444446</v>
      </c>
      <c r="R161" s="300"/>
      <c r="S161" s="300"/>
      <c r="T161" s="300"/>
      <c r="U161" s="300"/>
      <c r="V161" s="199">
        <f t="shared" ref="V161" ca="1" si="224">IF(IF(RIGHT(H159,2)="PH",(1-L161)+$W$2,IF(RIGHT(H159,2)="HT",(1-L161)+$W$1,IF(RIGHT(H159,2)="SH",(1-L161)+$W$3,"")))&gt;0,IF(RIGHT(H159,2)="PH",(1-L161)+$W$2,IF(RIGHT(H159,2)="HT",(1-L161)+$W$1,IF(RIGHT(H159,2)="SH",(1-L161)+$W$3,""))),0)</f>
        <v>0</v>
      </c>
      <c r="W161" s="714"/>
      <c r="X161" s="698">
        <f t="shared" ca="1" si="222"/>
        <v>0.3</v>
      </c>
      <c r="Y161" s="698">
        <f t="shared" ca="1" si="214"/>
        <v>6</v>
      </c>
      <c r="Z161" s="698">
        <f t="shared" ca="1" si="215"/>
        <v>2</v>
      </c>
      <c r="AA161" s="698">
        <f t="shared" ca="1" si="216"/>
        <v>1</v>
      </c>
      <c r="AB161" s="698">
        <f t="shared" ca="1" si="217"/>
        <v>0.1</v>
      </c>
      <c r="AC161" s="55"/>
      <c r="AD161" s="81">
        <v>2050</v>
      </c>
      <c r="AE161" s="81"/>
      <c r="AF161" s="700"/>
    </row>
    <row r="162" spans="1:32">
      <c r="B162" s="718" t="s">
        <v>1010</v>
      </c>
      <c r="C162" s="64"/>
      <c r="D162" s="212" t="s">
        <v>2126</v>
      </c>
      <c r="E162" s="707" t="str">
        <f>"Industrial heating technology "&amp;$AJ$12&amp;" "&amp;RIGHT(H162,2)&amp;" - Gas boiler (Direct firing) - new 5"</f>
        <v>Industrial heating technology Aluminium PH - Gas boiler (Direct firing) - new 5</v>
      </c>
      <c r="F162" s="224" t="s">
        <v>1149</v>
      </c>
      <c r="G162" s="173" t="s">
        <v>2080</v>
      </c>
      <c r="H162" s="174" t="str">
        <f>$AI$13</f>
        <v>IADPH</v>
      </c>
      <c r="I162" s="174" t="str">
        <f t="shared" si="145"/>
        <v>INDAWH</v>
      </c>
      <c r="J162" s="224">
        <f t="shared" si="148"/>
        <v>2011</v>
      </c>
      <c r="K162" s="299">
        <v>2020</v>
      </c>
      <c r="L162" s="333">
        <f ca="1">VLOOKUP($AD162,INDIRECT("'"&amp;$B162&amp;"'!"&amp;"$P$345:$AD$348"),3,FALSE)*0.4</f>
        <v>0.4</v>
      </c>
      <c r="M162" s="199"/>
      <c r="N162" s="81">
        <f ca="1">VLOOKUP($AD162,INDIRECT("'"&amp;$B162&amp;"'!"&amp;"$P$345:$AD$348"),5,FALSE)</f>
        <v>15</v>
      </c>
      <c r="O162" s="723">
        <f t="shared" ref="O162:O167" ca="1" si="225">VLOOKUP($AD162,INDIRECT("'"&amp;$B162&amp;"'!"&amp;"$P$345:$AD$348"),6,FALSE)/1000</f>
        <v>0.11175</v>
      </c>
      <c r="P162" s="723">
        <f t="shared" ref="P162:P167" ca="1" si="226">VLOOKUP($AD162,INDIRECT("'"&amp;$B162&amp;"'!"&amp;"$P$345:$AD$348"),7,FALSE)/1000</f>
        <v>1.3545454545454561E-3</v>
      </c>
      <c r="Q162" s="81">
        <f t="shared" ref="Q162:Q167" ca="1" si="227">VLOOKUP($AD162,INDIRECT("'"&amp;$B162&amp;"'!"&amp;"$P$345:$AD$348"),8,FALSE)</f>
        <v>0.58461805555555546</v>
      </c>
      <c r="R162" s="81">
        <v>3.1536000000000002E-2</v>
      </c>
      <c r="S162" s="199">
        <v>0.5</v>
      </c>
      <c r="T162" s="199">
        <f ca="1">HLOOKUP($S$2,INDIRECT("'"&amp;$B162&amp;"'!"&amp;"$P$312:$AC$325"),IF(H162=$AI$13,6,IF(H162=$AI$14,9,14)),FALSE)</f>
        <v>1</v>
      </c>
      <c r="U162" s="773"/>
      <c r="V162" s="199">
        <f t="shared" ref="V162" ca="1" si="228">IF(IF(RIGHT(H162,2)="PH",(1-L162)+$W$2,IF(RIGHT(H162,2)="HT",(1-L162)+$W$1,IF(RIGHT(H162,2)="SH",(1-L162)+$W$3,"")))&gt;0,IF(RIGHT(H162,2)="PH",(1-L162)+$W$2,IF(RIGHT(H162,2)="HT",(1-L162)+$W$1,IF(RIGHT(H162,2)="SH",(1-L162)+$W$3,""))),0)</f>
        <v>0.8</v>
      </c>
      <c r="W162" s="709"/>
      <c r="X162" s="698">
        <f t="shared" ca="1" si="222"/>
        <v>0.3</v>
      </c>
      <c r="Y162" s="698">
        <f t="shared" ref="Y162:Y167" ca="1" si="229">VLOOKUP($AD162,INDIRECT("'"&amp;$B162&amp;"'!"&amp;"$P$345:$AD$348"),12,FALSE)</f>
        <v>9</v>
      </c>
      <c r="Z162" s="698">
        <f t="shared" ref="Z162:Z167" ca="1" si="230">VLOOKUP($AD162,INDIRECT("'"&amp;$B162&amp;"'!"&amp;"$P$345:$AD$348"),13,FALSE)</f>
        <v>3</v>
      </c>
      <c r="AA162" s="698">
        <f t="shared" ref="AA162:AA167" ca="1" si="231">VLOOKUP($AD162,INDIRECT("'"&amp;$B162&amp;"'!"&amp;"$P$345:$AD$348"),14,FALSE)</f>
        <v>1</v>
      </c>
      <c r="AB162" s="698">
        <f t="shared" ref="AB162:AB167" ca="1" si="232">VLOOKUP($AD162,INDIRECT("'"&amp;$B162&amp;"'!"&amp;"$P$345:$AD$348"),15,FALSE)</f>
        <v>0.1</v>
      </c>
      <c r="AC162" s="55"/>
      <c r="AD162" s="81">
        <v>2020</v>
      </c>
      <c r="AE162" s="81"/>
      <c r="AF162" s="700"/>
    </row>
    <row r="163" spans="1:32">
      <c r="B163" s="718" t="s">
        <v>1010</v>
      </c>
      <c r="C163" s="64"/>
      <c r="D163" s="224" t="s">
        <v>451</v>
      </c>
      <c r="E163" s="261"/>
      <c r="F163" s="224" t="s">
        <v>1149</v>
      </c>
      <c r="G163" s="55"/>
      <c r="H163" s="174"/>
      <c r="I163" s="174" t="str">
        <f t="shared" si="145"/>
        <v>INDAWH</v>
      </c>
      <c r="J163" s="224">
        <f t="shared" si="148"/>
        <v>2030</v>
      </c>
      <c r="K163" s="81"/>
      <c r="L163" s="333">
        <f ca="1">VLOOKUP($AD163,INDIRECT("'"&amp;$B163&amp;"'!"&amp;"$P$345:$AD$348"),3,FALSE)*0.4</f>
        <v>0.4</v>
      </c>
      <c r="M163" s="199"/>
      <c r="N163" s="81"/>
      <c r="O163" s="723">
        <f t="shared" ca="1" si="225"/>
        <v>0.11175</v>
      </c>
      <c r="P163" s="723">
        <f t="shared" ca="1" si="226"/>
        <v>1.3206818181818161E-3</v>
      </c>
      <c r="Q163" s="81">
        <f t="shared" ca="1" si="227"/>
        <v>0.5742708333333334</v>
      </c>
      <c r="R163" s="300"/>
      <c r="S163" s="300"/>
      <c r="T163" s="300"/>
      <c r="U163" s="300"/>
      <c r="V163" s="199">
        <f t="shared" ref="V163" ca="1" si="233">IF(IF(RIGHT(H162,2)="PH",(1-L163)+$W$2,IF(RIGHT(H162,2)="HT",(1-L163)+$W$1,IF(RIGHT(H162,2)="SH",(1-L163)+$W$3,"")))&gt;0,IF(RIGHT(H162,2)="PH",(1-L163)+$W$2,IF(RIGHT(H162,2)="HT",(1-L163)+$W$1,IF(RIGHT(H162,2)="SH",(1-L163)+$W$3,""))),0)</f>
        <v>0.8</v>
      </c>
      <c r="W163" s="298"/>
      <c r="X163" s="698">
        <f t="shared" ca="1" si="222"/>
        <v>0.3</v>
      </c>
      <c r="Y163" s="698">
        <f t="shared" ca="1" si="229"/>
        <v>7</v>
      </c>
      <c r="Z163" s="698">
        <f t="shared" ca="1" si="230"/>
        <v>2</v>
      </c>
      <c r="AA163" s="698">
        <f t="shared" ca="1" si="231"/>
        <v>1</v>
      </c>
      <c r="AB163" s="698">
        <f t="shared" ca="1" si="232"/>
        <v>0.1</v>
      </c>
      <c r="AC163" s="55"/>
      <c r="AD163" s="81">
        <v>2030</v>
      </c>
      <c r="AE163" s="81"/>
      <c r="AF163" s="700"/>
    </row>
    <row r="164" spans="1:32">
      <c r="B164" s="718" t="s">
        <v>1010</v>
      </c>
      <c r="C164" s="64"/>
      <c r="D164" s="224" t="s">
        <v>451</v>
      </c>
      <c r="E164" s="261"/>
      <c r="F164" s="224" t="s">
        <v>1149</v>
      </c>
      <c r="G164" s="55"/>
      <c r="H164" s="174"/>
      <c r="I164" s="174" t="str">
        <f t="shared" si="145"/>
        <v>INDAWH</v>
      </c>
      <c r="J164" s="224">
        <f t="shared" si="148"/>
        <v>2050</v>
      </c>
      <c r="K164" s="81"/>
      <c r="L164" s="333">
        <f ca="1">VLOOKUP($AD164,INDIRECT("'"&amp;$B164&amp;"'!"&amp;"$P$345:$AD$348"),3,FALSE)*0.4</f>
        <v>0.4</v>
      </c>
      <c r="M164" s="199"/>
      <c r="N164" s="81"/>
      <c r="O164" s="723">
        <f t="shared" ca="1" si="225"/>
        <v>0.11175</v>
      </c>
      <c r="P164" s="723">
        <f t="shared" ca="1" si="226"/>
        <v>1.1513636363636396E-3</v>
      </c>
      <c r="Q164" s="81">
        <f t="shared" ca="1" si="227"/>
        <v>0.57944444444444443</v>
      </c>
      <c r="R164" s="300"/>
      <c r="S164" s="300"/>
      <c r="T164" s="300"/>
      <c r="U164" s="300"/>
      <c r="V164" s="199">
        <f t="shared" ref="V164" ca="1" si="234">IF(IF(RIGHT(H162,2)="PH",(1-L164)+$W$2,IF(RIGHT(H162,2)="HT",(1-L164)+$W$1,IF(RIGHT(H162,2)="SH",(1-L164)+$W$3,"")))&gt;0,IF(RIGHT(H162,2)="PH",(1-L164)+$W$2,IF(RIGHT(H162,2)="HT",(1-L164)+$W$1,IF(RIGHT(H162,2)="SH",(1-L164)+$W$3,""))),0)</f>
        <v>0.8</v>
      </c>
      <c r="W164" s="298"/>
      <c r="X164" s="698">
        <f t="shared" ca="1" si="222"/>
        <v>0.3</v>
      </c>
      <c r="Y164" s="698">
        <f t="shared" ca="1" si="229"/>
        <v>6</v>
      </c>
      <c r="Z164" s="698">
        <f t="shared" ca="1" si="230"/>
        <v>2</v>
      </c>
      <c r="AA164" s="698">
        <f t="shared" ca="1" si="231"/>
        <v>1</v>
      </c>
      <c r="AB164" s="698">
        <f t="shared" ca="1" si="232"/>
        <v>0.1</v>
      </c>
      <c r="AC164" s="203"/>
      <c r="AD164" s="81">
        <v>2050</v>
      </c>
      <c r="AE164" s="81"/>
      <c r="AF164" s="700"/>
    </row>
    <row r="165" spans="1:32">
      <c r="B165" s="718" t="s">
        <v>1010</v>
      </c>
      <c r="C165" s="64"/>
      <c r="D165" s="212" t="s">
        <v>2127</v>
      </c>
      <c r="E165" s="261" t="str">
        <f>"Industrial heating technology "&amp;$AJ$12&amp;" "&amp;RIGHT(H165,2)&amp;" - Gas boiler (Direct firing) - new 5"</f>
        <v>Industrial heating technology Aluminium SH - Gas boiler (Direct firing) - new 5</v>
      </c>
      <c r="F165" s="224" t="s">
        <v>1149</v>
      </c>
      <c r="G165" s="173" t="s">
        <v>2080</v>
      </c>
      <c r="H165" s="174" t="str">
        <f>$AI$15</f>
        <v>IADSH</v>
      </c>
      <c r="I165" s="721" t="str">
        <f t="shared" si="145"/>
        <v>INDAWH</v>
      </c>
      <c r="J165" s="224">
        <f t="shared" si="148"/>
        <v>2011</v>
      </c>
      <c r="K165" s="299">
        <v>2020</v>
      </c>
      <c r="L165" s="199">
        <f t="shared" ref="L165:L167" ca="1" si="235">VLOOKUP($AD165,INDIRECT("'"&amp;$B165&amp;"'!"&amp;"$P$345:$AD$348"),3,FALSE)</f>
        <v>1</v>
      </c>
      <c r="M165" s="199"/>
      <c r="N165" s="81">
        <f ca="1">VLOOKUP($AD165,INDIRECT("'"&amp;$B165&amp;"'!"&amp;"$P$279:$AD$282"),5,FALSE)</f>
        <v>25</v>
      </c>
      <c r="O165" s="723">
        <f t="shared" ca="1" si="225"/>
        <v>0.11175</v>
      </c>
      <c r="P165" s="723">
        <f t="shared" ca="1" si="226"/>
        <v>1.3545454545454561E-3</v>
      </c>
      <c r="Q165" s="81">
        <f t="shared" ca="1" si="227"/>
        <v>0.58461805555555546</v>
      </c>
      <c r="R165" s="81">
        <v>3.1536000000000002E-2</v>
      </c>
      <c r="S165" s="199">
        <v>0.5</v>
      </c>
      <c r="T165" s="199">
        <f ca="1">HLOOKUP($S$2,INDIRECT("'"&amp;$B165&amp;"'!"&amp;"$P$312:$AC$325"),IF(H165=$AI$13,6,IF(H165=$AI$14,9,14)),FALSE)</f>
        <v>0</v>
      </c>
      <c r="U165" s="773"/>
      <c r="V165" s="199">
        <f t="shared" ref="V165" ca="1" si="236">IF(IF(RIGHT(H165,2)="PH",(1-L165)+$W$2,IF(RIGHT(H165,2)="HT",(1-L165)+$W$1,IF(RIGHT(H165,2)="SH",(1-L165)+$W$3,"")))&gt;0,IF(RIGHT(H165,2)="PH",(1-L165)+$W$2,IF(RIGHT(H165,2)="HT",(1-L165)+$W$1,IF(RIGHT(H165,2)="SH",(1-L165)+$W$3,""))),0)</f>
        <v>0</v>
      </c>
      <c r="W165" s="709"/>
      <c r="X165" s="698">
        <f t="shared" ca="1" si="222"/>
        <v>0.3</v>
      </c>
      <c r="Y165" s="698">
        <f t="shared" ca="1" si="229"/>
        <v>9</v>
      </c>
      <c r="Z165" s="698">
        <f t="shared" ca="1" si="230"/>
        <v>3</v>
      </c>
      <c r="AA165" s="698">
        <f t="shared" ca="1" si="231"/>
        <v>1</v>
      </c>
      <c r="AB165" s="698">
        <f t="shared" ca="1" si="232"/>
        <v>0.1</v>
      </c>
      <c r="AD165" s="277">
        <v>2020</v>
      </c>
      <c r="AE165" s="273"/>
      <c r="AF165" s="830"/>
    </row>
    <row r="166" spans="1:32">
      <c r="B166" s="718" t="s">
        <v>1010</v>
      </c>
      <c r="C166" s="64"/>
      <c r="D166" s="212" t="s">
        <v>451</v>
      </c>
      <c r="E166" s="261"/>
      <c r="F166" s="224" t="s">
        <v>1149</v>
      </c>
      <c r="G166" s="55"/>
      <c r="H166" s="174"/>
      <c r="I166" s="174" t="str">
        <f t="shared" si="145"/>
        <v>INDAWH</v>
      </c>
      <c r="J166" s="224">
        <f t="shared" si="148"/>
        <v>2030</v>
      </c>
      <c r="K166" s="81"/>
      <c r="L166" s="199">
        <f t="shared" ca="1" si="235"/>
        <v>1</v>
      </c>
      <c r="M166" s="199"/>
      <c r="N166" s="81"/>
      <c r="O166" s="723">
        <f t="shared" ca="1" si="225"/>
        <v>0.11175</v>
      </c>
      <c r="P166" s="723">
        <f t="shared" ca="1" si="226"/>
        <v>1.3206818181818161E-3</v>
      </c>
      <c r="Q166" s="81">
        <f t="shared" ca="1" si="227"/>
        <v>0.5742708333333334</v>
      </c>
      <c r="R166" s="300"/>
      <c r="S166" s="300"/>
      <c r="T166" s="300"/>
      <c r="U166" s="300"/>
      <c r="V166" s="199">
        <f t="shared" ref="V166" ca="1" si="237">IF(IF(RIGHT(H165,2)="PH",(1-L166)+$W$2,IF(RIGHT(H165,2)="HT",(1-L166)+$W$1,IF(RIGHT(H165,2)="SH",(1-L166)+$W$3,"")))&gt;0,IF(RIGHT(H165,2)="PH",(1-L166)+$W$2,IF(RIGHT(H165,2)="HT",(1-L166)+$W$1,IF(RIGHT(H165,2)="SH",(1-L166)+$W$3,""))),0)</f>
        <v>0</v>
      </c>
      <c r="W166" s="298"/>
      <c r="X166" s="698">
        <f t="shared" ca="1" si="222"/>
        <v>0.3</v>
      </c>
      <c r="Y166" s="698">
        <f t="shared" ca="1" si="229"/>
        <v>7</v>
      </c>
      <c r="Z166" s="698">
        <f t="shared" ca="1" si="230"/>
        <v>2</v>
      </c>
      <c r="AA166" s="698">
        <f t="shared" ca="1" si="231"/>
        <v>1</v>
      </c>
      <c r="AB166" s="698">
        <f t="shared" ca="1" si="232"/>
        <v>0.1</v>
      </c>
      <c r="AD166" s="81">
        <v>2030</v>
      </c>
      <c r="AE166" s="273"/>
      <c r="AF166" s="828"/>
    </row>
    <row r="167" spans="1:32">
      <c r="A167" s="169"/>
      <c r="B167" s="719" t="s">
        <v>1010</v>
      </c>
      <c r="C167" s="713"/>
      <c r="D167" s="701" t="s">
        <v>451</v>
      </c>
      <c r="E167" s="701"/>
      <c r="F167" s="224" t="s">
        <v>1149</v>
      </c>
      <c r="G167" s="203"/>
      <c r="H167" s="702"/>
      <c r="I167" s="702" t="str">
        <f t="shared" si="145"/>
        <v>INDAWH</v>
      </c>
      <c r="J167" s="224">
        <f t="shared" si="148"/>
        <v>2050</v>
      </c>
      <c r="K167" s="81"/>
      <c r="L167" s="199">
        <f t="shared" ca="1" si="235"/>
        <v>1</v>
      </c>
      <c r="M167" s="199"/>
      <c r="N167" s="81"/>
      <c r="O167" s="723">
        <f t="shared" ca="1" si="225"/>
        <v>0.11175</v>
      </c>
      <c r="P167" s="723">
        <f t="shared" ca="1" si="226"/>
        <v>1.1513636363636396E-3</v>
      </c>
      <c r="Q167" s="81">
        <f t="shared" ca="1" si="227"/>
        <v>0.57944444444444443</v>
      </c>
      <c r="R167" s="722"/>
      <c r="S167" s="703"/>
      <c r="T167" s="703"/>
      <c r="U167" s="703"/>
      <c r="V167" s="199">
        <f t="shared" ref="V167" ca="1" si="238">IF(IF(RIGHT(H165,2)="PH",(1-L167)+$W$2,IF(RIGHT(H165,2)="HT",(1-L167)+$W$1,IF(RIGHT(H165,2)="SH",(1-L167)+$W$3,"")))&gt;0,IF(RIGHT(H165,2)="PH",(1-L167)+$W$2,IF(RIGHT(H165,2)="HT",(1-L167)+$W$1,IF(RIGHT(H165,2)="SH",(1-L167)+$W$3,""))),0)</f>
        <v>0</v>
      </c>
      <c r="W167" s="714"/>
      <c r="X167" s="698">
        <f t="shared" ca="1" si="222"/>
        <v>0.3</v>
      </c>
      <c r="Y167" s="698">
        <f t="shared" ca="1" si="229"/>
        <v>6</v>
      </c>
      <c r="Z167" s="698">
        <f t="shared" ca="1" si="230"/>
        <v>2</v>
      </c>
      <c r="AA167" s="698">
        <f t="shared" ca="1" si="231"/>
        <v>1</v>
      </c>
      <c r="AB167" s="698">
        <f t="shared" ca="1" si="232"/>
        <v>0.1</v>
      </c>
      <c r="AD167" s="81">
        <v>2050</v>
      </c>
      <c r="AE167" s="273"/>
      <c r="AF167" s="828"/>
    </row>
    <row r="168" spans="1:32">
      <c r="A168" s="169"/>
      <c r="B168" s="718" t="s">
        <v>1099</v>
      </c>
      <c r="C168" s="226"/>
      <c r="D168" s="707" t="str">
        <f>"IND"&amp;RIGHT(H168,4)&amp;RIGHT(G168,3)&amp;"N"&amp;RIGHT(E168,1)</f>
        <v>INDADPHCOAN1</v>
      </c>
      <c r="E168" s="261" t="str">
        <f>"Industrial heating technology "&amp;$AJ$12&amp;" "&amp;RIGHT(H168,2)&amp;" - Coal boiler (Steam) - new 1"</f>
        <v>Industrial heating technology Aluminium PH - Coal boiler (Steam) - new 1</v>
      </c>
      <c r="F168" s="224" t="s">
        <v>1149</v>
      </c>
      <c r="G168" s="55" t="s">
        <v>617</v>
      </c>
      <c r="H168" s="174" t="str">
        <f>$AI$13</f>
        <v>IADPH</v>
      </c>
      <c r="I168" s="174" t="str">
        <f t="shared" si="145"/>
        <v>INDAWH</v>
      </c>
      <c r="J168" s="224">
        <f t="shared" si="148"/>
        <v>2011</v>
      </c>
      <c r="K168" s="299">
        <v>2025</v>
      </c>
      <c r="L168" s="333">
        <f t="shared" ref="L168:L173" ca="1" si="239">VLOOKUP($AD168,INDIRECT("'"&amp;$B168&amp;"'!"&amp;"$P$39:$AD$42"),3,FALSE)*0.4</f>
        <v>0.35600000000000004</v>
      </c>
      <c r="M168" s="699"/>
      <c r="N168" s="299">
        <f ca="1">VLOOKUP($AD168,INDIRECT("'"&amp;$B168&amp;"'!"&amp;"$P$39:$AD$42"),5,FALSE)</f>
        <v>25</v>
      </c>
      <c r="O168" s="725">
        <f t="shared" ref="O168:O176" ca="1" si="240">VLOOKUP($AD168,INDIRECT("'"&amp;$B168&amp;"'!"&amp;"$P$39:$AD$42"),6,FALSE)/1000</f>
        <v>3.7250000000000001</v>
      </c>
      <c r="P168" s="725">
        <f t="shared" ref="P168:P176" ca="1" si="241">VLOOKUP($AD168,INDIRECT("'"&amp;$B168&amp;"'!"&amp;"$P$39:$AD$42"),7,FALSE)/1000</f>
        <v>0.25106499999999998</v>
      </c>
      <c r="Q168" s="299">
        <f t="shared" ref="Q168:Q176" ca="1" si="242">VLOOKUP($AD168,INDIRECT("'"&amp;$B168&amp;"'!"&amp;"$P$39:$AD$42"),8,FALSE)</f>
        <v>3.9381527777777778</v>
      </c>
      <c r="R168" s="299">
        <v>3.1536000000000002E-2</v>
      </c>
      <c r="S168" s="699">
        <v>0.5</v>
      </c>
      <c r="T168" s="699">
        <f ca="1">HLOOKUP($T$2,INDIRECT("'"&amp;$B168&amp;"'!"&amp;"$P$6:$AC$19"),IF(H168=$AI$13,6,IF(H168=$AI$14,9,14)),FALSE)</f>
        <v>1</v>
      </c>
      <c r="U168" s="772"/>
      <c r="V168" s="199">
        <f t="shared" ref="V168" ca="1" si="243">IF(IF(RIGHT(H168,2)="PH",(1-L168)+$W$2,IF(RIGHT(H168,2)="HT",(1-L168)+$W$1,IF(RIGHT(H168,2)="SH",(1-L168)+$W$3,"")))&gt;0,IF(RIGHT(H168,2)="PH",(1-L168)+$W$2,IF(RIGHT(H168,2)="HT",(1-L168)+$W$1,IF(RIGHT(H168,2)="SH",(1-L168)+$W$3,""))),0)</f>
        <v>0.84399999999999986</v>
      </c>
      <c r="W168" s="298"/>
      <c r="X168" s="698">
        <f t="shared" ca="1" si="222"/>
        <v>8</v>
      </c>
      <c r="Y168" s="299">
        <f t="shared" ref="Y168:Y176" ca="1" si="244">VLOOKUP($AD168,INDIRECT("'"&amp;$B168&amp;"'!"&amp;"$P$39:$AD$42"),12,FALSE)</f>
        <v>35</v>
      </c>
      <c r="Z168" s="299">
        <f t="shared" ref="Z168:Z176" ca="1" si="245">VLOOKUP($AD168,INDIRECT("'"&amp;$B168&amp;"'!"&amp;"$P$39:$AD$42"),13,FALSE)</f>
        <v>1.5</v>
      </c>
      <c r="AA168" s="299">
        <f t="shared" ref="AA168:AA176" ca="1" si="246">VLOOKUP($AD168,INDIRECT("'"&amp;$B168&amp;"'!"&amp;"$P$39:$AD$42"),14,FALSE)</f>
        <v>0.8</v>
      </c>
      <c r="AB168" s="299">
        <f t="shared" ref="AB168:AB176" ca="1" si="247">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5"/>
        <v>INDAWH</v>
      </c>
      <c r="J169" s="224">
        <f t="shared" si="148"/>
        <v>2030</v>
      </c>
      <c r="K169" s="81"/>
      <c r="L169" s="333">
        <f t="shared" ca="1" si="239"/>
        <v>0.35600000000000004</v>
      </c>
      <c r="M169" s="772"/>
      <c r="N169" s="200"/>
      <c r="O169" s="725">
        <f t="shared" ca="1" si="240"/>
        <v>3.4699403462447704</v>
      </c>
      <c r="P169" s="725">
        <f t="shared" ca="1" si="241"/>
        <v>0.24287</v>
      </c>
      <c r="Q169" s="299">
        <f t="shared" ca="1" si="242"/>
        <v>3.9836805555555559</v>
      </c>
      <c r="R169" s="823"/>
      <c r="S169" s="300"/>
      <c r="T169" s="300"/>
      <c r="U169" s="300"/>
      <c r="V169" s="199">
        <f t="shared" ref="V169" ca="1" si="248">IF(IF(RIGHT(H168,2)="PH",(1-L169)+$W$2,IF(RIGHT(H168,2)="HT",(1-L169)+$W$1,IF(RIGHT(H168,2)="SH",(1-L169)+$W$3,"")))&gt;0,IF(RIGHT(H168,2)="PH",(1-L169)+$W$2,IF(RIGHT(H168,2)="HT",(1-L169)+$W$1,IF(RIGHT(H168,2)="SH",(1-L169)+$W$3,""))),0)</f>
        <v>0.84399999999999986</v>
      </c>
      <c r="W169" s="298"/>
      <c r="X169" s="698">
        <f t="shared" ca="1" si="222"/>
        <v>8</v>
      </c>
      <c r="Y169" s="299">
        <f t="shared" ca="1" si="244"/>
        <v>35</v>
      </c>
      <c r="Z169" s="299">
        <f t="shared" ca="1" si="245"/>
        <v>1.5</v>
      </c>
      <c r="AA169" s="299">
        <f t="shared" ca="1" si="246"/>
        <v>0.8</v>
      </c>
      <c r="AB169" s="299">
        <f t="shared" ca="1" si="247"/>
        <v>2.1</v>
      </c>
      <c r="AD169" s="81">
        <v>2030</v>
      </c>
      <c r="AE169" s="273"/>
      <c r="AF169" s="828"/>
    </row>
    <row r="170" spans="1:32">
      <c r="A170" s="169"/>
      <c r="B170" s="718" t="s">
        <v>1099</v>
      </c>
      <c r="C170" s="226"/>
      <c r="D170" s="261"/>
      <c r="E170" s="261"/>
      <c r="F170" s="224" t="s">
        <v>1149</v>
      </c>
      <c r="G170" s="55"/>
      <c r="H170" s="174"/>
      <c r="I170" s="174" t="str">
        <f t="shared" si="145"/>
        <v>INDAWH</v>
      </c>
      <c r="J170" s="224">
        <f t="shared" si="148"/>
        <v>2050</v>
      </c>
      <c r="K170" s="81"/>
      <c r="L170" s="333">
        <f t="shared" ca="1" si="239"/>
        <v>0.36400000000000005</v>
      </c>
      <c r="M170" s="772"/>
      <c r="N170" s="200"/>
      <c r="O170" s="725">
        <f t="shared" ca="1" si="240"/>
        <v>3.2813985758696647</v>
      </c>
      <c r="P170" s="725">
        <f t="shared" ca="1" si="241"/>
        <v>0.22797000000000001</v>
      </c>
      <c r="Q170" s="299">
        <f t="shared" ca="1" si="242"/>
        <v>4.0064444444444449</v>
      </c>
      <c r="R170" s="823"/>
      <c r="S170" s="300"/>
      <c r="T170" s="300"/>
      <c r="U170" s="300"/>
      <c r="V170" s="199">
        <f t="shared" ref="V170" ca="1" si="249">IF(IF(RIGHT(H168,2)="PH",(1-L170)+$W$2,IF(RIGHT(H168,2)="HT",(1-L170)+$W$1,IF(RIGHT(H168,2)="SH",(1-L170)+$W$3,"")))&gt;0,IF(RIGHT(H168,2)="PH",(1-L170)+$W$2,IF(RIGHT(H168,2)="HT",(1-L170)+$W$1,IF(RIGHT(H168,2)="SH",(1-L170)+$W$3,""))),0)</f>
        <v>0.83599999999999985</v>
      </c>
      <c r="W170" s="298"/>
      <c r="X170" s="698">
        <f t="shared" ca="1" si="222"/>
        <v>8</v>
      </c>
      <c r="Y170" s="299">
        <f t="shared" ca="1" si="244"/>
        <v>35</v>
      </c>
      <c r="Z170" s="299">
        <f t="shared" ca="1" si="245"/>
        <v>1.5</v>
      </c>
      <c r="AA170" s="299">
        <f t="shared" ca="1" si="246"/>
        <v>0.8</v>
      </c>
      <c r="AB170" s="299">
        <f t="shared" ca="1" si="247"/>
        <v>2.1</v>
      </c>
      <c r="AD170" s="81">
        <v>2050</v>
      </c>
      <c r="AE170" s="273"/>
      <c r="AF170" s="828"/>
    </row>
    <row r="171" spans="1:32">
      <c r="A171" s="169"/>
      <c r="B171" s="718" t="s">
        <v>1099</v>
      </c>
      <c r="C171" s="226"/>
      <c r="D171" s="261" t="str">
        <f>"IND"&amp;RIGHT(H171,4)&amp;RIGHT(G171,3)&amp;"N"&amp;RIGHT(E171,1)</f>
        <v>INDADPHCOAN1</v>
      </c>
      <c r="E171" s="261" t="str">
        <f>"Industrial heating technology "&amp;$AJ$12&amp;" "&amp;RIGHT(H171,2)&amp;" - Coal boiler (Steam) - new 1"</f>
        <v>Industrial heating technology Aluminium PH - Coal boiler (Steam) - new 1</v>
      </c>
      <c r="F171" s="224" t="s">
        <v>1149</v>
      </c>
      <c r="G171" s="55" t="s">
        <v>617</v>
      </c>
      <c r="H171" s="174" t="str">
        <f>$AI$14</f>
        <v>IADPH</v>
      </c>
      <c r="I171" s="174" t="str">
        <f t="shared" si="145"/>
        <v>INDAWH</v>
      </c>
      <c r="J171" s="224">
        <f t="shared" si="148"/>
        <v>2011</v>
      </c>
      <c r="K171" s="299">
        <v>2025</v>
      </c>
      <c r="L171" s="333">
        <f t="shared" ca="1" si="239"/>
        <v>0.35600000000000004</v>
      </c>
      <c r="M171" s="199"/>
      <c r="N171" s="81">
        <f ca="1">VLOOKUP($AD171,INDIRECT("'"&amp;$B171&amp;"'!"&amp;"$P$39:$AD$42"),5,FALSE)</f>
        <v>25</v>
      </c>
      <c r="O171" s="725">
        <f t="shared" ca="1" si="240"/>
        <v>3.7250000000000001</v>
      </c>
      <c r="P171" s="725">
        <f t="shared" ca="1" si="241"/>
        <v>0.25106499999999998</v>
      </c>
      <c r="Q171" s="299">
        <f t="shared" ca="1" si="242"/>
        <v>3.9381527777777778</v>
      </c>
      <c r="R171" s="81">
        <v>3.1536000000000002E-2</v>
      </c>
      <c r="S171" s="199">
        <v>0.5</v>
      </c>
      <c r="T171" s="199">
        <f ca="1">HLOOKUP($T$2,INDIRECT("'"&amp;$B171&amp;"'!"&amp;"$P$6:$AC$19"),IF(H171=$AI$13,6,IF(H171=$AI$14,9,14)),FALSE)</f>
        <v>1</v>
      </c>
      <c r="U171" s="772"/>
      <c r="V171" s="199">
        <f t="shared" ref="V171" ca="1" si="250">IF(IF(RIGHT(H171,2)="PH",(1-L171)+$W$2,IF(RIGHT(H171,2)="HT",(1-L171)+$W$1,IF(RIGHT(H171,2)="SH",(1-L171)+$W$3,"")))&gt;0,IF(RIGHT(H171,2)="PH",(1-L171)+$W$2,IF(RIGHT(H171,2)="HT",(1-L171)+$W$1,IF(RIGHT(H171,2)="SH",(1-L171)+$W$3,""))),0)</f>
        <v>0.84399999999999986</v>
      </c>
      <c r="W171" s="298"/>
      <c r="X171" s="698">
        <f t="shared" ca="1" si="222"/>
        <v>8</v>
      </c>
      <c r="Y171" s="299">
        <f t="shared" ca="1" si="244"/>
        <v>35</v>
      </c>
      <c r="Z171" s="299">
        <f t="shared" ca="1" si="245"/>
        <v>1.5</v>
      </c>
      <c r="AA171" s="299">
        <f t="shared" ca="1" si="246"/>
        <v>0.8</v>
      </c>
      <c r="AB171" s="299">
        <f t="shared" ca="1" si="247"/>
        <v>2.1</v>
      </c>
      <c r="AD171" s="81">
        <v>2020</v>
      </c>
      <c r="AE171" s="273"/>
      <c r="AF171" s="828"/>
    </row>
    <row r="172" spans="1:32">
      <c r="A172" s="169"/>
      <c r="B172" s="718" t="s">
        <v>1099</v>
      </c>
      <c r="C172" s="226"/>
      <c r="D172" s="261"/>
      <c r="E172" s="261"/>
      <c r="F172" s="224" t="s">
        <v>1149</v>
      </c>
      <c r="G172" s="55"/>
      <c r="H172" s="174"/>
      <c r="I172" s="174" t="str">
        <f t="shared" si="145"/>
        <v>INDAWH</v>
      </c>
      <c r="J172" s="224">
        <f t="shared" si="148"/>
        <v>2030</v>
      </c>
      <c r="K172" s="81"/>
      <c r="L172" s="333">
        <f t="shared" ca="1" si="239"/>
        <v>0.35600000000000004</v>
      </c>
      <c r="M172" s="772"/>
      <c r="N172" s="200"/>
      <c r="O172" s="725">
        <f t="shared" ca="1" si="240"/>
        <v>3.4699403462447704</v>
      </c>
      <c r="P172" s="725">
        <f t="shared" ca="1" si="241"/>
        <v>0.24287</v>
      </c>
      <c r="Q172" s="299">
        <f t="shared" ca="1" si="242"/>
        <v>3.9836805555555559</v>
      </c>
      <c r="R172" s="823"/>
      <c r="S172" s="300"/>
      <c r="T172" s="300"/>
      <c r="U172" s="300"/>
      <c r="V172" s="199">
        <f t="shared" ref="V172" ca="1" si="251">IF(IF(RIGHT(H171,2)="PH",(1-L172)+$W$2,IF(RIGHT(H171,2)="HT",(1-L172)+$W$1,IF(RIGHT(H171,2)="SH",(1-L172)+$W$3,"")))&gt;0,IF(RIGHT(H171,2)="PH",(1-L172)+$W$2,IF(RIGHT(H171,2)="HT",(1-L172)+$W$1,IF(RIGHT(H171,2)="SH",(1-L172)+$W$3,""))),0)</f>
        <v>0.84399999999999986</v>
      </c>
      <c r="W172" s="298"/>
      <c r="X172" s="698">
        <f t="shared" ca="1" si="222"/>
        <v>8</v>
      </c>
      <c r="Y172" s="299">
        <f t="shared" ca="1" si="244"/>
        <v>35</v>
      </c>
      <c r="Z172" s="299">
        <f t="shared" ca="1" si="245"/>
        <v>1.5</v>
      </c>
      <c r="AA172" s="299">
        <f t="shared" ca="1" si="246"/>
        <v>0.8</v>
      </c>
      <c r="AB172" s="299">
        <f t="shared" ca="1" si="247"/>
        <v>2.1</v>
      </c>
      <c r="AD172" s="81">
        <v>2030</v>
      </c>
      <c r="AE172" s="273"/>
      <c r="AF172" s="828"/>
    </row>
    <row r="173" spans="1:32">
      <c r="A173" s="169"/>
      <c r="B173" s="718" t="s">
        <v>1099</v>
      </c>
      <c r="C173" s="226"/>
      <c r="D173" s="261"/>
      <c r="E173" s="261"/>
      <c r="F173" s="224" t="s">
        <v>1149</v>
      </c>
      <c r="G173" s="55"/>
      <c r="H173" s="174"/>
      <c r="I173" s="174" t="str">
        <f t="shared" si="145"/>
        <v>INDAWH</v>
      </c>
      <c r="J173" s="224">
        <f t="shared" si="148"/>
        <v>2050</v>
      </c>
      <c r="K173" s="81"/>
      <c r="L173" s="333">
        <f t="shared" ca="1" si="239"/>
        <v>0.36400000000000005</v>
      </c>
      <c r="M173" s="772"/>
      <c r="N173" s="200"/>
      <c r="O173" s="725">
        <f t="shared" ca="1" si="240"/>
        <v>3.2813985758696647</v>
      </c>
      <c r="P173" s="725">
        <f t="shared" ca="1" si="241"/>
        <v>0.22797000000000001</v>
      </c>
      <c r="Q173" s="299">
        <f t="shared" ca="1" si="242"/>
        <v>4.0064444444444449</v>
      </c>
      <c r="R173" s="823"/>
      <c r="S173" s="300"/>
      <c r="T173" s="300"/>
      <c r="U173" s="300"/>
      <c r="V173" s="199">
        <f t="shared" ref="V173" ca="1" si="252">IF(IF(RIGHT(H171,2)="PH",(1-L173)+$W$2,IF(RIGHT(H171,2)="HT",(1-L173)+$W$1,IF(RIGHT(H171,2)="SH",(1-L173)+$W$3,"")))&gt;0,IF(RIGHT(H171,2)="PH",(1-L173)+$W$2,IF(RIGHT(H171,2)="HT",(1-L173)+$W$1,IF(RIGHT(H171,2)="SH",(1-L173)+$W$3,""))),0)</f>
        <v>0.83599999999999985</v>
      </c>
      <c r="W173" s="298"/>
      <c r="X173" s="698">
        <f t="shared" ca="1" si="222"/>
        <v>8</v>
      </c>
      <c r="Y173" s="299">
        <f t="shared" ca="1" si="244"/>
        <v>35</v>
      </c>
      <c r="Z173" s="299">
        <f t="shared" ca="1" si="245"/>
        <v>1.5</v>
      </c>
      <c r="AA173" s="299">
        <f t="shared" ca="1" si="246"/>
        <v>0.8</v>
      </c>
      <c r="AB173" s="299">
        <f t="shared" ca="1" si="247"/>
        <v>2.1</v>
      </c>
      <c r="AD173" s="81">
        <v>2050</v>
      </c>
      <c r="AE173" s="273"/>
      <c r="AF173" s="828"/>
    </row>
    <row r="174" spans="1:32">
      <c r="A174" s="169"/>
      <c r="B174" s="718" t="s">
        <v>1099</v>
      </c>
      <c r="C174" s="226"/>
      <c r="D174" s="261" t="str">
        <f>"IND"&amp;RIGHT(H174,4)&amp;RIGHT(G174,3)&amp;"N"&amp;RIGHT(E174,1)</f>
        <v>INDADSHCOAN1</v>
      </c>
      <c r="E174" s="261" t="str">
        <f>"Industrial heating technology "&amp;$AJ$12&amp;" "&amp;RIGHT(H174,2)&amp;" - Coal boiler (Steam) - new 1"</f>
        <v>Industrial heating technology Aluminium SH - Coal boiler (Steam) - new 1</v>
      </c>
      <c r="F174" s="224" t="s">
        <v>1149</v>
      </c>
      <c r="G174" s="55" t="s">
        <v>617</v>
      </c>
      <c r="H174" s="174" t="str">
        <f>$AI$15</f>
        <v>IADSH</v>
      </c>
      <c r="I174" s="174" t="str">
        <f t="shared" si="145"/>
        <v>INDAWH</v>
      </c>
      <c r="J174" s="224">
        <f t="shared" si="148"/>
        <v>2011</v>
      </c>
      <c r="K174" s="299">
        <v>2025</v>
      </c>
      <c r="L174" s="199">
        <f t="shared" ref="L174:L176" ca="1" si="253">VLOOKUP($AD174,INDIRECT("'"&amp;$B174&amp;"'!"&amp;"$P$39:$AD$42"),3,FALSE)</f>
        <v>0.89</v>
      </c>
      <c r="M174" s="199"/>
      <c r="N174" s="81">
        <f ca="1">VLOOKUP($AD174,INDIRECT("'"&amp;$B174&amp;"'!"&amp;"$P$39:$AD$42"),5,FALSE)</f>
        <v>25</v>
      </c>
      <c r="O174" s="725">
        <f t="shared" ca="1" si="240"/>
        <v>3.7250000000000001</v>
      </c>
      <c r="P174" s="725">
        <f t="shared" ca="1" si="241"/>
        <v>0.25106499999999998</v>
      </c>
      <c r="Q174" s="299">
        <f t="shared" ca="1" si="242"/>
        <v>3.9381527777777778</v>
      </c>
      <c r="R174" s="81">
        <v>3.1536000000000002E-2</v>
      </c>
      <c r="S174" s="199">
        <v>0.5</v>
      </c>
      <c r="T174" s="199">
        <f ca="1">HLOOKUP($T$2,INDIRECT("'"&amp;$B174&amp;"'!"&amp;"$P$6:$AC$19"),IF(H174=$AI$13,6,IF(H174=$AI$14,9,14)),FALSE)</f>
        <v>1</v>
      </c>
      <c r="U174" s="772"/>
      <c r="V174" s="199">
        <f t="shared" ref="V174" ca="1" si="254">IF(IF(RIGHT(H174,2)="PH",(1-L174)+$W$2,IF(RIGHT(H174,2)="HT",(1-L174)+$W$1,IF(RIGHT(H174,2)="SH",(1-L174)+$W$3,"")))&gt;0,IF(RIGHT(H174,2)="PH",(1-L174)+$W$2,IF(RIGHT(H174,2)="HT",(1-L174)+$W$1,IF(RIGHT(H174,2)="SH",(1-L174)+$W$3,""))),0)</f>
        <v>0.10999999999999999</v>
      </c>
      <c r="W174" s="298"/>
      <c r="X174" s="698">
        <f t="shared" ca="1" si="222"/>
        <v>8</v>
      </c>
      <c r="Y174" s="299">
        <f t="shared" ca="1" si="244"/>
        <v>35</v>
      </c>
      <c r="Z174" s="299">
        <f t="shared" ca="1" si="245"/>
        <v>1.5</v>
      </c>
      <c r="AA174" s="299">
        <f t="shared" ca="1" si="246"/>
        <v>0.8</v>
      </c>
      <c r="AB174" s="299">
        <f t="shared" ca="1" si="247"/>
        <v>2.1</v>
      </c>
      <c r="AD174" s="81">
        <v>2020</v>
      </c>
      <c r="AE174" s="273"/>
      <c r="AF174" s="828"/>
    </row>
    <row r="175" spans="1:32">
      <c r="A175" s="169"/>
      <c r="B175" s="718" t="s">
        <v>1099</v>
      </c>
      <c r="C175" s="226"/>
      <c r="D175" s="261"/>
      <c r="E175" s="261"/>
      <c r="F175" s="224" t="s">
        <v>1149</v>
      </c>
      <c r="G175" s="55"/>
      <c r="H175" s="174"/>
      <c r="I175" s="174" t="str">
        <f t="shared" si="145"/>
        <v>INDAWH</v>
      </c>
      <c r="J175" s="224">
        <f t="shared" si="148"/>
        <v>2030</v>
      </c>
      <c r="K175" s="81"/>
      <c r="L175" s="199">
        <f t="shared" ca="1" si="253"/>
        <v>0.89</v>
      </c>
      <c r="M175" s="772"/>
      <c r="N175" s="200"/>
      <c r="O175" s="725">
        <f t="shared" ca="1" si="240"/>
        <v>3.4699403462447704</v>
      </c>
      <c r="P175" s="725">
        <f t="shared" ca="1" si="241"/>
        <v>0.24287</v>
      </c>
      <c r="Q175" s="299">
        <f t="shared" ca="1" si="242"/>
        <v>3.9836805555555559</v>
      </c>
      <c r="R175" s="823"/>
      <c r="S175" s="300"/>
      <c r="T175" s="300"/>
      <c r="U175" s="300"/>
      <c r="V175" s="199">
        <f t="shared" ref="V175" ca="1" si="255">IF(IF(RIGHT(H174,2)="PH",(1-L175)+$W$2,IF(RIGHT(H174,2)="HT",(1-L175)+$W$1,IF(RIGHT(H174,2)="SH",(1-L175)+$W$3,"")))&gt;0,IF(RIGHT(H174,2)="PH",(1-L175)+$W$2,IF(RIGHT(H174,2)="HT",(1-L175)+$W$1,IF(RIGHT(H174,2)="SH",(1-L175)+$W$3,""))),0)</f>
        <v>0.10999999999999999</v>
      </c>
      <c r="W175" s="298"/>
      <c r="X175" s="698">
        <f t="shared" ca="1" si="222"/>
        <v>8</v>
      </c>
      <c r="Y175" s="299">
        <f t="shared" ca="1" si="244"/>
        <v>35</v>
      </c>
      <c r="Z175" s="299">
        <f t="shared" ca="1" si="245"/>
        <v>1.5</v>
      </c>
      <c r="AA175" s="299">
        <f t="shared" ca="1" si="246"/>
        <v>0.8</v>
      </c>
      <c r="AB175" s="299">
        <f t="shared" ca="1" si="247"/>
        <v>2.1</v>
      </c>
      <c r="AD175" s="81">
        <v>2030</v>
      </c>
      <c r="AE175" s="273"/>
      <c r="AF175" s="828"/>
    </row>
    <row r="176" spans="1:32">
      <c r="A176" s="169"/>
      <c r="B176" s="719" t="s">
        <v>1099</v>
      </c>
      <c r="C176" s="713"/>
      <c r="D176" s="701"/>
      <c r="E176" s="701"/>
      <c r="F176" s="224" t="s">
        <v>1149</v>
      </c>
      <c r="G176" s="203"/>
      <c r="H176" s="702"/>
      <c r="I176" s="702" t="str">
        <f t="shared" si="145"/>
        <v>INDAWH</v>
      </c>
      <c r="J176" s="224">
        <f t="shared" si="148"/>
        <v>2050</v>
      </c>
      <c r="K176" s="81"/>
      <c r="L176" s="199">
        <f t="shared" ca="1" si="253"/>
        <v>0.91</v>
      </c>
      <c r="M176" s="826"/>
      <c r="N176" s="825"/>
      <c r="O176" s="725">
        <f t="shared" ca="1" si="240"/>
        <v>3.2813985758696647</v>
      </c>
      <c r="P176" s="725">
        <f t="shared" ca="1" si="241"/>
        <v>0.22797000000000001</v>
      </c>
      <c r="Q176" s="299">
        <f t="shared" ca="1" si="242"/>
        <v>4.0064444444444449</v>
      </c>
      <c r="R176" s="722"/>
      <c r="S176" s="703"/>
      <c r="T176" s="703"/>
      <c r="U176" s="703"/>
      <c r="V176" s="199">
        <f t="shared" ref="V176" ca="1" si="256">IF(IF(RIGHT(H174,2)="PH",(1-L176)+$W$2,IF(RIGHT(H174,2)="HT",(1-L176)+$W$1,IF(RIGHT(H174,2)="SH",(1-L176)+$W$3,"")))&gt;0,IF(RIGHT(H174,2)="PH",(1-L176)+$W$2,IF(RIGHT(H174,2)="HT",(1-L176)+$W$1,IF(RIGHT(H174,2)="SH",(1-L176)+$W$3,""))),0)</f>
        <v>8.9999999999999969E-2</v>
      </c>
      <c r="W176" s="704"/>
      <c r="X176" s="698">
        <f t="shared" ca="1" si="222"/>
        <v>8</v>
      </c>
      <c r="Y176" s="299">
        <f t="shared" ca="1" si="244"/>
        <v>35</v>
      </c>
      <c r="Z176" s="299">
        <f t="shared" ca="1" si="245"/>
        <v>1.5</v>
      </c>
      <c r="AA176" s="299">
        <f t="shared" ca="1" si="246"/>
        <v>0.8</v>
      </c>
      <c r="AB176" s="299">
        <f t="shared" ca="1" si="247"/>
        <v>2.1</v>
      </c>
      <c r="AC176" s="203"/>
      <c r="AD176" s="81">
        <v>2050</v>
      </c>
      <c r="AE176" s="273"/>
      <c r="AF176" s="829"/>
    </row>
    <row r="177" spans="1:32">
      <c r="A177" s="169"/>
      <c r="B177" s="718" t="s">
        <v>1099</v>
      </c>
      <c r="C177" s="226"/>
      <c r="D177" s="707" t="str">
        <f>"IND"&amp;RIGHT(H177,4)&amp;RIGHT(G177,3)&amp;"N"&amp;RIGHT(E177,1)</f>
        <v>INDADPHCOAN2</v>
      </c>
      <c r="E177" s="261" t="str">
        <f>"Industrial heating technology "&amp;$AJ$12&amp;" "&amp;RIGHT(H177,2)&amp;" - Coal boiler (Hot Water) - new 2"</f>
        <v>Industrial heating technology Aluminium PH - Coal boiler (Hot Water) - new 2</v>
      </c>
      <c r="F177" s="224" t="s">
        <v>1149</v>
      </c>
      <c r="G177" s="55" t="s">
        <v>617</v>
      </c>
      <c r="H177" s="174" t="str">
        <f>$AI$14</f>
        <v>IADPH</v>
      </c>
      <c r="I177" s="174" t="str">
        <f t="shared" si="145"/>
        <v>INDAWH</v>
      </c>
      <c r="J177" s="224">
        <f t="shared" si="148"/>
        <v>2011</v>
      </c>
      <c r="K177" s="299">
        <v>2025</v>
      </c>
      <c r="L177" s="333">
        <f ca="1">VLOOKUP($AD177,INDIRECT("'"&amp;$B177&amp;"'!"&amp;"$P$118:$AD$121"),3,FALSE)*0.4</f>
        <v>0.35600000000000004</v>
      </c>
      <c r="M177" s="199"/>
      <c r="N177" s="81">
        <f ca="1">VLOOKUP($AD177,INDIRECT("'"&amp;$B177&amp;"'!"&amp;"$P$118:$AD$121"),5,FALSE)</f>
        <v>25</v>
      </c>
      <c r="O177" s="723">
        <f t="shared" ref="O177:O182" ca="1" si="257">VLOOKUP($AD177,INDIRECT("'"&amp;$B177&amp;"'!"&amp;"$P$118:$AD$121"),6,FALSE)/1000</f>
        <v>3.7250000000000001</v>
      </c>
      <c r="P177" s="723">
        <f t="shared" ref="P177:P182" ca="1" si="258">VLOOKUP($AD177,INDIRECT("'"&amp;$B177&amp;"'!"&amp;"$P$118:$AD$121"),7,FALSE)/1000</f>
        <v>0.25106499999999998</v>
      </c>
      <c r="Q177" s="81">
        <f t="shared" ref="Q177:Q182" ca="1" si="259">VLOOKUP($AD177,INDIRECT("'"&amp;$B177&amp;"'!"&amp;"$P$118:$AD$121"),8,FALSE)</f>
        <v>3.9381527777777778</v>
      </c>
      <c r="R177" s="81">
        <v>3.1536000000000002E-2</v>
      </c>
      <c r="S177" s="199">
        <v>0.5</v>
      </c>
      <c r="T177" s="199">
        <f ca="1">HLOOKUP($T$2,INDIRECT("'"&amp;$B177&amp;"'!"&amp;"$P$85:$AC$98"),IF(H177=$AI$13,6,IF(H177=$AI$14,9,14)),FALSE)</f>
        <v>0</v>
      </c>
      <c r="U177" s="773"/>
      <c r="V177" s="199">
        <f t="shared" ref="V177" ca="1" si="260">IF(IF(RIGHT(H177,2)="PH",(1-L177)+$W$2,IF(RIGHT(H177,2)="HT",(1-L177)+$W$1,IF(RIGHT(H177,2)="SH",(1-L177)+$W$3,"")))&gt;0,IF(RIGHT(H177,2)="PH",(1-L177)+$W$2,IF(RIGHT(H177,2)="HT",(1-L177)+$W$1,IF(RIGHT(H177,2)="SH",(1-L177)+$W$3,""))),0)</f>
        <v>0.84399999999999986</v>
      </c>
      <c r="W177" s="709"/>
      <c r="X177" s="698">
        <f t="shared" ca="1" si="222"/>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5"/>
        <v>INDAWH</v>
      </c>
      <c r="J178" s="224">
        <f t="shared" si="148"/>
        <v>2030</v>
      </c>
      <c r="K178" s="81"/>
      <c r="L178" s="333">
        <f ca="1">VLOOKUP($AD178,INDIRECT("'"&amp;$B178&amp;"'!"&amp;"$P$118:$AD$121"),3,FALSE)*0.4</f>
        <v>0.35600000000000004</v>
      </c>
      <c r="M178" s="772"/>
      <c r="N178" s="200"/>
      <c r="O178" s="723">
        <f t="shared" ca="1" si="257"/>
        <v>3.7250000000000001</v>
      </c>
      <c r="P178" s="723">
        <f t="shared" ca="1" si="258"/>
        <v>0.24287</v>
      </c>
      <c r="Q178" s="81">
        <f t="shared" ca="1" si="259"/>
        <v>3.9836805555555559</v>
      </c>
      <c r="R178" s="823"/>
      <c r="S178" s="300"/>
      <c r="T178" s="300"/>
      <c r="U178" s="300"/>
      <c r="V178" s="199">
        <f t="shared" ref="V178" ca="1" si="261">IF(IF(RIGHT(H177,2)="PH",(1-L178)+$W$2,IF(RIGHT(H177,2)="HT",(1-L178)+$W$1,IF(RIGHT(H177,2)="SH",(1-L178)+$W$3,"")))&gt;0,IF(RIGHT(H177,2)="PH",(1-L178)+$W$2,IF(RIGHT(H177,2)="HT",(1-L178)+$W$1,IF(RIGHT(H177,2)="SH",(1-L178)+$W$3,""))),0)</f>
        <v>0.84399999999999986</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5"/>
        <v>INDAWH</v>
      </c>
      <c r="J179" s="224">
        <f t="shared" si="148"/>
        <v>2050</v>
      </c>
      <c r="K179" s="81"/>
      <c r="L179" s="333">
        <f ca="1">VLOOKUP($AD179,INDIRECT("'"&amp;$B179&amp;"'!"&amp;"$P$118:$AD$121"),3,FALSE)*0.4</f>
        <v>0.36400000000000005</v>
      </c>
      <c r="M179" s="772"/>
      <c r="N179" s="200"/>
      <c r="O179" s="723">
        <f t="shared" ca="1" si="257"/>
        <v>3.7250000000000001</v>
      </c>
      <c r="P179" s="723">
        <f t="shared" ca="1" si="258"/>
        <v>0.22797000000000001</v>
      </c>
      <c r="Q179" s="81">
        <f t="shared" ca="1" si="259"/>
        <v>4.0064444444444449</v>
      </c>
      <c r="R179" s="823"/>
      <c r="S179" s="300"/>
      <c r="T179" s="300"/>
      <c r="U179" s="300"/>
      <c r="V179" s="199">
        <f t="shared" ref="V179" ca="1" si="262">IF(IF(RIGHT(H177,2)="PH",(1-L179)+$W$2,IF(RIGHT(H177,2)="HT",(1-L179)+$W$1,IF(RIGHT(H177,2)="SH",(1-L179)+$W$3,"")))&gt;0,IF(RIGHT(H177,2)="PH",(1-L179)+$W$2,IF(RIGHT(H177,2)="HT",(1-L179)+$W$1,IF(RIGHT(H177,2)="SH",(1-L179)+$W$3,""))),0)</f>
        <v>0.83599999999999985</v>
      </c>
      <c r="W179" s="298"/>
      <c r="X179" s="824"/>
      <c r="Y179" s="824"/>
      <c r="Z179" s="824"/>
      <c r="AA179" s="824"/>
      <c r="AB179" s="824"/>
      <c r="AD179" s="81">
        <v>2050</v>
      </c>
      <c r="AE179" s="273"/>
      <c r="AF179" s="828"/>
    </row>
    <row r="180" spans="1:32">
      <c r="A180" s="169"/>
      <c r="B180" s="718" t="s">
        <v>1099</v>
      </c>
      <c r="C180" s="226"/>
      <c r="D180" s="261" t="str">
        <f>"IND"&amp;RIGHT(H180,4)&amp;RIGHT(G180,3)&amp;"N"&amp;RIGHT(E180,1)</f>
        <v>INDADSHCOAN2</v>
      </c>
      <c r="E180" s="261" t="str">
        <f>"Industrial heating technology "&amp;$AJ$12&amp;" "&amp;RIGHT(H180,2)&amp;" - Coal boiler (Hot Water) - new 2"</f>
        <v>Industrial heating technology Aluminium SH - Coal boiler (Hot Water) - new 2</v>
      </c>
      <c r="F180" s="224" t="s">
        <v>1149</v>
      </c>
      <c r="G180" s="55" t="s">
        <v>617</v>
      </c>
      <c r="H180" s="174" t="str">
        <f>$AI$15</f>
        <v>IADSH</v>
      </c>
      <c r="I180" s="174" t="str">
        <f t="shared" si="145"/>
        <v>INDAWH</v>
      </c>
      <c r="J180" s="224">
        <f t="shared" si="148"/>
        <v>2011</v>
      </c>
      <c r="K180" s="299">
        <v>2025</v>
      </c>
      <c r="L180" s="199">
        <f t="shared" ref="L180:L182" ca="1" si="263">VLOOKUP($AD180,INDIRECT("'"&amp;$B180&amp;"'!"&amp;"$P$118:$AD$121"),3,FALSE)</f>
        <v>0.89</v>
      </c>
      <c r="M180" s="199"/>
      <c r="N180" s="81">
        <f ca="1">VLOOKUP($AD180,INDIRECT("'"&amp;$B180&amp;"'!"&amp;"$P$118:$AD$121"),5,FALSE)</f>
        <v>25</v>
      </c>
      <c r="O180" s="723">
        <f t="shared" ca="1" si="257"/>
        <v>3.7250000000000001</v>
      </c>
      <c r="P180" s="723">
        <f t="shared" ca="1" si="258"/>
        <v>0.25106499999999998</v>
      </c>
      <c r="Q180" s="81">
        <f t="shared" ca="1" si="259"/>
        <v>3.9381527777777778</v>
      </c>
      <c r="R180" s="81">
        <v>3.1536000000000002E-2</v>
      </c>
      <c r="S180" s="199">
        <v>0.5</v>
      </c>
      <c r="T180" s="199">
        <f ca="1">HLOOKUP($T$2,INDIRECT("'"&amp;$B180&amp;"'!"&amp;"$P$85:$AC$98"),IF(H180=$AI$13,6,IF(H180=$AI$14,9,14)),FALSE)</f>
        <v>1</v>
      </c>
      <c r="U180" s="773"/>
      <c r="V180" s="199">
        <f t="shared" ref="V180" ca="1" si="264">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5"/>
        <v>INDAWH</v>
      </c>
      <c r="J181" s="224">
        <f t="shared" si="148"/>
        <v>2030</v>
      </c>
      <c r="K181" s="200"/>
      <c r="L181" s="199">
        <f t="shared" ca="1" si="263"/>
        <v>0.89</v>
      </c>
      <c r="M181" s="772"/>
      <c r="N181" s="200"/>
      <c r="O181" s="723">
        <f t="shared" ca="1" si="257"/>
        <v>3.7250000000000001</v>
      </c>
      <c r="P181" s="723">
        <f t="shared" ca="1" si="258"/>
        <v>0.24287</v>
      </c>
      <c r="Q181" s="81">
        <f t="shared" ca="1" si="259"/>
        <v>3.9836805555555559</v>
      </c>
      <c r="R181" s="823"/>
      <c r="S181" s="300"/>
      <c r="T181" s="300"/>
      <c r="U181" s="300"/>
      <c r="V181" s="199">
        <f t="shared" ref="V181" ca="1" si="265">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5"/>
        <v>INDAWH</v>
      </c>
      <c r="J182" s="224">
        <f t="shared" si="148"/>
        <v>2050</v>
      </c>
      <c r="K182" s="825"/>
      <c r="L182" s="199">
        <f t="shared" ca="1" si="263"/>
        <v>0.91</v>
      </c>
      <c r="M182" s="826"/>
      <c r="N182" s="825"/>
      <c r="O182" s="723">
        <f t="shared" ca="1" si="257"/>
        <v>3.7250000000000001</v>
      </c>
      <c r="P182" s="723">
        <f t="shared" ca="1" si="258"/>
        <v>0.22797000000000001</v>
      </c>
      <c r="Q182" s="81">
        <f t="shared" ca="1" si="259"/>
        <v>4.0064444444444449</v>
      </c>
      <c r="R182" s="722"/>
      <c r="S182" s="703"/>
      <c r="T182" s="703"/>
      <c r="U182" s="703"/>
      <c r="V182" s="199">
        <f t="shared" ref="V182" ca="1" si="266">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INDADSHSOLN1</v>
      </c>
      <c r="E183" s="261" t="str">
        <f>"Industrial heating technology "&amp;$AJ$12&amp;" "&amp;RIGHT(H183,2)&amp;" - Solar - new 1"</f>
        <v>Industrial heating technology Aluminium SH - Solar - new 1</v>
      </c>
      <c r="F183" s="224" t="s">
        <v>1149</v>
      </c>
      <c r="G183" s="55" t="s">
        <v>500</v>
      </c>
      <c r="H183" s="174" t="str">
        <f>$AI$15</f>
        <v>IADSH</v>
      </c>
      <c r="I183" s="174"/>
      <c r="J183" s="224">
        <f t="shared" si="148"/>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8"/>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8"/>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8"/>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7">"IND"&amp;RIGHT(H187,4)&amp;RIGHT(G187,3)&amp;"N"&amp;RIGHT(E187,1)</f>
        <v>INDADSHHCEN1</v>
      </c>
      <c r="E187" s="224" t="str">
        <f>"Industrial heating technology "&amp;$AJ$12&amp;" "&amp;RIGHT(H187,2)&amp;" - central district heating - within DH area - new 1"</f>
        <v>Industrial heating technology Aluminium SH - central district heating - within DH area - new 1</v>
      </c>
      <c r="F187" s="224" t="s">
        <v>1149</v>
      </c>
      <c r="G187" s="225" t="s">
        <v>501</v>
      </c>
      <c r="H187" s="225" t="str">
        <f>AI15</f>
        <v>IADSH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7"/>
        <v>INDADPHHCEN1</v>
      </c>
      <c r="E188" s="224" t="str">
        <f>"Industrial heating technology "&amp;$AJ$12&amp;" "&amp;RIGHT(H188,2)&amp;" - central district heating - within DH area - new 1"</f>
        <v>Industrial heating technology Aluminium PH - central district heating - within DH area - new 1</v>
      </c>
      <c r="F188" s="224" t="s">
        <v>1149</v>
      </c>
      <c r="G188" s="225" t="s">
        <v>501</v>
      </c>
      <c r="H188" s="281" t="str">
        <f>AI14</f>
        <v>IADPH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v>
      </c>
      <c r="U188" s="228"/>
      <c r="V188" s="228"/>
      <c r="W188" s="287"/>
      <c r="X188" s="278"/>
      <c r="Y188" s="61"/>
      <c r="Z188" s="61"/>
      <c r="AA188" s="61"/>
      <c r="AB188" s="61"/>
      <c r="AC188" s="226"/>
      <c r="AD188" s="226"/>
      <c r="AE188" s="226"/>
      <c r="AF188" s="226"/>
    </row>
    <row r="189" spans="1:32">
      <c r="A189" s="169"/>
      <c r="D189" s="212" t="str">
        <f t="shared" si="267"/>
        <v>INDADSHHSEN1</v>
      </c>
      <c r="E189" s="224" t="str">
        <f>"Industrial heating technology "&amp;$AJ$12&amp;" "&amp;RIGHT(H189,2)&amp;" - central district heating - within DH area - new 1"</f>
        <v>Industrial heating technology Aluminium SH - central district heating - within DH area - new 1</v>
      </c>
      <c r="F189" s="224" t="s">
        <v>1149</v>
      </c>
      <c r="G189" s="225" t="s">
        <v>2124</v>
      </c>
      <c r="H189" s="225" t="str">
        <f>H187</f>
        <v>IADSH</v>
      </c>
      <c r="I189" s="225"/>
      <c r="J189" s="81">
        <f t="shared" ref="J189:L190" si="268">J187</f>
        <v>2011</v>
      </c>
      <c r="K189" s="81">
        <f t="shared" si="268"/>
        <v>2025</v>
      </c>
      <c r="L189" s="81">
        <f t="shared" si="268"/>
        <v>0.96</v>
      </c>
      <c r="M189" s="81"/>
      <c r="N189" s="81">
        <f t="shared" ref="N189:S190" si="269">N187</f>
        <v>30</v>
      </c>
      <c r="O189" s="81">
        <f t="shared" si="269"/>
        <v>1.17</v>
      </c>
      <c r="P189" s="81">
        <f t="shared" si="269"/>
        <v>5.8735799999999998E-2</v>
      </c>
      <c r="Q189" s="81">
        <f t="shared" ca="1" si="269"/>
        <v>1.9463124999999999</v>
      </c>
      <c r="R189" s="81">
        <f t="shared" si="269"/>
        <v>3.1536000000000002E-2</v>
      </c>
      <c r="S189" s="81">
        <f t="shared" si="269"/>
        <v>0.5</v>
      </c>
      <c r="T189" s="228"/>
      <c r="U189" s="228"/>
      <c r="V189" s="228"/>
      <c r="W189" s="287"/>
      <c r="X189" s="278"/>
      <c r="Y189" s="61"/>
      <c r="Z189" s="61"/>
      <c r="AA189" s="61"/>
      <c r="AB189" s="61"/>
    </row>
    <row r="190" spans="1:32">
      <c r="A190" s="169"/>
      <c r="D190" s="212" t="str">
        <f t="shared" si="267"/>
        <v>INDADPHHSEN1</v>
      </c>
      <c r="E190" s="224" t="str">
        <f>"Industrial heating technology "&amp;$AJ$12&amp;" "&amp;RIGHT(H190,2)&amp;" - central district heating - within DH area - new 1"</f>
        <v>Industrial heating technology Aluminium PH - central district heating - within DH area - new 1</v>
      </c>
      <c r="F190" s="224" t="s">
        <v>1149</v>
      </c>
      <c r="G190" s="225" t="s">
        <v>2124</v>
      </c>
      <c r="H190" s="225" t="str">
        <f>H188</f>
        <v>IADPH</v>
      </c>
      <c r="I190" s="281"/>
      <c r="J190" s="81">
        <f t="shared" si="268"/>
        <v>2011</v>
      </c>
      <c r="K190" s="81">
        <f t="shared" si="268"/>
        <v>2025</v>
      </c>
      <c r="L190" s="81">
        <f t="shared" si="268"/>
        <v>0.96</v>
      </c>
      <c r="M190" s="81"/>
      <c r="N190" s="81">
        <f t="shared" si="269"/>
        <v>30</v>
      </c>
      <c r="O190" s="81">
        <f t="shared" si="269"/>
        <v>1.17</v>
      </c>
      <c r="P190" s="81">
        <f t="shared" si="269"/>
        <v>5.8735799999999998E-2</v>
      </c>
      <c r="Q190" s="81">
        <f t="shared" ca="1" si="269"/>
        <v>6.4090694444444436</v>
      </c>
      <c r="R190" s="81">
        <f t="shared" si="269"/>
        <v>3.1536000000000002E-2</v>
      </c>
      <c r="S190" s="81">
        <f t="shared" si="269"/>
        <v>0.5</v>
      </c>
      <c r="T190" s="81">
        <v>0</v>
      </c>
      <c r="U190" s="228"/>
      <c r="V190" s="228"/>
      <c r="W190" s="287"/>
      <c r="X190" s="278"/>
      <c r="Y190" s="61"/>
      <c r="Z190" s="61"/>
      <c r="AA190" s="61"/>
      <c r="AB190" s="61"/>
      <c r="AC190" s="226"/>
      <c r="AD190" s="226"/>
      <c r="AE190" s="226"/>
      <c r="AF190" s="226"/>
    </row>
    <row r="191" spans="1:32">
      <c r="A191" s="169"/>
      <c r="D191" s="212" t="str">
        <f t="shared" si="267"/>
        <v>INDADSHHDEN1</v>
      </c>
      <c r="E191" s="224" t="str">
        <f>"Industrial heating technology "&amp;$AJ$12&amp;" "&amp;RIGHT(H191,2)&amp;" - decentral district heating - within DH area - new 1"</f>
        <v>Industrial heating technology Aluminium SH - decentral district heating - within DH area - new 1</v>
      </c>
      <c r="F191" s="224" t="s">
        <v>1149</v>
      </c>
      <c r="G191" s="259" t="s">
        <v>502</v>
      </c>
      <c r="H191" s="265" t="str">
        <f>AI15</f>
        <v>IADSH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7"/>
        <v>INDADPHHDEN1</v>
      </c>
      <c r="E192" s="224" t="str">
        <f>"Industrial heating technology "&amp;$AJ$12&amp;" "&amp;RIGHT(H192,2)&amp;" - decentral district heating - within DH area - new 1"</f>
        <v>Industrial heating technology Aluminium PH - decentral district heating - within DH area - new 1</v>
      </c>
      <c r="F192" s="224" t="s">
        <v>1149</v>
      </c>
      <c r="G192" s="259" t="s">
        <v>502</v>
      </c>
      <c r="H192" s="225" t="str">
        <f>AI14</f>
        <v>IADPH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INDADLAELCN1</v>
      </c>
      <c r="E194" s="224" t="str">
        <f>"Industry "&amp;$AJ$12&amp;" "&amp;RIGHT(H194,2)&amp;" Electricity Light Appliance - New 1"</f>
        <v>Industry Aluminium LA Electricity Light Appliance - New 1</v>
      </c>
      <c r="F194" s="224" t="s">
        <v>1149</v>
      </c>
      <c r="G194" s="225" t="s">
        <v>499</v>
      </c>
      <c r="H194" s="225" t="str">
        <f>AI16</f>
        <v>IADLA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INDADEMELCN1</v>
      </c>
      <c r="E198" s="224" t="str">
        <f>"Industry "&amp;$AJ$12&amp;" "&amp;RIGHT(H198,2)&amp;" Electricity Motors - New 1"</f>
        <v>Industry Aluminium EM Electricity Motors - New 1</v>
      </c>
      <c r="F198" s="224" t="s">
        <v>1149</v>
      </c>
      <c r="G198" s="225" t="s">
        <v>499</v>
      </c>
      <c r="H198" s="225" t="str">
        <f>AI17</f>
        <v>IADEM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INDADTFDSLN1</v>
      </c>
      <c r="E202" s="224" t="str">
        <f>"Industry "&amp;$AJ$12&amp;" "&amp;RIGHT(H202,2)&amp;" Tractors, Trucks, Fishing boats - New 1"</f>
        <v>Industry Aluminium TF Tractors, Trucks, Fishing boats - New 1</v>
      </c>
      <c r="F202" s="224" t="s">
        <v>1149</v>
      </c>
      <c r="G202" s="173" t="s">
        <v>2081</v>
      </c>
      <c r="H202" s="174" t="str">
        <f>$AI$18</f>
        <v>IADTF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INDADTFH2GN2</v>
      </c>
      <c r="E206" s="224" t="str">
        <f>"Industry "&amp;$AJ$12&amp;" "&amp;RIGHT(H206,2)&amp;" Tractors, Trucks, Fishing boats - New 2"</f>
        <v>Industry Aluminium TF Tractors, Trucks, Fishing boats - New 2</v>
      </c>
      <c r="F206" s="224" t="s">
        <v>1149</v>
      </c>
      <c r="G206" s="55" t="s">
        <v>2077</v>
      </c>
      <c r="H206" s="174" t="str">
        <f>$AI$18</f>
        <v>IADTF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INDADTFELCN3</v>
      </c>
      <c r="E210" s="224" t="str">
        <f>"Industry "&amp;$AJ$12&amp;" "&amp;RIGHT(H210,2)&amp;" Tractors, Trucks, Fishing boats - New 3"</f>
        <v>Industry Aluminium TF Tractors, Trucks, Fishing boats - New 3</v>
      </c>
      <c r="F210" s="224" t="s">
        <v>1149</v>
      </c>
      <c r="G210" s="55" t="s">
        <v>499</v>
      </c>
      <c r="H210" s="174" t="str">
        <f>$AI$18</f>
        <v>IADTF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INDADFLSYNN1</v>
      </c>
      <c r="E214" s="224" t="str">
        <f>"Industry "&amp;$AJ$12&amp;" "&amp;RIGHT(H202,2)&amp;" Forklifts - New 1"</f>
        <v>Industry Aluminium TF Forklifts - New 1</v>
      </c>
      <c r="F214" s="224" t="s">
        <v>1149</v>
      </c>
      <c r="G214" s="173" t="s">
        <v>2082</v>
      </c>
      <c r="H214" s="224" t="str">
        <f>AI19</f>
        <v>IADFL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INDADCOELCN1</v>
      </c>
      <c r="E218" s="224" t="str">
        <f>"Industry "&amp;$AJ$12&amp;" "&amp;RIGHT(H218,2)&amp;" Cooling - New 1"</f>
        <v>Industry Aluminium CO Cooling - New 1</v>
      </c>
      <c r="F218" s="224" t="s">
        <v>1149</v>
      </c>
      <c r="G218" s="173" t="s">
        <v>499</v>
      </c>
      <c r="H218" s="224" t="str">
        <f>AI21</f>
        <v>IADCO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INDADPHELCN1</v>
      </c>
      <c r="E229" s="212" t="str">
        <f t="shared" ref="E229:E260" si="270">VLOOKUP(D229,$D$9:$E$222,2,FALSE)</f>
        <v>Industrial heating technology Aluminium PH - Heat pump utilizing waste heat - new 1</v>
      </c>
      <c r="F229" s="211" t="s">
        <v>450</v>
      </c>
      <c r="G229" s="211" t="s">
        <v>449</v>
      </c>
      <c r="H229" s="263" t="s">
        <v>620</v>
      </c>
      <c r="I229" s="301"/>
      <c r="J229" s="208" t="s">
        <v>469</v>
      </c>
    </row>
    <row r="230" spans="1:10">
      <c r="A230" s="169"/>
      <c r="B230" s="301"/>
      <c r="C230" s="301"/>
      <c r="D230" s="212" t="str">
        <f t="shared" ref="D230:D238" ca="1" si="271">OFFSET($D$9,(ROW(D1)*6),0)</f>
        <v>INDADSHELCN1</v>
      </c>
      <c r="E230" s="212" t="str">
        <f t="shared" ca="1" si="270"/>
        <v>Industrial heating technology Aluminium SH - Heat pump utilizing waste heat - new 1</v>
      </c>
      <c r="F230" s="262" t="s">
        <v>450</v>
      </c>
      <c r="G230" s="262" t="s">
        <v>449</v>
      </c>
      <c r="H230" s="263" t="s">
        <v>620</v>
      </c>
      <c r="I230" s="301"/>
      <c r="J230" s="264" t="s">
        <v>469</v>
      </c>
    </row>
    <row r="231" spans="1:10">
      <c r="A231" s="169"/>
      <c r="D231" s="212" t="str">
        <f t="shared" ca="1" si="271"/>
        <v>INDADPHELCN2</v>
      </c>
      <c r="E231" s="212" t="str">
        <f t="shared" ca="1" si="270"/>
        <v>Industrial heating technology Aluminium PH - Heat driven heat pump utilizing waste heat - new 2</v>
      </c>
      <c r="F231" s="211" t="s">
        <v>450</v>
      </c>
      <c r="G231" s="211" t="s">
        <v>449</v>
      </c>
      <c r="H231" s="263" t="s">
        <v>620</v>
      </c>
      <c r="I231" s="208"/>
      <c r="J231" s="264" t="s">
        <v>469</v>
      </c>
    </row>
    <row r="232" spans="1:10">
      <c r="A232" s="169"/>
      <c r="B232" s="211"/>
      <c r="C232" s="211"/>
      <c r="D232" s="212" t="str">
        <f t="shared" ca="1" si="271"/>
        <v>INDADSHELCN2</v>
      </c>
      <c r="E232" s="212" t="str">
        <f t="shared" ca="1" si="270"/>
        <v>Industrial heating technology Aluminium SH - Heat driven heat pump utilizing waste heat - new 2</v>
      </c>
      <c r="F232" s="262" t="s">
        <v>450</v>
      </c>
      <c r="G232" s="262" t="s">
        <v>449</v>
      </c>
      <c r="H232" s="263" t="s">
        <v>620</v>
      </c>
      <c r="I232" s="264"/>
      <c r="J232" s="264" t="s">
        <v>469</v>
      </c>
    </row>
    <row r="233" spans="1:10">
      <c r="A233" s="169"/>
      <c r="B233" s="211"/>
      <c r="C233" s="211"/>
      <c r="D233" s="212" t="str">
        <f t="shared" ca="1" si="271"/>
        <v>INDADPHELCN3</v>
      </c>
      <c r="E233" s="212" t="str">
        <f t="shared" ca="1" si="270"/>
        <v>Industrial heating technology Aluminium PH - High Temp abs. Heat pump utilizing waste heat - new 3</v>
      </c>
      <c r="F233" s="262" t="s">
        <v>450</v>
      </c>
      <c r="G233" s="262" t="s">
        <v>449</v>
      </c>
      <c r="H233" s="263" t="s">
        <v>620</v>
      </c>
      <c r="I233" s="264"/>
      <c r="J233" s="264" t="s">
        <v>469</v>
      </c>
    </row>
    <row r="234" spans="1:10">
      <c r="A234" s="169"/>
      <c r="B234" s="211"/>
      <c r="C234" s="211"/>
      <c r="D234" s="212" t="str">
        <f t="shared" ca="1" si="271"/>
        <v>INDADSHELCN3</v>
      </c>
      <c r="E234" s="212" t="str">
        <f t="shared" ca="1" si="270"/>
        <v>Industrial heating technology Aluminium SH - High Temp abs. Heat pump utilizing waste heat - new 3</v>
      </c>
      <c r="F234" s="262" t="s">
        <v>450</v>
      </c>
      <c r="G234" s="262" t="s">
        <v>449</v>
      </c>
      <c r="H234" s="263" t="s">
        <v>620</v>
      </c>
      <c r="I234" s="264"/>
      <c r="J234" s="264" t="s">
        <v>469</v>
      </c>
    </row>
    <row r="235" spans="1:10">
      <c r="A235" s="169"/>
      <c r="B235" s="211"/>
      <c r="C235" s="211"/>
      <c r="D235" s="212" t="str">
        <f t="shared" ca="1" si="271"/>
        <v>INDADPHELCN4</v>
      </c>
      <c r="E235" s="212" t="str">
        <f t="shared" ca="1" si="270"/>
        <v>Industrial heating technology Aluminium PH - Booster Heat pump utilizing waste heat - new 4</v>
      </c>
      <c r="F235" s="262" t="s">
        <v>450</v>
      </c>
      <c r="G235" s="262" t="s">
        <v>449</v>
      </c>
      <c r="H235" s="263" t="s">
        <v>620</v>
      </c>
      <c r="I235" s="264"/>
      <c r="J235" s="264" t="s">
        <v>469</v>
      </c>
    </row>
    <row r="236" spans="1:10">
      <c r="A236" s="169"/>
      <c r="B236" s="211"/>
      <c r="C236" s="211"/>
      <c r="D236" s="212" t="str">
        <f t="shared" ca="1" si="271"/>
        <v>INDADSHELCN4</v>
      </c>
      <c r="E236" s="212" t="str">
        <f t="shared" ca="1" si="270"/>
        <v>Industrial heating technology Aluminium SH - Booster Heat pump utilizing waste heat - new 4</v>
      </c>
      <c r="F236" s="262" t="s">
        <v>450</v>
      </c>
      <c r="G236" s="262" t="s">
        <v>449</v>
      </c>
      <c r="H236" s="263" t="s">
        <v>620</v>
      </c>
      <c r="I236" s="264"/>
      <c r="J236" s="264" t="s">
        <v>469</v>
      </c>
    </row>
    <row r="237" spans="1:10">
      <c r="A237" s="169"/>
      <c r="B237" s="211"/>
      <c r="C237" s="211"/>
      <c r="D237" s="212" t="str">
        <f t="shared" ca="1" si="271"/>
        <v>INDADPHELCN5</v>
      </c>
      <c r="E237" s="212" t="str">
        <f t="shared" ca="1" si="270"/>
        <v>Industrial heating technology Aluminium PH - MVR utilizing waste heat - new 5</v>
      </c>
      <c r="F237" s="262" t="s">
        <v>450</v>
      </c>
      <c r="G237" s="262" t="s">
        <v>449</v>
      </c>
      <c r="H237" s="263"/>
      <c r="I237" s="264"/>
      <c r="J237" s="264" t="s">
        <v>469</v>
      </c>
    </row>
    <row r="238" spans="1:10">
      <c r="A238" s="169"/>
      <c r="B238" s="211"/>
      <c r="C238" s="211"/>
      <c r="D238" s="212" t="str">
        <f t="shared" ca="1" si="271"/>
        <v>INDADPHWSTN1</v>
      </c>
      <c r="E238" s="212" t="str">
        <f t="shared" ca="1" si="270"/>
        <v>Industrial heating technology Aluminium PH - Hotdisc - new 1</v>
      </c>
      <c r="F238" s="262" t="s">
        <v>450</v>
      </c>
      <c r="G238" s="262" t="s">
        <v>449</v>
      </c>
      <c r="H238" s="263" t="s">
        <v>620</v>
      </c>
      <c r="I238" s="264"/>
      <c r="J238" s="264" t="s">
        <v>469</v>
      </c>
    </row>
    <row r="239" spans="1:10">
      <c r="A239" s="169"/>
      <c r="B239" s="211"/>
      <c r="C239" s="211"/>
      <c r="D239" s="212" t="str">
        <f t="shared" ref="D239:D278" ca="1" si="272">OFFSET($D$9,(ROW(D19)*3),0)</f>
        <v>INDADPHELCN6</v>
      </c>
      <c r="E239" s="212" t="str">
        <f t="shared" ca="1" si="270"/>
        <v>Industrial heating technology Aluminium PH - Dielectric heating - new 6</v>
      </c>
      <c r="F239" s="262" t="s">
        <v>450</v>
      </c>
      <c r="G239" s="262" t="s">
        <v>449</v>
      </c>
      <c r="H239" s="263" t="s">
        <v>620</v>
      </c>
      <c r="I239" s="264"/>
      <c r="J239" s="264" t="s">
        <v>469</v>
      </c>
    </row>
    <row r="240" spans="1:10">
      <c r="A240" s="169"/>
      <c r="B240" s="211"/>
      <c r="C240" s="211"/>
      <c r="D240" s="212" t="str">
        <f t="shared" ca="1" si="272"/>
        <v>INDADPHELCN7</v>
      </c>
      <c r="E240" s="212" t="str">
        <f t="shared" ca="1" si="270"/>
        <v>Industrial heating technology Aluminium PH - Infrared heating - new 7</v>
      </c>
      <c r="F240" s="262" t="s">
        <v>450</v>
      </c>
      <c r="G240" s="262" t="s">
        <v>449</v>
      </c>
      <c r="H240" s="263" t="s">
        <v>620</v>
      </c>
      <c r="I240" s="264"/>
      <c r="J240" s="264" t="s">
        <v>469</v>
      </c>
    </row>
    <row r="241" spans="1:16">
      <c r="A241" s="169"/>
      <c r="B241" s="211"/>
      <c r="C241" s="211"/>
      <c r="D241" s="212" t="str">
        <f t="shared" ca="1" si="272"/>
        <v>INDADPHELCN8</v>
      </c>
      <c r="E241" s="212" t="str">
        <f t="shared" ca="1" si="270"/>
        <v>Industrial heating technology Aluminium PH - Electric boiler (Steam) - new 8</v>
      </c>
      <c r="F241" s="262" t="s">
        <v>450</v>
      </c>
      <c r="G241" s="262" t="s">
        <v>449</v>
      </c>
      <c r="H241" s="263" t="s">
        <v>620</v>
      </c>
      <c r="I241" s="264"/>
      <c r="J241" s="264" t="s">
        <v>469</v>
      </c>
    </row>
    <row r="242" spans="1:16">
      <c r="A242" s="169"/>
      <c r="B242" s="211"/>
      <c r="C242" s="211"/>
      <c r="D242" s="212" t="str">
        <f t="shared" ca="1" si="272"/>
        <v>INDADPHELCN8</v>
      </c>
      <c r="E242" s="212" t="str">
        <f t="shared" ca="1" si="270"/>
        <v>Industrial heating technology Aluminium PH - Electric boiler (Steam) - new 8</v>
      </c>
      <c r="F242" s="262" t="s">
        <v>450</v>
      </c>
      <c r="G242" s="262" t="s">
        <v>449</v>
      </c>
      <c r="H242" s="263" t="s">
        <v>620</v>
      </c>
      <c r="I242" s="264"/>
      <c r="J242" s="264" t="s">
        <v>469</v>
      </c>
    </row>
    <row r="243" spans="1:16">
      <c r="A243" s="169"/>
      <c r="B243" s="211"/>
      <c r="C243" s="211"/>
      <c r="D243" s="212" t="str">
        <f t="shared" ca="1" si="272"/>
        <v>INDADSHELCN8</v>
      </c>
      <c r="E243" s="212" t="str">
        <f t="shared" ca="1" si="270"/>
        <v>Industrial heating technology Aluminium SH - Electric boiler (Steam) - new 8</v>
      </c>
      <c r="F243" s="262" t="s">
        <v>450</v>
      </c>
      <c r="G243" s="262" t="s">
        <v>449</v>
      </c>
      <c r="H243" s="263" t="s">
        <v>620</v>
      </c>
      <c r="I243" s="264"/>
      <c r="J243" s="264" t="s">
        <v>469</v>
      </c>
      <c r="P243" s="173"/>
    </row>
    <row r="244" spans="1:16">
      <c r="A244" s="169"/>
      <c r="B244" s="211"/>
      <c r="C244" s="211"/>
      <c r="D244" s="212" t="str">
        <f t="shared" ca="1" si="272"/>
        <v>INDADPHELCN9</v>
      </c>
      <c r="E244" s="212" t="str">
        <f t="shared" ca="1" si="270"/>
        <v>Industrial heating technology Aluminium PH - Electric boiler (Hot Water) - new 9</v>
      </c>
      <c r="F244" s="262" t="s">
        <v>450</v>
      </c>
      <c r="G244" s="262" t="s">
        <v>449</v>
      </c>
      <c r="H244" s="263" t="s">
        <v>620</v>
      </c>
      <c r="I244" s="264"/>
      <c r="J244" s="264" t="s">
        <v>469</v>
      </c>
      <c r="P244" s="173"/>
    </row>
    <row r="245" spans="1:16">
      <c r="A245" s="169"/>
      <c r="B245" s="211"/>
      <c r="C245" s="211"/>
      <c r="D245" s="212" t="str">
        <f t="shared" ca="1" si="272"/>
        <v>INDADSHELCN9</v>
      </c>
      <c r="E245" s="212" t="str">
        <f t="shared" ca="1" si="270"/>
        <v>Industrial heating technology Aluminium SH - Electric boiler (Hot Water) - new 9</v>
      </c>
      <c r="F245" s="262" t="s">
        <v>450</v>
      </c>
      <c r="G245" s="262" t="s">
        <v>449</v>
      </c>
      <c r="H245" s="263" t="s">
        <v>620</v>
      </c>
      <c r="I245" s="264"/>
      <c r="J245" s="264" t="s">
        <v>469</v>
      </c>
      <c r="P245" s="173"/>
    </row>
    <row r="246" spans="1:16">
      <c r="A246" s="169"/>
      <c r="B246" s="211"/>
      <c r="C246" s="211"/>
      <c r="D246" s="212" t="str">
        <f t="shared" ca="1" si="272"/>
        <v>INDADPHWCHN1</v>
      </c>
      <c r="E246" s="212" t="str">
        <f t="shared" ca="1" si="270"/>
        <v>Industrial heating technology Aluminium PH - Wood chip boiler (Steam) - new 1</v>
      </c>
      <c r="F246" s="262" t="s">
        <v>450</v>
      </c>
      <c r="G246" s="262" t="s">
        <v>449</v>
      </c>
      <c r="H246" s="263"/>
      <c r="I246" s="264"/>
      <c r="J246" s="264" t="s">
        <v>469</v>
      </c>
      <c r="P246" s="173"/>
    </row>
    <row r="247" spans="1:16">
      <c r="A247" s="169"/>
      <c r="B247" s="211"/>
      <c r="C247" s="211"/>
      <c r="D247" s="212" t="str">
        <f t="shared" ca="1" si="272"/>
        <v>INDADPHWCHN1</v>
      </c>
      <c r="E247" s="212" t="str">
        <f t="shared" ca="1" si="270"/>
        <v>Industrial heating technology Aluminium PH - Wood chip boiler (Steam) - new 1</v>
      </c>
      <c r="F247" s="262" t="s">
        <v>450</v>
      </c>
      <c r="G247" s="262" t="s">
        <v>449</v>
      </c>
      <c r="H247" s="263"/>
      <c r="I247" s="264"/>
      <c r="J247" s="264" t="s">
        <v>469</v>
      </c>
      <c r="M247" s="171"/>
      <c r="N247" s="171"/>
      <c r="P247" s="173"/>
    </row>
    <row r="248" spans="1:16">
      <c r="A248" s="169"/>
      <c r="B248" s="211"/>
      <c r="C248" s="211"/>
      <c r="D248" s="212" t="str">
        <f t="shared" ca="1" si="272"/>
        <v>INDADSHWCHN1</v>
      </c>
      <c r="E248" s="212" t="str">
        <f t="shared" ca="1" si="270"/>
        <v>Industrial heating technology Aluminium SH - Wood chip boiler (Steam) - new 1</v>
      </c>
      <c r="F248" s="262" t="s">
        <v>450</v>
      </c>
      <c r="G248" s="262" t="s">
        <v>449</v>
      </c>
      <c r="H248" s="263"/>
      <c r="I248" s="264"/>
      <c r="J248" s="264" t="s">
        <v>469</v>
      </c>
      <c r="M248" s="171"/>
      <c r="N248" s="171"/>
      <c r="P248" s="173"/>
    </row>
    <row r="249" spans="1:16">
      <c r="A249" s="169"/>
      <c r="B249" s="211"/>
      <c r="C249" s="211"/>
      <c r="D249" s="212" t="str">
        <f t="shared" ca="1" si="272"/>
        <v>INDADPHWCHN2</v>
      </c>
      <c r="E249" s="212" t="str">
        <f t="shared" ca="1" si="270"/>
        <v>Industrial heating technology Aluminium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72"/>
        <v>INDADSHWCHN2</v>
      </c>
      <c r="E250" s="212" t="str">
        <f t="shared" ca="1" si="270"/>
        <v>Industrial heating technology Aluminium SH - Wood chip boiler (Steam - condensing) - new 2</v>
      </c>
      <c r="F250" s="262" t="s">
        <v>450</v>
      </c>
      <c r="G250" s="262" t="s">
        <v>449</v>
      </c>
      <c r="H250" s="263"/>
      <c r="I250" s="264"/>
      <c r="J250" s="264" t="s">
        <v>469</v>
      </c>
    </row>
    <row r="251" spans="1:16">
      <c r="A251" s="169"/>
      <c r="B251" s="212"/>
      <c r="C251" s="212"/>
      <c r="D251" s="212" t="str">
        <f t="shared" ca="1" si="272"/>
        <v>INDADPHWCHN3</v>
      </c>
      <c r="E251" s="212" t="str">
        <f t="shared" ca="1" si="270"/>
        <v>Industrial heating technology Aluminium PH - Wood chip boiler (Hot Water) - new 3</v>
      </c>
      <c r="F251" s="262" t="s">
        <v>450</v>
      </c>
      <c r="G251" s="262" t="s">
        <v>449</v>
      </c>
      <c r="H251" s="261"/>
      <c r="I251" s="261"/>
      <c r="J251" s="264" t="s">
        <v>469</v>
      </c>
    </row>
    <row r="252" spans="1:16">
      <c r="A252" s="169"/>
      <c r="B252" s="212"/>
      <c r="C252" s="212"/>
      <c r="D252" s="212" t="str">
        <f t="shared" ca="1" si="272"/>
        <v>INDADSHWCHN3</v>
      </c>
      <c r="E252" s="212" t="str">
        <f t="shared" ca="1" si="270"/>
        <v>Industrial heating technology Aluminium SH - Wood chip boiler (Hot Water) - new 3</v>
      </c>
      <c r="F252" s="262" t="s">
        <v>450</v>
      </c>
      <c r="G252" s="262" t="s">
        <v>449</v>
      </c>
      <c r="H252" s="261"/>
      <c r="I252" s="261"/>
      <c r="J252" s="264" t="s">
        <v>469</v>
      </c>
    </row>
    <row r="253" spans="1:16">
      <c r="A253" s="169"/>
      <c r="B253" s="212"/>
      <c r="C253" s="212"/>
      <c r="D253" s="212" t="str">
        <f t="shared" ca="1" si="272"/>
        <v>INDADPHWCHN4</v>
      </c>
      <c r="E253" s="212" t="str">
        <f t="shared" ca="1" si="270"/>
        <v>Industrial heating technology Aluminium PH - Wood chip boiler (Hot Water - condensing) - new 4</v>
      </c>
      <c r="F253" s="262" t="s">
        <v>450</v>
      </c>
      <c r="G253" s="262" t="s">
        <v>449</v>
      </c>
      <c r="H253" s="261"/>
      <c r="I253" s="261"/>
      <c r="J253" s="264" t="s">
        <v>469</v>
      </c>
    </row>
    <row r="254" spans="1:16">
      <c r="A254" s="169"/>
      <c r="B254" s="212"/>
      <c r="C254" s="212"/>
      <c r="D254" s="212" t="str">
        <f t="shared" ca="1" si="272"/>
        <v>INDADSHWCHN4</v>
      </c>
      <c r="E254" s="212" t="str">
        <f t="shared" ca="1" si="270"/>
        <v>Industrial heating technology Aluminium SH - Wood chip boiler (Hot Water- condensing) - new 4</v>
      </c>
      <c r="F254" s="262" t="s">
        <v>450</v>
      </c>
      <c r="G254" s="262" t="s">
        <v>449</v>
      </c>
      <c r="H254" s="261"/>
      <c r="I254" s="261"/>
      <c r="J254" s="264" t="s">
        <v>469</v>
      </c>
    </row>
    <row r="255" spans="1:16">
      <c r="B255" s="212"/>
      <c r="C255" s="212"/>
      <c r="D255" s="212" t="str">
        <f t="shared" ca="1" si="272"/>
        <v>INDADPHELCN10</v>
      </c>
      <c r="E255" s="212" t="str">
        <f t="shared" ca="1" si="270"/>
        <v>Industrial heating technology Aluminium PH - Direct electric heating - new 10</v>
      </c>
      <c r="F255" s="262" t="s">
        <v>450</v>
      </c>
      <c r="G255" s="262" t="s">
        <v>449</v>
      </c>
      <c r="H255" s="261"/>
      <c r="I255" s="261"/>
      <c r="J255" s="264" t="s">
        <v>469</v>
      </c>
    </row>
    <row r="256" spans="1:16">
      <c r="B256" s="212"/>
      <c r="C256" s="212"/>
      <c r="D256" s="212" t="str">
        <f t="shared" ca="1" si="272"/>
        <v>INDADPHELCN10</v>
      </c>
      <c r="E256" s="212" t="str">
        <f t="shared" ca="1" si="270"/>
        <v>Industrial heating technology Aluminium PH - Direct electric heating - new 10</v>
      </c>
      <c r="F256" s="262" t="s">
        <v>450</v>
      </c>
      <c r="G256" s="262" t="s">
        <v>449</v>
      </c>
      <c r="H256" s="261"/>
      <c r="I256" s="261"/>
      <c r="J256" s="264" t="s">
        <v>469</v>
      </c>
    </row>
    <row r="257" spans="1:10">
      <c r="B257" s="212"/>
      <c r="C257" s="212"/>
      <c r="D257" s="212" t="str">
        <f t="shared" ca="1" si="272"/>
        <v>INDADPHDSLN1</v>
      </c>
      <c r="E257" s="212" t="str">
        <f t="shared" ca="1" si="270"/>
        <v>Industrial heating technology Aluminium PH - Oil boiler (Steam) - new 1</v>
      </c>
      <c r="F257" s="262" t="s">
        <v>450</v>
      </c>
      <c r="G257" s="262" t="s">
        <v>449</v>
      </c>
      <c r="H257" s="261"/>
      <c r="I257" s="261"/>
      <c r="J257" s="264" t="s">
        <v>469</v>
      </c>
    </row>
    <row r="258" spans="1:10">
      <c r="B258" s="212"/>
      <c r="C258" s="212"/>
      <c r="D258" s="212" t="str">
        <f t="shared" ca="1" si="272"/>
        <v>INDADPHDSLN1</v>
      </c>
      <c r="E258" s="212" t="str">
        <f t="shared" ca="1" si="270"/>
        <v>Industrial heating technology Aluminium PH - Oil boiler (Steam) - new 1</v>
      </c>
      <c r="F258" s="262" t="s">
        <v>450</v>
      </c>
      <c r="G258" s="262" t="s">
        <v>449</v>
      </c>
      <c r="H258" s="261"/>
      <c r="I258" s="261"/>
      <c r="J258" s="264" t="s">
        <v>469</v>
      </c>
    </row>
    <row r="259" spans="1:10">
      <c r="B259" s="212"/>
      <c r="C259" s="212"/>
      <c r="D259" s="212" t="str">
        <f t="shared" ca="1" si="272"/>
        <v>INDADSHDSLN1</v>
      </c>
      <c r="E259" s="212" t="str">
        <f t="shared" ca="1" si="270"/>
        <v>Industrial heating technology Aluminium SH - Oil boiler (Steam) - new 1</v>
      </c>
      <c r="F259" s="262" t="s">
        <v>450</v>
      </c>
      <c r="G259" s="262" t="s">
        <v>449</v>
      </c>
      <c r="H259" s="261"/>
      <c r="I259" s="261"/>
      <c r="J259" s="264" t="s">
        <v>469</v>
      </c>
    </row>
    <row r="260" spans="1:10">
      <c r="A260" s="214"/>
      <c r="B260" s="212"/>
      <c r="C260" s="212"/>
      <c r="D260" s="212" t="str">
        <f t="shared" ca="1" si="272"/>
        <v>INDADPHDSLN2</v>
      </c>
      <c r="E260" s="212" t="str">
        <f t="shared" ca="1" si="270"/>
        <v>Industrial heating technology Aluminium PH - Oil boiler (Steam - condensing) - new 2</v>
      </c>
      <c r="F260" s="262" t="s">
        <v>450</v>
      </c>
      <c r="G260" s="262" t="s">
        <v>449</v>
      </c>
      <c r="H260" s="261"/>
      <c r="I260" s="261"/>
      <c r="J260" s="264" t="s">
        <v>469</v>
      </c>
    </row>
    <row r="261" spans="1:10">
      <c r="A261" s="214"/>
      <c r="B261" s="212"/>
      <c r="C261" s="212"/>
      <c r="D261" s="212" t="str">
        <f t="shared" ca="1" si="272"/>
        <v>INDADSHDSLN2</v>
      </c>
      <c r="E261" s="212" t="str">
        <f t="shared" ref="E261:E290" ca="1" si="273">VLOOKUP(D261,$D$9:$E$222,2,FALSE)</f>
        <v>Industrial heating technology Aluminium SH - Oil boiler (Steam - condensing) - new 2</v>
      </c>
      <c r="F261" s="262" t="s">
        <v>450</v>
      </c>
      <c r="G261" s="262" t="s">
        <v>449</v>
      </c>
      <c r="H261" s="261"/>
      <c r="I261" s="261"/>
      <c r="J261" s="264" t="s">
        <v>469</v>
      </c>
    </row>
    <row r="262" spans="1:10">
      <c r="A262" s="214"/>
      <c r="B262" s="212"/>
      <c r="C262" s="212"/>
      <c r="D262" s="212" t="str">
        <f t="shared" ca="1" si="272"/>
        <v>INDADPHGASN1</v>
      </c>
      <c r="E262" s="212" t="str">
        <f t="shared" ca="1" si="273"/>
        <v>Industrial heating technology Aluminium PH - Gas boiler (Steam) - new 1</v>
      </c>
      <c r="F262" s="262" t="s">
        <v>450</v>
      </c>
      <c r="G262" s="262" t="s">
        <v>449</v>
      </c>
      <c r="H262" s="261"/>
      <c r="I262" s="261"/>
      <c r="J262" s="264" t="s">
        <v>469</v>
      </c>
    </row>
    <row r="263" spans="1:10">
      <c r="A263" s="214"/>
      <c r="B263" s="212"/>
      <c r="C263" s="212"/>
      <c r="D263" s="212" t="str">
        <f t="shared" ca="1" si="272"/>
        <v>INDADPHGASN1</v>
      </c>
      <c r="E263" s="212" t="str">
        <f t="shared" ca="1" si="273"/>
        <v>Industrial heating technology Aluminium PH - Gas boiler (Steam) - new 1</v>
      </c>
      <c r="F263" s="262" t="s">
        <v>450</v>
      </c>
      <c r="G263" s="262" t="s">
        <v>449</v>
      </c>
      <c r="H263" s="261"/>
      <c r="I263" s="261"/>
      <c r="J263" s="264" t="s">
        <v>469</v>
      </c>
    </row>
    <row r="264" spans="1:10">
      <c r="B264" s="212"/>
      <c r="C264" s="212"/>
      <c r="D264" s="212" t="str">
        <f t="shared" ca="1" si="272"/>
        <v>INDADSHGASN1</v>
      </c>
      <c r="E264" s="212" t="str">
        <f t="shared" ca="1" si="273"/>
        <v>Industrial heating technology Aluminium SH - Gas boiler (Steam) - new 1</v>
      </c>
      <c r="F264" s="262" t="s">
        <v>450</v>
      </c>
      <c r="G264" s="262" t="s">
        <v>449</v>
      </c>
      <c r="H264" s="261"/>
      <c r="I264" s="261"/>
      <c r="J264" s="264" t="s">
        <v>469</v>
      </c>
    </row>
    <row r="265" spans="1:10">
      <c r="B265" s="212"/>
      <c r="C265" s="212"/>
      <c r="D265" s="212" t="str">
        <f t="shared" ca="1" si="272"/>
        <v>INDADPHGASN2</v>
      </c>
      <c r="E265" s="212" t="str">
        <f t="shared" ca="1" si="273"/>
        <v>Industrial heating technology Aluminium PH - Gas boiler (Steam - condensing) - new 2</v>
      </c>
      <c r="F265" s="262" t="s">
        <v>450</v>
      </c>
      <c r="G265" s="262" t="s">
        <v>449</v>
      </c>
      <c r="H265" s="261"/>
      <c r="I265" s="261"/>
      <c r="J265" s="264" t="s">
        <v>469</v>
      </c>
    </row>
    <row r="266" spans="1:10">
      <c r="B266" s="212"/>
      <c r="C266" s="212"/>
      <c r="D266" s="212" t="str">
        <f t="shared" ca="1" si="272"/>
        <v>INDADSHGASN2</v>
      </c>
      <c r="E266" s="212" t="str">
        <f t="shared" ca="1" si="273"/>
        <v>Industrial heating technology Aluminium SH - Gas boiler (Steam - condensing) - new 2</v>
      </c>
      <c r="F266" s="262" t="s">
        <v>450</v>
      </c>
      <c r="G266" s="262" t="s">
        <v>449</v>
      </c>
      <c r="H266" s="261"/>
      <c r="I266" s="261"/>
      <c r="J266" s="264" t="s">
        <v>469</v>
      </c>
    </row>
    <row r="267" spans="1:10">
      <c r="B267" s="212"/>
      <c r="C267" s="212"/>
      <c r="D267" s="212" t="str">
        <f t="shared" ca="1" si="272"/>
        <v>INDADPHGASN3</v>
      </c>
      <c r="E267" s="212" t="str">
        <f t="shared" ca="1" si="273"/>
        <v>Industrial heating technology Aluminium PH - Gas boiler (Hot Water) - new 3</v>
      </c>
      <c r="F267" s="262" t="s">
        <v>450</v>
      </c>
      <c r="G267" s="262" t="s">
        <v>449</v>
      </c>
      <c r="H267" s="261"/>
      <c r="I267" s="261"/>
      <c r="J267" s="264" t="s">
        <v>469</v>
      </c>
    </row>
    <row r="268" spans="1:10">
      <c r="B268" s="212"/>
      <c r="C268" s="212"/>
      <c r="D268" s="212" t="str">
        <f t="shared" ca="1" si="272"/>
        <v>INDADSHGASN3</v>
      </c>
      <c r="E268" s="212" t="str">
        <f t="shared" ca="1" si="273"/>
        <v>Industrial heating technology Aluminium SH - Gas boiler (Hot Water) - new 3</v>
      </c>
      <c r="F268" s="262" t="s">
        <v>450</v>
      </c>
      <c r="G268" s="262" t="s">
        <v>449</v>
      </c>
      <c r="H268" s="261"/>
      <c r="I268" s="261"/>
      <c r="J268" s="264" t="s">
        <v>469</v>
      </c>
    </row>
    <row r="269" spans="1:10">
      <c r="B269" s="212"/>
      <c r="C269" s="212"/>
      <c r="D269" s="212" t="str">
        <f t="shared" ca="1" si="272"/>
        <v>INDADPHGASN4</v>
      </c>
      <c r="E269" s="212" t="str">
        <f t="shared" ca="1" si="273"/>
        <v>Industrial heating technology Aluminium PH - Gas boiler (Hot Water - condensing) - new 4</v>
      </c>
      <c r="F269" s="262" t="s">
        <v>450</v>
      </c>
      <c r="G269" s="262" t="s">
        <v>449</v>
      </c>
      <c r="H269" s="261"/>
      <c r="I269" s="261"/>
      <c r="J269" s="264" t="s">
        <v>469</v>
      </c>
    </row>
    <row r="270" spans="1:10">
      <c r="B270" s="212"/>
      <c r="C270" s="212"/>
      <c r="D270" s="212" t="str">
        <f t="shared" ca="1" si="272"/>
        <v>INDADSHGASN4</v>
      </c>
      <c r="E270" s="212" t="str">
        <f t="shared" ca="1" si="273"/>
        <v>Industrial heating technology Aluminium SH - Gas boiler (Hot Water- condensing) - new 4</v>
      </c>
      <c r="F270" s="262" t="s">
        <v>450</v>
      </c>
      <c r="G270" s="262" t="s">
        <v>449</v>
      </c>
      <c r="H270" s="261"/>
      <c r="I270" s="261"/>
      <c r="J270" s="264" t="s">
        <v>469</v>
      </c>
    </row>
    <row r="271" spans="1:10">
      <c r="B271" s="212"/>
      <c r="C271" s="212"/>
      <c r="D271" s="212" t="str">
        <f t="shared" ca="1" si="272"/>
        <v>*="IND"&amp;RIGHT(H162,4)&amp;"GAS"&amp;"N"&amp;RIGHT(E162,1)</v>
      </c>
      <c r="E271" s="212" t="str">
        <f t="shared" ca="1" si="273"/>
        <v>Industrial heating technology Aluminium PH - Gas boiler (Direct firing) - new 5</v>
      </c>
      <c r="F271" s="262" t="s">
        <v>450</v>
      </c>
      <c r="G271" s="262" t="s">
        <v>449</v>
      </c>
      <c r="H271" s="261"/>
      <c r="I271" s="261"/>
      <c r="J271" s="264" t="s">
        <v>469</v>
      </c>
    </row>
    <row r="272" spans="1:10">
      <c r="B272" s="212"/>
      <c r="C272" s="212"/>
      <c r="D272" s="212" t="str">
        <f t="shared" ca="1" si="272"/>
        <v>*="IND"&amp;RIGHT(H165,4)&amp;"GAS"&amp;"N"&amp;RIGHT(E165,1)</v>
      </c>
      <c r="E272" s="212" t="str">
        <f t="shared" ca="1" si="273"/>
        <v>Industrial heating technology Aluminium SH - Gas boiler (Direct firing) - new 5</v>
      </c>
      <c r="F272" s="262" t="s">
        <v>450</v>
      </c>
      <c r="G272" s="262" t="s">
        <v>449</v>
      </c>
      <c r="H272" s="261"/>
      <c r="I272" s="261"/>
      <c r="J272" s="264" t="s">
        <v>469</v>
      </c>
    </row>
    <row r="273" spans="2:10">
      <c r="B273" s="212"/>
      <c r="C273" s="212"/>
      <c r="D273" s="212" t="str">
        <f t="shared" ca="1" si="272"/>
        <v>INDADPHCOAN1</v>
      </c>
      <c r="E273" s="212" t="str">
        <f t="shared" ca="1" si="273"/>
        <v>Industrial heating technology Aluminium PH - Coal boiler (Steam) - new 1</v>
      </c>
      <c r="F273" s="262" t="s">
        <v>450</v>
      </c>
      <c r="G273" s="262" t="s">
        <v>449</v>
      </c>
      <c r="H273" s="261"/>
      <c r="I273" s="261"/>
      <c r="J273" s="264" t="s">
        <v>469</v>
      </c>
    </row>
    <row r="274" spans="2:10">
      <c r="B274" s="212"/>
      <c r="C274" s="212"/>
      <c r="D274" s="212" t="str">
        <f t="shared" ca="1" si="272"/>
        <v>INDADPHCOAN1</v>
      </c>
      <c r="E274" s="212" t="str">
        <f t="shared" ca="1" si="273"/>
        <v>Industrial heating technology Aluminium PH - Coal boiler (Steam) - new 1</v>
      </c>
      <c r="F274" s="262" t="s">
        <v>450</v>
      </c>
      <c r="G274" s="262" t="s">
        <v>449</v>
      </c>
      <c r="H274" s="261"/>
      <c r="I274" s="261"/>
      <c r="J274" s="264" t="s">
        <v>469</v>
      </c>
    </row>
    <row r="275" spans="2:10">
      <c r="B275" s="212"/>
      <c r="C275" s="212"/>
      <c r="D275" s="212" t="str">
        <f t="shared" ca="1" si="272"/>
        <v>INDADSHCOAN1</v>
      </c>
      <c r="E275" s="212" t="str">
        <f t="shared" ca="1" si="273"/>
        <v>Industrial heating technology Aluminium SH - Coal boiler (Steam) - new 1</v>
      </c>
      <c r="F275" s="262" t="s">
        <v>450</v>
      </c>
      <c r="G275" s="262" t="s">
        <v>449</v>
      </c>
      <c r="H275" s="261"/>
      <c r="I275" s="261"/>
      <c r="J275" s="264" t="s">
        <v>469</v>
      </c>
    </row>
    <row r="276" spans="2:10">
      <c r="B276" s="212"/>
      <c r="C276" s="212"/>
      <c r="D276" s="212" t="str">
        <f t="shared" ca="1" si="272"/>
        <v>INDADPHCOAN2</v>
      </c>
      <c r="E276" s="212" t="str">
        <f t="shared" ca="1" si="273"/>
        <v>Industrial heating technology Aluminium PH - Coal boiler (Hot Water) - new 2</v>
      </c>
      <c r="F276" s="262" t="s">
        <v>450</v>
      </c>
      <c r="G276" s="262" t="s">
        <v>449</v>
      </c>
      <c r="H276" s="261"/>
      <c r="I276" s="261"/>
      <c r="J276" s="264" t="s">
        <v>469</v>
      </c>
    </row>
    <row r="277" spans="2:10">
      <c r="B277" s="212"/>
      <c r="C277" s="212"/>
      <c r="D277" s="212" t="str">
        <f t="shared" ca="1" si="272"/>
        <v>INDADSHCOAN2</v>
      </c>
      <c r="E277" s="212" t="str">
        <f t="shared" ca="1" si="273"/>
        <v>Industrial heating technology Aluminium SH - Coal boiler (Hot Water) - new 2</v>
      </c>
      <c r="F277" s="262" t="s">
        <v>450</v>
      </c>
      <c r="G277" s="262" t="s">
        <v>449</v>
      </c>
      <c r="H277" s="261"/>
      <c r="I277" s="261"/>
      <c r="J277" s="264" t="s">
        <v>469</v>
      </c>
    </row>
    <row r="278" spans="2:10">
      <c r="B278" s="212"/>
      <c r="C278" s="212"/>
      <c r="D278" s="212" t="str">
        <f t="shared" ca="1" si="272"/>
        <v>INDADSHSOLN1</v>
      </c>
      <c r="E278" s="212" t="str">
        <f t="shared" ca="1" si="273"/>
        <v>Industrial heating technology Aluminium SH - Solar - new 1</v>
      </c>
      <c r="F278" s="262" t="s">
        <v>450</v>
      </c>
      <c r="G278" s="262" t="s">
        <v>449</v>
      </c>
      <c r="H278" s="263" t="s">
        <v>620</v>
      </c>
      <c r="I278" s="261"/>
      <c r="J278" s="264" t="s">
        <v>469</v>
      </c>
    </row>
    <row r="279" spans="2:10">
      <c r="B279" s="212"/>
      <c r="C279" s="212"/>
      <c r="D279" s="889" t="str">
        <f>D187</f>
        <v>INDADSHHCEN1</v>
      </c>
      <c r="E279" s="889" t="str">
        <f t="shared" si="273"/>
        <v>Industrial heating technology Aluminium SH - central district heating - within DH area - new 1</v>
      </c>
      <c r="F279" s="262" t="s">
        <v>450</v>
      </c>
      <c r="G279" s="262" t="s">
        <v>449</v>
      </c>
      <c r="H279" s="890"/>
      <c r="I279" s="890"/>
      <c r="J279" s="263" t="s">
        <v>469</v>
      </c>
    </row>
    <row r="280" spans="2:10">
      <c r="B280" s="212"/>
      <c r="C280" s="212"/>
      <c r="D280" s="889" t="str">
        <f>D188</f>
        <v>INDADPHHCEN1</v>
      </c>
      <c r="E280" s="889" t="str">
        <f t="shared" si="273"/>
        <v>Industrial heating technology Aluminium PH - central district heating - within DH area - new 1</v>
      </c>
      <c r="F280" s="262" t="s">
        <v>450</v>
      </c>
      <c r="G280" s="262" t="s">
        <v>449</v>
      </c>
      <c r="H280" s="890"/>
      <c r="I280" s="890"/>
      <c r="J280" s="263" t="s">
        <v>469</v>
      </c>
    </row>
    <row r="281" spans="2:10">
      <c r="B281" s="212"/>
      <c r="C281" s="212"/>
      <c r="D281" s="889" t="str">
        <f>D189</f>
        <v>INDADSHHSEN1</v>
      </c>
      <c r="E281" s="889" t="str">
        <f t="shared" si="273"/>
        <v>Industrial heating technology Aluminium SH - central district heating - within DH area - new 1</v>
      </c>
      <c r="F281" s="262" t="s">
        <v>450</v>
      </c>
      <c r="G281" s="262" t="s">
        <v>449</v>
      </c>
      <c r="H281" s="890"/>
      <c r="I281" s="890"/>
      <c r="J281" s="263" t="s">
        <v>469</v>
      </c>
    </row>
    <row r="282" spans="2:10">
      <c r="B282" s="212"/>
      <c r="C282" s="212"/>
      <c r="D282" s="889" t="str">
        <f>D190</f>
        <v>INDADPHHSEN1</v>
      </c>
      <c r="E282" s="889" t="str">
        <f t="shared" si="273"/>
        <v>Industrial heating technology Aluminium PH - central district heating - within DH area - new 1</v>
      </c>
      <c r="F282" s="262" t="s">
        <v>450</v>
      </c>
      <c r="G282" s="262" t="s">
        <v>449</v>
      </c>
      <c r="H282" s="890"/>
      <c r="I282" s="890"/>
      <c r="J282" s="263" t="s">
        <v>469</v>
      </c>
    </row>
    <row r="283" spans="2:10">
      <c r="B283" s="212"/>
      <c r="C283" s="212"/>
      <c r="D283" s="212" t="str">
        <f t="shared" ref="D283" si="274">D191</f>
        <v>INDADSHHDEN1</v>
      </c>
      <c r="E283" s="212" t="str">
        <f t="shared" si="273"/>
        <v>Industrial heating technology Aluminium SH - decentral district heating - within DH area - new 1</v>
      </c>
      <c r="F283" s="262" t="s">
        <v>450</v>
      </c>
      <c r="G283" s="262" t="s">
        <v>449</v>
      </c>
      <c r="H283" s="261"/>
      <c r="I283" s="261"/>
      <c r="J283" s="264" t="s">
        <v>469</v>
      </c>
    </row>
    <row r="284" spans="2:10">
      <c r="B284" s="212"/>
      <c r="C284" s="212"/>
      <c r="D284" s="212" t="str">
        <f>D192</f>
        <v>INDADPHHDEN1</v>
      </c>
      <c r="E284" s="212" t="str">
        <f t="shared" si="273"/>
        <v>Industrial heating technology Aluminium PH - decentral district heating - within DH area - new 1</v>
      </c>
      <c r="F284" s="262" t="s">
        <v>450</v>
      </c>
      <c r="G284" s="262" t="s">
        <v>449</v>
      </c>
      <c r="H284" s="261"/>
      <c r="I284" s="261"/>
      <c r="J284" s="264" t="s">
        <v>469</v>
      </c>
    </row>
    <row r="285" spans="2:10">
      <c r="B285" s="212"/>
      <c r="C285" s="212"/>
      <c r="D285" s="212" t="str">
        <f>D194</f>
        <v>INDADLAELCN1</v>
      </c>
      <c r="E285" s="212" t="str">
        <f t="shared" si="273"/>
        <v>Industry Aluminium LA Electricity Light Appliance - New 1</v>
      </c>
      <c r="F285" s="262" t="s">
        <v>450</v>
      </c>
      <c r="G285" s="262" t="s">
        <v>449</v>
      </c>
      <c r="H285" s="261"/>
      <c r="I285" s="261"/>
      <c r="J285" s="264" t="s">
        <v>469</v>
      </c>
    </row>
    <row r="286" spans="2:10">
      <c r="B286" s="212"/>
      <c r="C286" s="212"/>
      <c r="D286" s="212" t="str">
        <f>D198</f>
        <v>INDADEMELCN1</v>
      </c>
      <c r="E286" s="212" t="str">
        <f t="shared" si="273"/>
        <v>Industry Aluminium EM Electricity Motors - New 1</v>
      </c>
      <c r="F286" s="262" t="s">
        <v>450</v>
      </c>
      <c r="G286" s="262" t="s">
        <v>449</v>
      </c>
      <c r="H286" s="261"/>
      <c r="I286" s="261"/>
      <c r="J286" s="264" t="s">
        <v>469</v>
      </c>
    </row>
    <row r="287" spans="2:10">
      <c r="B287" s="212"/>
      <c r="C287" s="212"/>
      <c r="D287" s="212" t="str">
        <f>D202</f>
        <v>INDADTFDSLN1</v>
      </c>
      <c r="E287" s="212" t="str">
        <f t="shared" si="273"/>
        <v>Industry Aluminium TF Tractors, Trucks, Fishing boats - New 1</v>
      </c>
      <c r="F287" s="262" t="s">
        <v>450</v>
      </c>
      <c r="G287" s="262" t="s">
        <v>2078</v>
      </c>
      <c r="H287" s="261"/>
      <c r="I287" s="261"/>
      <c r="J287" s="264" t="s">
        <v>469</v>
      </c>
    </row>
    <row r="288" spans="2:10">
      <c r="B288" s="212"/>
      <c r="C288" s="212"/>
      <c r="D288" s="212" t="str">
        <f>D206</f>
        <v>INDADTFH2GN2</v>
      </c>
      <c r="E288" s="212" t="str">
        <f t="shared" si="273"/>
        <v>Industry Aluminium TF Tractors, Trucks, Fishing boats - New 2</v>
      </c>
      <c r="F288" s="262" t="s">
        <v>450</v>
      </c>
      <c r="G288" s="262" t="s">
        <v>2078</v>
      </c>
      <c r="H288" s="261"/>
      <c r="I288" s="261"/>
      <c r="J288" s="264" t="s">
        <v>469</v>
      </c>
    </row>
    <row r="289" spans="2:10">
      <c r="B289" s="212"/>
      <c r="C289" s="212"/>
      <c r="D289" s="212" t="str">
        <f>D210</f>
        <v>INDADTFELCN3</v>
      </c>
      <c r="E289" s="212" t="str">
        <f t="shared" si="273"/>
        <v>Industry Aluminium TF Tractors, Trucks, Fishing boats - New 3</v>
      </c>
      <c r="F289" s="262" t="s">
        <v>450</v>
      </c>
      <c r="G289" s="262" t="s">
        <v>2078</v>
      </c>
      <c r="H289" s="261"/>
      <c r="I289" s="261"/>
      <c r="J289" s="264" t="s">
        <v>469</v>
      </c>
    </row>
    <row r="290" spans="2:10">
      <c r="B290" s="212"/>
      <c r="C290" s="212"/>
      <c r="D290" s="212" t="str">
        <f>D214</f>
        <v>INDADFLSYNN1</v>
      </c>
      <c r="E290" s="212" t="str">
        <f t="shared" si="273"/>
        <v>Industry Aluminium TF Forklifts - New 1</v>
      </c>
      <c r="F290" s="262" t="s">
        <v>450</v>
      </c>
      <c r="G290" s="262" t="s">
        <v>449</v>
      </c>
      <c r="H290" s="261"/>
      <c r="I290" s="261"/>
      <c r="J290" s="264" t="s">
        <v>469</v>
      </c>
    </row>
    <row r="291" spans="2:10">
      <c r="B291" s="212"/>
      <c r="C291" s="212"/>
      <c r="D291" s="212" t="str">
        <f>D218</f>
        <v>INDADCOELCN1</v>
      </c>
      <c r="E291" s="212" t="str">
        <f>E218</f>
        <v>Industry Aluminium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IADSOx</v>
      </c>
      <c r="E296" s="270" t="str">
        <f>"Industrial heating  heating technology "&amp;$AJ$12&amp;" - SOx emission"</f>
        <v>Industrial heating  heating technology Aluminium - SOx emission</v>
      </c>
      <c r="F296" s="219" t="s">
        <v>352</v>
      </c>
      <c r="G296" s="211"/>
      <c r="H296" s="211"/>
      <c r="I296" s="211"/>
      <c r="J296" s="211"/>
    </row>
    <row r="297" spans="2:10">
      <c r="B297" s="214"/>
      <c r="C297" s="214"/>
      <c r="D297" s="260" t="str">
        <f>"I"&amp;LEFT($AJ$12,1)&amp;"DNOx"</f>
        <v>IADNOx</v>
      </c>
      <c r="E297" s="270" t="str">
        <f>"Industrial heating  heating technology "&amp;$AJ$12&amp;" - NOx emission"</f>
        <v>Industrial heating  heating technology Aluminium - NOx emission</v>
      </c>
      <c r="F297" s="219" t="s">
        <v>352</v>
      </c>
      <c r="G297" s="211"/>
      <c r="H297" s="214"/>
      <c r="I297" s="214"/>
      <c r="J297" s="214"/>
    </row>
    <row r="298" spans="2:10">
      <c r="B298" s="214"/>
      <c r="C298" s="214"/>
      <c r="D298" s="260" t="str">
        <f>"I"&amp;LEFT($AJ$12,1)&amp;"DCH4"</f>
        <v>IADCH4</v>
      </c>
      <c r="E298" s="270" t="str">
        <f>"Industrial heating  heating technology "&amp;$AJ$12&amp;" - CH4 emission"</f>
        <v>Industrial heating  heating technology Aluminium - CH4 emission</v>
      </c>
      <c r="F298" s="219" t="s">
        <v>352</v>
      </c>
      <c r="G298" s="211"/>
      <c r="H298" s="214"/>
      <c r="I298" s="214"/>
      <c r="J298" s="214"/>
    </row>
    <row r="299" spans="2:10">
      <c r="B299" s="214"/>
      <c r="C299" s="214"/>
      <c r="D299" s="260" t="str">
        <f>"I"&amp;LEFT($AJ$12,1)&amp;"DNO2"</f>
        <v>IADNO2</v>
      </c>
      <c r="E299" s="270" t="str">
        <f>"Industrial heating  heating technology "&amp;$AJ$12&amp;" - NO2 emission"</f>
        <v>Industrial heating  heating technology Aluminium - NO2 emission</v>
      </c>
      <c r="F299" s="219" t="s">
        <v>352</v>
      </c>
      <c r="G299" s="211"/>
      <c r="H299" s="214"/>
      <c r="I299" s="214"/>
      <c r="J299" s="214"/>
    </row>
    <row r="300" spans="2:10">
      <c r="B300" s="214"/>
      <c r="C300" s="214"/>
      <c r="D300" s="260" t="str">
        <f>"I"&amp;LEFT($AJ$12,1)&amp;"DPM"</f>
        <v>IADPM</v>
      </c>
      <c r="E300" s="270" t="str">
        <f>"Industrial heating  heating technology "&amp;$AJ$12&amp;" - Particle emission"</f>
        <v>Industrial heating  heating technology Aluminium - Particle emission</v>
      </c>
      <c r="F300" s="219" t="s">
        <v>352</v>
      </c>
      <c r="G300" s="211"/>
      <c r="H300" s="214"/>
      <c r="I300" s="214"/>
      <c r="J300" s="214"/>
    </row>
    <row r="301" spans="2:10">
      <c r="B301" s="224" t="s">
        <v>1057</v>
      </c>
      <c r="D301" s="224" t="str">
        <f>AI20</f>
        <v>INDAWH</v>
      </c>
      <c r="E301" s="270" t="str">
        <f>"Industrial heating technology "&amp;$AJ$12&amp;" - Waste heat"</f>
        <v>Industrial heating technology Aluminium - Waste heat</v>
      </c>
      <c r="F301" s="263" t="s">
        <v>450</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A39FE9B-060D-4357-ADDD-141AEC8F55D4}">
          <x14:formula1>
            <xm:f>'Oil-fired boiler_NEW'!$T$4:$X$4</xm:f>
          </x14:formula1>
          <xm:sqref>E1</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964A-C6A7-452B-99B4-BC45F6511F3E}">
  <sheetPr>
    <tabColor rgb="FF00B050"/>
  </sheetPr>
  <dimension ref="A1:AP301"/>
  <sheetViews>
    <sheetView topLeftCell="F45"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719</v>
      </c>
      <c r="N1" s="64"/>
      <c r="O1" s="64"/>
      <c r="P1" s="64"/>
      <c r="S1" s="727" t="s">
        <v>1004</v>
      </c>
      <c r="T1" s="776" t="s">
        <v>1003</v>
      </c>
      <c r="U1" s="775" t="s">
        <v>1053</v>
      </c>
      <c r="V1" s="776" t="s">
        <v>1054</v>
      </c>
      <c r="W1" s="780">
        <v>0.3</v>
      </c>
    </row>
    <row r="2" spans="2:42" ht="16" thickBot="1">
      <c r="E2" s="730" t="s">
        <v>686</v>
      </c>
      <c r="N2" s="731"/>
      <c r="O2" s="731"/>
      <c r="P2" s="731"/>
      <c r="S2" s="726">
        <f>MATCH($E$1,$AJ$22:$AJ$35)</f>
        <v>13</v>
      </c>
      <c r="T2" s="778">
        <f>MATCH($E$1,$AJ$22:$AJ$35)+1</f>
        <v>14</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INDMDPHELCN1</v>
      </c>
      <c r="E9" s="261" t="str">
        <f>"Industrial heating technology "&amp;$AJ$12&amp;" "&amp;RIGHT(H9,2)&amp;" - Heat pump utilizing waste heat - new 1"</f>
        <v>Industrial heating technology Machinery PH - Heat pump utilizing waste heat - new 1</v>
      </c>
      <c r="F9" s="224" t="s">
        <v>1149</v>
      </c>
      <c r="G9" s="173" t="s">
        <v>499</v>
      </c>
      <c r="H9" s="174" t="str">
        <f>$AI$14</f>
        <v>IMDPH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INDMWH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IMDPH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INDMWH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Machinery</v>
      </c>
    </row>
    <row r="13" spans="2:42">
      <c r="B13" s="357" t="s">
        <v>998</v>
      </c>
      <c r="D13" s="212"/>
      <c r="E13" s="212"/>
      <c r="F13" s="224" t="s">
        <v>1149</v>
      </c>
      <c r="G13" s="173" t="s">
        <v>499</v>
      </c>
      <c r="H13" s="174" t="str">
        <f>$AI$14</f>
        <v>IMDPH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IMDPH</v>
      </c>
      <c r="AJ13" s="224" t="str">
        <f>AP14</f>
        <v>Machinery industry Demand Heat High Temp. over 150C</v>
      </c>
      <c r="AO13" s="224" t="s">
        <v>2089</v>
      </c>
      <c r="AP13" s="224" t="s">
        <v>1183</v>
      </c>
    </row>
    <row r="14" spans="2:42">
      <c r="B14" s="357" t="s">
        <v>998</v>
      </c>
      <c r="D14" s="212"/>
      <c r="E14" s="212"/>
      <c r="F14" s="224" t="s">
        <v>1149</v>
      </c>
      <c r="G14" s="173" t="str">
        <f>$AI$20</f>
        <v>INDMWH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IMDPH</v>
      </c>
      <c r="AJ14" s="224" t="str">
        <f>AP13</f>
        <v>Machinery industry Demand Heat Medium Temp. up to 150C</v>
      </c>
      <c r="AO14" s="224" t="s">
        <v>2089</v>
      </c>
      <c r="AP14" s="224" t="s">
        <v>1184</v>
      </c>
    </row>
    <row r="15" spans="2:42">
      <c r="B15" s="357" t="s">
        <v>998</v>
      </c>
      <c r="D15" s="212" t="str">
        <f>"IND"&amp;RIGHT(H15,4)&amp;RIGHT(G15,3)&amp;"N"&amp;RIGHT(E15,1)</f>
        <v>INDMDSHELCN1</v>
      </c>
      <c r="E15" s="261" t="str">
        <f>"Industrial heating technology "&amp;$AJ$12&amp;" "&amp;RIGHT(H15,2)&amp;" - Heat pump utilizing waste heat - new 1"</f>
        <v>Industrial heating technology Machinery SH - Heat pump utilizing waste heat - new 1</v>
      </c>
      <c r="F15" s="224" t="s">
        <v>1149</v>
      </c>
      <c r="G15" s="173" t="s">
        <v>499</v>
      </c>
      <c r="H15" s="174" t="str">
        <f>$AI$15</f>
        <v>IMDSH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IMDSH</v>
      </c>
      <c r="AJ15" s="224" t="str">
        <f>AP15</f>
        <v>Machinery industry Demand Heat Room Heat</v>
      </c>
      <c r="AO15" s="224" t="s">
        <v>2090</v>
      </c>
      <c r="AP15" s="224" t="s">
        <v>1185</v>
      </c>
    </row>
    <row r="16" spans="2:42">
      <c r="B16" s="357" t="s">
        <v>998</v>
      </c>
      <c r="D16" s="212"/>
      <c r="E16" s="261"/>
      <c r="F16" s="224" t="s">
        <v>1149</v>
      </c>
      <c r="G16" s="173" t="str">
        <f>$AI$20</f>
        <v>INDMWH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IMDLA</v>
      </c>
      <c r="AJ16" s="224" t="str">
        <f t="shared" si="0"/>
        <v>Machinery industry Demand Light</v>
      </c>
      <c r="AO16" s="224" t="s">
        <v>1186</v>
      </c>
      <c r="AP16" s="224" t="s">
        <v>1187</v>
      </c>
    </row>
    <row r="17" spans="2:42">
      <c r="B17" s="357" t="s">
        <v>998</v>
      </c>
      <c r="D17" s="212"/>
      <c r="E17" s="212"/>
      <c r="F17" s="224" t="s">
        <v>1149</v>
      </c>
      <c r="G17" s="173" t="s">
        <v>499</v>
      </c>
      <c r="H17" s="174" t="str">
        <f>$AI$15</f>
        <v>IMDSH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IMDEM</v>
      </c>
      <c r="AJ17" s="224" t="str">
        <f t="shared" si="0"/>
        <v>Machinery industry Demand Electric Motors</v>
      </c>
      <c r="AO17" s="224" t="s">
        <v>1188</v>
      </c>
      <c r="AP17" s="224" t="s">
        <v>1189</v>
      </c>
    </row>
    <row r="18" spans="2:42">
      <c r="B18" s="357" t="s">
        <v>998</v>
      </c>
      <c r="D18" s="212"/>
      <c r="E18" s="212"/>
      <c r="F18" s="224" t="s">
        <v>1149</v>
      </c>
      <c r="G18" s="173" t="str">
        <f>$AI$20</f>
        <v>INDMWH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IMDTF</v>
      </c>
      <c r="AJ18" s="224" t="str">
        <f t="shared" si="0"/>
        <v>Machinery industry Demand Haulage Tractors, Trucks, Fishing boats, Forest machines</v>
      </c>
      <c r="AO18" s="224" t="s">
        <v>1190</v>
      </c>
      <c r="AP18" s="224" t="s">
        <v>1191</v>
      </c>
    </row>
    <row r="19" spans="2:42">
      <c r="B19" s="357" t="s">
        <v>998</v>
      </c>
      <c r="D19" s="212"/>
      <c r="E19" s="212"/>
      <c r="F19" s="224" t="s">
        <v>1149</v>
      </c>
      <c r="G19" s="173" t="s">
        <v>499</v>
      </c>
      <c r="H19" s="174" t="str">
        <f>$AI$15</f>
        <v>IMDSH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IMDFL</v>
      </c>
      <c r="AJ19" s="224" t="str">
        <f t="shared" si="0"/>
        <v>Machinery industry Demand Haulage Forklifts</v>
      </c>
      <c r="AO19" s="224" t="s">
        <v>1192</v>
      </c>
      <c r="AP19" s="224" t="s">
        <v>1193</v>
      </c>
    </row>
    <row r="20" spans="2:42">
      <c r="B20" s="357" t="s">
        <v>998</v>
      </c>
      <c r="D20" s="212"/>
      <c r="E20" s="212"/>
      <c r="F20" s="224" t="s">
        <v>1149</v>
      </c>
      <c r="G20" s="173" t="str">
        <f>$AI$20</f>
        <v>INDMWH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INDMWH</v>
      </c>
      <c r="AJ20" s="224" t="str">
        <f>$AJ$12&amp;" Industrial Waste Heat"</f>
        <v>Machinery Industrial Waste Heat</v>
      </c>
    </row>
    <row r="21" spans="2:42">
      <c r="B21" s="357" t="s">
        <v>999</v>
      </c>
      <c r="D21" s="212" t="str">
        <f>"IND"&amp;RIGHT(H21,4)&amp;RIGHT(G21,3)&amp;"N"&amp;RIGHT(E21,1)</f>
        <v>INDMDPHELCN2</v>
      </c>
      <c r="E21" s="261" t="str">
        <f>"Industrial heating technology "&amp;$AJ$12&amp;" "&amp;RIGHT(H21,2)&amp;" - Heat driven heat pump utilizing waste heat - new 2"</f>
        <v>Industrial heating technology Machinery PH - Heat driven heat pump utilizing waste heat - new 2</v>
      </c>
      <c r="F21" s="224" t="s">
        <v>1149</v>
      </c>
      <c r="G21" s="173" t="s">
        <v>499</v>
      </c>
      <c r="H21" s="174" t="str">
        <f>$AI$14</f>
        <v>IMDPH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IMDCO</v>
      </c>
      <c r="AJ21" s="224" t="s">
        <v>2118</v>
      </c>
    </row>
    <row r="22" spans="2:42">
      <c r="B22" s="357" t="s">
        <v>999</v>
      </c>
      <c r="D22" s="212"/>
      <c r="E22" s="261"/>
      <c r="F22" s="224" t="s">
        <v>1149</v>
      </c>
      <c r="G22" s="173" t="str">
        <f>$AI$20</f>
        <v>INDMWH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IMDPH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INDMWH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IMDPH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INDMWH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INDMDSHELCN2</v>
      </c>
      <c r="E27" s="261" t="str">
        <f>"Industrial heating technology "&amp;$AJ$12&amp;" "&amp;RIGHT(H27,2)&amp;" - Heat driven heat pump utilizing waste heat - new 2"</f>
        <v>Industrial heating technology Machinery SH - Heat driven heat pump utilizing waste heat - new 2</v>
      </c>
      <c r="F27" s="224" t="s">
        <v>1149</v>
      </c>
      <c r="G27" s="173" t="s">
        <v>499</v>
      </c>
      <c r="H27" s="174" t="str">
        <f>$AI$15</f>
        <v>IMDSH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INDMWH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IMDSH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INDMWH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IMDSH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INDMWH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INDMDPHELCN3</v>
      </c>
      <c r="E33" s="261" t="str">
        <f>"Industrial heating technology "&amp;$AJ$12&amp;" "&amp;RIGHT(H33,2)&amp;" - High Temp abs. Heat pump utilizing waste heat - new 3"</f>
        <v>Industrial heating technology Machinery PH - High Temp abs. Heat pump utilizing waste heat - new 3</v>
      </c>
      <c r="F33" s="224" t="s">
        <v>1149</v>
      </c>
      <c r="G33" s="173" t="s">
        <v>499</v>
      </c>
      <c r="H33" s="174" t="str">
        <f>$AI$14</f>
        <v>IMDPH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INDMWH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IMDPH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INDMWH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IMDPH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INDMWH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INDMDSHELCN3</v>
      </c>
      <c r="E39" s="261" t="str">
        <f>"Industrial heating technology "&amp;$AJ$12&amp;" "&amp;RIGHT(H39,2)&amp;" - High Temp abs. Heat pump utilizing waste heat - new 3"</f>
        <v>Industrial heating technology Machinery SH - High Temp abs. Heat pump utilizing waste heat - new 3</v>
      </c>
      <c r="F39" s="224" t="s">
        <v>1149</v>
      </c>
      <c r="G39" s="173" t="s">
        <v>499</v>
      </c>
      <c r="H39" s="174" t="str">
        <f>$AI$15</f>
        <v>IMDSH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INDMWH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IMDSH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INDMWH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IMDSH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INDMWH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INDMDPHELCN4</v>
      </c>
      <c r="E45" s="261" t="str">
        <f>"Industrial heating technology "&amp;$AJ$12&amp;" "&amp;RIGHT(H45,2)&amp;" - Booster Heat pump utilizing waste heat - new 4"</f>
        <v>Industrial heating technology Machinery PH - Booster Heat pump utilizing waste heat - new 4</v>
      </c>
      <c r="F45" s="224" t="s">
        <v>1149</v>
      </c>
      <c r="G45" s="173" t="s">
        <v>499</v>
      </c>
      <c r="H45" s="174" t="str">
        <f>$AI$14</f>
        <v>IMDPH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INDMWH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IMDPH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INDMWH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IMDPH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INDMWH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INDMDSHELCN4</v>
      </c>
      <c r="E51" s="261" t="str">
        <f>"Industrial heating technology "&amp;$AJ$12&amp;" "&amp;RIGHT(H51,2)&amp;" - Booster Heat pump utilizing waste heat - new 4"</f>
        <v>Industrial heating technology Machinery SH - Booster Heat pump utilizing waste heat - new 4</v>
      </c>
      <c r="F51" s="224" t="s">
        <v>1149</v>
      </c>
      <c r="G51" s="173" t="s">
        <v>499</v>
      </c>
      <c r="H51" s="174" t="str">
        <f>$AI$15</f>
        <v>IMDSH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INDMWH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IMDSH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INDMWH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IMDSH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INDMWH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INDMDPHELCN5</v>
      </c>
      <c r="E57" s="261" t="str">
        <f>"Industrial heating technology "&amp;$AJ$12&amp;" "&amp;RIGHT(H57,2)&amp;" - MVR utilizing waste heat - new 5"</f>
        <v>Industrial heating technology Machinery PH - MVR utilizing waste heat - new 5</v>
      </c>
      <c r="F57" s="224" t="s">
        <v>1149</v>
      </c>
      <c r="G57" s="173" t="s">
        <v>499</v>
      </c>
      <c r="H57" s="174" t="str">
        <f>$AI$14</f>
        <v>IMDPH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INDMWH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IMDPH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INDMWH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IMDPH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INDMWH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INDMDPHWSTN1</v>
      </c>
      <c r="E63" s="261" t="str">
        <f>"Industrial heating technology "&amp;$AJ$12&amp;" "&amp;RIGHT(H63,2)&amp;" - Hotdisc - new 1"</f>
        <v>Industrial heating technology Machinery PH - Hotdisc - new 1</v>
      </c>
      <c r="F63" s="224" t="s">
        <v>1149</v>
      </c>
      <c r="G63" s="832" t="s">
        <v>1005</v>
      </c>
      <c r="H63" s="174" t="str">
        <f>$AI$13</f>
        <v>IMDPH</v>
      </c>
      <c r="I63" s="173" t="str">
        <f t="shared" ref="I63:I126" si="22">$AI$20</f>
        <v>INDMWH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INDMWH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INDMWH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INDMDPHELCN6</v>
      </c>
      <c r="E66" s="261" t="str">
        <f>"Industrial heating technology "&amp;$AJ$12&amp;" "&amp;RIGHT(H66,2)&amp;" - Dielectric heating - new 6"</f>
        <v>Industrial heating technology Machinery PH - Dielectric heating - new 6</v>
      </c>
      <c r="F66" s="224" t="s">
        <v>1149</v>
      </c>
      <c r="G66" s="173" t="s">
        <v>499</v>
      </c>
      <c r="H66" s="174" t="str">
        <f>$AI$14</f>
        <v>IMDPH</v>
      </c>
      <c r="I66" s="173" t="str">
        <f t="shared" si="22"/>
        <v>INDMWH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INDMWH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INDMWH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INDMDPHELCN7</v>
      </c>
      <c r="E69" s="261" t="str">
        <f>"Industrial heating technology "&amp;$AJ$12&amp;" "&amp;RIGHT(H69,2)&amp;" - Infrared heating - new 7"</f>
        <v>Industrial heating technology Machinery PH - Infrared heating - new 7</v>
      </c>
      <c r="F69" s="224" t="s">
        <v>1149</v>
      </c>
      <c r="G69" s="173" t="s">
        <v>499</v>
      </c>
      <c r="H69" s="174" t="str">
        <f>$AI$14</f>
        <v>IMDPH</v>
      </c>
      <c r="I69" s="173" t="str">
        <f t="shared" si="22"/>
        <v>INDMWH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INDMWH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INDMWH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INDMDPHELCN8</v>
      </c>
      <c r="E72" s="261" t="str">
        <f>"Industrial heating technology "&amp;$AJ$12&amp;" "&amp;RIGHT(H72,2)&amp;" - Electric boiler (Steam) - new 8"</f>
        <v>Industrial heating technology Machinery PH - Electric boiler (Steam) - new 8</v>
      </c>
      <c r="F72" s="224" t="s">
        <v>1149</v>
      </c>
      <c r="G72" s="173" t="s">
        <v>499</v>
      </c>
      <c r="H72" s="174" t="str">
        <f>$AI$13</f>
        <v>IMDPH</v>
      </c>
      <c r="I72" s="174" t="str">
        <f t="shared" si="22"/>
        <v>INDMWH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INDMWH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INDMWH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INDMDPHELCN8</v>
      </c>
      <c r="E75" s="261" t="str">
        <f>"Industrial heating technology "&amp;$AJ$12&amp;" "&amp;RIGHT(H75,2)&amp;" - Electric boiler (Steam) - new 8"</f>
        <v>Industrial heating technology Machinery PH - Electric boiler (Steam) - new 8</v>
      </c>
      <c r="F75" s="224" t="s">
        <v>1149</v>
      </c>
      <c r="G75" s="173" t="s">
        <v>499</v>
      </c>
      <c r="H75" s="174" t="str">
        <f>$AI$14</f>
        <v>IMDPH</v>
      </c>
      <c r="I75" s="174" t="str">
        <f t="shared" si="22"/>
        <v>INDMWH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INDMWH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INDMWH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INDMDSHELCN8</v>
      </c>
      <c r="E78" s="261" t="str">
        <f>"Industrial heating technology "&amp;$AJ$12&amp;" "&amp;RIGHT(H78,2)&amp;" - Electric boiler (Steam) - new 8"</f>
        <v>Industrial heating technology Machinery SH - Electric boiler (Steam) - new 8</v>
      </c>
      <c r="F78" s="224" t="s">
        <v>1149</v>
      </c>
      <c r="G78" s="173" t="s">
        <v>499</v>
      </c>
      <c r="H78" s="174" t="str">
        <f>$AI$15</f>
        <v>IMDSH</v>
      </c>
      <c r="I78" s="174" t="str">
        <f t="shared" si="22"/>
        <v>INDMWH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INDMWH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INDMWH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INDMDPHELCN9</v>
      </c>
      <c r="E81" s="707" t="str">
        <f>"Industrial heating technology "&amp;$AJ$12&amp;" "&amp;RIGHT(H81,2)&amp;" - Electric boiler (Hot Water) - new 9"</f>
        <v>Industrial heating technology Machinery PH - Electric boiler (Hot Water) - new 9</v>
      </c>
      <c r="F81" s="224" t="s">
        <v>1149</v>
      </c>
      <c r="G81" s="708" t="s">
        <v>499</v>
      </c>
      <c r="H81" s="708" t="str">
        <f>$AI$14</f>
        <v>IMDPH</v>
      </c>
      <c r="I81" s="708" t="str">
        <f t="shared" si="22"/>
        <v>INDMWH</v>
      </c>
      <c r="J81" s="224">
        <f t="shared" si="32"/>
        <v>2011</v>
      </c>
      <c r="K81" s="299">
        <v>2020</v>
      </c>
      <c r="L81" s="199">
        <f ca="1">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7"/>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2"/>
        <v>INDMWH</v>
      </c>
      <c r="J82" s="224">
        <f t="shared" si="32"/>
        <v>2030</v>
      </c>
      <c r="K82" s="81"/>
      <c r="L82" s="199">
        <f ca="1">VLOOKUP($AD82,INDIRECT("'"&amp;$B82&amp;"'!"&amp;"$P$118:$AD$121"),3,FALSE)</f>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7"/>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2"/>
        <v>INDMWH</v>
      </c>
      <c r="J83" s="224">
        <f t="shared" si="32"/>
        <v>2050</v>
      </c>
      <c r="K83" s="81"/>
      <c r="L83" s="199">
        <f ca="1">VLOOKUP($AD83,INDIRECT("'"&amp;$B83&amp;"'!"&amp;"$P$118:$AD$121"),3,FALSE)</f>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7"/>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INDMDSHELCN9</v>
      </c>
      <c r="E84" s="261" t="str">
        <f>"Industrial heating technology "&amp;$AJ$12&amp;" "&amp;RIGHT(H84,2)&amp;" - Electric boiler (Hot Water) - new 9"</f>
        <v>Industrial heating technology Machinery SH - Electric boiler (Hot Water) - new 9</v>
      </c>
      <c r="F84" s="224" t="s">
        <v>1149</v>
      </c>
      <c r="G84" s="174" t="s">
        <v>499</v>
      </c>
      <c r="H84" s="174" t="str">
        <f>$AI$15</f>
        <v>IMDSH</v>
      </c>
      <c r="I84" s="174" t="str">
        <f t="shared" si="22"/>
        <v>INDMWH</v>
      </c>
      <c r="J84" s="224">
        <f t="shared" si="32"/>
        <v>2011</v>
      </c>
      <c r="K84" s="299">
        <v>2020</v>
      </c>
      <c r="L84" s="199">
        <f ca="1">VLOOKUP($AD84,INDIRECT("'"&amp;$B84&amp;"'!"&amp;"$P$118:$AD$121"),3,FALSE)</f>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7"/>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2"/>
        <v>INDMWH</v>
      </c>
      <c r="J85" s="224">
        <f t="shared" si="32"/>
        <v>2030</v>
      </c>
      <c r="K85" s="81"/>
      <c r="L85" s="199">
        <f ca="1">VLOOKUP($AD85,INDIRECT("'"&amp;$B85&amp;"'!"&amp;"$P$118:$AD$121"),3,FALSE)</f>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7"/>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2"/>
        <v>INDMWH</v>
      </c>
      <c r="J86" s="224">
        <f t="shared" si="32"/>
        <v>2050</v>
      </c>
      <c r="K86" s="81"/>
      <c r="L86" s="199">
        <f t="shared" ref="L86" ca="1" si="60">VLOOKUP($AD86,INDIRECT("'"&amp;$B86&amp;"'!"&amp;"$P$118:$AD$121"),3,FALSE)</f>
        <v>0.99</v>
      </c>
      <c r="M86" s="199"/>
      <c r="N86" s="81"/>
      <c r="O86" s="723">
        <f t="shared" ca="1" si="48"/>
        <v>0.44700000000000001</v>
      </c>
      <c r="P86" s="723">
        <f t="shared" ca="1" si="49"/>
        <v>6.8539999999999998E-3</v>
      </c>
      <c r="Q86" s="81">
        <f t="shared" ca="1" si="50"/>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INDMDPHWCHN1</v>
      </c>
      <c r="E87" s="261" t="str">
        <f>"Industrial heating technology "&amp;$AJ$12&amp;" "&amp;RIGHT(H87,2)&amp;" - Wood chip boiler (Steam) - new 1"</f>
        <v>Industrial heating technology Machinery PH - Wood chip boiler (Steam) - new 1</v>
      </c>
      <c r="F87" s="224" t="s">
        <v>1149</v>
      </c>
      <c r="G87" s="173" t="s">
        <v>498</v>
      </c>
      <c r="H87" s="174" t="str">
        <f>$AI$13</f>
        <v>IMDPH</v>
      </c>
      <c r="I87" s="174" t="str">
        <f t="shared" si="22"/>
        <v>INDMWH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INDMWH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INDMWH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INDMDPHWCHN1</v>
      </c>
      <c r="E90" s="261" t="str">
        <f>"Industrial heating technology "&amp;$AJ$12&amp;" "&amp;RIGHT(H90,2)&amp;" - Wood chip boiler (Steam) - new 1"</f>
        <v>Industrial heating technology Machinery PH - Wood chip boiler (Steam) - new 1</v>
      </c>
      <c r="F90" s="224" t="s">
        <v>1149</v>
      </c>
      <c r="G90" s="173" t="s">
        <v>498</v>
      </c>
      <c r="H90" s="174" t="str">
        <f>$AI$14</f>
        <v>IMDPH</v>
      </c>
      <c r="I90" s="174" t="str">
        <f t="shared" si="22"/>
        <v>INDMWH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INDMWH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INDMWH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INDMDSHWCHN1</v>
      </c>
      <c r="E93" s="261" t="str">
        <f>"Industrial heating technology "&amp;$AJ$12&amp;" "&amp;RIGHT(H93,2)&amp;" - Wood chip boiler (Steam) - new 1"</f>
        <v>Industrial heating technology Machinery SH - Wood chip boiler (Steam) - new 1</v>
      </c>
      <c r="F93" s="224" t="s">
        <v>1149</v>
      </c>
      <c r="G93" s="173" t="s">
        <v>498</v>
      </c>
      <c r="H93" s="174" t="str">
        <f>$AI$15</f>
        <v>IMDSH</v>
      </c>
      <c r="I93" s="174" t="str">
        <f t="shared" si="22"/>
        <v>INDMWH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INDMWH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INDMWH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INDMDPHWCHN2</v>
      </c>
      <c r="E96" s="707" t="str">
        <f>"Industrial heating technology "&amp;$AJ$12&amp;" "&amp;RIGHT(H96,2)&amp;" - Wood chip boiler (Steam - condensing) - new 2"</f>
        <v>Industrial heating technology Machinery PH - Wood chip boiler (Steam - condensing) - new 2</v>
      </c>
      <c r="F96" s="224" t="s">
        <v>1149</v>
      </c>
      <c r="G96" s="708" t="s">
        <v>498</v>
      </c>
      <c r="H96" s="708" t="str">
        <f>$AI$14</f>
        <v>IMDPH</v>
      </c>
      <c r="I96" s="708" t="str">
        <f t="shared" si="22"/>
        <v>INDMWH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INDMWH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INDMWH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INDMDSHWCHN2</v>
      </c>
      <c r="E99" s="261" t="str">
        <f>"Industrial heating technology "&amp;$AJ$12&amp;" "&amp;RIGHT(H99,2)&amp;" - Wood chip boiler (Steam - condensing) - new 2"</f>
        <v>Industrial heating technology Machinery SH - Wood chip boiler (Steam - condensing) - new 2</v>
      </c>
      <c r="F99" s="224" t="s">
        <v>1149</v>
      </c>
      <c r="G99" s="174" t="s">
        <v>498</v>
      </c>
      <c r="H99" s="174" t="str">
        <f>$AI$15</f>
        <v>IMDSH</v>
      </c>
      <c r="I99" s="174" t="str">
        <f t="shared" si="22"/>
        <v>INDMWH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INDMWH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INDMWH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INDMDPHWCHN3</v>
      </c>
      <c r="E102" s="707" t="str">
        <f>"Industrial heating technology "&amp;$AJ$12&amp;" "&amp;RIGHT(H102,2)&amp;" - Wood chip boiler (Hot Water) - new 3"</f>
        <v>Industrial heating technology Machinery PH - Wood chip boiler (Hot Water) - new 3</v>
      </c>
      <c r="F102" s="224" t="s">
        <v>1149</v>
      </c>
      <c r="G102" s="708" t="s">
        <v>498</v>
      </c>
      <c r="H102" s="708" t="str">
        <f>$AI$14</f>
        <v>IMDPH</v>
      </c>
      <c r="I102" s="708" t="str">
        <f t="shared" si="22"/>
        <v>INDMWH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INDMWH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INDMWH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INDMDSHWCHN3</v>
      </c>
      <c r="E105" s="261" t="str">
        <f>"Industrial heating technology "&amp;$AJ$12&amp;" "&amp;RIGHT(H105,2)&amp;" - Wood chip boiler (Hot Water) - new 3"</f>
        <v>Industrial heating technology Machinery SH - Wood chip boiler (Hot Water) - new 3</v>
      </c>
      <c r="F105" s="224" t="s">
        <v>1149</v>
      </c>
      <c r="G105" s="174" t="s">
        <v>498</v>
      </c>
      <c r="H105" s="174" t="str">
        <f>$AI$15</f>
        <v>IMDSH</v>
      </c>
      <c r="I105" s="174" t="str">
        <f t="shared" si="22"/>
        <v>INDMWH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INDMWH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INDMWH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INDMDPHWCHN4</v>
      </c>
      <c r="E108" s="707" t="str">
        <f>"Industrial heating technology "&amp;$AJ$12&amp;" "&amp;RIGHT(H108,2)&amp;" - Wood chip boiler (Hot Water - condensing) - new 4"</f>
        <v>Industrial heating technology Machinery PH - Wood chip boiler (Hot Water - condensing) - new 4</v>
      </c>
      <c r="F108" s="224" t="s">
        <v>1149</v>
      </c>
      <c r="G108" s="708" t="s">
        <v>498</v>
      </c>
      <c r="H108" s="708" t="str">
        <f>$AI$14</f>
        <v>IMDPH</v>
      </c>
      <c r="I108" s="708" t="str">
        <f t="shared" si="22"/>
        <v>INDMWH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INDMWH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INDMWH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INDMDSHWCHN4</v>
      </c>
      <c r="E111" s="261" t="str">
        <f>"Industrial heating technology "&amp;$AJ$12&amp;" "&amp;RIGHT(H111,2)&amp;" - Wood chip boiler (Hot Water- condensing) - new 4"</f>
        <v>Industrial heating technology Machinery SH - Wood chip boiler (Hot Water- condensing) - new 4</v>
      </c>
      <c r="F111" s="224" t="s">
        <v>1149</v>
      </c>
      <c r="G111" s="174" t="s">
        <v>498</v>
      </c>
      <c r="H111" s="174" t="str">
        <f>$AI$15</f>
        <v>IMDSH</v>
      </c>
      <c r="I111" s="174" t="str">
        <f t="shared" si="22"/>
        <v>INDMWH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INDMWH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INDMWH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INDMDPHELCN10</v>
      </c>
      <c r="E114" s="261" t="str">
        <f>"Industrial heating technology "&amp;$AJ$12&amp;" "&amp;RIGHT(H114,2)&amp;" - Direct electric heating - new 10"</f>
        <v>Industrial heating technology Machinery PH - Direct electric heating - new 10</v>
      </c>
      <c r="F114" s="224" t="s">
        <v>1149</v>
      </c>
      <c r="G114" s="173" t="s">
        <v>499</v>
      </c>
      <c r="H114" s="174" t="str">
        <f>$AI$13</f>
        <v>IMDPH</v>
      </c>
      <c r="I114" s="174" t="str">
        <f t="shared" si="22"/>
        <v>INDMWH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INDMWH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INDMWH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INDMDPHELCN10</v>
      </c>
      <c r="E117" s="261" t="str">
        <f>"Industrial heating technology "&amp;$AJ$12&amp;" "&amp;RIGHT(H117,2)&amp;" - Direct electric heating - new 10"</f>
        <v>Industrial heating technology Machinery PH - Direct electric heating - new 10</v>
      </c>
      <c r="F117" s="224" t="s">
        <v>1149</v>
      </c>
      <c r="G117" s="173" t="s">
        <v>499</v>
      </c>
      <c r="H117" s="174" t="str">
        <f>$AI$14</f>
        <v>IMDPH</v>
      </c>
      <c r="I117" s="174" t="str">
        <f t="shared" si="22"/>
        <v>INDMWH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INDMWH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INDMWH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INDMDPHDSLN1</v>
      </c>
      <c r="E120" s="261" t="str">
        <f>"Industrial heating technology "&amp;$AJ$12&amp;" "&amp;RIGHT(H120,2)&amp;" - Oil boiler (Steam) - new 1"</f>
        <v>Industrial heating technology Machinery PH - Oil boiler (Steam) - new 1</v>
      </c>
      <c r="F120" s="224" t="s">
        <v>1149</v>
      </c>
      <c r="G120" s="173" t="s">
        <v>2081</v>
      </c>
      <c r="H120" s="174" t="str">
        <f>$AI$13</f>
        <v>IMDPH</v>
      </c>
      <c r="I120" s="174" t="str">
        <f t="shared" si="22"/>
        <v>INDMWH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INDMWH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INDMWH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INDMDPHDSLN1</v>
      </c>
      <c r="E123" s="261" t="str">
        <f>"Industrial heating technology "&amp;$AJ$12&amp;" "&amp;RIGHT(H123,2)&amp;" - Oil boiler (Steam) - new 1"</f>
        <v>Industrial heating technology Machinery PH - Oil boiler (Steam) - new 1</v>
      </c>
      <c r="F123" s="224" t="s">
        <v>1149</v>
      </c>
      <c r="G123" s="173" t="s">
        <v>2081</v>
      </c>
      <c r="H123" s="174" t="str">
        <f>$AI$14</f>
        <v>IMDPH</v>
      </c>
      <c r="I123" s="174" t="str">
        <f t="shared" si="22"/>
        <v>INDMWH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INDMWH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INDMWH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INDMDSHDSLN1</v>
      </c>
      <c r="E126" s="261" t="str">
        <f>"Industrial heating technology "&amp;$AJ$12&amp;" "&amp;RIGHT(H126,2)&amp;" - Oil boiler (Steam) - new 1"</f>
        <v>Industrial heating technology Machinery SH - Oil boiler (Steam) - new 1</v>
      </c>
      <c r="F126" s="224" t="s">
        <v>1149</v>
      </c>
      <c r="G126" s="173" t="s">
        <v>2081</v>
      </c>
      <c r="H126" s="174" t="str">
        <f>$AI$15</f>
        <v>IMDSH</v>
      </c>
      <c r="I126" s="174" t="str">
        <f t="shared" si="22"/>
        <v>INDMWH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INDMWH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INDMWH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INDMDPHDSLN2</v>
      </c>
      <c r="E129" s="707" t="str">
        <f>"Industrial heating technology "&amp;$AJ$12&amp;" "&amp;RIGHT(H129,2)&amp;" - Oil boiler (Steam - condensing) - new 2"</f>
        <v>Industrial heating technology Machinery PH - Oil boiler (Steam - condensing) - new 2</v>
      </c>
      <c r="F129" s="224" t="s">
        <v>1149</v>
      </c>
      <c r="G129" s="173" t="s">
        <v>2081</v>
      </c>
      <c r="H129" s="708" t="str">
        <f>$AI$14</f>
        <v>IMDPH</v>
      </c>
      <c r="I129" s="708" t="str">
        <f t="shared" si="143"/>
        <v>INDMWH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INDMWH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INDMWH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INDMDSHDSLN2</v>
      </c>
      <c r="E132" s="261" t="str">
        <f>"Industrial heating technology "&amp;$AJ$12&amp;" "&amp;RIGHT(H132,2)&amp;" - Oil boiler (Steam - condensing) - new 2"</f>
        <v>Industrial heating technology Machinery SH - Oil boiler (Steam - condensing) - new 2</v>
      </c>
      <c r="F132" s="224" t="s">
        <v>1149</v>
      </c>
      <c r="G132" s="173" t="s">
        <v>2081</v>
      </c>
      <c r="H132" s="174" t="str">
        <f>$AI$15</f>
        <v>IMDSH</v>
      </c>
      <c r="I132" s="174" t="str">
        <f t="shared" si="143"/>
        <v>INDMWH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INDMWH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INDMWH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INDMDPHGASN1</v>
      </c>
      <c r="E135" s="261" t="str">
        <f>"Industrial heating technology "&amp;$AJ$12&amp;" "&amp;RIGHT(H135,2)&amp;" - Gas boiler (Steam) - new 1"</f>
        <v>Industrial heating technology Machinery PH - Gas boiler (Steam) - new 1</v>
      </c>
      <c r="F135" s="224" t="s">
        <v>1149</v>
      </c>
      <c r="G135" s="173" t="s">
        <v>2080</v>
      </c>
      <c r="H135" s="174" t="str">
        <f>$AI$13</f>
        <v>IMDPH</v>
      </c>
      <c r="I135" s="174" t="str">
        <f t="shared" si="143"/>
        <v>INDMWH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INDMWH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INDMWH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INDMDPHGASN1</v>
      </c>
      <c r="E138" s="261" t="str">
        <f>"Industrial heating technology "&amp;$AJ$12&amp;" "&amp;RIGHT(H138,2)&amp;" - Gas boiler (Steam) - new 1"</f>
        <v>Industrial heating technology Machinery PH - Gas boiler (Steam) - new 1</v>
      </c>
      <c r="F138" s="224" t="s">
        <v>1149</v>
      </c>
      <c r="G138" s="173" t="s">
        <v>2080</v>
      </c>
      <c r="H138" s="174" t="str">
        <f>$AI$14</f>
        <v>IMDPH</v>
      </c>
      <c r="I138" s="174" t="str">
        <f t="shared" si="143"/>
        <v>INDMWH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INDMWH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INDMWH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INDMDSHGASN1</v>
      </c>
      <c r="E141" s="261" t="str">
        <f>"Industrial heating technology "&amp;$AJ$12&amp;" "&amp;RIGHT(H141,2)&amp;" - Gas boiler (Steam) - new 1"</f>
        <v>Industrial heating technology Machinery SH - Gas boiler (Steam) - new 1</v>
      </c>
      <c r="F141" s="224" t="s">
        <v>1149</v>
      </c>
      <c r="G141" s="173" t="s">
        <v>2080</v>
      </c>
      <c r="H141" s="174" t="str">
        <f>$AI$15</f>
        <v>IMDSH</v>
      </c>
      <c r="I141" s="174" t="str">
        <f t="shared" si="143"/>
        <v>INDMWH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INDMWH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INDMWH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INDMDPHGASN2</v>
      </c>
      <c r="E144" s="707" t="str">
        <f>"Industrial heating technology "&amp;$AJ$12&amp;" "&amp;RIGHT(H144,2)&amp;" - Gas boiler (Steam - condensing) - new 2"</f>
        <v>Industrial heating technology Machinery PH - Gas boiler (Steam - condensing) - new 2</v>
      </c>
      <c r="F144" s="224" t="s">
        <v>1149</v>
      </c>
      <c r="G144" s="173" t="s">
        <v>2080</v>
      </c>
      <c r="H144" s="708" t="str">
        <f>$AI$14</f>
        <v>IMDPH</v>
      </c>
      <c r="I144" s="708" t="str">
        <f t="shared" si="143"/>
        <v>INDMWH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INDMWH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INDMWH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INDMDSHGASN2</v>
      </c>
      <c r="E147" s="261" t="str">
        <f>"Industrial heating technology "&amp;$AJ$12&amp;" "&amp;RIGHT(H147,2)&amp;" - Gas boiler (Steam - condensing) - new 2"</f>
        <v>Industrial heating technology Machinery SH - Gas boiler (Steam - condensing) - new 2</v>
      </c>
      <c r="F147" s="224" t="s">
        <v>1149</v>
      </c>
      <c r="G147" s="173" t="s">
        <v>2080</v>
      </c>
      <c r="H147" s="174" t="str">
        <f>$AI$15</f>
        <v>IMDSH</v>
      </c>
      <c r="I147" s="174" t="str">
        <f t="shared" si="143"/>
        <v>INDMWH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INDMWH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INDMWH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INDMDPHGASN3</v>
      </c>
      <c r="E150" s="707" t="str">
        <f>"Industrial heating technology "&amp;$AJ$12&amp;" "&amp;RIGHT(H150,2)&amp;" - Gas boiler (Hot Water) - new 3"</f>
        <v>Industrial heating technology Machinery PH - Gas boiler (Hot Water) - new 3</v>
      </c>
      <c r="F150" s="224" t="s">
        <v>1149</v>
      </c>
      <c r="G150" s="173" t="s">
        <v>2080</v>
      </c>
      <c r="H150" s="708" t="str">
        <f>$AI$14</f>
        <v>IMDPH</v>
      </c>
      <c r="I150" s="708" t="str">
        <f t="shared" si="143"/>
        <v>INDMWH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INDMWH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INDMWH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INDMDSHGASN3</v>
      </c>
      <c r="E153" s="261" t="str">
        <f>"Industrial heating technology "&amp;$AJ$12&amp;" "&amp;RIGHT(H153,2)&amp;" - Gas boiler (Hot Water) - new 3"</f>
        <v>Industrial heating technology Machinery SH - Gas boiler (Hot Water) - new 3</v>
      </c>
      <c r="F153" s="224" t="s">
        <v>1149</v>
      </c>
      <c r="G153" s="173" t="s">
        <v>2080</v>
      </c>
      <c r="H153" s="174" t="str">
        <f>$AI$15</f>
        <v>IMDSH</v>
      </c>
      <c r="I153" s="174" t="str">
        <f t="shared" si="143"/>
        <v>INDMWH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INDMWH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INDMWH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INDMDPHGASN4</v>
      </c>
      <c r="E156" s="707" t="str">
        <f>"Industrial heating technology "&amp;$AJ$12&amp;" "&amp;RIGHT(H156,2)&amp;" - Gas boiler (Hot Water - condensing) - new 4"</f>
        <v>Industrial heating technology Machinery PH - Gas boiler (Hot Water - condensing) - new 4</v>
      </c>
      <c r="F156" s="224" t="s">
        <v>1149</v>
      </c>
      <c r="G156" s="173" t="s">
        <v>2080</v>
      </c>
      <c r="H156" s="708" t="str">
        <f>$AI$14</f>
        <v>IMDPH</v>
      </c>
      <c r="I156" s="708" t="str">
        <f t="shared" si="143"/>
        <v>INDMWH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INDMWH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INDMWH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INDMDSHGASN4</v>
      </c>
      <c r="E159" s="261" t="str">
        <f>"Industrial heating technology "&amp;$AJ$12&amp;" "&amp;RIGHT(H159,2)&amp;" - Gas boiler (Hot Water- condensing) - new 4"</f>
        <v>Industrial heating technology Machinery SH - Gas boiler (Hot Water- condensing) - new 4</v>
      </c>
      <c r="F159" s="224" t="s">
        <v>1149</v>
      </c>
      <c r="G159" s="173" t="s">
        <v>2080</v>
      </c>
      <c r="H159" s="174" t="str">
        <f>$AI$15</f>
        <v>IMDSH</v>
      </c>
      <c r="I159" s="174" t="str">
        <f t="shared" si="143"/>
        <v>INDMWH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INDMWH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INDMWH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INDMDPHGASN5</v>
      </c>
      <c r="E162" s="707" t="str">
        <f>"Industrial heating technology "&amp;$AJ$12&amp;" "&amp;RIGHT(H162,2)&amp;" - Gas boiler (Direct firing) - new 5"</f>
        <v>Industrial heating technology Machinery PH - Gas boiler (Direct firing) - new 5</v>
      </c>
      <c r="F162" s="224" t="s">
        <v>1149</v>
      </c>
      <c r="G162" s="173" t="s">
        <v>2080</v>
      </c>
      <c r="H162" s="174" t="str">
        <f>$AI$13</f>
        <v>IMDPH</v>
      </c>
      <c r="I162" s="174" t="str">
        <f t="shared" si="143"/>
        <v>INDMWH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INDMWH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INDMWH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INDMDPHGASN5</v>
      </c>
      <c r="E165" s="261" t="str">
        <f>"Industrial heating technology "&amp;$AJ$12&amp;" "&amp;RIGHT(H165,2)&amp;" - Gas boiler (Direct firing) - new 5"</f>
        <v>Industrial heating technology Machinery PH - Gas boiler (Direct firing) - new 5</v>
      </c>
      <c r="F165" s="224" t="s">
        <v>1149</v>
      </c>
      <c r="G165" s="173" t="s">
        <v>2080</v>
      </c>
      <c r="H165" s="174" t="str">
        <f>$AI$14</f>
        <v>IMDPH</v>
      </c>
      <c r="I165" s="721" t="str">
        <f t="shared" si="143"/>
        <v>INDMWH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INDMWH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INDMWH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INDMDPHCOAN1</v>
      </c>
      <c r="E168" s="261" t="str">
        <f>"Industrial heating technology "&amp;$AJ$12&amp;" "&amp;RIGHT(H168,2)&amp;" - Coal boiler (Steam) - new 1"</f>
        <v>Industrial heating technology Machinery PH - Coal boiler (Steam) - new 1</v>
      </c>
      <c r="F168" s="224" t="s">
        <v>1149</v>
      </c>
      <c r="G168" s="55" t="s">
        <v>617</v>
      </c>
      <c r="H168" s="174" t="str">
        <f>$AI$13</f>
        <v>IMDPH</v>
      </c>
      <c r="I168" s="174" t="str">
        <f t="shared" si="143"/>
        <v>INDMWH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INDMWH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INDMWH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INDMDPHCOAN1</v>
      </c>
      <c r="E171" s="261" t="str">
        <f>"Industrial heating technology "&amp;$AJ$12&amp;" "&amp;RIGHT(H171,2)&amp;" - Coal boiler (Steam) - new 1"</f>
        <v>Industrial heating technology Machinery PH - Coal boiler (Steam) - new 1</v>
      </c>
      <c r="F171" s="224" t="s">
        <v>1149</v>
      </c>
      <c r="G171" s="55" t="s">
        <v>617</v>
      </c>
      <c r="H171" s="174" t="str">
        <f>$AI$14</f>
        <v>IMDPH</v>
      </c>
      <c r="I171" s="174" t="str">
        <f t="shared" si="143"/>
        <v>INDMWH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INDMWH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INDMWH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INDMDSHCOAN1</v>
      </c>
      <c r="E174" s="261" t="str">
        <f>"Industrial heating technology "&amp;$AJ$12&amp;" "&amp;RIGHT(H174,2)&amp;" - Coal boiler (Steam) - new 1"</f>
        <v>Industrial heating technology Machinery SH - Coal boiler (Steam) - new 1</v>
      </c>
      <c r="F174" s="224" t="s">
        <v>1149</v>
      </c>
      <c r="G174" s="55" t="s">
        <v>617</v>
      </c>
      <c r="H174" s="174" t="str">
        <f>$AI$15</f>
        <v>IMDSH</v>
      </c>
      <c r="I174" s="174" t="str">
        <f t="shared" si="143"/>
        <v>INDMWH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INDMWH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INDMWH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INDMDPHCOAN2</v>
      </c>
      <c r="E177" s="261" t="str">
        <f>"Industrial heating technology "&amp;$AJ$12&amp;" "&amp;RIGHT(H177,2)&amp;" - Coal boiler (Hot Water) - new 2"</f>
        <v>Industrial heating technology Machinery PH - Coal boiler (Hot Water) - new 2</v>
      </c>
      <c r="F177" s="224" t="s">
        <v>1149</v>
      </c>
      <c r="G177" s="55" t="s">
        <v>617</v>
      </c>
      <c r="H177" s="174" t="str">
        <f>$AI$14</f>
        <v>IMDPH</v>
      </c>
      <c r="I177" s="174" t="str">
        <f t="shared" si="143"/>
        <v>INDMWH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INDMWH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INDMWH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INDMDSHCOAN2</v>
      </c>
      <c r="E180" s="261" t="str">
        <f>"Industrial heating technology "&amp;$AJ$12&amp;" "&amp;RIGHT(H180,2)&amp;" - Coal boiler (Hot Water) - new 2"</f>
        <v>Industrial heating technology Machinery SH - Coal boiler (Hot Water) - new 2</v>
      </c>
      <c r="F180" s="224" t="s">
        <v>1149</v>
      </c>
      <c r="G180" s="55" t="s">
        <v>617</v>
      </c>
      <c r="H180" s="174" t="str">
        <f>$AI$15</f>
        <v>IMDSH</v>
      </c>
      <c r="I180" s="174" t="str">
        <f t="shared" si="143"/>
        <v>INDMWH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INDMWH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INDMWH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INDMDSHSOLN1</v>
      </c>
      <c r="E183" s="261" t="str">
        <f>"Industrial heating technology "&amp;$AJ$12&amp;" "&amp;RIGHT(H183,2)&amp;" - Solar - new 1"</f>
        <v>Industrial heating technology Machinery SH - Solar - new 1</v>
      </c>
      <c r="F183" s="224" t="s">
        <v>1149</v>
      </c>
      <c r="G183" s="55" t="s">
        <v>500</v>
      </c>
      <c r="H183" s="174" t="str">
        <f>$AI$15</f>
        <v>IMDSH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INDMDSHHCEN1</v>
      </c>
      <c r="E187" s="224" t="str">
        <f>"Industrial heating technology "&amp;$AJ$12&amp;" "&amp;RIGHT(H187,2)&amp;" - central district heating - within DH area - new 1"</f>
        <v>Industrial heating technology Machinery SH - central district heating - within DH area - new 1</v>
      </c>
      <c r="F187" s="224" t="s">
        <v>1149</v>
      </c>
      <c r="G187" s="225" t="s">
        <v>501</v>
      </c>
      <c r="H187" s="225" t="str">
        <f>AI15</f>
        <v>IMDSH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INDMDPHHCEN1</v>
      </c>
      <c r="E188" s="224" t="str">
        <f>"Industrial heating technology "&amp;$AJ$12&amp;" "&amp;RIGHT(H188,2)&amp;" - central district heating - within DH area - new 1"</f>
        <v>Industrial heating technology Machinery PH - central district heating - within DH area - new 1</v>
      </c>
      <c r="F188" s="224" t="s">
        <v>1149</v>
      </c>
      <c r="G188" s="225" t="s">
        <v>501</v>
      </c>
      <c r="H188" s="281" t="str">
        <f>AI14</f>
        <v>IMDPH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INDMDSHHSEN1</v>
      </c>
      <c r="E189" s="224" t="str">
        <f>"Industrial heating technology "&amp;$AJ$12&amp;" "&amp;RIGHT(H189,2)&amp;" - central district heating - within DH area - new 1"</f>
        <v>Industrial heating technology Machinery SH - central district heating - within DH area - new 1</v>
      </c>
      <c r="F189" s="224" t="s">
        <v>1149</v>
      </c>
      <c r="G189" s="225" t="s">
        <v>2124</v>
      </c>
      <c r="H189" s="225" t="str">
        <f>H187</f>
        <v>IMDSH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INDMDPHHSEN1</v>
      </c>
      <c r="E190" s="224" t="str">
        <f>"Industrial heating technology "&amp;$AJ$12&amp;" "&amp;RIGHT(H190,2)&amp;" - central district heating - within DH area - new 1"</f>
        <v>Industrial heating technology Machinery PH - central district heating - within DH area - new 1</v>
      </c>
      <c r="F190" s="224" t="s">
        <v>1149</v>
      </c>
      <c r="G190" s="225" t="s">
        <v>2124</v>
      </c>
      <c r="H190" s="225" t="str">
        <f>H188</f>
        <v>IMDPH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INDMDSHHDEN1</v>
      </c>
      <c r="E191" s="224" t="str">
        <f>"Industrial heating technology "&amp;$AJ$12&amp;" "&amp;RIGHT(H191,2)&amp;" - decentral district heating - within DH area - new 1"</f>
        <v>Industrial heating technology Machinery SH - decentral district heating - within DH area - new 1</v>
      </c>
      <c r="F191" s="224" t="s">
        <v>1149</v>
      </c>
      <c r="G191" s="259" t="s">
        <v>502</v>
      </c>
      <c r="H191" s="265" t="str">
        <f>AI15</f>
        <v>IMDSH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INDMDPHHDEN1</v>
      </c>
      <c r="E192" s="224" t="str">
        <f>"Industrial heating technology "&amp;$AJ$12&amp;" "&amp;RIGHT(H192,2)&amp;" - decentral district heating - within DH area - new 1"</f>
        <v>Industrial heating technology Machinery PH - decentral district heating - within DH area - new 1</v>
      </c>
      <c r="F192" s="224" t="s">
        <v>1149</v>
      </c>
      <c r="G192" s="259" t="s">
        <v>502</v>
      </c>
      <c r="H192" s="225" t="str">
        <f>AI14</f>
        <v>IMDPH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INDMDLAELCN1</v>
      </c>
      <c r="E194" s="224" t="str">
        <f>"Industry "&amp;$AJ$12&amp;" "&amp;RIGHT(H194,2)&amp;" Electricity Light Appliance - New 1"</f>
        <v>Industry Machinery LA Electricity Light Appliance - New 1</v>
      </c>
      <c r="F194" s="224" t="s">
        <v>1149</v>
      </c>
      <c r="G194" s="225" t="s">
        <v>499</v>
      </c>
      <c r="H194" s="225" t="str">
        <f>AI16</f>
        <v>IMDLA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INDMDEMELCN1</v>
      </c>
      <c r="E198" s="224" t="str">
        <f>"Industry "&amp;$AJ$12&amp;" "&amp;RIGHT(H198,2)&amp;" Electricity Motors - New 1"</f>
        <v>Industry Machinery EM Electricity Motors - New 1</v>
      </c>
      <c r="F198" s="224" t="s">
        <v>1149</v>
      </c>
      <c r="G198" s="225" t="s">
        <v>499</v>
      </c>
      <c r="H198" s="225" t="str">
        <f>AI17</f>
        <v>IMDEM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INDMDTFDSLN1</v>
      </c>
      <c r="E202" s="224" t="str">
        <f>"Industry "&amp;$AJ$12&amp;" "&amp;RIGHT(H202,2)&amp;" Tractors, Trucks, Fishing boats - New 1"</f>
        <v>Industry Machinery TF Tractors, Trucks, Fishing boats - New 1</v>
      </c>
      <c r="F202" s="224" t="s">
        <v>1149</v>
      </c>
      <c r="G202" s="173" t="s">
        <v>2081</v>
      </c>
      <c r="H202" s="174" t="str">
        <f>$AI$18</f>
        <v>IMDTF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INDMDTFH2GN2</v>
      </c>
      <c r="E206" s="224" t="str">
        <f>"Industry "&amp;$AJ$12&amp;" "&amp;RIGHT(H206,2)&amp;" Tractors, Trucks, Fishing boats - New 2"</f>
        <v>Industry Machinery TF Tractors, Trucks, Fishing boats - New 2</v>
      </c>
      <c r="F206" s="224" t="s">
        <v>1149</v>
      </c>
      <c r="G206" s="55" t="s">
        <v>2077</v>
      </c>
      <c r="H206" s="174" t="str">
        <f>$AI$18</f>
        <v>IMDTF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INDMDTFELCN3</v>
      </c>
      <c r="E210" s="224" t="str">
        <f>"Industry "&amp;$AJ$12&amp;" "&amp;RIGHT(H210,2)&amp;" Tractors, Trucks, Fishing boats - New 3"</f>
        <v>Industry Machinery TF Tractors, Trucks, Fishing boats - New 3</v>
      </c>
      <c r="F210" s="224" t="s">
        <v>1149</v>
      </c>
      <c r="G210" s="55" t="s">
        <v>499</v>
      </c>
      <c r="H210" s="174" t="str">
        <f>$AI$18</f>
        <v>IMDTF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INDMDFLSYNN1</v>
      </c>
      <c r="E214" s="224" t="str">
        <f>"Industry "&amp;$AJ$12&amp;" "&amp;RIGHT(H202,2)&amp;" Forklifts - New 1"</f>
        <v>Industry Machinery TF Forklifts - New 1</v>
      </c>
      <c r="F214" s="224" t="s">
        <v>1149</v>
      </c>
      <c r="G214" s="173" t="s">
        <v>2082</v>
      </c>
      <c r="H214" s="224" t="str">
        <f>AI19</f>
        <v>IMDFL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INDMDCOELCN1</v>
      </c>
      <c r="E218" s="224" t="str">
        <f>"Industry "&amp;$AJ$12&amp;" "&amp;RIGHT(H218,2)&amp;" Cooling - New 1"</f>
        <v>Industry Machinery CO Cooling - New 1</v>
      </c>
      <c r="F218" s="224" t="s">
        <v>1149</v>
      </c>
      <c r="G218" s="173" t="s">
        <v>499</v>
      </c>
      <c r="H218" s="224" t="str">
        <f>AI21</f>
        <v>IMDCO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INDMDPHELCN1</v>
      </c>
      <c r="E229" s="212" t="str">
        <f t="shared" ref="E229:E260" si="266">VLOOKUP(D229,$D$9:$E$222,2,FALSE)</f>
        <v>Industrial heating technology Machinery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INDMDSHELCN1</v>
      </c>
      <c r="E230" s="212" t="str">
        <f t="shared" ca="1" si="266"/>
        <v>Industrial heating technology Machinery SH - Heat pump utilizing waste heat - new 1</v>
      </c>
      <c r="F230" s="262" t="s">
        <v>450</v>
      </c>
      <c r="G230" s="262" t="s">
        <v>449</v>
      </c>
      <c r="H230" s="263" t="s">
        <v>620</v>
      </c>
      <c r="I230" s="301"/>
      <c r="J230" s="264" t="s">
        <v>469</v>
      </c>
    </row>
    <row r="231" spans="1:10">
      <c r="A231" s="169"/>
      <c r="D231" s="212" t="str">
        <f t="shared" ca="1" si="267"/>
        <v>INDMDPHELCN2</v>
      </c>
      <c r="E231" s="212" t="str">
        <f t="shared" ca="1" si="266"/>
        <v>Industrial heating technology Machinery PH - Heat driven heat pump utilizing waste heat - new 2</v>
      </c>
      <c r="F231" s="211" t="s">
        <v>450</v>
      </c>
      <c r="G231" s="211" t="s">
        <v>449</v>
      </c>
      <c r="H231" s="263" t="s">
        <v>620</v>
      </c>
      <c r="I231" s="208"/>
      <c r="J231" s="264" t="s">
        <v>469</v>
      </c>
    </row>
    <row r="232" spans="1:10">
      <c r="A232" s="169"/>
      <c r="B232" s="211"/>
      <c r="C232" s="211"/>
      <c r="D232" s="212" t="str">
        <f t="shared" ca="1" si="267"/>
        <v>INDMDSHELCN2</v>
      </c>
      <c r="E232" s="212" t="str">
        <f t="shared" ca="1" si="266"/>
        <v>Industrial heating technology Machinery SH - Heat driven heat pump utilizing waste heat - new 2</v>
      </c>
      <c r="F232" s="262" t="s">
        <v>450</v>
      </c>
      <c r="G232" s="262" t="s">
        <v>449</v>
      </c>
      <c r="H232" s="263" t="s">
        <v>620</v>
      </c>
      <c r="I232" s="264"/>
      <c r="J232" s="264" t="s">
        <v>469</v>
      </c>
    </row>
    <row r="233" spans="1:10">
      <c r="A233" s="169"/>
      <c r="B233" s="211"/>
      <c r="C233" s="211"/>
      <c r="D233" s="212" t="str">
        <f t="shared" ca="1" si="267"/>
        <v>INDMDPHELCN3</v>
      </c>
      <c r="E233" s="212" t="str">
        <f t="shared" ca="1" si="266"/>
        <v>Industrial heating technology Machinery PH - High Temp abs. Heat pump utilizing waste heat - new 3</v>
      </c>
      <c r="F233" s="262" t="s">
        <v>450</v>
      </c>
      <c r="G233" s="262" t="s">
        <v>449</v>
      </c>
      <c r="H233" s="263" t="s">
        <v>620</v>
      </c>
      <c r="I233" s="264"/>
      <c r="J233" s="264" t="s">
        <v>469</v>
      </c>
    </row>
    <row r="234" spans="1:10">
      <c r="A234" s="169"/>
      <c r="B234" s="211"/>
      <c r="C234" s="211"/>
      <c r="D234" s="212" t="str">
        <f t="shared" ca="1" si="267"/>
        <v>INDMDSHELCN3</v>
      </c>
      <c r="E234" s="212" t="str">
        <f t="shared" ca="1" si="266"/>
        <v>Industrial heating technology Machinery SH - High Temp abs. Heat pump utilizing waste heat - new 3</v>
      </c>
      <c r="F234" s="262" t="s">
        <v>450</v>
      </c>
      <c r="G234" s="262" t="s">
        <v>449</v>
      </c>
      <c r="H234" s="263" t="s">
        <v>620</v>
      </c>
      <c r="I234" s="264"/>
      <c r="J234" s="264" t="s">
        <v>469</v>
      </c>
    </row>
    <row r="235" spans="1:10">
      <c r="A235" s="169"/>
      <c r="B235" s="211"/>
      <c r="C235" s="211"/>
      <c r="D235" s="212" t="str">
        <f t="shared" ca="1" si="267"/>
        <v>INDMDPHELCN4</v>
      </c>
      <c r="E235" s="212" t="str">
        <f t="shared" ca="1" si="266"/>
        <v>Industrial heating technology Machinery PH - Booster Heat pump utilizing waste heat - new 4</v>
      </c>
      <c r="F235" s="262" t="s">
        <v>450</v>
      </c>
      <c r="G235" s="262" t="s">
        <v>449</v>
      </c>
      <c r="H235" s="263" t="s">
        <v>620</v>
      </c>
      <c r="I235" s="264"/>
      <c r="J235" s="264" t="s">
        <v>469</v>
      </c>
    </row>
    <row r="236" spans="1:10">
      <c r="A236" s="169"/>
      <c r="B236" s="211"/>
      <c r="C236" s="211"/>
      <c r="D236" s="212" t="str">
        <f t="shared" ca="1" si="267"/>
        <v>INDMDSHELCN4</v>
      </c>
      <c r="E236" s="212" t="str">
        <f t="shared" ca="1" si="266"/>
        <v>Industrial heating technology Machinery SH - Booster Heat pump utilizing waste heat - new 4</v>
      </c>
      <c r="F236" s="262" t="s">
        <v>450</v>
      </c>
      <c r="G236" s="262" t="s">
        <v>449</v>
      </c>
      <c r="H236" s="263" t="s">
        <v>620</v>
      </c>
      <c r="I236" s="264"/>
      <c r="J236" s="264" t="s">
        <v>469</v>
      </c>
    </row>
    <row r="237" spans="1:10">
      <c r="A237" s="169"/>
      <c r="B237" s="211"/>
      <c r="C237" s="211"/>
      <c r="D237" s="212" t="str">
        <f t="shared" ca="1" si="267"/>
        <v>INDMDPHELCN5</v>
      </c>
      <c r="E237" s="212" t="str">
        <f t="shared" ca="1" si="266"/>
        <v>Industrial heating technology Machinery PH - MVR utilizing waste heat - new 5</v>
      </c>
      <c r="F237" s="262" t="s">
        <v>450</v>
      </c>
      <c r="G237" s="262" t="s">
        <v>449</v>
      </c>
      <c r="H237" s="263"/>
      <c r="I237" s="264"/>
      <c r="J237" s="264" t="s">
        <v>469</v>
      </c>
    </row>
    <row r="238" spans="1:10">
      <c r="A238" s="169"/>
      <c r="B238" s="211"/>
      <c r="C238" s="211"/>
      <c r="D238" s="212" t="str">
        <f t="shared" ca="1" si="267"/>
        <v>INDMDPHWSTN1</v>
      </c>
      <c r="E238" s="212" t="str">
        <f t="shared" ca="1" si="266"/>
        <v>Industrial heating technology Machinery PH - Hotdisc - new 1</v>
      </c>
      <c r="F238" s="262" t="s">
        <v>450</v>
      </c>
      <c r="G238" s="262" t="s">
        <v>449</v>
      </c>
      <c r="H238" s="263" t="s">
        <v>620</v>
      </c>
      <c r="I238" s="264"/>
      <c r="J238" s="264" t="s">
        <v>469</v>
      </c>
    </row>
    <row r="239" spans="1:10">
      <c r="A239" s="169"/>
      <c r="B239" s="211"/>
      <c r="C239" s="211"/>
      <c r="D239" s="212" t="str">
        <f t="shared" ref="D239:D278" ca="1" si="268">OFFSET($D$9,(ROW(D19)*3),0)</f>
        <v>INDMDPHELCN6</v>
      </c>
      <c r="E239" s="212" t="str">
        <f t="shared" ca="1" si="266"/>
        <v>Industrial heating technology Machinery PH - Dielectric heating - new 6</v>
      </c>
      <c r="F239" s="262" t="s">
        <v>450</v>
      </c>
      <c r="G239" s="262" t="s">
        <v>449</v>
      </c>
      <c r="H239" s="263" t="s">
        <v>620</v>
      </c>
      <c r="I239" s="264"/>
      <c r="J239" s="264" t="s">
        <v>469</v>
      </c>
    </row>
    <row r="240" spans="1:10">
      <c r="A240" s="169"/>
      <c r="B240" s="211"/>
      <c r="C240" s="211"/>
      <c r="D240" s="212" t="str">
        <f t="shared" ca="1" si="268"/>
        <v>INDMDPHELCN7</v>
      </c>
      <c r="E240" s="212" t="str">
        <f t="shared" ca="1" si="266"/>
        <v>Industrial heating technology Machinery PH - Infrared heating - new 7</v>
      </c>
      <c r="F240" s="262" t="s">
        <v>450</v>
      </c>
      <c r="G240" s="262" t="s">
        <v>449</v>
      </c>
      <c r="H240" s="263" t="s">
        <v>620</v>
      </c>
      <c r="I240" s="264"/>
      <c r="J240" s="264" t="s">
        <v>469</v>
      </c>
    </row>
    <row r="241" spans="1:16">
      <c r="A241" s="169"/>
      <c r="B241" s="211"/>
      <c r="C241" s="211"/>
      <c r="D241" s="212" t="str">
        <f t="shared" ca="1" si="268"/>
        <v>INDMDPHELCN8</v>
      </c>
      <c r="E241" s="212" t="str">
        <f t="shared" ca="1" si="266"/>
        <v>Industrial heating technology Machinery PH - Electric boiler (Steam) - new 8</v>
      </c>
      <c r="F241" s="262" t="s">
        <v>450</v>
      </c>
      <c r="G241" s="262" t="s">
        <v>449</v>
      </c>
      <c r="H241" s="263" t="s">
        <v>620</v>
      </c>
      <c r="I241" s="264"/>
      <c r="J241" s="264" t="s">
        <v>469</v>
      </c>
    </row>
    <row r="242" spans="1:16">
      <c r="A242" s="169"/>
      <c r="B242" s="211"/>
      <c r="C242" s="211"/>
      <c r="D242" s="212" t="str">
        <f t="shared" ca="1" si="268"/>
        <v>INDMDPHELCN8</v>
      </c>
      <c r="E242" s="212" t="str">
        <f t="shared" ca="1" si="266"/>
        <v>Industrial heating technology Machinery PH - Electric boiler (Steam) - new 8</v>
      </c>
      <c r="F242" s="262" t="s">
        <v>450</v>
      </c>
      <c r="G242" s="262" t="s">
        <v>449</v>
      </c>
      <c r="H242" s="263" t="s">
        <v>620</v>
      </c>
      <c r="I242" s="264"/>
      <c r="J242" s="264" t="s">
        <v>469</v>
      </c>
    </row>
    <row r="243" spans="1:16">
      <c r="A243" s="169"/>
      <c r="B243" s="211"/>
      <c r="C243" s="211"/>
      <c r="D243" s="212" t="str">
        <f t="shared" ca="1" si="268"/>
        <v>INDMDSHELCN8</v>
      </c>
      <c r="E243" s="212" t="str">
        <f t="shared" ca="1" si="266"/>
        <v>Industrial heating technology Machinery SH - Electric boiler (Steam) - new 8</v>
      </c>
      <c r="F243" s="262" t="s">
        <v>450</v>
      </c>
      <c r="G243" s="262" t="s">
        <v>449</v>
      </c>
      <c r="H243" s="263" t="s">
        <v>620</v>
      </c>
      <c r="I243" s="264"/>
      <c r="J243" s="264" t="s">
        <v>469</v>
      </c>
      <c r="P243" s="173"/>
    </row>
    <row r="244" spans="1:16">
      <c r="A244" s="169"/>
      <c r="B244" s="211"/>
      <c r="C244" s="211"/>
      <c r="D244" s="212" t="str">
        <f t="shared" ca="1" si="268"/>
        <v>INDMDPHELCN9</v>
      </c>
      <c r="E244" s="212" t="str">
        <f t="shared" ca="1" si="266"/>
        <v>Industrial heating technology Machinery PH - Electric boiler (Hot Water) - new 9</v>
      </c>
      <c r="F244" s="262" t="s">
        <v>450</v>
      </c>
      <c r="G244" s="262" t="s">
        <v>449</v>
      </c>
      <c r="H244" s="263" t="s">
        <v>620</v>
      </c>
      <c r="I244" s="264"/>
      <c r="J244" s="264" t="s">
        <v>469</v>
      </c>
      <c r="P244" s="173"/>
    </row>
    <row r="245" spans="1:16">
      <c r="A245" s="169"/>
      <c r="B245" s="211"/>
      <c r="C245" s="211"/>
      <c r="D245" s="212" t="str">
        <f t="shared" ca="1" si="268"/>
        <v>INDMDSHELCN9</v>
      </c>
      <c r="E245" s="212" t="str">
        <f t="shared" ca="1" si="266"/>
        <v>Industrial heating technology Machinery SH - Electric boiler (Hot Water) - new 9</v>
      </c>
      <c r="F245" s="262" t="s">
        <v>450</v>
      </c>
      <c r="G245" s="262" t="s">
        <v>449</v>
      </c>
      <c r="H245" s="263" t="s">
        <v>620</v>
      </c>
      <c r="I245" s="264"/>
      <c r="J245" s="264" t="s">
        <v>469</v>
      </c>
      <c r="P245" s="173"/>
    </row>
    <row r="246" spans="1:16">
      <c r="A246" s="169"/>
      <c r="B246" s="211"/>
      <c r="C246" s="211"/>
      <c r="D246" s="212" t="str">
        <f t="shared" ca="1" si="268"/>
        <v>INDMDPHWCHN1</v>
      </c>
      <c r="E246" s="212" t="str">
        <f t="shared" ca="1" si="266"/>
        <v>Industrial heating technology Machinery PH - Wood chip boiler (Steam) - new 1</v>
      </c>
      <c r="F246" s="262" t="s">
        <v>450</v>
      </c>
      <c r="G246" s="262" t="s">
        <v>449</v>
      </c>
      <c r="H246" s="263"/>
      <c r="I246" s="264"/>
      <c r="J246" s="264" t="s">
        <v>469</v>
      </c>
      <c r="P246" s="173"/>
    </row>
    <row r="247" spans="1:16">
      <c r="A247" s="169"/>
      <c r="B247" s="211"/>
      <c r="C247" s="211"/>
      <c r="D247" s="212" t="str">
        <f t="shared" ca="1" si="268"/>
        <v>INDMDPHWCHN1</v>
      </c>
      <c r="E247" s="212" t="str">
        <f t="shared" ca="1" si="266"/>
        <v>Industrial heating technology Machinery PH - Wood chip boiler (Steam) - new 1</v>
      </c>
      <c r="F247" s="262" t="s">
        <v>450</v>
      </c>
      <c r="G247" s="262" t="s">
        <v>449</v>
      </c>
      <c r="H247" s="263"/>
      <c r="I247" s="264"/>
      <c r="J247" s="264" t="s">
        <v>469</v>
      </c>
      <c r="M247" s="171"/>
      <c r="N247" s="171"/>
      <c r="P247" s="173"/>
    </row>
    <row r="248" spans="1:16">
      <c r="A248" s="169"/>
      <c r="B248" s="211"/>
      <c r="C248" s="211"/>
      <c r="D248" s="212" t="str">
        <f t="shared" ca="1" si="268"/>
        <v>INDMDSHWCHN1</v>
      </c>
      <c r="E248" s="212" t="str">
        <f t="shared" ca="1" si="266"/>
        <v>Industrial heating technology Machinery SH - Wood chip boiler (Steam) - new 1</v>
      </c>
      <c r="F248" s="262" t="s">
        <v>450</v>
      </c>
      <c r="G248" s="262" t="s">
        <v>449</v>
      </c>
      <c r="H248" s="263"/>
      <c r="I248" s="264"/>
      <c r="J248" s="264" t="s">
        <v>469</v>
      </c>
      <c r="M248" s="171"/>
      <c r="N248" s="171"/>
      <c r="P248" s="173"/>
    </row>
    <row r="249" spans="1:16">
      <c r="A249" s="169"/>
      <c r="B249" s="211"/>
      <c r="C249" s="211"/>
      <c r="D249" s="212" t="str">
        <f t="shared" ca="1" si="268"/>
        <v>INDMDPHWCHN2</v>
      </c>
      <c r="E249" s="212" t="str">
        <f t="shared" ca="1" si="266"/>
        <v>Industrial heating technology Machinery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INDMDSHWCHN2</v>
      </c>
      <c r="E250" s="212" t="str">
        <f t="shared" ca="1" si="266"/>
        <v>Industrial heating technology Machinery SH - Wood chip boiler (Steam - condensing) - new 2</v>
      </c>
      <c r="F250" s="262" t="s">
        <v>450</v>
      </c>
      <c r="G250" s="262" t="s">
        <v>449</v>
      </c>
      <c r="H250" s="263"/>
      <c r="I250" s="264"/>
      <c r="J250" s="264" t="s">
        <v>469</v>
      </c>
    </row>
    <row r="251" spans="1:16">
      <c r="A251" s="169"/>
      <c r="B251" s="212"/>
      <c r="C251" s="212"/>
      <c r="D251" s="212" t="str">
        <f t="shared" ca="1" si="268"/>
        <v>INDMDPHWCHN3</v>
      </c>
      <c r="E251" s="212" t="str">
        <f t="shared" ca="1" si="266"/>
        <v>Industrial heating technology Machinery PH - Wood chip boiler (Hot Water) - new 3</v>
      </c>
      <c r="F251" s="262" t="s">
        <v>450</v>
      </c>
      <c r="G251" s="262" t="s">
        <v>449</v>
      </c>
      <c r="H251" s="261"/>
      <c r="I251" s="261"/>
      <c r="J251" s="264" t="s">
        <v>469</v>
      </c>
    </row>
    <row r="252" spans="1:16">
      <c r="A252" s="169"/>
      <c r="B252" s="212"/>
      <c r="C252" s="212"/>
      <c r="D252" s="212" t="str">
        <f t="shared" ca="1" si="268"/>
        <v>INDMDSHWCHN3</v>
      </c>
      <c r="E252" s="212" t="str">
        <f t="shared" ca="1" si="266"/>
        <v>Industrial heating technology Machinery SH - Wood chip boiler (Hot Water) - new 3</v>
      </c>
      <c r="F252" s="262" t="s">
        <v>450</v>
      </c>
      <c r="G252" s="262" t="s">
        <v>449</v>
      </c>
      <c r="H252" s="261"/>
      <c r="I252" s="261"/>
      <c r="J252" s="264" t="s">
        <v>469</v>
      </c>
    </row>
    <row r="253" spans="1:16">
      <c r="A253" s="169"/>
      <c r="B253" s="212"/>
      <c r="C253" s="212"/>
      <c r="D253" s="212" t="str">
        <f t="shared" ca="1" si="268"/>
        <v>INDMDPHWCHN4</v>
      </c>
      <c r="E253" s="212" t="str">
        <f t="shared" ca="1" si="266"/>
        <v>Industrial heating technology Machinery PH - Wood chip boiler (Hot Water - condensing) - new 4</v>
      </c>
      <c r="F253" s="262" t="s">
        <v>450</v>
      </c>
      <c r="G253" s="262" t="s">
        <v>449</v>
      </c>
      <c r="H253" s="261"/>
      <c r="I253" s="261"/>
      <c r="J253" s="264" t="s">
        <v>469</v>
      </c>
    </row>
    <row r="254" spans="1:16">
      <c r="A254" s="169"/>
      <c r="B254" s="212"/>
      <c r="C254" s="212"/>
      <c r="D254" s="212" t="str">
        <f t="shared" ca="1" si="268"/>
        <v>INDMDSHWCHN4</v>
      </c>
      <c r="E254" s="212" t="str">
        <f t="shared" ca="1" si="266"/>
        <v>Industrial heating technology Machinery SH - Wood chip boiler (Hot Water- condensing) - new 4</v>
      </c>
      <c r="F254" s="262" t="s">
        <v>450</v>
      </c>
      <c r="G254" s="262" t="s">
        <v>449</v>
      </c>
      <c r="H254" s="261"/>
      <c r="I254" s="261"/>
      <c r="J254" s="264" t="s">
        <v>469</v>
      </c>
    </row>
    <row r="255" spans="1:16">
      <c r="B255" s="212"/>
      <c r="C255" s="212"/>
      <c r="D255" s="212" t="str">
        <f t="shared" ca="1" si="268"/>
        <v>INDMDPHELCN10</v>
      </c>
      <c r="E255" s="212" t="str">
        <f t="shared" ca="1" si="266"/>
        <v>Industrial heating technology Machinery PH - Direct electric heating - new 10</v>
      </c>
      <c r="F255" s="262" t="s">
        <v>450</v>
      </c>
      <c r="G255" s="262" t="s">
        <v>449</v>
      </c>
      <c r="H255" s="261"/>
      <c r="I255" s="261"/>
      <c r="J255" s="264" t="s">
        <v>469</v>
      </c>
    </row>
    <row r="256" spans="1:16">
      <c r="B256" s="212"/>
      <c r="C256" s="212"/>
      <c r="D256" s="212" t="str">
        <f t="shared" ca="1" si="268"/>
        <v>INDMDPHELCN10</v>
      </c>
      <c r="E256" s="212" t="str">
        <f t="shared" ca="1" si="266"/>
        <v>Industrial heating technology Machinery PH - Direct electric heating - new 10</v>
      </c>
      <c r="F256" s="262" t="s">
        <v>450</v>
      </c>
      <c r="G256" s="262" t="s">
        <v>449</v>
      </c>
      <c r="H256" s="261"/>
      <c r="I256" s="261"/>
      <c r="J256" s="264" t="s">
        <v>469</v>
      </c>
    </row>
    <row r="257" spans="1:10">
      <c r="B257" s="212"/>
      <c r="C257" s="212"/>
      <c r="D257" s="212" t="str">
        <f t="shared" ca="1" si="268"/>
        <v>INDMDPHDSLN1</v>
      </c>
      <c r="E257" s="212" t="str">
        <f t="shared" ca="1" si="266"/>
        <v>Industrial heating technology Machinery PH - Oil boiler (Steam) - new 1</v>
      </c>
      <c r="F257" s="262" t="s">
        <v>450</v>
      </c>
      <c r="G257" s="262" t="s">
        <v>449</v>
      </c>
      <c r="H257" s="261"/>
      <c r="I257" s="261"/>
      <c r="J257" s="264" t="s">
        <v>469</v>
      </c>
    </row>
    <row r="258" spans="1:10">
      <c r="B258" s="212"/>
      <c r="C258" s="212"/>
      <c r="D258" s="212" t="str">
        <f t="shared" ca="1" si="268"/>
        <v>INDMDPHDSLN1</v>
      </c>
      <c r="E258" s="212" t="str">
        <f t="shared" ca="1" si="266"/>
        <v>Industrial heating technology Machinery PH - Oil boiler (Steam) - new 1</v>
      </c>
      <c r="F258" s="262" t="s">
        <v>450</v>
      </c>
      <c r="G258" s="262" t="s">
        <v>449</v>
      </c>
      <c r="H258" s="261"/>
      <c r="I258" s="261"/>
      <c r="J258" s="264" t="s">
        <v>469</v>
      </c>
    </row>
    <row r="259" spans="1:10">
      <c r="B259" s="212"/>
      <c r="C259" s="212"/>
      <c r="D259" s="212" t="str">
        <f t="shared" ca="1" si="268"/>
        <v>INDMDSHDSLN1</v>
      </c>
      <c r="E259" s="212" t="str">
        <f t="shared" ca="1" si="266"/>
        <v>Industrial heating technology Machinery SH - Oil boiler (Steam) - new 1</v>
      </c>
      <c r="F259" s="262" t="s">
        <v>450</v>
      </c>
      <c r="G259" s="262" t="s">
        <v>449</v>
      </c>
      <c r="H259" s="261"/>
      <c r="I259" s="261"/>
      <c r="J259" s="264" t="s">
        <v>469</v>
      </c>
    </row>
    <row r="260" spans="1:10">
      <c r="A260" s="214"/>
      <c r="B260" s="212"/>
      <c r="C260" s="212"/>
      <c r="D260" s="212" t="str">
        <f t="shared" ca="1" si="268"/>
        <v>INDMDPHDSLN2</v>
      </c>
      <c r="E260" s="212" t="str">
        <f t="shared" ca="1" si="266"/>
        <v>Industrial heating technology Machinery PH - Oil boiler (Steam - condensing) - new 2</v>
      </c>
      <c r="F260" s="262" t="s">
        <v>450</v>
      </c>
      <c r="G260" s="262" t="s">
        <v>449</v>
      </c>
      <c r="H260" s="261"/>
      <c r="I260" s="261"/>
      <c r="J260" s="264" t="s">
        <v>469</v>
      </c>
    </row>
    <row r="261" spans="1:10">
      <c r="A261" s="214"/>
      <c r="B261" s="212"/>
      <c r="C261" s="212"/>
      <c r="D261" s="212" t="str">
        <f t="shared" ca="1" si="268"/>
        <v>INDMDSHDSLN2</v>
      </c>
      <c r="E261" s="212" t="str">
        <f t="shared" ref="E261:E290" ca="1" si="269">VLOOKUP(D261,$D$9:$E$222,2,FALSE)</f>
        <v>Industrial heating technology Machinery SH - Oil boiler (Steam - condensing) - new 2</v>
      </c>
      <c r="F261" s="262" t="s">
        <v>450</v>
      </c>
      <c r="G261" s="262" t="s">
        <v>449</v>
      </c>
      <c r="H261" s="261"/>
      <c r="I261" s="261"/>
      <c r="J261" s="264" t="s">
        <v>469</v>
      </c>
    </row>
    <row r="262" spans="1:10">
      <c r="A262" s="214"/>
      <c r="B262" s="212"/>
      <c r="C262" s="212"/>
      <c r="D262" s="212" t="str">
        <f t="shared" ca="1" si="268"/>
        <v>INDMDPHGASN1</v>
      </c>
      <c r="E262" s="212" t="str">
        <f t="shared" ca="1" si="269"/>
        <v>Industrial heating technology Machinery PH - Gas boiler (Steam) - new 1</v>
      </c>
      <c r="F262" s="262" t="s">
        <v>450</v>
      </c>
      <c r="G262" s="262" t="s">
        <v>449</v>
      </c>
      <c r="H262" s="261"/>
      <c r="I262" s="261"/>
      <c r="J262" s="264" t="s">
        <v>469</v>
      </c>
    </row>
    <row r="263" spans="1:10">
      <c r="A263" s="214"/>
      <c r="B263" s="212"/>
      <c r="C263" s="212"/>
      <c r="D263" s="212" t="str">
        <f t="shared" ca="1" si="268"/>
        <v>INDMDPHGASN1</v>
      </c>
      <c r="E263" s="212" t="str">
        <f t="shared" ca="1" si="269"/>
        <v>Industrial heating technology Machinery PH - Gas boiler (Steam) - new 1</v>
      </c>
      <c r="F263" s="262" t="s">
        <v>450</v>
      </c>
      <c r="G263" s="262" t="s">
        <v>449</v>
      </c>
      <c r="H263" s="261"/>
      <c r="I263" s="261"/>
      <c r="J263" s="264" t="s">
        <v>469</v>
      </c>
    </row>
    <row r="264" spans="1:10">
      <c r="B264" s="212"/>
      <c r="C264" s="212"/>
      <c r="D264" s="212" t="str">
        <f t="shared" ca="1" si="268"/>
        <v>INDMDSHGASN1</v>
      </c>
      <c r="E264" s="212" t="str">
        <f t="shared" ca="1" si="269"/>
        <v>Industrial heating technology Machinery SH - Gas boiler (Steam) - new 1</v>
      </c>
      <c r="F264" s="262" t="s">
        <v>450</v>
      </c>
      <c r="G264" s="262" t="s">
        <v>449</v>
      </c>
      <c r="H264" s="261"/>
      <c r="I264" s="261"/>
      <c r="J264" s="264" t="s">
        <v>469</v>
      </c>
    </row>
    <row r="265" spans="1:10">
      <c r="B265" s="212"/>
      <c r="C265" s="212"/>
      <c r="D265" s="212" t="str">
        <f t="shared" ca="1" si="268"/>
        <v>INDMDPHGASN2</v>
      </c>
      <c r="E265" s="212" t="str">
        <f t="shared" ca="1" si="269"/>
        <v>Industrial heating technology Machinery PH - Gas boiler (Steam - condensing) - new 2</v>
      </c>
      <c r="F265" s="262" t="s">
        <v>450</v>
      </c>
      <c r="G265" s="262" t="s">
        <v>449</v>
      </c>
      <c r="H265" s="261"/>
      <c r="I265" s="261"/>
      <c r="J265" s="264" t="s">
        <v>469</v>
      </c>
    </row>
    <row r="266" spans="1:10">
      <c r="B266" s="212"/>
      <c r="C266" s="212"/>
      <c r="D266" s="212" t="str">
        <f t="shared" ca="1" si="268"/>
        <v>INDMDSHGASN2</v>
      </c>
      <c r="E266" s="212" t="str">
        <f t="shared" ca="1" si="269"/>
        <v>Industrial heating technology Machinery SH - Gas boiler (Steam - condensing) - new 2</v>
      </c>
      <c r="F266" s="262" t="s">
        <v>450</v>
      </c>
      <c r="G266" s="262" t="s">
        <v>449</v>
      </c>
      <c r="H266" s="261"/>
      <c r="I266" s="261"/>
      <c r="J266" s="264" t="s">
        <v>469</v>
      </c>
    </row>
    <row r="267" spans="1:10">
      <c r="B267" s="212"/>
      <c r="C267" s="212"/>
      <c r="D267" s="212" t="str">
        <f t="shared" ca="1" si="268"/>
        <v>INDMDPHGASN3</v>
      </c>
      <c r="E267" s="212" t="str">
        <f t="shared" ca="1" si="269"/>
        <v>Industrial heating technology Machinery PH - Gas boiler (Hot Water) - new 3</v>
      </c>
      <c r="F267" s="262" t="s">
        <v>450</v>
      </c>
      <c r="G267" s="262" t="s">
        <v>449</v>
      </c>
      <c r="H267" s="261"/>
      <c r="I267" s="261"/>
      <c r="J267" s="264" t="s">
        <v>469</v>
      </c>
    </row>
    <row r="268" spans="1:10">
      <c r="B268" s="212"/>
      <c r="C268" s="212"/>
      <c r="D268" s="212" t="str">
        <f t="shared" ca="1" si="268"/>
        <v>INDMDSHGASN3</v>
      </c>
      <c r="E268" s="212" t="str">
        <f t="shared" ca="1" si="269"/>
        <v>Industrial heating technology Machinery SH - Gas boiler (Hot Water) - new 3</v>
      </c>
      <c r="F268" s="262" t="s">
        <v>450</v>
      </c>
      <c r="G268" s="262" t="s">
        <v>449</v>
      </c>
      <c r="H268" s="261"/>
      <c r="I268" s="261"/>
      <c r="J268" s="264" t="s">
        <v>469</v>
      </c>
    </row>
    <row r="269" spans="1:10">
      <c r="B269" s="212"/>
      <c r="C269" s="212"/>
      <c r="D269" s="212" t="str">
        <f t="shared" ca="1" si="268"/>
        <v>INDMDPHGASN4</v>
      </c>
      <c r="E269" s="212" t="str">
        <f t="shared" ca="1" si="269"/>
        <v>Industrial heating technology Machinery PH - Gas boiler (Hot Water - condensing) - new 4</v>
      </c>
      <c r="F269" s="262" t="s">
        <v>450</v>
      </c>
      <c r="G269" s="262" t="s">
        <v>449</v>
      </c>
      <c r="H269" s="261"/>
      <c r="I269" s="261"/>
      <c r="J269" s="264" t="s">
        <v>469</v>
      </c>
    </row>
    <row r="270" spans="1:10">
      <c r="B270" s="212"/>
      <c r="C270" s="212"/>
      <c r="D270" s="212" t="str">
        <f t="shared" ca="1" si="268"/>
        <v>INDMDSHGASN4</v>
      </c>
      <c r="E270" s="212" t="str">
        <f t="shared" ca="1" si="269"/>
        <v>Industrial heating technology Machinery SH - Gas boiler (Hot Water- condensing) - new 4</v>
      </c>
      <c r="F270" s="262" t="s">
        <v>450</v>
      </c>
      <c r="G270" s="262" t="s">
        <v>449</v>
      </c>
      <c r="H270" s="261"/>
      <c r="I270" s="261"/>
      <c r="J270" s="264" t="s">
        <v>469</v>
      </c>
    </row>
    <row r="271" spans="1:10">
      <c r="B271" s="212"/>
      <c r="C271" s="212"/>
      <c r="D271" s="212" t="str">
        <f t="shared" ca="1" si="268"/>
        <v>INDMDPHGASN5</v>
      </c>
      <c r="E271" s="212" t="str">
        <f t="shared" ca="1" si="269"/>
        <v>Industrial heating technology Machinery PH - Gas boiler (Direct firing) - new 5</v>
      </c>
      <c r="F271" s="262" t="s">
        <v>450</v>
      </c>
      <c r="G271" s="262" t="s">
        <v>449</v>
      </c>
      <c r="H271" s="261"/>
      <c r="I271" s="261"/>
      <c r="J271" s="264" t="s">
        <v>469</v>
      </c>
    </row>
    <row r="272" spans="1:10">
      <c r="B272" s="212"/>
      <c r="C272" s="212"/>
      <c r="D272" s="212" t="str">
        <f t="shared" ca="1" si="268"/>
        <v>INDMDPHGASN5</v>
      </c>
      <c r="E272" s="212" t="str">
        <f t="shared" ca="1" si="269"/>
        <v>Industrial heating technology Machinery PH - Gas boiler (Direct firing) - new 5</v>
      </c>
      <c r="F272" s="262" t="s">
        <v>450</v>
      </c>
      <c r="G272" s="262" t="s">
        <v>449</v>
      </c>
      <c r="H272" s="261"/>
      <c r="I272" s="261"/>
      <c r="J272" s="264" t="s">
        <v>469</v>
      </c>
    </row>
    <row r="273" spans="2:10">
      <c r="B273" s="212"/>
      <c r="C273" s="212"/>
      <c r="D273" s="212" t="str">
        <f t="shared" ca="1" si="268"/>
        <v>INDMDPHCOAN1</v>
      </c>
      <c r="E273" s="212" t="str">
        <f t="shared" ca="1" si="269"/>
        <v>Industrial heating technology Machinery PH - Coal boiler (Steam) - new 1</v>
      </c>
      <c r="F273" s="262" t="s">
        <v>450</v>
      </c>
      <c r="G273" s="262" t="s">
        <v>449</v>
      </c>
      <c r="H273" s="261"/>
      <c r="I273" s="261"/>
      <c r="J273" s="264" t="s">
        <v>469</v>
      </c>
    </row>
    <row r="274" spans="2:10">
      <c r="B274" s="212"/>
      <c r="C274" s="212"/>
      <c r="D274" s="212" t="str">
        <f t="shared" ca="1" si="268"/>
        <v>INDMDPHCOAN1</v>
      </c>
      <c r="E274" s="212" t="str">
        <f t="shared" ca="1" si="269"/>
        <v>Industrial heating technology Machinery PH - Coal boiler (Steam) - new 1</v>
      </c>
      <c r="F274" s="262" t="s">
        <v>450</v>
      </c>
      <c r="G274" s="262" t="s">
        <v>449</v>
      </c>
      <c r="H274" s="261"/>
      <c r="I274" s="261"/>
      <c r="J274" s="264" t="s">
        <v>469</v>
      </c>
    </row>
    <row r="275" spans="2:10">
      <c r="B275" s="212"/>
      <c r="C275" s="212"/>
      <c r="D275" s="212" t="str">
        <f t="shared" ca="1" si="268"/>
        <v>INDMDSHCOAN1</v>
      </c>
      <c r="E275" s="212" t="str">
        <f t="shared" ca="1" si="269"/>
        <v>Industrial heating technology Machinery SH - Coal boiler (Steam) - new 1</v>
      </c>
      <c r="F275" s="262" t="s">
        <v>450</v>
      </c>
      <c r="G275" s="262" t="s">
        <v>449</v>
      </c>
      <c r="H275" s="261"/>
      <c r="I275" s="261"/>
      <c r="J275" s="264" t="s">
        <v>469</v>
      </c>
    </row>
    <row r="276" spans="2:10">
      <c r="B276" s="212"/>
      <c r="C276" s="212"/>
      <c r="D276" s="212" t="str">
        <f t="shared" ca="1" si="268"/>
        <v>INDMDPHCOAN2</v>
      </c>
      <c r="E276" s="212" t="str">
        <f t="shared" ca="1" si="269"/>
        <v>Industrial heating technology Machinery PH - Coal boiler (Hot Water) - new 2</v>
      </c>
      <c r="F276" s="262" t="s">
        <v>450</v>
      </c>
      <c r="G276" s="262" t="s">
        <v>449</v>
      </c>
      <c r="H276" s="261"/>
      <c r="I276" s="261"/>
      <c r="J276" s="264" t="s">
        <v>469</v>
      </c>
    </row>
    <row r="277" spans="2:10">
      <c r="B277" s="212"/>
      <c r="C277" s="212"/>
      <c r="D277" s="212" t="str">
        <f t="shared" ca="1" si="268"/>
        <v>INDMDSHCOAN2</v>
      </c>
      <c r="E277" s="212" t="str">
        <f t="shared" ca="1" si="269"/>
        <v>Industrial heating technology Machinery SH - Coal boiler (Hot Water) - new 2</v>
      </c>
      <c r="F277" s="262" t="s">
        <v>450</v>
      </c>
      <c r="G277" s="262" t="s">
        <v>449</v>
      </c>
      <c r="H277" s="261"/>
      <c r="I277" s="261"/>
      <c r="J277" s="264" t="s">
        <v>469</v>
      </c>
    </row>
    <row r="278" spans="2:10">
      <c r="B278" s="212"/>
      <c r="C278" s="212"/>
      <c r="D278" s="212" t="str">
        <f t="shared" ca="1" si="268"/>
        <v>INDMDSHSOLN1</v>
      </c>
      <c r="E278" s="212" t="str">
        <f t="shared" ca="1" si="269"/>
        <v>Industrial heating technology Machinery SH - Solar - new 1</v>
      </c>
      <c r="F278" s="262" t="s">
        <v>450</v>
      </c>
      <c r="G278" s="262" t="s">
        <v>449</v>
      </c>
      <c r="H278" s="263" t="s">
        <v>620</v>
      </c>
      <c r="I278" s="261"/>
      <c r="J278" s="264" t="s">
        <v>469</v>
      </c>
    </row>
    <row r="279" spans="2:10">
      <c r="B279" s="212"/>
      <c r="C279" s="212"/>
      <c r="D279" s="889" t="str">
        <f>D187</f>
        <v>INDMDSHHCEN1</v>
      </c>
      <c r="E279" s="889" t="str">
        <f t="shared" si="269"/>
        <v>Industrial heating technology Machinery SH - central district heating - within DH area - new 1</v>
      </c>
      <c r="F279" s="262" t="s">
        <v>450</v>
      </c>
      <c r="G279" s="262" t="s">
        <v>449</v>
      </c>
      <c r="H279" s="890"/>
      <c r="I279" s="890"/>
      <c r="J279" s="263" t="s">
        <v>469</v>
      </c>
    </row>
    <row r="280" spans="2:10">
      <c r="B280" s="212"/>
      <c r="C280" s="212"/>
      <c r="D280" s="889" t="str">
        <f>D188</f>
        <v>INDMDPHHCEN1</v>
      </c>
      <c r="E280" s="889" t="str">
        <f t="shared" si="269"/>
        <v>Industrial heating technology Machinery PH - central district heating - within DH area - new 1</v>
      </c>
      <c r="F280" s="262" t="s">
        <v>450</v>
      </c>
      <c r="G280" s="262" t="s">
        <v>449</v>
      </c>
      <c r="H280" s="890"/>
      <c r="I280" s="890"/>
      <c r="J280" s="263" t="s">
        <v>469</v>
      </c>
    </row>
    <row r="281" spans="2:10">
      <c r="B281" s="212"/>
      <c r="C281" s="212"/>
      <c r="D281" s="889" t="str">
        <f>D189</f>
        <v>INDMDSHHSEN1</v>
      </c>
      <c r="E281" s="889" t="str">
        <f t="shared" si="269"/>
        <v>Industrial heating technology Machinery SH - central district heating - within DH area - new 1</v>
      </c>
      <c r="F281" s="262" t="s">
        <v>450</v>
      </c>
      <c r="G281" s="262" t="s">
        <v>449</v>
      </c>
      <c r="H281" s="890"/>
      <c r="I281" s="890"/>
      <c r="J281" s="263" t="s">
        <v>469</v>
      </c>
    </row>
    <row r="282" spans="2:10">
      <c r="B282" s="212"/>
      <c r="C282" s="212"/>
      <c r="D282" s="889" t="str">
        <f>D190</f>
        <v>INDMDPHHSEN1</v>
      </c>
      <c r="E282" s="889" t="str">
        <f t="shared" si="269"/>
        <v>Industrial heating technology Machinery PH - central district heating - within DH area - new 1</v>
      </c>
      <c r="F282" s="262" t="s">
        <v>450</v>
      </c>
      <c r="G282" s="262" t="s">
        <v>449</v>
      </c>
      <c r="H282" s="890"/>
      <c r="I282" s="890"/>
      <c r="J282" s="263" t="s">
        <v>469</v>
      </c>
    </row>
    <row r="283" spans="2:10">
      <c r="B283" s="212"/>
      <c r="C283" s="212"/>
      <c r="D283" s="212" t="str">
        <f t="shared" ref="D283" si="270">D191</f>
        <v>INDMDSHHDEN1</v>
      </c>
      <c r="E283" s="212" t="str">
        <f t="shared" si="269"/>
        <v>Industrial heating technology Machinery SH - decentral district heating - within DH area - new 1</v>
      </c>
      <c r="F283" s="262" t="s">
        <v>450</v>
      </c>
      <c r="G283" s="262" t="s">
        <v>449</v>
      </c>
      <c r="H283" s="261"/>
      <c r="I283" s="261"/>
      <c r="J283" s="264" t="s">
        <v>469</v>
      </c>
    </row>
    <row r="284" spans="2:10">
      <c r="B284" s="212"/>
      <c r="C284" s="212"/>
      <c r="D284" s="212" t="str">
        <f>D192</f>
        <v>INDMDPHHDEN1</v>
      </c>
      <c r="E284" s="212" t="str">
        <f t="shared" si="269"/>
        <v>Industrial heating technology Machinery PH - decentral district heating - within DH area - new 1</v>
      </c>
      <c r="F284" s="262" t="s">
        <v>450</v>
      </c>
      <c r="G284" s="262" t="s">
        <v>449</v>
      </c>
      <c r="H284" s="261"/>
      <c r="I284" s="261"/>
      <c r="J284" s="264" t="s">
        <v>469</v>
      </c>
    </row>
    <row r="285" spans="2:10">
      <c r="B285" s="212"/>
      <c r="C285" s="212"/>
      <c r="D285" s="212" t="str">
        <f>D194</f>
        <v>INDMDLAELCN1</v>
      </c>
      <c r="E285" s="212" t="str">
        <f t="shared" si="269"/>
        <v>Industry Machinery LA Electricity Light Appliance - New 1</v>
      </c>
      <c r="F285" s="262" t="s">
        <v>450</v>
      </c>
      <c r="G285" s="262" t="s">
        <v>449</v>
      </c>
      <c r="H285" s="261"/>
      <c r="I285" s="261"/>
      <c r="J285" s="264" t="s">
        <v>469</v>
      </c>
    </row>
    <row r="286" spans="2:10">
      <c r="B286" s="212"/>
      <c r="C286" s="212"/>
      <c r="D286" s="212" t="str">
        <f>D198</f>
        <v>INDMDEMELCN1</v>
      </c>
      <c r="E286" s="212" t="str">
        <f t="shared" si="269"/>
        <v>Industry Machinery EM Electricity Motors - New 1</v>
      </c>
      <c r="F286" s="262" t="s">
        <v>450</v>
      </c>
      <c r="G286" s="262" t="s">
        <v>449</v>
      </c>
      <c r="H286" s="261"/>
      <c r="I286" s="261"/>
      <c r="J286" s="264" t="s">
        <v>469</v>
      </c>
    </row>
    <row r="287" spans="2:10">
      <c r="B287" s="212"/>
      <c r="C287" s="212"/>
      <c r="D287" s="212" t="str">
        <f>D202</f>
        <v>INDMDTFDSLN1</v>
      </c>
      <c r="E287" s="212" t="str">
        <f t="shared" si="269"/>
        <v>Industry Machinery TF Tractors, Trucks, Fishing boats - New 1</v>
      </c>
      <c r="F287" s="262" t="s">
        <v>450</v>
      </c>
      <c r="G287" s="262" t="s">
        <v>2078</v>
      </c>
      <c r="H287" s="261"/>
      <c r="I287" s="261"/>
      <c r="J287" s="264" t="s">
        <v>469</v>
      </c>
    </row>
    <row r="288" spans="2:10">
      <c r="B288" s="212"/>
      <c r="C288" s="212"/>
      <c r="D288" s="212" t="str">
        <f>D206</f>
        <v>INDMDTFH2GN2</v>
      </c>
      <c r="E288" s="212" t="str">
        <f t="shared" si="269"/>
        <v>Industry Machinery TF Tractors, Trucks, Fishing boats - New 2</v>
      </c>
      <c r="F288" s="262" t="s">
        <v>450</v>
      </c>
      <c r="G288" s="262" t="s">
        <v>2078</v>
      </c>
      <c r="H288" s="261"/>
      <c r="I288" s="261"/>
      <c r="J288" s="264" t="s">
        <v>469</v>
      </c>
    </row>
    <row r="289" spans="2:10">
      <c r="B289" s="212"/>
      <c r="C289" s="212"/>
      <c r="D289" s="212" t="str">
        <f>D210</f>
        <v>INDMDTFELCN3</v>
      </c>
      <c r="E289" s="212" t="str">
        <f t="shared" si="269"/>
        <v>Industry Machinery TF Tractors, Trucks, Fishing boats - New 3</v>
      </c>
      <c r="F289" s="262" t="s">
        <v>450</v>
      </c>
      <c r="G289" s="262" t="s">
        <v>2078</v>
      </c>
      <c r="H289" s="261"/>
      <c r="I289" s="261"/>
      <c r="J289" s="264" t="s">
        <v>469</v>
      </c>
    </row>
    <row r="290" spans="2:10">
      <c r="B290" s="212"/>
      <c r="C290" s="212"/>
      <c r="D290" s="212" t="str">
        <f>D214</f>
        <v>INDMDFLSYNN1</v>
      </c>
      <c r="E290" s="212" t="str">
        <f t="shared" si="269"/>
        <v>Industry Machinery TF Forklifts - New 1</v>
      </c>
      <c r="F290" s="262" t="s">
        <v>450</v>
      </c>
      <c r="G290" s="262" t="s">
        <v>449</v>
      </c>
      <c r="H290" s="261"/>
      <c r="I290" s="261"/>
      <c r="J290" s="264" t="s">
        <v>469</v>
      </c>
    </row>
    <row r="291" spans="2:10">
      <c r="B291" s="212"/>
      <c r="C291" s="212"/>
      <c r="D291" s="212" t="str">
        <f>D218</f>
        <v>INDMDCOELCN1</v>
      </c>
      <c r="E291" s="212" t="str">
        <f>E218</f>
        <v>Industry Machinery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Machinery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Machinery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Machinery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Machinery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Machinery - Particle emission</v>
      </c>
      <c r="F300" s="219" t="s">
        <v>352</v>
      </c>
      <c r="G300" s="211"/>
      <c r="H300" s="214"/>
      <c r="I300" s="214"/>
      <c r="J300" s="214"/>
    </row>
    <row r="301" spans="2:10">
      <c r="B301" s="224" t="s">
        <v>1057</v>
      </c>
      <c r="D301" s="224" t="str">
        <f>AI20</f>
        <v>INDMWH</v>
      </c>
      <c r="E301" s="270" t="str">
        <f>"Industrial heating technology "&amp;$AJ$12&amp;" - Waste heat"</f>
        <v>Industrial heating technology Machinery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0859E54-0563-4E37-886A-6319AC65F3B6}">
          <x14:formula1>
            <xm:f>'Oil-fired boiler_NEW'!$T$4:$X$4</xm:f>
          </x14:formula1>
          <xm:sqref>E1</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F10D-F584-49C6-9D74-727A80A83398}">
  <sheetPr>
    <tabColor rgb="FF00B050"/>
  </sheetPr>
  <dimension ref="A1:AP301"/>
  <sheetViews>
    <sheetView topLeftCell="H127"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715</v>
      </c>
      <c r="N1" s="64"/>
      <c r="O1" s="64"/>
      <c r="P1" s="64"/>
      <c r="S1" s="727" t="s">
        <v>1004</v>
      </c>
      <c r="T1" s="776" t="s">
        <v>1003</v>
      </c>
      <c r="U1" s="775" t="s">
        <v>1053</v>
      </c>
      <c r="V1" s="776" t="s">
        <v>1054</v>
      </c>
      <c r="W1" s="780">
        <v>0.3</v>
      </c>
    </row>
    <row r="2" spans="2:42" ht="16" thickBot="1">
      <c r="E2" s="730" t="s">
        <v>519</v>
      </c>
      <c r="N2" s="731"/>
      <c r="O2" s="731"/>
      <c r="P2" s="731"/>
      <c r="S2" s="726">
        <f>MATCH($E$1,$AJ$22:$AJ$35)</f>
        <v>5</v>
      </c>
      <c r="T2" s="778">
        <f>MATCH($E$1,$AJ$22:$AJ$35)+1</f>
        <v>6</v>
      </c>
      <c r="U2" s="779"/>
      <c r="V2" s="768" t="s">
        <v>2122</v>
      </c>
      <c r="W2" s="781">
        <v>0.2</v>
      </c>
    </row>
    <row r="3" spans="2:42" ht="16" thickBot="1">
      <c r="N3" s="731"/>
      <c r="O3" s="731"/>
      <c r="P3" s="731"/>
      <c r="S3" s="768"/>
      <c r="T3" s="768"/>
      <c r="U3" s="777"/>
      <c r="V3" s="778" t="s">
        <v>2123</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FEMIS~IFDSOx</v>
      </c>
      <c r="Y6" s="280" t="str">
        <f>"FEMIS~"&amp;D297</f>
        <v>FEMIS~IFDNOx</v>
      </c>
      <c r="Z6" s="280" t="str">
        <f>"FEMIS~"&amp;D298</f>
        <v>FEMIS~IFDCH4</v>
      </c>
      <c r="AA6" s="280" t="str">
        <f>"FEMIS~"&amp;D299</f>
        <v>FEMIS~IFDNO2</v>
      </c>
      <c r="AB6" s="280" t="str">
        <f>"FEMIS~"&amp;D300</f>
        <v>FEMIS~IFDPM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INDFDPHELCN1</v>
      </c>
      <c r="E9" s="261" t="str">
        <f>"Industrial heating technology "&amp;$AJ$12&amp;" "&amp;RIGHT(H9,2)&amp;" - Heat pump utilizing waste heat - new 1"</f>
        <v>Industrial heating technology Food PH - Heat pump utilizing waste heat - new 1</v>
      </c>
      <c r="F9" s="224" t="s">
        <v>1149</v>
      </c>
      <c r="G9" s="173" t="s">
        <v>499</v>
      </c>
      <c r="H9" s="174" t="str">
        <f>$AI$14</f>
        <v>IFDPH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INDFWH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IFDPH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INDFWH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Food</v>
      </c>
    </row>
    <row r="13" spans="2:42">
      <c r="B13" s="357" t="s">
        <v>998</v>
      </c>
      <c r="D13" s="212"/>
      <c r="E13" s="212"/>
      <c r="F13" s="224" t="s">
        <v>1149</v>
      </c>
      <c r="G13" s="173" t="s">
        <v>499</v>
      </c>
      <c r="H13" s="174" t="str">
        <f>$AI$14</f>
        <v>IFDPH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IFDPH</v>
      </c>
      <c r="AJ13" s="224" t="str">
        <f>AP14</f>
        <v>Food industry Demand Heat High Temp. over 150C</v>
      </c>
      <c r="AO13" s="224" t="s">
        <v>2087</v>
      </c>
      <c r="AP13" s="224" t="s">
        <v>1172</v>
      </c>
    </row>
    <row r="14" spans="2:42">
      <c r="B14" s="357" t="s">
        <v>998</v>
      </c>
      <c r="D14" s="212"/>
      <c r="E14" s="212"/>
      <c r="F14" s="224" t="s">
        <v>1149</v>
      </c>
      <c r="G14" s="173" t="str">
        <f>$AI$20</f>
        <v>INDFWH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IFDPH</v>
      </c>
      <c r="AJ14" s="224" t="str">
        <f>AP13</f>
        <v>Food industry Demand Heat Medium Temp. up to 150C</v>
      </c>
      <c r="AO14" s="224" t="s">
        <v>2087</v>
      </c>
      <c r="AP14" s="224" t="s">
        <v>1173</v>
      </c>
    </row>
    <row r="15" spans="2:42">
      <c r="B15" s="357" t="s">
        <v>998</v>
      </c>
      <c r="D15" s="212" t="str">
        <f>"IND"&amp;RIGHT(H15,4)&amp;RIGHT(G15,3)&amp;"N"&amp;RIGHT(E15,1)</f>
        <v>INDFDSHELCN1</v>
      </c>
      <c r="E15" s="261" t="str">
        <f>"Industrial heating technology "&amp;$AJ$12&amp;" "&amp;RIGHT(H15,2)&amp;" - Heat pump utilizing waste heat - new 1"</f>
        <v>Industrial heating technology Food SH - Heat pump utilizing waste heat - new 1</v>
      </c>
      <c r="F15" s="224" t="s">
        <v>1149</v>
      </c>
      <c r="G15" s="173" t="s">
        <v>499</v>
      </c>
      <c r="H15" s="174" t="str">
        <f>$AI$15</f>
        <v>IFDSH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IFDSH</v>
      </c>
      <c r="AJ15" s="224" t="str">
        <f>AP15</f>
        <v>Food industry Demand Heat Room Heat</v>
      </c>
      <c r="AO15" s="224" t="s">
        <v>2088</v>
      </c>
      <c r="AP15" s="224" t="s">
        <v>1174</v>
      </c>
    </row>
    <row r="16" spans="2:42">
      <c r="B16" s="357" t="s">
        <v>998</v>
      </c>
      <c r="D16" s="212"/>
      <c r="E16" s="261"/>
      <c r="F16" s="224" t="s">
        <v>1149</v>
      </c>
      <c r="G16" s="173" t="str">
        <f>$AI$20</f>
        <v>INDFWH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IFDLA</v>
      </c>
      <c r="AJ16" s="224" t="str">
        <f t="shared" si="0"/>
        <v>Food industry Demand Light</v>
      </c>
      <c r="AO16" s="224" t="s">
        <v>1175</v>
      </c>
      <c r="AP16" s="224" t="s">
        <v>1176</v>
      </c>
    </row>
    <row r="17" spans="2:42">
      <c r="B17" s="357" t="s">
        <v>998</v>
      </c>
      <c r="D17" s="212"/>
      <c r="E17" s="212"/>
      <c r="F17" s="224" t="s">
        <v>1149</v>
      </c>
      <c r="G17" s="173" t="s">
        <v>499</v>
      </c>
      <c r="H17" s="174" t="str">
        <f>$AI$15</f>
        <v>IFDSH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IFDEM</v>
      </c>
      <c r="AJ17" s="224" t="str">
        <f t="shared" si="0"/>
        <v>Food industry Demand Electric Motors</v>
      </c>
      <c r="AO17" s="224" t="s">
        <v>1177</v>
      </c>
      <c r="AP17" s="224" t="s">
        <v>1178</v>
      </c>
    </row>
    <row r="18" spans="2:42">
      <c r="B18" s="357" t="s">
        <v>998</v>
      </c>
      <c r="D18" s="212"/>
      <c r="E18" s="212"/>
      <c r="F18" s="224" t="s">
        <v>1149</v>
      </c>
      <c r="G18" s="173" t="str">
        <f>$AI$20</f>
        <v>INDFWH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IFDTF</v>
      </c>
      <c r="AJ18" s="224" t="str">
        <f t="shared" si="0"/>
        <v>Food industry Demand Haulage Tractors, Trucks, Fishing boats, Forest machines</v>
      </c>
      <c r="AO18" s="224" t="s">
        <v>1179</v>
      </c>
      <c r="AP18" s="224" t="s">
        <v>1180</v>
      </c>
    </row>
    <row r="19" spans="2:42">
      <c r="B19" s="357" t="s">
        <v>998</v>
      </c>
      <c r="D19" s="212"/>
      <c r="E19" s="212"/>
      <c r="F19" s="224" t="s">
        <v>1149</v>
      </c>
      <c r="G19" s="173" t="s">
        <v>499</v>
      </c>
      <c r="H19" s="174" t="str">
        <f>$AI$15</f>
        <v>IFDSH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IFDFL</v>
      </c>
      <c r="AJ19" s="224" t="str">
        <f t="shared" si="0"/>
        <v>Food industry Demand Haulage Forklifts</v>
      </c>
      <c r="AO19" s="224" t="s">
        <v>1181</v>
      </c>
      <c r="AP19" s="224" t="s">
        <v>1182</v>
      </c>
    </row>
    <row r="20" spans="2:42">
      <c r="B20" s="357" t="s">
        <v>998</v>
      </c>
      <c r="D20" s="212"/>
      <c r="E20" s="212"/>
      <c r="F20" s="224" t="s">
        <v>1149</v>
      </c>
      <c r="G20" s="173" t="str">
        <f>$AI$20</f>
        <v>INDFWH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INDFWH</v>
      </c>
      <c r="AJ20" s="224" t="str">
        <f>$AJ$12&amp;" Industrial Waste Heat"</f>
        <v>Food Industrial Waste Heat</v>
      </c>
    </row>
    <row r="21" spans="2:42">
      <c r="B21" s="357" t="s">
        <v>999</v>
      </c>
      <c r="D21" s="212" t="str">
        <f>"IND"&amp;RIGHT(H21,4)&amp;RIGHT(G21,3)&amp;"N"&amp;RIGHT(E21,1)</f>
        <v>INDFDPHELCN2</v>
      </c>
      <c r="E21" s="261" t="str">
        <f>"Industrial heating technology "&amp;$AJ$12&amp;" "&amp;RIGHT(H21,2)&amp;" - Heat driven heat pump utilizing waste heat - new 2"</f>
        <v>Industrial heating technology Food PH - Heat driven heat pump utilizing waste heat - new 2</v>
      </c>
      <c r="F21" s="224" t="s">
        <v>1149</v>
      </c>
      <c r="G21" s="173" t="s">
        <v>499</v>
      </c>
      <c r="H21" s="174" t="str">
        <f>$AI$14</f>
        <v>IFDPH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IFDCO</v>
      </c>
      <c r="AJ21" s="224" t="s">
        <v>2119</v>
      </c>
    </row>
    <row r="22" spans="2:42">
      <c r="B22" s="357" t="s">
        <v>999</v>
      </c>
      <c r="D22" s="212"/>
      <c r="E22" s="261"/>
      <c r="F22" s="224" t="s">
        <v>1149</v>
      </c>
      <c r="G22" s="173" t="str">
        <f>$AI$20</f>
        <v>INDFWH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IFDPH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INDFWH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IFDPH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INDFWH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INDFDSHELCN2</v>
      </c>
      <c r="E27" s="261" t="str">
        <f>"Industrial heating technology "&amp;$AJ$12&amp;" "&amp;RIGHT(H27,2)&amp;" - Heat driven heat pump utilizing waste heat - new 2"</f>
        <v>Industrial heating technology Food SH - Heat driven heat pump utilizing waste heat - new 2</v>
      </c>
      <c r="F27" s="224" t="s">
        <v>1149</v>
      </c>
      <c r="G27" s="173" t="s">
        <v>499</v>
      </c>
      <c r="H27" s="174" t="str">
        <f>$AI$15</f>
        <v>IFDSH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INDFWH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IFDSH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INDFWH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IFDSH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INDFWH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INDFDPHELCN3</v>
      </c>
      <c r="E33" s="261" t="str">
        <f>"Industrial heating technology "&amp;$AJ$12&amp;" "&amp;RIGHT(H33,2)&amp;" - High Temp abs. Heat pump utilizing waste heat - new 3"</f>
        <v>Industrial heating technology Food PH - High Temp abs. Heat pump utilizing waste heat - new 3</v>
      </c>
      <c r="F33" s="224" t="s">
        <v>1149</v>
      </c>
      <c r="G33" s="173" t="s">
        <v>499</v>
      </c>
      <c r="H33" s="174" t="str">
        <f>$AI$14</f>
        <v>IFDPH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INDFWH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IFDPH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INDFWH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IFDPH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INDFWH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INDFDSHELCN3</v>
      </c>
      <c r="E39" s="261" t="str">
        <f>"Industrial heating technology "&amp;$AJ$12&amp;" "&amp;RIGHT(H39,2)&amp;" - High Temp abs. Heat pump utilizing waste heat - new 3"</f>
        <v>Industrial heating technology Food SH - High Temp abs. Heat pump utilizing waste heat - new 3</v>
      </c>
      <c r="F39" s="224" t="s">
        <v>1149</v>
      </c>
      <c r="G39" s="173" t="s">
        <v>499</v>
      </c>
      <c r="H39" s="174" t="str">
        <f>$AI$15</f>
        <v>IFDSH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INDFWH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IFDSH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INDFWH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IFDSH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INDFWH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INDFDPHELCN4</v>
      </c>
      <c r="E45" s="261" t="str">
        <f>"Industrial heating technology "&amp;$AJ$12&amp;" "&amp;RIGHT(H45,2)&amp;" - Booster Heat pump utilizing waste heat - new 4"</f>
        <v>Industrial heating technology Food PH - Booster Heat pump utilizing waste heat - new 4</v>
      </c>
      <c r="F45" s="224" t="s">
        <v>1149</v>
      </c>
      <c r="G45" s="173" t="s">
        <v>499</v>
      </c>
      <c r="H45" s="174" t="str">
        <f>$AI$14</f>
        <v>IFDPH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INDFWH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IFDPH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INDFWH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IFDPH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INDFWH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INDFDSHELCN4</v>
      </c>
      <c r="E51" s="261" t="str">
        <f>"Industrial heating technology "&amp;$AJ$12&amp;" "&amp;RIGHT(H51,2)&amp;" - Booster Heat pump utilizing waste heat - new 4"</f>
        <v>Industrial heating technology Food SH - Booster Heat pump utilizing waste heat - new 4</v>
      </c>
      <c r="F51" s="224" t="s">
        <v>1149</v>
      </c>
      <c r="G51" s="173" t="s">
        <v>499</v>
      </c>
      <c r="H51" s="174" t="str">
        <f>$AI$15</f>
        <v>IFDSH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INDFWH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IFDSH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INDFWH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IFDSH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INDFWH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INDFDPHELCN5</v>
      </c>
      <c r="E57" s="261" t="str">
        <f>"Industrial heating technology "&amp;$AJ$12&amp;" "&amp;RIGHT(H57,2)&amp;" - MVR utilizing waste heat - new 5"</f>
        <v>Industrial heating technology Food PH - MVR utilizing waste heat - new 5</v>
      </c>
      <c r="F57" s="224" t="s">
        <v>1149</v>
      </c>
      <c r="G57" s="173" t="s">
        <v>499</v>
      </c>
      <c r="H57" s="174" t="str">
        <f>$AI$14</f>
        <v>IFDPH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INDFWH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IFDPH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INDFWH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IFDPH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INDFWH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INDFDPHWSTN1</v>
      </c>
      <c r="E63" s="261" t="str">
        <f>"Industrial heating technology "&amp;$AJ$12&amp;" "&amp;RIGHT(H63,2)&amp;" - Hotdisc - new 1"</f>
        <v>Industrial heating technology Food PH - Hotdisc - new 1</v>
      </c>
      <c r="F63" s="224" t="s">
        <v>1149</v>
      </c>
      <c r="G63" s="832" t="s">
        <v>1005</v>
      </c>
      <c r="H63" s="174" t="str">
        <f>$AI$13</f>
        <v>IFDPH</v>
      </c>
      <c r="I63" s="173" t="str">
        <f t="shared" ref="I63:I126" si="22">$AI$20</f>
        <v>INDFWH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INDFWH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INDFWH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INDFDPHELCN6</v>
      </c>
      <c r="E66" s="261" t="str">
        <f>"Industrial heating technology "&amp;$AJ$12&amp;" "&amp;RIGHT(H66,2)&amp;" - Dielectric heating - new 6"</f>
        <v>Industrial heating technology Food PH - Dielectric heating - new 6</v>
      </c>
      <c r="F66" s="224" t="s">
        <v>1149</v>
      </c>
      <c r="G66" s="173" t="s">
        <v>499</v>
      </c>
      <c r="H66" s="174" t="str">
        <f>$AI$14</f>
        <v>IFDPH</v>
      </c>
      <c r="I66" s="173" t="str">
        <f t="shared" si="22"/>
        <v>INDFWH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INDFWH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INDFWH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INDFDPHELCN7</v>
      </c>
      <c r="E69" s="261" t="str">
        <f>"Industrial heating technology "&amp;$AJ$12&amp;" "&amp;RIGHT(H69,2)&amp;" - Infrared heating - new 7"</f>
        <v>Industrial heating technology Food PH - Infrared heating - new 7</v>
      </c>
      <c r="F69" s="224" t="s">
        <v>1149</v>
      </c>
      <c r="G69" s="173" t="s">
        <v>499</v>
      </c>
      <c r="H69" s="174" t="str">
        <f>$AI$14</f>
        <v>IFDPH</v>
      </c>
      <c r="I69" s="173" t="str">
        <f t="shared" si="22"/>
        <v>INDFWH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INDFWH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INDFWH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INDFDPHELCN8</v>
      </c>
      <c r="E72" s="261" t="str">
        <f>"Industrial heating technology "&amp;$AJ$12&amp;" "&amp;RIGHT(H72,2)&amp;" - Electric boiler (Steam) - new 8"</f>
        <v>Industrial heating technology Food PH - Electric boiler (Steam) - new 8</v>
      </c>
      <c r="F72" s="224" t="s">
        <v>1149</v>
      </c>
      <c r="G72" s="173" t="s">
        <v>499</v>
      </c>
      <c r="H72" s="174" t="str">
        <f>$AI$13</f>
        <v>IFDPH</v>
      </c>
      <c r="I72" s="174" t="str">
        <f t="shared" si="22"/>
        <v>INDFWH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INDFWH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INDFWH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INDFDPHELCN8</v>
      </c>
      <c r="E75" s="261" t="str">
        <f>"Industrial heating technology "&amp;$AJ$12&amp;" "&amp;RIGHT(H75,2)&amp;" - Electric boiler (Steam) - new 8"</f>
        <v>Industrial heating technology Food PH - Electric boiler (Steam) - new 8</v>
      </c>
      <c r="F75" s="224" t="s">
        <v>1149</v>
      </c>
      <c r="G75" s="173" t="s">
        <v>499</v>
      </c>
      <c r="H75" s="174" t="str">
        <f>$AI$14</f>
        <v>IFDPH</v>
      </c>
      <c r="I75" s="174" t="str">
        <f t="shared" si="22"/>
        <v>INDFWH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INDFWH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INDFWH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INDFDSHELCN8</v>
      </c>
      <c r="E78" s="261" t="str">
        <f>"Industrial heating technology "&amp;$AJ$12&amp;" "&amp;RIGHT(H78,2)&amp;" - Electric boiler (Steam) - new 8"</f>
        <v>Industrial heating technology Food SH - Electric boiler (Steam) - new 8</v>
      </c>
      <c r="F78" s="224" t="s">
        <v>1149</v>
      </c>
      <c r="G78" s="173" t="s">
        <v>499</v>
      </c>
      <c r="H78" s="174" t="str">
        <f>$AI$15</f>
        <v>IFDSH</v>
      </c>
      <c r="I78" s="174" t="str">
        <f t="shared" si="22"/>
        <v>INDFWH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INDFWH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INDFWH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INDFDPHELCN9</v>
      </c>
      <c r="E81" s="707" t="str">
        <f>"Industrial heating technology "&amp;$AJ$12&amp;" "&amp;RIGHT(H81,2)&amp;" - Electric boiler (Hot Water) - new 9"</f>
        <v>Industrial heating technology Food PH - Electric boiler (Hot Water) - new 9</v>
      </c>
      <c r="F81" s="224" t="s">
        <v>1149</v>
      </c>
      <c r="G81" s="708" t="s">
        <v>499</v>
      </c>
      <c r="H81" s="708" t="str">
        <f>$AI$14</f>
        <v>IFDPH</v>
      </c>
      <c r="I81" s="708" t="str">
        <f t="shared" si="22"/>
        <v>INDFWH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INDFWH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INDFWH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INDFDSHELCN9</v>
      </c>
      <c r="E84" s="261" t="str">
        <f>"Industrial heating technology "&amp;$AJ$12&amp;" "&amp;RIGHT(H84,2)&amp;" - Electric boiler (Hot Water) - new 9"</f>
        <v>Industrial heating technology Food SH - Electric boiler (Hot Water) - new 9</v>
      </c>
      <c r="F84" s="224" t="s">
        <v>1149</v>
      </c>
      <c r="G84" s="174" t="s">
        <v>499</v>
      </c>
      <c r="H84" s="174" t="str">
        <f>$AI$15</f>
        <v>IFDSH</v>
      </c>
      <c r="I84" s="174" t="str">
        <f t="shared" si="22"/>
        <v>INDFWH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INDFWH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INDFWH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INDFDPHWCHN1</v>
      </c>
      <c r="E87" s="261" t="str">
        <f>"Industrial heating technology "&amp;$AJ$12&amp;" "&amp;RIGHT(H87,2)&amp;" - Wood chip boiler (Steam) - new 1"</f>
        <v>Industrial heating technology Food PH - Wood chip boiler (Steam) - new 1</v>
      </c>
      <c r="F87" s="224" t="s">
        <v>1149</v>
      </c>
      <c r="G87" s="173" t="s">
        <v>498</v>
      </c>
      <c r="H87" s="174" t="str">
        <f>$AI$13</f>
        <v>IFDPH</v>
      </c>
      <c r="I87" s="174" t="str">
        <f t="shared" si="22"/>
        <v>INDFWH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INDFWH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INDFWH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INDFDPHWCHN1</v>
      </c>
      <c r="E90" s="261" t="str">
        <f>"Industrial heating technology "&amp;$AJ$12&amp;" "&amp;RIGHT(H90,2)&amp;" - Wood chip boiler (Steam) - new 1"</f>
        <v>Industrial heating technology Food PH - Wood chip boiler (Steam) - new 1</v>
      </c>
      <c r="F90" s="224" t="s">
        <v>1149</v>
      </c>
      <c r="G90" s="173" t="s">
        <v>498</v>
      </c>
      <c r="H90" s="174" t="str">
        <f>$AI$14</f>
        <v>IFDPH</v>
      </c>
      <c r="I90" s="174" t="str">
        <f t="shared" si="22"/>
        <v>INDFWH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INDFWH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INDFWH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INDFDSHWCHN1</v>
      </c>
      <c r="E93" s="261" t="str">
        <f>"Industrial heating technology "&amp;$AJ$12&amp;" "&amp;RIGHT(H93,2)&amp;" - Wood chip boiler (Steam) - new 1"</f>
        <v>Industrial heating technology Food SH - Wood chip boiler (Steam) - new 1</v>
      </c>
      <c r="F93" s="224" t="s">
        <v>1149</v>
      </c>
      <c r="G93" s="173" t="s">
        <v>498</v>
      </c>
      <c r="H93" s="174" t="str">
        <f>$AI$15</f>
        <v>IFDSH</v>
      </c>
      <c r="I93" s="174" t="str">
        <f t="shared" si="22"/>
        <v>INDFWH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INDFWH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INDFWH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INDFDPHWCHN2</v>
      </c>
      <c r="E96" s="707" t="str">
        <f>"Industrial heating technology "&amp;$AJ$12&amp;" "&amp;RIGHT(H96,2)&amp;" - Wood chip boiler (Steam - condensing) - new 2"</f>
        <v>Industrial heating technology Food PH - Wood chip boiler (Steam - condensing) - new 2</v>
      </c>
      <c r="F96" s="224" t="s">
        <v>1149</v>
      </c>
      <c r="G96" s="708" t="s">
        <v>498</v>
      </c>
      <c r="H96" s="708" t="str">
        <f>$AI$14</f>
        <v>IFDPH</v>
      </c>
      <c r="I96" s="708" t="str">
        <f t="shared" si="22"/>
        <v>INDFWH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INDFWH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INDFWH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INDFDSHWCHN2</v>
      </c>
      <c r="E99" s="261" t="str">
        <f>"Industrial heating technology "&amp;$AJ$12&amp;" "&amp;RIGHT(H99,2)&amp;" - Wood chip boiler (Steam - condensing) - new 2"</f>
        <v>Industrial heating technology Food SH - Wood chip boiler (Steam - condensing) - new 2</v>
      </c>
      <c r="F99" s="224" t="s">
        <v>1149</v>
      </c>
      <c r="G99" s="174" t="s">
        <v>498</v>
      </c>
      <c r="H99" s="174" t="str">
        <f>$AI$15</f>
        <v>IFDSH</v>
      </c>
      <c r="I99" s="174" t="str">
        <f t="shared" si="22"/>
        <v>INDFWH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INDFWH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INDFWH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INDFDPHWCHN3</v>
      </c>
      <c r="E102" s="707" t="str">
        <f>"Industrial heating technology "&amp;$AJ$12&amp;" "&amp;RIGHT(H102,2)&amp;" - Wood chip boiler (Hot Water) - new 3"</f>
        <v>Industrial heating technology Food PH - Wood chip boiler (Hot Water) - new 3</v>
      </c>
      <c r="F102" s="224" t="s">
        <v>1149</v>
      </c>
      <c r="G102" s="708" t="s">
        <v>498</v>
      </c>
      <c r="H102" s="708" t="str">
        <f>$AI$14</f>
        <v>IFDPH</v>
      </c>
      <c r="I102" s="708" t="str">
        <f t="shared" si="22"/>
        <v>INDFWH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INDFWH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INDFWH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INDFDSHWCHN3</v>
      </c>
      <c r="E105" s="261" t="str">
        <f>"Industrial heating technology "&amp;$AJ$12&amp;" "&amp;RIGHT(H105,2)&amp;" - Wood chip boiler (Hot Water) - new 3"</f>
        <v>Industrial heating technology Food SH - Wood chip boiler (Hot Water) - new 3</v>
      </c>
      <c r="F105" s="224" t="s">
        <v>1149</v>
      </c>
      <c r="G105" s="174" t="s">
        <v>498</v>
      </c>
      <c r="H105" s="174" t="str">
        <f>$AI$15</f>
        <v>IFDSH</v>
      </c>
      <c r="I105" s="174" t="str">
        <f t="shared" si="22"/>
        <v>INDFWH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INDFWH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INDFWH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INDFDPHWCHN4</v>
      </c>
      <c r="E108" s="707" t="str">
        <f>"Industrial heating technology "&amp;$AJ$12&amp;" "&amp;RIGHT(H108,2)&amp;" - Wood chip boiler (Hot Water - condensing) - new 4"</f>
        <v>Industrial heating technology Food PH - Wood chip boiler (Hot Water - condensing) - new 4</v>
      </c>
      <c r="F108" s="224" t="s">
        <v>1149</v>
      </c>
      <c r="G108" s="708" t="s">
        <v>498</v>
      </c>
      <c r="H108" s="708" t="str">
        <f>$AI$14</f>
        <v>IFDPH</v>
      </c>
      <c r="I108" s="708" t="str">
        <f t="shared" si="22"/>
        <v>INDFWH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INDFWH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INDFWH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INDFDSHWCHN4</v>
      </c>
      <c r="E111" s="261" t="str">
        <f>"Industrial heating technology "&amp;$AJ$12&amp;" "&amp;RIGHT(H111,2)&amp;" - Wood chip boiler (Hot Water- condensing) - new 4"</f>
        <v>Industrial heating technology Food SH - Wood chip boiler (Hot Water- condensing) - new 4</v>
      </c>
      <c r="F111" s="224" t="s">
        <v>1149</v>
      </c>
      <c r="G111" s="174" t="s">
        <v>498</v>
      </c>
      <c r="H111" s="174" t="str">
        <f>$AI$15</f>
        <v>IFDSH</v>
      </c>
      <c r="I111" s="174" t="str">
        <f t="shared" si="22"/>
        <v>INDFWH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INDFWH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INDFWH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INDFDPHELCN10</v>
      </c>
      <c r="E114" s="261" t="str">
        <f>"Industrial heating technology "&amp;$AJ$12&amp;" "&amp;RIGHT(H114,2)&amp;" - Direct electric heating - new 10"</f>
        <v>Industrial heating technology Food PH - Direct electric heating - new 10</v>
      </c>
      <c r="F114" s="224" t="s">
        <v>1149</v>
      </c>
      <c r="G114" s="173" t="s">
        <v>499</v>
      </c>
      <c r="H114" s="174" t="str">
        <f>$AI$13</f>
        <v>IFDPH</v>
      </c>
      <c r="I114" s="174" t="str">
        <f t="shared" si="22"/>
        <v>INDFWH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INDFWH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INDFWH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INDFDPHELCN10</v>
      </c>
      <c r="E117" s="261" t="str">
        <f>"Industrial heating technology "&amp;$AJ$12&amp;" "&amp;RIGHT(H117,2)&amp;" - Direct electric heating - new 10"</f>
        <v>Industrial heating technology Food PH - Direct electric heating - new 10</v>
      </c>
      <c r="F117" s="224" t="s">
        <v>1149</v>
      </c>
      <c r="G117" s="173" t="s">
        <v>499</v>
      </c>
      <c r="H117" s="174" t="str">
        <f>$AI$14</f>
        <v>IFDPH</v>
      </c>
      <c r="I117" s="174" t="str">
        <f t="shared" si="22"/>
        <v>INDFWH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INDFWH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INDFWH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INDFDPHDSLN1</v>
      </c>
      <c r="E120" s="261" t="str">
        <f>"Industrial heating technology "&amp;$AJ$12&amp;" "&amp;RIGHT(H120,2)&amp;" - Oil boiler (Steam) - new 1"</f>
        <v>Industrial heating technology Food PH - Oil boiler (Steam) - new 1</v>
      </c>
      <c r="F120" s="224" t="s">
        <v>1149</v>
      </c>
      <c r="G120" s="173" t="s">
        <v>2081</v>
      </c>
      <c r="H120" s="174" t="str">
        <f>$AI$13</f>
        <v>IFDPH</v>
      </c>
      <c r="I120" s="174" t="str">
        <f t="shared" si="22"/>
        <v>INDFWH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INDFWH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INDFWH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INDFDPHDSLN1</v>
      </c>
      <c r="E123" s="261" t="str">
        <f>"Industrial heating technology "&amp;$AJ$12&amp;" "&amp;RIGHT(H123,2)&amp;" - Oil boiler (Steam) - new 1"</f>
        <v>Industrial heating technology Food PH - Oil boiler (Steam) - new 1</v>
      </c>
      <c r="F123" s="224" t="s">
        <v>1149</v>
      </c>
      <c r="G123" s="173" t="s">
        <v>2081</v>
      </c>
      <c r="H123" s="174" t="str">
        <f>$AI$14</f>
        <v>IFDPH</v>
      </c>
      <c r="I123" s="174" t="str">
        <f t="shared" si="22"/>
        <v>INDFWH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INDFWH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INDFWH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INDFDSHDSLN1</v>
      </c>
      <c r="E126" s="261" t="str">
        <f>"Industrial heating technology "&amp;$AJ$12&amp;" "&amp;RIGHT(H126,2)&amp;" - Oil boiler (Steam) - new 1"</f>
        <v>Industrial heating technology Food SH - Oil boiler (Steam) - new 1</v>
      </c>
      <c r="F126" s="224" t="s">
        <v>1149</v>
      </c>
      <c r="G126" s="173" t="s">
        <v>2081</v>
      </c>
      <c r="H126" s="174" t="str">
        <f>$AI$15</f>
        <v>IFDSH</v>
      </c>
      <c r="I126" s="174" t="str">
        <f t="shared" si="22"/>
        <v>INDFWH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INDFWH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INDFWH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INDFDPHDSLN2</v>
      </c>
      <c r="E129" s="707" t="str">
        <f>"Industrial heating technology "&amp;$AJ$12&amp;" "&amp;RIGHT(H129,2)&amp;" - Oil boiler (Steam - condensing) - new 2"</f>
        <v>Industrial heating technology Food PH - Oil boiler (Steam - condensing) - new 2</v>
      </c>
      <c r="F129" s="224" t="s">
        <v>1149</v>
      </c>
      <c r="G129" s="173" t="s">
        <v>2081</v>
      </c>
      <c r="H129" s="708" t="str">
        <f>$AI$14</f>
        <v>IFDPH</v>
      </c>
      <c r="I129" s="708" t="str">
        <f t="shared" si="143"/>
        <v>INDFWH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INDFWH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INDFWH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INDFDSHDSLN2</v>
      </c>
      <c r="E132" s="261" t="str">
        <f>"Industrial heating technology "&amp;$AJ$12&amp;" "&amp;RIGHT(H132,2)&amp;" - Oil boiler (Steam - condensing) - new 2"</f>
        <v>Industrial heating technology Food SH - Oil boiler (Steam - condensing) - new 2</v>
      </c>
      <c r="F132" s="224" t="s">
        <v>1149</v>
      </c>
      <c r="G132" s="173" t="s">
        <v>2081</v>
      </c>
      <c r="H132" s="174" t="str">
        <f>$AI$15</f>
        <v>IFDSH</v>
      </c>
      <c r="I132" s="174" t="str">
        <f t="shared" si="143"/>
        <v>INDFWH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INDFWH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INDFWH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INDFDPHGASN1</v>
      </c>
      <c r="E135" s="261" t="str">
        <f>"Industrial heating technology "&amp;$AJ$12&amp;" "&amp;RIGHT(H135,2)&amp;" - Gas boiler (Steam) - new 1"</f>
        <v>Industrial heating technology Food PH - Gas boiler (Steam) - new 1</v>
      </c>
      <c r="F135" s="224" t="s">
        <v>1149</v>
      </c>
      <c r="G135" s="173" t="s">
        <v>2080</v>
      </c>
      <c r="H135" s="174" t="str">
        <f>$AI$13</f>
        <v>IFDPH</v>
      </c>
      <c r="I135" s="174" t="str">
        <f t="shared" si="143"/>
        <v>INDFWH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INDFWH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INDFWH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INDFDPHGASN1</v>
      </c>
      <c r="E138" s="261" t="str">
        <f>"Industrial heating technology "&amp;$AJ$12&amp;" "&amp;RIGHT(H138,2)&amp;" - Gas boiler (Steam) - new 1"</f>
        <v>Industrial heating technology Food PH - Gas boiler (Steam) - new 1</v>
      </c>
      <c r="F138" s="224" t="s">
        <v>1149</v>
      </c>
      <c r="G138" s="173" t="s">
        <v>2080</v>
      </c>
      <c r="H138" s="174" t="str">
        <f>$AI$14</f>
        <v>IFDPH</v>
      </c>
      <c r="I138" s="174" t="str">
        <f t="shared" si="143"/>
        <v>INDFWH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INDFWH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INDFWH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INDFDSHGASN1</v>
      </c>
      <c r="E141" s="261" t="str">
        <f>"Industrial heating technology "&amp;$AJ$12&amp;" "&amp;RIGHT(H141,2)&amp;" - Gas boiler (Steam) - new 1"</f>
        <v>Industrial heating technology Food SH - Gas boiler (Steam) - new 1</v>
      </c>
      <c r="F141" s="224" t="s">
        <v>1149</v>
      </c>
      <c r="G141" s="173" t="s">
        <v>2080</v>
      </c>
      <c r="H141" s="174" t="str">
        <f>$AI$15</f>
        <v>IFDSH</v>
      </c>
      <c r="I141" s="174" t="str">
        <f t="shared" si="143"/>
        <v>INDFWH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INDFWH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INDFWH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INDFDPHGASN2</v>
      </c>
      <c r="E144" s="707" t="str">
        <f>"Industrial heating technology "&amp;$AJ$12&amp;" "&amp;RIGHT(H144,2)&amp;" - Gas boiler (Steam - condensing) - new 2"</f>
        <v>Industrial heating technology Food PH - Gas boiler (Steam - condensing) - new 2</v>
      </c>
      <c r="F144" s="224" t="s">
        <v>1149</v>
      </c>
      <c r="G144" s="173" t="s">
        <v>2080</v>
      </c>
      <c r="H144" s="708" t="str">
        <f>$AI$14</f>
        <v>IFDPH</v>
      </c>
      <c r="I144" s="708" t="str">
        <f t="shared" si="143"/>
        <v>INDFWH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INDFWH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INDFWH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INDFDSHGASN2</v>
      </c>
      <c r="E147" s="261" t="str">
        <f>"Industrial heating technology "&amp;$AJ$12&amp;" "&amp;RIGHT(H147,2)&amp;" - Gas boiler (Steam - condensing) - new 2"</f>
        <v>Industrial heating technology Food SH - Gas boiler (Steam - condensing) - new 2</v>
      </c>
      <c r="F147" s="224" t="s">
        <v>1149</v>
      </c>
      <c r="G147" s="173" t="s">
        <v>2080</v>
      </c>
      <c r="H147" s="174" t="str">
        <f>$AI$15</f>
        <v>IFDSH</v>
      </c>
      <c r="I147" s="174" t="str">
        <f t="shared" si="143"/>
        <v>INDFWH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INDFWH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INDFWH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INDFDPHGASN3</v>
      </c>
      <c r="E150" s="707" t="str">
        <f>"Industrial heating technology "&amp;$AJ$12&amp;" "&amp;RIGHT(H150,2)&amp;" - Gas boiler (Hot Water) - new 3"</f>
        <v>Industrial heating technology Food PH - Gas boiler (Hot Water) - new 3</v>
      </c>
      <c r="F150" s="224" t="s">
        <v>1149</v>
      </c>
      <c r="G150" s="173" t="s">
        <v>2080</v>
      </c>
      <c r="H150" s="708" t="str">
        <f>$AI$14</f>
        <v>IFDPH</v>
      </c>
      <c r="I150" s="708" t="str">
        <f t="shared" si="143"/>
        <v>INDFWH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INDFWH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INDFWH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INDFDSHGASN3</v>
      </c>
      <c r="E153" s="261" t="str">
        <f>"Industrial heating technology "&amp;$AJ$12&amp;" "&amp;RIGHT(H153,2)&amp;" - Gas boiler (Hot Water) - new 3"</f>
        <v>Industrial heating technology Food SH - Gas boiler (Hot Water) - new 3</v>
      </c>
      <c r="F153" s="224" t="s">
        <v>1149</v>
      </c>
      <c r="G153" s="173" t="s">
        <v>2080</v>
      </c>
      <c r="H153" s="174" t="str">
        <f>$AI$15</f>
        <v>IFDSH</v>
      </c>
      <c r="I153" s="174" t="str">
        <f t="shared" si="143"/>
        <v>INDFWH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INDFWH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INDFWH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INDFDPHGASN4</v>
      </c>
      <c r="E156" s="707" t="str">
        <f>"Industrial heating technology "&amp;$AJ$12&amp;" "&amp;RIGHT(H156,2)&amp;" - Gas boiler (Hot Water - condensing) - new 4"</f>
        <v>Industrial heating technology Food PH - Gas boiler (Hot Water - condensing) - new 4</v>
      </c>
      <c r="F156" s="224" t="s">
        <v>1149</v>
      </c>
      <c r="G156" s="173" t="s">
        <v>2080</v>
      </c>
      <c r="H156" s="708" t="str">
        <f>$AI$14</f>
        <v>IFDPH</v>
      </c>
      <c r="I156" s="708" t="str">
        <f t="shared" si="143"/>
        <v>INDFWH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INDFWH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INDFWH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INDFDSHGASN4</v>
      </c>
      <c r="E159" s="261" t="str">
        <f>"Industrial heating technology "&amp;$AJ$12&amp;" "&amp;RIGHT(H159,2)&amp;" - Gas boiler (Hot Water- condensing) - new 4"</f>
        <v>Industrial heating technology Food SH - Gas boiler (Hot Water- condensing) - new 4</v>
      </c>
      <c r="F159" s="224" t="s">
        <v>1149</v>
      </c>
      <c r="G159" s="173" t="s">
        <v>2080</v>
      </c>
      <c r="H159" s="174" t="str">
        <f>$AI$15</f>
        <v>IFDSH</v>
      </c>
      <c r="I159" s="174" t="str">
        <f t="shared" si="143"/>
        <v>INDFWH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INDFWH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INDFWH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INDFDPHGASN5</v>
      </c>
      <c r="E162" s="707" t="str">
        <f>"Industrial heating technology "&amp;$AJ$12&amp;" "&amp;RIGHT(H162,2)&amp;" - Gas boiler (Direct firing) - new 5"</f>
        <v>Industrial heating technology Food PH - Gas boiler (Direct firing) - new 5</v>
      </c>
      <c r="F162" s="224" t="s">
        <v>1149</v>
      </c>
      <c r="G162" s="173" t="s">
        <v>2080</v>
      </c>
      <c r="H162" s="174" t="str">
        <f>$AI$13</f>
        <v>IFDPH</v>
      </c>
      <c r="I162" s="174" t="str">
        <f t="shared" si="143"/>
        <v>INDFWH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INDFWH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INDFWH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INDFDPHGASN5</v>
      </c>
      <c r="E165" s="261" t="str">
        <f>"Industrial heating technology "&amp;$AJ$12&amp;" "&amp;RIGHT(H165,2)&amp;" - Gas boiler (Direct firing) - new 5"</f>
        <v>Industrial heating technology Food PH - Gas boiler (Direct firing) - new 5</v>
      </c>
      <c r="F165" s="224" t="s">
        <v>1149</v>
      </c>
      <c r="G165" s="173" t="s">
        <v>2080</v>
      </c>
      <c r="H165" s="174" t="str">
        <f>$AI$14</f>
        <v>IFDPH</v>
      </c>
      <c r="I165" s="721" t="str">
        <f t="shared" si="143"/>
        <v>INDFWH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INDFWH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INDFWH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INDFDPHCOAN1</v>
      </c>
      <c r="E168" s="261" t="str">
        <f>"Industrial heating technology "&amp;$AJ$12&amp;" "&amp;RIGHT(H168,2)&amp;" - Coal boiler (Steam) - new 1"</f>
        <v>Industrial heating technology Food PH - Coal boiler (Steam) - new 1</v>
      </c>
      <c r="F168" s="224" t="s">
        <v>1149</v>
      </c>
      <c r="G168" s="55" t="s">
        <v>617</v>
      </c>
      <c r="H168" s="174" t="str">
        <f>$AI$13</f>
        <v>IFDPH</v>
      </c>
      <c r="I168" s="174" t="str">
        <f t="shared" si="143"/>
        <v>INDFWH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INDFWH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INDFWH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INDFDPHCOAN1</v>
      </c>
      <c r="E171" s="261" t="str">
        <f>"Industrial heating technology "&amp;$AJ$12&amp;" "&amp;RIGHT(H171,2)&amp;" - Coal boiler (Steam) - new 1"</f>
        <v>Industrial heating technology Food PH - Coal boiler (Steam) - new 1</v>
      </c>
      <c r="F171" s="224" t="s">
        <v>1149</v>
      </c>
      <c r="G171" s="55" t="s">
        <v>617</v>
      </c>
      <c r="H171" s="174" t="str">
        <f>$AI$14</f>
        <v>IFDPH</v>
      </c>
      <c r="I171" s="174" t="str">
        <f t="shared" si="143"/>
        <v>INDFWH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INDFWH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INDFWH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INDFDSHCOAN1</v>
      </c>
      <c r="E174" s="261" t="str">
        <f>"Industrial heating technology "&amp;$AJ$12&amp;" "&amp;RIGHT(H174,2)&amp;" - Coal boiler (Steam) - new 1"</f>
        <v>Industrial heating technology Food SH - Coal boiler (Steam) - new 1</v>
      </c>
      <c r="F174" s="224" t="s">
        <v>1149</v>
      </c>
      <c r="G174" s="55" t="s">
        <v>617</v>
      </c>
      <c r="H174" s="174" t="str">
        <f>$AI$15</f>
        <v>IFDSH</v>
      </c>
      <c r="I174" s="174" t="str">
        <f t="shared" si="143"/>
        <v>INDFWH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INDFWH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INDFWH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INDFDPHCOAN2</v>
      </c>
      <c r="E177" s="261" t="str">
        <f>"Industrial heating technology "&amp;$AJ$12&amp;" "&amp;RIGHT(H177,2)&amp;" - Coal boiler (Hot Water) - new 2"</f>
        <v>Industrial heating technology Food PH - Coal boiler (Hot Water) - new 2</v>
      </c>
      <c r="F177" s="224" t="s">
        <v>1149</v>
      </c>
      <c r="G177" s="55" t="s">
        <v>617</v>
      </c>
      <c r="H177" s="174" t="str">
        <f>$AI$14</f>
        <v>IFDPH</v>
      </c>
      <c r="I177" s="174" t="str">
        <f t="shared" si="143"/>
        <v>INDFWH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INDFWH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INDFWH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INDFDSHCOAN2</v>
      </c>
      <c r="E180" s="261" t="str">
        <f>"Industrial heating technology "&amp;$AJ$12&amp;" "&amp;RIGHT(H180,2)&amp;" - Coal boiler (Hot Water) - new 2"</f>
        <v>Industrial heating technology Food SH - Coal boiler (Hot Water) - new 2</v>
      </c>
      <c r="F180" s="224" t="s">
        <v>1149</v>
      </c>
      <c r="G180" s="55" t="s">
        <v>617</v>
      </c>
      <c r="H180" s="174" t="str">
        <f>$AI$15</f>
        <v>IFDSH</v>
      </c>
      <c r="I180" s="174" t="str">
        <f t="shared" si="143"/>
        <v>INDFWH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INDFWH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INDFWH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INDFDSHSOLN1</v>
      </c>
      <c r="E183" s="261" t="str">
        <f>"Industrial heating technology "&amp;$AJ$12&amp;" "&amp;RIGHT(H183,2)&amp;" - Solar - new 1"</f>
        <v>Industrial heating technology Food SH - Solar - new 1</v>
      </c>
      <c r="F183" s="224" t="s">
        <v>1149</v>
      </c>
      <c r="G183" s="55" t="s">
        <v>500</v>
      </c>
      <c r="H183" s="174" t="str">
        <f>$AI$15</f>
        <v>IFDSH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INDFDSHHCEN1</v>
      </c>
      <c r="E187" s="224" t="str">
        <f>"Industrial heating technology "&amp;$AJ$12&amp;" "&amp;RIGHT(H187,2)&amp;" - central district heating - within DH area - new 1"</f>
        <v>Industrial heating technology Food SH - central district heating - within DH area - new 1</v>
      </c>
      <c r="F187" s="224" t="s">
        <v>1149</v>
      </c>
      <c r="G187" s="225" t="s">
        <v>501</v>
      </c>
      <c r="H187" s="225" t="str">
        <f>AI15</f>
        <v>IFDSH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INDFDPHHCEN1</v>
      </c>
      <c r="E188" s="224" t="str">
        <f>"Industrial heating technology "&amp;$AJ$12&amp;" "&amp;RIGHT(H188,2)&amp;" - central district heating - within DH area - new 1"</f>
        <v>Industrial heating technology Food PH - central district heating - within DH area - new 1</v>
      </c>
      <c r="F188" s="224" t="s">
        <v>1149</v>
      </c>
      <c r="G188" s="225" t="s">
        <v>501</v>
      </c>
      <c r="H188" s="281" t="str">
        <f>AI14</f>
        <v>IFDPH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INDFDSHHSEN1</v>
      </c>
      <c r="E189" s="224" t="str">
        <f>"Industrial heating technology "&amp;$AJ$12&amp;" "&amp;RIGHT(H189,2)&amp;" - central district heating - within DH area - new 1"</f>
        <v>Industrial heating technology Food SH - central district heating - within DH area - new 1</v>
      </c>
      <c r="F189" s="224" t="s">
        <v>1149</v>
      </c>
      <c r="G189" s="225" t="s">
        <v>2124</v>
      </c>
      <c r="H189" s="225" t="str">
        <f>H187</f>
        <v>IFDSH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INDFDPHHSEN1</v>
      </c>
      <c r="E190" s="224" t="str">
        <f>"Industrial heating technology "&amp;$AJ$12&amp;" "&amp;RIGHT(H190,2)&amp;" - central district heating - within DH area - new 1"</f>
        <v>Industrial heating technology Food PH - central district heating - within DH area - new 1</v>
      </c>
      <c r="F190" s="224" t="s">
        <v>1149</v>
      </c>
      <c r="G190" s="225" t="s">
        <v>2124</v>
      </c>
      <c r="H190" s="225" t="str">
        <f>H188</f>
        <v>IFDPH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INDFDSHHDEN1</v>
      </c>
      <c r="E191" s="224" t="str">
        <f>"Industrial heating technology "&amp;$AJ$12&amp;" "&amp;RIGHT(H191,2)&amp;" - decentral district heating - within DH area - new 1"</f>
        <v>Industrial heating technology Food SH - decentral district heating - within DH area - new 1</v>
      </c>
      <c r="F191" s="224" t="s">
        <v>1149</v>
      </c>
      <c r="G191" s="259" t="s">
        <v>502</v>
      </c>
      <c r="H191" s="265" t="str">
        <f>AI15</f>
        <v>IFDSH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INDFDPHHDEN1</v>
      </c>
      <c r="E192" s="224" t="str">
        <f>"Industrial heating technology "&amp;$AJ$12&amp;" "&amp;RIGHT(H192,2)&amp;" - decentral district heating - within DH area - new 1"</f>
        <v>Industrial heating technology Food PH - decentral district heating - within DH area - new 1</v>
      </c>
      <c r="F192" s="224" t="s">
        <v>1149</v>
      </c>
      <c r="G192" s="259" t="s">
        <v>502</v>
      </c>
      <c r="H192" s="225" t="str">
        <f>AI14</f>
        <v>IFDPH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INDFDLAELCN1</v>
      </c>
      <c r="E194" s="224" t="str">
        <f>"Industry "&amp;$AJ$12&amp;" "&amp;RIGHT(H194,2)&amp;" Electricity Light Appliance - New 1"</f>
        <v>Industry Food LA Electricity Light Appliance - New 1</v>
      </c>
      <c r="F194" s="224" t="s">
        <v>1149</v>
      </c>
      <c r="G194" s="225" t="s">
        <v>499</v>
      </c>
      <c r="H194" s="225" t="str">
        <f>AI16</f>
        <v>IFDLA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INDFDEMELCN1</v>
      </c>
      <c r="E198" s="224" t="str">
        <f>"Industry "&amp;$AJ$12&amp;" "&amp;RIGHT(H198,2)&amp;" Electricity Motors - New 1"</f>
        <v>Industry Food EM Electricity Motors - New 1</v>
      </c>
      <c r="F198" s="224" t="s">
        <v>1149</v>
      </c>
      <c r="G198" s="225" t="s">
        <v>499</v>
      </c>
      <c r="H198" s="225" t="str">
        <f>AI17</f>
        <v>IFDEM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INDFDTFDSLN1</v>
      </c>
      <c r="E202" s="224" t="str">
        <f>"Industry "&amp;$AJ$12&amp;" "&amp;RIGHT(H202,2)&amp;" Tractors, Trucks, Fishing boats - New 1"</f>
        <v>Industry Food TF Tractors, Trucks, Fishing boats - New 1</v>
      </c>
      <c r="F202" s="224" t="s">
        <v>1149</v>
      </c>
      <c r="G202" s="173" t="s">
        <v>2081</v>
      </c>
      <c r="H202" s="174" t="str">
        <f>$AI$18</f>
        <v>IFDTF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INDFDTFH2GN2</v>
      </c>
      <c r="E206" s="224" t="str">
        <f>"Industry "&amp;$AJ$12&amp;" "&amp;RIGHT(H206,2)&amp;" Tractors, Trucks, Fishing boats - New 2"</f>
        <v>Industry Food TF Tractors, Trucks, Fishing boats - New 2</v>
      </c>
      <c r="F206" s="224" t="s">
        <v>1149</v>
      </c>
      <c r="G206" s="55" t="s">
        <v>2077</v>
      </c>
      <c r="H206" s="174" t="str">
        <f>$AI$18</f>
        <v>IFDTF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INDFDTFELCN3</v>
      </c>
      <c r="E210" s="224" t="str">
        <f>"Industry "&amp;$AJ$12&amp;" "&amp;RIGHT(H210,2)&amp;" Tractors, Trucks, Fishing boats - New 3"</f>
        <v>Industry Food TF Tractors, Trucks, Fishing boats - New 3</v>
      </c>
      <c r="F210" s="224" t="s">
        <v>1149</v>
      </c>
      <c r="G210" s="55" t="s">
        <v>499</v>
      </c>
      <c r="H210" s="174" t="str">
        <f>$AI$18</f>
        <v>IFDTF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INDFDFLSYNN1</v>
      </c>
      <c r="E214" s="224" t="str">
        <f>"Industry "&amp;$AJ$12&amp;" "&amp;RIGHT(H202,2)&amp;" Forklifts - New 1"</f>
        <v>Industry Food TF Forklifts - New 1</v>
      </c>
      <c r="F214" s="224" t="s">
        <v>1149</v>
      </c>
      <c r="G214" s="173" t="s">
        <v>2082</v>
      </c>
      <c r="H214" s="224" t="str">
        <f>AI19</f>
        <v>IFDFL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INDFDCOELCN1</v>
      </c>
      <c r="E218" s="224" t="str">
        <f>"Industry "&amp;$AJ$12&amp;" "&amp;RIGHT(H218,2)&amp;" Cooling - New 1"</f>
        <v>Industry Food CO Cooling - New 1</v>
      </c>
      <c r="F218" s="224" t="s">
        <v>1149</v>
      </c>
      <c r="G218" s="173" t="s">
        <v>499</v>
      </c>
      <c r="H218" s="224" t="str">
        <f>AI21</f>
        <v>IFDCO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INDFDPHELCN1</v>
      </c>
      <c r="E229" s="212" t="str">
        <f t="shared" ref="E229:E260" si="266">VLOOKUP(D229,$D$9:$E$222,2,FALSE)</f>
        <v>Industrial heating technology Food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INDFDSHELCN1</v>
      </c>
      <c r="E230" s="212" t="str">
        <f t="shared" ca="1" si="266"/>
        <v>Industrial heating technology Food SH - Heat pump utilizing waste heat - new 1</v>
      </c>
      <c r="F230" s="262" t="s">
        <v>450</v>
      </c>
      <c r="G230" s="262" t="s">
        <v>449</v>
      </c>
      <c r="H230" s="263" t="s">
        <v>620</v>
      </c>
      <c r="I230" s="301"/>
      <c r="J230" s="264" t="s">
        <v>469</v>
      </c>
    </row>
    <row r="231" spans="1:10">
      <c r="A231" s="169"/>
      <c r="D231" s="212" t="str">
        <f t="shared" ca="1" si="267"/>
        <v>INDFDPHELCN2</v>
      </c>
      <c r="E231" s="212" t="str">
        <f t="shared" ca="1" si="266"/>
        <v>Industrial heating technology Food PH - Heat driven heat pump utilizing waste heat - new 2</v>
      </c>
      <c r="F231" s="211" t="s">
        <v>450</v>
      </c>
      <c r="G231" s="211" t="s">
        <v>449</v>
      </c>
      <c r="H231" s="263" t="s">
        <v>620</v>
      </c>
      <c r="I231" s="208"/>
      <c r="J231" s="264" t="s">
        <v>469</v>
      </c>
    </row>
    <row r="232" spans="1:10">
      <c r="A232" s="169"/>
      <c r="B232" s="211"/>
      <c r="C232" s="211"/>
      <c r="D232" s="212" t="str">
        <f t="shared" ca="1" si="267"/>
        <v>INDFDSHELCN2</v>
      </c>
      <c r="E232" s="212" t="str">
        <f t="shared" ca="1" si="266"/>
        <v>Industrial heating technology Food SH - Heat driven heat pump utilizing waste heat - new 2</v>
      </c>
      <c r="F232" s="262" t="s">
        <v>450</v>
      </c>
      <c r="G232" s="262" t="s">
        <v>449</v>
      </c>
      <c r="H232" s="263" t="s">
        <v>620</v>
      </c>
      <c r="I232" s="264"/>
      <c r="J232" s="264" t="s">
        <v>469</v>
      </c>
    </row>
    <row r="233" spans="1:10">
      <c r="A233" s="169"/>
      <c r="B233" s="211"/>
      <c r="C233" s="211"/>
      <c r="D233" s="212" t="str">
        <f t="shared" ca="1" si="267"/>
        <v>INDFDPHELCN3</v>
      </c>
      <c r="E233" s="212" t="str">
        <f t="shared" ca="1" si="266"/>
        <v>Industrial heating technology Food PH - High Temp abs. Heat pump utilizing waste heat - new 3</v>
      </c>
      <c r="F233" s="262" t="s">
        <v>450</v>
      </c>
      <c r="G233" s="262" t="s">
        <v>449</v>
      </c>
      <c r="H233" s="263" t="s">
        <v>620</v>
      </c>
      <c r="I233" s="264"/>
      <c r="J233" s="264" t="s">
        <v>469</v>
      </c>
    </row>
    <row r="234" spans="1:10">
      <c r="A234" s="169"/>
      <c r="B234" s="211"/>
      <c r="C234" s="211"/>
      <c r="D234" s="212" t="str">
        <f t="shared" ca="1" si="267"/>
        <v>INDFDSHELCN3</v>
      </c>
      <c r="E234" s="212" t="str">
        <f t="shared" ca="1" si="266"/>
        <v>Industrial heating technology Food SH - High Temp abs. Heat pump utilizing waste heat - new 3</v>
      </c>
      <c r="F234" s="262" t="s">
        <v>450</v>
      </c>
      <c r="G234" s="262" t="s">
        <v>449</v>
      </c>
      <c r="H234" s="263" t="s">
        <v>620</v>
      </c>
      <c r="I234" s="264"/>
      <c r="J234" s="264" t="s">
        <v>469</v>
      </c>
    </row>
    <row r="235" spans="1:10">
      <c r="A235" s="169"/>
      <c r="B235" s="211"/>
      <c r="C235" s="211"/>
      <c r="D235" s="212" t="str">
        <f t="shared" ca="1" si="267"/>
        <v>INDFDPHELCN4</v>
      </c>
      <c r="E235" s="212" t="str">
        <f t="shared" ca="1" si="266"/>
        <v>Industrial heating technology Food PH - Booster Heat pump utilizing waste heat - new 4</v>
      </c>
      <c r="F235" s="262" t="s">
        <v>450</v>
      </c>
      <c r="G235" s="262" t="s">
        <v>449</v>
      </c>
      <c r="H235" s="263" t="s">
        <v>620</v>
      </c>
      <c r="I235" s="264"/>
      <c r="J235" s="264" t="s">
        <v>469</v>
      </c>
    </row>
    <row r="236" spans="1:10">
      <c r="A236" s="169"/>
      <c r="B236" s="211"/>
      <c r="C236" s="211"/>
      <c r="D236" s="212" t="str">
        <f t="shared" ca="1" si="267"/>
        <v>INDFDSHELCN4</v>
      </c>
      <c r="E236" s="212" t="str">
        <f t="shared" ca="1" si="266"/>
        <v>Industrial heating technology Food SH - Booster Heat pump utilizing waste heat - new 4</v>
      </c>
      <c r="F236" s="262" t="s">
        <v>450</v>
      </c>
      <c r="G236" s="262" t="s">
        <v>449</v>
      </c>
      <c r="H236" s="263" t="s">
        <v>620</v>
      </c>
      <c r="I236" s="264"/>
      <c r="J236" s="264" t="s">
        <v>469</v>
      </c>
    </row>
    <row r="237" spans="1:10">
      <c r="A237" s="169"/>
      <c r="B237" s="211"/>
      <c r="C237" s="211"/>
      <c r="D237" s="212" t="str">
        <f t="shared" ca="1" si="267"/>
        <v>INDFDPHELCN5</v>
      </c>
      <c r="E237" s="212" t="str">
        <f t="shared" ca="1" si="266"/>
        <v>Industrial heating technology Food PH - MVR utilizing waste heat - new 5</v>
      </c>
      <c r="F237" s="262" t="s">
        <v>450</v>
      </c>
      <c r="G237" s="262" t="s">
        <v>449</v>
      </c>
      <c r="H237" s="263"/>
      <c r="I237" s="264"/>
      <c r="J237" s="264" t="s">
        <v>469</v>
      </c>
    </row>
    <row r="238" spans="1:10">
      <c r="A238" s="169"/>
      <c r="B238" s="211"/>
      <c r="C238" s="211"/>
      <c r="D238" s="212" t="str">
        <f t="shared" ca="1" si="267"/>
        <v>INDFDPHWSTN1</v>
      </c>
      <c r="E238" s="212" t="str">
        <f t="shared" ca="1" si="266"/>
        <v>Industrial heating technology Food PH - Hotdisc - new 1</v>
      </c>
      <c r="F238" s="262" t="s">
        <v>450</v>
      </c>
      <c r="G238" s="262" t="s">
        <v>449</v>
      </c>
      <c r="H238" s="263" t="s">
        <v>620</v>
      </c>
      <c r="I238" s="264"/>
      <c r="J238" s="264" t="s">
        <v>469</v>
      </c>
    </row>
    <row r="239" spans="1:10">
      <c r="A239" s="169"/>
      <c r="B239" s="211"/>
      <c r="C239" s="211"/>
      <c r="D239" s="212" t="str">
        <f t="shared" ref="D239:D278" ca="1" si="268">OFFSET($D$9,(ROW(D19)*3),0)</f>
        <v>INDFDPHELCN6</v>
      </c>
      <c r="E239" s="212" t="str">
        <f t="shared" ca="1" si="266"/>
        <v>Industrial heating technology Food PH - Dielectric heating - new 6</v>
      </c>
      <c r="F239" s="262" t="s">
        <v>450</v>
      </c>
      <c r="G239" s="262" t="s">
        <v>449</v>
      </c>
      <c r="H239" s="263" t="s">
        <v>620</v>
      </c>
      <c r="I239" s="264"/>
      <c r="J239" s="264" t="s">
        <v>469</v>
      </c>
    </row>
    <row r="240" spans="1:10">
      <c r="A240" s="169"/>
      <c r="B240" s="211"/>
      <c r="C240" s="211"/>
      <c r="D240" s="212" t="str">
        <f t="shared" ca="1" si="268"/>
        <v>INDFDPHELCN7</v>
      </c>
      <c r="E240" s="212" t="str">
        <f t="shared" ca="1" si="266"/>
        <v>Industrial heating technology Food PH - Infrared heating - new 7</v>
      </c>
      <c r="F240" s="262" t="s">
        <v>450</v>
      </c>
      <c r="G240" s="262" t="s">
        <v>449</v>
      </c>
      <c r="H240" s="263" t="s">
        <v>620</v>
      </c>
      <c r="I240" s="264"/>
      <c r="J240" s="264" t="s">
        <v>469</v>
      </c>
    </row>
    <row r="241" spans="1:16">
      <c r="A241" s="169"/>
      <c r="B241" s="211"/>
      <c r="C241" s="211"/>
      <c r="D241" s="212" t="str">
        <f t="shared" ca="1" si="268"/>
        <v>INDFDPHELCN8</v>
      </c>
      <c r="E241" s="212" t="str">
        <f t="shared" ca="1" si="266"/>
        <v>Industrial heating technology Food PH - Electric boiler (Steam) - new 8</v>
      </c>
      <c r="F241" s="262" t="s">
        <v>450</v>
      </c>
      <c r="G241" s="262" t="s">
        <v>449</v>
      </c>
      <c r="H241" s="263" t="s">
        <v>620</v>
      </c>
      <c r="I241" s="264"/>
      <c r="J241" s="264" t="s">
        <v>469</v>
      </c>
    </row>
    <row r="242" spans="1:16">
      <c r="A242" s="169"/>
      <c r="B242" s="211"/>
      <c r="C242" s="211"/>
      <c r="D242" s="212" t="str">
        <f t="shared" ca="1" si="268"/>
        <v>INDFDPHELCN8</v>
      </c>
      <c r="E242" s="212" t="str">
        <f t="shared" ca="1" si="266"/>
        <v>Industrial heating technology Food PH - Electric boiler (Steam) - new 8</v>
      </c>
      <c r="F242" s="262" t="s">
        <v>450</v>
      </c>
      <c r="G242" s="262" t="s">
        <v>449</v>
      </c>
      <c r="H242" s="263" t="s">
        <v>620</v>
      </c>
      <c r="I242" s="264"/>
      <c r="J242" s="264" t="s">
        <v>469</v>
      </c>
    </row>
    <row r="243" spans="1:16">
      <c r="A243" s="169"/>
      <c r="B243" s="211"/>
      <c r="C243" s="211"/>
      <c r="D243" s="212" t="str">
        <f t="shared" ca="1" si="268"/>
        <v>INDFDSHELCN8</v>
      </c>
      <c r="E243" s="212" t="str">
        <f t="shared" ca="1" si="266"/>
        <v>Industrial heating technology Food SH - Electric boiler (Steam) - new 8</v>
      </c>
      <c r="F243" s="262" t="s">
        <v>450</v>
      </c>
      <c r="G243" s="262" t="s">
        <v>449</v>
      </c>
      <c r="H243" s="263" t="s">
        <v>620</v>
      </c>
      <c r="I243" s="264"/>
      <c r="J243" s="264" t="s">
        <v>469</v>
      </c>
      <c r="P243" s="173"/>
    </row>
    <row r="244" spans="1:16">
      <c r="A244" s="169"/>
      <c r="B244" s="211"/>
      <c r="C244" s="211"/>
      <c r="D244" s="212" t="str">
        <f t="shared" ca="1" si="268"/>
        <v>INDFDPHELCN9</v>
      </c>
      <c r="E244" s="212" t="str">
        <f t="shared" ca="1" si="266"/>
        <v>Industrial heating technology Food PH - Electric boiler (Hot Water) - new 9</v>
      </c>
      <c r="F244" s="262" t="s">
        <v>450</v>
      </c>
      <c r="G244" s="262" t="s">
        <v>449</v>
      </c>
      <c r="H244" s="263" t="s">
        <v>620</v>
      </c>
      <c r="I244" s="264"/>
      <c r="J244" s="264" t="s">
        <v>469</v>
      </c>
      <c r="P244" s="173"/>
    </row>
    <row r="245" spans="1:16">
      <c r="A245" s="169"/>
      <c r="B245" s="211"/>
      <c r="C245" s="211"/>
      <c r="D245" s="212" t="str">
        <f t="shared" ca="1" si="268"/>
        <v>INDFDSHELCN9</v>
      </c>
      <c r="E245" s="212" t="str">
        <f t="shared" ca="1" si="266"/>
        <v>Industrial heating technology Food SH - Electric boiler (Hot Water) - new 9</v>
      </c>
      <c r="F245" s="262" t="s">
        <v>450</v>
      </c>
      <c r="G245" s="262" t="s">
        <v>449</v>
      </c>
      <c r="H245" s="263" t="s">
        <v>620</v>
      </c>
      <c r="I245" s="264"/>
      <c r="J245" s="264" t="s">
        <v>469</v>
      </c>
      <c r="P245" s="173"/>
    </row>
    <row r="246" spans="1:16">
      <c r="A246" s="169"/>
      <c r="B246" s="211"/>
      <c r="C246" s="211"/>
      <c r="D246" s="212" t="str">
        <f t="shared" ca="1" si="268"/>
        <v>INDFDPHWCHN1</v>
      </c>
      <c r="E246" s="212" t="str">
        <f t="shared" ca="1" si="266"/>
        <v>Industrial heating technology Food PH - Wood chip boiler (Steam) - new 1</v>
      </c>
      <c r="F246" s="262" t="s">
        <v>450</v>
      </c>
      <c r="G246" s="262" t="s">
        <v>449</v>
      </c>
      <c r="H246" s="263"/>
      <c r="I246" s="264"/>
      <c r="J246" s="264" t="s">
        <v>469</v>
      </c>
      <c r="P246" s="173"/>
    </row>
    <row r="247" spans="1:16">
      <c r="A247" s="169"/>
      <c r="B247" s="211"/>
      <c r="C247" s="211"/>
      <c r="D247" s="212" t="str">
        <f t="shared" ca="1" si="268"/>
        <v>INDFDPHWCHN1</v>
      </c>
      <c r="E247" s="212" t="str">
        <f t="shared" ca="1" si="266"/>
        <v>Industrial heating technology Food PH - Wood chip boiler (Steam) - new 1</v>
      </c>
      <c r="F247" s="262" t="s">
        <v>450</v>
      </c>
      <c r="G247" s="262" t="s">
        <v>449</v>
      </c>
      <c r="H247" s="263"/>
      <c r="I247" s="264"/>
      <c r="J247" s="264" t="s">
        <v>469</v>
      </c>
      <c r="M247" s="171"/>
      <c r="N247" s="171"/>
      <c r="P247" s="173"/>
    </row>
    <row r="248" spans="1:16">
      <c r="A248" s="169"/>
      <c r="B248" s="211"/>
      <c r="C248" s="211"/>
      <c r="D248" s="212" t="str">
        <f t="shared" ca="1" si="268"/>
        <v>INDFDSHWCHN1</v>
      </c>
      <c r="E248" s="212" t="str">
        <f t="shared" ca="1" si="266"/>
        <v>Industrial heating technology Food SH - Wood chip boiler (Steam) - new 1</v>
      </c>
      <c r="F248" s="262" t="s">
        <v>450</v>
      </c>
      <c r="G248" s="262" t="s">
        <v>449</v>
      </c>
      <c r="H248" s="263"/>
      <c r="I248" s="264"/>
      <c r="J248" s="264" t="s">
        <v>469</v>
      </c>
      <c r="M248" s="171"/>
      <c r="N248" s="171"/>
      <c r="P248" s="173"/>
    </row>
    <row r="249" spans="1:16">
      <c r="A249" s="169"/>
      <c r="B249" s="211"/>
      <c r="C249" s="211"/>
      <c r="D249" s="212" t="str">
        <f t="shared" ca="1" si="268"/>
        <v>INDFDPHWCHN2</v>
      </c>
      <c r="E249" s="212" t="str">
        <f t="shared" ca="1" si="266"/>
        <v>Industrial heating technology Food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INDFDSHWCHN2</v>
      </c>
      <c r="E250" s="212" t="str">
        <f t="shared" ca="1" si="266"/>
        <v>Industrial heating technology Food SH - Wood chip boiler (Steam - condensing) - new 2</v>
      </c>
      <c r="F250" s="262" t="s">
        <v>450</v>
      </c>
      <c r="G250" s="262" t="s">
        <v>449</v>
      </c>
      <c r="H250" s="263"/>
      <c r="I250" s="264"/>
      <c r="J250" s="264" t="s">
        <v>469</v>
      </c>
    </row>
    <row r="251" spans="1:16">
      <c r="A251" s="169"/>
      <c r="B251" s="212"/>
      <c r="C251" s="212"/>
      <c r="D251" s="212" t="str">
        <f t="shared" ca="1" si="268"/>
        <v>INDFDPHWCHN3</v>
      </c>
      <c r="E251" s="212" t="str">
        <f t="shared" ca="1" si="266"/>
        <v>Industrial heating technology Food PH - Wood chip boiler (Hot Water) - new 3</v>
      </c>
      <c r="F251" s="262" t="s">
        <v>450</v>
      </c>
      <c r="G251" s="262" t="s">
        <v>449</v>
      </c>
      <c r="H251" s="261"/>
      <c r="I251" s="261"/>
      <c r="J251" s="264" t="s">
        <v>469</v>
      </c>
    </row>
    <row r="252" spans="1:16">
      <c r="A252" s="169"/>
      <c r="B252" s="212"/>
      <c r="C252" s="212"/>
      <c r="D252" s="212" t="str">
        <f t="shared" ca="1" si="268"/>
        <v>INDFDSHWCHN3</v>
      </c>
      <c r="E252" s="212" t="str">
        <f t="shared" ca="1" si="266"/>
        <v>Industrial heating technology Food SH - Wood chip boiler (Hot Water) - new 3</v>
      </c>
      <c r="F252" s="262" t="s">
        <v>450</v>
      </c>
      <c r="G252" s="262" t="s">
        <v>449</v>
      </c>
      <c r="H252" s="261"/>
      <c r="I252" s="261"/>
      <c r="J252" s="264" t="s">
        <v>469</v>
      </c>
    </row>
    <row r="253" spans="1:16">
      <c r="A253" s="169"/>
      <c r="B253" s="212"/>
      <c r="C253" s="212"/>
      <c r="D253" s="212" t="str">
        <f t="shared" ca="1" si="268"/>
        <v>INDFDPHWCHN4</v>
      </c>
      <c r="E253" s="212" t="str">
        <f t="shared" ca="1" si="266"/>
        <v>Industrial heating technology Food PH - Wood chip boiler (Hot Water - condensing) - new 4</v>
      </c>
      <c r="F253" s="262" t="s">
        <v>450</v>
      </c>
      <c r="G253" s="262" t="s">
        <v>449</v>
      </c>
      <c r="H253" s="261"/>
      <c r="I253" s="261"/>
      <c r="J253" s="264" t="s">
        <v>469</v>
      </c>
    </row>
    <row r="254" spans="1:16">
      <c r="A254" s="169"/>
      <c r="B254" s="212"/>
      <c r="C254" s="212"/>
      <c r="D254" s="212" t="str">
        <f t="shared" ca="1" si="268"/>
        <v>INDFDSHWCHN4</v>
      </c>
      <c r="E254" s="212" t="str">
        <f t="shared" ca="1" si="266"/>
        <v>Industrial heating technology Food SH - Wood chip boiler (Hot Water- condensing) - new 4</v>
      </c>
      <c r="F254" s="262" t="s">
        <v>450</v>
      </c>
      <c r="G254" s="262" t="s">
        <v>449</v>
      </c>
      <c r="H254" s="261"/>
      <c r="I254" s="261"/>
      <c r="J254" s="264" t="s">
        <v>469</v>
      </c>
    </row>
    <row r="255" spans="1:16">
      <c r="B255" s="212"/>
      <c r="C255" s="212"/>
      <c r="D255" s="212" t="str">
        <f t="shared" ca="1" si="268"/>
        <v>INDFDPHELCN10</v>
      </c>
      <c r="E255" s="212" t="str">
        <f t="shared" ca="1" si="266"/>
        <v>Industrial heating technology Food PH - Direct electric heating - new 10</v>
      </c>
      <c r="F255" s="262" t="s">
        <v>450</v>
      </c>
      <c r="G255" s="262" t="s">
        <v>449</v>
      </c>
      <c r="H255" s="261"/>
      <c r="I255" s="261"/>
      <c r="J255" s="264" t="s">
        <v>469</v>
      </c>
    </row>
    <row r="256" spans="1:16">
      <c r="B256" s="212"/>
      <c r="C256" s="212"/>
      <c r="D256" s="212" t="str">
        <f t="shared" ca="1" si="268"/>
        <v>INDFDPHELCN10</v>
      </c>
      <c r="E256" s="212" t="str">
        <f t="shared" ca="1" si="266"/>
        <v>Industrial heating technology Food PH - Direct electric heating - new 10</v>
      </c>
      <c r="F256" s="262" t="s">
        <v>450</v>
      </c>
      <c r="G256" s="262" t="s">
        <v>449</v>
      </c>
      <c r="H256" s="261"/>
      <c r="I256" s="261"/>
      <c r="J256" s="264" t="s">
        <v>469</v>
      </c>
    </row>
    <row r="257" spans="1:10">
      <c r="B257" s="212"/>
      <c r="C257" s="212"/>
      <c r="D257" s="212" t="str">
        <f t="shared" ca="1" si="268"/>
        <v>INDFDPHDSLN1</v>
      </c>
      <c r="E257" s="212" t="str">
        <f t="shared" ca="1" si="266"/>
        <v>Industrial heating technology Food PH - Oil boiler (Steam) - new 1</v>
      </c>
      <c r="F257" s="262" t="s">
        <v>450</v>
      </c>
      <c r="G257" s="262" t="s">
        <v>449</v>
      </c>
      <c r="H257" s="261"/>
      <c r="I257" s="261"/>
      <c r="J257" s="264" t="s">
        <v>469</v>
      </c>
    </row>
    <row r="258" spans="1:10">
      <c r="B258" s="212"/>
      <c r="C258" s="212"/>
      <c r="D258" s="212" t="str">
        <f t="shared" ca="1" si="268"/>
        <v>INDFDPHDSLN1</v>
      </c>
      <c r="E258" s="212" t="str">
        <f t="shared" ca="1" si="266"/>
        <v>Industrial heating technology Food PH - Oil boiler (Steam) - new 1</v>
      </c>
      <c r="F258" s="262" t="s">
        <v>450</v>
      </c>
      <c r="G258" s="262" t="s">
        <v>449</v>
      </c>
      <c r="H258" s="261"/>
      <c r="I258" s="261"/>
      <c r="J258" s="264" t="s">
        <v>469</v>
      </c>
    </row>
    <row r="259" spans="1:10">
      <c r="B259" s="212"/>
      <c r="C259" s="212"/>
      <c r="D259" s="212" t="str">
        <f t="shared" ca="1" si="268"/>
        <v>INDFDSHDSLN1</v>
      </c>
      <c r="E259" s="212" t="str">
        <f t="shared" ca="1" si="266"/>
        <v>Industrial heating technology Food SH - Oil boiler (Steam) - new 1</v>
      </c>
      <c r="F259" s="262" t="s">
        <v>450</v>
      </c>
      <c r="G259" s="262" t="s">
        <v>449</v>
      </c>
      <c r="H259" s="261"/>
      <c r="I259" s="261"/>
      <c r="J259" s="264" t="s">
        <v>469</v>
      </c>
    </row>
    <row r="260" spans="1:10">
      <c r="A260" s="214"/>
      <c r="B260" s="212"/>
      <c r="C260" s="212"/>
      <c r="D260" s="212" t="str">
        <f t="shared" ca="1" si="268"/>
        <v>INDFDPHDSLN2</v>
      </c>
      <c r="E260" s="212" t="str">
        <f t="shared" ca="1" si="266"/>
        <v>Industrial heating technology Food PH - Oil boiler (Steam - condensing) - new 2</v>
      </c>
      <c r="F260" s="262" t="s">
        <v>450</v>
      </c>
      <c r="G260" s="262" t="s">
        <v>449</v>
      </c>
      <c r="H260" s="261"/>
      <c r="I260" s="261"/>
      <c r="J260" s="264" t="s">
        <v>469</v>
      </c>
    </row>
    <row r="261" spans="1:10">
      <c r="A261" s="214"/>
      <c r="B261" s="212"/>
      <c r="C261" s="212"/>
      <c r="D261" s="212" t="str">
        <f t="shared" ca="1" si="268"/>
        <v>INDFDSHDSLN2</v>
      </c>
      <c r="E261" s="212" t="str">
        <f t="shared" ref="E261:E290" ca="1" si="269">VLOOKUP(D261,$D$9:$E$222,2,FALSE)</f>
        <v>Industrial heating technology Food SH - Oil boiler (Steam - condensing) - new 2</v>
      </c>
      <c r="F261" s="262" t="s">
        <v>450</v>
      </c>
      <c r="G261" s="262" t="s">
        <v>449</v>
      </c>
      <c r="H261" s="261"/>
      <c r="I261" s="261"/>
      <c r="J261" s="264" t="s">
        <v>469</v>
      </c>
    </row>
    <row r="262" spans="1:10">
      <c r="A262" s="214"/>
      <c r="B262" s="212"/>
      <c r="C262" s="212"/>
      <c r="D262" s="212" t="str">
        <f t="shared" ca="1" si="268"/>
        <v>INDFDPHGASN1</v>
      </c>
      <c r="E262" s="212" t="str">
        <f t="shared" ca="1" si="269"/>
        <v>Industrial heating technology Food PH - Gas boiler (Steam) - new 1</v>
      </c>
      <c r="F262" s="262" t="s">
        <v>450</v>
      </c>
      <c r="G262" s="262" t="s">
        <v>449</v>
      </c>
      <c r="H262" s="261"/>
      <c r="I262" s="261"/>
      <c r="J262" s="264" t="s">
        <v>469</v>
      </c>
    </row>
    <row r="263" spans="1:10">
      <c r="A263" s="214"/>
      <c r="B263" s="212"/>
      <c r="C263" s="212"/>
      <c r="D263" s="212" t="str">
        <f t="shared" ca="1" si="268"/>
        <v>INDFDPHGASN1</v>
      </c>
      <c r="E263" s="212" t="str">
        <f t="shared" ca="1" si="269"/>
        <v>Industrial heating technology Food PH - Gas boiler (Steam) - new 1</v>
      </c>
      <c r="F263" s="262" t="s">
        <v>450</v>
      </c>
      <c r="G263" s="262" t="s">
        <v>449</v>
      </c>
      <c r="H263" s="261"/>
      <c r="I263" s="261"/>
      <c r="J263" s="264" t="s">
        <v>469</v>
      </c>
    </row>
    <row r="264" spans="1:10">
      <c r="B264" s="212"/>
      <c r="C264" s="212"/>
      <c r="D264" s="212" t="str">
        <f t="shared" ca="1" si="268"/>
        <v>INDFDSHGASN1</v>
      </c>
      <c r="E264" s="212" t="str">
        <f t="shared" ca="1" si="269"/>
        <v>Industrial heating technology Food SH - Gas boiler (Steam) - new 1</v>
      </c>
      <c r="F264" s="262" t="s">
        <v>450</v>
      </c>
      <c r="G264" s="262" t="s">
        <v>449</v>
      </c>
      <c r="H264" s="261"/>
      <c r="I264" s="261"/>
      <c r="J264" s="264" t="s">
        <v>469</v>
      </c>
    </row>
    <row r="265" spans="1:10">
      <c r="B265" s="212"/>
      <c r="C265" s="212"/>
      <c r="D265" s="212" t="str">
        <f t="shared" ca="1" si="268"/>
        <v>INDFDPHGASN2</v>
      </c>
      <c r="E265" s="212" t="str">
        <f t="shared" ca="1" si="269"/>
        <v>Industrial heating technology Food PH - Gas boiler (Steam - condensing) - new 2</v>
      </c>
      <c r="F265" s="262" t="s">
        <v>450</v>
      </c>
      <c r="G265" s="262" t="s">
        <v>449</v>
      </c>
      <c r="H265" s="261"/>
      <c r="I265" s="261"/>
      <c r="J265" s="264" t="s">
        <v>469</v>
      </c>
    </row>
    <row r="266" spans="1:10">
      <c r="B266" s="212"/>
      <c r="C266" s="212"/>
      <c r="D266" s="212" t="str">
        <f t="shared" ca="1" si="268"/>
        <v>INDFDSHGASN2</v>
      </c>
      <c r="E266" s="212" t="str">
        <f t="shared" ca="1" si="269"/>
        <v>Industrial heating technology Food SH - Gas boiler (Steam - condensing) - new 2</v>
      </c>
      <c r="F266" s="262" t="s">
        <v>450</v>
      </c>
      <c r="G266" s="262" t="s">
        <v>449</v>
      </c>
      <c r="H266" s="261"/>
      <c r="I266" s="261"/>
      <c r="J266" s="264" t="s">
        <v>469</v>
      </c>
    </row>
    <row r="267" spans="1:10">
      <c r="B267" s="212"/>
      <c r="C267" s="212"/>
      <c r="D267" s="212" t="str">
        <f t="shared" ca="1" si="268"/>
        <v>INDFDPHGASN3</v>
      </c>
      <c r="E267" s="212" t="str">
        <f t="shared" ca="1" si="269"/>
        <v>Industrial heating technology Food PH - Gas boiler (Hot Water) - new 3</v>
      </c>
      <c r="F267" s="262" t="s">
        <v>450</v>
      </c>
      <c r="G267" s="262" t="s">
        <v>449</v>
      </c>
      <c r="H267" s="261"/>
      <c r="I267" s="261"/>
      <c r="J267" s="264" t="s">
        <v>469</v>
      </c>
    </row>
    <row r="268" spans="1:10">
      <c r="B268" s="212"/>
      <c r="C268" s="212"/>
      <c r="D268" s="212" t="str">
        <f t="shared" ca="1" si="268"/>
        <v>INDFDSHGASN3</v>
      </c>
      <c r="E268" s="212" t="str">
        <f t="shared" ca="1" si="269"/>
        <v>Industrial heating technology Food SH - Gas boiler (Hot Water) - new 3</v>
      </c>
      <c r="F268" s="262" t="s">
        <v>450</v>
      </c>
      <c r="G268" s="262" t="s">
        <v>449</v>
      </c>
      <c r="H268" s="261"/>
      <c r="I268" s="261"/>
      <c r="J268" s="264" t="s">
        <v>469</v>
      </c>
    </row>
    <row r="269" spans="1:10">
      <c r="B269" s="212"/>
      <c r="C269" s="212"/>
      <c r="D269" s="212" t="str">
        <f t="shared" ca="1" si="268"/>
        <v>INDFDPHGASN4</v>
      </c>
      <c r="E269" s="212" t="str">
        <f t="shared" ca="1" si="269"/>
        <v>Industrial heating technology Food PH - Gas boiler (Hot Water - condensing) - new 4</v>
      </c>
      <c r="F269" s="262" t="s">
        <v>450</v>
      </c>
      <c r="G269" s="262" t="s">
        <v>449</v>
      </c>
      <c r="H269" s="261"/>
      <c r="I269" s="261"/>
      <c r="J269" s="264" t="s">
        <v>469</v>
      </c>
    </row>
    <row r="270" spans="1:10">
      <c r="B270" s="212"/>
      <c r="C270" s="212"/>
      <c r="D270" s="212" t="str">
        <f t="shared" ca="1" si="268"/>
        <v>INDFDSHGASN4</v>
      </c>
      <c r="E270" s="212" t="str">
        <f t="shared" ca="1" si="269"/>
        <v>Industrial heating technology Food SH - Gas boiler (Hot Water- condensing) - new 4</v>
      </c>
      <c r="F270" s="262" t="s">
        <v>450</v>
      </c>
      <c r="G270" s="262" t="s">
        <v>449</v>
      </c>
      <c r="H270" s="261"/>
      <c r="I270" s="261"/>
      <c r="J270" s="264" t="s">
        <v>469</v>
      </c>
    </row>
    <row r="271" spans="1:10">
      <c r="B271" s="212"/>
      <c r="C271" s="212"/>
      <c r="D271" s="212" t="str">
        <f t="shared" ca="1" si="268"/>
        <v>INDFDPHGASN5</v>
      </c>
      <c r="E271" s="212" t="str">
        <f t="shared" ca="1" si="269"/>
        <v>Industrial heating technology Food PH - Gas boiler (Direct firing) - new 5</v>
      </c>
      <c r="F271" s="262" t="s">
        <v>450</v>
      </c>
      <c r="G271" s="262" t="s">
        <v>449</v>
      </c>
      <c r="H271" s="261"/>
      <c r="I271" s="261"/>
      <c r="J271" s="264" t="s">
        <v>469</v>
      </c>
    </row>
    <row r="272" spans="1:10">
      <c r="B272" s="212"/>
      <c r="C272" s="212"/>
      <c r="D272" s="212" t="str">
        <f t="shared" ca="1" si="268"/>
        <v>INDFDPHGASN5</v>
      </c>
      <c r="E272" s="212" t="str">
        <f t="shared" ca="1" si="269"/>
        <v>Industrial heating technology Food PH - Gas boiler (Direct firing) - new 5</v>
      </c>
      <c r="F272" s="262" t="s">
        <v>450</v>
      </c>
      <c r="G272" s="262" t="s">
        <v>449</v>
      </c>
      <c r="H272" s="261"/>
      <c r="I272" s="261"/>
      <c r="J272" s="264" t="s">
        <v>469</v>
      </c>
    </row>
    <row r="273" spans="2:10">
      <c r="B273" s="212"/>
      <c r="C273" s="212"/>
      <c r="D273" s="212" t="str">
        <f t="shared" ca="1" si="268"/>
        <v>INDFDPHCOAN1</v>
      </c>
      <c r="E273" s="212" t="str">
        <f t="shared" ca="1" si="269"/>
        <v>Industrial heating technology Food PH - Coal boiler (Steam) - new 1</v>
      </c>
      <c r="F273" s="262" t="s">
        <v>450</v>
      </c>
      <c r="G273" s="262" t="s">
        <v>449</v>
      </c>
      <c r="H273" s="261"/>
      <c r="I273" s="261"/>
      <c r="J273" s="264" t="s">
        <v>469</v>
      </c>
    </row>
    <row r="274" spans="2:10">
      <c r="B274" s="212"/>
      <c r="C274" s="212"/>
      <c r="D274" s="212" t="str">
        <f t="shared" ca="1" si="268"/>
        <v>INDFDPHCOAN1</v>
      </c>
      <c r="E274" s="212" t="str">
        <f t="shared" ca="1" si="269"/>
        <v>Industrial heating technology Food PH - Coal boiler (Steam) - new 1</v>
      </c>
      <c r="F274" s="262" t="s">
        <v>450</v>
      </c>
      <c r="G274" s="262" t="s">
        <v>449</v>
      </c>
      <c r="H274" s="261"/>
      <c r="I274" s="261"/>
      <c r="J274" s="264" t="s">
        <v>469</v>
      </c>
    </row>
    <row r="275" spans="2:10">
      <c r="B275" s="212"/>
      <c r="C275" s="212"/>
      <c r="D275" s="212" t="str">
        <f t="shared" ca="1" si="268"/>
        <v>INDFDSHCOAN1</v>
      </c>
      <c r="E275" s="212" t="str">
        <f t="shared" ca="1" si="269"/>
        <v>Industrial heating technology Food SH - Coal boiler (Steam) - new 1</v>
      </c>
      <c r="F275" s="262" t="s">
        <v>450</v>
      </c>
      <c r="G275" s="262" t="s">
        <v>449</v>
      </c>
      <c r="H275" s="261"/>
      <c r="I275" s="261"/>
      <c r="J275" s="264" t="s">
        <v>469</v>
      </c>
    </row>
    <row r="276" spans="2:10">
      <c r="B276" s="212"/>
      <c r="C276" s="212"/>
      <c r="D276" s="212" t="str">
        <f t="shared" ca="1" si="268"/>
        <v>INDFDPHCOAN2</v>
      </c>
      <c r="E276" s="212" t="str">
        <f t="shared" ca="1" si="269"/>
        <v>Industrial heating technology Food PH - Coal boiler (Hot Water) - new 2</v>
      </c>
      <c r="F276" s="262" t="s">
        <v>450</v>
      </c>
      <c r="G276" s="262" t="s">
        <v>449</v>
      </c>
      <c r="H276" s="261"/>
      <c r="I276" s="261"/>
      <c r="J276" s="264" t="s">
        <v>469</v>
      </c>
    </row>
    <row r="277" spans="2:10">
      <c r="B277" s="212"/>
      <c r="C277" s="212"/>
      <c r="D277" s="212" t="str">
        <f t="shared" ca="1" si="268"/>
        <v>INDFDSHCOAN2</v>
      </c>
      <c r="E277" s="212" t="str">
        <f t="shared" ca="1" si="269"/>
        <v>Industrial heating technology Food SH - Coal boiler (Hot Water) - new 2</v>
      </c>
      <c r="F277" s="262" t="s">
        <v>450</v>
      </c>
      <c r="G277" s="262" t="s">
        <v>449</v>
      </c>
      <c r="H277" s="261"/>
      <c r="I277" s="261"/>
      <c r="J277" s="264" t="s">
        <v>469</v>
      </c>
    </row>
    <row r="278" spans="2:10">
      <c r="B278" s="212"/>
      <c r="C278" s="212"/>
      <c r="D278" s="212" t="str">
        <f t="shared" ca="1" si="268"/>
        <v>INDFDSHSOLN1</v>
      </c>
      <c r="E278" s="212" t="str">
        <f t="shared" ca="1" si="269"/>
        <v>Industrial heating technology Food SH - Solar - new 1</v>
      </c>
      <c r="F278" s="262" t="s">
        <v>450</v>
      </c>
      <c r="G278" s="262" t="s">
        <v>449</v>
      </c>
      <c r="H278" s="263" t="s">
        <v>620</v>
      </c>
      <c r="I278" s="261"/>
      <c r="J278" s="264" t="s">
        <v>469</v>
      </c>
    </row>
    <row r="279" spans="2:10">
      <c r="B279" s="212"/>
      <c r="C279" s="212"/>
      <c r="D279" s="889" t="str">
        <f>D187</f>
        <v>INDFDSHHCEN1</v>
      </c>
      <c r="E279" s="889" t="str">
        <f t="shared" si="269"/>
        <v>Industrial heating technology Food SH - central district heating - within DH area - new 1</v>
      </c>
      <c r="F279" s="262" t="s">
        <v>450</v>
      </c>
      <c r="G279" s="262" t="s">
        <v>449</v>
      </c>
      <c r="H279" s="890"/>
      <c r="I279" s="890"/>
      <c r="J279" s="263" t="s">
        <v>469</v>
      </c>
    </row>
    <row r="280" spans="2:10">
      <c r="B280" s="212"/>
      <c r="C280" s="212"/>
      <c r="D280" s="889" t="str">
        <f>D188</f>
        <v>INDFDPHHCEN1</v>
      </c>
      <c r="E280" s="889" t="str">
        <f t="shared" si="269"/>
        <v>Industrial heating technology Food PH - central district heating - within DH area - new 1</v>
      </c>
      <c r="F280" s="262" t="s">
        <v>450</v>
      </c>
      <c r="G280" s="262" t="s">
        <v>449</v>
      </c>
      <c r="H280" s="890"/>
      <c r="I280" s="890"/>
      <c r="J280" s="263" t="s">
        <v>469</v>
      </c>
    </row>
    <row r="281" spans="2:10">
      <c r="B281" s="212"/>
      <c r="C281" s="212"/>
      <c r="D281" s="889" t="str">
        <f>D189</f>
        <v>INDFDSHHSEN1</v>
      </c>
      <c r="E281" s="889" t="str">
        <f t="shared" si="269"/>
        <v>Industrial heating technology Food SH - central district heating - within DH area - new 1</v>
      </c>
      <c r="F281" s="262" t="s">
        <v>450</v>
      </c>
      <c r="G281" s="262" t="s">
        <v>449</v>
      </c>
      <c r="H281" s="890"/>
      <c r="I281" s="890"/>
      <c r="J281" s="263" t="s">
        <v>469</v>
      </c>
    </row>
    <row r="282" spans="2:10">
      <c r="B282" s="212"/>
      <c r="C282" s="212"/>
      <c r="D282" s="889" t="str">
        <f>D190</f>
        <v>INDFDPHHSEN1</v>
      </c>
      <c r="E282" s="889" t="str">
        <f t="shared" si="269"/>
        <v>Industrial heating technology Food PH - central district heating - within DH area - new 1</v>
      </c>
      <c r="F282" s="262" t="s">
        <v>450</v>
      </c>
      <c r="G282" s="262" t="s">
        <v>449</v>
      </c>
      <c r="H282" s="890"/>
      <c r="I282" s="890"/>
      <c r="J282" s="263" t="s">
        <v>469</v>
      </c>
    </row>
    <row r="283" spans="2:10">
      <c r="B283" s="212"/>
      <c r="C283" s="212"/>
      <c r="D283" s="212" t="str">
        <f t="shared" ref="D283" si="270">D191</f>
        <v>INDFDSHHDEN1</v>
      </c>
      <c r="E283" s="212" t="str">
        <f t="shared" si="269"/>
        <v>Industrial heating technology Food SH - decentral district heating - within DH area - new 1</v>
      </c>
      <c r="F283" s="262" t="s">
        <v>450</v>
      </c>
      <c r="G283" s="262" t="s">
        <v>449</v>
      </c>
      <c r="H283" s="261"/>
      <c r="I283" s="261"/>
      <c r="J283" s="264" t="s">
        <v>469</v>
      </c>
    </row>
    <row r="284" spans="2:10">
      <c r="B284" s="212"/>
      <c r="C284" s="212"/>
      <c r="D284" s="212" t="str">
        <f>D192</f>
        <v>INDFDPHHDEN1</v>
      </c>
      <c r="E284" s="212" t="str">
        <f t="shared" si="269"/>
        <v>Industrial heating technology Food PH - decentral district heating - within DH area - new 1</v>
      </c>
      <c r="F284" s="262" t="s">
        <v>450</v>
      </c>
      <c r="G284" s="262" t="s">
        <v>449</v>
      </c>
      <c r="H284" s="261"/>
      <c r="I284" s="261"/>
      <c r="J284" s="264" t="s">
        <v>469</v>
      </c>
    </row>
    <row r="285" spans="2:10">
      <c r="B285" s="212"/>
      <c r="C285" s="212"/>
      <c r="D285" s="212" t="str">
        <f>D194</f>
        <v>INDFDLAELCN1</v>
      </c>
      <c r="E285" s="212" t="str">
        <f t="shared" si="269"/>
        <v>Industry Food LA Electricity Light Appliance - New 1</v>
      </c>
      <c r="F285" s="262" t="s">
        <v>450</v>
      </c>
      <c r="G285" s="262" t="s">
        <v>449</v>
      </c>
      <c r="H285" s="261"/>
      <c r="I285" s="261"/>
      <c r="J285" s="264" t="s">
        <v>469</v>
      </c>
    </row>
    <row r="286" spans="2:10">
      <c r="B286" s="212"/>
      <c r="C286" s="212"/>
      <c r="D286" s="212" t="str">
        <f>D198</f>
        <v>INDFDEMELCN1</v>
      </c>
      <c r="E286" s="212" t="str">
        <f t="shared" si="269"/>
        <v>Industry Food EM Electricity Motors - New 1</v>
      </c>
      <c r="F286" s="262" t="s">
        <v>450</v>
      </c>
      <c r="G286" s="262" t="s">
        <v>449</v>
      </c>
      <c r="H286" s="261"/>
      <c r="I286" s="261"/>
      <c r="J286" s="264" t="s">
        <v>469</v>
      </c>
    </row>
    <row r="287" spans="2:10">
      <c r="B287" s="212"/>
      <c r="C287" s="212"/>
      <c r="D287" s="212" t="str">
        <f>D202</f>
        <v>INDFDTFDSLN1</v>
      </c>
      <c r="E287" s="212" t="str">
        <f t="shared" si="269"/>
        <v>Industry Food TF Tractors, Trucks, Fishing boats - New 1</v>
      </c>
      <c r="F287" s="262" t="s">
        <v>450</v>
      </c>
      <c r="G287" s="262" t="s">
        <v>2078</v>
      </c>
      <c r="H287" s="261"/>
      <c r="I287" s="261"/>
      <c r="J287" s="264" t="s">
        <v>469</v>
      </c>
    </row>
    <row r="288" spans="2:10">
      <c r="B288" s="212"/>
      <c r="C288" s="212"/>
      <c r="D288" s="212" t="str">
        <f>D206</f>
        <v>INDFDTFH2GN2</v>
      </c>
      <c r="E288" s="212" t="str">
        <f t="shared" si="269"/>
        <v>Industry Food TF Tractors, Trucks, Fishing boats - New 2</v>
      </c>
      <c r="F288" s="262" t="s">
        <v>450</v>
      </c>
      <c r="G288" s="262" t="s">
        <v>2078</v>
      </c>
      <c r="H288" s="261"/>
      <c r="I288" s="261"/>
      <c r="J288" s="264" t="s">
        <v>469</v>
      </c>
    </row>
    <row r="289" spans="2:10">
      <c r="B289" s="212"/>
      <c r="C289" s="212"/>
      <c r="D289" s="212" t="str">
        <f>D210</f>
        <v>INDFDTFELCN3</v>
      </c>
      <c r="E289" s="212" t="str">
        <f t="shared" si="269"/>
        <v>Industry Food TF Tractors, Trucks, Fishing boats - New 3</v>
      </c>
      <c r="F289" s="262" t="s">
        <v>450</v>
      </c>
      <c r="G289" s="262" t="s">
        <v>2078</v>
      </c>
      <c r="H289" s="261"/>
      <c r="I289" s="261"/>
      <c r="J289" s="264" t="s">
        <v>469</v>
      </c>
    </row>
    <row r="290" spans="2:10">
      <c r="B290" s="212"/>
      <c r="C290" s="212"/>
      <c r="D290" s="212" t="str">
        <f>D214</f>
        <v>INDFDFLSYNN1</v>
      </c>
      <c r="E290" s="212" t="str">
        <f t="shared" si="269"/>
        <v>Industry Food TF Forklifts - New 1</v>
      </c>
      <c r="F290" s="262" t="s">
        <v>450</v>
      </c>
      <c r="G290" s="262" t="s">
        <v>449</v>
      </c>
      <c r="H290" s="261"/>
      <c r="I290" s="261"/>
      <c r="J290" s="264" t="s">
        <v>469</v>
      </c>
    </row>
    <row r="291" spans="2:10">
      <c r="B291" s="212"/>
      <c r="C291" s="212"/>
      <c r="D291" s="212" t="str">
        <f>D218</f>
        <v>INDFDCOELCN1</v>
      </c>
      <c r="E291" s="212" t="str">
        <f>E218</f>
        <v>Industry Food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IFDSOx</v>
      </c>
      <c r="E296" s="270" t="str">
        <f>"Industrial heating  heating technology "&amp;$AJ$12&amp;" - SOx emission"</f>
        <v>Industrial heating  heating technology Food - SOx emission</v>
      </c>
      <c r="F296" s="219" t="s">
        <v>352</v>
      </c>
      <c r="G296" s="211"/>
      <c r="H296" s="211"/>
      <c r="I296" s="211"/>
      <c r="J296" s="211"/>
    </row>
    <row r="297" spans="2:10">
      <c r="B297" s="214"/>
      <c r="C297" s="214"/>
      <c r="D297" s="260" t="str">
        <f>"I"&amp;LEFT($AJ$12,1)&amp;"DNOx"</f>
        <v>IFDNOx</v>
      </c>
      <c r="E297" s="270" t="str">
        <f>"Industrial heating  heating technology "&amp;$AJ$12&amp;" - NOx emission"</f>
        <v>Industrial heating  heating technology Food - NOx emission</v>
      </c>
      <c r="F297" s="219" t="s">
        <v>352</v>
      </c>
      <c r="G297" s="211"/>
      <c r="H297" s="214"/>
      <c r="I297" s="214"/>
      <c r="J297" s="214"/>
    </row>
    <row r="298" spans="2:10">
      <c r="B298" s="214"/>
      <c r="C298" s="214"/>
      <c r="D298" s="260" t="str">
        <f>"I"&amp;LEFT($AJ$12,1)&amp;"DCH4"</f>
        <v>IFDCH4</v>
      </c>
      <c r="E298" s="270" t="str">
        <f>"Industrial heating  heating technology "&amp;$AJ$12&amp;" - CH4 emission"</f>
        <v>Industrial heating  heating technology Food - CH4 emission</v>
      </c>
      <c r="F298" s="219" t="s">
        <v>352</v>
      </c>
      <c r="G298" s="211"/>
      <c r="H298" s="214"/>
      <c r="I298" s="214"/>
      <c r="J298" s="214"/>
    </row>
    <row r="299" spans="2:10">
      <c r="B299" s="214"/>
      <c r="C299" s="214"/>
      <c r="D299" s="260" t="str">
        <f>"I"&amp;LEFT($AJ$12,1)&amp;"DNO2"</f>
        <v>IFDNO2</v>
      </c>
      <c r="E299" s="270" t="str">
        <f>"Industrial heating  heating technology "&amp;$AJ$12&amp;" - NO2 emission"</f>
        <v>Industrial heating  heating technology Food - NO2 emission</v>
      </c>
      <c r="F299" s="219" t="s">
        <v>352</v>
      </c>
      <c r="G299" s="211"/>
      <c r="H299" s="214"/>
      <c r="I299" s="214"/>
      <c r="J299" s="214"/>
    </row>
    <row r="300" spans="2:10">
      <c r="B300" s="214"/>
      <c r="C300" s="214"/>
      <c r="D300" s="260" t="str">
        <f>"I"&amp;LEFT($AJ$12,1)&amp;"DPM"</f>
        <v>IFDPM</v>
      </c>
      <c r="E300" s="270" t="str">
        <f>"Industrial heating  heating technology "&amp;$AJ$12&amp;" - Particle emission"</f>
        <v>Industrial heating  heating technology Food - Particle emission</v>
      </c>
      <c r="F300" s="219" t="s">
        <v>352</v>
      </c>
      <c r="G300" s="211"/>
      <c r="H300" s="214"/>
      <c r="I300" s="214"/>
      <c r="J300" s="214"/>
    </row>
    <row r="301" spans="2:10">
      <c r="B301" s="224" t="s">
        <v>1057</v>
      </c>
      <c r="D301" s="224" t="str">
        <f>AI20</f>
        <v>INDFWH</v>
      </c>
      <c r="E301" s="270" t="str">
        <f>"Industrial heating technology "&amp;$AJ$12&amp;" - Waste heat"</f>
        <v>Industrial heating technology Food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1F428BB-C9C7-4014-A67F-DC479BE993B0}">
          <x14:formula1>
            <xm:f>'Oil-fired boiler_NEW'!$T$4:$X$4</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619A-1E28-4505-A75F-CB24B93BF7C1}">
  <sheetPr>
    <tabColor rgb="FF00B050"/>
  </sheetPr>
  <dimension ref="A1:AP301"/>
  <sheetViews>
    <sheetView topLeftCell="A197" zoomScale="70" zoomScaleNormal="70" workbookViewId="0">
      <selection activeCell="G212" sqref="G212"/>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718</v>
      </c>
      <c r="N1" s="64"/>
      <c r="O1" s="64"/>
      <c r="P1" s="64"/>
      <c r="S1" s="727" t="s">
        <v>1004</v>
      </c>
      <c r="T1" s="776" t="s">
        <v>1003</v>
      </c>
      <c r="U1" s="775" t="s">
        <v>1053</v>
      </c>
      <c r="V1" s="776" t="s">
        <v>1054</v>
      </c>
      <c r="W1" s="780">
        <v>0.3</v>
      </c>
    </row>
    <row r="2" spans="2:42" ht="16" thickBot="1">
      <c r="E2" s="730" t="s">
        <v>520</v>
      </c>
      <c r="N2" s="731"/>
      <c r="O2" s="731"/>
      <c r="P2" s="731"/>
      <c r="S2" s="726">
        <f>MATCH($E$1,$AJ$22:$AJ$35)</f>
        <v>11</v>
      </c>
      <c r="T2" s="778">
        <f>MATCH($E$1,$AJ$22:$AJ$35)+1</f>
        <v>12</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FEMIS~ICDSOx</v>
      </c>
      <c r="Y6" s="280" t="str">
        <f>"FEMIS~"&amp;D297</f>
        <v>FEMIS~ICDNOx</v>
      </c>
      <c r="Z6" s="280" t="str">
        <f>"FEMIS~"&amp;D298</f>
        <v>FEMIS~ICDCH4</v>
      </c>
      <c r="AA6" s="280" t="str">
        <f>"FEMIS~"&amp;D299</f>
        <v>FEMIS~ICDNO2</v>
      </c>
      <c r="AB6" s="280" t="str">
        <f>"FEMIS~"&amp;D300</f>
        <v>FEMIS~ICDPM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INDCDPHELCN1</v>
      </c>
      <c r="E9" s="261" t="str">
        <f>"Industrial heating technology "&amp;$AJ$12&amp;" "&amp;RIGHT(H9,2)&amp;" - Heat pump utilizing waste heat - new 1"</f>
        <v>Industrial heating technology Chemical PH - Heat pump utilizing waste heat - new 1</v>
      </c>
      <c r="F9" s="224" t="s">
        <v>1149</v>
      </c>
      <c r="G9" s="173" t="s">
        <v>499</v>
      </c>
      <c r="H9" s="174" t="str">
        <f>$AI$14</f>
        <v>ICDPH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INDCWH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ICDPH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INDCWH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Chemical</v>
      </c>
    </row>
    <row r="13" spans="2:42">
      <c r="B13" s="357" t="s">
        <v>998</v>
      </c>
      <c r="D13" s="212"/>
      <c r="E13" s="212"/>
      <c r="F13" s="224" t="s">
        <v>1149</v>
      </c>
      <c r="G13" s="173" t="s">
        <v>499</v>
      </c>
      <c r="H13" s="174" t="str">
        <f>$AI$14</f>
        <v>ICDPH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ICDPH</v>
      </c>
      <c r="AJ13" s="224" t="str">
        <f>AP14</f>
        <v>Chemical industry Demand Heat High Temp. over 150C</v>
      </c>
      <c r="AO13" s="224" t="s">
        <v>2083</v>
      </c>
      <c r="AP13" s="224" t="s">
        <v>1161</v>
      </c>
    </row>
    <row r="14" spans="2:42">
      <c r="B14" s="357" t="s">
        <v>998</v>
      </c>
      <c r="D14" s="212"/>
      <c r="E14" s="212"/>
      <c r="F14" s="224" t="s">
        <v>1149</v>
      </c>
      <c r="G14" s="173" t="str">
        <f>$AI$20</f>
        <v>INDCWH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ICDPH</v>
      </c>
      <c r="AJ14" s="224" t="str">
        <f>AP13</f>
        <v>Chemical industry Demand Heat Medium Temp. up to 150C</v>
      </c>
      <c r="AO14" s="224" t="s">
        <v>2083</v>
      </c>
      <c r="AP14" s="224" t="s">
        <v>1162</v>
      </c>
    </row>
    <row r="15" spans="2:42">
      <c r="B15" s="357" t="s">
        <v>998</v>
      </c>
      <c r="D15" s="212" t="str">
        <f>"IND"&amp;RIGHT(H15,4)&amp;RIGHT(G15,3)&amp;"N"&amp;RIGHT(E15,1)</f>
        <v>INDCDSHELCN1</v>
      </c>
      <c r="E15" s="261" t="str">
        <f>"Industrial heating technology "&amp;$AJ$12&amp;" "&amp;RIGHT(H15,2)&amp;" - Heat pump utilizing waste heat - new 1"</f>
        <v>Industrial heating technology Chemical SH - Heat pump utilizing waste heat - new 1</v>
      </c>
      <c r="F15" s="224" t="s">
        <v>1149</v>
      </c>
      <c r="G15" s="173" t="s">
        <v>499</v>
      </c>
      <c r="H15" s="174" t="str">
        <f>$AI$15</f>
        <v>ICDSH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ICDSH</v>
      </c>
      <c r="AJ15" s="224" t="str">
        <f>AP15</f>
        <v>Chemical industry Demand Heat Room Heat</v>
      </c>
      <c r="AO15" s="224" t="s">
        <v>2084</v>
      </c>
      <c r="AP15" s="224" t="s">
        <v>1163</v>
      </c>
    </row>
    <row r="16" spans="2:42">
      <c r="B16" s="357" t="s">
        <v>998</v>
      </c>
      <c r="D16" s="212"/>
      <c r="E16" s="261"/>
      <c r="F16" s="224" t="s">
        <v>1149</v>
      </c>
      <c r="G16" s="173" t="str">
        <f>$AI$20</f>
        <v>INDCWH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ICDLA</v>
      </c>
      <c r="AJ16" s="224" t="str">
        <f t="shared" si="0"/>
        <v>Chemical industry Demand Light</v>
      </c>
      <c r="AO16" s="224" t="s">
        <v>1164</v>
      </c>
      <c r="AP16" s="224" t="s">
        <v>1165</v>
      </c>
    </row>
    <row r="17" spans="2:42">
      <c r="B17" s="357" t="s">
        <v>998</v>
      </c>
      <c r="D17" s="212"/>
      <c r="E17" s="212"/>
      <c r="F17" s="224" t="s">
        <v>1149</v>
      </c>
      <c r="G17" s="173" t="s">
        <v>499</v>
      </c>
      <c r="H17" s="174" t="str">
        <f>$AI$15</f>
        <v>ICDSH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ICDEM</v>
      </c>
      <c r="AJ17" s="224" t="str">
        <f t="shared" si="0"/>
        <v>Chemical industry Demand Electric Motors</v>
      </c>
      <c r="AO17" s="224" t="s">
        <v>1166</v>
      </c>
      <c r="AP17" s="224" t="s">
        <v>1167</v>
      </c>
    </row>
    <row r="18" spans="2:42">
      <c r="B18" s="357" t="s">
        <v>998</v>
      </c>
      <c r="D18" s="212"/>
      <c r="E18" s="212"/>
      <c r="F18" s="224" t="s">
        <v>1149</v>
      </c>
      <c r="G18" s="173" t="str">
        <f>$AI$20</f>
        <v>INDCWH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ICDTF</v>
      </c>
      <c r="AJ18" s="224" t="str">
        <f t="shared" si="0"/>
        <v>Chemical industry Demand Haulage Tractors, Trucks, Fishing boats, Forest machines</v>
      </c>
      <c r="AO18" s="224" t="s">
        <v>1168</v>
      </c>
      <c r="AP18" s="224" t="s">
        <v>1169</v>
      </c>
    </row>
    <row r="19" spans="2:42">
      <c r="B19" s="357" t="s">
        <v>998</v>
      </c>
      <c r="D19" s="212"/>
      <c r="E19" s="212"/>
      <c r="F19" s="224" t="s">
        <v>1149</v>
      </c>
      <c r="G19" s="173" t="s">
        <v>499</v>
      </c>
      <c r="H19" s="174" t="str">
        <f>$AI$15</f>
        <v>ICDSH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ICDFL</v>
      </c>
      <c r="AJ19" s="224" t="str">
        <f t="shared" si="0"/>
        <v>Chemical industry Demand Haulage Forklifts</v>
      </c>
      <c r="AO19" s="224" t="s">
        <v>1170</v>
      </c>
      <c r="AP19" s="224" t="s">
        <v>1171</v>
      </c>
    </row>
    <row r="20" spans="2:42">
      <c r="B20" s="357" t="s">
        <v>998</v>
      </c>
      <c r="D20" s="212"/>
      <c r="E20" s="212"/>
      <c r="F20" s="224" t="s">
        <v>1149</v>
      </c>
      <c r="G20" s="173" t="str">
        <f>$AI$20</f>
        <v>INDCWH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INDCWH</v>
      </c>
      <c r="AJ20" s="224" t="str">
        <f>$AJ$12&amp;" Industrial Waste Heat"</f>
        <v>Chemical Industrial Waste Heat</v>
      </c>
    </row>
    <row r="21" spans="2:42">
      <c r="B21" s="357" t="s">
        <v>999</v>
      </c>
      <c r="D21" s="212" t="str">
        <f>"IND"&amp;RIGHT(H21,4)&amp;RIGHT(G21,3)&amp;"N"&amp;RIGHT(E21,1)</f>
        <v>INDCDPHELCN2</v>
      </c>
      <c r="E21" s="261" t="str">
        <f>"Industrial heating technology "&amp;$AJ$12&amp;" "&amp;RIGHT(H21,2)&amp;" - Heat driven heat pump utilizing waste heat - new 2"</f>
        <v>Industrial heating technology Chemical PH - Heat driven heat pump utilizing waste heat - new 2</v>
      </c>
      <c r="F21" s="224" t="s">
        <v>1149</v>
      </c>
      <c r="G21" s="173" t="s">
        <v>499</v>
      </c>
      <c r="H21" s="174" t="str">
        <f>$AI$14</f>
        <v>ICDPH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ICDCO</v>
      </c>
      <c r="AJ21" s="224" t="s">
        <v>2120</v>
      </c>
    </row>
    <row r="22" spans="2:42">
      <c r="B22" s="357" t="s">
        <v>999</v>
      </c>
      <c r="D22" s="212"/>
      <c r="E22" s="261"/>
      <c r="F22" s="224" t="s">
        <v>1149</v>
      </c>
      <c r="G22" s="173" t="str">
        <f>$AI$20</f>
        <v>INDCWH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ICDPH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INDCWH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ICDPH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INDCWH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INDCDSHELCN2</v>
      </c>
      <c r="E27" s="261" t="str">
        <f>"Industrial heating technology "&amp;$AJ$12&amp;" "&amp;RIGHT(H27,2)&amp;" - Heat driven heat pump utilizing waste heat - new 2"</f>
        <v>Industrial heating technology Chemical SH - Heat driven heat pump utilizing waste heat - new 2</v>
      </c>
      <c r="F27" s="224" t="s">
        <v>1149</v>
      </c>
      <c r="G27" s="173" t="s">
        <v>499</v>
      </c>
      <c r="H27" s="174" t="str">
        <f>$AI$15</f>
        <v>ICDSH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INDCWH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ICDSH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INDCWH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ICDSH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INDCWH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INDCDPHELCN3</v>
      </c>
      <c r="E33" s="261" t="str">
        <f>"Industrial heating technology "&amp;$AJ$12&amp;" "&amp;RIGHT(H33,2)&amp;" - High Temp abs. Heat pump utilizing waste heat - new 3"</f>
        <v>Industrial heating technology Chemical PH - High Temp abs. Heat pump utilizing waste heat - new 3</v>
      </c>
      <c r="F33" s="224" t="s">
        <v>1149</v>
      </c>
      <c r="G33" s="173" t="s">
        <v>499</v>
      </c>
      <c r="H33" s="174" t="str">
        <f>$AI$14</f>
        <v>ICDPH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INDCWH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ICDPH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INDCWH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ICDPH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INDCWH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INDCDSHELCN3</v>
      </c>
      <c r="E39" s="261" t="str">
        <f>"Industrial heating technology "&amp;$AJ$12&amp;" "&amp;RIGHT(H39,2)&amp;" - High Temp abs. Heat pump utilizing waste heat - new 3"</f>
        <v>Industrial heating technology Chemical SH - High Temp abs. Heat pump utilizing waste heat - new 3</v>
      </c>
      <c r="F39" s="224" t="s">
        <v>1149</v>
      </c>
      <c r="G39" s="173" t="s">
        <v>499</v>
      </c>
      <c r="H39" s="174" t="str">
        <f>$AI$15</f>
        <v>ICDSH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INDCWH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ICDSH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INDCWH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ICDSH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INDCWH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INDCDPHELCN4</v>
      </c>
      <c r="E45" s="261" t="str">
        <f>"Industrial heating technology "&amp;$AJ$12&amp;" "&amp;RIGHT(H45,2)&amp;" - Booster Heat pump utilizing waste heat - new 4"</f>
        <v>Industrial heating technology Chemical PH - Booster Heat pump utilizing waste heat - new 4</v>
      </c>
      <c r="F45" s="224" t="s">
        <v>1149</v>
      </c>
      <c r="G45" s="173" t="s">
        <v>499</v>
      </c>
      <c r="H45" s="174" t="str">
        <f>$AI$14</f>
        <v>ICDPH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INDCWH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ICDPH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INDCWH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ICDPH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INDCWH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INDCDSHELCN4</v>
      </c>
      <c r="E51" s="261" t="str">
        <f>"Industrial heating technology "&amp;$AJ$12&amp;" "&amp;RIGHT(H51,2)&amp;" - Booster Heat pump utilizing waste heat - new 4"</f>
        <v>Industrial heating technology Chemical SH - Booster Heat pump utilizing waste heat - new 4</v>
      </c>
      <c r="F51" s="224" t="s">
        <v>1149</v>
      </c>
      <c r="G51" s="173" t="s">
        <v>499</v>
      </c>
      <c r="H51" s="174" t="str">
        <f>$AI$15</f>
        <v>ICDSH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INDCWH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ICDSH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INDCWH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ICDSH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INDCWH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INDCDPHELCN5</v>
      </c>
      <c r="E57" s="261" t="str">
        <f>"Industrial heating technology "&amp;$AJ$12&amp;" "&amp;RIGHT(H57,2)&amp;" - MVR utilizing waste heat - new 5"</f>
        <v>Industrial heating technology Chemical PH - MVR utilizing waste heat - new 5</v>
      </c>
      <c r="F57" s="224" t="s">
        <v>1149</v>
      </c>
      <c r="G57" s="173" t="s">
        <v>499</v>
      </c>
      <c r="H57" s="174" t="str">
        <f>$AI$14</f>
        <v>ICDPH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INDCWH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ICDPH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INDCWH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ICDPH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INDCWH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INDCDPHWSTN1</v>
      </c>
      <c r="E63" s="261" t="str">
        <f>"Industrial heating technology "&amp;$AJ$12&amp;" "&amp;RIGHT(H63,2)&amp;" - Hotdisc - new 1"</f>
        <v>Industrial heating technology Chemical PH - Hotdisc - new 1</v>
      </c>
      <c r="F63" s="224" t="s">
        <v>1149</v>
      </c>
      <c r="G63" s="832" t="s">
        <v>1005</v>
      </c>
      <c r="H63" s="174" t="str">
        <f>$AI$13</f>
        <v>ICDPH</v>
      </c>
      <c r="I63" s="173" t="str">
        <f t="shared" ref="I63:I126" si="22">$AI$20</f>
        <v>INDCWH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INDCWH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INDCWH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INDCDPHELCN6</v>
      </c>
      <c r="E66" s="261" t="str">
        <f>"Industrial heating technology "&amp;$AJ$12&amp;" "&amp;RIGHT(H66,2)&amp;" - Dielectric heating - new 6"</f>
        <v>Industrial heating technology Chemical PH - Dielectric heating - new 6</v>
      </c>
      <c r="F66" s="224" t="s">
        <v>1149</v>
      </c>
      <c r="G66" s="173" t="s">
        <v>499</v>
      </c>
      <c r="H66" s="174" t="str">
        <f>$AI$14</f>
        <v>ICDPH</v>
      </c>
      <c r="I66" s="173" t="str">
        <f t="shared" si="22"/>
        <v>INDCWH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INDCWH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INDCWH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INDCDPHELCN7</v>
      </c>
      <c r="E69" s="261" t="str">
        <f>"Industrial heating technology "&amp;$AJ$12&amp;" "&amp;RIGHT(H69,2)&amp;" - Infrared heating - new 7"</f>
        <v>Industrial heating technology Chemical PH - Infrared heating - new 7</v>
      </c>
      <c r="F69" s="224" t="s">
        <v>1149</v>
      </c>
      <c r="G69" s="173" t="s">
        <v>499</v>
      </c>
      <c r="H69" s="174" t="str">
        <f>$AI$14</f>
        <v>ICDPH</v>
      </c>
      <c r="I69" s="173" t="str">
        <f t="shared" si="22"/>
        <v>INDCWH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INDCWH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INDCWH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INDCDPHELCN8</v>
      </c>
      <c r="E72" s="261" t="str">
        <f>"Industrial heating technology "&amp;$AJ$12&amp;" "&amp;RIGHT(H72,2)&amp;" - Electric boiler (Steam) - new 8"</f>
        <v>Industrial heating technology Chemical PH - Electric boiler (Steam) - new 8</v>
      </c>
      <c r="F72" s="224" t="s">
        <v>1149</v>
      </c>
      <c r="G72" s="173" t="s">
        <v>499</v>
      </c>
      <c r="H72" s="174" t="str">
        <f>$AI$13</f>
        <v>ICDPH</v>
      </c>
      <c r="I72" s="174" t="str">
        <f t="shared" si="22"/>
        <v>INDCWH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INDCWH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INDCWH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INDCDPHELCN8</v>
      </c>
      <c r="E75" s="261" t="str">
        <f>"Industrial heating technology "&amp;$AJ$12&amp;" "&amp;RIGHT(H75,2)&amp;" - Electric boiler (Steam) - new 8"</f>
        <v>Industrial heating technology Chemical PH - Electric boiler (Steam) - new 8</v>
      </c>
      <c r="F75" s="224" t="s">
        <v>1149</v>
      </c>
      <c r="G75" s="173" t="s">
        <v>499</v>
      </c>
      <c r="H75" s="174" t="str">
        <f>$AI$14</f>
        <v>ICDPH</v>
      </c>
      <c r="I75" s="174" t="str">
        <f t="shared" si="22"/>
        <v>INDCWH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INDCWH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INDCWH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INDCDSHELCN8</v>
      </c>
      <c r="E78" s="261" t="str">
        <f>"Industrial heating technology "&amp;$AJ$12&amp;" "&amp;RIGHT(H78,2)&amp;" - Electric boiler (Steam) - new 8"</f>
        <v>Industrial heating technology Chemical SH - Electric boiler (Steam) - new 8</v>
      </c>
      <c r="F78" s="224" t="s">
        <v>1149</v>
      </c>
      <c r="G78" s="173" t="s">
        <v>499</v>
      </c>
      <c r="H78" s="174" t="str">
        <f>$AI$15</f>
        <v>ICDSH</v>
      </c>
      <c r="I78" s="174" t="str">
        <f t="shared" si="22"/>
        <v>INDCWH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INDCWH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INDCWH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INDCDPHELCN9</v>
      </c>
      <c r="E81" s="707" t="str">
        <f>"Industrial heating technology "&amp;$AJ$12&amp;" "&amp;RIGHT(H81,2)&amp;" - Electric boiler (Hot Water) - new 9"</f>
        <v>Industrial heating technology Chemical PH - Electric boiler (Hot Water) - new 9</v>
      </c>
      <c r="F81" s="224" t="s">
        <v>1149</v>
      </c>
      <c r="G81" s="708" t="s">
        <v>499</v>
      </c>
      <c r="H81" s="708" t="str">
        <f>$AI$14</f>
        <v>ICDPH</v>
      </c>
      <c r="I81" s="708" t="str">
        <f t="shared" si="22"/>
        <v>INDCWH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INDCWH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INDCWH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INDCDSHELCN9</v>
      </c>
      <c r="E84" s="261" t="str">
        <f>"Industrial heating technology "&amp;$AJ$12&amp;" "&amp;RIGHT(H84,2)&amp;" - Electric boiler (Hot Water) - new 9"</f>
        <v>Industrial heating technology Chemical SH - Electric boiler (Hot Water) - new 9</v>
      </c>
      <c r="F84" s="224" t="s">
        <v>1149</v>
      </c>
      <c r="G84" s="174" t="s">
        <v>499</v>
      </c>
      <c r="H84" s="174" t="str">
        <f>$AI$15</f>
        <v>ICDSH</v>
      </c>
      <c r="I84" s="174" t="str">
        <f t="shared" si="22"/>
        <v>INDCWH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INDCWH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INDCWH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INDCDPHWCHN1</v>
      </c>
      <c r="E87" s="261" t="str">
        <f>"Industrial heating technology "&amp;$AJ$12&amp;" "&amp;RIGHT(H87,2)&amp;" - Wood chip boiler (Steam) - new 1"</f>
        <v>Industrial heating technology Chemical PH - Wood chip boiler (Steam) - new 1</v>
      </c>
      <c r="F87" s="224" t="s">
        <v>1149</v>
      </c>
      <c r="G87" s="173" t="s">
        <v>498</v>
      </c>
      <c r="H87" s="174" t="str">
        <f>$AI$13</f>
        <v>ICDPH</v>
      </c>
      <c r="I87" s="174" t="str">
        <f t="shared" si="22"/>
        <v>INDCWH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INDCWH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INDCWH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INDCDPHWCHN1</v>
      </c>
      <c r="E90" s="261" t="str">
        <f>"Industrial heating technology "&amp;$AJ$12&amp;" "&amp;RIGHT(H90,2)&amp;" - Wood chip boiler (Steam) - new 1"</f>
        <v>Industrial heating technology Chemical PH - Wood chip boiler (Steam) - new 1</v>
      </c>
      <c r="F90" s="224" t="s">
        <v>1149</v>
      </c>
      <c r="G90" s="173" t="s">
        <v>498</v>
      </c>
      <c r="H90" s="174" t="str">
        <f>$AI$14</f>
        <v>ICDPH</v>
      </c>
      <c r="I90" s="174" t="str">
        <f t="shared" si="22"/>
        <v>INDCWH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INDCWH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INDCWH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INDCDSHWCHN1</v>
      </c>
      <c r="E93" s="261" t="str">
        <f>"Industrial heating technology "&amp;$AJ$12&amp;" "&amp;RIGHT(H93,2)&amp;" - Wood chip boiler (Steam) - new 1"</f>
        <v>Industrial heating technology Chemical SH - Wood chip boiler (Steam) - new 1</v>
      </c>
      <c r="F93" s="224" t="s">
        <v>1149</v>
      </c>
      <c r="G93" s="173" t="s">
        <v>498</v>
      </c>
      <c r="H93" s="174" t="str">
        <f>$AI$15</f>
        <v>ICDSH</v>
      </c>
      <c r="I93" s="174" t="str">
        <f t="shared" si="22"/>
        <v>INDCWH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INDCWH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INDCWH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INDCDPHWCHN2</v>
      </c>
      <c r="E96" s="707" t="str">
        <f>"Industrial heating technology "&amp;$AJ$12&amp;" "&amp;RIGHT(H96,2)&amp;" - Wood chip boiler (Steam - condensing) - new 2"</f>
        <v>Industrial heating technology Chemical PH - Wood chip boiler (Steam - condensing) - new 2</v>
      </c>
      <c r="F96" s="224" t="s">
        <v>1149</v>
      </c>
      <c r="G96" s="708" t="s">
        <v>498</v>
      </c>
      <c r="H96" s="708" t="str">
        <f>$AI$14</f>
        <v>ICDPH</v>
      </c>
      <c r="I96" s="708" t="str">
        <f t="shared" si="22"/>
        <v>INDCWH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INDCWH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INDCWH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INDCDSHWCHN2</v>
      </c>
      <c r="E99" s="261" t="str">
        <f>"Industrial heating technology "&amp;$AJ$12&amp;" "&amp;RIGHT(H99,2)&amp;" - Wood chip boiler (Steam - condensing) - new 2"</f>
        <v>Industrial heating technology Chemical SH - Wood chip boiler (Steam - condensing) - new 2</v>
      </c>
      <c r="F99" s="224" t="s">
        <v>1149</v>
      </c>
      <c r="G99" s="174" t="s">
        <v>498</v>
      </c>
      <c r="H99" s="174" t="str">
        <f>$AI$15</f>
        <v>ICDSH</v>
      </c>
      <c r="I99" s="174" t="str">
        <f t="shared" si="22"/>
        <v>INDCWH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INDCWH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INDCWH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INDCDPHWCHN3</v>
      </c>
      <c r="E102" s="707" t="str">
        <f>"Industrial heating technology "&amp;$AJ$12&amp;" "&amp;RIGHT(H102,2)&amp;" - Wood chip boiler (Hot Water) - new 3"</f>
        <v>Industrial heating technology Chemical PH - Wood chip boiler (Hot Water) - new 3</v>
      </c>
      <c r="F102" s="224" t="s">
        <v>1149</v>
      </c>
      <c r="G102" s="708" t="s">
        <v>498</v>
      </c>
      <c r="H102" s="708" t="str">
        <f>$AI$14</f>
        <v>ICDPH</v>
      </c>
      <c r="I102" s="708" t="str">
        <f t="shared" si="22"/>
        <v>INDCWH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INDCWH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INDCWH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INDCDSHWCHN3</v>
      </c>
      <c r="E105" s="261" t="str">
        <f>"Industrial heating technology "&amp;$AJ$12&amp;" "&amp;RIGHT(H105,2)&amp;" - Wood chip boiler (Hot Water) - new 3"</f>
        <v>Industrial heating technology Chemical SH - Wood chip boiler (Hot Water) - new 3</v>
      </c>
      <c r="F105" s="224" t="s">
        <v>1149</v>
      </c>
      <c r="G105" s="174" t="s">
        <v>498</v>
      </c>
      <c r="H105" s="174" t="str">
        <f>$AI$15</f>
        <v>ICDSH</v>
      </c>
      <c r="I105" s="174" t="str">
        <f t="shared" si="22"/>
        <v>INDCWH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INDCWH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INDCWH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INDCDPHWCHN4</v>
      </c>
      <c r="E108" s="707" t="str">
        <f>"Industrial heating technology "&amp;$AJ$12&amp;" "&amp;RIGHT(H108,2)&amp;" - Wood chip boiler (Hot Water - condensing) - new 4"</f>
        <v>Industrial heating technology Chemical PH - Wood chip boiler (Hot Water - condensing) - new 4</v>
      </c>
      <c r="F108" s="224" t="s">
        <v>1149</v>
      </c>
      <c r="G108" s="708" t="s">
        <v>498</v>
      </c>
      <c r="H108" s="708" t="str">
        <f>$AI$14</f>
        <v>ICDPH</v>
      </c>
      <c r="I108" s="708" t="str">
        <f t="shared" si="22"/>
        <v>INDCWH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INDCWH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INDCWH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INDCDSHWCHN4</v>
      </c>
      <c r="E111" s="261" t="str">
        <f>"Industrial heating technology "&amp;$AJ$12&amp;" "&amp;RIGHT(H111,2)&amp;" - Wood chip boiler (Hot Water- condensing) - new 4"</f>
        <v>Industrial heating technology Chemical SH - Wood chip boiler (Hot Water- condensing) - new 4</v>
      </c>
      <c r="F111" s="224" t="s">
        <v>1149</v>
      </c>
      <c r="G111" s="174" t="s">
        <v>498</v>
      </c>
      <c r="H111" s="174" t="str">
        <f>$AI$15</f>
        <v>ICDSH</v>
      </c>
      <c r="I111" s="174" t="str">
        <f t="shared" si="22"/>
        <v>INDCWH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INDCWH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INDCWH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INDCDPHELCN10</v>
      </c>
      <c r="E114" s="261" t="str">
        <f>"Industrial heating technology "&amp;$AJ$12&amp;" "&amp;RIGHT(H114,2)&amp;" - Direct electric heating - new 10"</f>
        <v>Industrial heating technology Chemical PH - Direct electric heating - new 10</v>
      </c>
      <c r="F114" s="224" t="s">
        <v>1149</v>
      </c>
      <c r="G114" s="173" t="s">
        <v>499</v>
      </c>
      <c r="H114" s="174" t="str">
        <f>$AI$13</f>
        <v>ICDPH</v>
      </c>
      <c r="I114" s="174" t="str">
        <f t="shared" si="22"/>
        <v>INDCWH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0.2</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INDCWH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INDCWH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INDCDPHELCN10</v>
      </c>
      <c r="E117" s="261" t="str">
        <f>"Industrial heating technology "&amp;$AJ$12&amp;" "&amp;RIGHT(H117,2)&amp;" - Direct electric heating - new 10"</f>
        <v>Industrial heating technology Chemical PH - Direct electric heating - new 10</v>
      </c>
      <c r="F117" s="224" t="s">
        <v>1149</v>
      </c>
      <c r="G117" s="173" t="s">
        <v>499</v>
      </c>
      <c r="H117" s="174" t="str">
        <f>$AI$14</f>
        <v>ICDPH</v>
      </c>
      <c r="I117" s="174" t="str">
        <f t="shared" si="22"/>
        <v>INDCWH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0.2</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INDCWH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INDCWH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INDCDPHDSLN1</v>
      </c>
      <c r="E120" s="261" t="str">
        <f>"Industrial heating technology "&amp;$AJ$12&amp;" "&amp;RIGHT(H120,2)&amp;" - Oil boiler (Steam) - new 1"</f>
        <v>Industrial heating technology Chemical PH - Oil boiler (Steam) - new 1</v>
      </c>
      <c r="F120" s="224" t="s">
        <v>1149</v>
      </c>
      <c r="G120" s="173" t="s">
        <v>2081</v>
      </c>
      <c r="H120" s="174" t="str">
        <f>$AI$13</f>
        <v>ICDPH</v>
      </c>
      <c r="I120" s="174" t="str">
        <f t="shared" si="22"/>
        <v>INDCWH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INDCWH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INDCWH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INDCDPHDSLN1</v>
      </c>
      <c r="E123" s="261" t="str">
        <f>"Industrial heating technology "&amp;$AJ$12&amp;" "&amp;RIGHT(H123,2)&amp;" - Oil boiler (Steam) - new 1"</f>
        <v>Industrial heating technology Chemical PH - Oil boiler (Steam) - new 1</v>
      </c>
      <c r="F123" s="224" t="s">
        <v>1149</v>
      </c>
      <c r="G123" s="173" t="s">
        <v>2081</v>
      </c>
      <c r="H123" s="174" t="str">
        <f>$AI$14</f>
        <v>ICDPH</v>
      </c>
      <c r="I123" s="174" t="str">
        <f t="shared" si="22"/>
        <v>INDCWH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INDCWH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INDCWH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INDCDSHDSLN1</v>
      </c>
      <c r="E126" s="261" t="str">
        <f>"Industrial heating technology "&amp;$AJ$12&amp;" "&amp;RIGHT(H126,2)&amp;" - Oil boiler (Steam) - new 1"</f>
        <v>Industrial heating technology Chemical SH - Oil boiler (Steam) - new 1</v>
      </c>
      <c r="F126" s="224" t="s">
        <v>1149</v>
      </c>
      <c r="G126" s="173" t="s">
        <v>2081</v>
      </c>
      <c r="H126" s="174" t="str">
        <f>$AI$15</f>
        <v>ICDSH</v>
      </c>
      <c r="I126" s="174" t="str">
        <f t="shared" si="22"/>
        <v>INDCWH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INDCWH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INDCWH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INDCDPHDSLN2</v>
      </c>
      <c r="E129" s="707" t="str">
        <f>"Industrial heating technology "&amp;$AJ$12&amp;" "&amp;RIGHT(H129,2)&amp;" - Oil boiler (Steam - condensing) - new 2"</f>
        <v>Industrial heating technology Chemical PH - Oil boiler (Steam - condensing) - new 2</v>
      </c>
      <c r="F129" s="224" t="s">
        <v>1149</v>
      </c>
      <c r="G129" s="173" t="s">
        <v>2081</v>
      </c>
      <c r="H129" s="708" t="str">
        <f>$AI$14</f>
        <v>ICDPH</v>
      </c>
      <c r="I129" s="708" t="str">
        <f t="shared" si="143"/>
        <v>INDCWH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INDCWH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INDCWH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INDCDSHDSLN2</v>
      </c>
      <c r="E132" s="261" t="str">
        <f>"Industrial heating technology "&amp;$AJ$12&amp;" "&amp;RIGHT(H132,2)&amp;" - Oil boiler (Steam - condensing) - new 2"</f>
        <v>Industrial heating technology Chemical SH - Oil boiler (Steam - condensing) - new 2</v>
      </c>
      <c r="F132" s="224" t="s">
        <v>1149</v>
      </c>
      <c r="G132" s="173" t="s">
        <v>2081</v>
      </c>
      <c r="H132" s="174" t="str">
        <f>$AI$15</f>
        <v>ICDSH</v>
      </c>
      <c r="I132" s="174" t="str">
        <f t="shared" si="143"/>
        <v>INDCWH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INDCWH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INDCWH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INDCDPHGASN1</v>
      </c>
      <c r="E135" s="261" t="str">
        <f>"Industrial heating technology "&amp;$AJ$12&amp;" "&amp;RIGHT(H135,2)&amp;" - Gas boiler (Steam) - new 1"</f>
        <v>Industrial heating technology Chemical PH - Gas boiler (Steam) - new 1</v>
      </c>
      <c r="F135" s="224" t="s">
        <v>1149</v>
      </c>
      <c r="G135" s="173" t="s">
        <v>2080</v>
      </c>
      <c r="H135" s="174" t="str">
        <f>$AI$13</f>
        <v>ICDPH</v>
      </c>
      <c r="I135" s="174" t="str">
        <f t="shared" si="143"/>
        <v>INDCWH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INDCWH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INDCWH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INDCDPHGASN1</v>
      </c>
      <c r="E138" s="261" t="str">
        <f>"Industrial heating technology "&amp;$AJ$12&amp;" "&amp;RIGHT(H138,2)&amp;" - Gas boiler (Steam) - new 1"</f>
        <v>Industrial heating technology Chemical PH - Gas boiler (Steam) - new 1</v>
      </c>
      <c r="F138" s="224" t="s">
        <v>1149</v>
      </c>
      <c r="G138" s="173" t="s">
        <v>2080</v>
      </c>
      <c r="H138" s="174" t="str">
        <f>$AI$14</f>
        <v>ICDPH</v>
      </c>
      <c r="I138" s="174" t="str">
        <f t="shared" si="143"/>
        <v>INDCWH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INDCWH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INDCWH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INDCDSHGASN1</v>
      </c>
      <c r="E141" s="261" t="str">
        <f>"Industrial heating technology "&amp;$AJ$12&amp;" "&amp;RIGHT(H141,2)&amp;" - Gas boiler (Steam) - new 1"</f>
        <v>Industrial heating technology Chemical SH - Gas boiler (Steam) - new 1</v>
      </c>
      <c r="F141" s="224" t="s">
        <v>1149</v>
      </c>
      <c r="G141" s="173" t="s">
        <v>2080</v>
      </c>
      <c r="H141" s="174" t="str">
        <f>$AI$15</f>
        <v>ICDSH</v>
      </c>
      <c r="I141" s="174" t="str">
        <f t="shared" si="143"/>
        <v>INDCWH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INDCWH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INDCWH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INDCDPHGASN2</v>
      </c>
      <c r="E144" s="707" t="str">
        <f>"Industrial heating technology "&amp;$AJ$12&amp;" "&amp;RIGHT(H144,2)&amp;" - Gas boiler (Steam - condensing) - new 2"</f>
        <v>Industrial heating technology Chemical PH - Gas boiler (Steam - condensing) - new 2</v>
      </c>
      <c r="F144" s="224" t="s">
        <v>1149</v>
      </c>
      <c r="G144" s="173" t="s">
        <v>2080</v>
      </c>
      <c r="H144" s="708" t="str">
        <f>$AI$14</f>
        <v>ICDPH</v>
      </c>
      <c r="I144" s="708" t="str">
        <f t="shared" si="143"/>
        <v>INDCWH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INDCWH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INDCWH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INDCDSHGASN2</v>
      </c>
      <c r="E147" s="261" t="str">
        <f>"Industrial heating technology "&amp;$AJ$12&amp;" "&amp;RIGHT(H147,2)&amp;" - Gas boiler (Steam - condensing) - new 2"</f>
        <v>Industrial heating technology Chemical SH - Gas boiler (Steam - condensing) - new 2</v>
      </c>
      <c r="F147" s="224" t="s">
        <v>1149</v>
      </c>
      <c r="G147" s="173" t="s">
        <v>2080</v>
      </c>
      <c r="H147" s="174" t="str">
        <f>$AI$15</f>
        <v>ICDSH</v>
      </c>
      <c r="I147" s="174" t="str">
        <f t="shared" si="143"/>
        <v>INDCWH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INDCWH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INDCWH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INDCDPHGASN3</v>
      </c>
      <c r="E150" s="707" t="str">
        <f>"Industrial heating technology "&amp;$AJ$12&amp;" "&amp;RIGHT(H150,2)&amp;" - Gas boiler (Hot Water) - new 3"</f>
        <v>Industrial heating technology Chemical PH - Gas boiler (Hot Water) - new 3</v>
      </c>
      <c r="F150" s="224" t="s">
        <v>1149</v>
      </c>
      <c r="G150" s="173" t="s">
        <v>2080</v>
      </c>
      <c r="H150" s="708" t="str">
        <f>$AI$14</f>
        <v>ICDPH</v>
      </c>
      <c r="I150" s="708" t="str">
        <f t="shared" si="143"/>
        <v>INDCWH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INDCWH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INDCWH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INDCDSHGASN3</v>
      </c>
      <c r="E153" s="261" t="str">
        <f>"Industrial heating technology "&amp;$AJ$12&amp;" "&amp;RIGHT(H153,2)&amp;" - Gas boiler (Hot Water) - new 3"</f>
        <v>Industrial heating technology Chemical SH - Gas boiler (Hot Water) - new 3</v>
      </c>
      <c r="F153" s="224" t="s">
        <v>1149</v>
      </c>
      <c r="G153" s="173" t="s">
        <v>2080</v>
      </c>
      <c r="H153" s="174" t="str">
        <f>$AI$15</f>
        <v>ICDSH</v>
      </c>
      <c r="I153" s="174" t="str">
        <f t="shared" si="143"/>
        <v>INDCWH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INDCWH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INDCWH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INDCDPHGASN4</v>
      </c>
      <c r="E156" s="707" t="str">
        <f>"Industrial heating technology "&amp;$AJ$12&amp;" "&amp;RIGHT(H156,2)&amp;" - Gas boiler (Hot Water - condensing) - new 4"</f>
        <v>Industrial heating technology Chemical PH - Gas boiler (Hot Water - condensing) - new 4</v>
      </c>
      <c r="F156" s="224" t="s">
        <v>1149</v>
      </c>
      <c r="G156" s="173" t="s">
        <v>2080</v>
      </c>
      <c r="H156" s="708" t="str">
        <f>$AI$14</f>
        <v>ICDPH</v>
      </c>
      <c r="I156" s="708" t="str">
        <f t="shared" si="143"/>
        <v>INDCWH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INDCWH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INDCWH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INDCDSHGASN4</v>
      </c>
      <c r="E159" s="261" t="str">
        <f>"Industrial heating technology "&amp;$AJ$12&amp;" "&amp;RIGHT(H159,2)&amp;" - Gas boiler (Hot Water- condensing) - new 4"</f>
        <v>Industrial heating technology Chemical SH - Gas boiler (Hot Water- condensing) - new 4</v>
      </c>
      <c r="F159" s="224" t="s">
        <v>1149</v>
      </c>
      <c r="G159" s="173" t="s">
        <v>2080</v>
      </c>
      <c r="H159" s="174" t="str">
        <f>$AI$15</f>
        <v>ICDSH</v>
      </c>
      <c r="I159" s="174" t="str">
        <f t="shared" si="143"/>
        <v>INDCWH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INDCWH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INDCWH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INDCDPHGASN5</v>
      </c>
      <c r="E162" s="707" t="str">
        <f>"Industrial heating technology "&amp;$AJ$12&amp;" "&amp;RIGHT(H162,2)&amp;" - Gas boiler (Direct firing) - new 5"</f>
        <v>Industrial heating technology Chemical PH - Gas boiler (Direct firing) - new 5</v>
      </c>
      <c r="F162" s="224" t="s">
        <v>1149</v>
      </c>
      <c r="G162" s="173" t="s">
        <v>2080</v>
      </c>
      <c r="H162" s="174" t="str">
        <f>$AI$13</f>
        <v>ICDPH</v>
      </c>
      <c r="I162" s="174" t="str">
        <f t="shared" si="143"/>
        <v>INDCWH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0.2</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INDCWH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INDCWH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INDCDPHGASN5</v>
      </c>
      <c r="E165" s="261" t="str">
        <f>"Industrial heating technology "&amp;$AJ$12&amp;" "&amp;RIGHT(H165,2)&amp;" - Gas boiler (Direct firing) - new 5"</f>
        <v>Industrial heating technology Chemical PH - Gas boiler (Direct firing) - new 5</v>
      </c>
      <c r="F165" s="224" t="s">
        <v>1149</v>
      </c>
      <c r="G165" s="173" t="s">
        <v>2080</v>
      </c>
      <c r="H165" s="174" t="str">
        <f>$AI$14</f>
        <v>ICDPH</v>
      </c>
      <c r="I165" s="721" t="str">
        <f t="shared" si="143"/>
        <v>INDCWH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0.2</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INDCWH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INDCWH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INDCDPHCOAN1</v>
      </c>
      <c r="E168" s="261" t="str">
        <f>"Industrial heating technology "&amp;$AJ$12&amp;" "&amp;RIGHT(H168,2)&amp;" - Coal boiler (Steam) - new 1"</f>
        <v>Industrial heating technology Chemical PH - Coal boiler (Steam) - new 1</v>
      </c>
      <c r="F168" s="224" t="s">
        <v>1149</v>
      </c>
      <c r="G168" s="55" t="s">
        <v>617</v>
      </c>
      <c r="H168" s="174" t="str">
        <f>$AI$13</f>
        <v>ICDPH</v>
      </c>
      <c r="I168" s="174" t="str">
        <f t="shared" si="143"/>
        <v>INDCWH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INDCWH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INDCWH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INDCDPHCOAN1</v>
      </c>
      <c r="E171" s="261" t="str">
        <f>"Industrial heating technology "&amp;$AJ$12&amp;" "&amp;RIGHT(H171,2)&amp;" - Coal boiler (Steam) - new 1"</f>
        <v>Industrial heating technology Chemical PH - Coal boiler (Steam) - new 1</v>
      </c>
      <c r="F171" s="224" t="s">
        <v>1149</v>
      </c>
      <c r="G171" s="55" t="s">
        <v>617</v>
      </c>
      <c r="H171" s="174" t="str">
        <f>$AI$14</f>
        <v>ICDPH</v>
      </c>
      <c r="I171" s="174" t="str">
        <f t="shared" si="143"/>
        <v>INDCWH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INDCWH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INDCWH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INDCDSHCOAN1</v>
      </c>
      <c r="E174" s="261" t="str">
        <f>"Industrial heating technology "&amp;$AJ$12&amp;" "&amp;RIGHT(H174,2)&amp;" - Coal boiler (Steam) - new 1"</f>
        <v>Industrial heating technology Chemical SH - Coal boiler (Steam) - new 1</v>
      </c>
      <c r="F174" s="224" t="s">
        <v>1149</v>
      </c>
      <c r="G174" s="55" t="s">
        <v>617</v>
      </c>
      <c r="H174" s="174" t="str">
        <f>$AI$15</f>
        <v>ICDSH</v>
      </c>
      <c r="I174" s="174" t="str">
        <f t="shared" si="143"/>
        <v>INDCWH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INDCWH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INDCWH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INDCDPHCOAN2</v>
      </c>
      <c r="E177" s="261" t="str">
        <f>"Industrial heating technology "&amp;$AJ$12&amp;" "&amp;RIGHT(H177,2)&amp;" - Coal boiler (Hot Water) - new 2"</f>
        <v>Industrial heating technology Chemical PH - Coal boiler (Hot Water) - new 2</v>
      </c>
      <c r="F177" s="224" t="s">
        <v>1149</v>
      </c>
      <c r="G177" s="55" t="s">
        <v>617</v>
      </c>
      <c r="H177" s="174" t="str">
        <f>$AI$14</f>
        <v>ICDPH</v>
      </c>
      <c r="I177" s="174" t="str">
        <f t="shared" si="143"/>
        <v>INDCWH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INDCWH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INDCWH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INDCDSHCOAN2</v>
      </c>
      <c r="E180" s="261" t="str">
        <f>"Industrial heating technology "&amp;$AJ$12&amp;" "&amp;RIGHT(H180,2)&amp;" - Coal boiler (Hot Water) - new 2"</f>
        <v>Industrial heating technology Chemical SH - Coal boiler (Hot Water) - new 2</v>
      </c>
      <c r="F180" s="224" t="s">
        <v>1149</v>
      </c>
      <c r="G180" s="55" t="s">
        <v>617</v>
      </c>
      <c r="H180" s="174" t="str">
        <f>$AI$15</f>
        <v>ICDSH</v>
      </c>
      <c r="I180" s="174" t="str">
        <f t="shared" si="143"/>
        <v>INDCWH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INDCWH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INDCWH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INDCDSHSOLN1</v>
      </c>
      <c r="E183" s="261" t="str">
        <f>"Industrial heating technology "&amp;$AJ$12&amp;" "&amp;RIGHT(H183,2)&amp;" - Solar - new 1"</f>
        <v>Industrial heating technology Chemical SH - Solar - new 1</v>
      </c>
      <c r="F183" s="224" t="s">
        <v>1149</v>
      </c>
      <c r="G183" s="55" t="s">
        <v>500</v>
      </c>
      <c r="H183" s="174" t="str">
        <f>$AI$15</f>
        <v>ICDSH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INDCDSHHCEN1</v>
      </c>
      <c r="E187" s="224" t="str">
        <f>"Industrial heating technology "&amp;$AJ$12&amp;" "&amp;RIGHT(H187,2)&amp;" - central district heating - within DH area - new 1"</f>
        <v>Industrial heating technology Chemical SH - central district heating - within DH area - new 1</v>
      </c>
      <c r="F187" s="224" t="s">
        <v>1149</v>
      </c>
      <c r="G187" s="225" t="s">
        <v>501</v>
      </c>
      <c r="H187" s="225" t="str">
        <f>AI15</f>
        <v>ICDSH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INDCDPHHCEN1</v>
      </c>
      <c r="E188" s="224" t="str">
        <f>"Industrial heating technology "&amp;$AJ$12&amp;" "&amp;RIGHT(H188,2)&amp;" - central district heating - within DH area - new 1"</f>
        <v>Industrial heating technology Chemical PH - central district heating - within DH area - new 1</v>
      </c>
      <c r="F188" s="224" t="s">
        <v>1149</v>
      </c>
      <c r="G188" s="225" t="s">
        <v>501</v>
      </c>
      <c r="H188" s="281" t="str">
        <f>AI14</f>
        <v>ICDPH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INDCDSHHSEN1</v>
      </c>
      <c r="E189" s="224" t="str">
        <f>"Industrial heating technology "&amp;$AJ$12&amp;" "&amp;RIGHT(H189,2)&amp;" - central district heating - within DH area - new 1"</f>
        <v>Industrial heating technology Chemical SH - central district heating - within DH area - new 1</v>
      </c>
      <c r="F189" s="224" t="s">
        <v>1149</v>
      </c>
      <c r="G189" s="225" t="s">
        <v>2124</v>
      </c>
      <c r="H189" s="225" t="str">
        <f>H187</f>
        <v>ICDSH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INDCDPHHSEN1</v>
      </c>
      <c r="E190" s="224" t="str">
        <f>"Industrial heating technology "&amp;$AJ$12&amp;" "&amp;RIGHT(H190,2)&amp;" - central district heating - within DH area - new 1"</f>
        <v>Industrial heating technology Chemical PH - central district heating - within DH area - new 1</v>
      </c>
      <c r="F190" s="224" t="s">
        <v>1149</v>
      </c>
      <c r="G190" s="225" t="s">
        <v>2124</v>
      </c>
      <c r="H190" s="225" t="str">
        <f>H188</f>
        <v>ICDPH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INDCDSHHDEN1</v>
      </c>
      <c r="E191" s="224" t="str">
        <f>"Industrial heating technology "&amp;$AJ$12&amp;" "&amp;RIGHT(H191,2)&amp;" - decentral district heating - within DH area - new 1"</f>
        <v>Industrial heating technology Chemical SH - decentral district heating - within DH area - new 1</v>
      </c>
      <c r="F191" s="224" t="s">
        <v>1149</v>
      </c>
      <c r="G191" s="259" t="s">
        <v>502</v>
      </c>
      <c r="H191" s="265" t="str">
        <f>AI15</f>
        <v>ICDSH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INDCDPHHDEN1</v>
      </c>
      <c r="E192" s="224" t="str">
        <f>"Industrial heating technology "&amp;$AJ$12&amp;" "&amp;RIGHT(H192,2)&amp;" - decentral district heating - within DH area - new 1"</f>
        <v>Industrial heating technology Chemical PH - decentral district heating - within DH area - new 1</v>
      </c>
      <c r="F192" s="224" t="s">
        <v>1149</v>
      </c>
      <c r="G192" s="259" t="s">
        <v>502</v>
      </c>
      <c r="H192" s="225" t="str">
        <f>AI14</f>
        <v>ICDPH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INDCDLAELCN1</v>
      </c>
      <c r="E194" s="224" t="str">
        <f>"Industry "&amp;$AJ$12&amp;" "&amp;RIGHT(H194,2)&amp;" Electricity Light Appliance - New 1"</f>
        <v>Industry Chemical LA Electricity Light Appliance - New 1</v>
      </c>
      <c r="F194" s="224" t="s">
        <v>1149</v>
      </c>
      <c r="G194" s="225" t="s">
        <v>499</v>
      </c>
      <c r="H194" s="225" t="str">
        <f>AI16</f>
        <v>ICDLA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INDCDEMELCN1</v>
      </c>
      <c r="E198" s="224" t="str">
        <f>"Industry "&amp;$AJ$12&amp;" "&amp;RIGHT(H198,2)&amp;" Electricity Motors - New 1"</f>
        <v>Industry Chemical EM Electricity Motors - New 1</v>
      </c>
      <c r="F198" s="224" t="s">
        <v>1149</v>
      </c>
      <c r="G198" s="225" t="s">
        <v>499</v>
      </c>
      <c r="H198" s="225" t="str">
        <f>AI17</f>
        <v>ICDEM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INDCDTFDSLN1</v>
      </c>
      <c r="E202" s="224" t="str">
        <f>"Industry "&amp;$AJ$12&amp;" "&amp;RIGHT(H202,2)&amp;" Tractors, Trucks, Fishing boats - New 1"</f>
        <v>Industry Chemical TF Tractors, Trucks, Fishing boats - New 1</v>
      </c>
      <c r="F202" s="224" t="s">
        <v>1149</v>
      </c>
      <c r="G202" s="173" t="s">
        <v>2081</v>
      </c>
      <c r="H202" s="174" t="str">
        <f>$AI$18</f>
        <v>ICDTF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INDCDTFH2GN2</v>
      </c>
      <c r="E206" s="224" t="str">
        <f>"Industry "&amp;$AJ$12&amp;" "&amp;RIGHT(H206,2)&amp;" Tractors, Trucks, Fishing boats - New 2"</f>
        <v>Industry Chemical TF Tractors, Trucks, Fishing boats - New 2</v>
      </c>
      <c r="F206" s="224" t="s">
        <v>1149</v>
      </c>
      <c r="G206" s="55" t="s">
        <v>2077</v>
      </c>
      <c r="H206" s="174" t="str">
        <f>$AI$18</f>
        <v>ICDTF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INDCDTFELCN3</v>
      </c>
      <c r="E210" s="224" t="str">
        <f>"Industry "&amp;$AJ$12&amp;" "&amp;RIGHT(H210,2)&amp;" Tractors, Trucks, Fishing boats - New 3"</f>
        <v>Industry Chemical TF Tractors, Trucks, Fishing boats - New 3</v>
      </c>
      <c r="F210" s="224" t="s">
        <v>1149</v>
      </c>
      <c r="G210" s="55" t="s">
        <v>499</v>
      </c>
      <c r="H210" s="174" t="str">
        <f>$AI$18</f>
        <v>ICDTF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INDCDFLSYNN1</v>
      </c>
      <c r="E214" s="224" t="str">
        <f>"Industry "&amp;$AJ$12&amp;" "&amp;RIGHT(H202,2)&amp;" Forklifts - New 1"</f>
        <v>Industry Chemical TF Forklifts - New 1</v>
      </c>
      <c r="F214" s="224" t="s">
        <v>1149</v>
      </c>
      <c r="G214" s="173" t="s">
        <v>2082</v>
      </c>
      <c r="H214" s="224" t="str">
        <f>AI19</f>
        <v>ICDFL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INDCDCOELCN1</v>
      </c>
      <c r="E218" s="224" t="str">
        <f>"Industry "&amp;$AJ$12&amp;" "&amp;RIGHT(H218,2)&amp;" Cooling - New 1"</f>
        <v>Industry Chemical CO Cooling - New 1</v>
      </c>
      <c r="F218" s="224" t="s">
        <v>1149</v>
      </c>
      <c r="G218" s="173" t="s">
        <v>499</v>
      </c>
      <c r="H218" s="224" t="str">
        <f>AI21</f>
        <v>ICDCO</v>
      </c>
      <c r="J218" s="82">
        <v>2011</v>
      </c>
      <c r="K218" s="82">
        <v>2011</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INDCDPHELCN1</v>
      </c>
      <c r="E229" s="212" t="str">
        <f t="shared" ref="E229:E260" si="266">VLOOKUP(D229,$D$9:$E$222,2,FALSE)</f>
        <v>Industrial heating technology Chemical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INDCDSHELCN1</v>
      </c>
      <c r="E230" s="212" t="str">
        <f t="shared" ca="1" si="266"/>
        <v>Industrial heating technology Chemical SH - Heat pump utilizing waste heat - new 1</v>
      </c>
      <c r="F230" s="262" t="s">
        <v>450</v>
      </c>
      <c r="G230" s="262" t="s">
        <v>449</v>
      </c>
      <c r="H230" s="263" t="s">
        <v>620</v>
      </c>
      <c r="I230" s="301"/>
      <c r="J230" s="264" t="s">
        <v>469</v>
      </c>
    </row>
    <row r="231" spans="1:10">
      <c r="A231" s="169"/>
      <c r="D231" s="212" t="str">
        <f t="shared" ca="1" si="267"/>
        <v>INDCDPHELCN2</v>
      </c>
      <c r="E231" s="212" t="str">
        <f t="shared" ca="1" si="266"/>
        <v>Industrial heating technology Chemical PH - Heat driven heat pump utilizing waste heat - new 2</v>
      </c>
      <c r="F231" s="211" t="s">
        <v>450</v>
      </c>
      <c r="G231" s="211" t="s">
        <v>449</v>
      </c>
      <c r="H231" s="263" t="s">
        <v>620</v>
      </c>
      <c r="I231" s="208"/>
      <c r="J231" s="264" t="s">
        <v>469</v>
      </c>
    </row>
    <row r="232" spans="1:10">
      <c r="A232" s="169"/>
      <c r="B232" s="211"/>
      <c r="C232" s="211"/>
      <c r="D232" s="212" t="str">
        <f t="shared" ca="1" si="267"/>
        <v>INDCDSHELCN2</v>
      </c>
      <c r="E232" s="212" t="str">
        <f t="shared" ca="1" si="266"/>
        <v>Industrial heating technology Chemical SH - Heat driven heat pump utilizing waste heat - new 2</v>
      </c>
      <c r="F232" s="262" t="s">
        <v>450</v>
      </c>
      <c r="G232" s="262" t="s">
        <v>449</v>
      </c>
      <c r="H232" s="263" t="s">
        <v>620</v>
      </c>
      <c r="I232" s="264"/>
      <c r="J232" s="264" t="s">
        <v>469</v>
      </c>
    </row>
    <row r="233" spans="1:10">
      <c r="A233" s="169"/>
      <c r="B233" s="211"/>
      <c r="C233" s="211"/>
      <c r="D233" s="212" t="str">
        <f t="shared" ca="1" si="267"/>
        <v>INDCDPHELCN3</v>
      </c>
      <c r="E233" s="212" t="str">
        <f t="shared" ca="1" si="266"/>
        <v>Industrial heating technology Chemical PH - High Temp abs. Heat pump utilizing waste heat - new 3</v>
      </c>
      <c r="F233" s="262" t="s">
        <v>450</v>
      </c>
      <c r="G233" s="262" t="s">
        <v>449</v>
      </c>
      <c r="H233" s="263" t="s">
        <v>620</v>
      </c>
      <c r="I233" s="264"/>
      <c r="J233" s="264" t="s">
        <v>469</v>
      </c>
    </row>
    <row r="234" spans="1:10">
      <c r="A234" s="169"/>
      <c r="B234" s="211"/>
      <c r="C234" s="211"/>
      <c r="D234" s="212" t="str">
        <f t="shared" ca="1" si="267"/>
        <v>INDCDSHELCN3</v>
      </c>
      <c r="E234" s="212" t="str">
        <f t="shared" ca="1" si="266"/>
        <v>Industrial heating technology Chemical SH - High Temp abs. Heat pump utilizing waste heat - new 3</v>
      </c>
      <c r="F234" s="262" t="s">
        <v>450</v>
      </c>
      <c r="G234" s="262" t="s">
        <v>449</v>
      </c>
      <c r="H234" s="263" t="s">
        <v>620</v>
      </c>
      <c r="I234" s="264"/>
      <c r="J234" s="264" t="s">
        <v>469</v>
      </c>
    </row>
    <row r="235" spans="1:10">
      <c r="A235" s="169"/>
      <c r="B235" s="211"/>
      <c r="C235" s="211"/>
      <c r="D235" s="212" t="str">
        <f t="shared" ca="1" si="267"/>
        <v>INDCDPHELCN4</v>
      </c>
      <c r="E235" s="212" t="str">
        <f t="shared" ca="1" si="266"/>
        <v>Industrial heating technology Chemical PH - Booster Heat pump utilizing waste heat - new 4</v>
      </c>
      <c r="F235" s="262" t="s">
        <v>450</v>
      </c>
      <c r="G235" s="262" t="s">
        <v>449</v>
      </c>
      <c r="H235" s="263" t="s">
        <v>620</v>
      </c>
      <c r="I235" s="264"/>
      <c r="J235" s="264" t="s">
        <v>469</v>
      </c>
    </row>
    <row r="236" spans="1:10">
      <c r="A236" s="169"/>
      <c r="B236" s="211"/>
      <c r="C236" s="211"/>
      <c r="D236" s="212" t="str">
        <f t="shared" ca="1" si="267"/>
        <v>INDCDSHELCN4</v>
      </c>
      <c r="E236" s="212" t="str">
        <f t="shared" ca="1" si="266"/>
        <v>Industrial heating technology Chemical SH - Booster Heat pump utilizing waste heat - new 4</v>
      </c>
      <c r="F236" s="262" t="s">
        <v>450</v>
      </c>
      <c r="G236" s="262" t="s">
        <v>449</v>
      </c>
      <c r="H236" s="263" t="s">
        <v>620</v>
      </c>
      <c r="I236" s="264"/>
      <c r="J236" s="264" t="s">
        <v>469</v>
      </c>
    </row>
    <row r="237" spans="1:10">
      <c r="A237" s="169"/>
      <c r="B237" s="211"/>
      <c r="C237" s="211"/>
      <c r="D237" s="212" t="str">
        <f t="shared" ca="1" si="267"/>
        <v>INDCDPHELCN5</v>
      </c>
      <c r="E237" s="212" t="str">
        <f t="shared" ca="1" si="266"/>
        <v>Industrial heating technology Chemical PH - MVR utilizing waste heat - new 5</v>
      </c>
      <c r="F237" s="262" t="s">
        <v>450</v>
      </c>
      <c r="G237" s="262" t="s">
        <v>449</v>
      </c>
      <c r="H237" s="263"/>
      <c r="I237" s="264"/>
      <c r="J237" s="264" t="s">
        <v>469</v>
      </c>
    </row>
    <row r="238" spans="1:10">
      <c r="A238" s="169"/>
      <c r="B238" s="211"/>
      <c r="C238" s="211"/>
      <c r="D238" s="212" t="str">
        <f t="shared" ca="1" si="267"/>
        <v>INDCDPHWSTN1</v>
      </c>
      <c r="E238" s="212" t="str">
        <f t="shared" ca="1" si="266"/>
        <v>Industrial heating technology Chemical PH - Hotdisc - new 1</v>
      </c>
      <c r="F238" s="262" t="s">
        <v>450</v>
      </c>
      <c r="G238" s="262" t="s">
        <v>449</v>
      </c>
      <c r="H238" s="263" t="s">
        <v>620</v>
      </c>
      <c r="I238" s="264"/>
      <c r="J238" s="264" t="s">
        <v>469</v>
      </c>
    </row>
    <row r="239" spans="1:10">
      <c r="A239" s="169"/>
      <c r="B239" s="211"/>
      <c r="C239" s="211"/>
      <c r="D239" s="212" t="str">
        <f t="shared" ref="D239:D278" ca="1" si="268">OFFSET($D$9,(ROW(D19)*3),0)</f>
        <v>INDCDPHELCN6</v>
      </c>
      <c r="E239" s="212" t="str">
        <f t="shared" ca="1" si="266"/>
        <v>Industrial heating technology Chemical PH - Dielectric heating - new 6</v>
      </c>
      <c r="F239" s="262" t="s">
        <v>450</v>
      </c>
      <c r="G239" s="262" t="s">
        <v>449</v>
      </c>
      <c r="H239" s="263" t="s">
        <v>620</v>
      </c>
      <c r="I239" s="264"/>
      <c r="J239" s="264" t="s">
        <v>469</v>
      </c>
    </row>
    <row r="240" spans="1:10">
      <c r="A240" s="169"/>
      <c r="B240" s="211"/>
      <c r="C240" s="211"/>
      <c r="D240" s="212" t="str">
        <f t="shared" ca="1" si="268"/>
        <v>INDCDPHELCN7</v>
      </c>
      <c r="E240" s="212" t="str">
        <f t="shared" ca="1" si="266"/>
        <v>Industrial heating technology Chemical PH - Infrared heating - new 7</v>
      </c>
      <c r="F240" s="262" t="s">
        <v>450</v>
      </c>
      <c r="G240" s="262" t="s">
        <v>449</v>
      </c>
      <c r="H240" s="263" t="s">
        <v>620</v>
      </c>
      <c r="I240" s="264"/>
      <c r="J240" s="264" t="s">
        <v>469</v>
      </c>
    </row>
    <row r="241" spans="1:16">
      <c r="A241" s="169"/>
      <c r="B241" s="211"/>
      <c r="C241" s="211"/>
      <c r="D241" s="212" t="str">
        <f t="shared" ca="1" si="268"/>
        <v>INDCDPHELCN8</v>
      </c>
      <c r="E241" s="212" t="str">
        <f t="shared" ca="1" si="266"/>
        <v>Industrial heating technology Chemical PH - Electric boiler (Steam) - new 8</v>
      </c>
      <c r="F241" s="262" t="s">
        <v>450</v>
      </c>
      <c r="G241" s="262" t="s">
        <v>449</v>
      </c>
      <c r="H241" s="263" t="s">
        <v>620</v>
      </c>
      <c r="I241" s="264"/>
      <c r="J241" s="264" t="s">
        <v>469</v>
      </c>
    </row>
    <row r="242" spans="1:16">
      <c r="A242" s="169"/>
      <c r="B242" s="211"/>
      <c r="C242" s="211"/>
      <c r="D242" s="212" t="str">
        <f t="shared" ca="1" si="268"/>
        <v>INDCDPHELCN8</v>
      </c>
      <c r="E242" s="212" t="str">
        <f t="shared" ca="1" si="266"/>
        <v>Industrial heating technology Chemical PH - Electric boiler (Steam) - new 8</v>
      </c>
      <c r="F242" s="262" t="s">
        <v>450</v>
      </c>
      <c r="G242" s="262" t="s">
        <v>449</v>
      </c>
      <c r="H242" s="263" t="s">
        <v>620</v>
      </c>
      <c r="I242" s="264"/>
      <c r="J242" s="264" t="s">
        <v>469</v>
      </c>
    </row>
    <row r="243" spans="1:16">
      <c r="A243" s="169"/>
      <c r="B243" s="211"/>
      <c r="C243" s="211"/>
      <c r="D243" s="212" t="str">
        <f t="shared" ca="1" si="268"/>
        <v>INDCDSHELCN8</v>
      </c>
      <c r="E243" s="212" t="str">
        <f t="shared" ca="1" si="266"/>
        <v>Industrial heating technology Chemical SH - Electric boiler (Steam) - new 8</v>
      </c>
      <c r="F243" s="262" t="s">
        <v>450</v>
      </c>
      <c r="G243" s="262" t="s">
        <v>449</v>
      </c>
      <c r="H243" s="263" t="s">
        <v>620</v>
      </c>
      <c r="I243" s="264"/>
      <c r="J243" s="264" t="s">
        <v>469</v>
      </c>
      <c r="P243" s="173"/>
    </row>
    <row r="244" spans="1:16">
      <c r="A244" s="169"/>
      <c r="B244" s="211"/>
      <c r="C244" s="211"/>
      <c r="D244" s="212" t="str">
        <f t="shared" ca="1" si="268"/>
        <v>INDCDPHELCN9</v>
      </c>
      <c r="E244" s="212" t="str">
        <f t="shared" ca="1" si="266"/>
        <v>Industrial heating technology Chemical PH - Electric boiler (Hot Water) - new 9</v>
      </c>
      <c r="F244" s="262" t="s">
        <v>450</v>
      </c>
      <c r="G244" s="262" t="s">
        <v>449</v>
      </c>
      <c r="H244" s="263" t="s">
        <v>620</v>
      </c>
      <c r="I244" s="264"/>
      <c r="J244" s="264" t="s">
        <v>469</v>
      </c>
      <c r="P244" s="173"/>
    </row>
    <row r="245" spans="1:16">
      <c r="A245" s="169"/>
      <c r="B245" s="211"/>
      <c r="C245" s="211"/>
      <c r="D245" s="212" t="str">
        <f t="shared" ca="1" si="268"/>
        <v>INDCDSHELCN9</v>
      </c>
      <c r="E245" s="212" t="str">
        <f t="shared" ca="1" si="266"/>
        <v>Industrial heating technology Chemical SH - Electric boiler (Hot Water) - new 9</v>
      </c>
      <c r="F245" s="262" t="s">
        <v>450</v>
      </c>
      <c r="G245" s="262" t="s">
        <v>449</v>
      </c>
      <c r="H245" s="263" t="s">
        <v>620</v>
      </c>
      <c r="I245" s="264"/>
      <c r="J245" s="264" t="s">
        <v>469</v>
      </c>
      <c r="P245" s="173"/>
    </row>
    <row r="246" spans="1:16">
      <c r="A246" s="169"/>
      <c r="B246" s="211"/>
      <c r="C246" s="211"/>
      <c r="D246" s="212" t="str">
        <f t="shared" ca="1" si="268"/>
        <v>INDCDPHWCHN1</v>
      </c>
      <c r="E246" s="212" t="str">
        <f t="shared" ca="1" si="266"/>
        <v>Industrial heating technology Chemical PH - Wood chip boiler (Steam) - new 1</v>
      </c>
      <c r="F246" s="262" t="s">
        <v>450</v>
      </c>
      <c r="G246" s="262" t="s">
        <v>449</v>
      </c>
      <c r="H246" s="263"/>
      <c r="I246" s="264"/>
      <c r="J246" s="264" t="s">
        <v>469</v>
      </c>
      <c r="P246" s="173"/>
    </row>
    <row r="247" spans="1:16">
      <c r="A247" s="169"/>
      <c r="B247" s="211"/>
      <c r="C247" s="211"/>
      <c r="D247" s="212" t="str">
        <f t="shared" ca="1" si="268"/>
        <v>INDCDPHWCHN1</v>
      </c>
      <c r="E247" s="212" t="str">
        <f t="shared" ca="1" si="266"/>
        <v>Industrial heating technology Chemical PH - Wood chip boiler (Steam) - new 1</v>
      </c>
      <c r="F247" s="262" t="s">
        <v>450</v>
      </c>
      <c r="G247" s="262" t="s">
        <v>449</v>
      </c>
      <c r="H247" s="263"/>
      <c r="I247" s="264"/>
      <c r="J247" s="264" t="s">
        <v>469</v>
      </c>
      <c r="M247" s="171"/>
      <c r="N247" s="171"/>
      <c r="P247" s="173"/>
    </row>
    <row r="248" spans="1:16">
      <c r="A248" s="169"/>
      <c r="B248" s="211"/>
      <c r="C248" s="211"/>
      <c r="D248" s="212" t="str">
        <f t="shared" ca="1" si="268"/>
        <v>INDCDSHWCHN1</v>
      </c>
      <c r="E248" s="212" t="str">
        <f t="shared" ca="1" si="266"/>
        <v>Industrial heating technology Chemical SH - Wood chip boiler (Steam) - new 1</v>
      </c>
      <c r="F248" s="262" t="s">
        <v>450</v>
      </c>
      <c r="G248" s="262" t="s">
        <v>449</v>
      </c>
      <c r="H248" s="263"/>
      <c r="I248" s="264"/>
      <c r="J248" s="264" t="s">
        <v>469</v>
      </c>
      <c r="M248" s="171"/>
      <c r="N248" s="171"/>
      <c r="P248" s="173"/>
    </row>
    <row r="249" spans="1:16">
      <c r="A249" s="169"/>
      <c r="B249" s="211"/>
      <c r="C249" s="211"/>
      <c r="D249" s="212" t="str">
        <f t="shared" ca="1" si="268"/>
        <v>INDCDPHWCHN2</v>
      </c>
      <c r="E249" s="212" t="str">
        <f t="shared" ca="1" si="266"/>
        <v>Industrial heating technology Chemical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INDCDSHWCHN2</v>
      </c>
      <c r="E250" s="212" t="str">
        <f t="shared" ca="1" si="266"/>
        <v>Industrial heating technology Chemical SH - Wood chip boiler (Steam - condensing) - new 2</v>
      </c>
      <c r="F250" s="262" t="s">
        <v>450</v>
      </c>
      <c r="G250" s="262" t="s">
        <v>449</v>
      </c>
      <c r="H250" s="263"/>
      <c r="I250" s="264"/>
      <c r="J250" s="264" t="s">
        <v>469</v>
      </c>
    </row>
    <row r="251" spans="1:16">
      <c r="A251" s="169"/>
      <c r="B251" s="212"/>
      <c r="C251" s="212"/>
      <c r="D251" s="212" t="str">
        <f t="shared" ca="1" si="268"/>
        <v>INDCDPHWCHN3</v>
      </c>
      <c r="E251" s="212" t="str">
        <f t="shared" ca="1" si="266"/>
        <v>Industrial heating technology Chemical PH - Wood chip boiler (Hot Water) - new 3</v>
      </c>
      <c r="F251" s="262" t="s">
        <v>450</v>
      </c>
      <c r="G251" s="262" t="s">
        <v>449</v>
      </c>
      <c r="H251" s="261"/>
      <c r="I251" s="261"/>
      <c r="J251" s="264" t="s">
        <v>469</v>
      </c>
    </row>
    <row r="252" spans="1:16">
      <c r="A252" s="169"/>
      <c r="B252" s="212"/>
      <c r="C252" s="212"/>
      <c r="D252" s="212" t="str">
        <f t="shared" ca="1" si="268"/>
        <v>INDCDSHWCHN3</v>
      </c>
      <c r="E252" s="212" t="str">
        <f t="shared" ca="1" si="266"/>
        <v>Industrial heating technology Chemical SH - Wood chip boiler (Hot Water) - new 3</v>
      </c>
      <c r="F252" s="262" t="s">
        <v>450</v>
      </c>
      <c r="G252" s="262" t="s">
        <v>449</v>
      </c>
      <c r="H252" s="261"/>
      <c r="I252" s="261"/>
      <c r="J252" s="264" t="s">
        <v>469</v>
      </c>
    </row>
    <row r="253" spans="1:16">
      <c r="A253" s="169"/>
      <c r="B253" s="212"/>
      <c r="C253" s="212"/>
      <c r="D253" s="212" t="str">
        <f t="shared" ca="1" si="268"/>
        <v>INDCDPHWCHN4</v>
      </c>
      <c r="E253" s="212" t="str">
        <f t="shared" ca="1" si="266"/>
        <v>Industrial heating technology Chemical PH - Wood chip boiler (Hot Water - condensing) - new 4</v>
      </c>
      <c r="F253" s="262" t="s">
        <v>450</v>
      </c>
      <c r="G253" s="262" t="s">
        <v>449</v>
      </c>
      <c r="H253" s="261"/>
      <c r="I253" s="261"/>
      <c r="J253" s="264" t="s">
        <v>469</v>
      </c>
    </row>
    <row r="254" spans="1:16">
      <c r="A254" s="169"/>
      <c r="B254" s="212"/>
      <c r="C254" s="212"/>
      <c r="D254" s="212" t="str">
        <f t="shared" ca="1" si="268"/>
        <v>INDCDSHWCHN4</v>
      </c>
      <c r="E254" s="212" t="str">
        <f t="shared" ca="1" si="266"/>
        <v>Industrial heating technology Chemical SH - Wood chip boiler (Hot Water- condensing) - new 4</v>
      </c>
      <c r="F254" s="262" t="s">
        <v>450</v>
      </c>
      <c r="G254" s="262" t="s">
        <v>449</v>
      </c>
      <c r="H254" s="261"/>
      <c r="I254" s="261"/>
      <c r="J254" s="264" t="s">
        <v>469</v>
      </c>
    </row>
    <row r="255" spans="1:16">
      <c r="B255" s="212"/>
      <c r="C255" s="212"/>
      <c r="D255" s="212" t="str">
        <f t="shared" ca="1" si="268"/>
        <v>INDCDPHELCN10</v>
      </c>
      <c r="E255" s="212" t="str">
        <f t="shared" ca="1" si="266"/>
        <v>Industrial heating technology Chemical PH - Direct electric heating - new 10</v>
      </c>
      <c r="F255" s="262" t="s">
        <v>450</v>
      </c>
      <c r="G255" s="262" t="s">
        <v>449</v>
      </c>
      <c r="H255" s="261"/>
      <c r="I255" s="261"/>
      <c r="J255" s="264" t="s">
        <v>469</v>
      </c>
    </row>
    <row r="256" spans="1:16">
      <c r="B256" s="212"/>
      <c r="C256" s="212"/>
      <c r="D256" s="212" t="str">
        <f t="shared" ca="1" si="268"/>
        <v>INDCDPHELCN10</v>
      </c>
      <c r="E256" s="212" t="str">
        <f t="shared" ca="1" si="266"/>
        <v>Industrial heating technology Chemical PH - Direct electric heating - new 10</v>
      </c>
      <c r="F256" s="262" t="s">
        <v>450</v>
      </c>
      <c r="G256" s="262" t="s">
        <v>449</v>
      </c>
      <c r="H256" s="261"/>
      <c r="I256" s="261"/>
      <c r="J256" s="264" t="s">
        <v>469</v>
      </c>
    </row>
    <row r="257" spans="1:10">
      <c r="B257" s="212"/>
      <c r="C257" s="212"/>
      <c r="D257" s="212" t="str">
        <f t="shared" ca="1" si="268"/>
        <v>INDCDPHDSLN1</v>
      </c>
      <c r="E257" s="212" t="str">
        <f t="shared" ca="1" si="266"/>
        <v>Industrial heating technology Chemical PH - Oil boiler (Steam) - new 1</v>
      </c>
      <c r="F257" s="262" t="s">
        <v>450</v>
      </c>
      <c r="G257" s="262" t="s">
        <v>449</v>
      </c>
      <c r="H257" s="261"/>
      <c r="I257" s="261"/>
      <c r="J257" s="264" t="s">
        <v>469</v>
      </c>
    </row>
    <row r="258" spans="1:10">
      <c r="B258" s="212"/>
      <c r="C258" s="212"/>
      <c r="D258" s="212" t="str">
        <f t="shared" ca="1" si="268"/>
        <v>INDCDPHDSLN1</v>
      </c>
      <c r="E258" s="212" t="str">
        <f t="shared" ca="1" si="266"/>
        <v>Industrial heating technology Chemical PH - Oil boiler (Steam) - new 1</v>
      </c>
      <c r="F258" s="262" t="s">
        <v>450</v>
      </c>
      <c r="G258" s="262" t="s">
        <v>449</v>
      </c>
      <c r="H258" s="261"/>
      <c r="I258" s="261"/>
      <c r="J258" s="264" t="s">
        <v>469</v>
      </c>
    </row>
    <row r="259" spans="1:10">
      <c r="B259" s="212"/>
      <c r="C259" s="212"/>
      <c r="D259" s="212" t="str">
        <f t="shared" ca="1" si="268"/>
        <v>INDCDSHDSLN1</v>
      </c>
      <c r="E259" s="212" t="str">
        <f t="shared" ca="1" si="266"/>
        <v>Industrial heating technology Chemical SH - Oil boiler (Steam) - new 1</v>
      </c>
      <c r="F259" s="262" t="s">
        <v>450</v>
      </c>
      <c r="G259" s="262" t="s">
        <v>449</v>
      </c>
      <c r="H259" s="261"/>
      <c r="I259" s="261"/>
      <c r="J259" s="264" t="s">
        <v>469</v>
      </c>
    </row>
    <row r="260" spans="1:10">
      <c r="A260" s="214"/>
      <c r="B260" s="212"/>
      <c r="C260" s="212"/>
      <c r="D260" s="212" t="str">
        <f t="shared" ca="1" si="268"/>
        <v>INDCDPHDSLN2</v>
      </c>
      <c r="E260" s="212" t="str">
        <f t="shared" ca="1" si="266"/>
        <v>Industrial heating technology Chemical PH - Oil boiler (Steam - condensing) - new 2</v>
      </c>
      <c r="F260" s="262" t="s">
        <v>450</v>
      </c>
      <c r="G260" s="262" t="s">
        <v>449</v>
      </c>
      <c r="H260" s="261"/>
      <c r="I260" s="261"/>
      <c r="J260" s="264" t="s">
        <v>469</v>
      </c>
    </row>
    <row r="261" spans="1:10">
      <c r="A261" s="214"/>
      <c r="B261" s="212"/>
      <c r="C261" s="212"/>
      <c r="D261" s="212" t="str">
        <f t="shared" ca="1" si="268"/>
        <v>INDCDSHDSLN2</v>
      </c>
      <c r="E261" s="212" t="str">
        <f t="shared" ref="E261:E290" ca="1" si="269">VLOOKUP(D261,$D$9:$E$222,2,FALSE)</f>
        <v>Industrial heating technology Chemical SH - Oil boiler (Steam - condensing) - new 2</v>
      </c>
      <c r="F261" s="262" t="s">
        <v>450</v>
      </c>
      <c r="G261" s="262" t="s">
        <v>449</v>
      </c>
      <c r="H261" s="261"/>
      <c r="I261" s="261"/>
      <c r="J261" s="264" t="s">
        <v>469</v>
      </c>
    </row>
    <row r="262" spans="1:10">
      <c r="A262" s="214"/>
      <c r="B262" s="212"/>
      <c r="C262" s="212"/>
      <c r="D262" s="212" t="str">
        <f t="shared" ca="1" si="268"/>
        <v>INDCDPHGASN1</v>
      </c>
      <c r="E262" s="212" t="str">
        <f t="shared" ca="1" si="269"/>
        <v>Industrial heating technology Chemical PH - Gas boiler (Steam) - new 1</v>
      </c>
      <c r="F262" s="262" t="s">
        <v>450</v>
      </c>
      <c r="G262" s="262" t="s">
        <v>449</v>
      </c>
      <c r="H262" s="261"/>
      <c r="I262" s="261"/>
      <c r="J262" s="264" t="s">
        <v>469</v>
      </c>
    </row>
    <row r="263" spans="1:10">
      <c r="A263" s="214"/>
      <c r="B263" s="212"/>
      <c r="C263" s="212"/>
      <c r="D263" s="212" t="str">
        <f t="shared" ca="1" si="268"/>
        <v>INDCDPHGASN1</v>
      </c>
      <c r="E263" s="212" t="str">
        <f t="shared" ca="1" si="269"/>
        <v>Industrial heating technology Chemical PH - Gas boiler (Steam) - new 1</v>
      </c>
      <c r="F263" s="262" t="s">
        <v>450</v>
      </c>
      <c r="G263" s="262" t="s">
        <v>449</v>
      </c>
      <c r="H263" s="261"/>
      <c r="I263" s="261"/>
      <c r="J263" s="264" t="s">
        <v>469</v>
      </c>
    </row>
    <row r="264" spans="1:10">
      <c r="B264" s="212"/>
      <c r="C264" s="212"/>
      <c r="D264" s="212" t="str">
        <f t="shared" ca="1" si="268"/>
        <v>INDCDSHGASN1</v>
      </c>
      <c r="E264" s="212" t="str">
        <f t="shared" ca="1" si="269"/>
        <v>Industrial heating technology Chemical SH - Gas boiler (Steam) - new 1</v>
      </c>
      <c r="F264" s="262" t="s">
        <v>450</v>
      </c>
      <c r="G264" s="262" t="s">
        <v>449</v>
      </c>
      <c r="H264" s="261"/>
      <c r="I264" s="261"/>
      <c r="J264" s="264" t="s">
        <v>469</v>
      </c>
    </row>
    <row r="265" spans="1:10">
      <c r="B265" s="212"/>
      <c r="C265" s="212"/>
      <c r="D265" s="212" t="str">
        <f t="shared" ca="1" si="268"/>
        <v>INDCDPHGASN2</v>
      </c>
      <c r="E265" s="212" t="str">
        <f t="shared" ca="1" si="269"/>
        <v>Industrial heating technology Chemical PH - Gas boiler (Steam - condensing) - new 2</v>
      </c>
      <c r="F265" s="262" t="s">
        <v>450</v>
      </c>
      <c r="G265" s="262" t="s">
        <v>449</v>
      </c>
      <c r="H265" s="261"/>
      <c r="I265" s="261"/>
      <c r="J265" s="264" t="s">
        <v>469</v>
      </c>
    </row>
    <row r="266" spans="1:10">
      <c r="B266" s="212"/>
      <c r="C266" s="212"/>
      <c r="D266" s="212" t="str">
        <f t="shared" ca="1" si="268"/>
        <v>INDCDSHGASN2</v>
      </c>
      <c r="E266" s="212" t="str">
        <f t="shared" ca="1" si="269"/>
        <v>Industrial heating technology Chemical SH - Gas boiler (Steam - condensing) - new 2</v>
      </c>
      <c r="F266" s="262" t="s">
        <v>450</v>
      </c>
      <c r="G266" s="262" t="s">
        <v>449</v>
      </c>
      <c r="H266" s="261"/>
      <c r="I266" s="261"/>
      <c r="J266" s="264" t="s">
        <v>469</v>
      </c>
    </row>
    <row r="267" spans="1:10">
      <c r="B267" s="212"/>
      <c r="C267" s="212"/>
      <c r="D267" s="212" t="str">
        <f t="shared" ca="1" si="268"/>
        <v>INDCDPHGASN3</v>
      </c>
      <c r="E267" s="212" t="str">
        <f t="shared" ca="1" si="269"/>
        <v>Industrial heating technology Chemical PH - Gas boiler (Hot Water) - new 3</v>
      </c>
      <c r="F267" s="262" t="s">
        <v>450</v>
      </c>
      <c r="G267" s="262" t="s">
        <v>449</v>
      </c>
      <c r="H267" s="261"/>
      <c r="I267" s="261"/>
      <c r="J267" s="264" t="s">
        <v>469</v>
      </c>
    </row>
    <row r="268" spans="1:10">
      <c r="B268" s="212"/>
      <c r="C268" s="212"/>
      <c r="D268" s="212" t="str">
        <f t="shared" ca="1" si="268"/>
        <v>INDCDSHGASN3</v>
      </c>
      <c r="E268" s="212" t="str">
        <f t="shared" ca="1" si="269"/>
        <v>Industrial heating technology Chemical SH - Gas boiler (Hot Water) - new 3</v>
      </c>
      <c r="F268" s="262" t="s">
        <v>450</v>
      </c>
      <c r="G268" s="262" t="s">
        <v>449</v>
      </c>
      <c r="H268" s="261"/>
      <c r="I268" s="261"/>
      <c r="J268" s="264" t="s">
        <v>469</v>
      </c>
    </row>
    <row r="269" spans="1:10">
      <c r="B269" s="212"/>
      <c r="C269" s="212"/>
      <c r="D269" s="212" t="str">
        <f t="shared" ca="1" si="268"/>
        <v>INDCDPHGASN4</v>
      </c>
      <c r="E269" s="212" t="str">
        <f t="shared" ca="1" si="269"/>
        <v>Industrial heating technology Chemical PH - Gas boiler (Hot Water - condensing) - new 4</v>
      </c>
      <c r="F269" s="262" t="s">
        <v>450</v>
      </c>
      <c r="G269" s="262" t="s">
        <v>449</v>
      </c>
      <c r="H269" s="261"/>
      <c r="I269" s="261"/>
      <c r="J269" s="264" t="s">
        <v>469</v>
      </c>
    </row>
    <row r="270" spans="1:10">
      <c r="B270" s="212"/>
      <c r="C270" s="212"/>
      <c r="D270" s="212" t="str">
        <f t="shared" ca="1" si="268"/>
        <v>INDCDSHGASN4</v>
      </c>
      <c r="E270" s="212" t="str">
        <f t="shared" ca="1" si="269"/>
        <v>Industrial heating technology Chemical SH - Gas boiler (Hot Water- condensing) - new 4</v>
      </c>
      <c r="F270" s="262" t="s">
        <v>450</v>
      </c>
      <c r="G270" s="262" t="s">
        <v>449</v>
      </c>
      <c r="H270" s="261"/>
      <c r="I270" s="261"/>
      <c r="J270" s="264" t="s">
        <v>469</v>
      </c>
    </row>
    <row r="271" spans="1:10">
      <c r="B271" s="212"/>
      <c r="C271" s="212"/>
      <c r="D271" s="212" t="str">
        <f t="shared" ca="1" si="268"/>
        <v>INDCDPHGASN5</v>
      </c>
      <c r="E271" s="212" t="str">
        <f t="shared" ca="1" si="269"/>
        <v>Industrial heating technology Chemical PH - Gas boiler (Direct firing) - new 5</v>
      </c>
      <c r="F271" s="262" t="s">
        <v>450</v>
      </c>
      <c r="G271" s="262" t="s">
        <v>449</v>
      </c>
      <c r="H271" s="261"/>
      <c r="I271" s="261"/>
      <c r="J271" s="264" t="s">
        <v>469</v>
      </c>
    </row>
    <row r="272" spans="1:10">
      <c r="B272" s="212"/>
      <c r="C272" s="212"/>
      <c r="D272" s="212" t="str">
        <f t="shared" ca="1" si="268"/>
        <v>INDCDPHGASN5</v>
      </c>
      <c r="E272" s="212" t="str">
        <f t="shared" ca="1" si="269"/>
        <v>Industrial heating technology Chemical PH - Gas boiler (Direct firing) - new 5</v>
      </c>
      <c r="F272" s="262" t="s">
        <v>450</v>
      </c>
      <c r="G272" s="262" t="s">
        <v>449</v>
      </c>
      <c r="H272" s="261"/>
      <c r="I272" s="261"/>
      <c r="J272" s="264" t="s">
        <v>469</v>
      </c>
    </row>
    <row r="273" spans="2:10">
      <c r="B273" s="212"/>
      <c r="C273" s="212"/>
      <c r="D273" s="212" t="str">
        <f t="shared" ca="1" si="268"/>
        <v>INDCDPHCOAN1</v>
      </c>
      <c r="E273" s="212" t="str">
        <f t="shared" ca="1" si="269"/>
        <v>Industrial heating technology Chemical PH - Coal boiler (Steam) - new 1</v>
      </c>
      <c r="F273" s="262" t="s">
        <v>450</v>
      </c>
      <c r="G273" s="262" t="s">
        <v>449</v>
      </c>
      <c r="H273" s="261"/>
      <c r="I273" s="261"/>
      <c r="J273" s="264" t="s">
        <v>469</v>
      </c>
    </row>
    <row r="274" spans="2:10">
      <c r="B274" s="212"/>
      <c r="C274" s="212"/>
      <c r="D274" s="212" t="str">
        <f t="shared" ca="1" si="268"/>
        <v>INDCDPHCOAN1</v>
      </c>
      <c r="E274" s="212" t="str">
        <f t="shared" ca="1" si="269"/>
        <v>Industrial heating technology Chemical PH - Coal boiler (Steam) - new 1</v>
      </c>
      <c r="F274" s="262" t="s">
        <v>450</v>
      </c>
      <c r="G274" s="262" t="s">
        <v>449</v>
      </c>
      <c r="H274" s="261"/>
      <c r="I274" s="261"/>
      <c r="J274" s="264" t="s">
        <v>469</v>
      </c>
    </row>
    <row r="275" spans="2:10">
      <c r="B275" s="212"/>
      <c r="C275" s="212"/>
      <c r="D275" s="212" t="str">
        <f t="shared" ca="1" si="268"/>
        <v>INDCDSHCOAN1</v>
      </c>
      <c r="E275" s="212" t="str">
        <f t="shared" ca="1" si="269"/>
        <v>Industrial heating technology Chemical SH - Coal boiler (Steam) - new 1</v>
      </c>
      <c r="F275" s="262" t="s">
        <v>450</v>
      </c>
      <c r="G275" s="262" t="s">
        <v>449</v>
      </c>
      <c r="H275" s="261"/>
      <c r="I275" s="261"/>
      <c r="J275" s="264" t="s">
        <v>469</v>
      </c>
    </row>
    <row r="276" spans="2:10">
      <c r="B276" s="212"/>
      <c r="C276" s="212"/>
      <c r="D276" s="212" t="str">
        <f t="shared" ca="1" si="268"/>
        <v>INDCDPHCOAN2</v>
      </c>
      <c r="E276" s="212" t="str">
        <f t="shared" ca="1" si="269"/>
        <v>Industrial heating technology Chemical PH - Coal boiler (Hot Water) - new 2</v>
      </c>
      <c r="F276" s="262" t="s">
        <v>450</v>
      </c>
      <c r="G276" s="262" t="s">
        <v>449</v>
      </c>
      <c r="H276" s="261"/>
      <c r="I276" s="261"/>
      <c r="J276" s="264" t="s">
        <v>469</v>
      </c>
    </row>
    <row r="277" spans="2:10">
      <c r="B277" s="212"/>
      <c r="C277" s="212"/>
      <c r="D277" s="212" t="str">
        <f t="shared" ca="1" si="268"/>
        <v>INDCDSHCOAN2</v>
      </c>
      <c r="E277" s="212" t="str">
        <f t="shared" ca="1" si="269"/>
        <v>Industrial heating technology Chemical SH - Coal boiler (Hot Water) - new 2</v>
      </c>
      <c r="F277" s="262" t="s">
        <v>450</v>
      </c>
      <c r="G277" s="262" t="s">
        <v>449</v>
      </c>
      <c r="H277" s="261"/>
      <c r="I277" s="261"/>
      <c r="J277" s="264" t="s">
        <v>469</v>
      </c>
    </row>
    <row r="278" spans="2:10">
      <c r="B278" s="212"/>
      <c r="C278" s="212"/>
      <c r="D278" s="212" t="str">
        <f t="shared" ca="1" si="268"/>
        <v>INDCDSHSOLN1</v>
      </c>
      <c r="E278" s="212" t="str">
        <f t="shared" ca="1" si="269"/>
        <v>Industrial heating technology Chemical SH - Solar - new 1</v>
      </c>
      <c r="F278" s="262" t="s">
        <v>450</v>
      </c>
      <c r="G278" s="262" t="s">
        <v>449</v>
      </c>
      <c r="H278" s="263" t="s">
        <v>620</v>
      </c>
      <c r="I278" s="261"/>
      <c r="J278" s="264" t="s">
        <v>469</v>
      </c>
    </row>
    <row r="279" spans="2:10">
      <c r="B279" s="212"/>
      <c r="C279" s="212"/>
      <c r="D279" s="889" t="str">
        <f>D187</f>
        <v>INDCDSHHCEN1</v>
      </c>
      <c r="E279" s="889" t="str">
        <f t="shared" si="269"/>
        <v>Industrial heating technology Chemical SH - central district heating - within DH area - new 1</v>
      </c>
      <c r="F279" s="262" t="s">
        <v>450</v>
      </c>
      <c r="G279" s="262" t="s">
        <v>449</v>
      </c>
      <c r="H279" s="890"/>
      <c r="I279" s="890"/>
      <c r="J279" s="263" t="s">
        <v>469</v>
      </c>
    </row>
    <row r="280" spans="2:10">
      <c r="B280" s="212"/>
      <c r="C280" s="212"/>
      <c r="D280" s="889" t="str">
        <f>D188</f>
        <v>INDCDPHHCEN1</v>
      </c>
      <c r="E280" s="889" t="str">
        <f t="shared" si="269"/>
        <v>Industrial heating technology Chemical PH - central district heating - within DH area - new 1</v>
      </c>
      <c r="F280" s="262" t="s">
        <v>450</v>
      </c>
      <c r="G280" s="262" t="s">
        <v>449</v>
      </c>
      <c r="H280" s="890"/>
      <c r="I280" s="890"/>
      <c r="J280" s="263" t="s">
        <v>469</v>
      </c>
    </row>
    <row r="281" spans="2:10">
      <c r="B281" s="212"/>
      <c r="C281" s="212"/>
      <c r="D281" s="889" t="str">
        <f>D189</f>
        <v>INDCDSHHSEN1</v>
      </c>
      <c r="E281" s="889" t="str">
        <f t="shared" si="269"/>
        <v>Industrial heating technology Chemical SH - central district heating - within DH area - new 1</v>
      </c>
      <c r="F281" s="262" t="s">
        <v>450</v>
      </c>
      <c r="G281" s="262" t="s">
        <v>449</v>
      </c>
      <c r="H281" s="890"/>
      <c r="I281" s="890"/>
      <c r="J281" s="263" t="s">
        <v>469</v>
      </c>
    </row>
    <row r="282" spans="2:10">
      <c r="B282" s="212"/>
      <c r="C282" s="212"/>
      <c r="D282" s="889" t="str">
        <f>D190</f>
        <v>INDCDPHHSEN1</v>
      </c>
      <c r="E282" s="889" t="str">
        <f t="shared" si="269"/>
        <v>Industrial heating technology Chemical PH - central district heating - within DH area - new 1</v>
      </c>
      <c r="F282" s="262" t="s">
        <v>450</v>
      </c>
      <c r="G282" s="262" t="s">
        <v>449</v>
      </c>
      <c r="H282" s="890"/>
      <c r="I282" s="890"/>
      <c r="J282" s="263" t="s">
        <v>469</v>
      </c>
    </row>
    <row r="283" spans="2:10">
      <c r="B283" s="212"/>
      <c r="C283" s="212"/>
      <c r="D283" s="212" t="str">
        <f t="shared" ref="D283" si="270">D191</f>
        <v>INDCDSHHDEN1</v>
      </c>
      <c r="E283" s="212" t="str">
        <f t="shared" si="269"/>
        <v>Industrial heating technology Chemical SH - decentral district heating - within DH area - new 1</v>
      </c>
      <c r="F283" s="262" t="s">
        <v>450</v>
      </c>
      <c r="G283" s="262" t="s">
        <v>449</v>
      </c>
      <c r="H283" s="261"/>
      <c r="I283" s="261"/>
      <c r="J283" s="264" t="s">
        <v>469</v>
      </c>
    </row>
    <row r="284" spans="2:10">
      <c r="B284" s="212"/>
      <c r="C284" s="212"/>
      <c r="D284" s="212" t="str">
        <f>D192</f>
        <v>INDCDPHHDEN1</v>
      </c>
      <c r="E284" s="212" t="str">
        <f t="shared" si="269"/>
        <v>Industrial heating technology Chemical PH - decentral district heating - within DH area - new 1</v>
      </c>
      <c r="F284" s="262" t="s">
        <v>450</v>
      </c>
      <c r="G284" s="262" t="s">
        <v>449</v>
      </c>
      <c r="H284" s="261"/>
      <c r="I284" s="261"/>
      <c r="J284" s="264" t="s">
        <v>469</v>
      </c>
    </row>
    <row r="285" spans="2:10">
      <c r="B285" s="212"/>
      <c r="C285" s="212"/>
      <c r="D285" s="212" t="str">
        <f>D194</f>
        <v>INDCDLAELCN1</v>
      </c>
      <c r="E285" s="212" t="str">
        <f t="shared" si="269"/>
        <v>Industry Chemical LA Electricity Light Appliance - New 1</v>
      </c>
      <c r="F285" s="262" t="s">
        <v>450</v>
      </c>
      <c r="G285" s="262" t="s">
        <v>449</v>
      </c>
      <c r="H285" s="261"/>
      <c r="I285" s="261"/>
      <c r="J285" s="264" t="s">
        <v>469</v>
      </c>
    </row>
    <row r="286" spans="2:10">
      <c r="B286" s="212"/>
      <c r="C286" s="212"/>
      <c r="D286" s="212" t="str">
        <f>D198</f>
        <v>INDCDEMELCN1</v>
      </c>
      <c r="E286" s="212" t="str">
        <f t="shared" si="269"/>
        <v>Industry Chemical EM Electricity Motors - New 1</v>
      </c>
      <c r="F286" s="262" t="s">
        <v>450</v>
      </c>
      <c r="G286" s="262" t="s">
        <v>449</v>
      </c>
      <c r="H286" s="261"/>
      <c r="I286" s="261"/>
      <c r="J286" s="264" t="s">
        <v>469</v>
      </c>
    </row>
    <row r="287" spans="2:10">
      <c r="B287" s="212"/>
      <c r="C287" s="212"/>
      <c r="D287" s="212" t="str">
        <f>D202</f>
        <v>INDCDTFDSLN1</v>
      </c>
      <c r="E287" s="212" t="str">
        <f t="shared" si="269"/>
        <v>Industry Chemical TF Tractors, Trucks, Fishing boats - New 1</v>
      </c>
      <c r="F287" s="262" t="s">
        <v>450</v>
      </c>
      <c r="G287" s="262" t="s">
        <v>2078</v>
      </c>
      <c r="H287" s="261"/>
      <c r="I287" s="261"/>
      <c r="J287" s="264" t="s">
        <v>469</v>
      </c>
    </row>
    <row r="288" spans="2:10">
      <c r="B288" s="212"/>
      <c r="C288" s="212"/>
      <c r="D288" s="212" t="str">
        <f>D206</f>
        <v>INDCDTFH2GN2</v>
      </c>
      <c r="E288" s="212" t="str">
        <f t="shared" si="269"/>
        <v>Industry Chemical TF Tractors, Trucks, Fishing boats - New 2</v>
      </c>
      <c r="F288" s="262" t="s">
        <v>450</v>
      </c>
      <c r="G288" s="262" t="s">
        <v>2078</v>
      </c>
      <c r="H288" s="261"/>
      <c r="I288" s="261"/>
      <c r="J288" s="264" t="s">
        <v>469</v>
      </c>
    </row>
    <row r="289" spans="2:10">
      <c r="B289" s="212"/>
      <c r="C289" s="212"/>
      <c r="D289" s="212" t="str">
        <f>D210</f>
        <v>INDCDTFELCN3</v>
      </c>
      <c r="E289" s="212" t="str">
        <f t="shared" si="269"/>
        <v>Industry Chemical TF Tractors, Trucks, Fishing boats - New 3</v>
      </c>
      <c r="F289" s="262" t="s">
        <v>450</v>
      </c>
      <c r="G289" s="262" t="s">
        <v>2078</v>
      </c>
      <c r="H289" s="261"/>
      <c r="I289" s="261"/>
      <c r="J289" s="264" t="s">
        <v>469</v>
      </c>
    </row>
    <row r="290" spans="2:10">
      <c r="B290" s="212"/>
      <c r="C290" s="212"/>
      <c r="D290" s="212" t="str">
        <f>D214</f>
        <v>INDCDFLSYNN1</v>
      </c>
      <c r="E290" s="212" t="str">
        <f t="shared" si="269"/>
        <v>Industry Chemical TF Forklifts - New 1</v>
      </c>
      <c r="F290" s="262" t="s">
        <v>450</v>
      </c>
      <c r="G290" s="262" t="s">
        <v>449</v>
      </c>
      <c r="H290" s="261"/>
      <c r="I290" s="261"/>
      <c r="J290" s="264" t="s">
        <v>469</v>
      </c>
    </row>
    <row r="291" spans="2:10">
      <c r="B291" s="212"/>
      <c r="C291" s="212"/>
      <c r="D291" s="212" t="str">
        <f>D218</f>
        <v>INDCDCOELCN1</v>
      </c>
      <c r="E291" s="212" t="str">
        <f>E218</f>
        <v>Industry Chemical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ICDSOx</v>
      </c>
      <c r="E296" s="270" t="str">
        <f>"Industrial heating  heating technology "&amp;$AJ$12&amp;" - SOx emission"</f>
        <v>Industrial heating  heating technology Chemical - SOx emission</v>
      </c>
      <c r="F296" s="219" t="s">
        <v>352</v>
      </c>
      <c r="G296" s="211"/>
      <c r="H296" s="211"/>
      <c r="I296" s="211"/>
      <c r="J296" s="211"/>
    </row>
    <row r="297" spans="2:10">
      <c r="B297" s="214"/>
      <c r="C297" s="214"/>
      <c r="D297" s="260" t="str">
        <f>"I"&amp;LEFT($AJ$12,1)&amp;"DNOx"</f>
        <v>ICDNOx</v>
      </c>
      <c r="E297" s="270" t="str">
        <f>"Industrial heating  heating technology "&amp;$AJ$12&amp;" - NOx emission"</f>
        <v>Industrial heating  heating technology Chemical - NOx emission</v>
      </c>
      <c r="F297" s="219" t="s">
        <v>352</v>
      </c>
      <c r="G297" s="211"/>
      <c r="H297" s="214"/>
      <c r="I297" s="214"/>
      <c r="J297" s="214"/>
    </row>
    <row r="298" spans="2:10">
      <c r="B298" s="214"/>
      <c r="C298" s="214"/>
      <c r="D298" s="260" t="str">
        <f>"I"&amp;LEFT($AJ$12,1)&amp;"DCH4"</f>
        <v>ICDCH4</v>
      </c>
      <c r="E298" s="270" t="str">
        <f>"Industrial heating  heating technology "&amp;$AJ$12&amp;" - CH4 emission"</f>
        <v>Industrial heating  heating technology Chemical - CH4 emission</v>
      </c>
      <c r="F298" s="219" t="s">
        <v>352</v>
      </c>
      <c r="G298" s="211"/>
      <c r="H298" s="214"/>
      <c r="I298" s="214"/>
      <c r="J298" s="214"/>
    </row>
    <row r="299" spans="2:10">
      <c r="B299" s="214"/>
      <c r="C299" s="214"/>
      <c r="D299" s="260" t="str">
        <f>"I"&amp;LEFT($AJ$12,1)&amp;"DNO2"</f>
        <v>ICDNO2</v>
      </c>
      <c r="E299" s="270" t="str">
        <f>"Industrial heating  heating technology "&amp;$AJ$12&amp;" - NO2 emission"</f>
        <v>Industrial heating  heating technology Chemical - NO2 emission</v>
      </c>
      <c r="F299" s="219" t="s">
        <v>352</v>
      </c>
      <c r="G299" s="211"/>
      <c r="H299" s="214"/>
      <c r="I299" s="214"/>
      <c r="J299" s="214"/>
    </row>
    <row r="300" spans="2:10">
      <c r="B300" s="214"/>
      <c r="C300" s="214"/>
      <c r="D300" s="260" t="str">
        <f>"I"&amp;LEFT($AJ$12,1)&amp;"DPM"</f>
        <v>ICDPM</v>
      </c>
      <c r="E300" s="270" t="str">
        <f>"Industrial heating  heating technology "&amp;$AJ$12&amp;" - Particle emission"</f>
        <v>Industrial heating  heating technology Chemical - Particle emission</v>
      </c>
      <c r="F300" s="219" t="s">
        <v>352</v>
      </c>
      <c r="G300" s="211"/>
      <c r="H300" s="214"/>
      <c r="I300" s="214"/>
      <c r="J300" s="214"/>
    </row>
    <row r="301" spans="2:10">
      <c r="B301" s="224" t="s">
        <v>1057</v>
      </c>
      <c r="D301" s="224" t="str">
        <f>AI20</f>
        <v>INDCWH</v>
      </c>
      <c r="E301" s="270" t="str">
        <f>"Industrial heating technology "&amp;$AJ$12&amp;" - Waste heat"</f>
        <v>Industrial heating technology Chemical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5C68204-34F7-4E07-BAA4-E0965997F79E}">
          <x14:formula1>
            <xm:f>'Oil-fired boiler_NEW'!$T$4:$X$4</xm:f>
          </x14:formula1>
          <xm:sqref>E1</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F7-0CF6-4EBB-994F-F60CEA0F7388}">
  <sheetPr>
    <tabColor rgb="FF00B050"/>
  </sheetPr>
  <dimension ref="A1:AP301"/>
  <sheetViews>
    <sheetView zoomScale="70" zoomScaleNormal="70" workbookViewId="0">
      <selection activeCell="I20" sqref="I20"/>
    </sheetView>
  </sheetViews>
  <sheetFormatPr baseColWidth="10" defaultColWidth="9.1640625" defaultRowHeight="15"/>
  <cols>
    <col min="1" max="1" width="9.1640625" style="224"/>
    <col min="2" max="2" width="31.5" style="224" customWidth="1"/>
    <col min="3" max="3" width="11.5" style="224" bestFit="1" customWidth="1"/>
    <col min="4" max="4" width="19.83203125" style="224" customWidth="1"/>
    <col min="5" max="5" width="98.5" style="224" bestFit="1" customWidth="1"/>
    <col min="6" max="6" width="10.5" style="224" bestFit="1" customWidth="1"/>
    <col min="7" max="7" width="55.83203125" style="224" bestFit="1" customWidth="1"/>
    <col min="8" max="8" width="27.83203125" style="224" bestFit="1" customWidth="1"/>
    <col min="9" max="9" width="27.83203125" style="224" customWidth="1"/>
    <col min="10" max="10" width="10.1640625" style="224" bestFit="1" customWidth="1"/>
    <col min="11" max="11" width="8.5" style="224" bestFit="1" customWidth="1"/>
    <col min="12" max="12" width="6.5" style="224" bestFit="1" customWidth="1"/>
    <col min="13" max="13" width="6.5" style="224" customWidth="1"/>
    <col min="14" max="15" width="12.83203125" style="224" bestFit="1" customWidth="1"/>
    <col min="16" max="16" width="12.5" style="224" bestFit="1" customWidth="1"/>
    <col min="17" max="17" width="6.1640625" style="224" customWidth="1"/>
    <col min="18" max="18" width="8.1640625" style="224" bestFit="1" customWidth="1"/>
    <col min="19" max="19" width="11.83203125" style="224" bestFit="1" customWidth="1"/>
    <col min="20" max="20" width="11.5" style="224" bestFit="1" customWidth="1"/>
    <col min="21" max="21" width="18.1640625" style="224" bestFit="1" customWidth="1"/>
    <col min="22" max="22" width="11.83203125" style="224" customWidth="1"/>
    <col min="23" max="23" width="7.83203125" style="224" bestFit="1" customWidth="1"/>
    <col min="24" max="24" width="8.5" style="224" bestFit="1" customWidth="1"/>
    <col min="25" max="25" width="6.5" style="224" bestFit="1" customWidth="1"/>
    <col min="26" max="26" width="6.5" style="224" customWidth="1"/>
    <col min="27" max="27" width="8" style="224" customWidth="1"/>
    <col min="28" max="38" width="9.1640625" style="224"/>
    <col min="39" max="39" width="64.1640625" style="224" bestFit="1" customWidth="1"/>
    <col min="40" max="16384" width="9.1640625" style="224"/>
  </cols>
  <sheetData>
    <row r="1" spans="2:42" ht="14.5" customHeight="1">
      <c r="D1" s="728" t="s">
        <v>1016</v>
      </c>
      <c r="E1" s="729" t="s">
        <v>717</v>
      </c>
      <c r="N1" s="64"/>
      <c r="O1" s="64"/>
      <c r="P1" s="64"/>
      <c r="S1" s="727" t="s">
        <v>1004</v>
      </c>
      <c r="T1" s="776" t="s">
        <v>1003</v>
      </c>
      <c r="U1" s="775" t="s">
        <v>1053</v>
      </c>
      <c r="V1" s="776" t="s">
        <v>1054</v>
      </c>
      <c r="W1" s="780">
        <v>0.3</v>
      </c>
    </row>
    <row r="2" spans="2:42" ht="16" thickBot="1">
      <c r="E2" s="730" t="s">
        <v>521</v>
      </c>
      <c r="N2" s="731"/>
      <c r="O2" s="731"/>
      <c r="P2" s="731"/>
      <c r="S2" s="726">
        <f>MATCH($E$1,$AJ$22:$AJ$35)</f>
        <v>9</v>
      </c>
      <c r="T2" s="778">
        <f>MATCH($E$1,$AJ$22:$AJ$35)+1</f>
        <v>10</v>
      </c>
      <c r="U2" s="779"/>
      <c r="V2" s="768" t="s">
        <v>1055</v>
      </c>
      <c r="W2" s="781">
        <v>0.2</v>
      </c>
    </row>
    <row r="3" spans="2:42" ht="16"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FEMIS~IGDSOx</v>
      </c>
      <c r="Y6" s="280" t="str">
        <f>"FEMIS~"&amp;D297</f>
        <v>FEMIS~IGDNOx</v>
      </c>
      <c r="Z6" s="280" t="str">
        <f>"FEMIS~"&amp;D298</f>
        <v>FEMIS~IGDCH4</v>
      </c>
      <c r="AA6" s="280" t="str">
        <f>"FEMIS~"&amp;D299</f>
        <v>FEMIS~IGDNO2</v>
      </c>
      <c r="AB6" s="280" t="str">
        <f>"FEMIS~"&amp;D300</f>
        <v>FEMIS~IGDPM</v>
      </c>
      <c r="AC6" s="224" t="s">
        <v>424</v>
      </c>
      <c r="AD6" s="224" t="s">
        <v>2001</v>
      </c>
      <c r="AE6" s="47" t="s">
        <v>338</v>
      </c>
      <c r="AF6" s="221" t="s">
        <v>473</v>
      </c>
    </row>
    <row r="7" spans="2:42" ht="16"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INDGDPHELCN1</v>
      </c>
      <c r="E9" s="261" t="str">
        <f>"Industrial heating technology "&amp;$AJ$12&amp;" "&amp;RIGHT(H9,2)&amp;" - Heat pump utilizing waste heat - new 1"</f>
        <v>Industrial heating technology Glass &amp; Concrete PH - Heat pump utilizing waste heat - new 1</v>
      </c>
      <c r="F9" s="224" t="s">
        <v>1149</v>
      </c>
      <c r="G9" s="173" t="s">
        <v>499</v>
      </c>
      <c r="H9" s="174" t="str">
        <f>$AI$14</f>
        <v>IGDPH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INDGWH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IGDPH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INDGWH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Glass &amp; Concrete</v>
      </c>
    </row>
    <row r="13" spans="2:42">
      <c r="B13" s="357" t="s">
        <v>998</v>
      </c>
      <c r="D13" s="212"/>
      <c r="E13" s="212"/>
      <c r="F13" s="224" t="s">
        <v>1149</v>
      </c>
      <c r="G13" s="173" t="s">
        <v>499</v>
      </c>
      <c r="H13" s="174" t="str">
        <f>$AI$14</f>
        <v>IGDPH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IGDPH</v>
      </c>
      <c r="AJ13" s="224" t="str">
        <f>AP14</f>
        <v>Glass &amp; Concrete industry Demand Heat High Temp. over 150C</v>
      </c>
      <c r="AO13" s="224" t="s">
        <v>2085</v>
      </c>
      <c r="AP13" s="224" t="s">
        <v>1150</v>
      </c>
    </row>
    <row r="14" spans="2:42">
      <c r="B14" s="357" t="s">
        <v>998</v>
      </c>
      <c r="D14" s="212"/>
      <c r="E14" s="212"/>
      <c r="F14" s="224" t="s">
        <v>1149</v>
      </c>
      <c r="G14" s="173" t="str">
        <f>$AI$20</f>
        <v>INDGWH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IGDPH</v>
      </c>
      <c r="AJ14" s="224" t="str">
        <f>AP13</f>
        <v>Glass &amp; Concrete industry Demand Heat Medium Temp. up to 150C</v>
      </c>
      <c r="AO14" s="224" t="s">
        <v>2085</v>
      </c>
      <c r="AP14" s="224" t="s">
        <v>1151</v>
      </c>
    </row>
    <row r="15" spans="2:42">
      <c r="B15" s="357" t="s">
        <v>998</v>
      </c>
      <c r="D15" s="212" t="str">
        <f>"IND"&amp;RIGHT(H15,4)&amp;RIGHT(G15,3)&amp;"N"&amp;RIGHT(E15,1)</f>
        <v>INDGDSHELCN1</v>
      </c>
      <c r="E15" s="261" t="str">
        <f>"Industrial heating technology "&amp;$AJ$12&amp;" "&amp;RIGHT(H15,2)&amp;" - Heat pump utilizing waste heat - new 1"</f>
        <v>Industrial heating technology Glass &amp; Concrete SH - Heat pump utilizing waste heat - new 1</v>
      </c>
      <c r="F15" s="224" t="s">
        <v>1149</v>
      </c>
      <c r="G15" s="173" t="s">
        <v>499</v>
      </c>
      <c r="H15" s="174" t="str">
        <f>$AI$15</f>
        <v>IGDSH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IGDSH</v>
      </c>
      <c r="AJ15" s="224" t="str">
        <f>AP15</f>
        <v>Glass &amp; Concrete industry Demand Heat Room Heat</v>
      </c>
      <c r="AO15" s="224" t="s">
        <v>2086</v>
      </c>
      <c r="AP15" s="224" t="s">
        <v>1152</v>
      </c>
    </row>
    <row r="16" spans="2:42">
      <c r="B16" s="357" t="s">
        <v>998</v>
      </c>
      <c r="D16" s="212"/>
      <c r="E16" s="261"/>
      <c r="F16" s="224" t="s">
        <v>1149</v>
      </c>
      <c r="G16" s="173" t="str">
        <f>$AI$20</f>
        <v>INDGWH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IGDLA</v>
      </c>
      <c r="AJ16" s="224" t="str">
        <f t="shared" si="0"/>
        <v>Glass &amp; Concrete industry Demand Light</v>
      </c>
      <c r="AO16" s="224" t="s">
        <v>1153</v>
      </c>
      <c r="AP16" s="224" t="s">
        <v>1154</v>
      </c>
    </row>
    <row r="17" spans="2:42">
      <c r="B17" s="357" t="s">
        <v>998</v>
      </c>
      <c r="D17" s="212"/>
      <c r="E17" s="212"/>
      <c r="F17" s="224" t="s">
        <v>1149</v>
      </c>
      <c r="G17" s="173" t="s">
        <v>499</v>
      </c>
      <c r="H17" s="174" t="str">
        <f>$AI$15</f>
        <v>IGDSH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IGDEM</v>
      </c>
      <c r="AJ17" s="224" t="str">
        <f t="shared" si="0"/>
        <v>Glass &amp; Concrete industry Demand Electric Motors</v>
      </c>
      <c r="AO17" s="224" t="s">
        <v>1155</v>
      </c>
      <c r="AP17" s="224" t="s">
        <v>1156</v>
      </c>
    </row>
    <row r="18" spans="2:42">
      <c r="B18" s="357" t="s">
        <v>998</v>
      </c>
      <c r="D18" s="212"/>
      <c r="E18" s="212"/>
      <c r="F18" s="224" t="s">
        <v>1149</v>
      </c>
      <c r="G18" s="173" t="str">
        <f>$AI$20</f>
        <v>INDGWH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IGDTF</v>
      </c>
      <c r="AJ18" s="224" t="str">
        <f t="shared" si="0"/>
        <v>Glass &amp; Concrete industry Demand Haulage Tractors, Trucks, Fishing boats, Forest machines</v>
      </c>
      <c r="AO18" s="224" t="s">
        <v>1157</v>
      </c>
      <c r="AP18" s="224" t="s">
        <v>1158</v>
      </c>
    </row>
    <row r="19" spans="2:42">
      <c r="B19" s="357" t="s">
        <v>998</v>
      </c>
      <c r="D19" s="212"/>
      <c r="E19" s="212"/>
      <c r="F19" s="224" t="s">
        <v>1149</v>
      </c>
      <c r="G19" s="173" t="s">
        <v>499</v>
      </c>
      <c r="H19" s="174" t="str">
        <f>$AI$15</f>
        <v>IGDSH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IGDFL</v>
      </c>
      <c r="AJ19" s="224" t="str">
        <f t="shared" si="0"/>
        <v>Glass &amp; Concrete industry Demand Haulage Forklifts</v>
      </c>
      <c r="AO19" s="224" t="s">
        <v>1159</v>
      </c>
      <c r="AP19" s="224" t="s">
        <v>1160</v>
      </c>
    </row>
    <row r="20" spans="2:42">
      <c r="B20" s="357" t="s">
        <v>998</v>
      </c>
      <c r="D20" s="212"/>
      <c r="E20" s="212"/>
      <c r="F20" s="224" t="s">
        <v>1149</v>
      </c>
      <c r="G20" s="173" t="str">
        <f>$AI$20</f>
        <v>INDGWH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INDGWH</v>
      </c>
      <c r="AJ20" s="224" t="str">
        <f>$AJ$12&amp;" Industrial Waste Heat"</f>
        <v>Glass &amp; Concrete Industrial Waste Heat</v>
      </c>
    </row>
    <row r="21" spans="2:42">
      <c r="B21" s="357" t="s">
        <v>999</v>
      </c>
      <c r="D21" s="212" t="str">
        <f>"IND"&amp;RIGHT(H21,4)&amp;RIGHT(G21,3)&amp;"N"&amp;RIGHT(E21,1)</f>
        <v>INDGDPHELCN2</v>
      </c>
      <c r="E21" s="261" t="str">
        <f>"Industrial heating technology "&amp;$AJ$12&amp;" "&amp;RIGHT(H21,2)&amp;" - Heat driven heat pump utilizing waste heat - new 2"</f>
        <v>Industrial heating technology Glass &amp; Concrete PH - Heat driven heat pump utilizing waste heat - new 2</v>
      </c>
      <c r="F21" s="224" t="s">
        <v>1149</v>
      </c>
      <c r="G21" s="173" t="s">
        <v>499</v>
      </c>
      <c r="H21" s="174" t="str">
        <f>$AI$14</f>
        <v>IGDPH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IGDCO</v>
      </c>
      <c r="AJ21" s="224" t="s">
        <v>2121</v>
      </c>
    </row>
    <row r="22" spans="2:42">
      <c r="B22" s="357" t="s">
        <v>999</v>
      </c>
      <c r="D22" s="212"/>
      <c r="E22" s="261"/>
      <c r="F22" s="224" t="s">
        <v>1149</v>
      </c>
      <c r="G22" s="173" t="str">
        <f>$AI$20</f>
        <v>INDGWH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IGDPH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 customHeight="1">
      <c r="B24" s="357" t="s">
        <v>999</v>
      </c>
      <c r="D24" s="212"/>
      <c r="E24" s="212"/>
      <c r="F24" s="224" t="s">
        <v>1149</v>
      </c>
      <c r="G24" s="173" t="str">
        <f>$AI$20</f>
        <v>INDGWH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 customHeight="1">
      <c r="B25" s="357" t="s">
        <v>999</v>
      </c>
      <c r="D25" s="212"/>
      <c r="E25" s="212"/>
      <c r="F25" s="224" t="s">
        <v>1149</v>
      </c>
      <c r="G25" s="173" t="s">
        <v>499</v>
      </c>
      <c r="H25" s="174" t="str">
        <f>$AI$14</f>
        <v>IGDPH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INDGWH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INDGDSHELCN2</v>
      </c>
      <c r="E27" s="261" t="str">
        <f>"Industrial heating technology "&amp;$AJ$12&amp;" "&amp;RIGHT(H27,2)&amp;" - Heat driven heat pump utilizing waste heat - new 2"</f>
        <v>Industrial heating technology Glass &amp; Concrete SH - Heat driven heat pump utilizing waste heat - new 2</v>
      </c>
      <c r="F27" s="224" t="s">
        <v>1149</v>
      </c>
      <c r="G27" s="173" t="s">
        <v>499</v>
      </c>
      <c r="H27" s="174" t="str">
        <f>$AI$15</f>
        <v>IGDSH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INDGWH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IGDSH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INDGWH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IGDSH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INDGWH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INDGDPHELCN3</v>
      </c>
      <c r="E33" s="261" t="str">
        <f>"Industrial heating technology "&amp;$AJ$12&amp;" "&amp;RIGHT(H33,2)&amp;" - High Temp abs. Heat pump utilizing waste heat - new 3"</f>
        <v>Industrial heating technology Glass &amp; Concrete PH - High Temp abs. Heat pump utilizing waste heat - new 3</v>
      </c>
      <c r="F33" s="224" t="s">
        <v>1149</v>
      </c>
      <c r="G33" s="173" t="s">
        <v>499</v>
      </c>
      <c r="H33" s="174" t="str">
        <f>$AI$14</f>
        <v>IGDPH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INDGWH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IGDPH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INDGWH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IGDPH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INDGWH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INDGDSHELCN3</v>
      </c>
      <c r="E39" s="261" t="str">
        <f>"Industrial heating technology "&amp;$AJ$12&amp;" "&amp;RIGHT(H39,2)&amp;" - High Temp abs. Heat pump utilizing waste heat - new 3"</f>
        <v>Industrial heating technology Glass &amp; Concrete SH - High Temp abs. Heat pump utilizing waste heat - new 3</v>
      </c>
      <c r="F39" s="224" t="s">
        <v>1149</v>
      </c>
      <c r="G39" s="173" t="s">
        <v>499</v>
      </c>
      <c r="H39" s="174" t="str">
        <f>$AI$15</f>
        <v>IGDSH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INDGWH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IGDSH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INDGWH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IGDSH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INDGWH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INDGDPHELCN4</v>
      </c>
      <c r="E45" s="261" t="str">
        <f>"Industrial heating technology "&amp;$AJ$12&amp;" "&amp;RIGHT(H45,2)&amp;" - Booster Heat pump utilizing waste heat - new 4"</f>
        <v>Industrial heating technology Glass &amp; Concrete PH - Booster Heat pump utilizing waste heat - new 4</v>
      </c>
      <c r="F45" s="224" t="s">
        <v>1149</v>
      </c>
      <c r="G45" s="173" t="s">
        <v>499</v>
      </c>
      <c r="H45" s="174" t="str">
        <f>$AI$14</f>
        <v>IGDPH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INDGWH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IGDPH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INDGWH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IGDPH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INDGWH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INDGDSHELCN4</v>
      </c>
      <c r="E51" s="261" t="str">
        <f>"Industrial heating technology "&amp;$AJ$12&amp;" "&amp;RIGHT(H51,2)&amp;" - Booster Heat pump utilizing waste heat - new 4"</f>
        <v>Industrial heating technology Glass &amp; Concrete SH - Booster Heat pump utilizing waste heat - new 4</v>
      </c>
      <c r="F51" s="224" t="s">
        <v>1149</v>
      </c>
      <c r="G51" s="173" t="s">
        <v>499</v>
      </c>
      <c r="H51" s="174" t="str">
        <f>$AI$15</f>
        <v>IGDSH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INDGWH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IGDSH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INDGWH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IGDSH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INDGWH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INDGDPHELCN5</v>
      </c>
      <c r="E57" s="261" t="str">
        <f>"Industrial heating technology "&amp;$AJ$12&amp;" "&amp;RIGHT(H57,2)&amp;" - MVR utilizing waste heat - new 5"</f>
        <v>Industrial heating technology Glass &amp; Concrete PH - MVR utilizing waste heat - new 5</v>
      </c>
      <c r="F57" s="224" t="s">
        <v>1149</v>
      </c>
      <c r="G57" s="173" t="s">
        <v>499</v>
      </c>
      <c r="H57" s="174" t="str">
        <f>$AI$14</f>
        <v>IGDPH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INDGWH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IGDPH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INDGWH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IGDPH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6" thickBot="1">
      <c r="B62" s="786" t="s">
        <v>1002</v>
      </c>
      <c r="C62" s="787"/>
      <c r="D62" s="732"/>
      <c r="E62" s="732"/>
      <c r="F62" s="224" t="s">
        <v>1149</v>
      </c>
      <c r="G62" s="788" t="str">
        <f>$AI$20</f>
        <v>INDGWH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INDGDPHWSTN1</v>
      </c>
      <c r="E63" s="261" t="str">
        <f>"Industrial heating technology "&amp;$AJ$12&amp;" "&amp;RIGHT(H63,2)&amp;" - Hotdisc - new 1"</f>
        <v>Industrial heating technology Glass &amp; Concrete PH - Hotdisc - new 1</v>
      </c>
      <c r="F63" s="224" t="s">
        <v>1149</v>
      </c>
      <c r="G63" s="832" t="s">
        <v>1005</v>
      </c>
      <c r="H63" s="174" t="str">
        <f>$AI$13</f>
        <v>IGDPH</v>
      </c>
      <c r="I63" s="173" t="str">
        <f t="shared" ref="I63:I70" si="22">$AI$20</f>
        <v>INDGWH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INDGWH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INDGWH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INDGDPHELCN6</v>
      </c>
      <c r="E66" s="261" t="str">
        <f>"Industrial heating technology "&amp;$AJ$12&amp;" "&amp;RIGHT(H66,2)&amp;" - Dielectric heating - new 6"</f>
        <v>Industrial heating technology Glass &amp; Concrete PH - Dielectric heating - new 6</v>
      </c>
      <c r="F66" s="224" t="s">
        <v>1149</v>
      </c>
      <c r="G66" s="173" t="s">
        <v>499</v>
      </c>
      <c r="H66" s="174" t="str">
        <f>$AI$14</f>
        <v>IGDPH</v>
      </c>
      <c r="I66" s="173" t="str">
        <f t="shared" si="22"/>
        <v>INDGWH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INDGWH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INDGWH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INDGDPHELCN7</v>
      </c>
      <c r="E69" s="261" t="str">
        <f>"Industrial heating technology "&amp;$AJ$12&amp;" "&amp;RIGHT(H69,2)&amp;" - Infrared heating - new 7"</f>
        <v>Industrial heating technology Glass &amp; Concrete PH - Infrared heating - new 7</v>
      </c>
      <c r="F69" s="224" t="s">
        <v>1149</v>
      </c>
      <c r="G69" s="173" t="s">
        <v>499</v>
      </c>
      <c r="H69" s="174" t="str">
        <f>$AI$14</f>
        <v>IGDPH</v>
      </c>
      <c r="I69" s="173" t="str">
        <f t="shared" si="22"/>
        <v>INDGWH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INDGWH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ref="I71:I134" si="38">$AI$20</f>
        <v>INDGWH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9">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INDGDPHELCN8</v>
      </c>
      <c r="E72" s="261" t="str">
        <f>"Industrial heating technology "&amp;$AJ$12&amp;" "&amp;RIGHT(H72,2)&amp;" - Electric boiler (Steam) - new 8"</f>
        <v>Industrial heating technology Glass &amp; Concrete PH - Electric boiler (Steam) - new 8</v>
      </c>
      <c r="F72" s="224" t="s">
        <v>1149</v>
      </c>
      <c r="G72" s="173" t="s">
        <v>499</v>
      </c>
      <c r="H72" s="174" t="str">
        <f>$AI$13</f>
        <v>IGDPH</v>
      </c>
      <c r="I72" s="174" t="str">
        <f t="shared" si="38"/>
        <v>INDGWH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40">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38"/>
        <v>INDGWH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1">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38"/>
        <v>INDGWH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2">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INDGDPHELCN8</v>
      </c>
      <c r="E75" s="261" t="str">
        <f>"Industrial heating technology "&amp;$AJ$12&amp;" "&amp;RIGHT(H75,2)&amp;" - Electric boiler (Steam) - new 8"</f>
        <v>Industrial heating technology Glass &amp; Concrete PH - Electric boiler (Steam) - new 8</v>
      </c>
      <c r="F75" s="224" t="s">
        <v>1149</v>
      </c>
      <c r="G75" s="173" t="s">
        <v>499</v>
      </c>
      <c r="H75" s="174" t="str">
        <f>$AI$14</f>
        <v>IGDPH</v>
      </c>
      <c r="I75" s="174" t="str">
        <f t="shared" si="38"/>
        <v>INDGWH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3">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38"/>
        <v>INDGWH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4">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38"/>
        <v>INDGWH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5">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INDGDSHELCN8</v>
      </c>
      <c r="E78" s="261" t="str">
        <f>"Industrial heating technology "&amp;$AJ$12&amp;" "&amp;RIGHT(H78,2)&amp;" - Electric boiler (Steam) - new 8"</f>
        <v>Industrial heating technology Glass &amp; Concrete SH - Electric boiler (Steam) - new 8</v>
      </c>
      <c r="F78" s="224" t="s">
        <v>1149</v>
      </c>
      <c r="G78" s="173" t="s">
        <v>499</v>
      </c>
      <c r="H78" s="174" t="str">
        <f>$AI$15</f>
        <v>IGDSH</v>
      </c>
      <c r="I78" s="174" t="str">
        <f t="shared" si="38"/>
        <v>INDGWH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6">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38"/>
        <v>INDGWH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7">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38"/>
        <v>INDGWH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8">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INDGDPHELCN9</v>
      </c>
      <c r="E81" s="707" t="str">
        <f>"Industrial heating technology "&amp;$AJ$12&amp;" "&amp;RIGHT(H81,2)&amp;" - Electric boiler (Hot Water) - new 9"</f>
        <v>Industrial heating technology Glass &amp; Concrete PH - Electric boiler (Hot Water) - new 9</v>
      </c>
      <c r="F81" s="224" t="s">
        <v>1149</v>
      </c>
      <c r="G81" s="708" t="s">
        <v>499</v>
      </c>
      <c r="H81" s="708" t="str">
        <f>$AI$14</f>
        <v>IGDPH</v>
      </c>
      <c r="I81" s="708" t="str">
        <f t="shared" si="38"/>
        <v>INDGWH</v>
      </c>
      <c r="J81" s="224">
        <f t="shared" si="32"/>
        <v>2011</v>
      </c>
      <c r="K81" s="299">
        <v>2020</v>
      </c>
      <c r="L81" s="199">
        <f t="shared" ref="L81:L86" ca="1" si="49">VLOOKUP($AD81,INDIRECT("'"&amp;$B81&amp;"'!"&amp;"$P$118:$AD$121"),3,FALSE)</f>
        <v>0.99</v>
      </c>
      <c r="M81" s="199"/>
      <c r="N81" s="81">
        <f ca="1">VLOOKUP($AD81,INDIRECT("'"&amp;$B81&amp;"'!"&amp;"$P$118:$AD$121"),5,FALSE)</f>
        <v>25</v>
      </c>
      <c r="O81" s="723">
        <f t="shared" ref="O81:O86" ca="1" si="50">VLOOKUP($AD81,INDIRECT("'"&amp;$B81&amp;"'!"&amp;"$P$118:$AD$121"),6,FALSE)/1000</f>
        <v>0.52150000000000007</v>
      </c>
      <c r="P81" s="723">
        <f t="shared" ref="P81:P86" ca="1" si="51">VLOOKUP($AD81,INDIRECT("'"&amp;$B81&amp;"'!"&amp;"$P$118:$AD$121"),7,FALSE)/1000</f>
        <v>7.9714999999999994E-3</v>
      </c>
      <c r="Q81" s="81">
        <f t="shared" ref="Q81:Q86" ca="1" si="52">VLOOKUP($AD81,INDIRECT("'"&amp;$B81&amp;"'!"&amp;"$P$118:$AD$121"),8,FALSE)</f>
        <v>1.7900694444444445</v>
      </c>
      <c r="R81" s="81">
        <v>3.1536000000000002E-2</v>
      </c>
      <c r="S81" s="199">
        <v>0.5</v>
      </c>
      <c r="T81" s="199">
        <f ca="1">HLOOKUP($T$2,INDIRECT("'"&amp;$B81&amp;"'!"&amp;"$P$85:$AC$98"),IF(H81=$AI$13,6,IF(H81=$AI$14,9,14)),FALSE)</f>
        <v>0</v>
      </c>
      <c r="U81" s="773"/>
      <c r="V81" s="199">
        <f t="shared" ref="V81" ca="1" si="53">IF(IF(RIGHT(H81,2)="PH",(1-L81)+$W$2,IF(RIGHT(H81,2)="HT",(1-L81)+$W$1,IF(RIGHT(H81,2)="SH",(1-L81)+$W$3,"")))&gt;0,IF(RIGHT(H81,2)="PH",(1-L81)+$W$2,IF(RIGHT(H81,2)="HT",(1-L81)+$W$1,IF(RIGHT(H81,2)="SH",(1-L81)+$W$3,""))),0)</f>
        <v>0.21000000000000002</v>
      </c>
      <c r="W81" s="709"/>
      <c r="X81" s="698">
        <f t="shared" ca="1" si="27"/>
        <v>0</v>
      </c>
      <c r="Y81" s="698">
        <f t="shared" ref="Y81:Y86" ca="1" si="54">VLOOKUP($AD81,INDIRECT("'"&amp;$B81&amp;"'!"&amp;"$P$118:$AD$121"),12,FALSE)</f>
        <v>0</v>
      </c>
      <c r="Z81" s="698">
        <f t="shared" ref="Z81:Z86" ca="1" si="55">VLOOKUP($AD81,INDIRECT("'"&amp;$B81&amp;"'!"&amp;"$P$118:$AD$121"),13,FALSE)</f>
        <v>0</v>
      </c>
      <c r="AA81" s="698">
        <f t="shared" ref="AA81:AA86" ca="1" si="56">VLOOKUP($AD81,INDIRECT("'"&amp;$B81&amp;"'!"&amp;"$P$118:$AD$121"),14,FALSE)</f>
        <v>0</v>
      </c>
      <c r="AB81" s="698">
        <f t="shared" ref="AB81:AB86" ca="1" si="57">VLOOKUP($AD81,INDIRECT("'"&amp;$B81&amp;"'!"&amp;"$P$118:$AD$121"),15,FALSE)</f>
        <v>0</v>
      </c>
      <c r="AC81" s="55"/>
      <c r="AD81" s="81">
        <v>2020</v>
      </c>
      <c r="AE81" s="81"/>
      <c r="AF81" s="700"/>
    </row>
    <row r="82" spans="1:33">
      <c r="B82" s="357" t="s">
        <v>1007</v>
      </c>
      <c r="C82" s="55"/>
      <c r="D82" s="261"/>
      <c r="E82" s="261"/>
      <c r="F82" s="224" t="s">
        <v>1149</v>
      </c>
      <c r="G82" s="55"/>
      <c r="H82" s="174"/>
      <c r="I82" s="174" t="str">
        <f t="shared" si="38"/>
        <v>INDGWH</v>
      </c>
      <c r="J82" s="224">
        <f t="shared" si="32"/>
        <v>2030</v>
      </c>
      <c r="K82" s="81"/>
      <c r="L82" s="199">
        <f t="shared" ca="1" si="49"/>
        <v>0.99</v>
      </c>
      <c r="M82" s="199"/>
      <c r="N82" s="81"/>
      <c r="O82" s="723">
        <f t="shared" ca="1" si="50"/>
        <v>0.44700000000000001</v>
      </c>
      <c r="P82" s="723">
        <f t="shared" ca="1" si="51"/>
        <v>7.5989999999999999E-3</v>
      </c>
      <c r="Q82" s="81">
        <f t="shared" ca="1" si="52"/>
        <v>1.8107638888888888</v>
      </c>
      <c r="R82" s="300"/>
      <c r="S82" s="300"/>
      <c r="T82" s="300"/>
      <c r="U82" s="300"/>
      <c r="V82" s="199">
        <f t="shared" ref="V82" ca="1" si="58">IF(IF(RIGHT(H81,2)="PH",(1-L82)+$W$2,IF(RIGHT(H81,2)="HT",(1-L82)+$W$1,IF(RIGHT(H81,2)="SH",(1-L82)+$W$3,"")))&gt;0,IF(RIGHT(H81,2)="PH",(1-L82)+$W$2,IF(RIGHT(H81,2)="HT",(1-L82)+$W$1,IF(RIGHT(H81,2)="SH",(1-L82)+$W$3,""))),0)</f>
        <v>0.21000000000000002</v>
      </c>
      <c r="W82" s="298"/>
      <c r="X82" s="698">
        <f t="shared" ca="1" si="27"/>
        <v>0</v>
      </c>
      <c r="Y82" s="698">
        <f t="shared" ca="1" si="54"/>
        <v>0</v>
      </c>
      <c r="Z82" s="698">
        <f t="shared" ca="1" si="55"/>
        <v>0</v>
      </c>
      <c r="AA82" s="698">
        <f t="shared" ca="1" si="56"/>
        <v>0</v>
      </c>
      <c r="AB82" s="698">
        <f t="shared" ca="1" si="57"/>
        <v>0</v>
      </c>
      <c r="AC82" s="55"/>
      <c r="AD82" s="81">
        <v>2030</v>
      </c>
      <c r="AE82" s="81"/>
      <c r="AF82" s="700"/>
    </row>
    <row r="83" spans="1:33">
      <c r="B83" s="357" t="s">
        <v>1007</v>
      </c>
      <c r="C83" s="55"/>
      <c r="D83" s="261"/>
      <c r="E83" s="261"/>
      <c r="F83" s="224" t="s">
        <v>1149</v>
      </c>
      <c r="G83" s="55"/>
      <c r="H83" s="174"/>
      <c r="I83" s="174" t="str">
        <f t="shared" si="38"/>
        <v>INDGWH</v>
      </c>
      <c r="J83" s="224">
        <f t="shared" si="32"/>
        <v>2050</v>
      </c>
      <c r="K83" s="81"/>
      <c r="L83" s="199">
        <f t="shared" ca="1" si="49"/>
        <v>0.99</v>
      </c>
      <c r="M83" s="199"/>
      <c r="N83" s="81"/>
      <c r="O83" s="723">
        <f t="shared" ca="1" si="50"/>
        <v>0.44700000000000001</v>
      </c>
      <c r="P83" s="723">
        <f t="shared" ca="1" si="51"/>
        <v>6.8539999999999998E-3</v>
      </c>
      <c r="Q83" s="81">
        <f t="shared" ca="1" si="52"/>
        <v>1.6141666666666665</v>
      </c>
      <c r="R83" s="300"/>
      <c r="S83" s="300"/>
      <c r="T83" s="300"/>
      <c r="U83" s="300"/>
      <c r="V83" s="199">
        <f t="shared" ref="V83" ca="1" si="59">IF(IF(RIGHT(H81,2)="PH",(1-L83)+$W$2,IF(RIGHT(H81,2)="HT",(1-L83)+$W$1,IF(RIGHT(H81,2)="SH",(1-L83)+$W$3,"")))&gt;0,IF(RIGHT(H81,2)="PH",(1-L83)+$W$2,IF(RIGHT(H81,2)="HT",(1-L83)+$W$1,IF(RIGHT(H81,2)="SH",(1-L83)+$W$3,""))),0)</f>
        <v>0.21000000000000002</v>
      </c>
      <c r="W83" s="298"/>
      <c r="X83" s="698">
        <f t="shared" ca="1" si="27"/>
        <v>0</v>
      </c>
      <c r="Y83" s="698">
        <f t="shared" ca="1" si="54"/>
        <v>0</v>
      </c>
      <c r="Z83" s="698">
        <f t="shared" ca="1" si="55"/>
        <v>0</v>
      </c>
      <c r="AA83" s="698">
        <f t="shared" ca="1" si="56"/>
        <v>0</v>
      </c>
      <c r="AB83" s="698">
        <f t="shared" ca="1" si="57"/>
        <v>0</v>
      </c>
      <c r="AC83" s="203"/>
      <c r="AD83" s="81">
        <v>2050</v>
      </c>
      <c r="AE83" s="81"/>
      <c r="AF83" s="705"/>
    </row>
    <row r="84" spans="1:33">
      <c r="B84" s="357" t="s">
        <v>1007</v>
      </c>
      <c r="C84" s="55"/>
      <c r="D84" s="261" t="str">
        <f>"IND"&amp;RIGHT(H84,4)&amp;RIGHT(G84,3)&amp;"N"&amp;RIGHT(E84,1)</f>
        <v>INDGDSHELCN9</v>
      </c>
      <c r="E84" s="261" t="str">
        <f>"Industrial heating technology "&amp;$AJ$12&amp;" "&amp;RIGHT(H84,2)&amp;" - Electric boiler (Hot Water) - new 9"</f>
        <v>Industrial heating technology Glass &amp; Concrete SH - Electric boiler (Hot Water) - new 9</v>
      </c>
      <c r="F84" s="224" t="s">
        <v>1149</v>
      </c>
      <c r="G84" s="174" t="s">
        <v>499</v>
      </c>
      <c r="H84" s="174" t="str">
        <f>$AI$15</f>
        <v>IGDSH</v>
      </c>
      <c r="I84" s="174" t="str">
        <f t="shared" si="38"/>
        <v>INDGWH</v>
      </c>
      <c r="J84" s="224">
        <f t="shared" si="32"/>
        <v>2011</v>
      </c>
      <c r="K84" s="299">
        <v>2020</v>
      </c>
      <c r="L84" s="199">
        <f t="shared" ca="1" si="49"/>
        <v>0.99</v>
      </c>
      <c r="M84" s="199"/>
      <c r="N84" s="81">
        <f ca="1">VLOOKUP($AD84,INDIRECT("'"&amp;$B84&amp;"'!"&amp;"$P$118:$AD$121"),5,FALSE)</f>
        <v>25</v>
      </c>
      <c r="O84" s="723">
        <f t="shared" ca="1" si="50"/>
        <v>0.52150000000000007</v>
      </c>
      <c r="P84" s="723">
        <f t="shared" ca="1" si="51"/>
        <v>7.9714999999999994E-3</v>
      </c>
      <c r="Q84" s="81">
        <f t="shared" ca="1" si="52"/>
        <v>1.7900694444444445</v>
      </c>
      <c r="R84" s="81">
        <v>3.1536000000000002E-2</v>
      </c>
      <c r="S84" s="199">
        <v>0.5</v>
      </c>
      <c r="T84" s="199">
        <f ca="1">HLOOKUP($T$2,INDIRECT("'"&amp;$B84&amp;"'!"&amp;"$P$85:$AC$98"),IF(H84=$AI$13,6,IF(H84=$AI$14,9,14)),FALSE)</f>
        <v>1</v>
      </c>
      <c r="U84" s="772"/>
      <c r="V84" s="199">
        <f t="shared" ref="V84" ca="1" si="60">IF(IF(RIGHT(H84,2)="PH",(1-L84)+$W$2,IF(RIGHT(H84,2)="HT",(1-L84)+$W$1,IF(RIGHT(H84,2)="SH",(1-L84)+$W$3,"")))&gt;0,IF(RIGHT(H84,2)="PH",(1-L84)+$W$2,IF(RIGHT(H84,2)="HT",(1-L84)+$W$1,IF(RIGHT(H84,2)="SH",(1-L84)+$W$3,""))),0)</f>
        <v>1.0000000000000009E-2</v>
      </c>
      <c r="W84" s="298"/>
      <c r="X84" s="698">
        <f t="shared" ca="1" si="27"/>
        <v>0</v>
      </c>
      <c r="Y84" s="698">
        <f t="shared" ca="1" si="54"/>
        <v>0</v>
      </c>
      <c r="Z84" s="698">
        <f t="shared" ca="1" si="55"/>
        <v>0</v>
      </c>
      <c r="AA84" s="698">
        <f t="shared" ca="1" si="56"/>
        <v>0</v>
      </c>
      <c r="AB84" s="698">
        <f t="shared" ca="1" si="57"/>
        <v>0</v>
      </c>
      <c r="AD84" s="81">
        <v>2020</v>
      </c>
      <c r="AE84" s="299"/>
      <c r="AF84" s="220"/>
    </row>
    <row r="85" spans="1:33">
      <c r="B85" s="357" t="s">
        <v>1007</v>
      </c>
      <c r="C85" s="55"/>
      <c r="D85" s="261"/>
      <c r="E85" s="261"/>
      <c r="F85" s="224" t="s">
        <v>1149</v>
      </c>
      <c r="G85" s="55"/>
      <c r="H85" s="174"/>
      <c r="I85" s="174" t="str">
        <f t="shared" si="38"/>
        <v>INDGWH</v>
      </c>
      <c r="J85" s="224">
        <f t="shared" si="32"/>
        <v>2030</v>
      </c>
      <c r="K85" s="81"/>
      <c r="L85" s="199">
        <f t="shared" ca="1" si="49"/>
        <v>0.99</v>
      </c>
      <c r="M85" s="199"/>
      <c r="N85" s="81"/>
      <c r="O85" s="723">
        <f t="shared" ca="1" si="50"/>
        <v>0.44700000000000001</v>
      </c>
      <c r="P85" s="723">
        <f t="shared" ca="1" si="51"/>
        <v>7.5989999999999999E-3</v>
      </c>
      <c r="Q85" s="81">
        <f t="shared" ca="1" si="52"/>
        <v>1.8107638888888888</v>
      </c>
      <c r="R85" s="300"/>
      <c r="S85" s="300"/>
      <c r="T85" s="300"/>
      <c r="U85" s="300"/>
      <c r="V85" s="199">
        <f t="shared" ref="V85" ca="1" si="61">IF(IF(RIGHT(H84,2)="PH",(1-L85)+$W$2,IF(RIGHT(H84,2)="HT",(1-L85)+$W$1,IF(RIGHT(H84,2)="SH",(1-L85)+$W$3,"")))&gt;0,IF(RIGHT(H84,2)="PH",(1-L85)+$W$2,IF(RIGHT(H84,2)="HT",(1-L85)+$W$1,IF(RIGHT(H84,2)="SH",(1-L85)+$W$3,""))),0)</f>
        <v>1.0000000000000009E-2</v>
      </c>
      <c r="W85" s="298"/>
      <c r="X85" s="698">
        <f t="shared" ca="1" si="27"/>
        <v>0</v>
      </c>
      <c r="Y85" s="698">
        <f t="shared" ca="1" si="54"/>
        <v>0</v>
      </c>
      <c r="Z85" s="698">
        <f t="shared" ca="1" si="55"/>
        <v>0</v>
      </c>
      <c r="AA85" s="698">
        <f t="shared" ca="1" si="56"/>
        <v>0</v>
      </c>
      <c r="AB85" s="698">
        <f t="shared" ca="1" si="57"/>
        <v>0</v>
      </c>
      <c r="AD85" s="81">
        <v>2030</v>
      </c>
      <c r="AE85" s="81"/>
      <c r="AF85" s="220"/>
    </row>
    <row r="86" spans="1:33">
      <c r="B86" s="356" t="s">
        <v>1007</v>
      </c>
      <c r="C86" s="203"/>
      <c r="D86" s="701"/>
      <c r="E86" s="701"/>
      <c r="F86" s="224" t="s">
        <v>1149</v>
      </c>
      <c r="G86" s="203"/>
      <c r="H86" s="702"/>
      <c r="I86" s="702" t="str">
        <f t="shared" si="38"/>
        <v>INDGWH</v>
      </c>
      <c r="J86" s="224">
        <f t="shared" si="32"/>
        <v>2050</v>
      </c>
      <c r="K86" s="81"/>
      <c r="L86" s="199">
        <f t="shared" ca="1" si="49"/>
        <v>0.99</v>
      </c>
      <c r="M86" s="199"/>
      <c r="N86" s="81"/>
      <c r="O86" s="723">
        <f t="shared" ca="1" si="50"/>
        <v>0.44700000000000001</v>
      </c>
      <c r="P86" s="723">
        <f t="shared" ca="1" si="51"/>
        <v>6.8539999999999998E-3</v>
      </c>
      <c r="Q86" s="81">
        <f t="shared" ca="1" si="52"/>
        <v>1.6141666666666665</v>
      </c>
      <c r="R86" s="703"/>
      <c r="S86" s="703"/>
      <c r="T86" s="703"/>
      <c r="U86" s="703"/>
      <c r="V86" s="199">
        <f t="shared" ref="V86" ca="1" si="62">IF(IF(RIGHT(H84,2)="PH",(1-L86)+$W$2,IF(RIGHT(H84,2)="HT",(1-L86)+$W$1,IF(RIGHT(H84,2)="SH",(1-L86)+$W$3,"")))&gt;0,IF(RIGHT(H84,2)="PH",(1-L86)+$W$2,IF(RIGHT(H84,2)="HT",(1-L86)+$W$1,IF(RIGHT(H84,2)="SH",(1-L86)+$W$3,""))),0)</f>
        <v>1.0000000000000009E-2</v>
      </c>
      <c r="W86" s="704"/>
      <c r="X86" s="698">
        <f t="shared" ca="1" si="27"/>
        <v>0</v>
      </c>
      <c r="Y86" s="698">
        <f t="shared" ca="1" si="54"/>
        <v>0</v>
      </c>
      <c r="Z86" s="698">
        <f t="shared" ca="1" si="55"/>
        <v>0</v>
      </c>
      <c r="AA86" s="698">
        <f t="shared" ca="1" si="56"/>
        <v>0</v>
      </c>
      <c r="AB86" s="698">
        <f t="shared" ca="1" si="57"/>
        <v>0</v>
      </c>
      <c r="AD86" s="81">
        <v>2050</v>
      </c>
      <c r="AE86" s="81"/>
      <c r="AF86" s="220"/>
    </row>
    <row r="87" spans="1:33">
      <c r="B87" s="357" t="s">
        <v>1008</v>
      </c>
      <c r="D87" s="212" t="str">
        <f>"IND"&amp;RIGHT(H87,4)&amp;RIGHT(G87,3)&amp;"N"&amp;RIGHT(E87,1)</f>
        <v>INDGDPHWCHN1</v>
      </c>
      <c r="E87" s="261" t="str">
        <f>"Industrial heating technology "&amp;$AJ$12&amp;" "&amp;RIGHT(H87,2)&amp;" - Wood chip boiler (Steam) - new 1"</f>
        <v>Industrial heating technology Glass &amp; Concrete PH - Wood chip boiler (Steam) - new 1</v>
      </c>
      <c r="F87" s="224" t="s">
        <v>1149</v>
      </c>
      <c r="G87" s="173" t="s">
        <v>498</v>
      </c>
      <c r="H87" s="174" t="str">
        <f>$AI$13</f>
        <v>IGDPH</v>
      </c>
      <c r="I87" s="174" t="str">
        <f t="shared" si="38"/>
        <v>INDGWH</v>
      </c>
      <c r="J87" s="224">
        <f t="shared" si="32"/>
        <v>2011</v>
      </c>
      <c r="K87" s="299">
        <v>2025</v>
      </c>
      <c r="L87" s="199">
        <f t="shared" ref="L87:L95" ca="1" si="63">VLOOKUP($AD87,INDIRECT("'"&amp;$B87&amp;"'!"&amp;"$P$39:$AD$42"),3,FALSE)</f>
        <v>0.89</v>
      </c>
      <c r="M87" s="699"/>
      <c r="N87" s="299">
        <f ca="1">VLOOKUP($AD87,INDIRECT("'"&amp;$B87&amp;"'!"&amp;"$P$39:$AD$42"),5,FALSE)</f>
        <v>25</v>
      </c>
      <c r="O87" s="725">
        <f t="shared" ref="O87:O95" ca="1" si="64">VLOOKUP($AD87,INDIRECT("'"&amp;$B87&amp;"'!"&amp;"$P$39:$AD$42"),6,FALSE)/1000</f>
        <v>4.6054545454545455</v>
      </c>
      <c r="P87" s="725">
        <f t="shared" ref="P87:P95" ca="1" si="65">VLOOKUP($AD87,INDIRECT("'"&amp;$B87&amp;"'!"&amp;"$P$39:$AD$42"),7,FALSE)/1000</f>
        <v>0.25106499999999998</v>
      </c>
      <c r="Q87" s="299">
        <f t="shared" ref="Q87:Q95" ca="1" si="66">VLOOKUP($AD87,INDIRECT("'"&amp;$B87&amp;"'!"&amp;"$P$39:$AD$42"),8,FALSE)</f>
        <v>5.7509861111111107</v>
      </c>
      <c r="R87" s="299">
        <v>3.1536000000000002E-2</v>
      </c>
      <c r="S87" s="699">
        <v>0.5</v>
      </c>
      <c r="T87" s="699">
        <f ca="1">HLOOKUP($T$2,INDIRECT("'"&amp;$B87&amp;"'!"&amp;"$P$6:$AC$19"),IF(H87=$AI$13,6,IF(H87=$AI$14,9,14)),FALSE)</f>
        <v>1</v>
      </c>
      <c r="U87" s="772"/>
      <c r="V87" s="199">
        <f t="shared" ref="V87" ca="1" si="67">IF(IF(RIGHT(H87,2)="PH",(1-L87)+$W$2,IF(RIGHT(H87,2)="HT",(1-L87)+$W$1,IF(RIGHT(H87,2)="SH",(1-L87)+$W$3,"")))&gt;0,IF(RIGHT(H87,2)="PH",(1-L87)+$W$2,IF(RIGHT(H87,2)="HT",(1-L87)+$W$1,IF(RIGHT(H87,2)="SH",(1-L87)+$W$3,""))),0)</f>
        <v>0.31</v>
      </c>
      <c r="W87" s="298"/>
      <c r="X87" s="698">
        <f t="shared" ca="1" si="27"/>
        <v>11</v>
      </c>
      <c r="Y87" s="299">
        <f t="shared" ref="Y87:Y95" ca="1" si="68">VLOOKUP($AD87,INDIRECT("'"&amp;$B87&amp;"'!"&amp;"$P$39:$AD$42"),12,FALSE)</f>
        <v>63</v>
      </c>
      <c r="Z87" s="299">
        <f t="shared" ref="Z87:Z95" ca="1" si="69">VLOOKUP($AD87,INDIRECT("'"&amp;$B87&amp;"'!"&amp;"$P$39:$AD$42"),13,FALSE)</f>
        <v>11</v>
      </c>
      <c r="AA87" s="299">
        <f t="shared" ref="AA87:AA95" ca="1" si="70">VLOOKUP($AD87,INDIRECT("'"&amp;$B87&amp;"'!"&amp;"$P$39:$AD$42"),14,FALSE)</f>
        <v>3</v>
      </c>
      <c r="AB87" s="299">
        <f t="shared" ref="AB87:AB95" ca="1" si="71">VLOOKUP($AD87,INDIRECT("'"&amp;$B87&amp;"'!"&amp;"$P$39:$AD$42"),15,FALSE)</f>
        <v>10</v>
      </c>
      <c r="AD87" s="299">
        <v>2020</v>
      </c>
      <c r="AE87" s="81"/>
      <c r="AF87" s="220"/>
    </row>
    <row r="88" spans="1:33">
      <c r="B88" s="357" t="s">
        <v>1008</v>
      </c>
      <c r="D88" s="212"/>
      <c r="E88" s="212"/>
      <c r="F88" s="224" t="s">
        <v>1149</v>
      </c>
      <c r="H88" s="174"/>
      <c r="I88" s="174" t="str">
        <f t="shared" si="38"/>
        <v>INDGWH</v>
      </c>
      <c r="J88" s="224">
        <f t="shared" si="32"/>
        <v>2030</v>
      </c>
      <c r="K88" s="81"/>
      <c r="L88" s="199">
        <f t="shared" ca="1" si="63"/>
        <v>0.89</v>
      </c>
      <c r="M88" s="199"/>
      <c r="N88" s="81"/>
      <c r="O88" s="723">
        <f t="shared" ca="1" si="64"/>
        <v>4.4022727272727264</v>
      </c>
      <c r="P88" s="723">
        <f t="shared" ca="1" si="65"/>
        <v>0.267455</v>
      </c>
      <c r="Q88" s="81">
        <f t="shared" ca="1" si="66"/>
        <v>5.8461805555555557</v>
      </c>
      <c r="R88" s="300"/>
      <c r="S88" s="300"/>
      <c r="T88" s="300"/>
      <c r="U88" s="300"/>
      <c r="V88" s="199">
        <f t="shared" ref="V88" ca="1" si="72">IF(IF(RIGHT(H87,2)="PH",(1-L88)+$W$2,IF(RIGHT(H87,2)="HT",(1-L88)+$W$1,IF(RIGHT(H87,2)="SH",(1-L88)+$W$3,"")))&gt;0,IF(RIGHT(H87,2)="PH",(1-L88)+$W$2,IF(RIGHT(H87,2)="HT",(1-L88)+$W$1,IF(RIGHT(H87,2)="SH",(1-L88)+$W$3,""))),0)</f>
        <v>0.31</v>
      </c>
      <c r="W88" s="298"/>
      <c r="X88" s="698">
        <f t="shared" ca="1" si="27"/>
        <v>11</v>
      </c>
      <c r="Y88" s="81">
        <f t="shared" ca="1" si="68"/>
        <v>49</v>
      </c>
      <c r="Z88" s="81">
        <f t="shared" ca="1" si="69"/>
        <v>8</v>
      </c>
      <c r="AA88" s="81">
        <f t="shared" ca="1" si="70"/>
        <v>3</v>
      </c>
      <c r="AB88" s="81">
        <f t="shared" ca="1" si="71"/>
        <v>10</v>
      </c>
      <c r="AD88" s="81">
        <v>2030</v>
      </c>
      <c r="AE88" s="81"/>
      <c r="AF88" s="220"/>
    </row>
    <row r="89" spans="1:33">
      <c r="B89" s="357" t="s">
        <v>1008</v>
      </c>
      <c r="D89" s="212"/>
      <c r="E89" s="212"/>
      <c r="F89" s="224" t="s">
        <v>1149</v>
      </c>
      <c r="H89" s="174"/>
      <c r="I89" s="174" t="str">
        <f t="shared" si="38"/>
        <v>INDGWH</v>
      </c>
      <c r="J89" s="224">
        <f t="shared" si="32"/>
        <v>2050</v>
      </c>
      <c r="K89" s="81"/>
      <c r="L89" s="199">
        <f t="shared" ca="1" si="63"/>
        <v>0.9</v>
      </c>
      <c r="M89" s="199"/>
      <c r="N89" s="81"/>
      <c r="O89" s="723">
        <f t="shared" ca="1" si="64"/>
        <v>3.9959090909090902</v>
      </c>
      <c r="P89" s="723">
        <f t="shared" ca="1" si="65"/>
        <v>0.25106499999999998</v>
      </c>
      <c r="Q89" s="81">
        <f t="shared" ca="1" si="66"/>
        <v>5.8937777777777782</v>
      </c>
      <c r="R89" s="300"/>
      <c r="S89" s="300"/>
      <c r="T89" s="300"/>
      <c r="U89" s="300"/>
      <c r="V89" s="199">
        <f t="shared" ref="V89" ca="1" si="73">IF(IF(RIGHT(H87,2)="PH",(1-L89)+$W$2,IF(RIGHT(H87,2)="HT",(1-L89)+$W$1,IF(RIGHT(H87,2)="SH",(1-L89)+$W$3,"")))&gt;0,IF(RIGHT(H87,2)="PH",(1-L89)+$W$2,IF(RIGHT(H87,2)="HT",(1-L89)+$W$1,IF(RIGHT(H87,2)="SH",(1-L89)+$W$3,""))),0)</f>
        <v>0.3</v>
      </c>
      <c r="W89" s="298"/>
      <c r="X89" s="698">
        <f t="shared" ca="1" si="27"/>
        <v>11</v>
      </c>
      <c r="Y89" s="81">
        <f t="shared" ca="1" si="68"/>
        <v>41</v>
      </c>
      <c r="Z89" s="81">
        <f t="shared" ca="1" si="69"/>
        <v>4</v>
      </c>
      <c r="AA89" s="81">
        <f t="shared" ca="1" si="70"/>
        <v>1</v>
      </c>
      <c r="AB89" s="81">
        <f t="shared" ca="1" si="71"/>
        <v>10</v>
      </c>
      <c r="AD89" s="81">
        <v>2050</v>
      </c>
      <c r="AE89" s="81"/>
      <c r="AF89" s="220"/>
    </row>
    <row r="90" spans="1:33" s="226" customFormat="1">
      <c r="A90" s="224"/>
      <c r="B90" s="357" t="s">
        <v>1008</v>
      </c>
      <c r="C90" s="224"/>
      <c r="D90" s="212" t="str">
        <f>"IND"&amp;RIGHT(H90,4)&amp;RIGHT(G90,3)&amp;"N"&amp;RIGHT(E90,1)</f>
        <v>INDGDPHWCHN1</v>
      </c>
      <c r="E90" s="261" t="str">
        <f>"Industrial heating technology "&amp;$AJ$12&amp;" "&amp;RIGHT(H90,2)&amp;" - Wood chip boiler (Steam) - new 1"</f>
        <v>Industrial heating technology Glass &amp; Concrete PH - Wood chip boiler (Steam) - new 1</v>
      </c>
      <c r="F90" s="224" t="s">
        <v>1149</v>
      </c>
      <c r="G90" s="173" t="s">
        <v>498</v>
      </c>
      <c r="H90" s="174" t="str">
        <f>$AI$14</f>
        <v>IGDPH</v>
      </c>
      <c r="I90" s="174" t="str">
        <f t="shared" si="38"/>
        <v>INDGWH</v>
      </c>
      <c r="J90" s="224">
        <f t="shared" si="32"/>
        <v>2011</v>
      </c>
      <c r="K90" s="299">
        <v>2025</v>
      </c>
      <c r="L90" s="199">
        <f t="shared" ca="1" si="63"/>
        <v>0.89</v>
      </c>
      <c r="M90" s="199"/>
      <c r="N90" s="81">
        <f ca="1">VLOOKUP($AD90,INDIRECT("'"&amp;$B90&amp;"'!"&amp;"$P$39:$AD$42"),5,FALSE)</f>
        <v>25</v>
      </c>
      <c r="O90" s="723">
        <f t="shared" ca="1" si="64"/>
        <v>4.6054545454545455</v>
      </c>
      <c r="P90" s="723">
        <f t="shared" ca="1" si="65"/>
        <v>0.25106499999999998</v>
      </c>
      <c r="Q90" s="81">
        <f t="shared" ca="1" si="66"/>
        <v>5.7509861111111107</v>
      </c>
      <c r="R90" s="81">
        <v>3.1536000000000002E-2</v>
      </c>
      <c r="S90" s="199">
        <v>0.5</v>
      </c>
      <c r="T90" s="199">
        <f ca="1">HLOOKUP($T$2,INDIRECT("'"&amp;$B90&amp;"'!"&amp;"$P$6:$AC$19"),IF(H90=$AI$13,6,IF(H90=$AI$14,9,14)),FALSE)</f>
        <v>1</v>
      </c>
      <c r="U90" s="772"/>
      <c r="V90" s="199">
        <f t="shared" ref="V90" ca="1" si="74">IF(IF(RIGHT(H90,2)="PH",(1-L90)+$W$2,IF(RIGHT(H90,2)="HT",(1-L90)+$W$1,IF(RIGHT(H90,2)="SH",(1-L90)+$W$3,"")))&gt;0,IF(RIGHT(H90,2)="PH",(1-L90)+$W$2,IF(RIGHT(H90,2)="HT",(1-L90)+$W$1,IF(RIGHT(H90,2)="SH",(1-L90)+$W$3,""))),0)</f>
        <v>0.31</v>
      </c>
      <c r="W90" s="298"/>
      <c r="X90" s="698">
        <f t="shared" ca="1" si="27"/>
        <v>11</v>
      </c>
      <c r="Y90" s="81">
        <f t="shared" ca="1" si="68"/>
        <v>63</v>
      </c>
      <c r="Z90" s="81">
        <f t="shared" ca="1" si="69"/>
        <v>11</v>
      </c>
      <c r="AA90" s="81">
        <f t="shared" ca="1" si="70"/>
        <v>3</v>
      </c>
      <c r="AB90" s="81">
        <f t="shared" ca="1" si="71"/>
        <v>10</v>
      </c>
      <c r="AC90" s="224"/>
      <c r="AD90" s="81">
        <v>2020</v>
      </c>
      <c r="AE90" s="81"/>
      <c r="AF90" s="220"/>
      <c r="AG90" s="224"/>
    </row>
    <row r="91" spans="1:33" s="226" customFormat="1">
      <c r="A91" s="224"/>
      <c r="B91" s="357" t="s">
        <v>1008</v>
      </c>
      <c r="C91" s="224"/>
      <c r="D91" s="212"/>
      <c r="E91" s="212"/>
      <c r="F91" s="224" t="s">
        <v>1149</v>
      </c>
      <c r="G91" s="224"/>
      <c r="H91" s="174"/>
      <c r="I91" s="174" t="str">
        <f t="shared" si="38"/>
        <v>INDGWH</v>
      </c>
      <c r="J91" s="224">
        <f t="shared" si="32"/>
        <v>2030</v>
      </c>
      <c r="K91" s="81"/>
      <c r="L91" s="199">
        <f t="shared" ca="1" si="63"/>
        <v>0.89</v>
      </c>
      <c r="M91" s="199"/>
      <c r="N91" s="81"/>
      <c r="O91" s="723">
        <f t="shared" ca="1" si="64"/>
        <v>4.4022727272727264</v>
      </c>
      <c r="P91" s="723">
        <f t="shared" ca="1" si="65"/>
        <v>0.267455</v>
      </c>
      <c r="Q91" s="81">
        <f t="shared" ca="1" si="66"/>
        <v>5.8461805555555557</v>
      </c>
      <c r="R91" s="300"/>
      <c r="S91" s="300"/>
      <c r="T91" s="300"/>
      <c r="U91" s="300"/>
      <c r="V91" s="199">
        <f t="shared" ref="V91" ca="1" si="75">IF(IF(RIGHT(H90,2)="PH",(1-L91)+$W$2,IF(RIGHT(H90,2)="HT",(1-L91)+$W$1,IF(RIGHT(H90,2)="SH",(1-L91)+$W$3,"")))&gt;0,IF(RIGHT(H90,2)="PH",(1-L91)+$W$2,IF(RIGHT(H90,2)="HT",(1-L91)+$W$1,IF(RIGHT(H90,2)="SH",(1-L91)+$W$3,""))),0)</f>
        <v>0.31</v>
      </c>
      <c r="W91" s="298"/>
      <c r="X91" s="698">
        <f t="shared" ca="1" si="27"/>
        <v>11</v>
      </c>
      <c r="Y91" s="81">
        <f t="shared" ca="1" si="68"/>
        <v>49</v>
      </c>
      <c r="Z91" s="81">
        <f t="shared" ca="1" si="69"/>
        <v>8</v>
      </c>
      <c r="AA91" s="81">
        <f t="shared" ca="1" si="70"/>
        <v>3</v>
      </c>
      <c r="AB91" s="81">
        <f t="shared" ca="1" si="71"/>
        <v>10</v>
      </c>
      <c r="AC91" s="224"/>
      <c r="AD91" s="81">
        <v>2030</v>
      </c>
      <c r="AE91" s="81"/>
      <c r="AF91" s="220"/>
    </row>
    <row r="92" spans="1:33" s="226" customFormat="1">
      <c r="A92" s="224"/>
      <c r="B92" s="357" t="s">
        <v>1008</v>
      </c>
      <c r="C92" s="224"/>
      <c r="D92" s="212"/>
      <c r="E92" s="212"/>
      <c r="F92" s="224" t="s">
        <v>1149</v>
      </c>
      <c r="G92" s="224"/>
      <c r="H92" s="174"/>
      <c r="I92" s="174" t="str">
        <f t="shared" si="38"/>
        <v>INDGWH</v>
      </c>
      <c r="J92" s="224">
        <f t="shared" si="32"/>
        <v>2050</v>
      </c>
      <c r="K92" s="81"/>
      <c r="L92" s="199">
        <f t="shared" ca="1" si="63"/>
        <v>0.9</v>
      </c>
      <c r="M92" s="199"/>
      <c r="N92" s="81"/>
      <c r="O92" s="723">
        <f t="shared" ca="1" si="64"/>
        <v>3.9959090909090902</v>
      </c>
      <c r="P92" s="723">
        <f t="shared" ca="1" si="65"/>
        <v>0.25106499999999998</v>
      </c>
      <c r="Q92" s="81">
        <f t="shared" ca="1" si="66"/>
        <v>5.8937777777777782</v>
      </c>
      <c r="R92" s="300"/>
      <c r="S92" s="300"/>
      <c r="T92" s="300"/>
      <c r="U92" s="300"/>
      <c r="V92" s="199">
        <f t="shared" ref="V92" ca="1" si="76">IF(IF(RIGHT(H90,2)="PH",(1-L92)+$W$2,IF(RIGHT(H90,2)="HT",(1-L92)+$W$1,IF(RIGHT(H90,2)="SH",(1-L92)+$W$3,"")))&gt;0,IF(RIGHT(H90,2)="PH",(1-L92)+$W$2,IF(RIGHT(H90,2)="HT",(1-L92)+$W$1,IF(RIGHT(H90,2)="SH",(1-L92)+$W$3,""))),0)</f>
        <v>0.3</v>
      </c>
      <c r="W92" s="298"/>
      <c r="X92" s="698">
        <f t="shared" ca="1" si="27"/>
        <v>11</v>
      </c>
      <c r="Y92" s="81">
        <f t="shared" ca="1" si="68"/>
        <v>41</v>
      </c>
      <c r="Z92" s="81">
        <f t="shared" ca="1" si="69"/>
        <v>4</v>
      </c>
      <c r="AA92" s="81">
        <f t="shared" ca="1" si="70"/>
        <v>1</v>
      </c>
      <c r="AB92" s="81">
        <f t="shared" ca="1" si="71"/>
        <v>10</v>
      </c>
      <c r="AC92" s="224"/>
      <c r="AD92" s="81">
        <v>2050</v>
      </c>
      <c r="AE92" s="706"/>
      <c r="AF92" s="220"/>
    </row>
    <row r="93" spans="1:33" s="226" customFormat="1">
      <c r="A93" s="224"/>
      <c r="B93" s="357" t="s">
        <v>1008</v>
      </c>
      <c r="C93" s="224"/>
      <c r="D93" s="212" t="str">
        <f>"IND"&amp;RIGHT(H93,4)&amp;RIGHT(G93,3)&amp;"N"&amp;RIGHT(E93,1)</f>
        <v>INDGDSHWCHN1</v>
      </c>
      <c r="E93" s="261" t="str">
        <f>"Industrial heating technology "&amp;$AJ$12&amp;" "&amp;RIGHT(H93,2)&amp;" - Wood chip boiler (Steam) - new 1"</f>
        <v>Industrial heating technology Glass &amp; Concrete SH - Wood chip boiler (Steam) - new 1</v>
      </c>
      <c r="F93" s="224" t="s">
        <v>1149</v>
      </c>
      <c r="G93" s="173" t="s">
        <v>498</v>
      </c>
      <c r="H93" s="174" t="str">
        <f>$AI$15</f>
        <v>IGDSH</v>
      </c>
      <c r="I93" s="174" t="str">
        <f t="shared" si="38"/>
        <v>INDGWH</v>
      </c>
      <c r="J93" s="224">
        <f t="shared" si="32"/>
        <v>2011</v>
      </c>
      <c r="K93" s="299">
        <v>2025</v>
      </c>
      <c r="L93" s="199">
        <f t="shared" ca="1" si="63"/>
        <v>0.89</v>
      </c>
      <c r="M93" s="199"/>
      <c r="N93" s="81">
        <f ca="1">VLOOKUP($AD93,INDIRECT("'"&amp;$B93&amp;"'!"&amp;"$P$39:$AD$42"),5,FALSE)</f>
        <v>25</v>
      </c>
      <c r="O93" s="723">
        <f t="shared" ca="1" si="64"/>
        <v>4.6054545454545455</v>
      </c>
      <c r="P93" s="723">
        <f t="shared" ca="1" si="65"/>
        <v>0.25106499999999998</v>
      </c>
      <c r="Q93" s="81">
        <f t="shared" ca="1" si="66"/>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8"/>
        <v>63</v>
      </c>
      <c r="Z93" s="81">
        <f t="shared" ca="1" si="69"/>
        <v>11</v>
      </c>
      <c r="AA93" s="81">
        <f t="shared" ca="1" si="70"/>
        <v>3</v>
      </c>
      <c r="AB93" s="81">
        <f t="shared" ca="1" si="71"/>
        <v>10</v>
      </c>
      <c r="AC93" s="296"/>
      <c r="AD93" s="81">
        <v>2020</v>
      </c>
      <c r="AE93" s="81"/>
      <c r="AF93" s="710"/>
    </row>
    <row r="94" spans="1:33" s="226" customFormat="1">
      <c r="A94" s="224"/>
      <c r="B94" s="357" t="s">
        <v>1008</v>
      </c>
      <c r="C94" s="224"/>
      <c r="D94" s="212"/>
      <c r="E94" s="212"/>
      <c r="F94" s="224" t="s">
        <v>1149</v>
      </c>
      <c r="G94" s="224"/>
      <c r="H94" s="174"/>
      <c r="I94" s="174" t="str">
        <f t="shared" si="38"/>
        <v>INDGWH</v>
      </c>
      <c r="J94" s="224">
        <f t="shared" si="32"/>
        <v>2030</v>
      </c>
      <c r="K94" s="81"/>
      <c r="L94" s="199">
        <f t="shared" ca="1" si="63"/>
        <v>0.89</v>
      </c>
      <c r="M94" s="199"/>
      <c r="N94" s="81"/>
      <c r="O94" s="723">
        <f t="shared" ca="1" si="64"/>
        <v>4.4022727272727264</v>
      </c>
      <c r="P94" s="723">
        <f t="shared" ca="1" si="65"/>
        <v>0.267455</v>
      </c>
      <c r="Q94" s="81">
        <f t="shared" ca="1" si="66"/>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8"/>
        <v>49</v>
      </c>
      <c r="Z94" s="81">
        <f t="shared" ca="1" si="69"/>
        <v>8</v>
      </c>
      <c r="AA94" s="81">
        <f t="shared" ca="1" si="70"/>
        <v>3</v>
      </c>
      <c r="AB94" s="81">
        <f t="shared" ca="1" si="71"/>
        <v>10</v>
      </c>
      <c r="AC94" s="55"/>
      <c r="AD94" s="81">
        <v>2030</v>
      </c>
      <c r="AE94" s="81"/>
      <c r="AF94" s="700"/>
    </row>
    <row r="95" spans="1:33" s="226" customFormat="1">
      <c r="A95" s="224"/>
      <c r="B95" s="357" t="s">
        <v>1008</v>
      </c>
      <c r="C95" s="224"/>
      <c r="D95" s="212"/>
      <c r="E95" s="212"/>
      <c r="F95" s="224" t="s">
        <v>1149</v>
      </c>
      <c r="G95" s="224"/>
      <c r="H95" s="174"/>
      <c r="I95" s="174" t="str">
        <f t="shared" si="38"/>
        <v>INDGWH</v>
      </c>
      <c r="J95" s="224">
        <f t="shared" si="32"/>
        <v>2050</v>
      </c>
      <c r="K95" s="706"/>
      <c r="L95" s="199">
        <f t="shared" ca="1" si="63"/>
        <v>0.9</v>
      </c>
      <c r="M95" s="774"/>
      <c r="N95" s="706"/>
      <c r="O95" s="724">
        <f t="shared" ca="1" si="64"/>
        <v>3.9959090909090902</v>
      </c>
      <c r="P95" s="724">
        <f t="shared" ca="1" si="65"/>
        <v>0.25106499999999998</v>
      </c>
      <c r="Q95" s="706">
        <f t="shared" ca="1" si="66"/>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8"/>
        <v>41</v>
      </c>
      <c r="Z95" s="706">
        <f t="shared" ca="1" si="69"/>
        <v>4</v>
      </c>
      <c r="AA95" s="706">
        <f t="shared" ca="1" si="70"/>
        <v>1</v>
      </c>
      <c r="AB95" s="706">
        <f t="shared" ca="1" si="71"/>
        <v>10</v>
      </c>
      <c r="AC95" s="55"/>
      <c r="AD95" s="706">
        <v>2050</v>
      </c>
      <c r="AE95" s="81"/>
      <c r="AF95" s="700"/>
    </row>
    <row r="96" spans="1:33">
      <c r="B96" s="716" t="s">
        <v>1008</v>
      </c>
      <c r="C96" s="296"/>
      <c r="D96" s="707" t="str">
        <f>"IND"&amp;RIGHT(H96,4)&amp;RIGHT(G96,3)&amp;"N"&amp;RIGHT(E96,1)</f>
        <v>INDGDPHWCHN2</v>
      </c>
      <c r="E96" s="707" t="str">
        <f>"Industrial heating technology "&amp;$AJ$12&amp;" "&amp;RIGHT(H96,2)&amp;" - Wood chip boiler (Steam - condensing) - new 2"</f>
        <v>Industrial heating technology Glass &amp; Concrete PH - Wood chip boiler (Steam - condensing) - new 2</v>
      </c>
      <c r="F96" s="224" t="s">
        <v>1149</v>
      </c>
      <c r="G96" s="708" t="s">
        <v>498</v>
      </c>
      <c r="H96" s="708" t="str">
        <f>$AI$14</f>
        <v>IGDPH</v>
      </c>
      <c r="I96" s="708" t="str">
        <f t="shared" si="38"/>
        <v>INDGWH</v>
      </c>
      <c r="J96" s="224">
        <f t="shared" si="32"/>
        <v>2011</v>
      </c>
      <c r="K96" s="299">
        <v>2025</v>
      </c>
      <c r="L96" s="199">
        <f t="shared" ref="L96:L101" ca="1" si="81">VLOOKUP($AD96,INDIRECT("'"&amp;$B96&amp;"'!"&amp;"$P$118:$AD$121"),3,FALSE)</f>
        <v>1.1618960947726835</v>
      </c>
      <c r="M96" s="199"/>
      <c r="N96" s="81">
        <f ca="1">VLOOKUP($AD96,INDIRECT("'"&amp;$B96&amp;"'!"&amp;"$P$118:$AD$121"),5,FALSE)</f>
        <v>25</v>
      </c>
      <c r="O96" s="723">
        <f t="shared" ref="O96:O101" ca="1" si="82">VLOOKUP($AD96,INDIRECT("'"&amp;$B96&amp;"'!"&amp;"$P$118:$AD$121"),6,FALSE)/1000</f>
        <v>5.0660000000000007</v>
      </c>
      <c r="P96" s="723">
        <f t="shared" ref="P96:P101" ca="1" si="83">VLOOKUP($AD96,INDIRECT("'"&amp;$B96&amp;"'!"&amp;"$P$118:$AD$121"),7,FALSE)/1000</f>
        <v>0.27564999999999995</v>
      </c>
      <c r="Q96" s="81">
        <f t="shared" ref="Q96:Q101" ca="1" si="84">VLOOKUP($AD96,INDIRECT("'"&amp;$B96&amp;"'!"&amp;"$P$118:$AD$121"),8,FALSE)</f>
        <v>5.7509861111111107</v>
      </c>
      <c r="R96" s="81">
        <v>3.1536000000000002E-2</v>
      </c>
      <c r="S96" s="199">
        <v>0.5</v>
      </c>
      <c r="T96" s="199">
        <f ca="1">HLOOKUP($T$2,INDIRECT("'"&amp;$B96&amp;"'!"&amp;"$P$85:$AC$98"),IF(H96=$AI$13,6,IF(H96=$AI$14,9,14)),FALSE)</f>
        <v>0</v>
      </c>
      <c r="U96" s="773"/>
      <c r="V96" s="199">
        <f t="shared" ref="V96" ca="1" si="85">IF(IF(RIGHT(H96,2)="PH",(1-L96)+$W$2,IF(RIGHT(H96,2)="HT",(1-L96)+$W$1,IF(RIGHT(H96,2)="SH",(1-L96)+$W$3,"")))&gt;0,IF(RIGHT(H96,2)="PH",(1-L96)+$W$2,IF(RIGHT(H96,2)="HT",(1-L96)+$W$1,IF(RIGHT(H96,2)="SH",(1-L96)+$W$3,""))),0)</f>
        <v>3.8103905227316492E-2</v>
      </c>
      <c r="W96" s="709"/>
      <c r="X96" s="698">
        <f t="shared" ca="1" si="80"/>
        <v>11</v>
      </c>
      <c r="Y96" s="698">
        <f t="shared" ref="Y96:Y101" ca="1" si="86">VLOOKUP($AD96,INDIRECT("'"&amp;$B96&amp;"'!"&amp;"$P$118:$AD$121"),12,FALSE)</f>
        <v>63</v>
      </c>
      <c r="Z96" s="698">
        <f t="shared" ref="Z96:Z101" ca="1" si="87">VLOOKUP($AD96,INDIRECT("'"&amp;$B96&amp;"'!"&amp;"$P$118:$AD$121"),13,FALSE)</f>
        <v>11</v>
      </c>
      <c r="AA96" s="698">
        <f t="shared" ref="AA96:AA101" ca="1" si="88">VLOOKUP($AD96,INDIRECT("'"&amp;$B96&amp;"'!"&amp;"$P$118:$AD$121"),14,FALSE)</f>
        <v>3</v>
      </c>
      <c r="AB96" s="698">
        <f t="shared" ref="AB96:AB101" ca="1" si="89">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38"/>
        <v>INDGWH</v>
      </c>
      <c r="J97" s="224">
        <f t="shared" si="32"/>
        <v>2030</v>
      </c>
      <c r="K97" s="81"/>
      <c r="L97" s="199">
        <f t="shared" ca="1" si="81"/>
        <v>1.1618960947726835</v>
      </c>
      <c r="M97" s="199"/>
      <c r="N97" s="81"/>
      <c r="O97" s="723">
        <f t="shared" ca="1" si="82"/>
        <v>4.8425000000000002</v>
      </c>
      <c r="P97" s="723">
        <f t="shared" ca="1" si="83"/>
        <v>0.267455</v>
      </c>
      <c r="Q97" s="81">
        <f t="shared" ca="1" si="84"/>
        <v>5.8461805555555557</v>
      </c>
      <c r="R97" s="300"/>
      <c r="S97" s="300"/>
      <c r="T97" s="300"/>
      <c r="U97" s="300"/>
      <c r="V97" s="199">
        <f t="shared" ref="V97" ca="1" si="90">IF(IF(RIGHT(H96,2)="PH",(1-L97)+$W$2,IF(RIGHT(H96,2)="HT",(1-L97)+$W$1,IF(RIGHT(H96,2)="SH",(1-L97)+$W$3,"")))&gt;0,IF(RIGHT(H96,2)="PH",(1-L97)+$W$2,IF(RIGHT(H96,2)="HT",(1-L97)+$W$1,IF(RIGHT(H96,2)="SH",(1-L97)+$W$3,""))),0)</f>
        <v>3.8103905227316492E-2</v>
      </c>
      <c r="W97" s="298"/>
      <c r="X97" s="698">
        <f t="shared" ca="1" si="80"/>
        <v>11</v>
      </c>
      <c r="Y97" s="698">
        <f t="shared" ca="1" si="86"/>
        <v>49</v>
      </c>
      <c r="Z97" s="698">
        <f t="shared" ca="1" si="87"/>
        <v>8</v>
      </c>
      <c r="AA97" s="698">
        <f t="shared" ca="1" si="88"/>
        <v>3</v>
      </c>
      <c r="AB97" s="698">
        <f t="shared" ca="1" si="89"/>
        <v>10</v>
      </c>
      <c r="AC97" s="55"/>
      <c r="AD97" s="81">
        <v>2030</v>
      </c>
      <c r="AE97" s="81"/>
      <c r="AF97" s="700"/>
    </row>
    <row r="98" spans="2:32">
      <c r="B98" s="357" t="s">
        <v>1008</v>
      </c>
      <c r="C98" s="55"/>
      <c r="D98" s="261"/>
      <c r="E98" s="261"/>
      <c r="F98" s="224" t="s">
        <v>1149</v>
      </c>
      <c r="G98" s="55"/>
      <c r="H98" s="174"/>
      <c r="I98" s="174" t="str">
        <f t="shared" si="38"/>
        <v>INDGWH</v>
      </c>
      <c r="J98" s="224">
        <f t="shared" si="32"/>
        <v>2050</v>
      </c>
      <c r="K98" s="81"/>
      <c r="L98" s="199">
        <f t="shared" ca="1" si="81"/>
        <v>1.1618960947726835</v>
      </c>
      <c r="M98" s="199"/>
      <c r="N98" s="81"/>
      <c r="O98" s="723">
        <f t="shared" ca="1" si="82"/>
        <v>4.3955000000000002</v>
      </c>
      <c r="P98" s="723">
        <f t="shared" ca="1" si="83"/>
        <v>0.25106499999999998</v>
      </c>
      <c r="Q98" s="81">
        <f t="shared" ca="1" si="84"/>
        <v>5.8937777777777782</v>
      </c>
      <c r="R98" s="300"/>
      <c r="S98" s="300"/>
      <c r="T98" s="300"/>
      <c r="U98" s="300"/>
      <c r="V98" s="199">
        <f t="shared" ref="V98" ca="1" si="91">IF(IF(RIGHT(H96,2)="PH",(1-L98)+$W$2,IF(RIGHT(H96,2)="HT",(1-L98)+$W$1,IF(RIGHT(H96,2)="SH",(1-L98)+$W$3,"")))&gt;0,IF(RIGHT(H96,2)="PH",(1-L98)+$W$2,IF(RIGHT(H96,2)="HT",(1-L98)+$W$1,IF(RIGHT(H96,2)="SH",(1-L98)+$W$3,""))),0)</f>
        <v>3.8103905227316492E-2</v>
      </c>
      <c r="W98" s="298"/>
      <c r="X98" s="698">
        <f t="shared" ca="1" si="80"/>
        <v>11</v>
      </c>
      <c r="Y98" s="698">
        <f t="shared" ca="1" si="86"/>
        <v>41</v>
      </c>
      <c r="Z98" s="698">
        <f t="shared" ca="1" si="87"/>
        <v>4</v>
      </c>
      <c r="AA98" s="698">
        <f t="shared" ca="1" si="88"/>
        <v>1</v>
      </c>
      <c r="AB98" s="698">
        <f t="shared" ca="1" si="89"/>
        <v>10</v>
      </c>
      <c r="AC98" s="203"/>
      <c r="AD98" s="81">
        <v>2050</v>
      </c>
      <c r="AE98" s="81"/>
      <c r="AF98" s="705"/>
    </row>
    <row r="99" spans="2:32">
      <c r="B99" s="357" t="s">
        <v>1008</v>
      </c>
      <c r="C99" s="55"/>
      <c r="D99" s="261" t="str">
        <f>"IND"&amp;RIGHT(H99,4)&amp;RIGHT(G99,3)&amp;"N"&amp;RIGHT(E99,1)</f>
        <v>INDGDSHWCHN2</v>
      </c>
      <c r="E99" s="261" t="str">
        <f>"Industrial heating technology "&amp;$AJ$12&amp;" "&amp;RIGHT(H99,2)&amp;" - Wood chip boiler (Steam - condensing) - new 2"</f>
        <v>Industrial heating technology Glass &amp; Concrete SH - Wood chip boiler (Steam - condensing) - new 2</v>
      </c>
      <c r="F99" s="224" t="s">
        <v>1149</v>
      </c>
      <c r="G99" s="174" t="s">
        <v>498</v>
      </c>
      <c r="H99" s="174" t="str">
        <f>$AI$15</f>
        <v>IGDSH</v>
      </c>
      <c r="I99" s="174" t="str">
        <f t="shared" si="38"/>
        <v>INDGWH</v>
      </c>
      <c r="J99" s="224">
        <f t="shared" si="32"/>
        <v>2011</v>
      </c>
      <c r="K99" s="299">
        <v>2025</v>
      </c>
      <c r="L99" s="199">
        <f t="shared" ca="1" si="81"/>
        <v>1.1618960947726835</v>
      </c>
      <c r="M99" s="199"/>
      <c r="N99" s="81">
        <f ca="1">VLOOKUP($AD99,INDIRECT("'"&amp;$B99&amp;"'!"&amp;"$P$118:$AD$121"),5,FALSE)</f>
        <v>25</v>
      </c>
      <c r="O99" s="723">
        <f t="shared" ca="1" si="82"/>
        <v>5.0660000000000007</v>
      </c>
      <c r="P99" s="723">
        <f t="shared" ca="1" si="83"/>
        <v>0.27564999999999995</v>
      </c>
      <c r="Q99" s="81">
        <f t="shared" ca="1" si="84"/>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6"/>
        <v>63</v>
      </c>
      <c r="Z99" s="698">
        <f t="shared" ca="1" si="87"/>
        <v>11</v>
      </c>
      <c r="AA99" s="698">
        <f t="shared" ca="1" si="88"/>
        <v>3</v>
      </c>
      <c r="AB99" s="698">
        <f t="shared" ca="1" si="89"/>
        <v>10</v>
      </c>
      <c r="AC99" s="296"/>
      <c r="AD99" s="81">
        <v>2020</v>
      </c>
      <c r="AE99" s="81"/>
      <c r="AF99" s="710"/>
    </row>
    <row r="100" spans="2:32">
      <c r="B100" s="357" t="s">
        <v>1008</v>
      </c>
      <c r="C100" s="55"/>
      <c r="D100" s="261"/>
      <c r="E100" s="261"/>
      <c r="F100" s="224" t="s">
        <v>1149</v>
      </c>
      <c r="G100" s="55"/>
      <c r="H100" s="174"/>
      <c r="I100" s="174" t="str">
        <f t="shared" si="38"/>
        <v>INDGWH</v>
      </c>
      <c r="J100" s="224">
        <f t="shared" si="32"/>
        <v>2030</v>
      </c>
      <c r="K100" s="81"/>
      <c r="L100" s="199">
        <f t="shared" ca="1" si="81"/>
        <v>1.1618960947726835</v>
      </c>
      <c r="M100" s="199"/>
      <c r="N100" s="81"/>
      <c r="O100" s="723">
        <f t="shared" ca="1" si="82"/>
        <v>4.8425000000000002</v>
      </c>
      <c r="P100" s="723">
        <f t="shared" ca="1" si="83"/>
        <v>0.267455</v>
      </c>
      <c r="Q100" s="81">
        <f t="shared" ca="1" si="84"/>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6"/>
        <v>49</v>
      </c>
      <c r="Z100" s="698">
        <f t="shared" ca="1" si="87"/>
        <v>8</v>
      </c>
      <c r="AA100" s="698">
        <f t="shared" ca="1" si="88"/>
        <v>3</v>
      </c>
      <c r="AB100" s="698">
        <f t="shared" ca="1" si="89"/>
        <v>10</v>
      </c>
      <c r="AC100" s="55"/>
      <c r="AD100" s="81">
        <v>2030</v>
      </c>
      <c r="AE100" s="81"/>
      <c r="AF100" s="700"/>
    </row>
    <row r="101" spans="2:32">
      <c r="B101" s="356" t="s">
        <v>1008</v>
      </c>
      <c r="C101" s="203"/>
      <c r="D101" s="701"/>
      <c r="E101" s="701"/>
      <c r="F101" s="224" t="s">
        <v>1149</v>
      </c>
      <c r="G101" s="203"/>
      <c r="H101" s="702"/>
      <c r="I101" s="702" t="str">
        <f t="shared" si="38"/>
        <v>INDGWH</v>
      </c>
      <c r="J101" s="224">
        <f t="shared" si="32"/>
        <v>2050</v>
      </c>
      <c r="K101" s="81"/>
      <c r="L101" s="199">
        <f t="shared" ca="1" si="81"/>
        <v>1.1618960947726835</v>
      </c>
      <c r="M101" s="199"/>
      <c r="N101" s="81"/>
      <c r="O101" s="723">
        <f t="shared" ca="1" si="82"/>
        <v>4.3955000000000002</v>
      </c>
      <c r="P101" s="723">
        <f t="shared" ca="1" si="83"/>
        <v>0.25106499999999998</v>
      </c>
      <c r="Q101" s="81">
        <f t="shared" ca="1" si="84"/>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6"/>
        <v>41</v>
      </c>
      <c r="Z101" s="698">
        <f t="shared" ca="1" si="87"/>
        <v>4</v>
      </c>
      <c r="AA101" s="698">
        <f t="shared" ca="1" si="88"/>
        <v>1</v>
      </c>
      <c r="AB101" s="698">
        <f t="shared" ca="1" si="89"/>
        <v>10</v>
      </c>
      <c r="AC101" s="55"/>
      <c r="AD101" s="81">
        <v>2050</v>
      </c>
      <c r="AE101" s="81"/>
      <c r="AF101" s="700"/>
    </row>
    <row r="102" spans="2:32">
      <c r="B102" s="717" t="s">
        <v>1008</v>
      </c>
      <c r="C102" s="712"/>
      <c r="D102" s="707" t="str">
        <f>"IND"&amp;RIGHT(H102,4)&amp;RIGHT(G102,3)&amp;"N"&amp;RIGHT(E102,1)</f>
        <v>INDGDPHWCHN3</v>
      </c>
      <c r="E102" s="707" t="str">
        <f>"Industrial heating technology "&amp;$AJ$12&amp;" "&amp;RIGHT(H102,2)&amp;" - Wood chip boiler (Hot Water) - new 3"</f>
        <v>Industrial heating technology Glass &amp; Concrete PH - Wood chip boiler (Hot Water) - new 3</v>
      </c>
      <c r="F102" s="224" t="s">
        <v>1149</v>
      </c>
      <c r="G102" s="708" t="s">
        <v>498</v>
      </c>
      <c r="H102" s="708" t="str">
        <f>$AI$14</f>
        <v>IGDPH</v>
      </c>
      <c r="I102" s="708" t="str">
        <f t="shared" si="38"/>
        <v>INDGWH</v>
      </c>
      <c r="J102" s="224">
        <f t="shared" si="32"/>
        <v>2011</v>
      </c>
      <c r="K102" s="299">
        <v>2025</v>
      </c>
      <c r="L102" s="199">
        <f t="shared" ref="L102:L107" ca="1" si="95">VLOOKUP($AD102,INDIRECT("'"&amp;$B102&amp;"'!"&amp;"$P$200:$AD$203"),3,FALSE)</f>
        <v>0.9</v>
      </c>
      <c r="M102" s="199"/>
      <c r="N102" s="81">
        <f ca="1">VLOOKUP($AD102,INDIRECT("'"&amp;$B102&amp;"'!"&amp;"$P$200:$AD$203"),5,FALSE)</f>
        <v>25</v>
      </c>
      <c r="O102" s="723">
        <f t="shared" ref="O102:O107" ca="1" si="96">VLOOKUP($AD102,INDIRECT("'"&amp;$B102&amp;"'!"&amp;"$P$200:$AD$203"),6,FALSE)/1000</f>
        <v>4.6054545454545437</v>
      </c>
      <c r="P102" s="723">
        <f t="shared" ref="P102:P107" ca="1" si="97">VLOOKUP($AD102,INDIRECT("'"&amp;$B102&amp;"'!"&amp;"$P$200:$AD$203"),7,FALSE)/1000</f>
        <v>0.25106499999999998</v>
      </c>
      <c r="Q102" s="81">
        <f t="shared" ref="Q102:Q107" ca="1" si="98">VLOOKUP($AD102,INDIRECT("'"&amp;$B102&amp;"'!"&amp;"$P$200:$AD$203"),8,FALSE)</f>
        <v>5.7509861111111107</v>
      </c>
      <c r="R102" s="81">
        <v>3.1536000000000002E-2</v>
      </c>
      <c r="S102" s="199">
        <v>0.5</v>
      </c>
      <c r="T102" s="199">
        <f ca="1">HLOOKUP($T$2,INDIRECT("'"&amp;$B102&amp;"'!"&amp;"$P$167:$AC$180"),IF(H102=$AI$13,6,IF(H102=$AI$14,9,14)),FALSE)</f>
        <v>0</v>
      </c>
      <c r="U102" s="773"/>
      <c r="V102" s="199">
        <f t="shared" ref="V102" ca="1" si="99">IF(IF(RIGHT(H102,2)="PH",(1-L102)+$W$2,IF(RIGHT(H102,2)="HT",(1-L102)+$W$1,IF(RIGHT(H102,2)="SH",(1-L102)+$W$3,"")))&gt;0,IF(RIGHT(H102,2)="PH",(1-L102)+$W$2,IF(RIGHT(H102,2)="HT",(1-L102)+$W$1,IF(RIGHT(H102,2)="SH",(1-L102)+$W$3,""))),0)</f>
        <v>0.3</v>
      </c>
      <c r="W102" s="709"/>
      <c r="X102" s="698">
        <f t="shared" ca="1" si="80"/>
        <v>11</v>
      </c>
      <c r="Y102" s="698">
        <f t="shared" ref="Y102:Y107" ca="1" si="100">VLOOKUP($AD102,INDIRECT("'"&amp;$B102&amp;"'!"&amp;"$P$200:$AD$203"),12,FALSE)</f>
        <v>63</v>
      </c>
      <c r="Z102" s="698">
        <f t="shared" ref="Z102:Z107" ca="1" si="101">VLOOKUP($AD102,INDIRECT("'"&amp;$B102&amp;"'!"&amp;"$P$200:$AD$203"),13,FALSE)</f>
        <v>11</v>
      </c>
      <c r="AA102" s="698">
        <f t="shared" ref="AA102:AA107" ca="1" si="102">VLOOKUP($AD102,INDIRECT("'"&amp;$B102&amp;"'!"&amp;"$P$200:$AD$203"),14,FALSE)</f>
        <v>3</v>
      </c>
      <c r="AB102" s="698">
        <f t="shared" ref="AB102:AB107" ca="1" si="103">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38"/>
        <v>INDGWH</v>
      </c>
      <c r="J103" s="224">
        <f t="shared" si="32"/>
        <v>2030</v>
      </c>
      <c r="K103" s="81"/>
      <c r="L103" s="199">
        <f t="shared" ca="1" si="95"/>
        <v>0.9</v>
      </c>
      <c r="M103" s="199"/>
      <c r="N103" s="81"/>
      <c r="O103" s="723">
        <f t="shared" ca="1" si="96"/>
        <v>4.4022727272727282</v>
      </c>
      <c r="P103" s="723">
        <f t="shared" ca="1" si="97"/>
        <v>0.267455</v>
      </c>
      <c r="Q103" s="81">
        <f t="shared" ca="1" si="98"/>
        <v>5.8461805555555557</v>
      </c>
      <c r="R103" s="300"/>
      <c r="S103" s="300"/>
      <c r="T103" s="300"/>
      <c r="U103" s="300"/>
      <c r="V103" s="199">
        <f t="shared" ref="V103" ca="1" si="104">IF(IF(RIGHT(H102,2)="PH",(1-L103)+$W$2,IF(RIGHT(H102,2)="HT",(1-L103)+$W$1,IF(RIGHT(H102,2)="SH",(1-L103)+$W$3,"")))&gt;0,IF(RIGHT(H102,2)="PH",(1-L103)+$W$2,IF(RIGHT(H102,2)="HT",(1-L103)+$W$1,IF(RIGHT(H102,2)="SH",(1-L103)+$W$3,""))),0)</f>
        <v>0.3</v>
      </c>
      <c r="W103" s="298"/>
      <c r="X103" s="698">
        <f t="shared" ca="1" si="80"/>
        <v>11</v>
      </c>
      <c r="Y103" s="698">
        <f t="shared" ca="1" si="100"/>
        <v>49</v>
      </c>
      <c r="Z103" s="698">
        <f t="shared" ca="1" si="101"/>
        <v>8</v>
      </c>
      <c r="AA103" s="698">
        <f t="shared" ca="1" si="102"/>
        <v>3</v>
      </c>
      <c r="AB103" s="698">
        <f t="shared" ca="1" si="103"/>
        <v>10</v>
      </c>
      <c r="AC103" s="55"/>
      <c r="AD103" s="81">
        <v>2030</v>
      </c>
      <c r="AE103" s="81"/>
      <c r="AF103" s="700"/>
    </row>
    <row r="104" spans="2:32">
      <c r="B104" s="718" t="s">
        <v>1008</v>
      </c>
      <c r="C104" s="226"/>
      <c r="D104" s="261"/>
      <c r="E104" s="261"/>
      <c r="F104" s="224" t="s">
        <v>1149</v>
      </c>
      <c r="G104" s="55"/>
      <c r="H104" s="174"/>
      <c r="I104" s="174" t="str">
        <f t="shared" si="38"/>
        <v>INDGWH</v>
      </c>
      <c r="J104" s="224">
        <f t="shared" si="32"/>
        <v>2050</v>
      </c>
      <c r="K104" s="81"/>
      <c r="L104" s="199">
        <f t="shared" ca="1" si="95"/>
        <v>0.91</v>
      </c>
      <c r="M104" s="199"/>
      <c r="N104" s="81"/>
      <c r="O104" s="723">
        <f t="shared" ca="1" si="96"/>
        <v>3.9959090909090884</v>
      </c>
      <c r="P104" s="723">
        <f t="shared" ca="1" si="97"/>
        <v>0.25106499999999998</v>
      </c>
      <c r="Q104" s="81">
        <f t="shared" ca="1" si="98"/>
        <v>5.8937777777777782</v>
      </c>
      <c r="R104" s="300"/>
      <c r="S104" s="300"/>
      <c r="T104" s="300"/>
      <c r="U104" s="300"/>
      <c r="V104" s="199">
        <f t="shared" ref="V104" ca="1" si="105">IF(IF(RIGHT(H102,2)="PH",(1-L104)+$W$2,IF(RIGHT(H102,2)="HT",(1-L104)+$W$1,IF(RIGHT(H102,2)="SH",(1-L104)+$W$3,"")))&gt;0,IF(RIGHT(H102,2)="PH",(1-L104)+$W$2,IF(RIGHT(H102,2)="HT",(1-L104)+$W$1,IF(RIGHT(H102,2)="SH",(1-L104)+$W$3,""))),0)</f>
        <v>0.28999999999999998</v>
      </c>
      <c r="W104" s="298"/>
      <c r="X104" s="698">
        <f t="shared" ca="1" si="80"/>
        <v>11</v>
      </c>
      <c r="Y104" s="698">
        <f t="shared" ca="1" si="100"/>
        <v>41</v>
      </c>
      <c r="Z104" s="698">
        <f t="shared" ca="1" si="101"/>
        <v>4</v>
      </c>
      <c r="AA104" s="698">
        <f t="shared" ca="1" si="102"/>
        <v>1</v>
      </c>
      <c r="AB104" s="698">
        <f t="shared" ca="1" si="103"/>
        <v>10</v>
      </c>
      <c r="AC104" s="203"/>
      <c r="AD104" s="81">
        <v>2050</v>
      </c>
      <c r="AE104" s="81"/>
      <c r="AF104" s="705"/>
    </row>
    <row r="105" spans="2:32">
      <c r="B105" s="718" t="s">
        <v>1008</v>
      </c>
      <c r="C105" s="226"/>
      <c r="D105" s="261" t="str">
        <f>"IND"&amp;RIGHT(H105,4)&amp;RIGHT(G105,3)&amp;"N"&amp;RIGHT(E105,1)</f>
        <v>INDGDSHWCHN3</v>
      </c>
      <c r="E105" s="261" t="str">
        <f>"Industrial heating technology "&amp;$AJ$12&amp;" "&amp;RIGHT(H105,2)&amp;" - Wood chip boiler (Hot Water) - new 3"</f>
        <v>Industrial heating technology Glass &amp; Concrete SH - Wood chip boiler (Hot Water) - new 3</v>
      </c>
      <c r="F105" s="224" t="s">
        <v>1149</v>
      </c>
      <c r="G105" s="174" t="s">
        <v>498</v>
      </c>
      <c r="H105" s="174" t="str">
        <f>$AI$15</f>
        <v>IGDSH</v>
      </c>
      <c r="I105" s="174" t="str">
        <f t="shared" si="38"/>
        <v>INDGWH</v>
      </c>
      <c r="J105" s="224">
        <f t="shared" si="32"/>
        <v>2011</v>
      </c>
      <c r="K105" s="299">
        <v>2025</v>
      </c>
      <c r="L105" s="199">
        <f t="shared" ca="1" si="95"/>
        <v>0.9</v>
      </c>
      <c r="M105" s="199"/>
      <c r="N105" s="81">
        <f ca="1">VLOOKUP($AD105,INDIRECT("'"&amp;$B105&amp;"'!"&amp;"$P$200:$AD$203"),5,FALSE)</f>
        <v>25</v>
      </c>
      <c r="O105" s="723">
        <f t="shared" ca="1" si="96"/>
        <v>4.6054545454545437</v>
      </c>
      <c r="P105" s="723">
        <f t="shared" ca="1" si="97"/>
        <v>0.25106499999999998</v>
      </c>
      <c r="Q105" s="81">
        <f t="shared" ca="1" si="98"/>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100"/>
        <v>63</v>
      </c>
      <c r="Z105" s="698">
        <f t="shared" ca="1" si="101"/>
        <v>11</v>
      </c>
      <c r="AA105" s="698">
        <f t="shared" ca="1" si="102"/>
        <v>3</v>
      </c>
      <c r="AB105" s="698">
        <f t="shared" ca="1" si="103"/>
        <v>10</v>
      </c>
      <c r="AC105" s="296"/>
      <c r="AD105" s="81">
        <v>2020</v>
      </c>
      <c r="AE105" s="81"/>
      <c r="AF105" s="710"/>
    </row>
    <row r="106" spans="2:32">
      <c r="B106" s="718" t="s">
        <v>1008</v>
      </c>
      <c r="C106" s="226"/>
      <c r="D106" s="261"/>
      <c r="E106" s="261"/>
      <c r="F106" s="224" t="s">
        <v>1149</v>
      </c>
      <c r="G106" s="55"/>
      <c r="H106" s="174"/>
      <c r="I106" s="174" t="str">
        <f t="shared" si="38"/>
        <v>INDGWH</v>
      </c>
      <c r="J106" s="224">
        <f t="shared" si="32"/>
        <v>2030</v>
      </c>
      <c r="K106" s="81"/>
      <c r="L106" s="199">
        <f t="shared" ca="1" si="95"/>
        <v>0.9</v>
      </c>
      <c r="M106" s="199"/>
      <c r="N106" s="81"/>
      <c r="O106" s="723">
        <f t="shared" ca="1" si="96"/>
        <v>4.4022727272727282</v>
      </c>
      <c r="P106" s="723">
        <f t="shared" ca="1" si="97"/>
        <v>0.267455</v>
      </c>
      <c r="Q106" s="81">
        <f t="shared" ca="1" si="98"/>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100"/>
        <v>49</v>
      </c>
      <c r="Z106" s="698">
        <f t="shared" ca="1" si="101"/>
        <v>8</v>
      </c>
      <c r="AA106" s="698">
        <f t="shared" ca="1" si="102"/>
        <v>3</v>
      </c>
      <c r="AB106" s="698">
        <f t="shared" ca="1" si="103"/>
        <v>10</v>
      </c>
      <c r="AC106" s="55"/>
      <c r="AD106" s="81">
        <v>2030</v>
      </c>
      <c r="AE106" s="81"/>
      <c r="AF106" s="700"/>
    </row>
    <row r="107" spans="2:32">
      <c r="B107" s="719" t="s">
        <v>1008</v>
      </c>
      <c r="C107" s="713"/>
      <c r="D107" s="701"/>
      <c r="E107" s="701"/>
      <c r="F107" s="224" t="s">
        <v>1149</v>
      </c>
      <c r="G107" s="203"/>
      <c r="H107" s="702"/>
      <c r="I107" s="702" t="str">
        <f t="shared" si="38"/>
        <v>INDGWH</v>
      </c>
      <c r="J107" s="224">
        <f t="shared" si="32"/>
        <v>2050</v>
      </c>
      <c r="K107" s="81"/>
      <c r="L107" s="199">
        <f t="shared" ca="1" si="95"/>
        <v>0.91</v>
      </c>
      <c r="M107" s="199"/>
      <c r="N107" s="81"/>
      <c r="O107" s="723">
        <f t="shared" ca="1" si="96"/>
        <v>3.9959090909090884</v>
      </c>
      <c r="P107" s="723">
        <f t="shared" ca="1" si="97"/>
        <v>0.25106499999999998</v>
      </c>
      <c r="Q107" s="81">
        <f t="shared" ca="1" si="98"/>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100"/>
        <v>41</v>
      </c>
      <c r="Z107" s="698">
        <f t="shared" ca="1" si="101"/>
        <v>4</v>
      </c>
      <c r="AA107" s="698">
        <f t="shared" ca="1" si="102"/>
        <v>1</v>
      </c>
      <c r="AB107" s="698">
        <f t="shared" ca="1" si="103"/>
        <v>10</v>
      </c>
      <c r="AC107" s="55"/>
      <c r="AD107" s="81">
        <v>2050</v>
      </c>
      <c r="AE107" s="81"/>
      <c r="AF107" s="700"/>
    </row>
    <row r="108" spans="2:32">
      <c r="B108" s="717" t="s">
        <v>1008</v>
      </c>
      <c r="C108" s="712"/>
      <c r="D108" s="707" t="str">
        <f>"IND"&amp;RIGHT(H108,4)&amp;RIGHT(G108,3)&amp;"N"&amp;RIGHT(E108,1)</f>
        <v>INDGDPHWCHN4</v>
      </c>
      <c r="E108" s="707" t="str">
        <f>"Industrial heating technology "&amp;$AJ$12&amp;" "&amp;RIGHT(H108,2)&amp;" - Wood chip boiler (Hot Water - condensing) - new 4"</f>
        <v>Industrial heating technology Glass &amp; Concrete PH - Wood chip boiler (Hot Water - condensing) - new 4</v>
      </c>
      <c r="F108" s="224" t="s">
        <v>1149</v>
      </c>
      <c r="G108" s="708" t="s">
        <v>498</v>
      </c>
      <c r="H108" s="708" t="str">
        <f>$AI$14</f>
        <v>IGDPH</v>
      </c>
      <c r="I108" s="708" t="str">
        <f t="shared" si="38"/>
        <v>INDGWH</v>
      </c>
      <c r="J108" s="224">
        <f t="shared" si="32"/>
        <v>2011</v>
      </c>
      <c r="K108" s="299">
        <v>2025</v>
      </c>
      <c r="L108" s="199">
        <f t="shared" ref="L108:L113" ca="1" si="109">VLOOKUP($AD108,INDIRECT("'"&amp;$B108&amp;"'!"&amp;"$P$279:$AD$282"),3,FALSE)</f>
        <v>1.1618960947726835</v>
      </c>
      <c r="M108" s="199"/>
      <c r="N108" s="81">
        <f ca="1">VLOOKUP($AD108,INDIRECT("'"&amp;$B108&amp;"'!"&amp;"$P$279:$AD$282"),5,FALSE)</f>
        <v>25</v>
      </c>
      <c r="O108" s="723">
        <f t="shared" ref="O108:O113" ca="1" si="110">VLOOKUP($AD108,INDIRECT("'"&amp;$B108&amp;"'!"&amp;"$P$279:$AD$282"),6,FALSE)/1000</f>
        <v>5.0660000000000007</v>
      </c>
      <c r="P108" s="723">
        <f t="shared" ref="P108:P113" ca="1" si="111">VLOOKUP($AD108,INDIRECT("'"&amp;$B108&amp;"'!"&amp;"$P$279:$AD$282"),7,FALSE)/1000</f>
        <v>0.27564999999999995</v>
      </c>
      <c r="Q108" s="81">
        <f t="shared" ref="Q108:Q113" ca="1" si="112">VLOOKUP($AD108,INDIRECT("'"&amp;$B108&amp;"'!"&amp;"$P$279:$AD$282"),8,FALSE)</f>
        <v>5.7509861111111107</v>
      </c>
      <c r="R108" s="81">
        <v>3.1536000000000002E-2</v>
      </c>
      <c r="S108" s="199">
        <v>0.5</v>
      </c>
      <c r="T108" s="199">
        <f ca="1">HLOOKUP($T$2,INDIRECT("'"&amp;$B108&amp;"'!"&amp;"$P$246:$AC$259"),IF(H108=$AI$13,6,IF(H108=$AI$14,9,14)),FALSE)</f>
        <v>0</v>
      </c>
      <c r="U108" s="773"/>
      <c r="V108" s="199">
        <f t="shared" ref="V108" ca="1" si="113">IF(IF(RIGHT(H108,2)="PH",(1-L108)+$W$2,IF(RIGHT(H108,2)="HT",(1-L108)+$W$1,IF(RIGHT(H108,2)="SH",(1-L108)+$W$3,"")))&gt;0,IF(RIGHT(H108,2)="PH",(1-L108)+$W$2,IF(RIGHT(H108,2)="HT",(1-L108)+$W$1,IF(RIGHT(H108,2)="SH",(1-L108)+$W$3,""))),0)</f>
        <v>3.8103905227316492E-2</v>
      </c>
      <c r="W108" s="709"/>
      <c r="X108" s="698">
        <f t="shared" ca="1" si="80"/>
        <v>11</v>
      </c>
      <c r="Y108" s="698">
        <f t="shared" ref="Y108:Y113" ca="1" si="114">VLOOKUP($AD108,INDIRECT("'"&amp;$B108&amp;"'!"&amp;"$P$279:$AD$282"),12,FALSE)</f>
        <v>63</v>
      </c>
      <c r="Z108" s="698">
        <f t="shared" ref="Z108:Z113" ca="1" si="115">VLOOKUP($AD108,INDIRECT("'"&amp;$B108&amp;"'!"&amp;"$P$279:$AD$282"),13,FALSE)</f>
        <v>11</v>
      </c>
      <c r="AA108" s="698">
        <f t="shared" ref="AA108:AA113" ca="1" si="116">VLOOKUP($AD108,INDIRECT("'"&amp;$B108&amp;"'!"&amp;"$P$279:$AD$282"),14,FALSE)</f>
        <v>3</v>
      </c>
      <c r="AB108" s="698">
        <f t="shared" ref="AB108:AB113" ca="1" si="117">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38"/>
        <v>INDGWH</v>
      </c>
      <c r="J109" s="224">
        <f t="shared" si="32"/>
        <v>2030</v>
      </c>
      <c r="K109" s="81"/>
      <c r="L109" s="199">
        <f t="shared" ca="1" si="109"/>
        <v>1.1618960947726835</v>
      </c>
      <c r="M109" s="199"/>
      <c r="N109" s="81"/>
      <c r="O109" s="723">
        <f t="shared" ca="1" si="110"/>
        <v>4.8425000000000002</v>
      </c>
      <c r="P109" s="723">
        <f t="shared" ca="1" si="111"/>
        <v>0.267455</v>
      </c>
      <c r="Q109" s="81">
        <f t="shared" ca="1" si="112"/>
        <v>5.8461805555555557</v>
      </c>
      <c r="R109" s="300"/>
      <c r="S109" s="300"/>
      <c r="T109" s="300"/>
      <c r="U109" s="300"/>
      <c r="V109" s="199">
        <f t="shared" ref="V109" ca="1" si="118">IF(IF(RIGHT(H108,2)="PH",(1-L109)+$W$2,IF(RIGHT(H108,2)="HT",(1-L109)+$W$1,IF(RIGHT(H108,2)="SH",(1-L109)+$W$3,"")))&gt;0,IF(RIGHT(H108,2)="PH",(1-L109)+$W$2,IF(RIGHT(H108,2)="HT",(1-L109)+$W$1,IF(RIGHT(H108,2)="SH",(1-L109)+$W$3,""))),0)</f>
        <v>3.8103905227316492E-2</v>
      </c>
      <c r="W109" s="298"/>
      <c r="X109" s="698">
        <f t="shared" ca="1" si="80"/>
        <v>11</v>
      </c>
      <c r="Y109" s="698">
        <f t="shared" ca="1" si="114"/>
        <v>49</v>
      </c>
      <c r="Z109" s="698">
        <f t="shared" ca="1" si="115"/>
        <v>8</v>
      </c>
      <c r="AA109" s="698">
        <f t="shared" ca="1" si="116"/>
        <v>3</v>
      </c>
      <c r="AB109" s="698">
        <f t="shared" ca="1" si="117"/>
        <v>10</v>
      </c>
      <c r="AC109" s="55"/>
      <c r="AD109" s="81">
        <v>2030</v>
      </c>
      <c r="AE109" s="81"/>
      <c r="AF109" s="700"/>
    </row>
    <row r="110" spans="2:32">
      <c r="B110" s="718" t="s">
        <v>1008</v>
      </c>
      <c r="C110" s="226"/>
      <c r="D110" s="261"/>
      <c r="E110" s="261"/>
      <c r="F110" s="224" t="s">
        <v>1149</v>
      </c>
      <c r="G110" s="55"/>
      <c r="H110" s="174"/>
      <c r="I110" s="174" t="str">
        <f t="shared" si="38"/>
        <v>INDGWH</v>
      </c>
      <c r="J110" s="224">
        <f t="shared" si="32"/>
        <v>2050</v>
      </c>
      <c r="K110" s="81"/>
      <c r="L110" s="199">
        <f t="shared" ca="1" si="109"/>
        <v>1.1618960947726835</v>
      </c>
      <c r="M110" s="199"/>
      <c r="N110" s="81"/>
      <c r="O110" s="723">
        <f t="shared" ca="1" si="110"/>
        <v>4.3955000000000002</v>
      </c>
      <c r="P110" s="723">
        <f t="shared" ca="1" si="111"/>
        <v>0.25106499999999998</v>
      </c>
      <c r="Q110" s="81">
        <f t="shared" ca="1" si="112"/>
        <v>5.8937777777777782</v>
      </c>
      <c r="R110" s="300"/>
      <c r="S110" s="300"/>
      <c r="T110" s="300"/>
      <c r="U110" s="300"/>
      <c r="V110" s="199">
        <f t="shared" ref="V110" ca="1" si="119">IF(IF(RIGHT(H108,2)="PH",(1-L110)+$W$2,IF(RIGHT(H108,2)="HT",(1-L110)+$W$1,IF(RIGHT(H108,2)="SH",(1-L110)+$W$3,"")))&gt;0,IF(RIGHT(H108,2)="PH",(1-L110)+$W$2,IF(RIGHT(H108,2)="HT",(1-L110)+$W$1,IF(RIGHT(H108,2)="SH",(1-L110)+$W$3,""))),0)</f>
        <v>3.8103905227316492E-2</v>
      </c>
      <c r="W110" s="298"/>
      <c r="X110" s="698">
        <f t="shared" ca="1" si="80"/>
        <v>11</v>
      </c>
      <c r="Y110" s="698">
        <f t="shared" ca="1" si="114"/>
        <v>41</v>
      </c>
      <c r="Z110" s="698">
        <f t="shared" ca="1" si="115"/>
        <v>4</v>
      </c>
      <c r="AA110" s="698">
        <f t="shared" ca="1" si="116"/>
        <v>1</v>
      </c>
      <c r="AB110" s="698">
        <f t="shared" ca="1" si="117"/>
        <v>10</v>
      </c>
      <c r="AC110" s="203"/>
      <c r="AD110" s="81">
        <v>2050</v>
      </c>
      <c r="AE110" s="81"/>
      <c r="AF110" s="705"/>
    </row>
    <row r="111" spans="2:32">
      <c r="B111" s="718" t="s">
        <v>1008</v>
      </c>
      <c r="C111" s="226"/>
      <c r="D111" s="261" t="str">
        <f>"IND"&amp;RIGHT(H111,4)&amp;RIGHT(G111,3)&amp;"N"&amp;RIGHT(E111,1)</f>
        <v>INDGDSHWCHN4</v>
      </c>
      <c r="E111" s="261" t="str">
        <f>"Industrial heating technology "&amp;$AJ$12&amp;" "&amp;RIGHT(H111,2)&amp;" - Wood chip boiler (Hot Water- condensing) - new 4"</f>
        <v>Industrial heating technology Glass &amp; Concrete SH - Wood chip boiler (Hot Water- condensing) - new 4</v>
      </c>
      <c r="F111" s="224" t="s">
        <v>1149</v>
      </c>
      <c r="G111" s="174" t="s">
        <v>498</v>
      </c>
      <c r="H111" s="174" t="str">
        <f>$AI$15</f>
        <v>IGDSH</v>
      </c>
      <c r="I111" s="174" t="str">
        <f t="shared" si="38"/>
        <v>INDGWH</v>
      </c>
      <c r="J111" s="224">
        <f t="shared" si="32"/>
        <v>2011</v>
      </c>
      <c r="K111" s="299">
        <v>2025</v>
      </c>
      <c r="L111" s="199">
        <f t="shared" ca="1" si="109"/>
        <v>1.1618960947726835</v>
      </c>
      <c r="M111" s="199"/>
      <c r="N111" s="81">
        <f ca="1">VLOOKUP($AD111,INDIRECT("'"&amp;$B111&amp;"'!"&amp;"$P$279:$AD$282"),5,FALSE)</f>
        <v>25</v>
      </c>
      <c r="O111" s="723">
        <f t="shared" ca="1" si="110"/>
        <v>5.0660000000000007</v>
      </c>
      <c r="P111" s="723">
        <f t="shared" ca="1" si="111"/>
        <v>0.27564999999999995</v>
      </c>
      <c r="Q111" s="81">
        <f t="shared" ca="1" si="112"/>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4"/>
        <v>63</v>
      </c>
      <c r="Z111" s="698">
        <f t="shared" ca="1" si="115"/>
        <v>11</v>
      </c>
      <c r="AA111" s="698">
        <f t="shared" ca="1" si="116"/>
        <v>3</v>
      </c>
      <c r="AB111" s="698">
        <f t="shared" ca="1" si="117"/>
        <v>10</v>
      </c>
      <c r="AD111" s="81">
        <v>2020</v>
      </c>
      <c r="AE111" s="81"/>
      <c r="AF111" s="220"/>
    </row>
    <row r="112" spans="2:32">
      <c r="B112" s="718" t="s">
        <v>1008</v>
      </c>
      <c r="C112" s="226"/>
      <c r="D112" s="261"/>
      <c r="E112" s="261"/>
      <c r="F112" s="224" t="s">
        <v>1149</v>
      </c>
      <c r="G112" s="55"/>
      <c r="H112" s="174"/>
      <c r="I112" s="174" t="str">
        <f t="shared" si="38"/>
        <v>INDGWH</v>
      </c>
      <c r="J112" s="224">
        <f t="shared" si="32"/>
        <v>2030</v>
      </c>
      <c r="K112" s="81"/>
      <c r="L112" s="199">
        <f t="shared" ca="1" si="109"/>
        <v>1.1618960947726835</v>
      </c>
      <c r="M112" s="199"/>
      <c r="N112" s="81"/>
      <c r="O112" s="723">
        <f t="shared" ca="1" si="110"/>
        <v>4.8425000000000002</v>
      </c>
      <c r="P112" s="723">
        <f t="shared" ca="1" si="111"/>
        <v>0.267455</v>
      </c>
      <c r="Q112" s="81">
        <f t="shared" ca="1" si="112"/>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4"/>
        <v>49</v>
      </c>
      <c r="Z112" s="698">
        <f t="shared" ca="1" si="115"/>
        <v>8</v>
      </c>
      <c r="AA112" s="698">
        <f t="shared" ca="1" si="116"/>
        <v>3</v>
      </c>
      <c r="AB112" s="698">
        <f t="shared" ca="1" si="117"/>
        <v>10</v>
      </c>
      <c r="AD112" s="81">
        <v>2030</v>
      </c>
      <c r="AE112" s="81"/>
      <c r="AF112" s="220"/>
    </row>
    <row r="113" spans="2:32">
      <c r="B113" s="719" t="s">
        <v>1008</v>
      </c>
      <c r="C113" s="713"/>
      <c r="D113" s="701"/>
      <c r="E113" s="701"/>
      <c r="F113" s="224" t="s">
        <v>1149</v>
      </c>
      <c r="G113" s="203"/>
      <c r="H113" s="702"/>
      <c r="I113" s="702" t="str">
        <f t="shared" si="38"/>
        <v>INDGWH</v>
      </c>
      <c r="J113" s="224">
        <f t="shared" si="32"/>
        <v>2050</v>
      </c>
      <c r="K113" s="81"/>
      <c r="L113" s="199">
        <f t="shared" ca="1" si="109"/>
        <v>1.1618960947726835</v>
      </c>
      <c r="M113" s="199"/>
      <c r="N113" s="81"/>
      <c r="O113" s="723">
        <f t="shared" ca="1" si="110"/>
        <v>4.3955000000000002</v>
      </c>
      <c r="P113" s="723">
        <f t="shared" ca="1" si="111"/>
        <v>0.25106499999999998</v>
      </c>
      <c r="Q113" s="81">
        <f t="shared" ca="1" si="112"/>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4"/>
        <v>41</v>
      </c>
      <c r="Z113" s="698">
        <f t="shared" ca="1" si="115"/>
        <v>4</v>
      </c>
      <c r="AA113" s="698">
        <f t="shared" ca="1" si="116"/>
        <v>1</v>
      </c>
      <c r="AB113" s="698">
        <f t="shared" ca="1" si="117"/>
        <v>10</v>
      </c>
      <c r="AD113" s="81">
        <v>2050</v>
      </c>
      <c r="AE113" s="81"/>
      <c r="AF113" s="220"/>
    </row>
    <row r="114" spans="2:32">
      <c r="B114" s="718" t="s">
        <v>1014</v>
      </c>
      <c r="C114" s="226"/>
      <c r="D114" s="212" t="str">
        <f>"IND"&amp;RIGHT(H114,4)&amp;RIGHT(G114,3)&amp;"N"&amp;RIGHT(E114,2)</f>
        <v>INDGDPHELCN10</v>
      </c>
      <c r="E114" s="261" t="str">
        <f>"Industrial heating technology "&amp;$AJ$12&amp;" "&amp;RIGHT(H114,2)&amp;" - Direct electric heating - new 10"</f>
        <v>Industrial heating technology Glass &amp; Concrete PH - Direct electric heating - new 10</v>
      </c>
      <c r="F114" s="224" t="s">
        <v>1149</v>
      </c>
      <c r="G114" s="173" t="s">
        <v>499</v>
      </c>
      <c r="H114" s="174" t="str">
        <f>$AI$13</f>
        <v>IGDPH</v>
      </c>
      <c r="I114" s="174" t="str">
        <f t="shared" si="38"/>
        <v>INDGWH</v>
      </c>
      <c r="J114" s="224">
        <f t="shared" si="32"/>
        <v>2011</v>
      </c>
      <c r="K114" s="299">
        <v>2020</v>
      </c>
      <c r="L114" s="199">
        <f t="shared" ref="L114:L128" ca="1" si="123">VLOOKUP($AD114,INDIRECT("'"&amp;$B114&amp;"'!"&amp;"$P$39:$AD$42"),3,FALSE)</f>
        <v>1</v>
      </c>
      <c r="M114" s="199"/>
      <c r="N114" s="81">
        <f ca="1">VLOOKUP($AD114,INDIRECT("'"&amp;$B114&amp;"'!"&amp;"$P$39:$AD$42"),5,FALSE)</f>
        <v>12.5</v>
      </c>
      <c r="O114" s="723">
        <f t="shared" ref="O114:O128" ca="1" si="124">VLOOKUP($AD114,INDIRECT("'"&amp;$B114&amp;"'!"&amp;"$P$39:$AD$42"),6,FALSE)/1000</f>
        <v>0.44700000000000001</v>
      </c>
      <c r="P114" s="723">
        <f t="shared" ref="P114:P128" ca="1" si="125">VLOOKUP($AD114,INDIRECT("'"&amp;$B114&amp;"'!"&amp;"$P$39:$AD$42"),7,FALSE)/1000</f>
        <v>0</v>
      </c>
      <c r="Q114" s="81">
        <f t="shared" ref="Q114:Q128" ca="1" si="126">VLOOKUP($AD114,INDIRECT("'"&amp;$B114&amp;"'!"&amp;"$P$39:$AD$42"),8,FALSE)</f>
        <v>0.37767361111111114</v>
      </c>
      <c r="R114" s="81">
        <v>3.1536000000000002E-2</v>
      </c>
      <c r="S114" s="199">
        <v>0.5</v>
      </c>
      <c r="T114" s="199">
        <f ca="1">HLOOKUP($S$2,INDIRECT("'"&amp;$B114&amp;"'!"&amp;"$P$6:$AC$19"),IF(H114=$AI$13,6,IF(H114=$AI$14,9,14)),FALSE)</f>
        <v>0</v>
      </c>
      <c r="U114" s="772"/>
      <c r="V114" s="199">
        <f t="shared" ref="V114" ca="1" si="127">IF(IF(RIGHT(H114,2)="PH",(1-L114)+$W$2,IF(RIGHT(H114,2)="HT",(1-L114)+$W$1,IF(RIGHT(H114,2)="SH",(1-L114)+$W$3,"")))&gt;0,IF(RIGHT(H114,2)="PH",(1-L114)+$W$2,IF(RIGHT(H114,2)="HT",(1-L114)+$W$1,IF(RIGHT(H114,2)="SH",(1-L114)+$W$3,""))),0)</f>
        <v>0.2</v>
      </c>
      <c r="W114" s="298"/>
      <c r="X114" s="698">
        <f t="shared" ca="1" si="80"/>
        <v>0</v>
      </c>
      <c r="Y114" s="81">
        <f t="shared" ref="Y114:Y128" ca="1" si="128">VLOOKUP($AD114,INDIRECT("'"&amp;$B114&amp;"'!"&amp;"$P$39:$AD$42"),12,FALSE)</f>
        <v>0</v>
      </c>
      <c r="Z114" s="81">
        <f t="shared" ref="Z114:Z128" ca="1" si="129">VLOOKUP($AD114,INDIRECT("'"&amp;$B114&amp;"'!"&amp;"$P$39:$AD$42"),13,FALSE)</f>
        <v>0</v>
      </c>
      <c r="AA114" s="81">
        <f t="shared" ref="AA114:AA128" ca="1" si="130">VLOOKUP($AD114,INDIRECT("'"&amp;$B114&amp;"'!"&amp;"$P$39:$AD$42"),14,FALSE)</f>
        <v>0</v>
      </c>
      <c r="AB114" s="81">
        <f t="shared" ref="AB114:AB128" ca="1" si="131">VLOOKUP($AD114,INDIRECT("'"&amp;$B114&amp;"'!"&amp;"$P$39:$AD$42"),15,FALSE)</f>
        <v>0</v>
      </c>
      <c r="AD114" s="81">
        <v>2020</v>
      </c>
      <c r="AE114" s="81"/>
      <c r="AF114" s="220"/>
    </row>
    <row r="115" spans="2:32">
      <c r="B115" s="718" t="s">
        <v>1014</v>
      </c>
      <c r="C115" s="226"/>
      <c r="D115" s="212"/>
      <c r="E115" s="212"/>
      <c r="F115" s="224" t="s">
        <v>1149</v>
      </c>
      <c r="H115" s="174"/>
      <c r="I115" s="174" t="str">
        <f t="shared" si="38"/>
        <v>INDGWH</v>
      </c>
      <c r="J115" s="224">
        <f t="shared" si="32"/>
        <v>2030</v>
      </c>
      <c r="K115" s="81"/>
      <c r="L115" s="199">
        <f t="shared" ca="1" si="123"/>
        <v>1</v>
      </c>
      <c r="M115" s="199"/>
      <c r="N115" s="81"/>
      <c r="O115" s="723">
        <f t="shared" ca="1" si="124"/>
        <v>0.44700000000000001</v>
      </c>
      <c r="P115" s="723">
        <f t="shared" ca="1" si="125"/>
        <v>0</v>
      </c>
      <c r="Q115" s="81">
        <f t="shared" ca="1" si="126"/>
        <v>0.38802083333333331</v>
      </c>
      <c r="R115" s="300"/>
      <c r="S115" s="300"/>
      <c r="T115" s="300"/>
      <c r="U115" s="300"/>
      <c r="V115" s="199">
        <f t="shared" ref="V115" ca="1" si="132">IF(IF(RIGHT(H114,2)="PH",(1-L115)+$W$2,IF(RIGHT(H114,2)="HT",(1-L115)+$W$1,IF(RIGHT(H114,2)="SH",(1-L115)+$W$3,"")))&gt;0,IF(RIGHT(H114,2)="PH",(1-L115)+$W$2,IF(RIGHT(H114,2)="HT",(1-L115)+$W$1,IF(RIGHT(H114,2)="SH",(1-L115)+$W$3,""))),0)</f>
        <v>0.2</v>
      </c>
      <c r="W115" s="298"/>
      <c r="X115" s="698">
        <f t="shared" ca="1" si="80"/>
        <v>0</v>
      </c>
      <c r="Y115" s="81">
        <f t="shared" ca="1" si="128"/>
        <v>0</v>
      </c>
      <c r="Z115" s="81">
        <f t="shared" ca="1" si="129"/>
        <v>0</v>
      </c>
      <c r="AA115" s="81">
        <f t="shared" ca="1" si="130"/>
        <v>0</v>
      </c>
      <c r="AB115" s="81">
        <f t="shared" ca="1" si="131"/>
        <v>0</v>
      </c>
      <c r="AD115" s="81">
        <v>2030</v>
      </c>
      <c r="AE115" s="81"/>
      <c r="AF115" s="220"/>
    </row>
    <row r="116" spans="2:32">
      <c r="B116" s="718" t="s">
        <v>1014</v>
      </c>
      <c r="C116" s="226"/>
      <c r="D116" s="212"/>
      <c r="E116" s="212"/>
      <c r="F116" s="224" t="s">
        <v>1149</v>
      </c>
      <c r="H116" s="174"/>
      <c r="I116" s="174" t="str">
        <f t="shared" si="38"/>
        <v>INDGWH</v>
      </c>
      <c r="J116" s="224">
        <f t="shared" si="32"/>
        <v>2050</v>
      </c>
      <c r="K116" s="81"/>
      <c r="L116" s="199">
        <f t="shared" ca="1" si="123"/>
        <v>1</v>
      </c>
      <c r="M116" s="199"/>
      <c r="N116" s="81"/>
      <c r="O116" s="723">
        <f t="shared" ca="1" si="124"/>
        <v>0.44700000000000001</v>
      </c>
      <c r="P116" s="723">
        <f t="shared" ca="1" si="125"/>
        <v>0</v>
      </c>
      <c r="Q116" s="81">
        <f t="shared" ca="1" si="126"/>
        <v>0.39319444444444446</v>
      </c>
      <c r="R116" s="300"/>
      <c r="S116" s="300"/>
      <c r="T116" s="300"/>
      <c r="U116" s="300"/>
      <c r="V116" s="199">
        <f t="shared" ref="V116" ca="1" si="133">IF(IF(RIGHT(H114,2)="PH",(1-L116)+$W$2,IF(RIGHT(H114,2)="HT",(1-L116)+$W$1,IF(RIGHT(H114,2)="SH",(1-L116)+$W$3,"")))&gt;0,IF(RIGHT(H114,2)="PH",(1-L116)+$W$2,IF(RIGHT(H114,2)="HT",(1-L116)+$W$1,IF(RIGHT(H114,2)="SH",(1-L116)+$W$3,""))),0)</f>
        <v>0.2</v>
      </c>
      <c r="W116" s="298"/>
      <c r="X116" s="698">
        <f t="shared" ca="1" si="80"/>
        <v>0</v>
      </c>
      <c r="Y116" s="81">
        <f t="shared" ca="1" si="128"/>
        <v>0</v>
      </c>
      <c r="Z116" s="81">
        <f t="shared" ca="1" si="129"/>
        <v>0</v>
      </c>
      <c r="AA116" s="81">
        <f t="shared" ca="1" si="130"/>
        <v>0</v>
      </c>
      <c r="AB116" s="81">
        <f t="shared" ca="1" si="131"/>
        <v>0</v>
      </c>
      <c r="AC116" s="203"/>
      <c r="AD116" s="81">
        <v>2050</v>
      </c>
      <c r="AE116" s="81"/>
      <c r="AF116" s="705"/>
    </row>
    <row r="117" spans="2:32">
      <c r="B117" s="718" t="s">
        <v>1014</v>
      </c>
      <c r="C117" s="226"/>
      <c r="D117" s="212" t="str">
        <f>"IND"&amp;RIGHT(H117,4)&amp;RIGHT(G117,3)&amp;"N"&amp;RIGHT(E117,2)</f>
        <v>INDGDPHELCN10</v>
      </c>
      <c r="E117" s="261" t="str">
        <f>"Industrial heating technology "&amp;$AJ$12&amp;" "&amp;RIGHT(H117,2)&amp;" - Direct electric heating - new 10"</f>
        <v>Industrial heating technology Glass &amp; Concrete PH - Direct electric heating - new 10</v>
      </c>
      <c r="F117" s="224" t="s">
        <v>1149</v>
      </c>
      <c r="G117" s="173" t="s">
        <v>499</v>
      </c>
      <c r="H117" s="174" t="str">
        <f>$AI$14</f>
        <v>IGDPH</v>
      </c>
      <c r="I117" s="174" t="str">
        <f t="shared" si="38"/>
        <v>INDGWH</v>
      </c>
      <c r="J117" s="224">
        <f t="shared" si="32"/>
        <v>2011</v>
      </c>
      <c r="K117" s="299">
        <v>2020</v>
      </c>
      <c r="L117" s="199">
        <f t="shared" ca="1" si="123"/>
        <v>1</v>
      </c>
      <c r="M117" s="199"/>
      <c r="N117" s="81">
        <f ca="1">VLOOKUP($AD117,INDIRECT("'"&amp;$B117&amp;"'!"&amp;"$P$39:$AD$42"),5,FALSE)</f>
        <v>12.5</v>
      </c>
      <c r="O117" s="723">
        <f t="shared" ca="1" si="124"/>
        <v>0.44700000000000001</v>
      </c>
      <c r="P117" s="723">
        <f t="shared" ca="1" si="125"/>
        <v>0</v>
      </c>
      <c r="Q117" s="81">
        <f t="shared" ca="1" si="126"/>
        <v>0.37767361111111114</v>
      </c>
      <c r="R117" s="81">
        <v>3.1536000000000002E-2</v>
      </c>
      <c r="S117" s="199">
        <v>0.5</v>
      </c>
      <c r="T117" s="199">
        <f ca="1">HLOOKUP($S$2,INDIRECT("'"&amp;$B117&amp;"'!"&amp;"$P$6:$AC$19"),IF(H117=$AI$13,6,IF(H117=$AI$14,9,14)),FALSE)</f>
        <v>0</v>
      </c>
      <c r="U117" s="772"/>
      <c r="V117" s="199">
        <f t="shared" ref="V117" ca="1" si="134">IF(IF(RIGHT(H117,2)="PH",(1-L117)+$W$2,IF(RIGHT(H117,2)="HT",(1-L117)+$W$1,IF(RIGHT(H117,2)="SH",(1-L117)+$W$3,"")))&gt;0,IF(RIGHT(H117,2)="PH",(1-L117)+$W$2,IF(RIGHT(H117,2)="HT",(1-L117)+$W$1,IF(RIGHT(H117,2)="SH",(1-L117)+$W$3,""))),0)</f>
        <v>0.2</v>
      </c>
      <c r="W117" s="298"/>
      <c r="X117" s="698">
        <f t="shared" ca="1" si="80"/>
        <v>0</v>
      </c>
      <c r="Y117" s="81">
        <f t="shared" ca="1" si="128"/>
        <v>0</v>
      </c>
      <c r="Z117" s="81">
        <f t="shared" ca="1" si="129"/>
        <v>0</v>
      </c>
      <c r="AA117" s="81">
        <f t="shared" ca="1" si="130"/>
        <v>0</v>
      </c>
      <c r="AB117" s="81">
        <f t="shared" ca="1" si="131"/>
        <v>0</v>
      </c>
      <c r="AD117" s="81">
        <v>2020</v>
      </c>
      <c r="AE117" s="299"/>
      <c r="AF117" s="220"/>
    </row>
    <row r="118" spans="2:32">
      <c r="B118" s="718" t="s">
        <v>1014</v>
      </c>
      <c r="C118" s="226"/>
      <c r="D118" s="212"/>
      <c r="E118" s="212"/>
      <c r="F118" s="224" t="s">
        <v>1149</v>
      </c>
      <c r="H118" s="174"/>
      <c r="I118" s="174" t="str">
        <f t="shared" si="38"/>
        <v>INDGWH</v>
      </c>
      <c r="J118" s="224">
        <f t="shared" si="32"/>
        <v>2030</v>
      </c>
      <c r="K118" s="81"/>
      <c r="L118" s="199">
        <f t="shared" ca="1" si="123"/>
        <v>1</v>
      </c>
      <c r="M118" s="199"/>
      <c r="N118" s="81"/>
      <c r="O118" s="723">
        <f t="shared" ca="1" si="124"/>
        <v>0.44700000000000001</v>
      </c>
      <c r="P118" s="723">
        <f t="shared" ca="1" si="125"/>
        <v>0</v>
      </c>
      <c r="Q118" s="81">
        <f t="shared" ca="1" si="126"/>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8"/>
        <v>0</v>
      </c>
      <c r="Z118" s="81">
        <f t="shared" ca="1" si="129"/>
        <v>0</v>
      </c>
      <c r="AA118" s="81">
        <f t="shared" ca="1" si="130"/>
        <v>0</v>
      </c>
      <c r="AB118" s="81">
        <f t="shared" ca="1" si="131"/>
        <v>0</v>
      </c>
      <c r="AD118" s="81">
        <v>2030</v>
      </c>
      <c r="AE118" s="81"/>
      <c r="AF118" s="220"/>
    </row>
    <row r="119" spans="2:32">
      <c r="B119" s="719" t="s">
        <v>1014</v>
      </c>
      <c r="C119" s="713"/>
      <c r="D119" s="701"/>
      <c r="E119" s="701"/>
      <c r="F119" s="224" t="s">
        <v>1149</v>
      </c>
      <c r="G119" s="203"/>
      <c r="H119" s="702"/>
      <c r="I119" s="702" t="str">
        <f t="shared" si="38"/>
        <v>INDGWH</v>
      </c>
      <c r="J119" s="224">
        <f t="shared" si="32"/>
        <v>2050</v>
      </c>
      <c r="K119" s="81"/>
      <c r="L119" s="199">
        <f t="shared" ca="1" si="123"/>
        <v>1</v>
      </c>
      <c r="M119" s="199"/>
      <c r="N119" s="81"/>
      <c r="O119" s="723">
        <f t="shared" ca="1" si="124"/>
        <v>0.44700000000000001</v>
      </c>
      <c r="P119" s="723">
        <f t="shared" ca="1" si="125"/>
        <v>0</v>
      </c>
      <c r="Q119" s="81">
        <f t="shared" ca="1" si="126"/>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8"/>
        <v>0</v>
      </c>
      <c r="Z119" s="81">
        <f t="shared" ca="1" si="129"/>
        <v>0</v>
      </c>
      <c r="AA119" s="81">
        <f t="shared" ca="1" si="130"/>
        <v>0</v>
      </c>
      <c r="AB119" s="81">
        <f t="shared" ca="1" si="131"/>
        <v>0</v>
      </c>
      <c r="AD119" s="81">
        <v>2050</v>
      </c>
      <c r="AE119" s="81"/>
      <c r="AF119" s="220"/>
    </row>
    <row r="120" spans="2:32">
      <c r="B120" s="718" t="s">
        <v>1009</v>
      </c>
      <c r="C120" s="226"/>
      <c r="D120" s="212" t="str">
        <f>"IND"&amp;RIGHT(H120,4)&amp;"DSL"&amp;"N"&amp;RIGHT(E120,1)</f>
        <v>INDGDPHDSLN1</v>
      </c>
      <c r="E120" s="261" t="str">
        <f>"Industrial heating technology "&amp;$AJ$12&amp;" "&amp;RIGHT(H120,2)&amp;" - Oil boiler (Steam) - new 1"</f>
        <v>Industrial heating technology Glass &amp; Concrete PH - Oil boiler (Steam) - new 1</v>
      </c>
      <c r="F120" s="224" t="s">
        <v>1149</v>
      </c>
      <c r="G120" s="173" t="s">
        <v>2081</v>
      </c>
      <c r="H120" s="174" t="str">
        <f>$AI$13</f>
        <v>IGDPH</v>
      </c>
      <c r="I120" s="174" t="str">
        <f t="shared" si="38"/>
        <v>INDGWH</v>
      </c>
      <c r="J120" s="224">
        <f t="shared" si="32"/>
        <v>2011</v>
      </c>
      <c r="K120" s="299">
        <v>2025</v>
      </c>
      <c r="L120" s="199">
        <f t="shared" ca="1" si="123"/>
        <v>0.94</v>
      </c>
      <c r="M120" s="699"/>
      <c r="N120" s="299">
        <f ca="1">VLOOKUP($AD120,INDIRECT("'"&amp;$B120&amp;"'!"&amp;"$P$39:$AD$42"),5,FALSE)</f>
        <v>25</v>
      </c>
      <c r="O120" s="725">
        <f t="shared" ca="1" si="124"/>
        <v>0.40975</v>
      </c>
      <c r="P120" s="725">
        <f t="shared" ca="1" si="125"/>
        <v>1.341E-2</v>
      </c>
      <c r="Q120" s="299">
        <f t="shared" ca="1" si="126"/>
        <v>2.0694444444444446</v>
      </c>
      <c r="R120" s="299">
        <v>3.1536000000000002E-2</v>
      </c>
      <c r="S120" s="699">
        <v>0.5</v>
      </c>
      <c r="T120" s="699">
        <f ca="1">HLOOKUP($T$2,INDIRECT("'"&amp;$B120&amp;"'!"&amp;"$P$6:$AC$19"),IF(H120=$AI$13,6,IF(H120=$AI$14,9,14)),FALSE)</f>
        <v>1</v>
      </c>
      <c r="U120" s="772"/>
      <c r="V120" s="199">
        <f t="shared" ref="V120" ca="1" si="137">IF(IF(RIGHT(H120,2)="PH",(1-L120)+$W$2,IF(RIGHT(H120,2)="HT",(1-L120)+$W$1,IF(RIGHT(H120,2)="SH",(1-L120)+$W$3,"")))&gt;0,IF(RIGHT(H120,2)="PH",(1-L120)+$W$2,IF(RIGHT(H120,2)="HT",(1-L120)+$W$1,IF(RIGHT(H120,2)="SH",(1-L120)+$W$3,""))),0)</f>
        <v>0.26000000000000006</v>
      </c>
      <c r="W120" s="298"/>
      <c r="X120" s="698">
        <f t="shared" ca="1" si="80"/>
        <v>0.5</v>
      </c>
      <c r="Y120" s="299">
        <f t="shared" ca="1" si="128"/>
        <v>25</v>
      </c>
      <c r="Z120" s="299">
        <f t="shared" ca="1" si="129"/>
        <v>0</v>
      </c>
      <c r="AA120" s="299">
        <f t="shared" ca="1" si="130"/>
        <v>0</v>
      </c>
      <c r="AB120" s="299">
        <f t="shared" ca="1" si="131"/>
        <v>0.1</v>
      </c>
      <c r="AD120" s="299">
        <v>2020</v>
      </c>
      <c r="AE120" s="81"/>
      <c r="AF120" s="220"/>
    </row>
    <row r="121" spans="2:32">
      <c r="B121" s="718" t="s">
        <v>1009</v>
      </c>
      <c r="C121" s="226"/>
      <c r="D121" s="212"/>
      <c r="E121" s="212"/>
      <c r="F121" s="224" t="s">
        <v>1149</v>
      </c>
      <c r="H121" s="174"/>
      <c r="I121" s="174" t="str">
        <f t="shared" si="38"/>
        <v>INDGWH</v>
      </c>
      <c r="J121" s="224">
        <f t="shared" si="32"/>
        <v>2030</v>
      </c>
      <c r="K121" s="81"/>
      <c r="L121" s="199">
        <f t="shared" ca="1" si="123"/>
        <v>0.95</v>
      </c>
      <c r="M121" s="199"/>
      <c r="N121" s="81"/>
      <c r="O121" s="723">
        <f t="shared" ca="1" si="124"/>
        <v>0.3469940346244772</v>
      </c>
      <c r="P121" s="723">
        <f t="shared" ca="1" si="125"/>
        <v>1.2664999999999999E-2</v>
      </c>
      <c r="Q121" s="81">
        <f t="shared" ca="1" si="126"/>
        <v>1.8625</v>
      </c>
      <c r="R121" s="300"/>
      <c r="S121" s="300"/>
      <c r="T121" s="300"/>
      <c r="U121" s="300"/>
      <c r="V121" s="199">
        <f t="shared" ref="V121" ca="1" si="138">IF(IF(RIGHT(H120,2)="PH",(1-L121)+$W$2,IF(RIGHT(H120,2)="HT",(1-L121)+$W$1,IF(RIGHT(H120,2)="SH",(1-L121)+$W$3,"")))&gt;0,IF(RIGHT(H120,2)="PH",(1-L121)+$W$2,IF(RIGHT(H120,2)="HT",(1-L121)+$W$1,IF(RIGHT(H120,2)="SH",(1-L121)+$W$3,""))),0)</f>
        <v>0.25000000000000006</v>
      </c>
      <c r="W121" s="298"/>
      <c r="X121" s="698">
        <f t="shared" ca="1" si="80"/>
        <v>0.5</v>
      </c>
      <c r="Y121" s="81">
        <f t="shared" ca="1" si="128"/>
        <v>20</v>
      </c>
      <c r="Z121" s="81">
        <f t="shared" ca="1" si="129"/>
        <v>0</v>
      </c>
      <c r="AA121" s="81">
        <f t="shared" ca="1" si="130"/>
        <v>0</v>
      </c>
      <c r="AB121" s="81">
        <f t="shared" ca="1" si="131"/>
        <v>0.1</v>
      </c>
      <c r="AD121" s="81">
        <v>2030</v>
      </c>
      <c r="AE121" s="81"/>
      <c r="AF121" s="220"/>
    </row>
    <row r="122" spans="2:32">
      <c r="B122" s="718" t="s">
        <v>1009</v>
      </c>
      <c r="C122" s="226"/>
      <c r="D122" s="212"/>
      <c r="E122" s="212"/>
      <c r="F122" s="224" t="s">
        <v>1149</v>
      </c>
      <c r="H122" s="174"/>
      <c r="I122" s="174" t="str">
        <f t="shared" si="38"/>
        <v>INDGWH</v>
      </c>
      <c r="J122" s="224">
        <f t="shared" si="32"/>
        <v>2050</v>
      </c>
      <c r="K122" s="81"/>
      <c r="L122" s="199">
        <f t="shared" ca="1" si="123"/>
        <v>0.96</v>
      </c>
      <c r="M122" s="199"/>
      <c r="N122" s="81"/>
      <c r="O122" s="723">
        <f t="shared" ca="1" si="124"/>
        <v>0.32813985758696651</v>
      </c>
      <c r="P122" s="723">
        <f t="shared" ca="1" si="125"/>
        <v>1.1175000000000001E-2</v>
      </c>
      <c r="Q122" s="81">
        <f t="shared" ca="1" si="126"/>
        <v>1.8625</v>
      </c>
      <c r="R122" s="300"/>
      <c r="S122" s="300"/>
      <c r="T122" s="300"/>
      <c r="U122" s="300"/>
      <c r="V122" s="199">
        <f t="shared" ref="V122" ca="1" si="139">IF(IF(RIGHT(H120,2)="PH",(1-L122)+$W$2,IF(RIGHT(H120,2)="HT",(1-L122)+$W$1,IF(RIGHT(H120,2)="SH",(1-L122)+$W$3,"")))&gt;0,IF(RIGHT(H120,2)="PH",(1-L122)+$W$2,IF(RIGHT(H120,2)="HT",(1-L122)+$W$1,IF(RIGHT(H120,2)="SH",(1-L122)+$W$3,""))),0)</f>
        <v>0.24000000000000005</v>
      </c>
      <c r="W122" s="298"/>
      <c r="X122" s="698">
        <f t="shared" ca="1" si="80"/>
        <v>0.5</v>
      </c>
      <c r="Y122" s="81">
        <f t="shared" ca="1" si="128"/>
        <v>15</v>
      </c>
      <c r="Z122" s="81">
        <f t="shared" ca="1" si="129"/>
        <v>0</v>
      </c>
      <c r="AA122" s="81">
        <f t="shared" ca="1" si="130"/>
        <v>0</v>
      </c>
      <c r="AB122" s="81">
        <f t="shared" ca="1" si="131"/>
        <v>0.1</v>
      </c>
      <c r="AD122" s="81">
        <v>2050</v>
      </c>
      <c r="AE122" s="81"/>
      <c r="AF122" s="220"/>
    </row>
    <row r="123" spans="2:32">
      <c r="B123" s="718" t="s">
        <v>1009</v>
      </c>
      <c r="C123" s="226"/>
      <c r="D123" s="212" t="str">
        <f>"IND"&amp;RIGHT(H123,4)&amp;"DSL"&amp;"N"&amp;RIGHT(E123,1)</f>
        <v>INDGDPHDSLN1</v>
      </c>
      <c r="E123" s="261" t="str">
        <f>"Industrial heating technology "&amp;$AJ$12&amp;" "&amp;RIGHT(H123,2)&amp;" - Oil boiler (Steam) - new 1"</f>
        <v>Industrial heating technology Glass &amp; Concrete PH - Oil boiler (Steam) - new 1</v>
      </c>
      <c r="F123" s="224" t="s">
        <v>1149</v>
      </c>
      <c r="G123" s="173" t="s">
        <v>2081</v>
      </c>
      <c r="H123" s="174" t="str">
        <f>$AI$14</f>
        <v>IGDPH</v>
      </c>
      <c r="I123" s="174" t="str">
        <f t="shared" si="38"/>
        <v>INDGWH</v>
      </c>
      <c r="J123" s="224">
        <f t="shared" si="32"/>
        <v>2011</v>
      </c>
      <c r="K123" s="299">
        <v>2025</v>
      </c>
      <c r="L123" s="199">
        <f t="shared" ca="1" si="123"/>
        <v>0.94</v>
      </c>
      <c r="M123" s="199"/>
      <c r="N123" s="81">
        <f ca="1">VLOOKUP($AD123,INDIRECT("'"&amp;$B123&amp;"'!"&amp;"$P$39:$AD$42"),5,FALSE)</f>
        <v>25</v>
      </c>
      <c r="O123" s="723">
        <f t="shared" ca="1" si="124"/>
        <v>0.40975</v>
      </c>
      <c r="P123" s="723">
        <f t="shared" ca="1" si="125"/>
        <v>1.341E-2</v>
      </c>
      <c r="Q123" s="81">
        <f t="shared" ca="1" si="126"/>
        <v>2.0694444444444446</v>
      </c>
      <c r="R123" s="81">
        <v>3.1536000000000002E-2</v>
      </c>
      <c r="S123" s="199">
        <v>0.5</v>
      </c>
      <c r="T123" s="199">
        <f ca="1">HLOOKUP($T$2,INDIRECT("'"&amp;$B123&amp;"'!"&amp;"$P$6:$AC$19"),IF(H123=$AI$13,6,IF(H123=$AI$14,9,14)),FALSE)</f>
        <v>1</v>
      </c>
      <c r="U123" s="772"/>
      <c r="V123" s="199">
        <f t="shared" ref="V123" ca="1" si="140">IF(IF(RIGHT(H123,2)="PH",(1-L123)+$W$2,IF(RIGHT(H123,2)="HT",(1-L123)+$W$1,IF(RIGHT(H123,2)="SH",(1-L123)+$W$3,"")))&gt;0,IF(RIGHT(H123,2)="PH",(1-L123)+$W$2,IF(RIGHT(H123,2)="HT",(1-L123)+$W$1,IF(RIGHT(H123,2)="SH",(1-L123)+$W$3,""))),0)</f>
        <v>0.26000000000000006</v>
      </c>
      <c r="W123" s="298"/>
      <c r="X123" s="698">
        <f t="shared" ca="1" si="80"/>
        <v>0.5</v>
      </c>
      <c r="Y123" s="81">
        <f t="shared" ca="1" si="128"/>
        <v>25</v>
      </c>
      <c r="Z123" s="81">
        <f t="shared" ca="1" si="129"/>
        <v>0</v>
      </c>
      <c r="AA123" s="81">
        <f t="shared" ca="1" si="130"/>
        <v>0</v>
      </c>
      <c r="AB123" s="81">
        <f t="shared" ca="1" si="131"/>
        <v>0.1</v>
      </c>
      <c r="AD123" s="81">
        <v>2020</v>
      </c>
      <c r="AE123" s="81"/>
      <c r="AF123" s="220"/>
    </row>
    <row r="124" spans="2:32">
      <c r="B124" s="718" t="s">
        <v>1009</v>
      </c>
      <c r="C124" s="226"/>
      <c r="D124" s="212"/>
      <c r="E124" s="212"/>
      <c r="F124" s="224" t="s">
        <v>1149</v>
      </c>
      <c r="H124" s="174"/>
      <c r="I124" s="174" t="str">
        <f t="shared" si="38"/>
        <v>INDGWH</v>
      </c>
      <c r="J124" s="224">
        <f t="shared" si="32"/>
        <v>2030</v>
      </c>
      <c r="K124" s="81"/>
      <c r="L124" s="199">
        <f t="shared" ca="1" si="123"/>
        <v>0.95</v>
      </c>
      <c r="M124" s="199"/>
      <c r="N124" s="81"/>
      <c r="O124" s="723">
        <f t="shared" ca="1" si="124"/>
        <v>0.3469940346244772</v>
      </c>
      <c r="P124" s="723">
        <f t="shared" ca="1" si="125"/>
        <v>1.2664999999999999E-2</v>
      </c>
      <c r="Q124" s="81">
        <f t="shared" ca="1" si="126"/>
        <v>1.8625</v>
      </c>
      <c r="R124" s="300"/>
      <c r="S124" s="300"/>
      <c r="T124" s="300"/>
      <c r="U124" s="300"/>
      <c r="V124" s="199">
        <f t="shared" ref="V124" ca="1" si="141">IF(IF(RIGHT(H123,2)="PH",(1-L124)+$W$2,IF(RIGHT(H123,2)="HT",(1-L124)+$W$1,IF(RIGHT(H123,2)="SH",(1-L124)+$W$3,"")))&gt;0,IF(RIGHT(H123,2)="PH",(1-L124)+$W$2,IF(RIGHT(H123,2)="HT",(1-L124)+$W$1,IF(RIGHT(H123,2)="SH",(1-L124)+$W$3,""))),0)</f>
        <v>0.25000000000000006</v>
      </c>
      <c r="W124" s="298"/>
      <c r="X124" s="698">
        <f t="shared" ca="1" si="80"/>
        <v>0.5</v>
      </c>
      <c r="Y124" s="81">
        <f t="shared" ca="1" si="128"/>
        <v>20</v>
      </c>
      <c r="Z124" s="81">
        <f t="shared" ca="1" si="129"/>
        <v>0</v>
      </c>
      <c r="AA124" s="81">
        <f t="shared" ca="1" si="130"/>
        <v>0</v>
      </c>
      <c r="AB124" s="81">
        <f t="shared" ca="1" si="131"/>
        <v>0.1</v>
      </c>
      <c r="AD124" s="81">
        <v>2030</v>
      </c>
      <c r="AE124" s="81"/>
      <c r="AF124" s="220"/>
    </row>
    <row r="125" spans="2:32">
      <c r="B125" s="718" t="s">
        <v>1009</v>
      </c>
      <c r="C125" s="226"/>
      <c r="D125" s="212"/>
      <c r="E125" s="212"/>
      <c r="F125" s="224" t="s">
        <v>1149</v>
      </c>
      <c r="H125" s="174"/>
      <c r="I125" s="174" t="str">
        <f t="shared" si="38"/>
        <v>INDGWH</v>
      </c>
      <c r="J125" s="224">
        <f t="shared" si="32"/>
        <v>2050</v>
      </c>
      <c r="K125" s="81"/>
      <c r="L125" s="199">
        <f t="shared" ca="1" si="123"/>
        <v>0.96</v>
      </c>
      <c r="M125" s="199"/>
      <c r="N125" s="81"/>
      <c r="O125" s="723">
        <f t="shared" ca="1" si="124"/>
        <v>0.32813985758696651</v>
      </c>
      <c r="P125" s="723">
        <f t="shared" ca="1" si="125"/>
        <v>1.1175000000000001E-2</v>
      </c>
      <c r="Q125" s="81">
        <f t="shared" ca="1" si="126"/>
        <v>1.8625</v>
      </c>
      <c r="R125" s="300"/>
      <c r="S125" s="300"/>
      <c r="T125" s="300"/>
      <c r="U125" s="300"/>
      <c r="V125" s="199">
        <f t="shared" ref="V125" ca="1" si="142">IF(IF(RIGHT(H123,2)="PH",(1-L125)+$W$2,IF(RIGHT(H123,2)="HT",(1-L125)+$W$1,IF(RIGHT(H123,2)="SH",(1-L125)+$W$3,"")))&gt;0,IF(RIGHT(H123,2)="PH",(1-L125)+$W$2,IF(RIGHT(H123,2)="HT",(1-L125)+$W$1,IF(RIGHT(H123,2)="SH",(1-L125)+$W$3,""))),0)</f>
        <v>0.24000000000000005</v>
      </c>
      <c r="W125" s="298"/>
      <c r="X125" s="698">
        <f t="shared" ca="1" si="80"/>
        <v>0.5</v>
      </c>
      <c r="Y125" s="81">
        <f t="shared" ca="1" si="128"/>
        <v>15</v>
      </c>
      <c r="Z125" s="81">
        <f t="shared" ca="1" si="129"/>
        <v>0</v>
      </c>
      <c r="AA125" s="81">
        <f t="shared" ca="1" si="130"/>
        <v>0</v>
      </c>
      <c r="AB125" s="81">
        <f t="shared" ca="1" si="131"/>
        <v>0.1</v>
      </c>
      <c r="AC125" s="203"/>
      <c r="AD125" s="81">
        <v>2050</v>
      </c>
      <c r="AE125" s="81"/>
      <c r="AF125" s="705"/>
    </row>
    <row r="126" spans="2:32">
      <c r="B126" s="718" t="s">
        <v>1009</v>
      </c>
      <c r="C126" s="226"/>
      <c r="D126" s="212" t="str">
        <f>"IND"&amp;RIGHT(H126,4)&amp;"DSL"&amp;"N"&amp;RIGHT(E126,1)</f>
        <v>INDGDSHDSLN1</v>
      </c>
      <c r="E126" s="261" t="str">
        <f>"Industrial heating technology "&amp;$AJ$12&amp;" "&amp;RIGHT(H126,2)&amp;" - Oil boiler (Steam) - new 1"</f>
        <v>Industrial heating technology Glass &amp; Concrete SH - Oil boiler (Steam) - new 1</v>
      </c>
      <c r="F126" s="224" t="s">
        <v>1149</v>
      </c>
      <c r="G126" s="173" t="s">
        <v>2081</v>
      </c>
      <c r="H126" s="174" t="str">
        <f>$AI$15</f>
        <v>IGDSH</v>
      </c>
      <c r="I126" s="174" t="str">
        <f t="shared" si="38"/>
        <v>INDGWH</v>
      </c>
      <c r="J126" s="224">
        <f t="shared" si="32"/>
        <v>2011</v>
      </c>
      <c r="K126" s="299">
        <v>2025</v>
      </c>
      <c r="L126" s="199">
        <f t="shared" ca="1" si="123"/>
        <v>0.94</v>
      </c>
      <c r="M126" s="199"/>
      <c r="N126" s="81">
        <f ca="1">VLOOKUP($AD126,INDIRECT("'"&amp;$B126&amp;"'!"&amp;"$P$39:$AD$42"),5,FALSE)</f>
        <v>25</v>
      </c>
      <c r="O126" s="723">
        <f t="shared" ca="1" si="124"/>
        <v>0.40975</v>
      </c>
      <c r="P126" s="723">
        <f t="shared" ca="1" si="125"/>
        <v>1.341E-2</v>
      </c>
      <c r="Q126" s="81">
        <f t="shared" ca="1" si="126"/>
        <v>2.0694444444444446</v>
      </c>
      <c r="R126" s="81">
        <v>3.1536000000000002E-2</v>
      </c>
      <c r="S126" s="199">
        <v>0.5</v>
      </c>
      <c r="T126" s="199">
        <f ca="1">HLOOKUP($T$2,INDIRECT("'"&amp;$B126&amp;"'!"&amp;"$P$6:$AC$19"),IF(H126=$AI$13,6,IF(H126=$AI$14,9,14)),FALSE)</f>
        <v>1</v>
      </c>
      <c r="U126" s="772"/>
      <c r="V126" s="199">
        <f t="shared" ref="V126" ca="1" si="143">IF(IF(RIGHT(H126,2)="PH",(1-L126)+$W$2,IF(RIGHT(H126,2)="HT",(1-L126)+$W$1,IF(RIGHT(H126,2)="SH",(1-L126)+$W$3,"")))&gt;0,IF(RIGHT(H126,2)="PH",(1-L126)+$W$2,IF(RIGHT(H126,2)="HT",(1-L126)+$W$1,IF(RIGHT(H126,2)="SH",(1-L126)+$W$3,""))),0)</f>
        <v>6.0000000000000053E-2</v>
      </c>
      <c r="W126" s="298"/>
      <c r="X126" s="698">
        <f t="shared" ca="1" si="80"/>
        <v>0.5</v>
      </c>
      <c r="Y126" s="81">
        <f t="shared" ca="1" si="128"/>
        <v>25</v>
      </c>
      <c r="Z126" s="81">
        <f t="shared" ca="1" si="129"/>
        <v>0</v>
      </c>
      <c r="AA126" s="81">
        <f t="shared" ca="1" si="130"/>
        <v>0</v>
      </c>
      <c r="AB126" s="81">
        <f t="shared" ca="1" si="131"/>
        <v>0.1</v>
      </c>
      <c r="AC126" s="296"/>
      <c r="AD126" s="81">
        <v>2020</v>
      </c>
      <c r="AE126" s="81"/>
      <c r="AF126" s="710"/>
    </row>
    <row r="127" spans="2:32">
      <c r="B127" s="718" t="s">
        <v>1009</v>
      </c>
      <c r="C127" s="226"/>
      <c r="D127" s="212"/>
      <c r="E127" s="212"/>
      <c r="F127" s="224" t="s">
        <v>1149</v>
      </c>
      <c r="H127" s="174"/>
      <c r="I127" s="174" t="str">
        <f t="shared" si="38"/>
        <v>INDGWH</v>
      </c>
      <c r="J127" s="224">
        <f t="shared" si="32"/>
        <v>2030</v>
      </c>
      <c r="K127" s="81"/>
      <c r="L127" s="199">
        <f t="shared" ca="1" si="123"/>
        <v>0.95</v>
      </c>
      <c r="M127" s="199"/>
      <c r="N127" s="81"/>
      <c r="O127" s="723">
        <f t="shared" ca="1" si="124"/>
        <v>0.3469940346244772</v>
      </c>
      <c r="P127" s="723">
        <f t="shared" ca="1" si="125"/>
        <v>1.2664999999999999E-2</v>
      </c>
      <c r="Q127" s="81">
        <f t="shared" ca="1" si="126"/>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8"/>
        <v>20</v>
      </c>
      <c r="Z127" s="81">
        <f t="shared" ca="1" si="129"/>
        <v>0</v>
      </c>
      <c r="AA127" s="81">
        <f t="shared" ca="1" si="130"/>
        <v>0</v>
      </c>
      <c r="AB127" s="81">
        <f t="shared" ca="1" si="131"/>
        <v>0.1</v>
      </c>
      <c r="AC127" s="55"/>
      <c r="AD127" s="81">
        <v>2030</v>
      </c>
      <c r="AE127" s="81"/>
      <c r="AF127" s="700"/>
    </row>
    <row r="128" spans="2:32">
      <c r="B128" s="719" t="s">
        <v>1009</v>
      </c>
      <c r="C128" s="713"/>
      <c r="D128" s="701"/>
      <c r="E128" s="701"/>
      <c r="F128" s="224" t="s">
        <v>1149</v>
      </c>
      <c r="G128" s="203"/>
      <c r="H128" s="702"/>
      <c r="I128" s="702" t="str">
        <f t="shared" si="38"/>
        <v>INDGWH</v>
      </c>
      <c r="J128" s="224">
        <f t="shared" ref="J128:J186" si="146">IF(AD128=2020,2011,AD128)</f>
        <v>2050</v>
      </c>
      <c r="K128" s="81"/>
      <c r="L128" s="199">
        <f t="shared" ca="1" si="123"/>
        <v>0.96</v>
      </c>
      <c r="M128" s="199"/>
      <c r="N128" s="81"/>
      <c r="O128" s="723">
        <f t="shared" ca="1" si="124"/>
        <v>0.32813985758696651</v>
      </c>
      <c r="P128" s="723">
        <f t="shared" ca="1" si="125"/>
        <v>1.1175000000000001E-2</v>
      </c>
      <c r="Q128" s="81">
        <f t="shared" ca="1" si="126"/>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8"/>
        <v>15</v>
      </c>
      <c r="Z128" s="81">
        <f t="shared" ca="1" si="129"/>
        <v>0</v>
      </c>
      <c r="AA128" s="81">
        <f t="shared" ca="1" si="130"/>
        <v>0</v>
      </c>
      <c r="AB128" s="81">
        <f t="shared" ca="1" si="131"/>
        <v>0.1</v>
      </c>
      <c r="AC128" s="55"/>
      <c r="AD128" s="81">
        <v>2050</v>
      </c>
      <c r="AE128" s="81"/>
      <c r="AF128" s="700"/>
    </row>
    <row r="129" spans="2:32">
      <c r="B129" s="718" t="s">
        <v>1009</v>
      </c>
      <c r="C129" s="226"/>
      <c r="D129" s="212" t="str">
        <f>"IND"&amp;RIGHT(H129,4)&amp;"DSL"&amp;"N"&amp;RIGHT(E129,1)</f>
        <v>INDGDPHDSLN2</v>
      </c>
      <c r="E129" s="707" t="str">
        <f>"Industrial heating technology "&amp;$AJ$12&amp;" "&amp;RIGHT(H129,2)&amp;" - Oil boiler (Steam - condensing) - new 2"</f>
        <v>Industrial heating technology Glass &amp; Concrete PH - Oil boiler (Steam - condensing) - new 2</v>
      </c>
      <c r="F129" s="224" t="s">
        <v>1149</v>
      </c>
      <c r="G129" s="173" t="s">
        <v>2081</v>
      </c>
      <c r="H129" s="708" t="str">
        <f>$AI$14</f>
        <v>IGDPH</v>
      </c>
      <c r="I129" s="708" t="str">
        <f t="shared" si="38"/>
        <v>INDGWH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38"/>
        <v>INDGWH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38"/>
        <v>INDGWH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INDGDSHDSLN2</v>
      </c>
      <c r="E132" s="261" t="str">
        <f>"Industrial heating technology "&amp;$AJ$12&amp;" "&amp;RIGHT(H132,2)&amp;" - Oil boiler (Steam - condensing) - new 2"</f>
        <v>Industrial heating technology Glass &amp; Concrete SH - Oil boiler (Steam - condensing) - new 2</v>
      </c>
      <c r="F132" s="224" t="s">
        <v>1149</v>
      </c>
      <c r="G132" s="173" t="s">
        <v>2081</v>
      </c>
      <c r="H132" s="174" t="str">
        <f>$AI$15</f>
        <v>IGDSH</v>
      </c>
      <c r="I132" s="174" t="str">
        <f t="shared" si="38"/>
        <v>INDGWH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38"/>
        <v>INDGWH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38"/>
        <v>INDGWH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INDGDPHGASN1</v>
      </c>
      <c r="E135" s="261" t="str">
        <f>"Industrial heating technology "&amp;$AJ$12&amp;" "&amp;RIGHT(H135,2)&amp;" - Gas boiler (Steam) - new 1"</f>
        <v>Industrial heating technology Glass &amp; Concrete PH - Gas boiler (Steam) - new 1</v>
      </c>
      <c r="F135" s="224" t="s">
        <v>1149</v>
      </c>
      <c r="G135" s="173" t="s">
        <v>2080</v>
      </c>
      <c r="H135" s="174" t="str">
        <f>$AI$13</f>
        <v>IGDPH</v>
      </c>
      <c r="I135" s="174" t="str">
        <f t="shared" ref="I135:I182" si="162">$AI$20</f>
        <v>INDGWH</v>
      </c>
      <c r="J135" s="224">
        <f t="shared" si="146"/>
        <v>2011</v>
      </c>
      <c r="K135" s="299">
        <v>2011</v>
      </c>
      <c r="L135" s="199">
        <f t="shared" ref="L135:L143" ca="1" si="163">VLOOKUP($AD135,INDIRECT("'"&amp;$B135&amp;"'!"&amp;"$P$39:$AD$42"),3,FALSE)</f>
        <v>0.92</v>
      </c>
      <c r="M135" s="699"/>
      <c r="N135" s="299">
        <f ca="1">VLOOKUP($AD135,INDIRECT("'"&amp;$B135&amp;"'!"&amp;"$P$39:$AD$42"),5,FALSE)</f>
        <v>25</v>
      </c>
      <c r="O135" s="725">
        <f t="shared" ref="O135:O143" ca="1" si="164">VLOOKUP($AD135,INDIRECT("'"&amp;$B135&amp;"'!"&amp;"$P$39:$AD$42"),6,FALSE)/1000</f>
        <v>0.40636363636363632</v>
      </c>
      <c r="P135" s="725">
        <f t="shared" ref="P135:P143" ca="1" si="165">VLOOKUP($AD135,INDIRECT("'"&amp;$B135&amp;"'!"&amp;"$P$39:$AD$42"),7,FALSE)/1000</f>
        <v>1.49E-2</v>
      </c>
      <c r="Q135" s="299">
        <f t="shared" ref="Q135:Q143" ca="1" si="166">VLOOKUP($AD135,INDIRECT("'"&amp;$B135&amp;"'!"&amp;"$P$39:$AD$42"),8,FALSE)</f>
        <v>2.276388888888889</v>
      </c>
      <c r="R135" s="299">
        <v>3.1536000000000002E-2</v>
      </c>
      <c r="S135" s="699">
        <v>0.5</v>
      </c>
      <c r="T135" s="699">
        <f ca="1">HLOOKUP($T$2,INDIRECT("'"&amp;$B135&amp;"'!"&amp;"$P$6:$AC$19"),IF(H135=$AI$13,6,IF(H135=$AI$14,9,14)),FALSE)</f>
        <v>1</v>
      </c>
      <c r="U135" s="772"/>
      <c r="V135" s="199">
        <f t="shared" ref="V135" ca="1" si="167">IF(IF(RIGHT(H135,2)="PH",(1-L135)+$W$2,IF(RIGHT(H135,2)="HT",(1-L135)+$W$1,IF(RIGHT(H135,2)="SH",(1-L135)+$W$3,"")))&gt;0,IF(RIGHT(H135,2)="PH",(1-L135)+$W$2,IF(RIGHT(H135,2)="HT",(1-L135)+$W$1,IF(RIGHT(H135,2)="SH",(1-L135)+$W$3,""))),0)</f>
        <v>0.27999999999999997</v>
      </c>
      <c r="W135" s="298"/>
      <c r="X135" s="698">
        <f t="shared" ca="1" si="145"/>
        <v>0.3</v>
      </c>
      <c r="Y135" s="299">
        <f t="shared" ref="Y135:Y143" ca="1" si="168">VLOOKUP($AD135,INDIRECT("'"&amp;$B135&amp;"'!"&amp;"$P$39:$AD$42"),12,FALSE)</f>
        <v>9</v>
      </c>
      <c r="Z135" s="299">
        <f t="shared" ref="Z135:Z143" ca="1" si="169">VLOOKUP($AD135,INDIRECT("'"&amp;$B135&amp;"'!"&amp;"$P$39:$AD$42"),13,FALSE)</f>
        <v>3</v>
      </c>
      <c r="AA135" s="299">
        <f t="shared" ref="AA135:AA143" ca="1" si="170">VLOOKUP($AD135,INDIRECT("'"&amp;$B135&amp;"'!"&amp;"$P$39:$AD$42"),14,FALSE)</f>
        <v>1</v>
      </c>
      <c r="AB135" s="299">
        <f t="shared" ref="AB135:AB143" ca="1" si="171">VLOOKUP($AD135,INDIRECT("'"&amp;$B135&amp;"'!"&amp;"$P$39:$AD$42"),15,FALSE)</f>
        <v>0.1</v>
      </c>
      <c r="AD135" s="299">
        <v>2020</v>
      </c>
      <c r="AE135" s="81"/>
      <c r="AF135" s="220"/>
    </row>
    <row r="136" spans="2:32">
      <c r="B136" s="718" t="s">
        <v>1010</v>
      </c>
      <c r="C136" s="226"/>
      <c r="E136" s="212"/>
      <c r="F136" s="224" t="s">
        <v>1149</v>
      </c>
      <c r="H136" s="174"/>
      <c r="I136" s="174" t="str">
        <f t="shared" si="162"/>
        <v>INDGWH</v>
      </c>
      <c r="J136" s="224">
        <f t="shared" si="146"/>
        <v>2030</v>
      </c>
      <c r="K136" s="81"/>
      <c r="L136" s="199">
        <f t="shared" ca="1" si="163"/>
        <v>0.93</v>
      </c>
      <c r="M136" s="199"/>
      <c r="N136" s="81"/>
      <c r="O136" s="723">
        <f t="shared" ca="1" si="164"/>
        <v>0.33863636363636368</v>
      </c>
      <c r="P136" s="723">
        <f t="shared" ca="1" si="165"/>
        <v>1.4154999999999999E-2</v>
      </c>
      <c r="Q136" s="81">
        <f t="shared" ca="1" si="166"/>
        <v>2.0694444444444446</v>
      </c>
      <c r="R136" s="300"/>
      <c r="S136" s="300"/>
      <c r="T136" s="300"/>
      <c r="U136" s="300"/>
      <c r="V136" s="199">
        <f t="shared" ref="V136" ca="1" si="172">IF(IF(RIGHT(H135,2)="PH",(1-L136)+$W$2,IF(RIGHT(H135,2)="HT",(1-L136)+$W$1,IF(RIGHT(H135,2)="SH",(1-L136)+$W$3,"")))&gt;0,IF(RIGHT(H135,2)="PH",(1-L136)+$W$2,IF(RIGHT(H135,2)="HT",(1-L136)+$W$1,IF(RIGHT(H135,2)="SH",(1-L136)+$W$3,""))),0)</f>
        <v>0.26999999999999996</v>
      </c>
      <c r="W136" s="298"/>
      <c r="X136" s="698">
        <f t="shared" ca="1" si="145"/>
        <v>0.3</v>
      </c>
      <c r="Y136" s="81">
        <f t="shared" ca="1" si="168"/>
        <v>7</v>
      </c>
      <c r="Z136" s="81">
        <f t="shared" ca="1" si="169"/>
        <v>2</v>
      </c>
      <c r="AA136" s="81">
        <f t="shared" ca="1" si="170"/>
        <v>1</v>
      </c>
      <c r="AB136" s="81">
        <f t="shared" ca="1" si="171"/>
        <v>0.1</v>
      </c>
      <c r="AD136" s="81">
        <v>2030</v>
      </c>
      <c r="AE136" s="81"/>
      <c r="AF136" s="220"/>
    </row>
    <row r="137" spans="2:32">
      <c r="B137" s="718" t="s">
        <v>1010</v>
      </c>
      <c r="C137" s="226"/>
      <c r="E137" s="212"/>
      <c r="F137" s="224" t="s">
        <v>1149</v>
      </c>
      <c r="H137" s="174"/>
      <c r="I137" s="174" t="str">
        <f t="shared" si="162"/>
        <v>INDGWH</v>
      </c>
      <c r="J137" s="224">
        <f t="shared" si="146"/>
        <v>2050</v>
      </c>
      <c r="K137" s="81"/>
      <c r="L137" s="199">
        <f t="shared" ca="1" si="163"/>
        <v>0.94</v>
      </c>
      <c r="M137" s="199"/>
      <c r="N137" s="81"/>
      <c r="O137" s="723">
        <f t="shared" ca="1" si="164"/>
        <v>0.33863636363636368</v>
      </c>
      <c r="P137" s="723">
        <f t="shared" ca="1" si="165"/>
        <v>1.2664999999999999E-2</v>
      </c>
      <c r="Q137" s="81">
        <f t="shared" ca="1" si="166"/>
        <v>2.0694444444444446</v>
      </c>
      <c r="R137" s="300"/>
      <c r="S137" s="300"/>
      <c r="T137" s="300"/>
      <c r="U137" s="300"/>
      <c r="V137" s="199">
        <f t="shared" ref="V137" ca="1" si="173">IF(IF(RIGHT(H135,2)="PH",(1-L137)+$W$2,IF(RIGHT(H135,2)="HT",(1-L137)+$W$1,IF(RIGHT(H135,2)="SH",(1-L137)+$W$3,"")))&gt;0,IF(RIGHT(H135,2)="PH",(1-L137)+$W$2,IF(RIGHT(H135,2)="HT",(1-L137)+$W$1,IF(RIGHT(H135,2)="SH",(1-L137)+$W$3,""))),0)</f>
        <v>0.26000000000000006</v>
      </c>
      <c r="W137" s="298"/>
      <c r="X137" s="698">
        <f t="shared" ca="1" si="145"/>
        <v>0.3</v>
      </c>
      <c r="Y137" s="81">
        <f t="shared" ca="1" si="168"/>
        <v>6</v>
      </c>
      <c r="Z137" s="81">
        <f t="shared" ca="1" si="169"/>
        <v>2</v>
      </c>
      <c r="AA137" s="81">
        <f t="shared" ca="1" si="170"/>
        <v>1</v>
      </c>
      <c r="AB137" s="81">
        <f t="shared" ca="1" si="171"/>
        <v>0.1</v>
      </c>
      <c r="AD137" s="81">
        <v>2050</v>
      </c>
      <c r="AE137" s="81"/>
      <c r="AF137" s="220"/>
    </row>
    <row r="138" spans="2:32">
      <c r="B138" s="718" t="s">
        <v>1010</v>
      </c>
      <c r="C138" s="226"/>
      <c r="D138" s="212" t="str">
        <f>"IND"&amp;RIGHT(H138,4)&amp;"GAS"&amp;"N"&amp;RIGHT(E138,1)</f>
        <v>INDGDPHGASN1</v>
      </c>
      <c r="E138" s="261" t="str">
        <f>"Industrial heating technology "&amp;$AJ$12&amp;" "&amp;RIGHT(H138,2)&amp;" - Gas boiler (Steam) - new 1"</f>
        <v>Industrial heating technology Glass &amp; Concrete PH - Gas boiler (Steam) - new 1</v>
      </c>
      <c r="F138" s="224" t="s">
        <v>1149</v>
      </c>
      <c r="G138" s="173" t="s">
        <v>2080</v>
      </c>
      <c r="H138" s="174" t="str">
        <f>$AI$14</f>
        <v>IGDPH</v>
      </c>
      <c r="I138" s="174" t="str">
        <f t="shared" si="162"/>
        <v>INDGWH</v>
      </c>
      <c r="J138" s="224">
        <f t="shared" si="146"/>
        <v>2011</v>
      </c>
      <c r="K138" s="299">
        <f>J138</f>
        <v>2011</v>
      </c>
      <c r="L138" s="199">
        <f t="shared" ca="1" si="163"/>
        <v>0.92</v>
      </c>
      <c r="M138" s="199"/>
      <c r="N138" s="81">
        <f ca="1">VLOOKUP($AD138,INDIRECT("'"&amp;$B138&amp;"'!"&amp;"$P$39:$AD$42"),5,FALSE)</f>
        <v>25</v>
      </c>
      <c r="O138" s="723">
        <f t="shared" ca="1" si="164"/>
        <v>0.40636363636363632</v>
      </c>
      <c r="P138" s="723">
        <f t="shared" ca="1" si="165"/>
        <v>1.49E-2</v>
      </c>
      <c r="Q138" s="81">
        <f t="shared" ca="1" si="166"/>
        <v>2.276388888888889</v>
      </c>
      <c r="R138" s="81">
        <v>3.1536000000000002E-2</v>
      </c>
      <c r="S138" s="199">
        <v>0.5</v>
      </c>
      <c r="T138" s="199">
        <f ca="1">HLOOKUP($T$2,INDIRECT("'"&amp;$B138&amp;"'!"&amp;"$P$6:$AC$19"),IF(H138=$AI$13,6,IF(H138=$AI$14,9,14)),FALSE)</f>
        <v>1</v>
      </c>
      <c r="U138" s="772"/>
      <c r="V138" s="199">
        <f t="shared" ref="V138" ca="1" si="174">IF(IF(RIGHT(H138,2)="PH",(1-L138)+$W$2,IF(RIGHT(H138,2)="HT",(1-L138)+$W$1,IF(RIGHT(H138,2)="SH",(1-L138)+$W$3,"")))&gt;0,IF(RIGHT(H138,2)="PH",(1-L138)+$W$2,IF(RIGHT(H138,2)="HT",(1-L138)+$W$1,IF(RIGHT(H138,2)="SH",(1-L138)+$W$3,""))),0)</f>
        <v>0.27999999999999997</v>
      </c>
      <c r="W138" s="298"/>
      <c r="X138" s="698">
        <f t="shared" ca="1" si="145"/>
        <v>0.3</v>
      </c>
      <c r="Y138" s="81">
        <f t="shared" ca="1" si="168"/>
        <v>9</v>
      </c>
      <c r="Z138" s="81">
        <f t="shared" ca="1" si="169"/>
        <v>3</v>
      </c>
      <c r="AA138" s="81">
        <f t="shared" ca="1" si="170"/>
        <v>1</v>
      </c>
      <c r="AB138" s="81">
        <f t="shared" ca="1" si="171"/>
        <v>0.1</v>
      </c>
      <c r="AD138" s="81">
        <v>2020</v>
      </c>
      <c r="AE138" s="81"/>
      <c r="AF138" s="220"/>
    </row>
    <row r="139" spans="2:32">
      <c r="B139" s="718" t="s">
        <v>1010</v>
      </c>
      <c r="C139" s="226"/>
      <c r="E139" s="212"/>
      <c r="F139" s="224" t="s">
        <v>1149</v>
      </c>
      <c r="H139" s="174"/>
      <c r="I139" s="174" t="str">
        <f t="shared" si="162"/>
        <v>INDGWH</v>
      </c>
      <c r="J139" s="224">
        <f t="shared" si="146"/>
        <v>2030</v>
      </c>
      <c r="K139" s="81"/>
      <c r="L139" s="199">
        <f t="shared" ca="1" si="163"/>
        <v>0.93</v>
      </c>
      <c r="M139" s="199"/>
      <c r="N139" s="81"/>
      <c r="O139" s="723">
        <f t="shared" ca="1" si="164"/>
        <v>0.33863636363636368</v>
      </c>
      <c r="P139" s="723">
        <f t="shared" ca="1" si="165"/>
        <v>1.4154999999999999E-2</v>
      </c>
      <c r="Q139" s="81">
        <f t="shared" ca="1" si="166"/>
        <v>2.0694444444444446</v>
      </c>
      <c r="R139" s="300"/>
      <c r="S139" s="300"/>
      <c r="T139" s="300"/>
      <c r="U139" s="300"/>
      <c r="V139" s="199">
        <f t="shared" ref="V139" ca="1" si="175">IF(IF(RIGHT(H138,2)="PH",(1-L139)+$W$2,IF(RIGHT(H138,2)="HT",(1-L139)+$W$1,IF(RIGHT(H138,2)="SH",(1-L139)+$W$3,"")))&gt;0,IF(RIGHT(H138,2)="PH",(1-L139)+$W$2,IF(RIGHT(H138,2)="HT",(1-L139)+$W$1,IF(RIGHT(H138,2)="SH",(1-L139)+$W$3,""))),0)</f>
        <v>0.26999999999999996</v>
      </c>
      <c r="W139" s="298"/>
      <c r="X139" s="698">
        <f t="shared" ca="1" si="145"/>
        <v>0.3</v>
      </c>
      <c r="Y139" s="81">
        <f t="shared" ca="1" si="168"/>
        <v>7</v>
      </c>
      <c r="Z139" s="81">
        <f t="shared" ca="1" si="169"/>
        <v>2</v>
      </c>
      <c r="AA139" s="81">
        <f t="shared" ca="1" si="170"/>
        <v>1</v>
      </c>
      <c r="AB139" s="81">
        <f t="shared" ca="1" si="171"/>
        <v>0.1</v>
      </c>
      <c r="AD139" s="81">
        <v>2030</v>
      </c>
      <c r="AE139" s="81"/>
      <c r="AF139" s="220"/>
    </row>
    <row r="140" spans="2:32">
      <c r="B140" s="718" t="s">
        <v>1010</v>
      </c>
      <c r="C140" s="226"/>
      <c r="E140" s="212"/>
      <c r="F140" s="224" t="s">
        <v>1149</v>
      </c>
      <c r="H140" s="174"/>
      <c r="I140" s="174" t="str">
        <f t="shared" si="162"/>
        <v>INDGWH</v>
      </c>
      <c r="J140" s="224">
        <f t="shared" si="146"/>
        <v>2050</v>
      </c>
      <c r="K140" s="81"/>
      <c r="L140" s="199">
        <f t="shared" ca="1" si="163"/>
        <v>0.94</v>
      </c>
      <c r="M140" s="199"/>
      <c r="N140" s="81"/>
      <c r="O140" s="723">
        <f t="shared" ca="1" si="164"/>
        <v>0.33863636363636368</v>
      </c>
      <c r="P140" s="723">
        <f t="shared" ca="1" si="165"/>
        <v>1.2664999999999999E-2</v>
      </c>
      <c r="Q140" s="81">
        <f t="shared" ca="1" si="166"/>
        <v>2.0694444444444446</v>
      </c>
      <c r="R140" s="300"/>
      <c r="S140" s="300"/>
      <c r="T140" s="300"/>
      <c r="U140" s="300"/>
      <c r="V140" s="199">
        <f t="shared" ref="V140" ca="1" si="176">IF(IF(RIGHT(H138,2)="PH",(1-L140)+$W$2,IF(RIGHT(H138,2)="HT",(1-L140)+$W$1,IF(RIGHT(H138,2)="SH",(1-L140)+$W$3,"")))&gt;0,IF(RIGHT(H138,2)="PH",(1-L140)+$W$2,IF(RIGHT(H138,2)="HT",(1-L140)+$W$1,IF(RIGHT(H138,2)="SH",(1-L140)+$W$3,""))),0)</f>
        <v>0.26000000000000006</v>
      </c>
      <c r="W140" s="298"/>
      <c r="X140" s="698">
        <f t="shared" ca="1" si="145"/>
        <v>0.3</v>
      </c>
      <c r="Y140" s="81">
        <f t="shared" ca="1" si="168"/>
        <v>6</v>
      </c>
      <c r="Z140" s="81">
        <f t="shared" ca="1" si="169"/>
        <v>2</v>
      </c>
      <c r="AA140" s="81">
        <f t="shared" ca="1" si="170"/>
        <v>1</v>
      </c>
      <c r="AB140" s="81">
        <f t="shared" ca="1" si="171"/>
        <v>0.1</v>
      </c>
      <c r="AC140" s="203"/>
      <c r="AD140" s="81">
        <v>2050</v>
      </c>
      <c r="AE140" s="81"/>
      <c r="AF140" s="705"/>
    </row>
    <row r="141" spans="2:32">
      <c r="B141" s="718" t="s">
        <v>1010</v>
      </c>
      <c r="C141" s="226"/>
      <c r="D141" s="212" t="str">
        <f>"IND"&amp;RIGHT(H141,4)&amp;"GAS"&amp;"N"&amp;RIGHT(E141,1)</f>
        <v>INDGDSHGASN1</v>
      </c>
      <c r="E141" s="261" t="str">
        <f>"Industrial heating technology "&amp;$AJ$12&amp;" "&amp;RIGHT(H141,2)&amp;" - Gas boiler (Steam) - new 1"</f>
        <v>Industrial heating technology Glass &amp; Concrete SH - Gas boiler (Steam) - new 1</v>
      </c>
      <c r="F141" s="224" t="s">
        <v>1149</v>
      </c>
      <c r="G141" s="173" t="s">
        <v>2080</v>
      </c>
      <c r="H141" s="174" t="str">
        <f>$AI$15</f>
        <v>IGDSH</v>
      </c>
      <c r="I141" s="174" t="str">
        <f t="shared" si="162"/>
        <v>INDGWH</v>
      </c>
      <c r="J141" s="224">
        <f t="shared" si="146"/>
        <v>2011</v>
      </c>
      <c r="K141" s="299">
        <f>J141</f>
        <v>2011</v>
      </c>
      <c r="L141" s="199">
        <f t="shared" ca="1" si="163"/>
        <v>0.92</v>
      </c>
      <c r="M141" s="199"/>
      <c r="N141" s="81">
        <f ca="1">VLOOKUP($AD141,INDIRECT("'"&amp;$B141&amp;"'!"&amp;"$P$39:$AD$42"),5,FALSE)</f>
        <v>25</v>
      </c>
      <c r="O141" s="723">
        <f t="shared" ca="1" si="164"/>
        <v>0.40636363636363632</v>
      </c>
      <c r="P141" s="723">
        <f t="shared" ca="1" si="165"/>
        <v>1.49E-2</v>
      </c>
      <c r="Q141" s="81">
        <f t="shared" ca="1" si="166"/>
        <v>2.276388888888889</v>
      </c>
      <c r="R141" s="81">
        <v>3.1536000000000002E-2</v>
      </c>
      <c r="S141" s="199">
        <v>0.5</v>
      </c>
      <c r="T141" s="199">
        <f ca="1">HLOOKUP($T$2,INDIRECT("'"&amp;$B141&amp;"'!"&amp;"$P$6:$AC$19"),IF(H141=$AI$13,6,IF(H141=$AI$14,9,14)),FALSE)</f>
        <v>1</v>
      </c>
      <c r="U141" s="772"/>
      <c r="V141" s="199">
        <f t="shared" ref="V141" ca="1" si="177">IF(IF(RIGHT(H141,2)="PH",(1-L141)+$W$2,IF(RIGHT(H141,2)="HT",(1-L141)+$W$1,IF(RIGHT(H141,2)="SH",(1-L141)+$W$3,"")))&gt;0,IF(RIGHT(H141,2)="PH",(1-L141)+$W$2,IF(RIGHT(H141,2)="HT",(1-L141)+$W$1,IF(RIGHT(H141,2)="SH",(1-L141)+$W$3,""))),0)</f>
        <v>7.999999999999996E-2</v>
      </c>
      <c r="W141" s="298"/>
      <c r="X141" s="698">
        <f t="shared" ca="1" si="145"/>
        <v>0.3</v>
      </c>
      <c r="Y141" s="81">
        <f t="shared" ca="1" si="168"/>
        <v>9</v>
      </c>
      <c r="Z141" s="81">
        <f t="shared" ca="1" si="169"/>
        <v>3</v>
      </c>
      <c r="AA141" s="81">
        <f t="shared" ca="1" si="170"/>
        <v>1</v>
      </c>
      <c r="AB141" s="81">
        <f t="shared" ca="1" si="171"/>
        <v>0.1</v>
      </c>
      <c r="AC141" s="296"/>
      <c r="AD141" s="81">
        <v>2020</v>
      </c>
      <c r="AE141" s="81"/>
      <c r="AF141" s="710"/>
    </row>
    <row r="142" spans="2:32">
      <c r="B142" s="718" t="s">
        <v>1010</v>
      </c>
      <c r="C142" s="226"/>
      <c r="E142" s="212"/>
      <c r="F142" s="224" t="s">
        <v>1149</v>
      </c>
      <c r="H142" s="174"/>
      <c r="I142" s="174" t="str">
        <f t="shared" si="162"/>
        <v>INDGWH</v>
      </c>
      <c r="J142" s="224">
        <f t="shared" si="146"/>
        <v>2030</v>
      </c>
      <c r="K142" s="81"/>
      <c r="L142" s="199">
        <f t="shared" ca="1" si="163"/>
        <v>0.93</v>
      </c>
      <c r="M142" s="199"/>
      <c r="N142" s="81"/>
      <c r="O142" s="723">
        <f t="shared" ca="1" si="164"/>
        <v>0.33863636363636368</v>
      </c>
      <c r="P142" s="723">
        <f t="shared" ca="1" si="165"/>
        <v>1.4154999999999999E-2</v>
      </c>
      <c r="Q142" s="81">
        <f t="shared" ca="1" si="166"/>
        <v>2.0694444444444446</v>
      </c>
      <c r="R142" s="300"/>
      <c r="S142" s="300"/>
      <c r="T142" s="300"/>
      <c r="U142" s="300"/>
      <c r="V142" s="199">
        <f t="shared" ref="V142" ca="1" si="178">IF(IF(RIGHT(H141,2)="PH",(1-L142)+$W$2,IF(RIGHT(H141,2)="HT",(1-L142)+$W$1,IF(RIGHT(H141,2)="SH",(1-L142)+$W$3,"")))&gt;0,IF(RIGHT(H141,2)="PH",(1-L142)+$W$2,IF(RIGHT(H141,2)="HT",(1-L142)+$W$1,IF(RIGHT(H141,2)="SH",(1-L142)+$W$3,""))),0)</f>
        <v>6.9999999999999951E-2</v>
      </c>
      <c r="W142" s="298"/>
      <c r="X142" s="698">
        <f t="shared" ca="1" si="145"/>
        <v>0.3</v>
      </c>
      <c r="Y142" s="81">
        <f t="shared" ca="1" si="168"/>
        <v>7</v>
      </c>
      <c r="Z142" s="81">
        <f t="shared" ca="1" si="169"/>
        <v>2</v>
      </c>
      <c r="AA142" s="81">
        <f t="shared" ca="1" si="170"/>
        <v>1</v>
      </c>
      <c r="AB142" s="81">
        <f t="shared" ca="1" si="171"/>
        <v>0.1</v>
      </c>
      <c r="AC142" s="55"/>
      <c r="AD142" s="81">
        <v>2030</v>
      </c>
      <c r="AE142" s="81"/>
      <c r="AF142" s="700"/>
    </row>
    <row r="143" spans="2:32">
      <c r="B143" s="719" t="s">
        <v>1010</v>
      </c>
      <c r="C143" s="713"/>
      <c r="D143" s="203"/>
      <c r="E143" s="701"/>
      <c r="F143" s="224" t="s">
        <v>1149</v>
      </c>
      <c r="G143" s="203"/>
      <c r="H143" s="702"/>
      <c r="I143" s="702" t="str">
        <f t="shared" si="162"/>
        <v>INDGWH</v>
      </c>
      <c r="J143" s="224">
        <f t="shared" si="146"/>
        <v>2050</v>
      </c>
      <c r="K143" s="81"/>
      <c r="L143" s="199">
        <f t="shared" ca="1" si="163"/>
        <v>0.94</v>
      </c>
      <c r="M143" s="199"/>
      <c r="N143" s="81"/>
      <c r="O143" s="723">
        <f t="shared" ca="1" si="164"/>
        <v>0.33863636363636368</v>
      </c>
      <c r="P143" s="723">
        <f t="shared" ca="1" si="165"/>
        <v>1.2664999999999999E-2</v>
      </c>
      <c r="Q143" s="81">
        <f t="shared" ca="1" si="166"/>
        <v>2.0694444444444446</v>
      </c>
      <c r="R143" s="703"/>
      <c r="S143" s="703"/>
      <c r="T143" s="703"/>
      <c r="U143" s="703"/>
      <c r="V143" s="199">
        <f t="shared" ref="V143" ca="1" si="179">IF(IF(RIGHT(H141,2)="PH",(1-L143)+$W$2,IF(RIGHT(H141,2)="HT",(1-L143)+$W$1,IF(RIGHT(H141,2)="SH",(1-L143)+$W$3,"")))&gt;0,IF(RIGHT(H141,2)="PH",(1-L143)+$W$2,IF(RIGHT(H141,2)="HT",(1-L143)+$W$1,IF(RIGHT(H141,2)="SH",(1-L143)+$W$3,""))),0)</f>
        <v>6.0000000000000053E-2</v>
      </c>
      <c r="W143" s="704"/>
      <c r="X143" s="698">
        <f t="shared" ca="1" si="145"/>
        <v>0.3</v>
      </c>
      <c r="Y143" s="81">
        <f t="shared" ca="1" si="168"/>
        <v>6</v>
      </c>
      <c r="Z143" s="81">
        <f t="shared" ca="1" si="169"/>
        <v>2</v>
      </c>
      <c r="AA143" s="81">
        <f t="shared" ca="1" si="170"/>
        <v>1</v>
      </c>
      <c r="AB143" s="81">
        <f t="shared" ca="1" si="171"/>
        <v>0.1</v>
      </c>
      <c r="AC143" s="55"/>
      <c r="AD143" s="81">
        <v>2050</v>
      </c>
      <c r="AE143" s="81"/>
      <c r="AF143" s="700"/>
    </row>
    <row r="144" spans="2:32">
      <c r="B144" s="718" t="s">
        <v>1010</v>
      </c>
      <c r="C144" s="226"/>
      <c r="D144" s="212" t="str">
        <f>"IND"&amp;RIGHT(H144,4)&amp;"GAS"&amp;"N"&amp;RIGHT(E144,1)</f>
        <v>INDGDPHGASN2</v>
      </c>
      <c r="E144" s="707" t="str">
        <f>"Industrial heating technology "&amp;$AJ$12&amp;" "&amp;RIGHT(H144,2)&amp;" - Gas boiler (Steam - condensing) - new 2"</f>
        <v>Industrial heating technology Glass &amp; Concrete PH - Gas boiler (Steam - condensing) - new 2</v>
      </c>
      <c r="F144" s="224" t="s">
        <v>1149</v>
      </c>
      <c r="G144" s="173" t="s">
        <v>2080</v>
      </c>
      <c r="H144" s="708" t="str">
        <f>$AI$14</f>
        <v>IGDPH</v>
      </c>
      <c r="I144" s="708" t="str">
        <f t="shared" si="162"/>
        <v>INDGWH</v>
      </c>
      <c r="J144" s="224">
        <f t="shared" si="146"/>
        <v>2011</v>
      </c>
      <c r="K144" s="299">
        <f>J144</f>
        <v>2011</v>
      </c>
      <c r="L144" s="199">
        <f t="shared" ref="L144:L149" ca="1" si="180">VLOOKUP($AD144,INDIRECT("'"&amp;$B144&amp;"'!"&amp;"$P$118:$AD$121"),3,FALSE)</f>
        <v>1.01</v>
      </c>
      <c r="M144" s="199"/>
      <c r="N144" s="81">
        <f ca="1">VLOOKUP($AD144,INDIRECT("'"&amp;$B144&amp;"'!"&amp;"$P$118:$AD$121"),5,FALSE)</f>
        <v>25</v>
      </c>
      <c r="O144" s="723">
        <f t="shared" ref="O144:O149" ca="1" si="181">VLOOKUP($AD144,INDIRECT("'"&amp;$B144&amp;"'!"&amp;"$P$118:$AD$121"),6,FALSE)/1000</f>
        <v>0.44700000000000001</v>
      </c>
      <c r="P144" s="723">
        <f t="shared" ref="P144:P149" ca="1" si="182">VLOOKUP($AD144,INDIRECT("'"&amp;$B144&amp;"'!"&amp;"$P$118:$AD$121"),7,FALSE)/1000</f>
        <v>1.49E-2</v>
      </c>
      <c r="Q144" s="81">
        <f t="shared" ref="Q144:Q149" ca="1" si="183">VLOOKUP($AD144,INDIRECT("'"&amp;$B144&amp;"'!"&amp;"$P$118:$AD$121"),8,FALSE)</f>
        <v>2.276388888888889</v>
      </c>
      <c r="R144" s="81">
        <v>3.1536000000000002E-2</v>
      </c>
      <c r="S144" s="199">
        <v>0.5</v>
      </c>
      <c r="T144" s="199">
        <f ca="1">HLOOKUP($T$2,INDIRECT("'"&amp;$B144&amp;"'!"&amp;"$P$85:$AC$98"),IF(H144=$AI$13,6,IF(H144=$AI$14,9,14)),FALSE)</f>
        <v>0</v>
      </c>
      <c r="U144" s="773"/>
      <c r="V144" s="199">
        <f t="shared" ref="V144" ca="1" si="184">IF(IF(RIGHT(H144,2)="PH",(1-L144)+$W$2,IF(RIGHT(H144,2)="HT",(1-L144)+$W$1,IF(RIGHT(H144,2)="SH",(1-L144)+$W$3,"")))&gt;0,IF(RIGHT(H144,2)="PH",(1-L144)+$W$2,IF(RIGHT(H144,2)="HT",(1-L144)+$W$1,IF(RIGHT(H144,2)="SH",(1-L144)+$W$3,""))),0)</f>
        <v>0.19</v>
      </c>
      <c r="W144" s="709"/>
      <c r="X144" s="698">
        <f t="shared" ca="1" si="145"/>
        <v>0.3</v>
      </c>
      <c r="Y144" s="698">
        <f t="shared" ref="Y144:Y149" ca="1" si="185">VLOOKUP($AD144,INDIRECT("'"&amp;$B144&amp;"'!"&amp;"$P$118:$AD$121"),12,FALSE)</f>
        <v>9</v>
      </c>
      <c r="Z144" s="698">
        <f t="shared" ref="Z144:Z149" ca="1" si="186">VLOOKUP($AD144,INDIRECT("'"&amp;$B144&amp;"'!"&amp;"$P$118:$AD$121"),13,FALSE)</f>
        <v>3</v>
      </c>
      <c r="AA144" s="698">
        <f t="shared" ref="AA144:AA149" ca="1" si="187">VLOOKUP($AD144,INDIRECT("'"&amp;$B144&amp;"'!"&amp;"$P$118:$AD$121"),14,FALSE)</f>
        <v>1</v>
      </c>
      <c r="AB144" s="698">
        <f t="shared" ref="AB144:AB149" ca="1" si="188">VLOOKUP($AD144,INDIRECT("'"&amp;$B144&amp;"'!"&amp;"$P$118:$AD$121"),15,FALSE)</f>
        <v>0.1</v>
      </c>
      <c r="AC144" s="55"/>
      <c r="AD144" s="81">
        <v>2020</v>
      </c>
      <c r="AE144" s="81"/>
      <c r="AF144" s="700"/>
    </row>
    <row r="145" spans="1:32">
      <c r="B145" s="718" t="s">
        <v>1010</v>
      </c>
      <c r="C145" s="226"/>
      <c r="E145" s="261"/>
      <c r="F145" s="224" t="s">
        <v>1149</v>
      </c>
      <c r="G145" s="55"/>
      <c r="H145" s="174"/>
      <c r="I145" s="174" t="str">
        <f t="shared" si="162"/>
        <v>INDGWH</v>
      </c>
      <c r="J145" s="224">
        <f t="shared" si="146"/>
        <v>2030</v>
      </c>
      <c r="K145" s="81"/>
      <c r="L145" s="199">
        <f t="shared" ca="1" si="180"/>
        <v>1.03</v>
      </c>
      <c r="M145" s="199"/>
      <c r="N145" s="81"/>
      <c r="O145" s="723">
        <f t="shared" ca="1" si="181"/>
        <v>0.37250000000000005</v>
      </c>
      <c r="P145" s="723">
        <f t="shared" ca="1" si="182"/>
        <v>1.4154999999999999E-2</v>
      </c>
      <c r="Q145" s="81">
        <f t="shared" ca="1" si="183"/>
        <v>2.0694444444444446</v>
      </c>
      <c r="R145" s="300"/>
      <c r="S145" s="300"/>
      <c r="T145" s="300"/>
      <c r="U145" s="300"/>
      <c r="V145" s="199">
        <f t="shared" ref="V145" ca="1" si="189">IF(IF(RIGHT(H144,2)="PH",(1-L145)+$W$2,IF(RIGHT(H144,2)="HT",(1-L145)+$W$1,IF(RIGHT(H144,2)="SH",(1-L145)+$W$3,"")))&gt;0,IF(RIGHT(H144,2)="PH",(1-L145)+$W$2,IF(RIGHT(H144,2)="HT",(1-L145)+$W$1,IF(RIGHT(H144,2)="SH",(1-L145)+$W$3,""))),0)</f>
        <v>0.16999999999999998</v>
      </c>
      <c r="W145" s="298"/>
      <c r="X145" s="698">
        <f t="shared" ca="1" si="145"/>
        <v>0.3</v>
      </c>
      <c r="Y145" s="698">
        <f t="shared" ca="1" si="185"/>
        <v>7</v>
      </c>
      <c r="Z145" s="698">
        <f t="shared" ca="1" si="186"/>
        <v>2</v>
      </c>
      <c r="AA145" s="698">
        <f t="shared" ca="1" si="187"/>
        <v>1</v>
      </c>
      <c r="AB145" s="698">
        <f t="shared" ca="1" si="188"/>
        <v>0.1</v>
      </c>
      <c r="AC145" s="55"/>
      <c r="AD145" s="81">
        <v>2030</v>
      </c>
      <c r="AE145" s="81"/>
      <c r="AF145" s="700"/>
    </row>
    <row r="146" spans="1:32">
      <c r="A146" s="226"/>
      <c r="B146" s="718" t="s">
        <v>1010</v>
      </c>
      <c r="C146" s="226"/>
      <c r="E146" s="261"/>
      <c r="F146" s="224" t="s">
        <v>1149</v>
      </c>
      <c r="G146" s="55"/>
      <c r="H146" s="174"/>
      <c r="I146" s="174" t="str">
        <f t="shared" si="162"/>
        <v>INDGWH</v>
      </c>
      <c r="J146" s="224">
        <f t="shared" si="146"/>
        <v>2050</v>
      </c>
      <c r="K146" s="81"/>
      <c r="L146" s="199">
        <f t="shared" ca="1" si="180"/>
        <v>1.03</v>
      </c>
      <c r="M146" s="199"/>
      <c r="N146" s="81"/>
      <c r="O146" s="723">
        <f t="shared" ca="1" si="181"/>
        <v>0.37250000000000005</v>
      </c>
      <c r="P146" s="723">
        <f t="shared" ca="1" si="182"/>
        <v>1.2664999999999999E-2</v>
      </c>
      <c r="Q146" s="81">
        <f t="shared" ca="1" si="183"/>
        <v>2.0694444444444446</v>
      </c>
      <c r="R146" s="300"/>
      <c r="S146" s="300"/>
      <c r="T146" s="300"/>
      <c r="U146" s="300"/>
      <c r="V146" s="199">
        <f t="shared" ref="V146" ca="1" si="190">IF(IF(RIGHT(H144,2)="PH",(1-L146)+$W$2,IF(RIGHT(H144,2)="HT",(1-L146)+$W$1,IF(RIGHT(H144,2)="SH",(1-L146)+$W$3,"")))&gt;0,IF(RIGHT(H144,2)="PH",(1-L146)+$W$2,IF(RIGHT(H144,2)="HT",(1-L146)+$W$1,IF(RIGHT(H144,2)="SH",(1-L146)+$W$3,""))),0)</f>
        <v>0.16999999999999998</v>
      </c>
      <c r="W146" s="298"/>
      <c r="X146" s="698">
        <f t="shared" ca="1" si="145"/>
        <v>0.3</v>
      </c>
      <c r="Y146" s="698">
        <f t="shared" ca="1" si="185"/>
        <v>6</v>
      </c>
      <c r="Z146" s="698">
        <f t="shared" ca="1" si="186"/>
        <v>2</v>
      </c>
      <c r="AA146" s="698">
        <f t="shared" ca="1" si="187"/>
        <v>1</v>
      </c>
      <c r="AB146" s="698">
        <f t="shared" ca="1" si="188"/>
        <v>0.1</v>
      </c>
      <c r="AC146" s="203"/>
      <c r="AD146" s="81">
        <v>2050</v>
      </c>
      <c r="AE146" s="81"/>
      <c r="AF146" s="705"/>
    </row>
    <row r="147" spans="1:32">
      <c r="A147" s="226"/>
      <c r="B147" s="718" t="s">
        <v>1010</v>
      </c>
      <c r="C147" s="226"/>
      <c r="D147" s="212" t="str">
        <f>"IND"&amp;RIGHT(H147,4)&amp;"GAS"&amp;"N"&amp;RIGHT(E147,1)</f>
        <v>INDGDSHGASN2</v>
      </c>
      <c r="E147" s="261" t="str">
        <f>"Industrial heating technology "&amp;$AJ$12&amp;" "&amp;RIGHT(H147,2)&amp;" - Gas boiler (Steam - condensing) - new 2"</f>
        <v>Industrial heating technology Glass &amp; Concrete SH - Gas boiler (Steam - condensing) - new 2</v>
      </c>
      <c r="F147" s="224" t="s">
        <v>1149</v>
      </c>
      <c r="G147" s="173" t="s">
        <v>2080</v>
      </c>
      <c r="H147" s="174" t="str">
        <f>$AI$15</f>
        <v>IGDSH</v>
      </c>
      <c r="I147" s="174" t="str">
        <f t="shared" si="162"/>
        <v>INDGWH</v>
      </c>
      <c r="J147" s="224">
        <f t="shared" si="146"/>
        <v>2011</v>
      </c>
      <c r="K147" s="299">
        <f>J147</f>
        <v>2011</v>
      </c>
      <c r="L147" s="199">
        <f t="shared" ca="1" si="180"/>
        <v>1.01</v>
      </c>
      <c r="M147" s="199"/>
      <c r="N147" s="81">
        <f ca="1">VLOOKUP($AD147,INDIRECT("'"&amp;$B147&amp;"'!"&amp;"$P$118:$AD$121"),5,FALSE)</f>
        <v>25</v>
      </c>
      <c r="O147" s="723">
        <f t="shared" ca="1" si="181"/>
        <v>0.44700000000000001</v>
      </c>
      <c r="P147" s="723">
        <f t="shared" ca="1" si="182"/>
        <v>1.49E-2</v>
      </c>
      <c r="Q147" s="81">
        <f t="shared" ca="1" si="183"/>
        <v>2.276388888888889</v>
      </c>
      <c r="R147" s="81">
        <v>3.1536000000000002E-2</v>
      </c>
      <c r="S147" s="199">
        <v>0.5</v>
      </c>
      <c r="T147" s="199">
        <f ca="1">HLOOKUP($T$2,INDIRECT("'"&amp;$B147&amp;"'!"&amp;"$P$85:$AC$98"),IF(H147=$AI$13,6,IF(H147=$AI$14,9,14)),FALSE)</f>
        <v>0</v>
      </c>
      <c r="U147" s="772"/>
      <c r="V147" s="199">
        <f t="shared" ref="V147" ca="1" si="191">IF(IF(RIGHT(H147,2)="PH",(1-L147)+$W$2,IF(RIGHT(H147,2)="HT",(1-L147)+$W$1,IF(RIGHT(H147,2)="SH",(1-L147)+$W$3,"")))&gt;0,IF(RIGHT(H147,2)="PH",(1-L147)+$W$2,IF(RIGHT(H147,2)="HT",(1-L147)+$W$1,IF(RIGHT(H147,2)="SH",(1-L147)+$W$3,""))),0)</f>
        <v>0</v>
      </c>
      <c r="W147" s="298"/>
      <c r="X147" s="698">
        <f t="shared" ca="1" si="145"/>
        <v>0.3</v>
      </c>
      <c r="Y147" s="698">
        <f t="shared" ca="1" si="185"/>
        <v>9</v>
      </c>
      <c r="Z147" s="698">
        <f t="shared" ca="1" si="186"/>
        <v>3</v>
      </c>
      <c r="AA147" s="698">
        <f t="shared" ca="1" si="187"/>
        <v>1</v>
      </c>
      <c r="AB147" s="698">
        <f t="shared" ca="1" si="188"/>
        <v>0.1</v>
      </c>
      <c r="AC147" s="296"/>
      <c r="AD147" s="81">
        <v>2020</v>
      </c>
      <c r="AE147" s="81"/>
      <c r="AF147" s="710"/>
    </row>
    <row r="148" spans="1:32">
      <c r="A148" s="226"/>
      <c r="B148" s="718" t="s">
        <v>1010</v>
      </c>
      <c r="C148" s="226"/>
      <c r="E148" s="261"/>
      <c r="F148" s="224" t="s">
        <v>1149</v>
      </c>
      <c r="G148" s="55"/>
      <c r="H148" s="174"/>
      <c r="I148" s="174" t="str">
        <f t="shared" si="162"/>
        <v>INDGWH</v>
      </c>
      <c r="J148" s="224">
        <f t="shared" si="146"/>
        <v>2030</v>
      </c>
      <c r="K148" s="81"/>
      <c r="L148" s="199">
        <f t="shared" ca="1" si="180"/>
        <v>1.03</v>
      </c>
      <c r="M148" s="199"/>
      <c r="N148" s="81"/>
      <c r="O148" s="723">
        <f t="shared" ca="1" si="181"/>
        <v>0.37250000000000005</v>
      </c>
      <c r="P148" s="723">
        <f t="shared" ca="1" si="182"/>
        <v>1.4154999999999999E-2</v>
      </c>
      <c r="Q148" s="81">
        <f t="shared" ca="1" si="183"/>
        <v>2.0694444444444446</v>
      </c>
      <c r="R148" s="300"/>
      <c r="S148" s="300"/>
      <c r="T148" s="300"/>
      <c r="U148" s="300"/>
      <c r="V148" s="199">
        <f t="shared" ref="V148" ca="1" si="192">IF(IF(RIGHT(H147,2)="PH",(1-L148)+$W$2,IF(RIGHT(H147,2)="HT",(1-L148)+$W$1,IF(RIGHT(H147,2)="SH",(1-L148)+$W$3,"")))&gt;0,IF(RIGHT(H147,2)="PH",(1-L148)+$W$2,IF(RIGHT(H147,2)="HT",(1-L148)+$W$1,IF(RIGHT(H147,2)="SH",(1-L148)+$W$3,""))),0)</f>
        <v>0</v>
      </c>
      <c r="W148" s="298"/>
      <c r="X148" s="698">
        <f t="shared" ca="1" si="145"/>
        <v>0.3</v>
      </c>
      <c r="Y148" s="698">
        <f t="shared" ca="1" si="185"/>
        <v>7</v>
      </c>
      <c r="Z148" s="698">
        <f t="shared" ca="1" si="186"/>
        <v>2</v>
      </c>
      <c r="AA148" s="698">
        <f t="shared" ca="1" si="187"/>
        <v>1</v>
      </c>
      <c r="AB148" s="698">
        <f t="shared" ca="1" si="188"/>
        <v>0.1</v>
      </c>
      <c r="AC148" s="55"/>
      <c r="AD148" s="81">
        <v>2030</v>
      </c>
      <c r="AE148" s="81"/>
      <c r="AF148" s="700"/>
    </row>
    <row r="149" spans="1:32">
      <c r="A149" s="226"/>
      <c r="B149" s="719" t="s">
        <v>1010</v>
      </c>
      <c r="C149" s="713"/>
      <c r="D149" s="203"/>
      <c r="E149" s="701"/>
      <c r="F149" s="224" t="s">
        <v>1149</v>
      </c>
      <c r="G149" s="203"/>
      <c r="H149" s="702"/>
      <c r="I149" s="702" t="str">
        <f t="shared" si="162"/>
        <v>INDGWH</v>
      </c>
      <c r="J149" s="224">
        <f t="shared" si="146"/>
        <v>2050</v>
      </c>
      <c r="K149" s="81"/>
      <c r="L149" s="199">
        <f t="shared" ca="1" si="180"/>
        <v>1.03</v>
      </c>
      <c r="M149" s="199"/>
      <c r="N149" s="81"/>
      <c r="O149" s="723">
        <f t="shared" ca="1" si="181"/>
        <v>0.37250000000000005</v>
      </c>
      <c r="P149" s="723">
        <f t="shared" ca="1" si="182"/>
        <v>1.2664999999999999E-2</v>
      </c>
      <c r="Q149" s="81">
        <f t="shared" ca="1" si="183"/>
        <v>2.0694444444444446</v>
      </c>
      <c r="R149" s="703"/>
      <c r="S149" s="703"/>
      <c r="T149" s="703"/>
      <c r="U149" s="703"/>
      <c r="V149" s="199">
        <f t="shared" ref="V149" ca="1" si="193">IF(IF(RIGHT(H147,2)="PH",(1-L149)+$W$2,IF(RIGHT(H147,2)="HT",(1-L149)+$W$1,IF(RIGHT(H147,2)="SH",(1-L149)+$W$3,"")))&gt;0,IF(RIGHT(H147,2)="PH",(1-L149)+$W$2,IF(RIGHT(H147,2)="HT",(1-L149)+$W$1,IF(RIGHT(H147,2)="SH",(1-L149)+$W$3,""))),0)</f>
        <v>0</v>
      </c>
      <c r="W149" s="704"/>
      <c r="X149" s="698">
        <f t="shared" ca="1" si="145"/>
        <v>0.3</v>
      </c>
      <c r="Y149" s="698">
        <f t="shared" ca="1" si="185"/>
        <v>6</v>
      </c>
      <c r="Z149" s="698">
        <f t="shared" ca="1" si="186"/>
        <v>2</v>
      </c>
      <c r="AA149" s="698">
        <f t="shared" ca="1" si="187"/>
        <v>1</v>
      </c>
      <c r="AB149" s="698">
        <f t="shared" ca="1" si="188"/>
        <v>0.1</v>
      </c>
      <c r="AC149" s="55"/>
      <c r="AD149" s="81">
        <v>2050</v>
      </c>
      <c r="AE149" s="81"/>
      <c r="AF149" s="700"/>
    </row>
    <row r="150" spans="1:32">
      <c r="A150" s="226"/>
      <c r="B150" s="718" t="s">
        <v>1010</v>
      </c>
      <c r="C150" s="226"/>
      <c r="D150" s="212" t="str">
        <f>"IND"&amp;RIGHT(H150,4)&amp;"GAS"&amp;"N"&amp;RIGHT(E150,1)</f>
        <v>INDGDPHGASN3</v>
      </c>
      <c r="E150" s="707" t="str">
        <f>"Industrial heating technology "&amp;$AJ$12&amp;" "&amp;RIGHT(H150,2)&amp;" - Gas boiler (Hot Water) - new 3"</f>
        <v>Industrial heating technology Glass &amp; Concrete PH - Gas boiler (Hot Water) - new 3</v>
      </c>
      <c r="F150" s="224" t="s">
        <v>1149</v>
      </c>
      <c r="G150" s="173" t="s">
        <v>2080</v>
      </c>
      <c r="H150" s="708" t="str">
        <f>$AI$14</f>
        <v>IGDPH</v>
      </c>
      <c r="I150" s="708" t="str">
        <f t="shared" si="162"/>
        <v>INDGWH</v>
      </c>
      <c r="J150" s="224">
        <f t="shared" si="146"/>
        <v>2011</v>
      </c>
      <c r="K150" s="299">
        <f>J150</f>
        <v>2011</v>
      </c>
      <c r="L150" s="199">
        <f t="shared" ref="L150:L155" ca="1" si="194">VLOOKUP($AD150,INDIRECT("'"&amp;$B150&amp;"'!"&amp;"$P$200:$AD$203"),3,FALSE)</f>
        <v>0.93</v>
      </c>
      <c r="M150" s="199"/>
      <c r="N150" s="81">
        <f ca="1">VLOOKUP($AD150,INDIRECT("'"&amp;$B150&amp;"'!"&amp;"$P$200:$AD$203"),5,FALSE)</f>
        <v>25</v>
      </c>
      <c r="O150" s="723">
        <f t="shared" ref="O150:O155" ca="1" si="195">VLOOKUP($AD150,INDIRECT("'"&amp;$B150&amp;"'!"&amp;"$P$200:$AD$203"),6,FALSE)/1000</f>
        <v>0.3250909090909091</v>
      </c>
      <c r="P150" s="723">
        <f t="shared" ref="P150:P155" ca="1" si="196">VLOOKUP($AD150,INDIRECT("'"&amp;$B150&amp;"'!"&amp;"$P$200:$AD$203"),7,FALSE)/1000</f>
        <v>1.49E-2</v>
      </c>
      <c r="Q150" s="81">
        <f t="shared" ref="Q150:Q155" ca="1" si="197">VLOOKUP($AD150,INDIRECT("'"&amp;$B150&amp;"'!"&amp;"$P$200:$AD$203"),8,FALSE)</f>
        <v>2.276388888888889</v>
      </c>
      <c r="R150" s="81">
        <v>3.1536000000000002E-2</v>
      </c>
      <c r="S150" s="199">
        <v>0.5</v>
      </c>
      <c r="T150" s="199">
        <f ca="1">HLOOKUP($T$2,INDIRECT("'"&amp;$B150&amp;"'!"&amp;"$P$167:$AC$180"),IF(H150=$AI$13,6,IF(H150=$AI$14,9,14)),FALSE)</f>
        <v>0</v>
      </c>
      <c r="U150" s="773"/>
      <c r="V150" s="199">
        <f t="shared" ref="V150" ca="1" si="198">IF(IF(RIGHT(H150,2)="PH",(1-L150)+$W$2,IF(RIGHT(H150,2)="HT",(1-L150)+$W$1,IF(RIGHT(H150,2)="SH",(1-L150)+$W$3,"")))&gt;0,IF(RIGHT(H150,2)="PH",(1-L150)+$W$2,IF(RIGHT(H150,2)="HT",(1-L150)+$W$1,IF(RIGHT(H150,2)="SH",(1-L150)+$W$3,""))),0)</f>
        <v>0.26999999999999996</v>
      </c>
      <c r="W150" s="709"/>
      <c r="X150" s="698">
        <f t="shared" ca="1" si="145"/>
        <v>0.3</v>
      </c>
      <c r="Y150" s="698">
        <f t="shared" ref="Y150:Y155" ca="1" si="199">VLOOKUP($AD150,INDIRECT("'"&amp;$B150&amp;"'!"&amp;"$P$200:$AD$203"),12,FALSE)</f>
        <v>9</v>
      </c>
      <c r="Z150" s="698">
        <f t="shared" ref="Z150:Z155" ca="1" si="200">VLOOKUP($AD150,INDIRECT("'"&amp;$B150&amp;"'!"&amp;"$P$200:$AD$203"),13,FALSE)</f>
        <v>3</v>
      </c>
      <c r="AA150" s="698">
        <f t="shared" ref="AA150:AA155" ca="1" si="201">VLOOKUP($AD150,INDIRECT("'"&amp;$B150&amp;"'!"&amp;"$P$200:$AD$203"),14,FALSE)</f>
        <v>1</v>
      </c>
      <c r="AB150" s="698">
        <f t="shared" ref="AB150:AB155" ca="1" si="202">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62"/>
        <v>INDGWH</v>
      </c>
      <c r="J151" s="224">
        <f t="shared" si="146"/>
        <v>2030</v>
      </c>
      <c r="K151" s="81"/>
      <c r="L151" s="199">
        <f t="shared" ca="1" si="194"/>
        <v>0.94</v>
      </c>
      <c r="M151" s="199"/>
      <c r="N151" s="81"/>
      <c r="O151" s="723">
        <f t="shared" ca="1" si="195"/>
        <v>0.27090909090909093</v>
      </c>
      <c r="P151" s="723">
        <f t="shared" ca="1" si="196"/>
        <v>1.4154999999999999E-2</v>
      </c>
      <c r="Q151" s="81">
        <f t="shared" ca="1" si="197"/>
        <v>2.0694444444444446</v>
      </c>
      <c r="R151" s="300"/>
      <c r="S151" s="300"/>
      <c r="T151" s="300"/>
      <c r="U151" s="300"/>
      <c r="V151" s="199">
        <f t="shared" ref="V151" ca="1" si="203">IF(IF(RIGHT(H150,2)="PH",(1-L151)+$W$2,IF(RIGHT(H150,2)="HT",(1-L151)+$W$1,IF(RIGHT(H150,2)="SH",(1-L151)+$W$3,"")))&gt;0,IF(RIGHT(H150,2)="PH",(1-L151)+$W$2,IF(RIGHT(H150,2)="HT",(1-L151)+$W$1,IF(RIGHT(H150,2)="SH",(1-L151)+$W$3,""))),0)</f>
        <v>0.26000000000000006</v>
      </c>
      <c r="W151" s="298"/>
      <c r="X151" s="698">
        <f t="shared" ca="1" si="145"/>
        <v>0.3</v>
      </c>
      <c r="Y151" s="698">
        <f t="shared" ca="1" si="199"/>
        <v>7</v>
      </c>
      <c r="Z151" s="698">
        <f t="shared" ca="1" si="200"/>
        <v>2</v>
      </c>
      <c r="AA151" s="698">
        <f t="shared" ca="1" si="201"/>
        <v>1</v>
      </c>
      <c r="AB151" s="698">
        <f t="shared" ca="1" si="202"/>
        <v>0.1</v>
      </c>
      <c r="AC151" s="55"/>
      <c r="AD151" s="81">
        <v>2030</v>
      </c>
      <c r="AE151" s="81"/>
      <c r="AF151" s="700"/>
    </row>
    <row r="152" spans="1:32">
      <c r="B152" s="718" t="s">
        <v>1010</v>
      </c>
      <c r="C152" s="226"/>
      <c r="E152" s="261"/>
      <c r="F152" s="224" t="s">
        <v>1149</v>
      </c>
      <c r="G152" s="55"/>
      <c r="H152" s="174"/>
      <c r="I152" s="174" t="str">
        <f t="shared" si="162"/>
        <v>INDGWH</v>
      </c>
      <c r="J152" s="224">
        <f t="shared" si="146"/>
        <v>2050</v>
      </c>
      <c r="K152" s="81"/>
      <c r="L152" s="199">
        <f t="shared" ca="1" si="194"/>
        <v>0.95</v>
      </c>
      <c r="M152" s="199"/>
      <c r="N152" s="81"/>
      <c r="O152" s="723">
        <f t="shared" ca="1" si="195"/>
        <v>0.27090909090909093</v>
      </c>
      <c r="P152" s="723">
        <f t="shared" ca="1" si="196"/>
        <v>1.2664999999999999E-2</v>
      </c>
      <c r="Q152" s="81">
        <f t="shared" ca="1" si="197"/>
        <v>2.0694444444444446</v>
      </c>
      <c r="R152" s="300"/>
      <c r="S152" s="300"/>
      <c r="T152" s="300"/>
      <c r="U152" s="300"/>
      <c r="V152" s="199">
        <f t="shared" ref="V152" ca="1" si="204">IF(IF(RIGHT(H150,2)="PH",(1-L152)+$W$2,IF(RIGHT(H150,2)="HT",(1-L152)+$W$1,IF(RIGHT(H150,2)="SH",(1-L152)+$W$3,"")))&gt;0,IF(RIGHT(H150,2)="PH",(1-L152)+$W$2,IF(RIGHT(H150,2)="HT",(1-L152)+$W$1,IF(RIGHT(H150,2)="SH",(1-L152)+$W$3,""))),0)</f>
        <v>0.25000000000000006</v>
      </c>
      <c r="W152" s="720"/>
      <c r="X152" s="698">
        <f t="shared" ca="1" si="145"/>
        <v>0.3</v>
      </c>
      <c r="Y152" s="698">
        <f t="shared" ca="1" si="199"/>
        <v>6</v>
      </c>
      <c r="Z152" s="698">
        <f t="shared" ca="1" si="200"/>
        <v>2</v>
      </c>
      <c r="AA152" s="698">
        <f t="shared" ca="1" si="201"/>
        <v>1</v>
      </c>
      <c r="AB152" s="698">
        <f t="shared" ca="1" si="202"/>
        <v>0.1</v>
      </c>
      <c r="AC152" s="203"/>
      <c r="AD152" s="81">
        <v>2050</v>
      </c>
      <c r="AE152" s="81"/>
      <c r="AF152" s="705"/>
    </row>
    <row r="153" spans="1:32">
      <c r="B153" s="718" t="s">
        <v>1010</v>
      </c>
      <c r="C153" s="64"/>
      <c r="D153" s="212" t="str">
        <f>"IND"&amp;RIGHT(H153,4)&amp;"GAS"&amp;"N"&amp;RIGHT(E153,1)</f>
        <v>INDGDSHGASN3</v>
      </c>
      <c r="E153" s="261" t="str">
        <f>"Industrial heating technology "&amp;$AJ$12&amp;" "&amp;RIGHT(H153,2)&amp;" - Gas boiler (Hot Water) - new 3"</f>
        <v>Industrial heating technology Glass &amp; Concrete SH - Gas boiler (Hot Water) - new 3</v>
      </c>
      <c r="F153" s="224" t="s">
        <v>1149</v>
      </c>
      <c r="G153" s="173" t="s">
        <v>2080</v>
      </c>
      <c r="H153" s="174" t="str">
        <f>$AI$15</f>
        <v>IGDSH</v>
      </c>
      <c r="I153" s="174" t="str">
        <f t="shared" si="162"/>
        <v>INDGWH</v>
      </c>
      <c r="J153" s="224">
        <f t="shared" si="146"/>
        <v>2011</v>
      </c>
      <c r="K153" s="299">
        <f>J153</f>
        <v>2011</v>
      </c>
      <c r="L153" s="199">
        <f t="shared" ca="1" si="194"/>
        <v>0.93</v>
      </c>
      <c r="M153" s="199"/>
      <c r="N153" s="81">
        <f ca="1">VLOOKUP($AD153,INDIRECT("'"&amp;$B153&amp;"'!"&amp;"$P$200:$AD$203"),5,FALSE)</f>
        <v>25</v>
      </c>
      <c r="O153" s="723">
        <f t="shared" ca="1" si="195"/>
        <v>0.3250909090909091</v>
      </c>
      <c r="P153" s="723">
        <f t="shared" ca="1" si="196"/>
        <v>1.49E-2</v>
      </c>
      <c r="Q153" s="81">
        <f t="shared" ca="1" si="197"/>
        <v>2.276388888888889</v>
      </c>
      <c r="R153" s="81">
        <v>3.1536000000000002E-2</v>
      </c>
      <c r="S153" s="199">
        <v>0.5</v>
      </c>
      <c r="T153" s="199">
        <f ca="1">HLOOKUP($T$2,INDIRECT("'"&amp;$B153&amp;"'!"&amp;"$P$167:$AC$180"),IF(H153=$AI$13,6,IF(H153=$AI$14,9,14)),FALSE)</f>
        <v>1</v>
      </c>
      <c r="U153" s="772"/>
      <c r="V153" s="199">
        <f t="shared" ref="V153" ca="1" si="205">IF(IF(RIGHT(H153,2)="PH",(1-L153)+$W$2,IF(RIGHT(H153,2)="HT",(1-L153)+$W$1,IF(RIGHT(H153,2)="SH",(1-L153)+$W$3,"")))&gt;0,IF(RIGHT(H153,2)="PH",(1-L153)+$W$2,IF(RIGHT(H153,2)="HT",(1-L153)+$W$1,IF(RIGHT(H153,2)="SH",(1-L153)+$W$3,""))),0)</f>
        <v>6.9999999999999951E-2</v>
      </c>
      <c r="W153" s="298"/>
      <c r="X153" s="698">
        <f t="shared" ca="1" si="145"/>
        <v>0.3</v>
      </c>
      <c r="Y153" s="698">
        <f t="shared" ca="1" si="199"/>
        <v>9</v>
      </c>
      <c r="Z153" s="698">
        <f t="shared" ca="1" si="200"/>
        <v>3</v>
      </c>
      <c r="AA153" s="698">
        <f t="shared" ca="1" si="201"/>
        <v>1</v>
      </c>
      <c r="AB153" s="698">
        <f t="shared" ca="1" si="202"/>
        <v>0.1</v>
      </c>
      <c r="AC153" s="296"/>
      <c r="AD153" s="81">
        <v>2020</v>
      </c>
      <c r="AE153" s="81"/>
      <c r="AF153" s="710"/>
    </row>
    <row r="154" spans="1:32">
      <c r="B154" s="718" t="s">
        <v>1010</v>
      </c>
      <c r="C154" s="64"/>
      <c r="E154" s="261"/>
      <c r="F154" s="224" t="s">
        <v>1149</v>
      </c>
      <c r="G154" s="55"/>
      <c r="H154" s="174"/>
      <c r="I154" s="174" t="str">
        <f t="shared" si="162"/>
        <v>INDGWH</v>
      </c>
      <c r="J154" s="224">
        <f t="shared" si="146"/>
        <v>2030</v>
      </c>
      <c r="K154" s="81"/>
      <c r="L154" s="199">
        <f t="shared" ca="1" si="194"/>
        <v>0.94</v>
      </c>
      <c r="M154" s="199"/>
      <c r="N154" s="81"/>
      <c r="O154" s="723">
        <f t="shared" ca="1" si="195"/>
        <v>0.27090909090909093</v>
      </c>
      <c r="P154" s="723">
        <f t="shared" ca="1" si="196"/>
        <v>1.4154999999999999E-2</v>
      </c>
      <c r="Q154" s="81">
        <f t="shared" ca="1" si="197"/>
        <v>2.0694444444444446</v>
      </c>
      <c r="R154" s="300"/>
      <c r="S154" s="300"/>
      <c r="T154" s="300"/>
      <c r="U154" s="300"/>
      <c r="V154" s="199">
        <f t="shared" ref="V154" ca="1" si="206">IF(IF(RIGHT(H153,2)="PH",(1-L154)+$W$2,IF(RIGHT(H153,2)="HT",(1-L154)+$W$1,IF(RIGHT(H153,2)="SH",(1-L154)+$W$3,"")))&gt;0,IF(RIGHT(H153,2)="PH",(1-L154)+$W$2,IF(RIGHT(H153,2)="HT",(1-L154)+$W$1,IF(RIGHT(H153,2)="SH",(1-L154)+$W$3,""))),0)</f>
        <v>6.0000000000000053E-2</v>
      </c>
      <c r="W154" s="298"/>
      <c r="X154" s="698">
        <f t="shared" ca="1" si="145"/>
        <v>0.3</v>
      </c>
      <c r="Y154" s="698">
        <f t="shared" ca="1" si="199"/>
        <v>7</v>
      </c>
      <c r="Z154" s="698">
        <f t="shared" ca="1" si="200"/>
        <v>2</v>
      </c>
      <c r="AA154" s="698">
        <f t="shared" ca="1" si="201"/>
        <v>1</v>
      </c>
      <c r="AB154" s="698">
        <f t="shared" ca="1" si="202"/>
        <v>0.1</v>
      </c>
      <c r="AC154" s="55"/>
      <c r="AD154" s="81">
        <v>2030</v>
      </c>
      <c r="AE154" s="81"/>
      <c r="AF154" s="700"/>
    </row>
    <row r="155" spans="1:32">
      <c r="A155" s="226"/>
      <c r="B155" s="719" t="s">
        <v>1010</v>
      </c>
      <c r="C155" s="713"/>
      <c r="D155" s="203"/>
      <c r="E155" s="701"/>
      <c r="F155" s="224" t="s">
        <v>1149</v>
      </c>
      <c r="G155" s="203"/>
      <c r="H155" s="702"/>
      <c r="I155" s="702" t="str">
        <f t="shared" si="162"/>
        <v>INDGWH</v>
      </c>
      <c r="J155" s="224">
        <f t="shared" si="146"/>
        <v>2050</v>
      </c>
      <c r="K155" s="81"/>
      <c r="L155" s="199">
        <f t="shared" ca="1" si="194"/>
        <v>0.95</v>
      </c>
      <c r="M155" s="199"/>
      <c r="N155" s="81"/>
      <c r="O155" s="723">
        <f t="shared" ca="1" si="195"/>
        <v>0.27090909090909093</v>
      </c>
      <c r="P155" s="723">
        <f t="shared" ca="1" si="196"/>
        <v>1.2664999999999999E-2</v>
      </c>
      <c r="Q155" s="81">
        <f t="shared" ca="1" si="197"/>
        <v>2.0694444444444446</v>
      </c>
      <c r="R155" s="300"/>
      <c r="S155" s="300"/>
      <c r="T155" s="300"/>
      <c r="U155" s="300"/>
      <c r="V155" s="199">
        <f t="shared" ref="V155" ca="1" si="207">IF(IF(RIGHT(H153,2)="PH",(1-L155)+$W$2,IF(RIGHT(H153,2)="HT",(1-L155)+$W$1,IF(RIGHT(H153,2)="SH",(1-L155)+$W$3,"")))&gt;0,IF(RIGHT(H153,2)="PH",(1-L155)+$W$2,IF(RIGHT(H153,2)="HT",(1-L155)+$W$1,IF(RIGHT(H153,2)="SH",(1-L155)+$W$3,""))),0)</f>
        <v>5.0000000000000044E-2</v>
      </c>
      <c r="W155" s="298"/>
      <c r="X155" s="698">
        <f t="shared" ca="1" si="145"/>
        <v>0.3</v>
      </c>
      <c r="Y155" s="698">
        <f t="shared" ca="1" si="199"/>
        <v>6</v>
      </c>
      <c r="Z155" s="698">
        <f t="shared" ca="1" si="200"/>
        <v>2</v>
      </c>
      <c r="AA155" s="698">
        <f t="shared" ca="1" si="201"/>
        <v>1</v>
      </c>
      <c r="AB155" s="698">
        <f t="shared" ca="1" si="202"/>
        <v>0.1</v>
      </c>
      <c r="AC155" s="55"/>
      <c r="AD155" s="81">
        <v>2050</v>
      </c>
      <c r="AE155" s="81"/>
      <c r="AF155" s="700"/>
    </row>
    <row r="156" spans="1:32">
      <c r="B156" s="718" t="s">
        <v>1010</v>
      </c>
      <c r="C156" s="64"/>
      <c r="D156" s="212" t="str">
        <f>"IND"&amp;RIGHT(H156,4)&amp;"GAS"&amp;"N"&amp;RIGHT(E156,1)</f>
        <v>INDGDPHGASN4</v>
      </c>
      <c r="E156" s="707" t="str">
        <f>"Industrial heating technology "&amp;$AJ$12&amp;" "&amp;RIGHT(H156,2)&amp;" - Gas boiler (Hot Water - condensing) - new 4"</f>
        <v>Industrial heating technology Glass &amp; Concrete PH - Gas boiler (Hot Water - condensing) - new 4</v>
      </c>
      <c r="F156" s="224" t="s">
        <v>1149</v>
      </c>
      <c r="G156" s="173" t="s">
        <v>2080</v>
      </c>
      <c r="H156" s="708" t="str">
        <f>$AI$14</f>
        <v>IGDPH</v>
      </c>
      <c r="I156" s="708" t="str">
        <f t="shared" si="162"/>
        <v>INDGWH</v>
      </c>
      <c r="J156" s="224">
        <f t="shared" si="146"/>
        <v>2011</v>
      </c>
      <c r="K156" s="299">
        <f>J156</f>
        <v>2011</v>
      </c>
      <c r="L156" s="199">
        <f t="shared" ref="L156:L161" ca="1" si="208">VLOOKUP($AD156,INDIRECT("'"&amp;$B156&amp;"'!"&amp;"$P$279:$AD$282"),3,FALSE)</f>
        <v>1.01</v>
      </c>
      <c r="M156" s="199"/>
      <c r="N156" s="81">
        <f ca="1">VLOOKUP($AD156,INDIRECT("'"&amp;$B156&amp;"'!"&amp;"$P$279:$AD$282"),5,FALSE)</f>
        <v>25</v>
      </c>
      <c r="O156" s="723">
        <f t="shared" ref="O156:O161" ca="1" si="209">VLOOKUP($AD156,INDIRECT("'"&amp;$B156&amp;"'!"&amp;"$P$279:$AD$282"),6,FALSE)/1000</f>
        <v>0.35760000000000003</v>
      </c>
      <c r="P156" s="723">
        <f t="shared" ref="P156:P161" ca="1" si="210">VLOOKUP($AD156,INDIRECT("'"&amp;$B156&amp;"'!"&amp;"$P$279:$AD$282"),7,FALSE)/1000</f>
        <v>1.49E-2</v>
      </c>
      <c r="Q156" s="81">
        <f t="shared" ref="Q156:Q161" ca="1" si="211">VLOOKUP($AD156,INDIRECT("'"&amp;$B156&amp;"'!"&amp;"$P$279:$AD$282"),8,FALSE)</f>
        <v>2.276388888888889</v>
      </c>
      <c r="R156" s="81">
        <v>3.1536000000000002E-2</v>
      </c>
      <c r="S156" s="199">
        <v>0.5</v>
      </c>
      <c r="T156" s="199">
        <f ca="1">HLOOKUP($T$2,INDIRECT("'"&amp;$B156&amp;"'!"&amp;"$P$246:$AC$259"),IF(H156=$AI$13,6,IF(H156=$AI$14,9,14)),FALSE)</f>
        <v>0</v>
      </c>
      <c r="U156" s="773"/>
      <c r="V156" s="199">
        <f t="shared" ref="V156" ca="1" si="212">IF(IF(RIGHT(H156,2)="PH",(1-L156)+$W$2,IF(RIGHT(H156,2)="HT",(1-L156)+$W$1,IF(RIGHT(H156,2)="SH",(1-L156)+$W$3,"")))&gt;0,IF(RIGHT(H156,2)="PH",(1-L156)+$W$2,IF(RIGHT(H156,2)="HT",(1-L156)+$W$1,IF(RIGHT(H156,2)="SH",(1-L156)+$W$3,""))),0)</f>
        <v>0.19</v>
      </c>
      <c r="W156" s="709"/>
      <c r="X156" s="698">
        <f t="shared" ca="1" si="145"/>
        <v>0.3</v>
      </c>
      <c r="Y156" s="698">
        <f t="shared" ref="Y156:Y161" ca="1" si="213">VLOOKUP($AD156,INDIRECT("'"&amp;$B156&amp;"'!"&amp;"$P$279:$AD$282"),12,FALSE)</f>
        <v>9</v>
      </c>
      <c r="Z156" s="698">
        <f t="shared" ref="Z156:Z161" ca="1" si="214">VLOOKUP($AD156,INDIRECT("'"&amp;$B156&amp;"'!"&amp;"$P$279:$AD$282"),13,FALSE)</f>
        <v>3</v>
      </c>
      <c r="AA156" s="698">
        <f t="shared" ref="AA156:AA161" ca="1" si="215">VLOOKUP($AD156,INDIRECT("'"&amp;$B156&amp;"'!"&amp;"$P$279:$AD$282"),14,FALSE)</f>
        <v>1</v>
      </c>
      <c r="AB156" s="698">
        <f t="shared" ref="AB156:AB161" ca="1" si="216">VLOOKUP($AD156,INDIRECT("'"&amp;$B156&amp;"'!"&amp;"$P$279:$AD$282"),15,FALSE)</f>
        <v>0.1</v>
      </c>
      <c r="AC156" s="55"/>
      <c r="AD156" s="81">
        <v>2020</v>
      </c>
      <c r="AE156" s="81"/>
      <c r="AF156" s="700"/>
    </row>
    <row r="157" spans="1:32">
      <c r="B157" s="718" t="s">
        <v>1010</v>
      </c>
      <c r="C157" s="64"/>
      <c r="E157" s="261"/>
      <c r="F157" s="224" t="s">
        <v>1149</v>
      </c>
      <c r="G157" s="55"/>
      <c r="H157" s="174"/>
      <c r="I157" s="174" t="str">
        <f t="shared" si="162"/>
        <v>INDGWH</v>
      </c>
      <c r="J157" s="224">
        <f t="shared" si="146"/>
        <v>2030</v>
      </c>
      <c r="K157" s="81"/>
      <c r="L157" s="199">
        <f t="shared" ca="1" si="208"/>
        <v>1.03</v>
      </c>
      <c r="M157" s="199"/>
      <c r="N157" s="81"/>
      <c r="O157" s="723">
        <f t="shared" ca="1" si="209"/>
        <v>0.29800000000000004</v>
      </c>
      <c r="P157" s="723">
        <f t="shared" ca="1" si="210"/>
        <v>1.4154999999999999E-2</v>
      </c>
      <c r="Q157" s="81">
        <f t="shared" ca="1" si="211"/>
        <v>2.0694444444444446</v>
      </c>
      <c r="R157" s="300"/>
      <c r="S157" s="300"/>
      <c r="T157" s="300"/>
      <c r="U157" s="300"/>
      <c r="V157" s="199">
        <f t="shared" ref="V157" ca="1" si="217">IF(IF(RIGHT(H156,2)="PH",(1-L157)+$W$2,IF(RIGHT(H156,2)="HT",(1-L157)+$W$1,IF(RIGHT(H156,2)="SH",(1-L157)+$W$3,"")))&gt;0,IF(RIGHT(H156,2)="PH",(1-L157)+$W$2,IF(RIGHT(H156,2)="HT",(1-L157)+$W$1,IF(RIGHT(H156,2)="SH",(1-L157)+$W$3,""))),0)</f>
        <v>0.16999999999999998</v>
      </c>
      <c r="W157" s="298"/>
      <c r="X157" s="698">
        <f t="shared" ca="1" si="145"/>
        <v>0.3</v>
      </c>
      <c r="Y157" s="698">
        <f t="shared" ca="1" si="213"/>
        <v>7</v>
      </c>
      <c r="Z157" s="698">
        <f t="shared" ca="1" si="214"/>
        <v>2</v>
      </c>
      <c r="AA157" s="698">
        <f t="shared" ca="1" si="215"/>
        <v>1</v>
      </c>
      <c r="AB157" s="698">
        <f t="shared" ca="1" si="216"/>
        <v>0.1</v>
      </c>
      <c r="AC157" s="55"/>
      <c r="AD157" s="81">
        <v>2030</v>
      </c>
      <c r="AE157" s="81"/>
      <c r="AF157" s="700"/>
    </row>
    <row r="158" spans="1:32">
      <c r="B158" s="718" t="s">
        <v>1010</v>
      </c>
      <c r="C158" s="64"/>
      <c r="E158" s="261"/>
      <c r="F158" s="224" t="s">
        <v>1149</v>
      </c>
      <c r="G158" s="55"/>
      <c r="H158" s="174"/>
      <c r="I158" s="174" t="str">
        <f t="shared" si="162"/>
        <v>INDGWH</v>
      </c>
      <c r="J158" s="224">
        <f t="shared" si="146"/>
        <v>2050</v>
      </c>
      <c r="K158" s="81"/>
      <c r="L158" s="199">
        <f t="shared" ca="1" si="208"/>
        <v>1.03</v>
      </c>
      <c r="M158" s="199"/>
      <c r="N158" s="81"/>
      <c r="O158" s="723">
        <f t="shared" ca="1" si="209"/>
        <v>0.29800000000000004</v>
      </c>
      <c r="P158" s="723">
        <f t="shared" ca="1" si="210"/>
        <v>1.2664999999999999E-2</v>
      </c>
      <c r="Q158" s="81">
        <f t="shared" ca="1" si="211"/>
        <v>2.0694444444444446</v>
      </c>
      <c r="R158" s="300"/>
      <c r="S158" s="300"/>
      <c r="T158" s="300"/>
      <c r="U158" s="300"/>
      <c r="V158" s="199">
        <f t="shared" ref="V158" ca="1" si="218">IF(IF(RIGHT(H156,2)="PH",(1-L158)+$W$2,IF(RIGHT(H156,2)="HT",(1-L158)+$W$1,IF(RIGHT(H156,2)="SH",(1-L158)+$W$3,"")))&gt;0,IF(RIGHT(H156,2)="PH",(1-L158)+$W$2,IF(RIGHT(H156,2)="HT",(1-L158)+$W$1,IF(RIGHT(H156,2)="SH",(1-L158)+$W$3,""))),0)</f>
        <v>0.16999999999999998</v>
      </c>
      <c r="W158" s="298"/>
      <c r="X158" s="698">
        <f t="shared" ca="1" si="145"/>
        <v>0.3</v>
      </c>
      <c r="Y158" s="698">
        <f t="shared" ca="1" si="213"/>
        <v>6</v>
      </c>
      <c r="Z158" s="698">
        <f t="shared" ca="1" si="214"/>
        <v>2</v>
      </c>
      <c r="AA158" s="698">
        <f t="shared" ca="1" si="215"/>
        <v>1</v>
      </c>
      <c r="AB158" s="698">
        <f t="shared" ca="1" si="216"/>
        <v>0.1</v>
      </c>
      <c r="AC158" s="203"/>
      <c r="AD158" s="81">
        <v>2050</v>
      </c>
      <c r="AE158" s="81"/>
      <c r="AF158" s="705"/>
    </row>
    <row r="159" spans="1:32">
      <c r="A159" s="226"/>
      <c r="B159" s="718" t="s">
        <v>1010</v>
      </c>
      <c r="C159" s="64"/>
      <c r="D159" s="212" t="str">
        <f>"IND"&amp;RIGHT(H159,4)&amp;"GAS"&amp;"N"&amp;RIGHT(E159,1)</f>
        <v>INDGDSHGASN4</v>
      </c>
      <c r="E159" s="261" t="str">
        <f>"Industrial heating technology "&amp;$AJ$12&amp;" "&amp;RIGHT(H159,2)&amp;" - Gas boiler (Hot Water- condensing) - new 4"</f>
        <v>Industrial heating technology Glass &amp; Concrete SH - Gas boiler (Hot Water- condensing) - new 4</v>
      </c>
      <c r="F159" s="224" t="s">
        <v>1149</v>
      </c>
      <c r="G159" s="173" t="s">
        <v>2080</v>
      </c>
      <c r="H159" s="174" t="str">
        <f>$AI$15</f>
        <v>IGDSH</v>
      </c>
      <c r="I159" s="174" t="str">
        <f t="shared" si="162"/>
        <v>INDGWH</v>
      </c>
      <c r="J159" s="224">
        <f t="shared" si="146"/>
        <v>2011</v>
      </c>
      <c r="K159" s="299">
        <f>J159</f>
        <v>2011</v>
      </c>
      <c r="L159" s="199">
        <f t="shared" ca="1" si="208"/>
        <v>1.01</v>
      </c>
      <c r="M159" s="199"/>
      <c r="N159" s="81">
        <f ca="1">VLOOKUP($AD159,INDIRECT("'"&amp;$B159&amp;"'!"&amp;"$P$279:$AD$282"),5,FALSE)</f>
        <v>25</v>
      </c>
      <c r="O159" s="723">
        <f t="shared" ca="1" si="209"/>
        <v>0.35760000000000003</v>
      </c>
      <c r="P159" s="723">
        <f t="shared" ca="1" si="210"/>
        <v>1.49E-2</v>
      </c>
      <c r="Q159" s="81">
        <f t="shared" ca="1" si="211"/>
        <v>2.276388888888889</v>
      </c>
      <c r="R159" s="81">
        <v>3.1536000000000002E-2</v>
      </c>
      <c r="S159" s="199">
        <v>0.5</v>
      </c>
      <c r="T159" s="199">
        <f ca="1">HLOOKUP($T$2,INDIRECT("'"&amp;$B159&amp;"'!"&amp;"$P$246:$AC$259"),IF(H159=$AI$13,6,IF(H159=$AI$14,9,14)),FALSE)</f>
        <v>0</v>
      </c>
      <c r="U159" s="773"/>
      <c r="V159" s="199">
        <f t="shared" ref="V159" ca="1" si="219">IF(IF(RIGHT(H159,2)="PH",(1-L159)+$W$2,IF(RIGHT(H159,2)="HT",(1-L159)+$W$1,IF(RIGHT(H159,2)="SH",(1-L159)+$W$3,"")))&gt;0,IF(RIGHT(H159,2)="PH",(1-L159)+$W$2,IF(RIGHT(H159,2)="HT",(1-L159)+$W$1,IF(RIGHT(H159,2)="SH",(1-L159)+$W$3,""))),0)</f>
        <v>0</v>
      </c>
      <c r="W159" s="709"/>
      <c r="X159" s="698">
        <f t="shared" ref="X159:X177" ca="1" si="220">IF(VLOOKUP($AD159,INDIRECT("'"&amp;$B159&amp;"'!"&amp;"$P$39:$AD$42"),11,FALSE)="Cf. the utilized electricity",0,VLOOKUP($AD159,INDIRECT("'"&amp;$B159&amp;"'!"&amp;"$P$39:$AD$42"),11,FALSE))</f>
        <v>0.3</v>
      </c>
      <c r="Y159" s="698">
        <f t="shared" ca="1" si="213"/>
        <v>9</v>
      </c>
      <c r="Z159" s="698">
        <f t="shared" ca="1" si="214"/>
        <v>3</v>
      </c>
      <c r="AA159" s="698">
        <f t="shared" ca="1" si="215"/>
        <v>1</v>
      </c>
      <c r="AB159" s="698">
        <f t="shared" ca="1" si="216"/>
        <v>0.1</v>
      </c>
      <c r="AC159" s="296"/>
      <c r="AD159" s="81">
        <v>2020</v>
      </c>
      <c r="AE159" s="81"/>
      <c r="AF159" s="710"/>
    </row>
    <row r="160" spans="1:32">
      <c r="B160" s="718" t="s">
        <v>1010</v>
      </c>
      <c r="C160" s="64"/>
      <c r="E160" s="261"/>
      <c r="F160" s="224" t="s">
        <v>1149</v>
      </c>
      <c r="G160" s="55"/>
      <c r="H160" s="174"/>
      <c r="I160" s="174" t="str">
        <f t="shared" si="162"/>
        <v>INDGWH</v>
      </c>
      <c r="J160" s="224">
        <f t="shared" si="146"/>
        <v>2030</v>
      </c>
      <c r="K160" s="81"/>
      <c r="L160" s="199">
        <f t="shared" ca="1" si="208"/>
        <v>1.03</v>
      </c>
      <c r="M160" s="199"/>
      <c r="N160" s="81"/>
      <c r="O160" s="723">
        <f t="shared" ca="1" si="209"/>
        <v>0.29800000000000004</v>
      </c>
      <c r="P160" s="723">
        <f t="shared" ca="1" si="210"/>
        <v>1.4154999999999999E-2</v>
      </c>
      <c r="Q160" s="81">
        <f t="shared" ca="1" si="211"/>
        <v>2.0694444444444446</v>
      </c>
      <c r="R160" s="300"/>
      <c r="S160" s="300"/>
      <c r="T160" s="300"/>
      <c r="U160" s="300"/>
      <c r="V160" s="199">
        <f t="shared" ref="V160" ca="1" si="221">IF(IF(RIGHT(H159,2)="PH",(1-L160)+$W$2,IF(RIGHT(H159,2)="HT",(1-L160)+$W$1,IF(RIGHT(H159,2)="SH",(1-L160)+$W$3,"")))&gt;0,IF(RIGHT(H159,2)="PH",(1-L160)+$W$2,IF(RIGHT(H159,2)="HT",(1-L160)+$W$1,IF(RIGHT(H159,2)="SH",(1-L160)+$W$3,""))),0)</f>
        <v>0</v>
      </c>
      <c r="W160" s="298"/>
      <c r="X160" s="698">
        <f t="shared" ca="1" si="220"/>
        <v>0.3</v>
      </c>
      <c r="Y160" s="698">
        <f t="shared" ca="1" si="213"/>
        <v>7</v>
      </c>
      <c r="Z160" s="698">
        <f t="shared" ca="1" si="214"/>
        <v>2</v>
      </c>
      <c r="AA160" s="698">
        <f t="shared" ca="1" si="215"/>
        <v>1</v>
      </c>
      <c r="AB160" s="698">
        <f t="shared" ca="1" si="216"/>
        <v>0.1</v>
      </c>
      <c r="AC160" s="55"/>
      <c r="AD160" s="81">
        <v>2030</v>
      </c>
      <c r="AE160" s="81"/>
      <c r="AF160" s="700"/>
    </row>
    <row r="161" spans="1:32">
      <c r="B161" s="719" t="s">
        <v>1010</v>
      </c>
      <c r="C161" s="713"/>
      <c r="D161" s="701"/>
      <c r="E161" s="701"/>
      <c r="F161" s="224" t="s">
        <v>1149</v>
      </c>
      <c r="G161" s="203"/>
      <c r="H161" s="702"/>
      <c r="I161" s="702" t="str">
        <f t="shared" si="162"/>
        <v>INDGWH</v>
      </c>
      <c r="J161" s="224">
        <f t="shared" si="146"/>
        <v>2050</v>
      </c>
      <c r="K161" s="81"/>
      <c r="L161" s="199">
        <f t="shared" ca="1" si="208"/>
        <v>1.03</v>
      </c>
      <c r="M161" s="199"/>
      <c r="N161" s="81"/>
      <c r="O161" s="723">
        <f t="shared" ca="1" si="209"/>
        <v>0.29800000000000004</v>
      </c>
      <c r="P161" s="723">
        <f t="shared" ca="1" si="210"/>
        <v>1.2664999999999999E-2</v>
      </c>
      <c r="Q161" s="81">
        <f t="shared" ca="1" si="211"/>
        <v>2.0694444444444446</v>
      </c>
      <c r="R161" s="300"/>
      <c r="S161" s="300"/>
      <c r="T161" s="300"/>
      <c r="U161" s="300"/>
      <c r="V161" s="199">
        <f t="shared" ref="V161" ca="1" si="222">IF(IF(RIGHT(H159,2)="PH",(1-L161)+$W$2,IF(RIGHT(H159,2)="HT",(1-L161)+$W$1,IF(RIGHT(H159,2)="SH",(1-L161)+$W$3,"")))&gt;0,IF(RIGHT(H159,2)="PH",(1-L161)+$W$2,IF(RIGHT(H159,2)="HT",(1-L161)+$W$1,IF(RIGHT(H159,2)="SH",(1-L161)+$W$3,""))),0)</f>
        <v>0</v>
      </c>
      <c r="W161" s="714"/>
      <c r="X161" s="698">
        <f t="shared" ca="1" si="220"/>
        <v>0.3</v>
      </c>
      <c r="Y161" s="698">
        <f t="shared" ca="1" si="213"/>
        <v>6</v>
      </c>
      <c r="Z161" s="698">
        <f t="shared" ca="1" si="214"/>
        <v>2</v>
      </c>
      <c r="AA161" s="698">
        <f t="shared" ca="1" si="215"/>
        <v>1</v>
      </c>
      <c r="AB161" s="698">
        <f t="shared" ca="1" si="216"/>
        <v>0.1</v>
      </c>
      <c r="AC161" s="55"/>
      <c r="AD161" s="81">
        <v>2050</v>
      </c>
      <c r="AE161" s="81"/>
      <c r="AF161" s="700"/>
    </row>
    <row r="162" spans="1:32">
      <c r="B162" s="718" t="s">
        <v>1010</v>
      </c>
      <c r="C162" s="64"/>
      <c r="D162" s="212" t="str">
        <f>"IND"&amp;RIGHT(H162,4)&amp;"GAS"&amp;"N"&amp;RIGHT(E162,1)</f>
        <v>INDGDPHGASN5</v>
      </c>
      <c r="E162" s="707" t="str">
        <f>"Industrial heating technology "&amp;$AJ$12&amp;" "&amp;RIGHT(H162,2)&amp;" - Gas boiler (Direct firing) - new 5"</f>
        <v>Industrial heating technology Glass &amp; Concrete PH - Gas boiler (Direct firing) - new 5</v>
      </c>
      <c r="F162" s="224" t="s">
        <v>1149</v>
      </c>
      <c r="G162" s="173" t="s">
        <v>2080</v>
      </c>
      <c r="H162" s="174" t="str">
        <f>$AI$13</f>
        <v>IGDPH</v>
      </c>
      <c r="I162" s="174" t="str">
        <f t="shared" si="162"/>
        <v>INDGWH</v>
      </c>
      <c r="J162" s="224">
        <f t="shared" si="146"/>
        <v>2011</v>
      </c>
      <c r="K162" s="299">
        <f>J162</f>
        <v>2011</v>
      </c>
      <c r="L162" s="199">
        <f t="shared" ref="L162:L167" ca="1" si="223">VLOOKUP($AD162,INDIRECT("'"&amp;$B162&amp;"'!"&amp;"$P$345:$AD$348"),3,FALSE)</f>
        <v>1</v>
      </c>
      <c r="M162" s="199"/>
      <c r="N162" s="81">
        <f ca="1">VLOOKUP($AD162,INDIRECT("'"&amp;$B162&amp;"'!"&amp;"$P$345:$AD$348"),5,FALSE)</f>
        <v>15</v>
      </c>
      <c r="O162" s="723">
        <f t="shared" ref="O162:O167" ca="1" si="224">VLOOKUP($AD162,INDIRECT("'"&amp;$B162&amp;"'!"&amp;"$P$345:$AD$348"),6,FALSE)/1000</f>
        <v>0.11175</v>
      </c>
      <c r="P162" s="723">
        <f t="shared" ref="P162:P167" ca="1" si="225">VLOOKUP($AD162,INDIRECT("'"&amp;$B162&amp;"'!"&amp;"$P$345:$AD$348"),7,FALSE)/1000</f>
        <v>1.3545454545454561E-3</v>
      </c>
      <c r="Q162" s="81">
        <f t="shared" ref="Q162:Q167" ca="1" si="226">VLOOKUP($AD162,INDIRECT("'"&amp;$B162&amp;"'!"&amp;"$P$345:$AD$348"),8,FALSE)</f>
        <v>0.58461805555555546</v>
      </c>
      <c r="R162" s="81">
        <v>3.1536000000000002E-2</v>
      </c>
      <c r="S162" s="199">
        <v>0.5</v>
      </c>
      <c r="T162" s="199">
        <f ca="1">HLOOKUP($S$2,INDIRECT("'"&amp;$B162&amp;"'!"&amp;"$P$312:$AC$325"),IF(H162=$AI$13,6,IF(H162=$AI$14,9,14)),FALSE)</f>
        <v>1</v>
      </c>
      <c r="U162" s="773"/>
      <c r="V162" s="199">
        <f t="shared" ref="V162" ca="1" si="227">IF(IF(RIGHT(H162,2)="PH",(1-L162)+$W$2,IF(RIGHT(H162,2)="HT",(1-L162)+$W$1,IF(RIGHT(H162,2)="SH",(1-L162)+$W$3,"")))&gt;0,IF(RIGHT(H162,2)="PH",(1-L162)+$W$2,IF(RIGHT(H162,2)="HT",(1-L162)+$W$1,IF(RIGHT(H162,2)="SH",(1-L162)+$W$3,""))),0)</f>
        <v>0.2</v>
      </c>
      <c r="W162" s="709"/>
      <c r="X162" s="698">
        <f t="shared" ca="1" si="220"/>
        <v>0.3</v>
      </c>
      <c r="Y162" s="698">
        <f t="shared" ref="Y162:Y167" ca="1" si="228">VLOOKUP($AD162,INDIRECT("'"&amp;$B162&amp;"'!"&amp;"$P$345:$AD$348"),12,FALSE)</f>
        <v>9</v>
      </c>
      <c r="Z162" s="698">
        <f t="shared" ref="Z162:Z167" ca="1" si="229">VLOOKUP($AD162,INDIRECT("'"&amp;$B162&amp;"'!"&amp;"$P$345:$AD$348"),13,FALSE)</f>
        <v>3</v>
      </c>
      <c r="AA162" s="698">
        <f t="shared" ref="AA162:AA167" ca="1" si="230">VLOOKUP($AD162,INDIRECT("'"&amp;$B162&amp;"'!"&amp;"$P$345:$AD$348"),14,FALSE)</f>
        <v>1</v>
      </c>
      <c r="AB162" s="698">
        <f t="shared" ref="AB162:AB167" ca="1" si="231">VLOOKUP($AD162,INDIRECT("'"&amp;$B162&amp;"'!"&amp;"$P$345:$AD$348"),15,FALSE)</f>
        <v>0.1</v>
      </c>
      <c r="AC162" s="55"/>
      <c r="AD162" s="81">
        <v>2020</v>
      </c>
      <c r="AE162" s="81"/>
      <c r="AF162" s="700"/>
    </row>
    <row r="163" spans="1:32">
      <c r="B163" s="718" t="s">
        <v>1010</v>
      </c>
      <c r="C163" s="64"/>
      <c r="E163" s="261"/>
      <c r="F163" s="224" t="s">
        <v>1149</v>
      </c>
      <c r="G163" s="55"/>
      <c r="H163" s="174"/>
      <c r="I163" s="174" t="str">
        <f t="shared" si="162"/>
        <v>INDGWH</v>
      </c>
      <c r="J163" s="224">
        <f t="shared" si="146"/>
        <v>2030</v>
      </c>
      <c r="K163" s="81"/>
      <c r="L163" s="199">
        <f t="shared" ca="1" si="223"/>
        <v>1</v>
      </c>
      <c r="M163" s="199"/>
      <c r="N163" s="81"/>
      <c r="O163" s="723">
        <f t="shared" ca="1" si="224"/>
        <v>0.11175</v>
      </c>
      <c r="P163" s="723">
        <f t="shared" ca="1" si="225"/>
        <v>1.3206818181818161E-3</v>
      </c>
      <c r="Q163" s="81">
        <f t="shared" ca="1" si="226"/>
        <v>0.5742708333333334</v>
      </c>
      <c r="R163" s="300"/>
      <c r="S163" s="300"/>
      <c r="T163" s="300"/>
      <c r="U163" s="300"/>
      <c r="V163" s="199">
        <f t="shared" ref="V163" ca="1" si="232">IF(IF(RIGHT(H162,2)="PH",(1-L163)+$W$2,IF(RIGHT(H162,2)="HT",(1-L163)+$W$1,IF(RIGHT(H162,2)="SH",(1-L163)+$W$3,"")))&gt;0,IF(RIGHT(H162,2)="PH",(1-L163)+$W$2,IF(RIGHT(H162,2)="HT",(1-L163)+$W$1,IF(RIGHT(H162,2)="SH",(1-L163)+$W$3,""))),0)</f>
        <v>0.2</v>
      </c>
      <c r="W163" s="298"/>
      <c r="X163" s="698">
        <f t="shared" ca="1" si="220"/>
        <v>0.3</v>
      </c>
      <c r="Y163" s="698">
        <f t="shared" ca="1" si="228"/>
        <v>7</v>
      </c>
      <c r="Z163" s="698">
        <f t="shared" ca="1" si="229"/>
        <v>2</v>
      </c>
      <c r="AA163" s="698">
        <f t="shared" ca="1" si="230"/>
        <v>1</v>
      </c>
      <c r="AB163" s="698">
        <f t="shared" ca="1" si="231"/>
        <v>0.1</v>
      </c>
      <c r="AC163" s="55"/>
      <c r="AD163" s="81">
        <v>2030</v>
      </c>
      <c r="AE163" s="81"/>
      <c r="AF163" s="700"/>
    </row>
    <row r="164" spans="1:32">
      <c r="B164" s="718" t="s">
        <v>1010</v>
      </c>
      <c r="C164" s="64"/>
      <c r="E164" s="261"/>
      <c r="F164" s="224" t="s">
        <v>1149</v>
      </c>
      <c r="G164" s="55"/>
      <c r="H164" s="174"/>
      <c r="I164" s="174" t="str">
        <f t="shared" si="162"/>
        <v>INDGWH</v>
      </c>
      <c r="J164" s="224">
        <f t="shared" si="146"/>
        <v>2050</v>
      </c>
      <c r="K164" s="81"/>
      <c r="L164" s="199">
        <f t="shared" ca="1" si="223"/>
        <v>1</v>
      </c>
      <c r="M164" s="199"/>
      <c r="N164" s="81"/>
      <c r="O164" s="723">
        <f t="shared" ca="1" si="224"/>
        <v>0.11175</v>
      </c>
      <c r="P164" s="723">
        <f t="shared" ca="1" si="225"/>
        <v>1.1513636363636396E-3</v>
      </c>
      <c r="Q164" s="81">
        <f t="shared" ca="1" si="226"/>
        <v>0.57944444444444443</v>
      </c>
      <c r="R164" s="300"/>
      <c r="S164" s="300"/>
      <c r="T164" s="300"/>
      <c r="U164" s="300"/>
      <c r="V164" s="199">
        <f t="shared" ref="V164" ca="1" si="233">IF(IF(RIGHT(H162,2)="PH",(1-L164)+$W$2,IF(RIGHT(H162,2)="HT",(1-L164)+$W$1,IF(RIGHT(H162,2)="SH",(1-L164)+$W$3,"")))&gt;0,IF(RIGHT(H162,2)="PH",(1-L164)+$W$2,IF(RIGHT(H162,2)="HT",(1-L164)+$W$1,IF(RIGHT(H162,2)="SH",(1-L164)+$W$3,""))),0)</f>
        <v>0.2</v>
      </c>
      <c r="W164" s="298"/>
      <c r="X164" s="698">
        <f t="shared" ca="1" si="220"/>
        <v>0.3</v>
      </c>
      <c r="Y164" s="698">
        <f t="shared" ca="1" si="228"/>
        <v>6</v>
      </c>
      <c r="Z164" s="698">
        <f t="shared" ca="1" si="229"/>
        <v>2</v>
      </c>
      <c r="AA164" s="698">
        <f t="shared" ca="1" si="230"/>
        <v>1</v>
      </c>
      <c r="AB164" s="698">
        <f t="shared" ca="1" si="231"/>
        <v>0.1</v>
      </c>
      <c r="AC164" s="203"/>
      <c r="AD164" s="81">
        <v>2050</v>
      </c>
      <c r="AE164" s="81"/>
      <c r="AF164" s="700"/>
    </row>
    <row r="165" spans="1:32">
      <c r="B165" s="718" t="s">
        <v>1010</v>
      </c>
      <c r="C165" s="64"/>
      <c r="D165" s="212" t="str">
        <f>"IND"&amp;RIGHT(H165,4)&amp;"GAS"&amp;"N"&amp;RIGHT(E165,1)</f>
        <v>INDGDPHGASN5</v>
      </c>
      <c r="E165" s="261" t="str">
        <f>"Industrial heating technology "&amp;$AJ$12&amp;" "&amp;RIGHT(H165,2)&amp;" - Gas boiler (Direct firing) - new 5"</f>
        <v>Industrial heating technology Glass &amp; Concrete PH - Gas boiler (Direct firing) - new 5</v>
      </c>
      <c r="F165" s="224" t="s">
        <v>1149</v>
      </c>
      <c r="G165" s="173" t="s">
        <v>2080</v>
      </c>
      <c r="H165" s="174" t="str">
        <f>$AI$14</f>
        <v>IGDPH</v>
      </c>
      <c r="I165" s="721" t="str">
        <f t="shared" si="162"/>
        <v>INDGWH</v>
      </c>
      <c r="J165" s="224">
        <f t="shared" si="146"/>
        <v>2011</v>
      </c>
      <c r="K165" s="299">
        <f>J165</f>
        <v>2011</v>
      </c>
      <c r="L165" s="199">
        <f t="shared" ca="1" si="223"/>
        <v>1</v>
      </c>
      <c r="M165" s="199"/>
      <c r="N165" s="81">
        <f ca="1">VLOOKUP($AD165,INDIRECT("'"&amp;$B165&amp;"'!"&amp;"$P$279:$AD$282"),5,FALSE)</f>
        <v>25</v>
      </c>
      <c r="O165" s="723">
        <f t="shared" ca="1" si="224"/>
        <v>0.11175</v>
      </c>
      <c r="P165" s="723">
        <f t="shared" ca="1" si="225"/>
        <v>1.3545454545454561E-3</v>
      </c>
      <c r="Q165" s="81">
        <f t="shared" ca="1" si="226"/>
        <v>0.58461805555555546</v>
      </c>
      <c r="R165" s="81">
        <v>3.1536000000000002E-2</v>
      </c>
      <c r="S165" s="199">
        <v>0.5</v>
      </c>
      <c r="T165" s="199">
        <f ca="1">HLOOKUP($S$2,INDIRECT("'"&amp;$B165&amp;"'!"&amp;"$P$312:$AC$325"),IF(H165=$AI$13,6,IF(H165=$AI$14,9,14)),FALSE)</f>
        <v>1</v>
      </c>
      <c r="U165" s="773"/>
      <c r="V165" s="199">
        <f t="shared" ref="V165" ca="1" si="234">IF(IF(RIGHT(H165,2)="PH",(1-L165)+$W$2,IF(RIGHT(H165,2)="HT",(1-L165)+$W$1,IF(RIGHT(H165,2)="SH",(1-L165)+$W$3,"")))&gt;0,IF(RIGHT(H165,2)="PH",(1-L165)+$W$2,IF(RIGHT(H165,2)="HT",(1-L165)+$W$1,IF(RIGHT(H165,2)="SH",(1-L165)+$W$3,""))),0)</f>
        <v>0.2</v>
      </c>
      <c r="W165" s="709"/>
      <c r="X165" s="698">
        <f t="shared" ca="1" si="220"/>
        <v>0.3</v>
      </c>
      <c r="Y165" s="698">
        <f t="shared" ca="1" si="228"/>
        <v>9</v>
      </c>
      <c r="Z165" s="698">
        <f t="shared" ca="1" si="229"/>
        <v>3</v>
      </c>
      <c r="AA165" s="698">
        <f t="shared" ca="1" si="230"/>
        <v>1</v>
      </c>
      <c r="AB165" s="698">
        <f t="shared" ca="1" si="231"/>
        <v>0.1</v>
      </c>
      <c r="AD165" s="277">
        <v>2020</v>
      </c>
      <c r="AE165" s="273"/>
      <c r="AF165" s="830"/>
    </row>
    <row r="166" spans="1:32">
      <c r="B166" s="718" t="s">
        <v>1010</v>
      </c>
      <c r="C166" s="64"/>
      <c r="E166" s="261"/>
      <c r="F166" s="224" t="s">
        <v>1149</v>
      </c>
      <c r="G166" s="55"/>
      <c r="H166" s="174"/>
      <c r="I166" s="174" t="str">
        <f t="shared" si="162"/>
        <v>INDGWH</v>
      </c>
      <c r="J166" s="224">
        <f t="shared" si="146"/>
        <v>2030</v>
      </c>
      <c r="K166" s="81"/>
      <c r="L166" s="199">
        <f t="shared" ca="1" si="223"/>
        <v>1</v>
      </c>
      <c r="M166" s="199"/>
      <c r="N166" s="81"/>
      <c r="O166" s="723">
        <f t="shared" ca="1" si="224"/>
        <v>0.11175</v>
      </c>
      <c r="P166" s="723">
        <f t="shared" ca="1" si="225"/>
        <v>1.3206818181818161E-3</v>
      </c>
      <c r="Q166" s="81">
        <f t="shared" ca="1" si="226"/>
        <v>0.5742708333333334</v>
      </c>
      <c r="R166" s="300"/>
      <c r="S166" s="300"/>
      <c r="T166" s="300"/>
      <c r="U166" s="300"/>
      <c r="V166" s="199">
        <f t="shared" ref="V166" ca="1" si="235">IF(IF(RIGHT(H165,2)="PH",(1-L166)+$W$2,IF(RIGHT(H165,2)="HT",(1-L166)+$W$1,IF(RIGHT(H165,2)="SH",(1-L166)+$W$3,"")))&gt;0,IF(RIGHT(H165,2)="PH",(1-L166)+$W$2,IF(RIGHT(H165,2)="HT",(1-L166)+$W$1,IF(RIGHT(H165,2)="SH",(1-L166)+$W$3,""))),0)</f>
        <v>0.2</v>
      </c>
      <c r="W166" s="298"/>
      <c r="X166" s="698">
        <f t="shared" ca="1" si="220"/>
        <v>0.3</v>
      </c>
      <c r="Y166" s="698">
        <f t="shared" ca="1" si="228"/>
        <v>7</v>
      </c>
      <c r="Z166" s="698">
        <f t="shared" ca="1" si="229"/>
        <v>2</v>
      </c>
      <c r="AA166" s="698">
        <f t="shared" ca="1" si="230"/>
        <v>1</v>
      </c>
      <c r="AB166" s="698">
        <f t="shared" ca="1" si="231"/>
        <v>0.1</v>
      </c>
      <c r="AD166" s="81">
        <v>2030</v>
      </c>
      <c r="AE166" s="273"/>
      <c r="AF166" s="828"/>
    </row>
    <row r="167" spans="1:32">
      <c r="A167" s="169"/>
      <c r="B167" s="719" t="s">
        <v>1010</v>
      </c>
      <c r="C167" s="713"/>
      <c r="D167" s="701"/>
      <c r="E167" s="701"/>
      <c r="F167" s="224" t="s">
        <v>1149</v>
      </c>
      <c r="G167" s="203"/>
      <c r="H167" s="702"/>
      <c r="I167" s="702" t="str">
        <f t="shared" si="162"/>
        <v>INDGWH</v>
      </c>
      <c r="J167" s="224">
        <f t="shared" si="146"/>
        <v>2050</v>
      </c>
      <c r="K167" s="81"/>
      <c r="L167" s="199">
        <f t="shared" ca="1" si="223"/>
        <v>1</v>
      </c>
      <c r="M167" s="199"/>
      <c r="N167" s="81"/>
      <c r="O167" s="723">
        <f t="shared" ca="1" si="224"/>
        <v>0.11175</v>
      </c>
      <c r="P167" s="723">
        <f t="shared" ca="1" si="225"/>
        <v>1.1513636363636396E-3</v>
      </c>
      <c r="Q167" s="81">
        <f t="shared" ca="1" si="226"/>
        <v>0.57944444444444443</v>
      </c>
      <c r="R167" s="722"/>
      <c r="S167" s="703"/>
      <c r="T167" s="703"/>
      <c r="U167" s="703"/>
      <c r="V167" s="199">
        <f t="shared" ref="V167" ca="1" si="236">IF(IF(RIGHT(H165,2)="PH",(1-L167)+$W$2,IF(RIGHT(H165,2)="HT",(1-L167)+$W$1,IF(RIGHT(H165,2)="SH",(1-L167)+$W$3,"")))&gt;0,IF(RIGHT(H165,2)="PH",(1-L167)+$W$2,IF(RIGHT(H165,2)="HT",(1-L167)+$W$1,IF(RIGHT(H165,2)="SH",(1-L167)+$W$3,""))),0)</f>
        <v>0.2</v>
      </c>
      <c r="W167" s="714"/>
      <c r="X167" s="698">
        <f t="shared" ca="1" si="220"/>
        <v>0.3</v>
      </c>
      <c r="Y167" s="698">
        <f t="shared" ca="1" si="228"/>
        <v>6</v>
      </c>
      <c r="Z167" s="698">
        <f t="shared" ca="1" si="229"/>
        <v>2</v>
      </c>
      <c r="AA167" s="698">
        <f t="shared" ca="1" si="230"/>
        <v>1</v>
      </c>
      <c r="AB167" s="698">
        <f t="shared" ca="1" si="231"/>
        <v>0.1</v>
      </c>
      <c r="AD167" s="81">
        <v>2050</v>
      </c>
      <c r="AE167" s="273"/>
      <c r="AF167" s="828"/>
    </row>
    <row r="168" spans="1:32">
      <c r="A168" s="169"/>
      <c r="B168" s="718" t="s">
        <v>1099</v>
      </c>
      <c r="C168" s="226"/>
      <c r="D168" s="707" t="str">
        <f>"IND"&amp;RIGHT(H168,4)&amp;RIGHT(G168,3)&amp;"N"&amp;RIGHT(E168,1)</f>
        <v>INDGDPHCOAN1</v>
      </c>
      <c r="E168" s="261" t="str">
        <f>"Industrial heating technology "&amp;$AJ$12&amp;" "&amp;RIGHT(H168,2)&amp;" - Coal boiler (Steam) - new 1"</f>
        <v>Industrial heating technology Glass &amp; Concrete PH - Coal boiler (Steam) - new 1</v>
      </c>
      <c r="F168" s="224" t="s">
        <v>1149</v>
      </c>
      <c r="G168" s="55" t="s">
        <v>617</v>
      </c>
      <c r="H168" s="174" t="str">
        <f>$AI$13</f>
        <v>IGDPH</v>
      </c>
      <c r="I168" s="174" t="str">
        <f t="shared" si="162"/>
        <v>INDGWH</v>
      </c>
      <c r="J168" s="224">
        <f t="shared" si="146"/>
        <v>2011</v>
      </c>
      <c r="K168" s="299">
        <v>2025</v>
      </c>
      <c r="L168" s="199">
        <f t="shared" ref="L168:L176" ca="1" si="237">VLOOKUP($AD168,INDIRECT("'"&amp;$B168&amp;"'!"&amp;"$P$39:$AD$42"),3,FALSE)</f>
        <v>0.89</v>
      </c>
      <c r="M168" s="699"/>
      <c r="N168" s="299">
        <f ca="1">VLOOKUP($AD168,INDIRECT("'"&amp;$B168&amp;"'!"&amp;"$P$39:$AD$42"),5,FALSE)</f>
        <v>25</v>
      </c>
      <c r="O168" s="725">
        <f t="shared" ref="O168:O176" ca="1" si="238">VLOOKUP($AD168,INDIRECT("'"&amp;$B168&amp;"'!"&amp;"$P$39:$AD$42"),6,FALSE)/1000</f>
        <v>3.7250000000000001</v>
      </c>
      <c r="P168" s="725">
        <f t="shared" ref="P168:P176" ca="1" si="239">VLOOKUP($AD168,INDIRECT("'"&amp;$B168&amp;"'!"&amp;"$P$39:$AD$42"),7,FALSE)/1000</f>
        <v>0.25106499999999998</v>
      </c>
      <c r="Q168" s="299">
        <f t="shared" ref="Q168:Q176" ca="1" si="240">VLOOKUP($AD168,INDIRECT("'"&amp;$B168&amp;"'!"&amp;"$P$39:$AD$42"),8,FALSE)</f>
        <v>3.9381527777777778</v>
      </c>
      <c r="R168" s="299">
        <v>3.1536000000000002E-2</v>
      </c>
      <c r="S168" s="699">
        <v>0.5</v>
      </c>
      <c r="T168" s="699">
        <f ca="1">HLOOKUP($T$2,INDIRECT("'"&amp;$B168&amp;"'!"&amp;"$P$6:$AC$19"),IF(H168=$AI$13,6,IF(H168=$AI$14,9,14)),FALSE)</f>
        <v>1</v>
      </c>
      <c r="U168" s="772"/>
      <c r="V168" s="199">
        <f t="shared" ref="V168" ca="1" si="241">IF(IF(RIGHT(H168,2)="PH",(1-L168)+$W$2,IF(RIGHT(H168,2)="HT",(1-L168)+$W$1,IF(RIGHT(H168,2)="SH",(1-L168)+$W$3,"")))&gt;0,IF(RIGHT(H168,2)="PH",(1-L168)+$W$2,IF(RIGHT(H168,2)="HT",(1-L168)+$W$1,IF(RIGHT(H168,2)="SH",(1-L168)+$W$3,""))),0)</f>
        <v>0.31</v>
      </c>
      <c r="W168" s="298"/>
      <c r="X168" s="698">
        <f t="shared" ca="1" si="220"/>
        <v>8</v>
      </c>
      <c r="Y168" s="299">
        <f t="shared" ref="Y168:Y176" ca="1" si="242">VLOOKUP($AD168,INDIRECT("'"&amp;$B168&amp;"'!"&amp;"$P$39:$AD$42"),12,FALSE)</f>
        <v>35</v>
      </c>
      <c r="Z168" s="299">
        <f t="shared" ref="Z168:Z176" ca="1" si="243">VLOOKUP($AD168,INDIRECT("'"&amp;$B168&amp;"'!"&amp;"$P$39:$AD$42"),13,FALSE)</f>
        <v>1.5</v>
      </c>
      <c r="AA168" s="299">
        <f t="shared" ref="AA168:AA176" ca="1" si="244">VLOOKUP($AD168,INDIRECT("'"&amp;$B168&amp;"'!"&amp;"$P$39:$AD$42"),14,FALSE)</f>
        <v>0.8</v>
      </c>
      <c r="AB168" s="299">
        <f t="shared" ref="AB168:AB176" ca="1" si="245">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62"/>
        <v>INDGWH</v>
      </c>
      <c r="J169" s="224">
        <f t="shared" si="146"/>
        <v>2030</v>
      </c>
      <c r="K169" s="81"/>
      <c r="L169" s="199">
        <f t="shared" ca="1" si="237"/>
        <v>0.89</v>
      </c>
      <c r="M169" s="772"/>
      <c r="N169" s="200"/>
      <c r="O169" s="725">
        <f t="shared" ca="1" si="238"/>
        <v>3.4699403462447704</v>
      </c>
      <c r="P169" s="725">
        <f t="shared" ca="1" si="239"/>
        <v>0.24287</v>
      </c>
      <c r="Q169" s="299">
        <f t="shared" ca="1" si="240"/>
        <v>3.9836805555555559</v>
      </c>
      <c r="R169" s="823"/>
      <c r="S169" s="300"/>
      <c r="T169" s="300"/>
      <c r="U169" s="300"/>
      <c r="V169" s="199">
        <f t="shared" ref="V169" ca="1" si="246">IF(IF(RIGHT(H168,2)="PH",(1-L169)+$W$2,IF(RIGHT(H168,2)="HT",(1-L169)+$W$1,IF(RIGHT(H168,2)="SH",(1-L169)+$W$3,"")))&gt;0,IF(RIGHT(H168,2)="PH",(1-L169)+$W$2,IF(RIGHT(H168,2)="HT",(1-L169)+$W$1,IF(RIGHT(H168,2)="SH",(1-L169)+$W$3,""))),0)</f>
        <v>0.31</v>
      </c>
      <c r="W169" s="298"/>
      <c r="X169" s="698">
        <f t="shared" ca="1" si="220"/>
        <v>8</v>
      </c>
      <c r="Y169" s="299">
        <f t="shared" ca="1" si="242"/>
        <v>35</v>
      </c>
      <c r="Z169" s="299">
        <f t="shared" ca="1" si="243"/>
        <v>1.5</v>
      </c>
      <c r="AA169" s="299">
        <f t="shared" ca="1" si="244"/>
        <v>0.8</v>
      </c>
      <c r="AB169" s="299">
        <f t="shared" ca="1" si="245"/>
        <v>2.1</v>
      </c>
      <c r="AD169" s="81">
        <v>2030</v>
      </c>
      <c r="AE169" s="273"/>
      <c r="AF169" s="828"/>
    </row>
    <row r="170" spans="1:32">
      <c r="A170" s="169"/>
      <c r="B170" s="718" t="s">
        <v>1099</v>
      </c>
      <c r="C170" s="226"/>
      <c r="D170" s="261"/>
      <c r="E170" s="261"/>
      <c r="F170" s="224" t="s">
        <v>1149</v>
      </c>
      <c r="G170" s="55"/>
      <c r="H170" s="174"/>
      <c r="I170" s="174" t="str">
        <f t="shared" si="162"/>
        <v>INDGWH</v>
      </c>
      <c r="J170" s="224">
        <f t="shared" si="146"/>
        <v>2050</v>
      </c>
      <c r="K170" s="81"/>
      <c r="L170" s="199">
        <f t="shared" ca="1" si="237"/>
        <v>0.91</v>
      </c>
      <c r="M170" s="772"/>
      <c r="N170" s="200"/>
      <c r="O170" s="725">
        <f t="shared" ca="1" si="238"/>
        <v>3.2813985758696647</v>
      </c>
      <c r="P170" s="725">
        <f t="shared" ca="1" si="239"/>
        <v>0.22797000000000001</v>
      </c>
      <c r="Q170" s="299">
        <f t="shared" ca="1" si="240"/>
        <v>4.0064444444444449</v>
      </c>
      <c r="R170" s="823"/>
      <c r="S170" s="300"/>
      <c r="T170" s="300"/>
      <c r="U170" s="300"/>
      <c r="V170" s="199">
        <f t="shared" ref="V170" ca="1" si="247">IF(IF(RIGHT(H168,2)="PH",(1-L170)+$W$2,IF(RIGHT(H168,2)="HT",(1-L170)+$W$1,IF(RIGHT(H168,2)="SH",(1-L170)+$W$3,"")))&gt;0,IF(RIGHT(H168,2)="PH",(1-L170)+$W$2,IF(RIGHT(H168,2)="HT",(1-L170)+$W$1,IF(RIGHT(H168,2)="SH",(1-L170)+$W$3,""))),0)</f>
        <v>0.28999999999999998</v>
      </c>
      <c r="W170" s="298"/>
      <c r="X170" s="698">
        <f t="shared" ca="1" si="220"/>
        <v>8</v>
      </c>
      <c r="Y170" s="299">
        <f t="shared" ca="1" si="242"/>
        <v>35</v>
      </c>
      <c r="Z170" s="299">
        <f t="shared" ca="1" si="243"/>
        <v>1.5</v>
      </c>
      <c r="AA170" s="299">
        <f t="shared" ca="1" si="244"/>
        <v>0.8</v>
      </c>
      <c r="AB170" s="299">
        <f t="shared" ca="1" si="245"/>
        <v>2.1</v>
      </c>
      <c r="AD170" s="81">
        <v>2050</v>
      </c>
      <c r="AE170" s="273"/>
      <c r="AF170" s="828"/>
    </row>
    <row r="171" spans="1:32">
      <c r="A171" s="169"/>
      <c r="B171" s="718" t="s">
        <v>1099</v>
      </c>
      <c r="C171" s="226"/>
      <c r="D171" s="261" t="str">
        <f>"IND"&amp;RIGHT(H171,4)&amp;RIGHT(G171,3)&amp;"N"&amp;RIGHT(E171,1)</f>
        <v>INDGDPHCOAN1</v>
      </c>
      <c r="E171" s="261" t="str">
        <f>"Industrial heating technology "&amp;$AJ$12&amp;" "&amp;RIGHT(H171,2)&amp;" - Coal boiler (Steam) - new 1"</f>
        <v>Industrial heating technology Glass &amp; Concrete PH - Coal boiler (Steam) - new 1</v>
      </c>
      <c r="F171" s="224" t="s">
        <v>1149</v>
      </c>
      <c r="G171" s="55" t="s">
        <v>617</v>
      </c>
      <c r="H171" s="174" t="str">
        <f>$AI$14</f>
        <v>IGDPH</v>
      </c>
      <c r="I171" s="174" t="str">
        <f t="shared" si="162"/>
        <v>INDGWH</v>
      </c>
      <c r="J171" s="224">
        <f t="shared" si="146"/>
        <v>2011</v>
      </c>
      <c r="K171" s="299">
        <v>2025</v>
      </c>
      <c r="L171" s="199">
        <f t="shared" ca="1" si="237"/>
        <v>0.89</v>
      </c>
      <c r="M171" s="199"/>
      <c r="N171" s="81">
        <f ca="1">VLOOKUP($AD171,INDIRECT("'"&amp;$B171&amp;"'!"&amp;"$P$39:$AD$42"),5,FALSE)</f>
        <v>25</v>
      </c>
      <c r="O171" s="725">
        <f t="shared" ca="1" si="238"/>
        <v>3.7250000000000001</v>
      </c>
      <c r="P171" s="725">
        <f t="shared" ca="1" si="239"/>
        <v>0.25106499999999998</v>
      </c>
      <c r="Q171" s="299">
        <f t="shared" ca="1" si="240"/>
        <v>3.9381527777777778</v>
      </c>
      <c r="R171" s="81">
        <v>3.1536000000000002E-2</v>
      </c>
      <c r="S171" s="199">
        <v>0.5</v>
      </c>
      <c r="T171" s="199">
        <f ca="1">HLOOKUP($T$2,INDIRECT("'"&amp;$B171&amp;"'!"&amp;"$P$6:$AC$19"),IF(H171=$AI$13,6,IF(H171=$AI$14,9,14)),FALSE)</f>
        <v>1</v>
      </c>
      <c r="U171" s="772"/>
      <c r="V171" s="199">
        <f t="shared" ref="V171" ca="1" si="248">IF(IF(RIGHT(H171,2)="PH",(1-L171)+$W$2,IF(RIGHT(H171,2)="HT",(1-L171)+$W$1,IF(RIGHT(H171,2)="SH",(1-L171)+$W$3,"")))&gt;0,IF(RIGHT(H171,2)="PH",(1-L171)+$W$2,IF(RIGHT(H171,2)="HT",(1-L171)+$W$1,IF(RIGHT(H171,2)="SH",(1-L171)+$W$3,""))),0)</f>
        <v>0.31</v>
      </c>
      <c r="W171" s="298"/>
      <c r="X171" s="698">
        <f t="shared" ca="1" si="220"/>
        <v>8</v>
      </c>
      <c r="Y171" s="299">
        <f t="shared" ca="1" si="242"/>
        <v>35</v>
      </c>
      <c r="Z171" s="299">
        <f t="shared" ca="1" si="243"/>
        <v>1.5</v>
      </c>
      <c r="AA171" s="299">
        <f t="shared" ca="1" si="244"/>
        <v>0.8</v>
      </c>
      <c r="AB171" s="299">
        <f t="shared" ca="1" si="245"/>
        <v>2.1</v>
      </c>
      <c r="AD171" s="81">
        <v>2020</v>
      </c>
      <c r="AE171" s="273"/>
      <c r="AF171" s="828"/>
    </row>
    <row r="172" spans="1:32">
      <c r="A172" s="169"/>
      <c r="B172" s="718" t="s">
        <v>1099</v>
      </c>
      <c r="C172" s="226"/>
      <c r="D172" s="261"/>
      <c r="E172" s="261"/>
      <c r="F172" s="224" t="s">
        <v>1149</v>
      </c>
      <c r="G172" s="55"/>
      <c r="H172" s="174"/>
      <c r="I172" s="174" t="str">
        <f t="shared" si="162"/>
        <v>INDGWH</v>
      </c>
      <c r="J172" s="224">
        <f t="shared" si="146"/>
        <v>2030</v>
      </c>
      <c r="K172" s="81"/>
      <c r="L172" s="199">
        <f t="shared" ca="1" si="237"/>
        <v>0.89</v>
      </c>
      <c r="M172" s="772"/>
      <c r="N172" s="200"/>
      <c r="O172" s="725">
        <f t="shared" ca="1" si="238"/>
        <v>3.4699403462447704</v>
      </c>
      <c r="P172" s="725">
        <f t="shared" ca="1" si="239"/>
        <v>0.24287</v>
      </c>
      <c r="Q172" s="299">
        <f t="shared" ca="1" si="240"/>
        <v>3.9836805555555559</v>
      </c>
      <c r="R172" s="823"/>
      <c r="S172" s="300"/>
      <c r="T172" s="300"/>
      <c r="U172" s="300"/>
      <c r="V172" s="199">
        <f t="shared" ref="V172" ca="1" si="249">IF(IF(RIGHT(H171,2)="PH",(1-L172)+$W$2,IF(RIGHT(H171,2)="HT",(1-L172)+$W$1,IF(RIGHT(H171,2)="SH",(1-L172)+$W$3,"")))&gt;0,IF(RIGHT(H171,2)="PH",(1-L172)+$W$2,IF(RIGHT(H171,2)="HT",(1-L172)+$W$1,IF(RIGHT(H171,2)="SH",(1-L172)+$W$3,""))),0)</f>
        <v>0.31</v>
      </c>
      <c r="W172" s="298"/>
      <c r="X172" s="698">
        <f t="shared" ca="1" si="220"/>
        <v>8</v>
      </c>
      <c r="Y172" s="299">
        <f t="shared" ca="1" si="242"/>
        <v>35</v>
      </c>
      <c r="Z172" s="299">
        <f t="shared" ca="1" si="243"/>
        <v>1.5</v>
      </c>
      <c r="AA172" s="299">
        <f t="shared" ca="1" si="244"/>
        <v>0.8</v>
      </c>
      <c r="AB172" s="299">
        <f t="shared" ca="1" si="245"/>
        <v>2.1</v>
      </c>
      <c r="AD172" s="81">
        <v>2030</v>
      </c>
      <c r="AE172" s="273"/>
      <c r="AF172" s="828"/>
    </row>
    <row r="173" spans="1:32">
      <c r="A173" s="169"/>
      <c r="B173" s="718" t="s">
        <v>1099</v>
      </c>
      <c r="C173" s="226"/>
      <c r="D173" s="261"/>
      <c r="E173" s="261"/>
      <c r="F173" s="224" t="s">
        <v>1149</v>
      </c>
      <c r="G173" s="55"/>
      <c r="H173" s="174"/>
      <c r="I173" s="174" t="str">
        <f t="shared" si="162"/>
        <v>INDGWH</v>
      </c>
      <c r="J173" s="224">
        <f t="shared" si="146"/>
        <v>2050</v>
      </c>
      <c r="K173" s="81"/>
      <c r="L173" s="199">
        <f t="shared" ca="1" si="237"/>
        <v>0.91</v>
      </c>
      <c r="M173" s="772"/>
      <c r="N173" s="200"/>
      <c r="O173" s="725">
        <f t="shared" ca="1" si="238"/>
        <v>3.2813985758696647</v>
      </c>
      <c r="P173" s="725">
        <f t="shared" ca="1" si="239"/>
        <v>0.22797000000000001</v>
      </c>
      <c r="Q173" s="299">
        <f t="shared" ca="1" si="240"/>
        <v>4.0064444444444449</v>
      </c>
      <c r="R173" s="823"/>
      <c r="S173" s="300"/>
      <c r="T173" s="300"/>
      <c r="U173" s="300"/>
      <c r="V173" s="199">
        <f t="shared" ref="V173" ca="1" si="250">IF(IF(RIGHT(H171,2)="PH",(1-L173)+$W$2,IF(RIGHT(H171,2)="HT",(1-L173)+$W$1,IF(RIGHT(H171,2)="SH",(1-L173)+$W$3,"")))&gt;0,IF(RIGHT(H171,2)="PH",(1-L173)+$W$2,IF(RIGHT(H171,2)="HT",(1-L173)+$W$1,IF(RIGHT(H171,2)="SH",(1-L173)+$W$3,""))),0)</f>
        <v>0.28999999999999998</v>
      </c>
      <c r="W173" s="298"/>
      <c r="X173" s="698">
        <f t="shared" ca="1" si="220"/>
        <v>8</v>
      </c>
      <c r="Y173" s="299">
        <f t="shared" ca="1" si="242"/>
        <v>35</v>
      </c>
      <c r="Z173" s="299">
        <f t="shared" ca="1" si="243"/>
        <v>1.5</v>
      </c>
      <c r="AA173" s="299">
        <f t="shared" ca="1" si="244"/>
        <v>0.8</v>
      </c>
      <c r="AB173" s="299">
        <f t="shared" ca="1" si="245"/>
        <v>2.1</v>
      </c>
      <c r="AD173" s="81">
        <v>2050</v>
      </c>
      <c r="AE173" s="273"/>
      <c r="AF173" s="828"/>
    </row>
    <row r="174" spans="1:32">
      <c r="A174" s="169"/>
      <c r="B174" s="718" t="s">
        <v>1099</v>
      </c>
      <c r="C174" s="226"/>
      <c r="D174" s="261" t="str">
        <f>"IND"&amp;RIGHT(H174,4)&amp;RIGHT(G174,3)&amp;"N"&amp;RIGHT(E174,1)</f>
        <v>INDGDSHCOAN1</v>
      </c>
      <c r="E174" s="261" t="str">
        <f>"Industrial heating technology "&amp;$AJ$12&amp;" "&amp;RIGHT(H174,2)&amp;" - Coal boiler (Steam) - new 1"</f>
        <v>Industrial heating technology Glass &amp; Concrete SH - Coal boiler (Steam) - new 1</v>
      </c>
      <c r="F174" s="224" t="s">
        <v>1149</v>
      </c>
      <c r="G174" s="55" t="s">
        <v>617</v>
      </c>
      <c r="H174" s="174" t="str">
        <f>$AI$15</f>
        <v>IGDSH</v>
      </c>
      <c r="I174" s="174" t="str">
        <f t="shared" si="162"/>
        <v>INDGWH</v>
      </c>
      <c r="J174" s="224">
        <f t="shared" si="146"/>
        <v>2011</v>
      </c>
      <c r="K174" s="299">
        <v>2025</v>
      </c>
      <c r="L174" s="199">
        <f t="shared" ca="1" si="237"/>
        <v>0.89</v>
      </c>
      <c r="M174" s="199"/>
      <c r="N174" s="81">
        <f ca="1">VLOOKUP($AD174,INDIRECT("'"&amp;$B174&amp;"'!"&amp;"$P$39:$AD$42"),5,FALSE)</f>
        <v>25</v>
      </c>
      <c r="O174" s="725">
        <f t="shared" ca="1" si="238"/>
        <v>3.7250000000000001</v>
      </c>
      <c r="P174" s="725">
        <f t="shared" ca="1" si="239"/>
        <v>0.25106499999999998</v>
      </c>
      <c r="Q174" s="299">
        <f t="shared" ca="1" si="240"/>
        <v>3.9381527777777778</v>
      </c>
      <c r="R174" s="81">
        <v>3.1536000000000002E-2</v>
      </c>
      <c r="S174" s="199">
        <v>0.5</v>
      </c>
      <c r="T174" s="199">
        <f ca="1">HLOOKUP($T$2,INDIRECT("'"&amp;$B174&amp;"'!"&amp;"$P$6:$AC$19"),IF(H174=$AI$13,6,IF(H174=$AI$14,9,14)),FALSE)</f>
        <v>1</v>
      </c>
      <c r="U174" s="772"/>
      <c r="V174" s="199">
        <f t="shared" ref="V174" ca="1" si="251">IF(IF(RIGHT(H174,2)="PH",(1-L174)+$W$2,IF(RIGHT(H174,2)="HT",(1-L174)+$W$1,IF(RIGHT(H174,2)="SH",(1-L174)+$W$3,"")))&gt;0,IF(RIGHT(H174,2)="PH",(1-L174)+$W$2,IF(RIGHT(H174,2)="HT",(1-L174)+$W$1,IF(RIGHT(H174,2)="SH",(1-L174)+$W$3,""))),0)</f>
        <v>0.10999999999999999</v>
      </c>
      <c r="W174" s="298"/>
      <c r="X174" s="698">
        <f t="shared" ca="1" si="220"/>
        <v>8</v>
      </c>
      <c r="Y174" s="299">
        <f t="shared" ca="1" si="242"/>
        <v>35</v>
      </c>
      <c r="Z174" s="299">
        <f t="shared" ca="1" si="243"/>
        <v>1.5</v>
      </c>
      <c r="AA174" s="299">
        <f t="shared" ca="1" si="244"/>
        <v>0.8</v>
      </c>
      <c r="AB174" s="299">
        <f t="shared" ca="1" si="245"/>
        <v>2.1</v>
      </c>
      <c r="AD174" s="81">
        <v>2020</v>
      </c>
      <c r="AE174" s="273"/>
      <c r="AF174" s="828"/>
    </row>
    <row r="175" spans="1:32">
      <c r="A175" s="169"/>
      <c r="B175" s="718" t="s">
        <v>1099</v>
      </c>
      <c r="C175" s="226"/>
      <c r="D175" s="261"/>
      <c r="E175" s="261"/>
      <c r="F175" s="224" t="s">
        <v>1149</v>
      </c>
      <c r="G175" s="55"/>
      <c r="H175" s="174"/>
      <c r="I175" s="174" t="str">
        <f t="shared" si="162"/>
        <v>INDGWH</v>
      </c>
      <c r="J175" s="224">
        <f t="shared" si="146"/>
        <v>2030</v>
      </c>
      <c r="K175" s="81"/>
      <c r="L175" s="199">
        <f t="shared" ca="1" si="237"/>
        <v>0.89</v>
      </c>
      <c r="M175" s="772"/>
      <c r="N175" s="200"/>
      <c r="O175" s="725">
        <f t="shared" ca="1" si="238"/>
        <v>3.4699403462447704</v>
      </c>
      <c r="P175" s="725">
        <f t="shared" ca="1" si="239"/>
        <v>0.24287</v>
      </c>
      <c r="Q175" s="299">
        <f t="shared" ca="1" si="240"/>
        <v>3.9836805555555559</v>
      </c>
      <c r="R175" s="823"/>
      <c r="S175" s="300"/>
      <c r="T175" s="300"/>
      <c r="U175" s="300"/>
      <c r="V175" s="199">
        <f t="shared" ref="V175" ca="1" si="252">IF(IF(RIGHT(H174,2)="PH",(1-L175)+$W$2,IF(RIGHT(H174,2)="HT",(1-L175)+$W$1,IF(RIGHT(H174,2)="SH",(1-L175)+$W$3,"")))&gt;0,IF(RIGHT(H174,2)="PH",(1-L175)+$W$2,IF(RIGHT(H174,2)="HT",(1-L175)+$W$1,IF(RIGHT(H174,2)="SH",(1-L175)+$W$3,""))),0)</f>
        <v>0.10999999999999999</v>
      </c>
      <c r="W175" s="298"/>
      <c r="X175" s="698">
        <f t="shared" ca="1" si="220"/>
        <v>8</v>
      </c>
      <c r="Y175" s="299">
        <f t="shared" ca="1" si="242"/>
        <v>35</v>
      </c>
      <c r="Z175" s="299">
        <f t="shared" ca="1" si="243"/>
        <v>1.5</v>
      </c>
      <c r="AA175" s="299">
        <f t="shared" ca="1" si="244"/>
        <v>0.8</v>
      </c>
      <c r="AB175" s="299">
        <f t="shared" ca="1" si="245"/>
        <v>2.1</v>
      </c>
      <c r="AD175" s="81">
        <v>2030</v>
      </c>
      <c r="AE175" s="273"/>
      <c r="AF175" s="828"/>
    </row>
    <row r="176" spans="1:32">
      <c r="A176" s="169"/>
      <c r="B176" s="719" t="s">
        <v>1099</v>
      </c>
      <c r="C176" s="713"/>
      <c r="D176" s="701"/>
      <c r="E176" s="701"/>
      <c r="F176" s="224" t="s">
        <v>1149</v>
      </c>
      <c r="G176" s="203"/>
      <c r="H176" s="702"/>
      <c r="I176" s="702" t="str">
        <f t="shared" si="162"/>
        <v>INDGWH</v>
      </c>
      <c r="J176" s="224">
        <f t="shared" si="146"/>
        <v>2050</v>
      </c>
      <c r="K176" s="81"/>
      <c r="L176" s="199">
        <f t="shared" ca="1" si="237"/>
        <v>0.91</v>
      </c>
      <c r="M176" s="826"/>
      <c r="N176" s="825"/>
      <c r="O176" s="725">
        <f t="shared" ca="1" si="238"/>
        <v>3.2813985758696647</v>
      </c>
      <c r="P176" s="725">
        <f t="shared" ca="1" si="239"/>
        <v>0.22797000000000001</v>
      </c>
      <c r="Q176" s="299">
        <f t="shared" ca="1" si="240"/>
        <v>4.0064444444444449</v>
      </c>
      <c r="R176" s="722"/>
      <c r="S176" s="703"/>
      <c r="T176" s="703"/>
      <c r="U176" s="703"/>
      <c r="V176" s="199">
        <f t="shared" ref="V176" ca="1" si="253">IF(IF(RIGHT(H174,2)="PH",(1-L176)+$W$2,IF(RIGHT(H174,2)="HT",(1-L176)+$W$1,IF(RIGHT(H174,2)="SH",(1-L176)+$W$3,"")))&gt;0,IF(RIGHT(H174,2)="PH",(1-L176)+$W$2,IF(RIGHT(H174,2)="HT",(1-L176)+$W$1,IF(RIGHT(H174,2)="SH",(1-L176)+$W$3,""))),0)</f>
        <v>8.9999999999999969E-2</v>
      </c>
      <c r="W176" s="704"/>
      <c r="X176" s="698">
        <f t="shared" ca="1" si="220"/>
        <v>8</v>
      </c>
      <c r="Y176" s="299">
        <f t="shared" ca="1" si="242"/>
        <v>35</v>
      </c>
      <c r="Z176" s="299">
        <f t="shared" ca="1" si="243"/>
        <v>1.5</v>
      </c>
      <c r="AA176" s="299">
        <f t="shared" ca="1" si="244"/>
        <v>0.8</v>
      </c>
      <c r="AB176" s="299">
        <f t="shared" ca="1" si="245"/>
        <v>2.1</v>
      </c>
      <c r="AC176" s="203"/>
      <c r="AD176" s="81">
        <v>2050</v>
      </c>
      <c r="AE176" s="273"/>
      <c r="AF176" s="829"/>
    </row>
    <row r="177" spans="1:32">
      <c r="A177" s="169"/>
      <c r="B177" s="718" t="s">
        <v>1099</v>
      </c>
      <c r="C177" s="226"/>
      <c r="D177" s="707" t="str">
        <f>"IND"&amp;RIGHT(H177,4)&amp;RIGHT(G177,3)&amp;"N"&amp;RIGHT(E177,1)</f>
        <v>INDGDPHCOAN2</v>
      </c>
      <c r="E177" s="261" t="str">
        <f>"Industrial heating technology "&amp;$AJ$12&amp;" "&amp;RIGHT(H177,2)&amp;" - Coal boiler (Hot Water) - new 2"</f>
        <v>Industrial heating technology Glass &amp; Concrete PH - Coal boiler (Hot Water) - new 2</v>
      </c>
      <c r="F177" s="224" t="s">
        <v>1149</v>
      </c>
      <c r="G177" s="55" t="s">
        <v>617</v>
      </c>
      <c r="H177" s="174" t="str">
        <f>$AI$14</f>
        <v>IGDPH</v>
      </c>
      <c r="I177" s="174" t="str">
        <f t="shared" si="162"/>
        <v>INDGWH</v>
      </c>
      <c r="J177" s="224">
        <f t="shared" si="146"/>
        <v>2011</v>
      </c>
      <c r="K177" s="299">
        <v>2025</v>
      </c>
      <c r="L177" s="199">
        <f t="shared" ref="L177:L182" ca="1" si="254">VLOOKUP($AD177,INDIRECT("'"&amp;$B177&amp;"'!"&amp;"$P$118:$AD$121"),3,FALSE)</f>
        <v>0.89</v>
      </c>
      <c r="M177" s="199"/>
      <c r="N177" s="81">
        <f ca="1">VLOOKUP($AD177,INDIRECT("'"&amp;$B177&amp;"'!"&amp;"$P$118:$AD$121"),5,FALSE)</f>
        <v>25</v>
      </c>
      <c r="O177" s="723">
        <f t="shared" ref="O177:O182" ca="1" si="255">VLOOKUP($AD177,INDIRECT("'"&amp;$B177&amp;"'!"&amp;"$P$118:$AD$121"),6,FALSE)/1000</f>
        <v>3.7250000000000001</v>
      </c>
      <c r="P177" s="723">
        <f t="shared" ref="P177:P182" ca="1" si="256">VLOOKUP($AD177,INDIRECT("'"&amp;$B177&amp;"'!"&amp;"$P$118:$AD$121"),7,FALSE)/1000</f>
        <v>0.25106499999999998</v>
      </c>
      <c r="Q177" s="81">
        <f t="shared" ref="Q177:Q182" ca="1" si="257">VLOOKUP($AD177,INDIRECT("'"&amp;$B177&amp;"'!"&amp;"$P$118:$AD$121"),8,FALSE)</f>
        <v>3.9381527777777778</v>
      </c>
      <c r="R177" s="81">
        <v>3.1536000000000002E-2</v>
      </c>
      <c r="S177" s="199">
        <v>0.5</v>
      </c>
      <c r="T177" s="199">
        <f ca="1">HLOOKUP($T$2,INDIRECT("'"&amp;$B177&amp;"'!"&amp;"$P$85:$AC$98"),IF(H177=$AI$13,6,IF(H177=$AI$14,9,14)),FALSE)</f>
        <v>0</v>
      </c>
      <c r="U177" s="773"/>
      <c r="V177" s="199">
        <f t="shared" ref="V177" ca="1" si="258">IF(IF(RIGHT(H177,2)="PH",(1-L177)+$W$2,IF(RIGHT(H177,2)="HT",(1-L177)+$W$1,IF(RIGHT(H177,2)="SH",(1-L177)+$W$3,"")))&gt;0,IF(RIGHT(H177,2)="PH",(1-L177)+$W$2,IF(RIGHT(H177,2)="HT",(1-L177)+$W$1,IF(RIGHT(H177,2)="SH",(1-L177)+$W$3,""))),0)</f>
        <v>0.31</v>
      </c>
      <c r="W177" s="709"/>
      <c r="X177" s="698">
        <f t="shared" ca="1" si="220"/>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62"/>
        <v>INDGWH</v>
      </c>
      <c r="J178" s="224">
        <f t="shared" si="146"/>
        <v>2030</v>
      </c>
      <c r="K178" s="81"/>
      <c r="L178" s="199">
        <f t="shared" ca="1" si="254"/>
        <v>0.89</v>
      </c>
      <c r="M178" s="772"/>
      <c r="N178" s="200"/>
      <c r="O178" s="723">
        <f t="shared" ca="1" si="255"/>
        <v>3.7250000000000001</v>
      </c>
      <c r="P178" s="723">
        <f t="shared" ca="1" si="256"/>
        <v>0.24287</v>
      </c>
      <c r="Q178" s="81">
        <f t="shared" ca="1" si="257"/>
        <v>3.9836805555555559</v>
      </c>
      <c r="R178" s="823"/>
      <c r="S178" s="300"/>
      <c r="T178" s="300"/>
      <c r="U178" s="300"/>
      <c r="V178" s="199">
        <f t="shared" ref="V178" ca="1" si="259">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62"/>
        <v>INDGWH</v>
      </c>
      <c r="J179" s="224">
        <f t="shared" si="146"/>
        <v>2050</v>
      </c>
      <c r="K179" s="81"/>
      <c r="L179" s="199">
        <f t="shared" ca="1" si="254"/>
        <v>0.91</v>
      </c>
      <c r="M179" s="772"/>
      <c r="N179" s="200"/>
      <c r="O179" s="723">
        <f t="shared" ca="1" si="255"/>
        <v>3.7250000000000001</v>
      </c>
      <c r="P179" s="723">
        <f t="shared" ca="1" si="256"/>
        <v>0.22797000000000001</v>
      </c>
      <c r="Q179" s="81">
        <f t="shared" ca="1" si="257"/>
        <v>4.0064444444444449</v>
      </c>
      <c r="R179" s="823"/>
      <c r="S179" s="300"/>
      <c r="T179" s="300"/>
      <c r="U179" s="300"/>
      <c r="V179" s="199">
        <f t="shared" ref="V179" ca="1" si="260">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INDGDSHCOAN2</v>
      </c>
      <c r="E180" s="261" t="str">
        <f>"Industrial heating technology "&amp;$AJ$12&amp;" "&amp;RIGHT(H180,2)&amp;" - Coal boiler (Hot Water) - new 2"</f>
        <v>Industrial heating technology Glass &amp; Concrete SH - Coal boiler (Hot Water) - new 2</v>
      </c>
      <c r="F180" s="224" t="s">
        <v>1149</v>
      </c>
      <c r="G180" s="55" t="s">
        <v>617</v>
      </c>
      <c r="H180" s="174" t="str">
        <f>$AI$15</f>
        <v>IGDSH</v>
      </c>
      <c r="I180" s="174" t="str">
        <f t="shared" si="162"/>
        <v>INDGWH</v>
      </c>
      <c r="J180" s="224">
        <f t="shared" si="146"/>
        <v>2011</v>
      </c>
      <c r="K180" s="299">
        <v>2025</v>
      </c>
      <c r="L180" s="199">
        <f t="shared" ca="1" si="254"/>
        <v>0.89</v>
      </c>
      <c r="M180" s="199"/>
      <c r="N180" s="81">
        <f ca="1">VLOOKUP($AD180,INDIRECT("'"&amp;$B180&amp;"'!"&amp;"$P$118:$AD$121"),5,FALSE)</f>
        <v>25</v>
      </c>
      <c r="O180" s="723">
        <f t="shared" ca="1" si="255"/>
        <v>3.7250000000000001</v>
      </c>
      <c r="P180" s="723">
        <f t="shared" ca="1" si="256"/>
        <v>0.25106499999999998</v>
      </c>
      <c r="Q180" s="81">
        <f t="shared" ca="1" si="257"/>
        <v>3.9381527777777778</v>
      </c>
      <c r="R180" s="81">
        <v>3.1536000000000002E-2</v>
      </c>
      <c r="S180" s="199">
        <v>0.5</v>
      </c>
      <c r="T180" s="199">
        <f ca="1">HLOOKUP($T$2,INDIRECT("'"&amp;$B180&amp;"'!"&amp;"$P$85:$AC$98"),IF(H180=$AI$13,6,IF(H180=$AI$14,9,14)),FALSE)</f>
        <v>1</v>
      </c>
      <c r="U180" s="773"/>
      <c r="V180" s="199">
        <f t="shared" ref="V180" ca="1" si="261">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62"/>
        <v>INDGWH</v>
      </c>
      <c r="J181" s="224">
        <f t="shared" si="146"/>
        <v>2030</v>
      </c>
      <c r="K181" s="200"/>
      <c r="L181" s="199">
        <f t="shared" ca="1" si="254"/>
        <v>0.89</v>
      </c>
      <c r="M181" s="772"/>
      <c r="N181" s="200"/>
      <c r="O181" s="723">
        <f t="shared" ca="1" si="255"/>
        <v>3.7250000000000001</v>
      </c>
      <c r="P181" s="723">
        <f t="shared" ca="1" si="256"/>
        <v>0.24287</v>
      </c>
      <c r="Q181" s="81">
        <f t="shared" ca="1" si="257"/>
        <v>3.9836805555555559</v>
      </c>
      <c r="R181" s="823"/>
      <c r="S181" s="300"/>
      <c r="T181" s="300"/>
      <c r="U181" s="300"/>
      <c r="V181" s="199">
        <f t="shared" ref="V181" ca="1" si="262">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62"/>
        <v>INDGWH</v>
      </c>
      <c r="J182" s="224">
        <f t="shared" si="146"/>
        <v>2050</v>
      </c>
      <c r="K182" s="825"/>
      <c r="L182" s="199">
        <f t="shared" ca="1" si="254"/>
        <v>0.91</v>
      </c>
      <c r="M182" s="826"/>
      <c r="N182" s="825"/>
      <c r="O182" s="723">
        <f t="shared" ca="1" si="255"/>
        <v>3.7250000000000001</v>
      </c>
      <c r="P182" s="723">
        <f t="shared" ca="1" si="256"/>
        <v>0.22797000000000001</v>
      </c>
      <c r="Q182" s="81">
        <f t="shared" ca="1" si="257"/>
        <v>4.0064444444444449</v>
      </c>
      <c r="R182" s="722"/>
      <c r="S182" s="703"/>
      <c r="T182" s="703"/>
      <c r="U182" s="703"/>
      <c r="V182" s="199">
        <f t="shared" ref="V182" ca="1" si="263">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INDGDSHSOLN1</v>
      </c>
      <c r="E183" s="261" t="str">
        <f>"Industrial heating technology "&amp;$AJ$12&amp;" "&amp;RIGHT(H183,2)&amp;" - Solar - new 1"</f>
        <v>Industrial heating technology Glass &amp; Concrete SH - Solar - new 1</v>
      </c>
      <c r="F183" s="224" t="s">
        <v>1149</v>
      </c>
      <c r="G183" s="55" t="s">
        <v>500</v>
      </c>
      <c r="H183" s="174" t="str">
        <f>$AI$15</f>
        <v>IGDSH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4">"IND"&amp;RIGHT(H187,4)&amp;RIGHT(G187,3)&amp;"N"&amp;RIGHT(E187,1)</f>
        <v>INDGDSHHCEN1</v>
      </c>
      <c r="E187" s="224" t="str">
        <f>"Industrial heating technology "&amp;$AJ$12&amp;" "&amp;RIGHT(H187,2)&amp;" - central district heating - within DH area - new 1"</f>
        <v>Industrial heating technology Glass &amp; Concrete SH - central district heating - within DH area - new 1</v>
      </c>
      <c r="F187" s="224" t="s">
        <v>1149</v>
      </c>
      <c r="G187" s="225" t="s">
        <v>501</v>
      </c>
      <c r="H187" s="225" t="str">
        <f>AI15</f>
        <v>IGDSH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4"/>
        <v>INDGDPHHCEN1</v>
      </c>
      <c r="E188" s="224" t="str">
        <f>"Industrial heating technology "&amp;$AJ$12&amp;" "&amp;RIGHT(H188,2)&amp;" - central district heating - within DH area - new 1"</f>
        <v>Industrial heating technology Glass &amp; Concrete PH - central district heating - within DH area - new 1</v>
      </c>
      <c r="F188" s="224" t="s">
        <v>1149</v>
      </c>
      <c r="G188" s="225" t="s">
        <v>501</v>
      </c>
      <c r="H188" s="281" t="str">
        <f>AI14</f>
        <v>IGDPH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4"/>
        <v>INDGDSHHSEN1</v>
      </c>
      <c r="E189" s="224" t="str">
        <f>"Industrial heating technology "&amp;$AJ$12&amp;" "&amp;RIGHT(H189,2)&amp;" - central district heating - within DH area - new 1"</f>
        <v>Industrial heating technology Glass &amp; Concrete SH - central district heating - within DH area - new 1</v>
      </c>
      <c r="F189" s="224" t="s">
        <v>1149</v>
      </c>
      <c r="G189" s="225" t="s">
        <v>2124</v>
      </c>
      <c r="H189" s="225" t="str">
        <f>H187</f>
        <v>IGDSH</v>
      </c>
      <c r="I189" s="225"/>
      <c r="J189" s="81">
        <f t="shared" ref="J189:L190" si="265">J187</f>
        <v>2011</v>
      </c>
      <c r="K189" s="81">
        <f t="shared" si="265"/>
        <v>2025</v>
      </c>
      <c r="L189" s="81">
        <f t="shared" si="265"/>
        <v>0.96</v>
      </c>
      <c r="M189" s="81"/>
      <c r="N189" s="81">
        <f t="shared" ref="N189:S190" si="266">N187</f>
        <v>30</v>
      </c>
      <c r="O189" s="81">
        <f t="shared" si="266"/>
        <v>1.17</v>
      </c>
      <c r="P189" s="81">
        <f t="shared" si="266"/>
        <v>5.8735799999999998E-2</v>
      </c>
      <c r="Q189" s="81">
        <f t="shared" ca="1" si="266"/>
        <v>1.9463124999999999</v>
      </c>
      <c r="R189" s="81">
        <f t="shared" si="266"/>
        <v>3.1536000000000002E-2</v>
      </c>
      <c r="S189" s="81">
        <f t="shared" si="266"/>
        <v>0.5</v>
      </c>
      <c r="T189" s="228"/>
      <c r="U189" s="228"/>
      <c r="V189" s="228"/>
      <c r="W189" s="287"/>
      <c r="X189" s="278"/>
      <c r="Y189" s="61"/>
      <c r="Z189" s="61"/>
      <c r="AA189" s="61"/>
      <c r="AB189" s="61"/>
    </row>
    <row r="190" spans="1:32">
      <c r="A190" s="169"/>
      <c r="D190" s="212" t="str">
        <f t="shared" si="264"/>
        <v>INDGDPHHSEN1</v>
      </c>
      <c r="E190" s="224" t="str">
        <f>"Industrial heating technology "&amp;$AJ$12&amp;" "&amp;RIGHT(H190,2)&amp;" - central district heating - within DH area - new 1"</f>
        <v>Industrial heating technology Glass &amp; Concrete PH - central district heating - within DH area - new 1</v>
      </c>
      <c r="F190" s="224" t="s">
        <v>1149</v>
      </c>
      <c r="G190" s="225" t="s">
        <v>2124</v>
      </c>
      <c r="H190" s="225" t="str">
        <f>H188</f>
        <v>IGDPH</v>
      </c>
      <c r="I190" s="281"/>
      <c r="J190" s="81">
        <f t="shared" si="265"/>
        <v>2011</v>
      </c>
      <c r="K190" s="81">
        <f t="shared" si="265"/>
        <v>2025</v>
      </c>
      <c r="L190" s="81">
        <f t="shared" si="265"/>
        <v>0.96</v>
      </c>
      <c r="M190" s="81"/>
      <c r="N190" s="81">
        <f t="shared" si="266"/>
        <v>30</v>
      </c>
      <c r="O190" s="81">
        <f t="shared" si="266"/>
        <v>1.17</v>
      </c>
      <c r="P190" s="81">
        <f t="shared" si="266"/>
        <v>5.8735799999999998E-2</v>
      </c>
      <c r="Q190" s="81">
        <f t="shared" ca="1" si="266"/>
        <v>6.4090694444444436</v>
      </c>
      <c r="R190" s="81">
        <f t="shared" si="266"/>
        <v>3.1536000000000002E-2</v>
      </c>
      <c r="S190" s="81">
        <f t="shared" si="266"/>
        <v>0.5</v>
      </c>
      <c r="T190" s="81">
        <f>T188</f>
        <v>0.05</v>
      </c>
      <c r="U190" s="228"/>
      <c r="V190" s="228"/>
      <c r="W190" s="287"/>
      <c r="X190" s="278"/>
      <c r="Y190" s="61"/>
      <c r="Z190" s="61"/>
      <c r="AA190" s="61"/>
      <c r="AB190" s="61"/>
      <c r="AC190" s="226"/>
      <c r="AD190" s="226"/>
      <c r="AE190" s="226"/>
      <c r="AF190" s="226"/>
    </row>
    <row r="191" spans="1:32">
      <c r="A191" s="169"/>
      <c r="D191" s="212" t="str">
        <f t="shared" si="264"/>
        <v>INDGDSHHDEN1</v>
      </c>
      <c r="E191" s="224" t="str">
        <f>"Industrial heating technology "&amp;$AJ$12&amp;" "&amp;RIGHT(H191,2)&amp;" - decentral district heating - within DH area - new 1"</f>
        <v>Industrial heating technology Glass &amp; Concrete SH - decentral district heating - within DH area - new 1</v>
      </c>
      <c r="F191" s="224" t="s">
        <v>1149</v>
      </c>
      <c r="G191" s="259" t="s">
        <v>502</v>
      </c>
      <c r="H191" s="265" t="str">
        <f>AI15</f>
        <v>IGDSH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4"/>
        <v>INDGDPHHDEN1</v>
      </c>
      <c r="E192" s="224" t="str">
        <f>"Industrial heating technology "&amp;$AJ$12&amp;" "&amp;RIGHT(H192,2)&amp;" - decentral district heating - within DH area - new 1"</f>
        <v>Industrial heating technology Glass &amp; Concrete PH - decentral district heating - within DH area - new 1</v>
      </c>
      <c r="F192" s="224" t="s">
        <v>1149</v>
      </c>
      <c r="G192" s="259" t="s">
        <v>502</v>
      </c>
      <c r="H192" s="225" t="str">
        <f>AI14</f>
        <v>IGDPH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INDGDLAELCN1</v>
      </c>
      <c r="E194" s="224" t="str">
        <f>"Industry "&amp;$AJ$12&amp;" "&amp;RIGHT(H194,2)&amp;" Electricity Light Appliance - New 1"</f>
        <v>Industry Glass &amp; Concrete LA Electricity Light Appliance - New 1</v>
      </c>
      <c r="F194" s="224" t="s">
        <v>1149</v>
      </c>
      <c r="G194" s="225" t="s">
        <v>499</v>
      </c>
      <c r="H194" s="225" t="str">
        <f>AI16</f>
        <v>IGDLA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INDGDEMELCN1</v>
      </c>
      <c r="E198" s="224" t="str">
        <f>"Industry "&amp;$AJ$12&amp;" "&amp;RIGHT(H198,2)&amp;" Electricity Motors - New 1"</f>
        <v>Industry Glass &amp; Concrete EM Electricity Motors - New 1</v>
      </c>
      <c r="F198" s="224" t="s">
        <v>1149</v>
      </c>
      <c r="G198" s="225" t="s">
        <v>499</v>
      </c>
      <c r="H198" s="225" t="str">
        <f>AI17</f>
        <v>IGDEM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INDGDTFDSLN1</v>
      </c>
      <c r="E202" s="224" t="str">
        <f>"Industry "&amp;$AJ$12&amp;" "&amp;RIGHT(H202,2)&amp;" Tractors, Trucks, Fishing boats - New 1"</f>
        <v>Industry Glass &amp; Concrete TF Tractors, Trucks, Fishing boats - New 1</v>
      </c>
      <c r="F202" s="224" t="s">
        <v>1149</v>
      </c>
      <c r="G202" s="173" t="s">
        <v>2081</v>
      </c>
      <c r="H202" s="174" t="str">
        <f>$AI$18</f>
        <v>IGDTF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INDGDTFH2GN2</v>
      </c>
      <c r="E206" s="224" t="str">
        <f>"Industry "&amp;$AJ$12&amp;" "&amp;RIGHT(H206,2)&amp;" Tractors, Trucks, Fishing boats - New 2"</f>
        <v>Industry Glass &amp; Concrete TF Tractors, Trucks, Fishing boats - New 2</v>
      </c>
      <c r="F206" s="224" t="s">
        <v>1149</v>
      </c>
      <c r="G206" s="55" t="s">
        <v>2077</v>
      </c>
      <c r="H206" s="174" t="str">
        <f>$AI$18</f>
        <v>IGDTF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INDGDTFELCN3</v>
      </c>
      <c r="E210" s="224" t="str">
        <f>"Industry "&amp;$AJ$12&amp;" "&amp;RIGHT(H210,2)&amp;" Tractors, Trucks, Fishing boats - New 3"</f>
        <v>Industry Glass &amp; Concrete TF Tractors, Trucks, Fishing boats - New 3</v>
      </c>
      <c r="F210" s="224" t="s">
        <v>1149</v>
      </c>
      <c r="G210" s="55" t="s">
        <v>499</v>
      </c>
      <c r="H210" s="174" t="str">
        <f>$AI$18</f>
        <v>IGDTF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INDGDFLSYNN1</v>
      </c>
      <c r="E214" s="224" t="str">
        <f>"Industry "&amp;$AJ$12&amp;" "&amp;RIGHT(H202,2)&amp;" Forklifts - New 1"</f>
        <v>Industry Glass &amp; Concrete TF Forklifts - New 1</v>
      </c>
      <c r="F214" s="224" t="s">
        <v>1149</v>
      </c>
      <c r="G214" s="173" t="s">
        <v>2082</v>
      </c>
      <c r="H214" s="224" t="str">
        <f>AI19</f>
        <v>IGDFL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2108</v>
      </c>
      <c r="D218" s="212" t="str">
        <f>"IND"&amp;RIGHT(H218,4)&amp;RIGHT(G218,3)&amp;"N"&amp;RIGHT(E218,1)</f>
        <v>INDGDCOELCN1</v>
      </c>
      <c r="E218" s="224" t="str">
        <f>"Industry "&amp;$AJ$12&amp;" "&amp;RIGHT(H218,2)&amp;" Cooling - New 1"</f>
        <v>Industry Glass &amp; Concrete CO Cooling - New 1</v>
      </c>
      <c r="F218" s="224" t="s">
        <v>1149</v>
      </c>
      <c r="G218" s="173" t="s">
        <v>499</v>
      </c>
      <c r="H218" s="224" t="str">
        <f>AI21</f>
        <v>IGDCO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5"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INDGDPHELCN1</v>
      </c>
      <c r="E229" s="212" t="str">
        <f t="shared" ref="E229:E260" si="267">VLOOKUP(D229,$D$9:$E$222,2,FALSE)</f>
        <v>Industrial heating technology Glass &amp; Concrete PH - Heat pump utilizing waste heat - new 1</v>
      </c>
      <c r="F229" s="211" t="s">
        <v>450</v>
      </c>
      <c r="G229" s="211" t="s">
        <v>449</v>
      </c>
      <c r="H229" s="263" t="s">
        <v>620</v>
      </c>
      <c r="I229" s="301"/>
      <c r="J229" s="208" t="s">
        <v>469</v>
      </c>
    </row>
    <row r="230" spans="1:10">
      <c r="A230" s="169"/>
      <c r="B230" s="301"/>
      <c r="C230" s="301"/>
      <c r="D230" s="212" t="str">
        <f t="shared" ref="D230:D238" ca="1" si="268">OFFSET($D$9,(ROW(D1)*6),0)</f>
        <v>INDGDSHELCN1</v>
      </c>
      <c r="E230" s="212" t="str">
        <f t="shared" ca="1" si="267"/>
        <v>Industrial heating technology Glass &amp; Concrete SH - Heat pump utilizing waste heat - new 1</v>
      </c>
      <c r="F230" s="262" t="s">
        <v>450</v>
      </c>
      <c r="G230" s="262" t="s">
        <v>449</v>
      </c>
      <c r="H230" s="263" t="s">
        <v>620</v>
      </c>
      <c r="I230" s="301"/>
      <c r="J230" s="264" t="s">
        <v>469</v>
      </c>
    </row>
    <row r="231" spans="1:10">
      <c r="A231" s="169"/>
      <c r="D231" s="212" t="str">
        <f t="shared" ca="1" si="268"/>
        <v>INDGDPHELCN2</v>
      </c>
      <c r="E231" s="212" t="str">
        <f t="shared" ca="1" si="267"/>
        <v>Industrial heating technology Glass &amp; Concrete PH - Heat driven heat pump utilizing waste heat - new 2</v>
      </c>
      <c r="F231" s="211" t="s">
        <v>450</v>
      </c>
      <c r="G231" s="211" t="s">
        <v>449</v>
      </c>
      <c r="H231" s="263" t="s">
        <v>620</v>
      </c>
      <c r="I231" s="208"/>
      <c r="J231" s="264" t="s">
        <v>469</v>
      </c>
    </row>
    <row r="232" spans="1:10">
      <c r="A232" s="169"/>
      <c r="B232" s="211"/>
      <c r="C232" s="211"/>
      <c r="D232" s="212" t="str">
        <f t="shared" ca="1" si="268"/>
        <v>INDGDSHELCN2</v>
      </c>
      <c r="E232" s="212" t="str">
        <f t="shared" ca="1" si="267"/>
        <v>Industrial heating technology Glass &amp; Concrete SH - Heat driven heat pump utilizing waste heat - new 2</v>
      </c>
      <c r="F232" s="262" t="s">
        <v>450</v>
      </c>
      <c r="G232" s="262" t="s">
        <v>449</v>
      </c>
      <c r="H232" s="263" t="s">
        <v>620</v>
      </c>
      <c r="I232" s="264"/>
      <c r="J232" s="264" t="s">
        <v>469</v>
      </c>
    </row>
    <row r="233" spans="1:10">
      <c r="A233" s="169"/>
      <c r="B233" s="211"/>
      <c r="C233" s="211"/>
      <c r="D233" s="212" t="str">
        <f t="shared" ca="1" si="268"/>
        <v>INDGDPHELCN3</v>
      </c>
      <c r="E233" s="212" t="str">
        <f t="shared" ca="1" si="267"/>
        <v>Industrial heating technology Glass &amp; Concrete PH - High Temp abs. Heat pump utilizing waste heat - new 3</v>
      </c>
      <c r="F233" s="262" t="s">
        <v>450</v>
      </c>
      <c r="G233" s="262" t="s">
        <v>449</v>
      </c>
      <c r="H233" s="263" t="s">
        <v>620</v>
      </c>
      <c r="I233" s="264"/>
      <c r="J233" s="264" t="s">
        <v>469</v>
      </c>
    </row>
    <row r="234" spans="1:10">
      <c r="A234" s="169"/>
      <c r="B234" s="211"/>
      <c r="C234" s="211"/>
      <c r="D234" s="212" t="str">
        <f t="shared" ca="1" si="268"/>
        <v>INDGDSHELCN3</v>
      </c>
      <c r="E234" s="212" t="str">
        <f t="shared" ca="1" si="267"/>
        <v>Industrial heating technology Glass &amp; Concrete SH - High Temp abs. Heat pump utilizing waste heat - new 3</v>
      </c>
      <c r="F234" s="262" t="s">
        <v>450</v>
      </c>
      <c r="G234" s="262" t="s">
        <v>449</v>
      </c>
      <c r="H234" s="263" t="s">
        <v>620</v>
      </c>
      <c r="I234" s="264"/>
      <c r="J234" s="264" t="s">
        <v>469</v>
      </c>
    </row>
    <row r="235" spans="1:10">
      <c r="A235" s="169"/>
      <c r="B235" s="211"/>
      <c r="C235" s="211"/>
      <c r="D235" s="212" t="str">
        <f t="shared" ca="1" si="268"/>
        <v>INDGDPHELCN4</v>
      </c>
      <c r="E235" s="212" t="str">
        <f t="shared" ca="1" si="267"/>
        <v>Industrial heating technology Glass &amp; Concrete PH - Booster Heat pump utilizing waste heat - new 4</v>
      </c>
      <c r="F235" s="262" t="s">
        <v>450</v>
      </c>
      <c r="G235" s="262" t="s">
        <v>449</v>
      </c>
      <c r="H235" s="263" t="s">
        <v>620</v>
      </c>
      <c r="I235" s="264"/>
      <c r="J235" s="264" t="s">
        <v>469</v>
      </c>
    </row>
    <row r="236" spans="1:10">
      <c r="A236" s="169"/>
      <c r="B236" s="211"/>
      <c r="C236" s="211"/>
      <c r="D236" s="212" t="str">
        <f t="shared" ca="1" si="268"/>
        <v>INDGDSHELCN4</v>
      </c>
      <c r="E236" s="212" t="str">
        <f t="shared" ca="1" si="267"/>
        <v>Industrial heating technology Glass &amp; Concrete SH - Booster Heat pump utilizing waste heat - new 4</v>
      </c>
      <c r="F236" s="262" t="s">
        <v>450</v>
      </c>
      <c r="G236" s="262" t="s">
        <v>449</v>
      </c>
      <c r="H236" s="263" t="s">
        <v>620</v>
      </c>
      <c r="I236" s="264"/>
      <c r="J236" s="264" t="s">
        <v>469</v>
      </c>
    </row>
    <row r="237" spans="1:10">
      <c r="A237" s="169"/>
      <c r="B237" s="211"/>
      <c r="C237" s="211"/>
      <c r="D237" s="212" t="str">
        <f t="shared" ca="1" si="268"/>
        <v>INDGDPHELCN5</v>
      </c>
      <c r="E237" s="212" t="str">
        <f t="shared" ca="1" si="267"/>
        <v>Industrial heating technology Glass &amp; Concrete PH - MVR utilizing waste heat - new 5</v>
      </c>
      <c r="F237" s="262" t="s">
        <v>450</v>
      </c>
      <c r="G237" s="262" t="s">
        <v>449</v>
      </c>
      <c r="H237" s="263"/>
      <c r="I237" s="264"/>
      <c r="J237" s="264" t="s">
        <v>469</v>
      </c>
    </row>
    <row r="238" spans="1:10">
      <c r="A238" s="169"/>
      <c r="B238" s="211"/>
      <c r="C238" s="211"/>
      <c r="D238" s="212" t="str">
        <f t="shared" ca="1" si="268"/>
        <v>INDGDPHWSTN1</v>
      </c>
      <c r="E238" s="212" t="str">
        <f t="shared" ca="1" si="267"/>
        <v>Industrial heating technology Glass &amp; Concrete PH - Hotdisc - new 1</v>
      </c>
      <c r="F238" s="262" t="s">
        <v>450</v>
      </c>
      <c r="G238" s="262" t="s">
        <v>449</v>
      </c>
      <c r="H238" s="263" t="s">
        <v>620</v>
      </c>
      <c r="I238" s="264"/>
      <c r="J238" s="264" t="s">
        <v>469</v>
      </c>
    </row>
    <row r="239" spans="1:10">
      <c r="A239" s="169"/>
      <c r="B239" s="211"/>
      <c r="C239" s="211"/>
      <c r="D239" s="212" t="str">
        <f t="shared" ref="D239:D278" ca="1" si="269">OFFSET($D$9,(ROW(D19)*3),0)</f>
        <v>INDGDPHELCN6</v>
      </c>
      <c r="E239" s="212" t="str">
        <f t="shared" ca="1" si="267"/>
        <v>Industrial heating technology Glass &amp; Concrete PH - Dielectric heating - new 6</v>
      </c>
      <c r="F239" s="262" t="s">
        <v>450</v>
      </c>
      <c r="G239" s="262" t="s">
        <v>449</v>
      </c>
      <c r="H239" s="263" t="s">
        <v>620</v>
      </c>
      <c r="I239" s="264"/>
      <c r="J239" s="264" t="s">
        <v>469</v>
      </c>
    </row>
    <row r="240" spans="1:10">
      <c r="A240" s="169"/>
      <c r="B240" s="211"/>
      <c r="C240" s="211"/>
      <c r="D240" s="212" t="str">
        <f t="shared" ca="1" si="269"/>
        <v>INDGDPHELCN7</v>
      </c>
      <c r="E240" s="212" t="str">
        <f t="shared" ca="1" si="267"/>
        <v>Industrial heating technology Glass &amp; Concrete PH - Infrared heating - new 7</v>
      </c>
      <c r="F240" s="262" t="s">
        <v>450</v>
      </c>
      <c r="G240" s="262" t="s">
        <v>449</v>
      </c>
      <c r="H240" s="263" t="s">
        <v>620</v>
      </c>
      <c r="I240" s="264"/>
      <c r="J240" s="264" t="s">
        <v>469</v>
      </c>
    </row>
    <row r="241" spans="1:16">
      <c r="A241" s="169"/>
      <c r="B241" s="211"/>
      <c r="C241" s="211"/>
      <c r="D241" s="212" t="str">
        <f t="shared" ca="1" si="269"/>
        <v>INDGDPHELCN8</v>
      </c>
      <c r="E241" s="212" t="str">
        <f t="shared" ca="1" si="267"/>
        <v>Industrial heating technology Glass &amp; Concrete PH - Electric boiler (Steam) - new 8</v>
      </c>
      <c r="F241" s="262" t="s">
        <v>450</v>
      </c>
      <c r="G241" s="262" t="s">
        <v>449</v>
      </c>
      <c r="H241" s="263" t="s">
        <v>620</v>
      </c>
      <c r="I241" s="264"/>
      <c r="J241" s="264" t="s">
        <v>469</v>
      </c>
    </row>
    <row r="242" spans="1:16">
      <c r="A242" s="169"/>
      <c r="B242" s="211"/>
      <c r="C242" s="211"/>
      <c r="D242" s="212" t="str">
        <f t="shared" ca="1" si="269"/>
        <v>INDGDPHELCN8</v>
      </c>
      <c r="E242" s="212" t="str">
        <f t="shared" ca="1" si="267"/>
        <v>Industrial heating technology Glass &amp; Concrete PH - Electric boiler (Steam) - new 8</v>
      </c>
      <c r="F242" s="262" t="s">
        <v>450</v>
      </c>
      <c r="G242" s="262" t="s">
        <v>449</v>
      </c>
      <c r="H242" s="263" t="s">
        <v>620</v>
      </c>
      <c r="I242" s="264"/>
      <c r="J242" s="264" t="s">
        <v>469</v>
      </c>
    </row>
    <row r="243" spans="1:16">
      <c r="A243" s="169"/>
      <c r="B243" s="211"/>
      <c r="C243" s="211"/>
      <c r="D243" s="212" t="str">
        <f t="shared" ca="1" si="269"/>
        <v>INDGDSHELCN8</v>
      </c>
      <c r="E243" s="212" t="str">
        <f t="shared" ca="1" si="267"/>
        <v>Industrial heating technology Glass &amp; Concrete SH - Electric boiler (Steam) - new 8</v>
      </c>
      <c r="F243" s="262" t="s">
        <v>450</v>
      </c>
      <c r="G243" s="262" t="s">
        <v>449</v>
      </c>
      <c r="H243" s="263" t="s">
        <v>620</v>
      </c>
      <c r="I243" s="264"/>
      <c r="J243" s="264" t="s">
        <v>469</v>
      </c>
      <c r="P243" s="173"/>
    </row>
    <row r="244" spans="1:16">
      <c r="A244" s="169"/>
      <c r="B244" s="211"/>
      <c r="C244" s="211"/>
      <c r="D244" s="212" t="str">
        <f t="shared" ca="1" si="269"/>
        <v>INDGDPHELCN9</v>
      </c>
      <c r="E244" s="212" t="str">
        <f t="shared" ca="1" si="267"/>
        <v>Industrial heating technology Glass &amp; Concrete PH - Electric boiler (Hot Water) - new 9</v>
      </c>
      <c r="F244" s="262" t="s">
        <v>450</v>
      </c>
      <c r="G244" s="262" t="s">
        <v>449</v>
      </c>
      <c r="H244" s="263" t="s">
        <v>620</v>
      </c>
      <c r="I244" s="264"/>
      <c r="J244" s="264" t="s">
        <v>469</v>
      </c>
      <c r="P244" s="173"/>
    </row>
    <row r="245" spans="1:16">
      <c r="A245" s="169"/>
      <c r="B245" s="211"/>
      <c r="C245" s="211"/>
      <c r="D245" s="212" t="str">
        <f t="shared" ca="1" si="269"/>
        <v>INDGDSHELCN9</v>
      </c>
      <c r="E245" s="212" t="str">
        <f t="shared" ca="1" si="267"/>
        <v>Industrial heating technology Glass &amp; Concrete SH - Electric boiler (Hot Water) - new 9</v>
      </c>
      <c r="F245" s="262" t="s">
        <v>450</v>
      </c>
      <c r="G245" s="262" t="s">
        <v>449</v>
      </c>
      <c r="H245" s="263" t="s">
        <v>620</v>
      </c>
      <c r="I245" s="264"/>
      <c r="J245" s="264" t="s">
        <v>469</v>
      </c>
      <c r="P245" s="173"/>
    </row>
    <row r="246" spans="1:16">
      <c r="A246" s="169"/>
      <c r="B246" s="211"/>
      <c r="C246" s="211"/>
      <c r="D246" s="212" t="str">
        <f t="shared" ca="1" si="269"/>
        <v>INDGDPHWCHN1</v>
      </c>
      <c r="E246" s="212" t="str">
        <f t="shared" ca="1" si="267"/>
        <v>Industrial heating technology Glass &amp; Concrete PH - Wood chip boiler (Steam) - new 1</v>
      </c>
      <c r="F246" s="262" t="s">
        <v>450</v>
      </c>
      <c r="G246" s="262" t="s">
        <v>449</v>
      </c>
      <c r="H246" s="263"/>
      <c r="I246" s="264"/>
      <c r="J246" s="264" t="s">
        <v>469</v>
      </c>
      <c r="P246" s="173"/>
    </row>
    <row r="247" spans="1:16">
      <c r="A247" s="169"/>
      <c r="B247" s="211"/>
      <c r="C247" s="211"/>
      <c r="D247" s="212" t="str">
        <f t="shared" ca="1" si="269"/>
        <v>INDGDPHWCHN1</v>
      </c>
      <c r="E247" s="212" t="str">
        <f t="shared" ca="1" si="267"/>
        <v>Industrial heating technology Glass &amp; Concrete PH - Wood chip boiler (Steam) - new 1</v>
      </c>
      <c r="F247" s="262" t="s">
        <v>450</v>
      </c>
      <c r="G247" s="262" t="s">
        <v>449</v>
      </c>
      <c r="H247" s="263"/>
      <c r="I247" s="264"/>
      <c r="J247" s="264" t="s">
        <v>469</v>
      </c>
      <c r="M247" s="171"/>
      <c r="N247" s="171"/>
      <c r="P247" s="173"/>
    </row>
    <row r="248" spans="1:16">
      <c r="A248" s="169"/>
      <c r="B248" s="211"/>
      <c r="C248" s="211"/>
      <c r="D248" s="212" t="str">
        <f t="shared" ca="1" si="269"/>
        <v>INDGDSHWCHN1</v>
      </c>
      <c r="E248" s="212" t="str">
        <f t="shared" ca="1" si="267"/>
        <v>Industrial heating technology Glass &amp; Concrete SH - Wood chip boiler (Steam) - new 1</v>
      </c>
      <c r="F248" s="262" t="s">
        <v>450</v>
      </c>
      <c r="G248" s="262" t="s">
        <v>449</v>
      </c>
      <c r="H248" s="263"/>
      <c r="I248" s="264"/>
      <c r="J248" s="264" t="s">
        <v>469</v>
      </c>
      <c r="M248" s="171"/>
      <c r="N248" s="171"/>
      <c r="P248" s="173"/>
    </row>
    <row r="249" spans="1:16">
      <c r="A249" s="169"/>
      <c r="B249" s="211"/>
      <c r="C249" s="211"/>
      <c r="D249" s="212" t="str">
        <f t="shared" ca="1" si="269"/>
        <v>INDGDPHWCHN2</v>
      </c>
      <c r="E249" s="212" t="str">
        <f t="shared" ca="1" si="267"/>
        <v>Industrial heating technology Glass &amp; Concrete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9"/>
        <v>INDGDSHWCHN2</v>
      </c>
      <c r="E250" s="212" t="str">
        <f t="shared" ca="1" si="267"/>
        <v>Industrial heating technology Glass &amp; Concrete SH - Wood chip boiler (Steam - condensing) - new 2</v>
      </c>
      <c r="F250" s="262" t="s">
        <v>450</v>
      </c>
      <c r="G250" s="262" t="s">
        <v>449</v>
      </c>
      <c r="H250" s="263"/>
      <c r="I250" s="264"/>
      <c r="J250" s="264" t="s">
        <v>469</v>
      </c>
    </row>
    <row r="251" spans="1:16">
      <c r="A251" s="169"/>
      <c r="B251" s="212"/>
      <c r="C251" s="212"/>
      <c r="D251" s="212" t="str">
        <f t="shared" ca="1" si="269"/>
        <v>INDGDPHWCHN3</v>
      </c>
      <c r="E251" s="212" t="str">
        <f t="shared" ca="1" si="267"/>
        <v>Industrial heating technology Glass &amp; Concrete PH - Wood chip boiler (Hot Water) - new 3</v>
      </c>
      <c r="F251" s="262" t="s">
        <v>450</v>
      </c>
      <c r="G251" s="262" t="s">
        <v>449</v>
      </c>
      <c r="H251" s="261"/>
      <c r="I251" s="261"/>
      <c r="J251" s="264" t="s">
        <v>469</v>
      </c>
    </row>
    <row r="252" spans="1:16">
      <c r="A252" s="169"/>
      <c r="B252" s="212"/>
      <c r="C252" s="212"/>
      <c r="D252" s="212" t="str">
        <f t="shared" ca="1" si="269"/>
        <v>INDGDSHWCHN3</v>
      </c>
      <c r="E252" s="212" t="str">
        <f t="shared" ca="1" si="267"/>
        <v>Industrial heating technology Glass &amp; Concrete SH - Wood chip boiler (Hot Water) - new 3</v>
      </c>
      <c r="F252" s="262" t="s">
        <v>450</v>
      </c>
      <c r="G252" s="262" t="s">
        <v>449</v>
      </c>
      <c r="H252" s="261"/>
      <c r="I252" s="261"/>
      <c r="J252" s="264" t="s">
        <v>469</v>
      </c>
    </row>
    <row r="253" spans="1:16">
      <c r="A253" s="169"/>
      <c r="B253" s="212"/>
      <c r="C253" s="212"/>
      <c r="D253" s="212" t="str">
        <f t="shared" ca="1" si="269"/>
        <v>INDGDPHWCHN4</v>
      </c>
      <c r="E253" s="212" t="str">
        <f t="shared" ca="1" si="267"/>
        <v>Industrial heating technology Glass &amp; Concrete PH - Wood chip boiler (Hot Water - condensing) - new 4</v>
      </c>
      <c r="F253" s="262" t="s">
        <v>450</v>
      </c>
      <c r="G253" s="262" t="s">
        <v>449</v>
      </c>
      <c r="H253" s="261"/>
      <c r="I253" s="261"/>
      <c r="J253" s="264" t="s">
        <v>469</v>
      </c>
    </row>
    <row r="254" spans="1:16">
      <c r="A254" s="169"/>
      <c r="B254" s="212"/>
      <c r="C254" s="212"/>
      <c r="D254" s="212" t="str">
        <f t="shared" ca="1" si="269"/>
        <v>INDGDSHWCHN4</v>
      </c>
      <c r="E254" s="212" t="str">
        <f t="shared" ca="1" si="267"/>
        <v>Industrial heating technology Glass &amp; Concrete SH - Wood chip boiler (Hot Water- condensing) - new 4</v>
      </c>
      <c r="F254" s="262" t="s">
        <v>450</v>
      </c>
      <c r="G254" s="262" t="s">
        <v>449</v>
      </c>
      <c r="H254" s="261"/>
      <c r="I254" s="261"/>
      <c r="J254" s="264" t="s">
        <v>469</v>
      </c>
    </row>
    <row r="255" spans="1:16">
      <c r="B255" s="212"/>
      <c r="C255" s="212"/>
      <c r="D255" s="212" t="str">
        <f t="shared" ca="1" si="269"/>
        <v>INDGDPHELCN10</v>
      </c>
      <c r="E255" s="212" t="str">
        <f t="shared" ca="1" si="267"/>
        <v>Industrial heating technology Glass &amp; Concrete PH - Direct electric heating - new 10</v>
      </c>
      <c r="F255" s="262" t="s">
        <v>450</v>
      </c>
      <c r="G255" s="262" t="s">
        <v>449</v>
      </c>
      <c r="H255" s="261"/>
      <c r="I255" s="261"/>
      <c r="J255" s="264" t="s">
        <v>469</v>
      </c>
    </row>
    <row r="256" spans="1:16">
      <c r="B256" s="212"/>
      <c r="C256" s="212"/>
      <c r="D256" s="212" t="str">
        <f t="shared" ca="1" si="269"/>
        <v>INDGDPHELCN10</v>
      </c>
      <c r="E256" s="212" t="str">
        <f t="shared" ca="1" si="267"/>
        <v>Industrial heating technology Glass &amp; Concrete PH - Direct electric heating - new 10</v>
      </c>
      <c r="F256" s="262" t="s">
        <v>450</v>
      </c>
      <c r="G256" s="262" t="s">
        <v>449</v>
      </c>
      <c r="H256" s="261"/>
      <c r="I256" s="261"/>
      <c r="J256" s="264" t="s">
        <v>469</v>
      </c>
    </row>
    <row r="257" spans="1:10">
      <c r="B257" s="212"/>
      <c r="C257" s="212"/>
      <c r="D257" s="212" t="str">
        <f t="shared" ca="1" si="269"/>
        <v>INDGDPHDSLN1</v>
      </c>
      <c r="E257" s="212" t="str">
        <f t="shared" ca="1" si="267"/>
        <v>Industrial heating technology Glass &amp; Concrete PH - Oil boiler (Steam) - new 1</v>
      </c>
      <c r="F257" s="262" t="s">
        <v>450</v>
      </c>
      <c r="G257" s="262" t="s">
        <v>449</v>
      </c>
      <c r="H257" s="261"/>
      <c r="I257" s="261"/>
      <c r="J257" s="264" t="s">
        <v>469</v>
      </c>
    </row>
    <row r="258" spans="1:10">
      <c r="B258" s="212"/>
      <c r="C258" s="212"/>
      <c r="D258" s="212" t="str">
        <f t="shared" ca="1" si="269"/>
        <v>INDGDPHDSLN1</v>
      </c>
      <c r="E258" s="212" t="str">
        <f t="shared" ca="1" si="267"/>
        <v>Industrial heating technology Glass &amp; Concrete PH - Oil boiler (Steam) - new 1</v>
      </c>
      <c r="F258" s="262" t="s">
        <v>450</v>
      </c>
      <c r="G258" s="262" t="s">
        <v>449</v>
      </c>
      <c r="H258" s="261"/>
      <c r="I258" s="261"/>
      <c r="J258" s="264" t="s">
        <v>469</v>
      </c>
    </row>
    <row r="259" spans="1:10">
      <c r="B259" s="212"/>
      <c r="C259" s="212"/>
      <c r="D259" s="212" t="str">
        <f t="shared" ca="1" si="269"/>
        <v>INDGDSHDSLN1</v>
      </c>
      <c r="E259" s="212" t="str">
        <f t="shared" ca="1" si="267"/>
        <v>Industrial heating technology Glass &amp; Concrete SH - Oil boiler (Steam) - new 1</v>
      </c>
      <c r="F259" s="262" t="s">
        <v>450</v>
      </c>
      <c r="G259" s="262" t="s">
        <v>449</v>
      </c>
      <c r="H259" s="261"/>
      <c r="I259" s="261"/>
      <c r="J259" s="264" t="s">
        <v>469</v>
      </c>
    </row>
    <row r="260" spans="1:10">
      <c r="A260" s="214"/>
      <c r="B260" s="212"/>
      <c r="C260" s="212"/>
      <c r="D260" s="212" t="str">
        <f t="shared" ca="1" si="269"/>
        <v>INDGDPHDSLN2</v>
      </c>
      <c r="E260" s="212" t="str">
        <f t="shared" ca="1" si="267"/>
        <v>Industrial heating technology Glass &amp; Concrete PH - Oil boiler (Steam - condensing) - new 2</v>
      </c>
      <c r="F260" s="262" t="s">
        <v>450</v>
      </c>
      <c r="G260" s="262" t="s">
        <v>449</v>
      </c>
      <c r="H260" s="261"/>
      <c r="I260" s="261"/>
      <c r="J260" s="264" t="s">
        <v>469</v>
      </c>
    </row>
    <row r="261" spans="1:10">
      <c r="A261" s="214"/>
      <c r="B261" s="212"/>
      <c r="C261" s="212"/>
      <c r="D261" s="212" t="str">
        <f t="shared" ca="1" si="269"/>
        <v>INDGDSHDSLN2</v>
      </c>
      <c r="E261" s="212" t="str">
        <f t="shared" ref="E261:E290" ca="1" si="270">VLOOKUP(D261,$D$9:$E$222,2,FALSE)</f>
        <v>Industrial heating technology Glass &amp; Concrete SH - Oil boiler (Steam - condensing) - new 2</v>
      </c>
      <c r="F261" s="262" t="s">
        <v>450</v>
      </c>
      <c r="G261" s="262" t="s">
        <v>449</v>
      </c>
      <c r="H261" s="261"/>
      <c r="I261" s="261"/>
      <c r="J261" s="264" t="s">
        <v>469</v>
      </c>
    </row>
    <row r="262" spans="1:10">
      <c r="A262" s="214"/>
      <c r="B262" s="212"/>
      <c r="C262" s="212"/>
      <c r="D262" s="212" t="str">
        <f t="shared" ca="1" si="269"/>
        <v>INDGDPHGASN1</v>
      </c>
      <c r="E262" s="212" t="str">
        <f t="shared" ca="1" si="270"/>
        <v>Industrial heating technology Glass &amp; Concrete PH - Gas boiler (Steam) - new 1</v>
      </c>
      <c r="F262" s="262" t="s">
        <v>450</v>
      </c>
      <c r="G262" s="262" t="s">
        <v>449</v>
      </c>
      <c r="H262" s="261"/>
      <c r="I262" s="261"/>
      <c r="J262" s="264" t="s">
        <v>469</v>
      </c>
    </row>
    <row r="263" spans="1:10">
      <c r="A263" s="214"/>
      <c r="B263" s="212"/>
      <c r="C263" s="212"/>
      <c r="D263" s="212" t="str">
        <f t="shared" ca="1" si="269"/>
        <v>INDGDPHGASN1</v>
      </c>
      <c r="E263" s="212" t="str">
        <f t="shared" ca="1" si="270"/>
        <v>Industrial heating technology Glass &amp; Concrete PH - Gas boiler (Steam) - new 1</v>
      </c>
      <c r="F263" s="262" t="s">
        <v>450</v>
      </c>
      <c r="G263" s="262" t="s">
        <v>449</v>
      </c>
      <c r="H263" s="261"/>
      <c r="I263" s="261"/>
      <c r="J263" s="264" t="s">
        <v>469</v>
      </c>
    </row>
    <row r="264" spans="1:10">
      <c r="B264" s="212"/>
      <c r="C264" s="212"/>
      <c r="D264" s="212" t="str">
        <f t="shared" ca="1" si="269"/>
        <v>INDGDSHGASN1</v>
      </c>
      <c r="E264" s="212" t="str">
        <f t="shared" ca="1" si="270"/>
        <v>Industrial heating technology Glass &amp; Concrete SH - Gas boiler (Steam) - new 1</v>
      </c>
      <c r="F264" s="262" t="s">
        <v>450</v>
      </c>
      <c r="G264" s="262" t="s">
        <v>449</v>
      </c>
      <c r="H264" s="261"/>
      <c r="I264" s="261"/>
      <c r="J264" s="264" t="s">
        <v>469</v>
      </c>
    </row>
    <row r="265" spans="1:10">
      <c r="B265" s="212"/>
      <c r="C265" s="212"/>
      <c r="D265" s="212" t="str">
        <f t="shared" ca="1" si="269"/>
        <v>INDGDPHGASN2</v>
      </c>
      <c r="E265" s="212" t="str">
        <f t="shared" ca="1" si="270"/>
        <v>Industrial heating technology Glass &amp; Concrete PH - Gas boiler (Steam - condensing) - new 2</v>
      </c>
      <c r="F265" s="262" t="s">
        <v>450</v>
      </c>
      <c r="G265" s="262" t="s">
        <v>449</v>
      </c>
      <c r="H265" s="261"/>
      <c r="I265" s="261"/>
      <c r="J265" s="264" t="s">
        <v>469</v>
      </c>
    </row>
    <row r="266" spans="1:10">
      <c r="B266" s="212"/>
      <c r="C266" s="212"/>
      <c r="D266" s="212" t="str">
        <f t="shared" ca="1" si="269"/>
        <v>INDGDSHGASN2</v>
      </c>
      <c r="E266" s="212" t="str">
        <f t="shared" ca="1" si="270"/>
        <v>Industrial heating technology Glass &amp; Concrete SH - Gas boiler (Steam - condensing) - new 2</v>
      </c>
      <c r="F266" s="262" t="s">
        <v>450</v>
      </c>
      <c r="G266" s="262" t="s">
        <v>449</v>
      </c>
      <c r="H266" s="261"/>
      <c r="I266" s="261"/>
      <c r="J266" s="264" t="s">
        <v>469</v>
      </c>
    </row>
    <row r="267" spans="1:10">
      <c r="B267" s="212"/>
      <c r="C267" s="212"/>
      <c r="D267" s="212" t="str">
        <f t="shared" ca="1" si="269"/>
        <v>INDGDPHGASN3</v>
      </c>
      <c r="E267" s="212" t="str">
        <f t="shared" ca="1" si="270"/>
        <v>Industrial heating technology Glass &amp; Concrete PH - Gas boiler (Hot Water) - new 3</v>
      </c>
      <c r="F267" s="262" t="s">
        <v>450</v>
      </c>
      <c r="G267" s="262" t="s">
        <v>449</v>
      </c>
      <c r="H267" s="261"/>
      <c r="I267" s="261"/>
      <c r="J267" s="264" t="s">
        <v>469</v>
      </c>
    </row>
    <row r="268" spans="1:10">
      <c r="B268" s="212"/>
      <c r="C268" s="212"/>
      <c r="D268" s="212" t="str">
        <f t="shared" ca="1" si="269"/>
        <v>INDGDSHGASN3</v>
      </c>
      <c r="E268" s="212" t="str">
        <f t="shared" ca="1" si="270"/>
        <v>Industrial heating technology Glass &amp; Concrete SH - Gas boiler (Hot Water) - new 3</v>
      </c>
      <c r="F268" s="262" t="s">
        <v>450</v>
      </c>
      <c r="G268" s="262" t="s">
        <v>449</v>
      </c>
      <c r="H268" s="261"/>
      <c r="I268" s="261"/>
      <c r="J268" s="264" t="s">
        <v>469</v>
      </c>
    </row>
    <row r="269" spans="1:10">
      <c r="B269" s="212"/>
      <c r="C269" s="212"/>
      <c r="D269" s="212" t="str">
        <f t="shared" ca="1" si="269"/>
        <v>INDGDPHGASN4</v>
      </c>
      <c r="E269" s="212" t="str">
        <f t="shared" ca="1" si="270"/>
        <v>Industrial heating technology Glass &amp; Concrete PH - Gas boiler (Hot Water - condensing) - new 4</v>
      </c>
      <c r="F269" s="262" t="s">
        <v>450</v>
      </c>
      <c r="G269" s="262" t="s">
        <v>449</v>
      </c>
      <c r="H269" s="261"/>
      <c r="I269" s="261"/>
      <c r="J269" s="264" t="s">
        <v>469</v>
      </c>
    </row>
    <row r="270" spans="1:10">
      <c r="B270" s="212"/>
      <c r="C270" s="212"/>
      <c r="D270" s="212" t="str">
        <f t="shared" ca="1" si="269"/>
        <v>INDGDSHGASN4</v>
      </c>
      <c r="E270" s="212" t="str">
        <f t="shared" ca="1" si="270"/>
        <v>Industrial heating technology Glass &amp; Concrete SH - Gas boiler (Hot Water- condensing) - new 4</v>
      </c>
      <c r="F270" s="262" t="s">
        <v>450</v>
      </c>
      <c r="G270" s="262" t="s">
        <v>449</v>
      </c>
      <c r="H270" s="261"/>
      <c r="I270" s="261"/>
      <c r="J270" s="264" t="s">
        <v>469</v>
      </c>
    </row>
    <row r="271" spans="1:10">
      <c r="B271" s="212"/>
      <c r="C271" s="212"/>
      <c r="D271" s="212" t="str">
        <f t="shared" ca="1" si="269"/>
        <v>INDGDPHGASN5</v>
      </c>
      <c r="E271" s="212" t="str">
        <f t="shared" ca="1" si="270"/>
        <v>Industrial heating technology Glass &amp; Concrete PH - Gas boiler (Direct firing) - new 5</v>
      </c>
      <c r="F271" s="262" t="s">
        <v>450</v>
      </c>
      <c r="G271" s="262" t="s">
        <v>449</v>
      </c>
      <c r="H271" s="261"/>
      <c r="I271" s="261"/>
      <c r="J271" s="264" t="s">
        <v>469</v>
      </c>
    </row>
    <row r="272" spans="1:10">
      <c r="B272" s="212"/>
      <c r="C272" s="212"/>
      <c r="D272" s="212" t="str">
        <f t="shared" ca="1" si="269"/>
        <v>INDGDPHGASN5</v>
      </c>
      <c r="E272" s="212" t="str">
        <f t="shared" ca="1" si="270"/>
        <v>Industrial heating technology Glass &amp; Concrete PH - Gas boiler (Direct firing) - new 5</v>
      </c>
      <c r="F272" s="262" t="s">
        <v>450</v>
      </c>
      <c r="G272" s="262" t="s">
        <v>449</v>
      </c>
      <c r="H272" s="261"/>
      <c r="I272" s="261"/>
      <c r="J272" s="264" t="s">
        <v>469</v>
      </c>
    </row>
    <row r="273" spans="2:10">
      <c r="B273" s="212"/>
      <c r="C273" s="212"/>
      <c r="D273" s="212" t="str">
        <f t="shared" ca="1" si="269"/>
        <v>INDGDPHCOAN1</v>
      </c>
      <c r="E273" s="212" t="str">
        <f t="shared" ca="1" si="270"/>
        <v>Industrial heating technology Glass &amp; Concrete PH - Coal boiler (Steam) - new 1</v>
      </c>
      <c r="F273" s="262" t="s">
        <v>450</v>
      </c>
      <c r="G273" s="262" t="s">
        <v>449</v>
      </c>
      <c r="H273" s="261"/>
      <c r="I273" s="261"/>
      <c r="J273" s="264" t="s">
        <v>469</v>
      </c>
    </row>
    <row r="274" spans="2:10">
      <c r="B274" s="212"/>
      <c r="C274" s="212"/>
      <c r="D274" s="212" t="str">
        <f t="shared" ca="1" si="269"/>
        <v>INDGDPHCOAN1</v>
      </c>
      <c r="E274" s="212" t="str">
        <f t="shared" ca="1" si="270"/>
        <v>Industrial heating technology Glass &amp; Concrete PH - Coal boiler (Steam) - new 1</v>
      </c>
      <c r="F274" s="262" t="s">
        <v>450</v>
      </c>
      <c r="G274" s="262" t="s">
        <v>449</v>
      </c>
      <c r="H274" s="261"/>
      <c r="I274" s="261"/>
      <c r="J274" s="264" t="s">
        <v>469</v>
      </c>
    </row>
    <row r="275" spans="2:10">
      <c r="B275" s="212"/>
      <c r="C275" s="212"/>
      <c r="D275" s="212" t="str">
        <f t="shared" ca="1" si="269"/>
        <v>INDGDSHCOAN1</v>
      </c>
      <c r="E275" s="212" t="str">
        <f t="shared" ca="1" si="270"/>
        <v>Industrial heating technology Glass &amp; Concrete SH - Coal boiler (Steam) - new 1</v>
      </c>
      <c r="F275" s="262" t="s">
        <v>450</v>
      </c>
      <c r="G275" s="262" t="s">
        <v>449</v>
      </c>
      <c r="H275" s="261"/>
      <c r="I275" s="261"/>
      <c r="J275" s="264" t="s">
        <v>469</v>
      </c>
    </row>
    <row r="276" spans="2:10">
      <c r="B276" s="212"/>
      <c r="C276" s="212"/>
      <c r="D276" s="212" t="str">
        <f t="shared" ca="1" si="269"/>
        <v>INDGDPHCOAN2</v>
      </c>
      <c r="E276" s="212" t="str">
        <f t="shared" ca="1" si="270"/>
        <v>Industrial heating technology Glass &amp; Concrete PH - Coal boiler (Hot Water) - new 2</v>
      </c>
      <c r="F276" s="262" t="s">
        <v>450</v>
      </c>
      <c r="G276" s="262" t="s">
        <v>449</v>
      </c>
      <c r="H276" s="261"/>
      <c r="I276" s="261"/>
      <c r="J276" s="264" t="s">
        <v>469</v>
      </c>
    </row>
    <row r="277" spans="2:10">
      <c r="B277" s="212"/>
      <c r="C277" s="212"/>
      <c r="D277" s="212" t="str">
        <f t="shared" ca="1" si="269"/>
        <v>INDGDSHCOAN2</v>
      </c>
      <c r="E277" s="212" t="str">
        <f t="shared" ca="1" si="270"/>
        <v>Industrial heating technology Glass &amp; Concrete SH - Coal boiler (Hot Water) - new 2</v>
      </c>
      <c r="F277" s="262" t="s">
        <v>450</v>
      </c>
      <c r="G277" s="262" t="s">
        <v>449</v>
      </c>
      <c r="H277" s="261"/>
      <c r="I277" s="261"/>
      <c r="J277" s="264" t="s">
        <v>469</v>
      </c>
    </row>
    <row r="278" spans="2:10">
      <c r="B278" s="212"/>
      <c r="C278" s="212"/>
      <c r="D278" s="212" t="str">
        <f t="shared" ca="1" si="269"/>
        <v>INDGDSHSOLN1</v>
      </c>
      <c r="E278" s="212" t="str">
        <f t="shared" ca="1" si="270"/>
        <v>Industrial heating technology Glass &amp; Concrete SH - Solar - new 1</v>
      </c>
      <c r="F278" s="262" t="s">
        <v>450</v>
      </c>
      <c r="G278" s="262" t="s">
        <v>449</v>
      </c>
      <c r="H278" s="263" t="s">
        <v>620</v>
      </c>
      <c r="I278" s="261"/>
      <c r="J278" s="264" t="s">
        <v>469</v>
      </c>
    </row>
    <row r="279" spans="2:10">
      <c r="B279" s="212"/>
      <c r="C279" s="212"/>
      <c r="D279" s="889" t="str">
        <f>D187</f>
        <v>INDGDSHHCEN1</v>
      </c>
      <c r="E279" s="889" t="str">
        <f t="shared" si="270"/>
        <v>Industrial heating technology Glass &amp; Concrete SH - central district heating - within DH area - new 1</v>
      </c>
      <c r="F279" s="262" t="s">
        <v>450</v>
      </c>
      <c r="G279" s="262" t="s">
        <v>449</v>
      </c>
      <c r="H279" s="890"/>
      <c r="I279" s="890"/>
      <c r="J279" s="263" t="s">
        <v>469</v>
      </c>
    </row>
    <row r="280" spans="2:10">
      <c r="B280" s="212"/>
      <c r="C280" s="212"/>
      <c r="D280" s="889" t="str">
        <f>D188</f>
        <v>INDGDPHHCEN1</v>
      </c>
      <c r="E280" s="889" t="str">
        <f t="shared" si="270"/>
        <v>Industrial heating technology Glass &amp; Concrete PH - central district heating - within DH area - new 1</v>
      </c>
      <c r="F280" s="262" t="s">
        <v>450</v>
      </c>
      <c r="G280" s="262" t="s">
        <v>449</v>
      </c>
      <c r="H280" s="890"/>
      <c r="I280" s="890"/>
      <c r="J280" s="263" t="s">
        <v>469</v>
      </c>
    </row>
    <row r="281" spans="2:10">
      <c r="B281" s="212"/>
      <c r="C281" s="212"/>
      <c r="D281" s="889" t="str">
        <f>D189</f>
        <v>INDGDSHHSEN1</v>
      </c>
      <c r="E281" s="889" t="str">
        <f t="shared" si="270"/>
        <v>Industrial heating technology Glass &amp; Concrete SH - central district heating - within DH area - new 1</v>
      </c>
      <c r="F281" s="262" t="s">
        <v>450</v>
      </c>
      <c r="G281" s="262" t="s">
        <v>449</v>
      </c>
      <c r="H281" s="890"/>
      <c r="I281" s="890"/>
      <c r="J281" s="263" t="s">
        <v>469</v>
      </c>
    </row>
    <row r="282" spans="2:10">
      <c r="B282" s="212"/>
      <c r="C282" s="212"/>
      <c r="D282" s="889" t="str">
        <f>D190</f>
        <v>INDGDPHHSEN1</v>
      </c>
      <c r="E282" s="889" t="str">
        <f t="shared" si="270"/>
        <v>Industrial heating technology Glass &amp; Concrete PH - central district heating - within DH area - new 1</v>
      </c>
      <c r="F282" s="262" t="s">
        <v>450</v>
      </c>
      <c r="G282" s="262" t="s">
        <v>449</v>
      </c>
      <c r="H282" s="890"/>
      <c r="I282" s="890"/>
      <c r="J282" s="263" t="s">
        <v>469</v>
      </c>
    </row>
    <row r="283" spans="2:10">
      <c r="B283" s="212"/>
      <c r="C283" s="212"/>
      <c r="D283" s="212" t="str">
        <f t="shared" ref="D283" si="271">D191</f>
        <v>INDGDSHHDEN1</v>
      </c>
      <c r="E283" s="212" t="str">
        <f t="shared" si="270"/>
        <v>Industrial heating technology Glass &amp; Concrete SH - decentral district heating - within DH area - new 1</v>
      </c>
      <c r="F283" s="262" t="s">
        <v>450</v>
      </c>
      <c r="G283" s="262" t="s">
        <v>449</v>
      </c>
      <c r="H283" s="261"/>
      <c r="I283" s="261"/>
      <c r="J283" s="264" t="s">
        <v>469</v>
      </c>
    </row>
    <row r="284" spans="2:10">
      <c r="B284" s="212"/>
      <c r="C284" s="212"/>
      <c r="D284" s="212" t="str">
        <f>D192</f>
        <v>INDGDPHHDEN1</v>
      </c>
      <c r="E284" s="212" t="str">
        <f t="shared" si="270"/>
        <v>Industrial heating technology Glass &amp; Concrete PH - decentral district heating - within DH area - new 1</v>
      </c>
      <c r="F284" s="262" t="s">
        <v>450</v>
      </c>
      <c r="G284" s="262" t="s">
        <v>449</v>
      </c>
      <c r="H284" s="261"/>
      <c r="I284" s="261"/>
      <c r="J284" s="264" t="s">
        <v>469</v>
      </c>
    </row>
    <row r="285" spans="2:10">
      <c r="B285" s="212"/>
      <c r="C285" s="212"/>
      <c r="D285" s="212" t="str">
        <f>D194</f>
        <v>INDGDLAELCN1</v>
      </c>
      <c r="E285" s="212" t="str">
        <f t="shared" si="270"/>
        <v>Industry Glass &amp; Concrete LA Electricity Light Appliance - New 1</v>
      </c>
      <c r="F285" s="262" t="s">
        <v>450</v>
      </c>
      <c r="G285" s="262" t="s">
        <v>449</v>
      </c>
      <c r="H285" s="261"/>
      <c r="I285" s="261"/>
      <c r="J285" s="264" t="s">
        <v>469</v>
      </c>
    </row>
    <row r="286" spans="2:10">
      <c r="B286" s="212"/>
      <c r="C286" s="212"/>
      <c r="D286" s="212" t="str">
        <f>D198</f>
        <v>INDGDEMELCN1</v>
      </c>
      <c r="E286" s="212" t="str">
        <f t="shared" si="270"/>
        <v>Industry Glass &amp; Concrete EM Electricity Motors - New 1</v>
      </c>
      <c r="F286" s="262" t="s">
        <v>450</v>
      </c>
      <c r="G286" s="262" t="s">
        <v>449</v>
      </c>
      <c r="H286" s="261"/>
      <c r="I286" s="261"/>
      <c r="J286" s="264" t="s">
        <v>469</v>
      </c>
    </row>
    <row r="287" spans="2:10">
      <c r="B287" s="212"/>
      <c r="C287" s="212"/>
      <c r="D287" s="212" t="str">
        <f>D202</f>
        <v>INDGDTFDSLN1</v>
      </c>
      <c r="E287" s="212" t="str">
        <f t="shared" si="270"/>
        <v>Industry Glass &amp; Concrete TF Tractors, Trucks, Fishing boats - New 1</v>
      </c>
      <c r="F287" s="262" t="s">
        <v>450</v>
      </c>
      <c r="G287" s="262" t="s">
        <v>2078</v>
      </c>
      <c r="H287" s="261"/>
      <c r="I287" s="261"/>
      <c r="J287" s="264" t="s">
        <v>469</v>
      </c>
    </row>
    <row r="288" spans="2:10">
      <c r="B288" s="212"/>
      <c r="C288" s="212"/>
      <c r="D288" s="212" t="str">
        <f>D206</f>
        <v>INDGDTFH2GN2</v>
      </c>
      <c r="E288" s="212" t="str">
        <f t="shared" si="270"/>
        <v>Industry Glass &amp; Concrete TF Tractors, Trucks, Fishing boats - New 2</v>
      </c>
      <c r="F288" s="262" t="s">
        <v>450</v>
      </c>
      <c r="G288" s="262" t="s">
        <v>2078</v>
      </c>
      <c r="H288" s="261"/>
      <c r="I288" s="261"/>
      <c r="J288" s="264" t="s">
        <v>469</v>
      </c>
    </row>
    <row r="289" spans="2:10">
      <c r="B289" s="212"/>
      <c r="C289" s="212"/>
      <c r="D289" s="212" t="str">
        <f>D210</f>
        <v>INDGDTFELCN3</v>
      </c>
      <c r="E289" s="212" t="str">
        <f t="shared" si="270"/>
        <v>Industry Glass &amp; Concrete TF Tractors, Trucks, Fishing boats - New 3</v>
      </c>
      <c r="F289" s="262" t="s">
        <v>450</v>
      </c>
      <c r="G289" s="262" t="s">
        <v>2078</v>
      </c>
      <c r="H289" s="261"/>
      <c r="I289" s="261"/>
      <c r="J289" s="264" t="s">
        <v>469</v>
      </c>
    </row>
    <row r="290" spans="2:10">
      <c r="B290" s="212"/>
      <c r="C290" s="212"/>
      <c r="D290" s="212" t="str">
        <f>D214</f>
        <v>INDGDFLSYNN1</v>
      </c>
      <c r="E290" s="212" t="str">
        <f t="shared" si="270"/>
        <v>Industry Glass &amp; Concrete TF Forklifts - New 1</v>
      </c>
      <c r="F290" s="262" t="s">
        <v>450</v>
      </c>
      <c r="G290" s="262" t="s">
        <v>449</v>
      </c>
      <c r="H290" s="261"/>
      <c r="I290" s="261"/>
      <c r="J290" s="264" t="s">
        <v>469</v>
      </c>
    </row>
    <row r="291" spans="2:10">
      <c r="B291" s="212"/>
      <c r="C291" s="212"/>
      <c r="D291" s="212" t="str">
        <f>D218</f>
        <v>INDGDCOELCN1</v>
      </c>
      <c r="E291" s="212" t="str">
        <f>E218</f>
        <v>Industry Glass &amp; Concrete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5"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IGDSOx</v>
      </c>
      <c r="E296" s="270" t="str">
        <f>"Industrial heating  heating technology "&amp;$AJ$12&amp;" - SOx emission"</f>
        <v>Industrial heating  heating technology Glass &amp; Concrete - SOx emission</v>
      </c>
      <c r="F296" s="219" t="s">
        <v>352</v>
      </c>
      <c r="G296" s="211"/>
      <c r="H296" s="211"/>
      <c r="I296" s="211"/>
      <c r="J296" s="211"/>
    </row>
    <row r="297" spans="2:10">
      <c r="B297" s="214"/>
      <c r="C297" s="214"/>
      <c r="D297" s="260" t="str">
        <f>"I"&amp;LEFT($AJ$12,1)&amp;"DNOx"</f>
        <v>IGDNOx</v>
      </c>
      <c r="E297" s="270" t="str">
        <f>"Industrial heating  heating technology "&amp;$AJ$12&amp;" - NOx emission"</f>
        <v>Industrial heating  heating technology Glass &amp; Concrete - NOx emission</v>
      </c>
      <c r="F297" s="219" t="s">
        <v>352</v>
      </c>
      <c r="G297" s="211"/>
      <c r="H297" s="214"/>
      <c r="I297" s="214"/>
      <c r="J297" s="214"/>
    </row>
    <row r="298" spans="2:10">
      <c r="B298" s="214"/>
      <c r="C298" s="214"/>
      <c r="D298" s="260" t="str">
        <f>"I"&amp;LEFT($AJ$12,1)&amp;"DCH4"</f>
        <v>IGDCH4</v>
      </c>
      <c r="E298" s="270" t="str">
        <f>"Industrial heating  heating technology "&amp;$AJ$12&amp;" - CH4 emission"</f>
        <v>Industrial heating  heating technology Glass &amp; Concrete - CH4 emission</v>
      </c>
      <c r="F298" s="219" t="s">
        <v>352</v>
      </c>
      <c r="G298" s="211"/>
      <c r="H298" s="214"/>
      <c r="I298" s="214"/>
      <c r="J298" s="214"/>
    </row>
    <row r="299" spans="2:10">
      <c r="B299" s="214"/>
      <c r="C299" s="214"/>
      <c r="D299" s="260" t="str">
        <f>"I"&amp;LEFT($AJ$12,1)&amp;"DNO2"</f>
        <v>IGDNO2</v>
      </c>
      <c r="E299" s="270" t="str">
        <f>"Industrial heating  heating technology "&amp;$AJ$12&amp;" - NO2 emission"</f>
        <v>Industrial heating  heating technology Glass &amp; Concrete - NO2 emission</v>
      </c>
      <c r="F299" s="219" t="s">
        <v>352</v>
      </c>
      <c r="G299" s="211"/>
      <c r="H299" s="214"/>
      <c r="I299" s="214"/>
      <c r="J299" s="214"/>
    </row>
    <row r="300" spans="2:10">
      <c r="B300" s="214"/>
      <c r="C300" s="214"/>
      <c r="D300" s="260" t="str">
        <f>"I"&amp;LEFT($AJ$12,1)&amp;"DPM"</f>
        <v>IGDPM</v>
      </c>
      <c r="E300" s="270" t="str">
        <f>"Industrial heating  heating technology "&amp;$AJ$12&amp;" - Particle emission"</f>
        <v>Industrial heating  heating technology Glass &amp; Concrete - Particle emission</v>
      </c>
      <c r="F300" s="219" t="s">
        <v>352</v>
      </c>
      <c r="G300" s="211"/>
      <c r="H300" s="214"/>
      <c r="I300" s="214"/>
      <c r="J300" s="214"/>
    </row>
    <row r="301" spans="2:10">
      <c r="B301" s="224" t="s">
        <v>1057</v>
      </c>
      <c r="D301" s="224" t="str">
        <f>AI20</f>
        <v>INDGWH</v>
      </c>
      <c r="E301" s="270" t="str">
        <f>"Industrial heating technology "&amp;$AJ$12&amp;" - Waste heat"</f>
        <v>Industrial heating technology Glass &amp; Concrete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F4DF305-EC1D-4DE3-BEC7-234BCFC314DB}">
          <x14:formula1>
            <xm:f>'Oil-fired boiler_NEW'!$T$4:$X$4</xm:f>
          </x14:formula1>
          <xm:sqref>E1</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zoomScale="70" zoomScaleNormal="70" workbookViewId="0">
      <selection activeCell="B20" sqref="B20"/>
    </sheetView>
  </sheetViews>
  <sheetFormatPr baseColWidth="10" defaultColWidth="8.83203125" defaultRowHeight="15" outlineLevelRow="1"/>
  <cols>
    <col min="1" max="1" width="42.6640625" style="224" bestFit="1" customWidth="1"/>
    <col min="2" max="2" width="63.5" style="224" bestFit="1" customWidth="1"/>
    <col min="3" max="3" width="11.5" style="224" customWidth="1"/>
    <col min="4" max="6" width="11" style="224" bestFit="1" customWidth="1"/>
    <col min="7" max="12" width="11" style="224" customWidth="1"/>
    <col min="13" max="13" width="8.83203125" style="224"/>
    <col min="14" max="14" width="4.5" style="224" customWidth="1"/>
    <col min="15" max="15" width="15.83203125" style="224" customWidth="1"/>
    <col min="16" max="16" width="11" style="224" bestFit="1" customWidth="1"/>
    <col min="17" max="17" width="12" style="224" customWidth="1"/>
    <col min="18" max="18" width="11.33203125" style="224" customWidth="1"/>
    <col min="19" max="20" width="8.83203125" style="224"/>
    <col min="21" max="21" width="15.1640625" style="224" customWidth="1"/>
    <col min="22" max="22" width="10" style="224" customWidth="1"/>
    <col min="23" max="24" width="8.83203125" style="224"/>
    <col min="25" max="25" width="28.1640625" style="224" customWidth="1"/>
    <col min="26" max="16384" width="8.83203125" style="224"/>
  </cols>
  <sheetData>
    <row r="2" spans="1:29">
      <c r="B2" s="638" t="str">
        <f>C7</f>
        <v>Post-combustion carbon capture retrofit - 100 MW(th) WtE or biomass CHP plant</v>
      </c>
    </row>
    <row r="4" spans="1:29" ht="25" customHeight="1">
      <c r="E4" s="224" t="s">
        <v>358</v>
      </c>
      <c r="F4" s="359">
        <v>7.45</v>
      </c>
      <c r="G4" s="359" t="s">
        <v>328</v>
      </c>
      <c r="O4" s="844" t="s">
        <v>445</v>
      </c>
      <c r="P4" s="845" t="s">
        <v>1114</v>
      </c>
      <c r="Q4" s="846" t="s">
        <v>1115</v>
      </c>
      <c r="R4" s="846" t="s">
        <v>1116</v>
      </c>
      <c r="S4" s="846" t="s">
        <v>1117</v>
      </c>
      <c r="T4" s="846" t="s">
        <v>1118</v>
      </c>
      <c r="U4" s="846" t="s">
        <v>1119</v>
      </c>
      <c r="V4" s="846" t="s">
        <v>1120</v>
      </c>
      <c r="W4" s="846" t="s">
        <v>1121</v>
      </c>
      <c r="X4" s="846" t="s">
        <v>1122</v>
      </c>
      <c r="Y4" s="846" t="s">
        <v>1123</v>
      </c>
      <c r="Z4" s="846" t="s">
        <v>1124</v>
      </c>
      <c r="AA4" s="846" t="s">
        <v>1125</v>
      </c>
      <c r="AB4" s="846" t="s">
        <v>1126</v>
      </c>
      <c r="AC4" s="846" t="s">
        <v>1127</v>
      </c>
    </row>
    <row r="5" spans="1:29" ht="15" customHeight="1" thickBot="1">
      <c r="A5" s="360" t="s">
        <v>1017</v>
      </c>
      <c r="B5" s="1134"/>
      <c r="C5" s="1135"/>
      <c r="D5" s="1135"/>
      <c r="E5" s="1135"/>
      <c r="F5" s="1135"/>
      <c r="G5" s="1135"/>
      <c r="H5" s="1135"/>
      <c r="I5" s="1135"/>
      <c r="J5" s="1135"/>
      <c r="K5" s="1135"/>
      <c r="L5" s="1135"/>
      <c r="M5" s="1135"/>
      <c r="N5" s="361"/>
      <c r="O5" s="847" t="s">
        <v>1128</v>
      </c>
      <c r="P5" s="848" t="s">
        <v>1129</v>
      </c>
      <c r="Q5" s="848" t="s">
        <v>1129</v>
      </c>
      <c r="R5" s="848" t="s">
        <v>1129</v>
      </c>
      <c r="S5" s="848" t="s">
        <v>1129</v>
      </c>
      <c r="T5" s="848" t="s">
        <v>1129</v>
      </c>
      <c r="U5" s="848" t="s">
        <v>1129</v>
      </c>
      <c r="V5" s="848" t="s">
        <v>1129</v>
      </c>
      <c r="W5" s="848" t="s">
        <v>1129</v>
      </c>
      <c r="X5" s="848" t="s">
        <v>1129</v>
      </c>
      <c r="Y5" s="848" t="s">
        <v>1129</v>
      </c>
      <c r="Z5" s="848" t="s">
        <v>1129</v>
      </c>
      <c r="AA5" s="848" t="s">
        <v>1129</v>
      </c>
      <c r="AB5" s="848" t="s">
        <v>1129</v>
      </c>
      <c r="AC5" s="848" t="s">
        <v>1129</v>
      </c>
    </row>
    <row r="6" spans="1:29" ht="15.75" customHeight="1" outlineLevel="1">
      <c r="B6" s="1134"/>
      <c r="C6" s="1135"/>
      <c r="D6" s="1135"/>
      <c r="E6" s="1135"/>
      <c r="F6" s="1135"/>
      <c r="G6" s="1135"/>
      <c r="H6" s="1135"/>
      <c r="I6" s="1135"/>
      <c r="J6" s="1135"/>
      <c r="K6" s="1135"/>
      <c r="L6" s="1135"/>
      <c r="M6" s="1135"/>
      <c r="N6" s="361"/>
      <c r="O6" s="849" t="s">
        <v>1130</v>
      </c>
      <c r="P6" s="850">
        <v>94.6</v>
      </c>
      <c r="Q6" s="850">
        <v>79.28</v>
      </c>
      <c r="R6" s="850">
        <v>74</v>
      </c>
      <c r="S6" s="850">
        <v>56.95</v>
      </c>
      <c r="T6" s="850">
        <v>0</v>
      </c>
      <c r="U6" s="850">
        <v>0</v>
      </c>
      <c r="V6" s="850">
        <v>0</v>
      </c>
      <c r="W6" s="850">
        <v>0</v>
      </c>
      <c r="X6" s="850">
        <v>37</v>
      </c>
      <c r="Y6" s="850">
        <v>0</v>
      </c>
      <c r="Z6" s="850">
        <v>0</v>
      </c>
      <c r="AA6" s="850">
        <v>0</v>
      </c>
      <c r="AB6" s="850">
        <v>0</v>
      </c>
      <c r="AC6" s="850">
        <v>0</v>
      </c>
    </row>
    <row r="7" spans="1:29" ht="20.25" customHeight="1" outlineLevel="1">
      <c r="B7" s="733" t="s">
        <v>0</v>
      </c>
      <c r="C7" s="1136" t="s">
        <v>1018</v>
      </c>
      <c r="D7" s="1141"/>
      <c r="E7" s="1141"/>
      <c r="F7" s="1141"/>
      <c r="G7" s="1141"/>
      <c r="H7" s="1141"/>
      <c r="I7" s="1141"/>
      <c r="J7" s="1141"/>
      <c r="K7" s="1141"/>
      <c r="L7" s="1141"/>
      <c r="M7" s="1142"/>
      <c r="N7" s="363"/>
    </row>
    <row r="8" spans="1:29" ht="15" customHeight="1" outlineLevel="1">
      <c r="B8" s="734"/>
      <c r="C8" s="751">
        <v>2020</v>
      </c>
      <c r="D8" s="751">
        <v>2025</v>
      </c>
      <c r="E8" s="752">
        <v>2030</v>
      </c>
      <c r="F8" s="752">
        <v>2040</v>
      </c>
      <c r="G8" s="753">
        <v>2050</v>
      </c>
      <c r="H8" s="1139" t="s">
        <v>1019</v>
      </c>
      <c r="I8" s="1140"/>
      <c r="J8" s="1139" t="s">
        <v>648</v>
      </c>
      <c r="K8" s="1140"/>
      <c r="L8" s="752" t="s">
        <v>2</v>
      </c>
      <c r="M8" s="735" t="s">
        <v>3</v>
      </c>
      <c r="N8" s="367"/>
      <c r="P8" s="224">
        <f>C11*C16</f>
        <v>26.655999999999999</v>
      </c>
    </row>
    <row r="9" spans="1:29" ht="16" outlineLevel="1">
      <c r="B9" s="734"/>
      <c r="C9" s="754"/>
      <c r="D9" s="755"/>
      <c r="E9" s="756"/>
      <c r="F9" s="756"/>
      <c r="G9" s="756"/>
      <c r="H9" s="757" t="s">
        <v>649</v>
      </c>
      <c r="I9" s="757" t="s">
        <v>650</v>
      </c>
      <c r="J9" s="757" t="s">
        <v>649</v>
      </c>
      <c r="K9" s="757" t="s">
        <v>650</v>
      </c>
      <c r="L9" s="756"/>
      <c r="M9" s="736"/>
      <c r="N9" s="370"/>
    </row>
    <row r="10" spans="1:29" outlineLevel="1">
      <c r="B10" s="737" t="s">
        <v>4</v>
      </c>
      <c r="C10" s="756"/>
      <c r="D10" s="756"/>
      <c r="E10" s="756"/>
      <c r="F10" s="756"/>
      <c r="G10" s="756"/>
      <c r="H10" s="756"/>
      <c r="I10" s="756"/>
      <c r="J10" s="756"/>
      <c r="K10" s="756"/>
      <c r="L10" s="756"/>
      <c r="M10" s="736"/>
      <c r="N10" s="370"/>
    </row>
    <row r="11" spans="1:29" ht="24.5" customHeight="1" outlineLevel="1">
      <c r="A11" s="809">
        <f>1/A12</f>
        <v>0.32</v>
      </c>
      <c r="B11" s="738" t="s">
        <v>1020</v>
      </c>
      <c r="C11" s="758">
        <v>32</v>
      </c>
      <c r="D11" s="758">
        <v>32</v>
      </c>
      <c r="E11" s="758">
        <v>32</v>
      </c>
      <c r="F11" s="758">
        <v>34</v>
      </c>
      <c r="G11" s="758">
        <v>34</v>
      </c>
      <c r="H11" s="758">
        <v>30</v>
      </c>
      <c r="I11" s="758">
        <v>34</v>
      </c>
      <c r="J11" s="758">
        <v>33</v>
      </c>
      <c r="K11" s="758">
        <v>35</v>
      </c>
      <c r="L11" s="758" t="s">
        <v>6</v>
      </c>
      <c r="M11" s="739"/>
      <c r="N11" s="370"/>
      <c r="P11" s="224">
        <f>57/P12</f>
        <v>0.17093159999999996</v>
      </c>
    </row>
    <row r="12" spans="1:29" ht="32.5" customHeight="1" outlineLevel="1">
      <c r="A12" s="224">
        <f>100/32</f>
        <v>3.125</v>
      </c>
      <c r="B12" s="740" t="s">
        <v>1021</v>
      </c>
      <c r="C12" s="759"/>
      <c r="D12" s="759"/>
      <c r="E12" s="759"/>
      <c r="F12" s="759"/>
      <c r="G12" s="759"/>
      <c r="H12" s="759"/>
      <c r="I12" s="759"/>
      <c r="J12" s="759"/>
      <c r="K12" s="759"/>
      <c r="L12" s="759"/>
      <c r="M12" s="741"/>
      <c r="N12" s="370"/>
      <c r="O12" s="224" t="s">
        <v>1073</v>
      </c>
      <c r="P12" s="224">
        <f>P13*1/3.6*1000000/1000</f>
        <v>333.46672002134193</v>
      </c>
      <c r="Q12" s="224">
        <f t="shared" ref="Q12:T12" si="0">Q13*1/3.6*1000000/1000</f>
        <v>333.46672002134193</v>
      </c>
      <c r="R12" s="224">
        <f t="shared" si="0"/>
        <v>385.80246913580248</v>
      </c>
      <c r="S12" s="224">
        <f t="shared" si="0"/>
        <v>420.87542087542084</v>
      </c>
      <c r="T12" s="224">
        <f t="shared" si="0"/>
        <v>420.87542087542084</v>
      </c>
    </row>
    <row r="13" spans="1:29" outlineLevel="1">
      <c r="A13" s="224">
        <f>500/164</f>
        <v>3.0487804878048781</v>
      </c>
      <c r="B13" s="738" t="s">
        <v>1022</v>
      </c>
      <c r="C13" s="758">
        <v>5.0999999999999996</v>
      </c>
      <c r="D13" s="758">
        <v>5.0999999999999996</v>
      </c>
      <c r="E13" s="758">
        <v>5.0999999999999996</v>
      </c>
      <c r="F13" s="758">
        <v>4.9000000000000004</v>
      </c>
      <c r="G13" s="758">
        <v>4.9000000000000004</v>
      </c>
      <c r="H13" s="758">
        <v>4.8</v>
      </c>
      <c r="I13" s="758">
        <v>6</v>
      </c>
      <c r="J13" s="758">
        <v>4.7</v>
      </c>
      <c r="K13" s="758">
        <v>6</v>
      </c>
      <c r="L13" s="758"/>
      <c r="M13" s="739"/>
      <c r="N13" s="370"/>
      <c r="O13" s="803"/>
      <c r="P13" s="224">
        <f>1/C16</f>
        <v>1.2004801920768309</v>
      </c>
      <c r="Q13" s="224">
        <f>1/D16</f>
        <v>1.2004801920768309</v>
      </c>
      <c r="R13" s="224">
        <f>1/E16</f>
        <v>1.3888888888888888</v>
      </c>
      <c r="S13" s="224">
        <f>1/F16</f>
        <v>1.5151515151515151</v>
      </c>
      <c r="T13" s="224">
        <f>1/G16</f>
        <v>1.5151515151515151</v>
      </c>
    </row>
    <row r="14" spans="1:29" ht="15" customHeight="1" outlineLevel="1">
      <c r="A14" s="224">
        <f>26.7/32</f>
        <v>0.83437499999999998</v>
      </c>
      <c r="B14" s="742" t="s">
        <v>1023</v>
      </c>
      <c r="C14" s="760">
        <v>15</v>
      </c>
      <c r="D14" s="760">
        <v>15</v>
      </c>
      <c r="E14" s="760">
        <v>15</v>
      </c>
      <c r="F14" s="760">
        <v>15</v>
      </c>
      <c r="G14" s="760">
        <v>15</v>
      </c>
      <c r="H14" s="760">
        <v>12</v>
      </c>
      <c r="I14" s="760">
        <v>15</v>
      </c>
      <c r="J14" s="760">
        <v>12</v>
      </c>
      <c r="K14" s="760">
        <v>15</v>
      </c>
      <c r="L14" s="760"/>
      <c r="M14" s="743"/>
      <c r="N14" s="370"/>
    </row>
    <row r="15" spans="1:29" ht="16" outlineLevel="1">
      <c r="B15" s="742" t="s">
        <v>1024</v>
      </c>
      <c r="C15" s="758">
        <v>35</v>
      </c>
      <c r="D15" s="758">
        <v>35</v>
      </c>
      <c r="E15" s="758">
        <v>35</v>
      </c>
      <c r="F15" s="758">
        <v>35</v>
      </c>
      <c r="G15" s="758">
        <v>35</v>
      </c>
      <c r="H15" s="758">
        <v>30</v>
      </c>
      <c r="I15" s="758">
        <v>40</v>
      </c>
      <c r="J15" s="758">
        <v>30</v>
      </c>
      <c r="K15" s="758">
        <v>40</v>
      </c>
      <c r="L15" s="758" t="s">
        <v>59</v>
      </c>
      <c r="M15" s="739"/>
      <c r="N15" s="367"/>
      <c r="T15" s="224" t="s">
        <v>1090</v>
      </c>
      <c r="U15" s="224" t="s">
        <v>1090</v>
      </c>
      <c r="V15" s="224" t="s">
        <v>1100</v>
      </c>
      <c r="W15" s="711" t="s">
        <v>1101</v>
      </c>
    </row>
    <row r="16" spans="1:29" ht="16" outlineLevel="1">
      <c r="B16" s="804" t="s">
        <v>1025</v>
      </c>
      <c r="C16" s="805">
        <f>0.833</f>
        <v>0.83299999999999996</v>
      </c>
      <c r="D16" s="805">
        <v>0.83299999999999996</v>
      </c>
      <c r="E16" s="805">
        <v>0.72</v>
      </c>
      <c r="F16" s="805">
        <v>0.66</v>
      </c>
      <c r="G16" s="805">
        <v>0.66</v>
      </c>
      <c r="H16" s="806">
        <v>0.66</v>
      </c>
      <c r="I16" s="806">
        <v>1</v>
      </c>
      <c r="J16" s="806">
        <v>0.55000000000000004</v>
      </c>
      <c r="K16" s="806">
        <v>0.72</v>
      </c>
      <c r="L16" s="806" t="s">
        <v>16</v>
      </c>
      <c r="M16" s="745"/>
      <c r="N16" s="363"/>
      <c r="P16" s="224">
        <f>P17/P13</f>
        <v>0.17078165999999997</v>
      </c>
      <c r="T16" s="224" t="s">
        <v>1087</v>
      </c>
      <c r="U16" s="224" t="s">
        <v>1088</v>
      </c>
      <c r="V16" s="224" t="s">
        <v>1089</v>
      </c>
    </row>
    <row r="17" spans="1:36" ht="16" outlineLevel="1">
      <c r="B17" s="807" t="s">
        <v>1026</v>
      </c>
      <c r="C17" s="808">
        <v>0.03</v>
      </c>
      <c r="D17" s="808">
        <v>0.03</v>
      </c>
      <c r="E17" s="808">
        <v>2.5000000000000001E-2</v>
      </c>
      <c r="F17" s="808">
        <v>2.3E-2</v>
      </c>
      <c r="G17" s="808">
        <v>0.02</v>
      </c>
      <c r="H17" s="808">
        <v>2.5000000000000001E-2</v>
      </c>
      <c r="I17" s="808">
        <v>3.5000000000000003E-2</v>
      </c>
      <c r="J17" s="808">
        <v>1.7000000000000001E-2</v>
      </c>
      <c r="K17" s="808">
        <v>2.5000000000000001E-2</v>
      </c>
      <c r="L17" s="808" t="s">
        <v>20</v>
      </c>
      <c r="M17" s="743"/>
      <c r="N17" s="363"/>
      <c r="O17" s="224" t="s">
        <v>1085</v>
      </c>
      <c r="P17" s="224">
        <f>S6/1*3.6/1000000*1000</f>
        <v>0.20502000000000001</v>
      </c>
      <c r="Q17" s="224" t="s">
        <v>1084</v>
      </c>
      <c r="S17" s="224">
        <f>P17/0.9</f>
        <v>0.2278</v>
      </c>
      <c r="T17" s="36">
        <f>S17*C33*7.45</f>
        <v>5.6004629999999995</v>
      </c>
      <c r="U17" s="36">
        <f>S17*C39*7.45</f>
        <v>0.16801389</v>
      </c>
      <c r="V17" s="36">
        <f>S17*C40*7.45/3.6</f>
        <v>1.178548611111111</v>
      </c>
    </row>
    <row r="18" spans="1:36" outlineLevel="1">
      <c r="B18" s="744" t="s">
        <v>1027</v>
      </c>
      <c r="C18" s="761">
        <v>0.3</v>
      </c>
      <c r="D18" s="761">
        <v>0.3</v>
      </c>
      <c r="E18" s="761">
        <v>0.2</v>
      </c>
      <c r="F18" s="761">
        <v>0.15</v>
      </c>
      <c r="G18" s="761">
        <v>0.1</v>
      </c>
      <c r="H18" s="761">
        <v>0.15</v>
      </c>
      <c r="I18" s="761">
        <v>1.5</v>
      </c>
      <c r="J18" s="761">
        <v>0.05</v>
      </c>
      <c r="K18" s="761">
        <v>0.3</v>
      </c>
      <c r="L18" s="761"/>
      <c r="M18" s="745"/>
      <c r="N18" s="363"/>
      <c r="P18" s="224">
        <f>1/P17</f>
        <v>4.8775729197151492</v>
      </c>
      <c r="Q18" s="224" t="s">
        <v>1086</v>
      </c>
      <c r="T18" s="36">
        <f>0.998*6.32</f>
        <v>6.3073600000000001</v>
      </c>
    </row>
    <row r="19" spans="1:36" ht="16" outlineLevel="1" thickBot="1">
      <c r="B19" s="738" t="s">
        <v>1028</v>
      </c>
      <c r="C19" s="762"/>
      <c r="D19" s="758"/>
      <c r="E19" s="758"/>
      <c r="F19" s="758"/>
      <c r="G19" s="758"/>
      <c r="H19" s="758"/>
      <c r="I19" s="758"/>
      <c r="J19" s="758"/>
      <c r="K19" s="758"/>
      <c r="L19" s="758"/>
      <c r="M19" s="739"/>
      <c r="N19" s="363"/>
    </row>
    <row r="20" spans="1:36" outlineLevel="1">
      <c r="B20" s="740" t="s">
        <v>1029</v>
      </c>
      <c r="C20" s="759"/>
      <c r="D20" s="759"/>
      <c r="E20" s="759"/>
      <c r="F20" s="759"/>
      <c r="G20" s="759"/>
      <c r="H20" s="759"/>
      <c r="I20" s="759"/>
      <c r="J20" s="759"/>
      <c r="K20" s="759"/>
      <c r="L20" s="759"/>
      <c r="M20" s="741"/>
      <c r="N20" s="363"/>
      <c r="O20" s="857"/>
      <c r="P20" s="862" t="s">
        <v>1133</v>
      </c>
      <c r="Q20" s="858" t="s">
        <v>1084</v>
      </c>
      <c r="R20" s="858" t="s">
        <v>1134</v>
      </c>
      <c r="S20" s="858" t="s">
        <v>1131</v>
      </c>
      <c r="T20" s="859" t="s">
        <v>1087</v>
      </c>
      <c r="U20" s="858" t="s">
        <v>1088</v>
      </c>
      <c r="V20" s="858" t="s">
        <v>1089</v>
      </c>
      <c r="W20" s="858" t="s">
        <v>1102</v>
      </c>
      <c r="X20" s="858" t="s">
        <v>337</v>
      </c>
      <c r="Y20" s="863" t="s">
        <v>1104</v>
      </c>
      <c r="Z20" s="858"/>
      <c r="AA20" s="858"/>
      <c r="AB20" s="860"/>
      <c r="AC20" s="851"/>
      <c r="AD20" s="851"/>
      <c r="AE20" s="851"/>
      <c r="AF20" s="851"/>
      <c r="AG20" s="851"/>
      <c r="AH20" s="851"/>
      <c r="AI20" s="851"/>
      <c r="AJ20" s="852"/>
    </row>
    <row r="21" spans="1:36" ht="16" outlineLevel="1">
      <c r="B21" s="746" t="s">
        <v>1030</v>
      </c>
      <c r="C21" s="758">
        <v>97</v>
      </c>
      <c r="D21" s="758">
        <v>97</v>
      </c>
      <c r="E21" s="758">
        <v>98</v>
      </c>
      <c r="F21" s="758">
        <v>99</v>
      </c>
      <c r="G21" s="758">
        <v>99</v>
      </c>
      <c r="H21" s="758">
        <v>96</v>
      </c>
      <c r="I21" s="758">
        <v>98</v>
      </c>
      <c r="J21" s="758">
        <v>98</v>
      </c>
      <c r="K21" s="758">
        <v>99</v>
      </c>
      <c r="L21" s="758" t="s">
        <v>76</v>
      </c>
      <c r="M21" s="739"/>
      <c r="N21" s="363"/>
      <c r="O21" s="853"/>
      <c r="P21" s="271"/>
      <c r="Q21" s="203"/>
      <c r="R21" s="203"/>
      <c r="S21" s="203"/>
      <c r="T21" s="203" t="s">
        <v>1090</v>
      </c>
      <c r="U21" s="203" t="s">
        <v>1090</v>
      </c>
      <c r="V21" s="203" t="s">
        <v>1100</v>
      </c>
      <c r="W21" s="203" t="s">
        <v>1132</v>
      </c>
      <c r="X21" s="203"/>
      <c r="Y21" s="356" t="s">
        <v>1105</v>
      </c>
      <c r="Z21" s="55"/>
      <c r="AA21" s="55"/>
      <c r="AB21" s="854"/>
      <c r="AC21" s="55"/>
      <c r="AD21" s="55"/>
      <c r="AE21" s="55"/>
      <c r="AF21" s="55"/>
      <c r="AG21" s="55"/>
      <c r="AH21" s="55"/>
      <c r="AI21" s="55"/>
      <c r="AJ21" s="854"/>
    </row>
    <row r="22" spans="1:36" ht="16" outlineLevel="1">
      <c r="B22" s="746" t="s">
        <v>1031</v>
      </c>
      <c r="C22" s="758">
        <v>160</v>
      </c>
      <c r="D22" s="758">
        <v>160</v>
      </c>
      <c r="E22" s="758">
        <v>300</v>
      </c>
      <c r="F22" s="758">
        <v>400</v>
      </c>
      <c r="G22" s="758">
        <v>400</v>
      </c>
      <c r="H22" s="758">
        <v>120</v>
      </c>
      <c r="I22" s="758">
        <v>300</v>
      </c>
      <c r="J22" s="758">
        <v>300</v>
      </c>
      <c r="K22" s="758">
        <v>600</v>
      </c>
      <c r="L22" s="758" t="s">
        <v>25</v>
      </c>
      <c r="M22" s="739"/>
      <c r="N22" s="420"/>
      <c r="O22" s="861" t="s">
        <v>1085</v>
      </c>
      <c r="P22" s="864">
        <v>2020</v>
      </c>
      <c r="Q22" s="883">
        <f>$S$6/1*3.6/1000000*1000</f>
        <v>0.20502000000000001</v>
      </c>
      <c r="R22" s="865">
        <f>C23/100</f>
        <v>0.9</v>
      </c>
      <c r="S22" s="883">
        <f>Q22/R22</f>
        <v>0.2278</v>
      </c>
      <c r="T22" s="883">
        <f>S22*C33*F4</f>
        <v>5.6004629999999995</v>
      </c>
      <c r="U22" s="883">
        <f>S22*C39*$F$4</f>
        <v>0.16801389</v>
      </c>
      <c r="V22" s="883">
        <f>S22*C40*$F$4/3.6</f>
        <v>1.178548611111111</v>
      </c>
      <c r="W22" s="883">
        <f>C17/S22</f>
        <v>0.13169446883230904</v>
      </c>
      <c r="X22" s="865">
        <f>VLOOKUP($P22,'Natural gas boiler_New'!$P$39:$AD$42,3,FALSE)</f>
        <v>0.92</v>
      </c>
      <c r="Y22" s="886">
        <f>$S$6/R22/X22</f>
        <v>68.780193236714979</v>
      </c>
      <c r="Z22" s="55"/>
      <c r="AA22" s="55"/>
      <c r="AB22" s="854"/>
      <c r="AC22" s="55"/>
      <c r="AD22" s="55"/>
      <c r="AE22" s="55"/>
      <c r="AF22" s="55"/>
      <c r="AG22" s="55"/>
      <c r="AH22" s="55"/>
      <c r="AI22" s="55"/>
      <c r="AJ22" s="854"/>
    </row>
    <row r="23" spans="1:36" ht="38.25" customHeight="1" outlineLevel="1">
      <c r="B23" s="738" t="s">
        <v>1032</v>
      </c>
      <c r="C23" s="758">
        <v>90</v>
      </c>
      <c r="D23" s="758">
        <v>90</v>
      </c>
      <c r="E23" s="758">
        <v>90</v>
      </c>
      <c r="F23" s="758">
        <v>95</v>
      </c>
      <c r="G23" s="758">
        <v>95</v>
      </c>
      <c r="H23" s="758">
        <v>85</v>
      </c>
      <c r="I23" s="758">
        <v>95</v>
      </c>
      <c r="J23" s="758">
        <v>92</v>
      </c>
      <c r="K23" s="758">
        <v>99</v>
      </c>
      <c r="L23" s="758" t="s">
        <v>33</v>
      </c>
      <c r="M23" s="739"/>
      <c r="N23" s="428"/>
      <c r="O23" s="853"/>
      <c r="P23" s="866">
        <v>2030</v>
      </c>
      <c r="Q23" s="884">
        <f t="shared" ref="Q23:Q24" si="1">$S$6/1*3.6/1000000*1000</f>
        <v>0.20502000000000001</v>
      </c>
      <c r="R23" s="867">
        <f>E23/100</f>
        <v>0.9</v>
      </c>
      <c r="S23" s="884">
        <f t="shared" ref="S23:S24" si="2">Q23/R23</f>
        <v>0.2278</v>
      </c>
      <c r="T23" s="884">
        <f>S23*E33*F4</f>
        <v>4.5821970000000007</v>
      </c>
      <c r="U23" s="884">
        <f>S23*E39*$F$4</f>
        <v>0.13746591</v>
      </c>
      <c r="V23" s="884">
        <f>S23*E40*$F$4/3.6</f>
        <v>1.178548611111111</v>
      </c>
      <c r="W23" s="884">
        <f>E17/S23</f>
        <v>0.10974539069359088</v>
      </c>
      <c r="X23" s="867">
        <f>VLOOKUP($P23,'Natural gas boiler_New'!$P$39:$AD$42,3,FALSE)</f>
        <v>0.93</v>
      </c>
      <c r="Y23" s="887">
        <f t="shared" ref="Y23:Y24" si="3">$S$6/R23/X23</f>
        <v>68.040621266427721</v>
      </c>
      <c r="Z23" s="55"/>
      <c r="AA23" s="55"/>
      <c r="AB23" s="854"/>
      <c r="AC23" s="55"/>
      <c r="AD23" s="55"/>
      <c r="AE23" s="55"/>
      <c r="AF23" s="55"/>
      <c r="AG23" s="55"/>
      <c r="AH23" s="55"/>
      <c r="AI23" s="55"/>
      <c r="AJ23" s="854"/>
    </row>
    <row r="24" spans="1:36" ht="16" outlineLevel="1" thickBot="1">
      <c r="B24" s="738" t="s">
        <v>1033</v>
      </c>
      <c r="C24" s="758">
        <v>0.83299999999999996</v>
      </c>
      <c r="D24" s="758">
        <v>0.83299999999999996</v>
      </c>
      <c r="E24" s="758">
        <v>0.72</v>
      </c>
      <c r="F24" s="758">
        <v>0.66</v>
      </c>
      <c r="G24" s="758">
        <v>0.66</v>
      </c>
      <c r="H24" s="761">
        <v>0.66</v>
      </c>
      <c r="I24" s="761">
        <v>1</v>
      </c>
      <c r="J24" s="761">
        <v>0.55000000000000004</v>
      </c>
      <c r="K24" s="761">
        <v>0.72</v>
      </c>
      <c r="L24" s="758"/>
      <c r="M24" s="739"/>
      <c r="N24" s="428"/>
      <c r="O24" s="855"/>
      <c r="P24" s="868">
        <v>2050</v>
      </c>
      <c r="Q24" s="885">
        <f t="shared" si="1"/>
        <v>0.20502000000000001</v>
      </c>
      <c r="R24" s="869">
        <f>G23/100</f>
        <v>0.95</v>
      </c>
      <c r="S24" s="885">
        <f t="shared" si="2"/>
        <v>0.21581052631578948</v>
      </c>
      <c r="T24" s="885">
        <f>S24*G33*F4</f>
        <v>3.2155768421052633</v>
      </c>
      <c r="U24" s="885">
        <f>S24*G39*$F$4</f>
        <v>9.6467305263157888E-2</v>
      </c>
      <c r="V24" s="885">
        <f>S24*G40*$F$4/3.6</f>
        <v>1.1165197368421054</v>
      </c>
      <c r="W24" s="885">
        <f>G17/S24</f>
        <v>9.2673885474587839E-2</v>
      </c>
      <c r="X24" s="869">
        <f>VLOOKUP($P24,'Natural gas boiler_New'!$P$39:$AD$42,3,FALSE)</f>
        <v>0.94</v>
      </c>
      <c r="Y24" s="888">
        <f t="shared" si="3"/>
        <v>63.77379619260919</v>
      </c>
      <c r="Z24" s="787"/>
      <c r="AA24" s="787"/>
      <c r="AB24" s="856"/>
      <c r="AC24" s="55"/>
      <c r="AD24" s="55"/>
      <c r="AE24" s="55"/>
      <c r="AF24" s="55"/>
      <c r="AG24" s="55"/>
      <c r="AH24" s="55"/>
      <c r="AI24" s="55"/>
      <c r="AJ24" s="854"/>
    </row>
    <row r="25" spans="1:36" ht="16" outlineLevel="1">
      <c r="B25" s="742" t="s">
        <v>1034</v>
      </c>
      <c r="C25" s="758">
        <v>60</v>
      </c>
      <c r="D25" s="758">
        <v>60</v>
      </c>
      <c r="E25" s="758">
        <v>60</v>
      </c>
      <c r="F25" s="758">
        <v>70</v>
      </c>
      <c r="G25" s="758">
        <v>70</v>
      </c>
      <c r="H25" s="758">
        <v>50</v>
      </c>
      <c r="I25" s="758">
        <v>80</v>
      </c>
      <c r="J25" s="758">
        <v>50</v>
      </c>
      <c r="K25" s="758">
        <v>120</v>
      </c>
      <c r="L25" s="758" t="s">
        <v>51</v>
      </c>
      <c r="M25" s="739"/>
      <c r="N25" s="428"/>
      <c r="O25" s="879" t="s">
        <v>1135</v>
      </c>
      <c r="P25" s="55"/>
      <c r="Q25" s="55"/>
      <c r="R25" s="55"/>
      <c r="S25" s="55"/>
      <c r="T25" s="55"/>
      <c r="U25" s="55"/>
      <c r="V25" s="55"/>
      <c r="W25" s="55"/>
      <c r="X25" s="55"/>
      <c r="Y25" s="55"/>
      <c r="Z25" s="55"/>
      <c r="AA25" s="55"/>
      <c r="AB25" s="55"/>
      <c r="AC25" s="55"/>
      <c r="AD25" s="55"/>
      <c r="AE25" s="55"/>
      <c r="AF25" s="55"/>
      <c r="AG25" s="55"/>
      <c r="AH25" s="55"/>
      <c r="AI25" s="55"/>
      <c r="AJ25" s="854"/>
    </row>
    <row r="26" spans="1:36" ht="30" outlineLevel="1">
      <c r="B26" s="747" t="s">
        <v>1035</v>
      </c>
      <c r="C26" s="761"/>
      <c r="D26" s="761"/>
      <c r="E26" s="761"/>
      <c r="F26" s="761"/>
      <c r="G26" s="761"/>
      <c r="H26" s="761"/>
      <c r="I26" s="761"/>
      <c r="J26" s="761"/>
      <c r="K26" s="761"/>
      <c r="L26" s="761"/>
      <c r="M26" s="745"/>
      <c r="N26" s="428"/>
      <c r="O26" s="853"/>
      <c r="P26" s="55"/>
      <c r="Q26" s="55"/>
      <c r="R26" s="880" t="s">
        <v>427</v>
      </c>
      <c r="S26" s="880" t="s">
        <v>1106</v>
      </c>
      <c r="T26" s="880" t="s">
        <v>428</v>
      </c>
      <c r="U26" s="771" t="s">
        <v>1049</v>
      </c>
      <c r="V26" s="880" t="s">
        <v>335</v>
      </c>
      <c r="W26" s="880" t="s">
        <v>336</v>
      </c>
      <c r="X26" s="881" t="s">
        <v>1102</v>
      </c>
      <c r="Y26" s="769" t="s">
        <v>337</v>
      </c>
      <c r="Z26" s="769" t="s">
        <v>1052</v>
      </c>
      <c r="AA26" s="769" t="s">
        <v>339</v>
      </c>
      <c r="AB26" s="882" t="s">
        <v>340</v>
      </c>
      <c r="AC26" s="47" t="s">
        <v>341</v>
      </c>
      <c r="AD26" s="49" t="s">
        <v>342</v>
      </c>
      <c r="AE26" s="49" t="s">
        <v>343</v>
      </c>
      <c r="AF26" s="769" t="s">
        <v>344</v>
      </c>
      <c r="AG26" s="769" t="s">
        <v>1104</v>
      </c>
      <c r="AH26" s="770" t="s">
        <v>997</v>
      </c>
      <c r="AI26" s="769" t="s">
        <v>1050</v>
      </c>
      <c r="AJ26" s="871" t="s">
        <v>1051</v>
      </c>
    </row>
    <row r="27" spans="1:36" ht="65" outlineLevel="1" thickBot="1">
      <c r="B27" s="740" t="s">
        <v>1036</v>
      </c>
      <c r="C27" s="761"/>
      <c r="D27" s="761"/>
      <c r="E27" s="761"/>
      <c r="F27" s="761"/>
      <c r="G27" s="761"/>
      <c r="H27" s="761"/>
      <c r="I27" s="761"/>
      <c r="J27" s="761"/>
      <c r="K27" s="761"/>
      <c r="L27" s="761"/>
      <c r="M27" s="745"/>
      <c r="N27" s="428"/>
      <c r="O27" s="853"/>
      <c r="P27" s="55"/>
      <c r="Q27" s="55"/>
      <c r="R27" s="834" t="s">
        <v>1107</v>
      </c>
      <c r="S27" s="834" t="s">
        <v>1108</v>
      </c>
      <c r="T27" s="834" t="s">
        <v>1109</v>
      </c>
      <c r="U27" s="835" t="s">
        <v>1110</v>
      </c>
      <c r="V27" s="50"/>
      <c r="W27" s="50"/>
      <c r="X27" s="833" t="s">
        <v>1103</v>
      </c>
      <c r="Y27" s="51"/>
      <c r="Z27" s="51"/>
      <c r="AA27" s="51"/>
      <c r="AB27" s="52"/>
      <c r="AC27" s="50"/>
      <c r="AD27" s="50"/>
      <c r="AE27" s="50"/>
      <c r="AF27" s="50"/>
      <c r="AG27" s="833" t="s">
        <v>1105</v>
      </c>
      <c r="AH27" s="50"/>
      <c r="AI27" s="50"/>
      <c r="AJ27" s="872"/>
    </row>
    <row r="28" spans="1:36" outlineLevel="1">
      <c r="B28" s="738" t="s">
        <v>657</v>
      </c>
      <c r="C28" s="758">
        <v>5</v>
      </c>
      <c r="D28" s="758">
        <v>5</v>
      </c>
      <c r="E28" s="758">
        <v>3</v>
      </c>
      <c r="F28" s="758">
        <v>3</v>
      </c>
      <c r="G28" s="758">
        <v>3</v>
      </c>
      <c r="H28" s="758">
        <v>3</v>
      </c>
      <c r="I28" s="758">
        <v>3</v>
      </c>
      <c r="J28" s="758">
        <v>3</v>
      </c>
      <c r="K28" s="758">
        <v>3</v>
      </c>
      <c r="L28" s="758"/>
      <c r="M28" s="739"/>
      <c r="N28" s="428"/>
      <c r="O28" s="853"/>
      <c r="P28" s="55"/>
      <c r="Q28" s="55"/>
      <c r="R28" s="55" t="s">
        <v>1111</v>
      </c>
      <c r="S28" s="55"/>
      <c r="T28" s="55" t="s">
        <v>1113</v>
      </c>
      <c r="U28" s="55" t="s">
        <v>1058</v>
      </c>
      <c r="V28" s="466">
        <v>2020</v>
      </c>
      <c r="W28" s="870">
        <v>2020</v>
      </c>
      <c r="X28" s="867"/>
      <c r="Y28" s="870">
        <f>VLOOKUP($V28,'Natural gas boiler_New'!$P$39:$AD$42,3,FALSE)</f>
        <v>0.92</v>
      </c>
      <c r="Z28" s="867"/>
      <c r="AA28" s="870">
        <v>25</v>
      </c>
      <c r="AB28" s="58">
        <f>VLOOKUP($V28,$P$22:$Y$24,5,FALSE)</f>
        <v>5.6004629999999995</v>
      </c>
      <c r="AC28" s="58">
        <f>VLOOKUP($V28,$P$22:$Y$24,6,FALSE)</f>
        <v>0.16801389</v>
      </c>
      <c r="AD28" s="58">
        <f>VLOOKUP($V28,$P$22:$Y$24,7,FALSE)</f>
        <v>1.178548611111111</v>
      </c>
      <c r="AE28" s="58"/>
      <c r="AF28" s="58"/>
      <c r="AG28" s="867"/>
      <c r="AH28" s="867"/>
      <c r="AI28" s="867"/>
      <c r="AJ28" s="873"/>
    </row>
    <row r="29" spans="1:36" ht="52" customHeight="1" outlineLevel="1">
      <c r="A29" s="435"/>
      <c r="B29" s="738" t="s">
        <v>658</v>
      </c>
      <c r="C29" s="758">
        <v>3</v>
      </c>
      <c r="D29" s="758">
        <v>3</v>
      </c>
      <c r="E29" s="758">
        <v>3</v>
      </c>
      <c r="F29" s="758">
        <v>2</v>
      </c>
      <c r="G29" s="758">
        <v>2</v>
      </c>
      <c r="H29" s="758">
        <v>2</v>
      </c>
      <c r="I29" s="758">
        <v>4</v>
      </c>
      <c r="J29" s="758">
        <v>2</v>
      </c>
      <c r="K29" s="758">
        <v>3</v>
      </c>
      <c r="L29" s="758"/>
      <c r="M29" s="739"/>
      <c r="N29" s="420"/>
      <c r="O29" s="853"/>
      <c r="P29" s="55"/>
      <c r="Q29" s="55"/>
      <c r="R29" s="55"/>
      <c r="S29" s="55" t="s">
        <v>499</v>
      </c>
      <c r="T29" s="55"/>
      <c r="U29" s="55" t="s">
        <v>1058</v>
      </c>
      <c r="V29" s="466">
        <v>2020</v>
      </c>
      <c r="W29" s="867"/>
      <c r="X29" s="82">
        <f>VLOOKUP($V29,$P$22:$Y$24,8,FALSE)</f>
        <v>0.13169446883230904</v>
      </c>
      <c r="Y29" s="874"/>
      <c r="Z29" s="867"/>
      <c r="AA29" s="867"/>
      <c r="AB29" s="867"/>
      <c r="AC29" s="867"/>
      <c r="AD29" s="867"/>
      <c r="AE29" s="867"/>
      <c r="AF29" s="867"/>
      <c r="AG29" s="867"/>
      <c r="AH29" s="867"/>
      <c r="AI29" s="867"/>
      <c r="AJ29" s="873"/>
    </row>
    <row r="30" spans="1:36" outlineLevel="1">
      <c r="B30" s="738" t="s">
        <v>11</v>
      </c>
      <c r="C30" s="758">
        <v>25</v>
      </c>
      <c r="D30" s="758">
        <v>25</v>
      </c>
      <c r="E30" s="758">
        <v>25</v>
      </c>
      <c r="F30" s="758">
        <v>25</v>
      </c>
      <c r="G30" s="758">
        <v>25</v>
      </c>
      <c r="H30" s="758">
        <v>25</v>
      </c>
      <c r="I30" s="758">
        <v>25</v>
      </c>
      <c r="J30" s="758">
        <v>25</v>
      </c>
      <c r="K30" s="758">
        <v>25</v>
      </c>
      <c r="L30" s="758"/>
      <c r="M30" s="739"/>
      <c r="N30" s="420"/>
      <c r="O30" s="853"/>
      <c r="P30" s="55"/>
      <c r="Q30" s="55"/>
      <c r="R30" s="55"/>
      <c r="S30" s="55"/>
      <c r="T30" s="55"/>
      <c r="U30" s="55" t="s">
        <v>1112</v>
      </c>
      <c r="V30" s="466">
        <v>2020</v>
      </c>
      <c r="W30" s="867"/>
      <c r="X30" s="198"/>
      <c r="Y30" s="874"/>
      <c r="Z30" s="867"/>
      <c r="AA30" s="867"/>
      <c r="AB30" s="867"/>
      <c r="AC30" s="867"/>
      <c r="AD30" s="867"/>
      <c r="AE30" s="867"/>
      <c r="AF30" s="867"/>
      <c r="AG30" s="58">
        <f>VLOOKUP($V30,$P$22:$Y$24,10,FALSE)</f>
        <v>68.780193236714979</v>
      </c>
      <c r="AH30" s="867"/>
      <c r="AI30" s="867"/>
      <c r="AJ30" s="873"/>
    </row>
    <row r="31" spans="1:36" outlineLevel="1">
      <c r="B31" s="738" t="s">
        <v>273</v>
      </c>
      <c r="C31" s="758">
        <v>2.5</v>
      </c>
      <c r="D31" s="758">
        <v>2.5</v>
      </c>
      <c r="E31" s="758">
        <v>2.5</v>
      </c>
      <c r="F31" s="758">
        <v>2</v>
      </c>
      <c r="G31" s="758">
        <v>2</v>
      </c>
      <c r="H31" s="758">
        <v>2</v>
      </c>
      <c r="I31" s="758">
        <v>4</v>
      </c>
      <c r="J31" s="758">
        <v>2</v>
      </c>
      <c r="K31" s="758">
        <v>3</v>
      </c>
      <c r="L31" s="758"/>
      <c r="M31" s="739"/>
      <c r="N31" s="420"/>
      <c r="O31" s="853"/>
      <c r="P31" s="55"/>
      <c r="Q31" s="55"/>
      <c r="R31" s="55"/>
      <c r="S31" s="55"/>
      <c r="T31" s="55"/>
      <c r="U31" s="55" t="s">
        <v>1058</v>
      </c>
      <c r="V31" s="466">
        <v>2030</v>
      </c>
      <c r="W31" s="867"/>
      <c r="X31" s="198"/>
      <c r="Y31" s="58">
        <f>VLOOKUP($V31,'Natural gas boiler_New'!$P$39:$AD$42,3,FALSE)</f>
        <v>0.93</v>
      </c>
      <c r="Z31" s="867"/>
      <c r="AA31" s="58">
        <v>25</v>
      </c>
      <c r="AB31" s="58">
        <f>VLOOKUP($V31,$P$22:$Y$24,5,FALSE)</f>
        <v>4.5821970000000007</v>
      </c>
      <c r="AC31" s="58">
        <f>VLOOKUP($V31,$P$22:$Y$24,6,FALSE)</f>
        <v>0.13746591</v>
      </c>
      <c r="AD31" s="58">
        <f>VLOOKUP($V31,$P$22:$Y$24,7,FALSE)</f>
        <v>1.178548611111111</v>
      </c>
      <c r="AE31" s="867"/>
      <c r="AF31" s="867"/>
      <c r="AG31" s="867"/>
      <c r="AH31" s="867"/>
      <c r="AI31" s="867"/>
      <c r="AJ31" s="873"/>
    </row>
    <row r="32" spans="1:36" outlineLevel="1">
      <c r="B32" s="748" t="s">
        <v>674</v>
      </c>
      <c r="C32" s="763"/>
      <c r="D32" s="763"/>
      <c r="E32" s="763"/>
      <c r="F32" s="763"/>
      <c r="G32" s="763"/>
      <c r="H32" s="763"/>
      <c r="I32" s="763"/>
      <c r="J32" s="763"/>
      <c r="K32" s="763"/>
      <c r="L32" s="763"/>
      <c r="M32" s="748"/>
      <c r="N32" s="420"/>
      <c r="O32" s="853"/>
      <c r="P32" s="55"/>
      <c r="Q32" s="55"/>
      <c r="R32" s="55"/>
      <c r="S32" s="55" t="s">
        <v>499</v>
      </c>
      <c r="T32" s="55"/>
      <c r="U32" s="55" t="s">
        <v>1058</v>
      </c>
      <c r="V32" s="466">
        <v>2030</v>
      </c>
      <c r="W32" s="867"/>
      <c r="X32" s="82">
        <f>VLOOKUP($V32,$P$22:$Y$24,8,FALSE)</f>
        <v>0.10974539069359088</v>
      </c>
      <c r="Y32" s="874"/>
      <c r="Z32" s="867"/>
      <c r="AA32" s="867"/>
      <c r="AB32" s="867"/>
      <c r="AC32" s="867"/>
      <c r="AD32" s="867"/>
      <c r="AE32" s="867"/>
      <c r="AF32" s="867"/>
      <c r="AG32" s="867"/>
      <c r="AH32" s="867"/>
      <c r="AI32" s="867"/>
      <c r="AJ32" s="873"/>
    </row>
    <row r="33" spans="2:36" ht="37" customHeight="1" outlineLevel="1">
      <c r="B33" s="836" t="s">
        <v>1037</v>
      </c>
      <c r="C33" s="837">
        <v>3.3</v>
      </c>
      <c r="D33" s="837">
        <v>3</v>
      </c>
      <c r="E33" s="837">
        <v>2.7</v>
      </c>
      <c r="F33" s="837">
        <v>2.4</v>
      </c>
      <c r="G33" s="837">
        <v>2</v>
      </c>
      <c r="H33" s="837">
        <v>2.5</v>
      </c>
      <c r="I33" s="837">
        <v>5</v>
      </c>
      <c r="J33" s="837">
        <v>1.6</v>
      </c>
      <c r="K33" s="837">
        <v>2.8</v>
      </c>
      <c r="L33" s="837" t="s">
        <v>52</v>
      </c>
      <c r="M33" s="838"/>
      <c r="N33" s="361"/>
      <c r="O33" s="853"/>
      <c r="P33" s="55"/>
      <c r="Q33" s="55"/>
      <c r="R33" s="55"/>
      <c r="S33" s="55"/>
      <c r="T33" s="55"/>
      <c r="U33" s="55" t="s">
        <v>1058</v>
      </c>
      <c r="V33" s="466">
        <v>2050</v>
      </c>
      <c r="W33" s="867"/>
      <c r="X33" s="198"/>
      <c r="Y33" s="58">
        <f>VLOOKUP($V33,'Natural gas boiler_New'!$P$39:$AD$42,3,FALSE)</f>
        <v>0.94</v>
      </c>
      <c r="Z33" s="867"/>
      <c r="AA33" s="58">
        <v>25</v>
      </c>
      <c r="AB33" s="58">
        <f>VLOOKUP($V33,$P$22:$Y$24,5,FALSE)</f>
        <v>3.2155768421052633</v>
      </c>
      <c r="AC33" s="58">
        <f>VLOOKUP($V33,$P$22:$Y$24,6,FALSE)</f>
        <v>9.6467305263157888E-2</v>
      </c>
      <c r="AD33" s="58">
        <f>VLOOKUP($V33,$P$22:$Y$24,7,FALSE)</f>
        <v>1.1165197368421054</v>
      </c>
      <c r="AE33" s="867"/>
      <c r="AF33" s="867"/>
      <c r="AG33" s="867"/>
      <c r="AH33" s="867"/>
      <c r="AI33" s="867"/>
      <c r="AJ33" s="873"/>
    </row>
    <row r="34" spans="2:36" ht="15.75" customHeight="1" outlineLevel="1" thickBot="1">
      <c r="B34" s="742" t="s">
        <v>1038</v>
      </c>
      <c r="C34" s="758">
        <v>50</v>
      </c>
      <c r="D34" s="758">
        <v>50</v>
      </c>
      <c r="E34" s="758">
        <v>50</v>
      </c>
      <c r="F34" s="758">
        <v>50</v>
      </c>
      <c r="G34" s="758">
        <v>50</v>
      </c>
      <c r="H34" s="758"/>
      <c r="I34" s="758"/>
      <c r="J34" s="758"/>
      <c r="K34" s="765"/>
      <c r="L34" s="758" t="s">
        <v>55</v>
      </c>
      <c r="M34" s="739"/>
      <c r="N34" s="361"/>
      <c r="O34" s="855"/>
      <c r="P34" s="787"/>
      <c r="Q34" s="787"/>
      <c r="R34" s="787"/>
      <c r="S34" s="787" t="s">
        <v>499</v>
      </c>
      <c r="T34" s="787"/>
      <c r="U34" s="787" t="s">
        <v>1058</v>
      </c>
      <c r="V34" s="875">
        <v>2050</v>
      </c>
      <c r="W34" s="869"/>
      <c r="X34" s="876">
        <f>VLOOKUP($V34,$P$22:$Y$24,8,FALSE)</f>
        <v>9.2673885474587839E-2</v>
      </c>
      <c r="Y34" s="877"/>
      <c r="Z34" s="869"/>
      <c r="AA34" s="869"/>
      <c r="AB34" s="869"/>
      <c r="AC34" s="869"/>
      <c r="AD34" s="869"/>
      <c r="AE34" s="869"/>
      <c r="AF34" s="869"/>
      <c r="AG34" s="869"/>
      <c r="AH34" s="869"/>
      <c r="AI34" s="869"/>
      <c r="AJ34" s="878"/>
    </row>
    <row r="35" spans="2:36" ht="17" outlineLevel="1" thickBot="1">
      <c r="B35" s="738" t="s">
        <v>1039</v>
      </c>
      <c r="C35" s="758">
        <v>10</v>
      </c>
      <c r="D35" s="758">
        <v>10</v>
      </c>
      <c r="E35" s="758">
        <v>10</v>
      </c>
      <c r="F35" s="758">
        <v>10</v>
      </c>
      <c r="G35" s="758">
        <v>10</v>
      </c>
      <c r="H35" s="758"/>
      <c r="I35" s="758"/>
      <c r="J35" s="758"/>
      <c r="K35" s="765"/>
      <c r="L35" s="758" t="s">
        <v>49</v>
      </c>
      <c r="M35" s="739"/>
      <c r="N35" s="363"/>
    </row>
    <row r="36" spans="2:36" outlineLevel="1">
      <c r="B36" s="749" t="s">
        <v>1040</v>
      </c>
      <c r="C36" s="758">
        <v>10</v>
      </c>
      <c r="D36" s="758">
        <v>10</v>
      </c>
      <c r="E36" s="758">
        <v>10</v>
      </c>
      <c r="F36" s="758">
        <v>10</v>
      </c>
      <c r="G36" s="758">
        <v>10</v>
      </c>
      <c r="H36" s="758"/>
      <c r="I36" s="758"/>
      <c r="J36" s="758"/>
      <c r="K36" s="765"/>
      <c r="L36" s="257"/>
      <c r="M36" s="739"/>
      <c r="N36" s="367"/>
      <c r="O36" s="857"/>
      <c r="P36" s="862" t="s">
        <v>1133</v>
      </c>
      <c r="Q36" s="858" t="s">
        <v>1084</v>
      </c>
      <c r="R36" s="858" t="s">
        <v>1134</v>
      </c>
      <c r="S36" s="858" t="s">
        <v>1131</v>
      </c>
      <c r="T36" s="859" t="s">
        <v>1087</v>
      </c>
      <c r="U36" s="858" t="s">
        <v>1088</v>
      </c>
      <c r="V36" s="858" t="s">
        <v>1089</v>
      </c>
      <c r="W36" s="858" t="s">
        <v>1102</v>
      </c>
      <c r="X36" s="858" t="s">
        <v>337</v>
      </c>
      <c r="Y36" s="863" t="s">
        <v>1104</v>
      </c>
      <c r="Z36" s="858"/>
      <c r="AA36" s="858"/>
      <c r="AB36" s="860"/>
      <c r="AC36" s="851"/>
      <c r="AD36" s="851"/>
      <c r="AE36" s="851"/>
      <c r="AF36" s="851"/>
      <c r="AG36" s="851"/>
      <c r="AH36" s="851"/>
      <c r="AI36" s="851"/>
      <c r="AJ36" s="852"/>
    </row>
    <row r="37" spans="2:36" ht="16" outlineLevel="1">
      <c r="B37" s="738" t="s">
        <v>1041</v>
      </c>
      <c r="C37" s="758">
        <v>15</v>
      </c>
      <c r="D37" s="758">
        <v>15</v>
      </c>
      <c r="E37" s="758">
        <v>15</v>
      </c>
      <c r="F37" s="758">
        <v>15</v>
      </c>
      <c r="G37" s="758">
        <v>15</v>
      </c>
      <c r="H37" s="758"/>
      <c r="I37" s="758"/>
      <c r="J37" s="758"/>
      <c r="K37" s="765"/>
      <c r="L37" s="758" t="s">
        <v>374</v>
      </c>
      <c r="M37" s="739"/>
      <c r="N37" s="363"/>
      <c r="O37" s="853"/>
      <c r="P37" s="271"/>
      <c r="Q37" s="203"/>
      <c r="R37" s="203"/>
      <c r="S37" s="203"/>
      <c r="T37" s="203" t="s">
        <v>1090</v>
      </c>
      <c r="U37" s="203" t="s">
        <v>1090</v>
      </c>
      <c r="V37" s="203" t="s">
        <v>1100</v>
      </c>
      <c r="W37" s="203" t="s">
        <v>1132</v>
      </c>
      <c r="X37" s="203"/>
      <c r="Y37" s="356" t="s">
        <v>1105</v>
      </c>
      <c r="Z37" s="55"/>
      <c r="AA37" s="55"/>
      <c r="AB37" s="854"/>
      <c r="AC37" s="55"/>
      <c r="AD37" s="55"/>
      <c r="AE37" s="55"/>
      <c r="AF37" s="55"/>
      <c r="AG37" s="55"/>
      <c r="AH37" s="55"/>
      <c r="AI37" s="55"/>
      <c r="AJ37" s="854"/>
    </row>
    <row r="38" spans="2:36" outlineLevel="1">
      <c r="B38" s="738" t="s">
        <v>1042</v>
      </c>
      <c r="C38" s="758">
        <v>15</v>
      </c>
      <c r="D38" s="758">
        <v>15</v>
      </c>
      <c r="E38" s="758">
        <v>15</v>
      </c>
      <c r="F38" s="758">
        <v>15</v>
      </c>
      <c r="G38" s="758">
        <v>15</v>
      </c>
      <c r="H38" s="758"/>
      <c r="I38" s="758"/>
      <c r="J38" s="758"/>
      <c r="K38" s="766"/>
      <c r="L38" s="257"/>
      <c r="M38" s="739"/>
      <c r="N38" s="363"/>
      <c r="O38" s="861" t="s">
        <v>1136</v>
      </c>
      <c r="P38" s="864">
        <v>2020</v>
      </c>
      <c r="Q38" s="883">
        <f>$P$6/1*3.6/1000000*1000</f>
        <v>0.34056000000000003</v>
      </c>
      <c r="R38" s="865">
        <f>R22</f>
        <v>0.9</v>
      </c>
      <c r="S38" s="883">
        <f>Q38/R38</f>
        <v>0.37840000000000001</v>
      </c>
      <c r="T38" s="883">
        <f>S38*C33*$F$4</f>
        <v>9.3029640000000011</v>
      </c>
      <c r="U38" s="883">
        <f>S38*C39*$F$4</f>
        <v>0.27908891999999996</v>
      </c>
      <c r="V38" s="883">
        <f>S38*C40*$F$4/3.6</f>
        <v>1.9576944444444446</v>
      </c>
      <c r="W38" s="883">
        <f>C17/S38</f>
        <v>7.9281183932346719E-2</v>
      </c>
      <c r="X38" s="865">
        <f>VLOOKUP($P38,'Coal boiler'!$P$39:$AD$42,3,FALSE)</f>
        <v>0.89</v>
      </c>
      <c r="Y38" s="886">
        <f>$P$6/R38/X38</f>
        <v>118.10237203495629</v>
      </c>
      <c r="Z38" s="55"/>
      <c r="AA38" s="55"/>
      <c r="AB38" s="854"/>
      <c r="AC38" s="55"/>
      <c r="AD38" s="55"/>
      <c r="AE38" s="55"/>
      <c r="AF38" s="55"/>
      <c r="AG38" s="55"/>
      <c r="AH38" s="55"/>
      <c r="AI38" s="55"/>
      <c r="AJ38" s="854"/>
    </row>
    <row r="39" spans="2:36" ht="16" outlineLevel="1">
      <c r="B39" s="839" t="s">
        <v>1043</v>
      </c>
      <c r="C39" s="840">
        <f>C33*0.03</f>
        <v>9.8999999999999991E-2</v>
      </c>
      <c r="D39" s="840">
        <f t="shared" ref="D39:K39" si="4">D33*0.03</f>
        <v>0.09</v>
      </c>
      <c r="E39" s="840">
        <f t="shared" si="4"/>
        <v>8.1000000000000003E-2</v>
      </c>
      <c r="F39" s="840">
        <f t="shared" si="4"/>
        <v>7.1999999999999995E-2</v>
      </c>
      <c r="G39" s="840">
        <f t="shared" si="4"/>
        <v>0.06</v>
      </c>
      <c r="H39" s="840">
        <f t="shared" si="4"/>
        <v>7.4999999999999997E-2</v>
      </c>
      <c r="I39" s="840">
        <f t="shared" si="4"/>
        <v>0.15</v>
      </c>
      <c r="J39" s="840">
        <f t="shared" si="4"/>
        <v>4.8000000000000001E-2</v>
      </c>
      <c r="K39" s="840">
        <f t="shared" si="4"/>
        <v>8.3999999999999991E-2</v>
      </c>
      <c r="L39" s="837" t="s">
        <v>886</v>
      </c>
      <c r="M39" s="841"/>
      <c r="N39" s="363"/>
      <c r="O39" s="853"/>
      <c r="P39" s="866">
        <v>2030</v>
      </c>
      <c r="Q39" s="884">
        <f t="shared" ref="Q39:Q40" si="5">$P$6/1*3.6/1000000*1000</f>
        <v>0.34056000000000003</v>
      </c>
      <c r="R39" s="867">
        <f t="shared" ref="R39:R40" si="6">R23</f>
        <v>0.9</v>
      </c>
      <c r="S39" s="884">
        <f t="shared" ref="S39:S40" si="7">Q39/R39</f>
        <v>0.37840000000000001</v>
      </c>
      <c r="T39" s="884">
        <f>S39*E33*$F$4</f>
        <v>7.6115160000000008</v>
      </c>
      <c r="U39" s="884">
        <f>S39*E39*$F$4</f>
        <v>0.22834548000000002</v>
      </c>
      <c r="V39" s="884">
        <f>S39*E40*$F$4/3.6</f>
        <v>1.9576944444444446</v>
      </c>
      <c r="W39" s="884">
        <f>E17/S39</f>
        <v>6.6067653276955601E-2</v>
      </c>
      <c r="X39" s="867">
        <f>VLOOKUP($P39,'Coal boiler'!$P$39:$AD$42,3,FALSE)</f>
        <v>0.89</v>
      </c>
      <c r="Y39" s="887">
        <f t="shared" ref="Y39:Y40" si="8">$P$6/R39/X39</f>
        <v>118.10237203495629</v>
      </c>
      <c r="Z39" s="55"/>
      <c r="AA39" s="55"/>
      <c r="AB39" s="854"/>
      <c r="AC39" s="55"/>
      <c r="AD39" s="55"/>
      <c r="AE39" s="55"/>
      <c r="AF39" s="55"/>
      <c r="AG39" s="55"/>
      <c r="AH39" s="55"/>
      <c r="AI39" s="55"/>
      <c r="AJ39" s="854"/>
    </row>
    <row r="40" spans="2:36" ht="14.5" customHeight="1" outlineLevel="1" thickBot="1">
      <c r="B40" s="842" t="s">
        <v>1044</v>
      </c>
      <c r="C40" s="837">
        <v>2.5</v>
      </c>
      <c r="D40" s="837">
        <v>2.5</v>
      </c>
      <c r="E40" s="837">
        <v>2.5</v>
      </c>
      <c r="F40" s="837">
        <v>2.5</v>
      </c>
      <c r="G40" s="837">
        <v>2.5</v>
      </c>
      <c r="H40" s="840">
        <v>1.5</v>
      </c>
      <c r="I40" s="840">
        <v>3.5</v>
      </c>
      <c r="J40" s="840">
        <v>1.5</v>
      </c>
      <c r="K40" s="840">
        <v>3.5</v>
      </c>
      <c r="L40" s="843"/>
      <c r="M40" s="838"/>
      <c r="N40" s="363"/>
      <c r="O40" s="855"/>
      <c r="P40" s="868">
        <v>2050</v>
      </c>
      <c r="Q40" s="885">
        <f t="shared" si="5"/>
        <v>0.34056000000000003</v>
      </c>
      <c r="R40" s="869">
        <f t="shared" si="6"/>
        <v>0.95</v>
      </c>
      <c r="S40" s="885">
        <f t="shared" si="7"/>
        <v>0.35848421052631585</v>
      </c>
      <c r="T40" s="885">
        <f>S40*G33*$F$4</f>
        <v>5.3414147368421059</v>
      </c>
      <c r="U40" s="885">
        <f>S40*G39*$F$4</f>
        <v>0.16024244210526317</v>
      </c>
      <c r="V40" s="885">
        <f>S40*G40*$F$4/3.6</f>
        <v>1.8546578947368424</v>
      </c>
      <c r="W40" s="885">
        <f>G17/S40</f>
        <v>5.5790462767206943E-2</v>
      </c>
      <c r="X40" s="869">
        <f>VLOOKUP($P40,'Coal boiler'!$P$39:$AD$42,3,FALSE)</f>
        <v>0.91</v>
      </c>
      <c r="Y40" s="888">
        <f t="shared" si="8"/>
        <v>109.42741469057259</v>
      </c>
      <c r="Z40" s="787"/>
      <c r="AA40" s="787"/>
      <c r="AB40" s="856"/>
      <c r="AC40" s="55"/>
      <c r="AD40" s="55"/>
      <c r="AE40" s="55"/>
      <c r="AF40" s="55"/>
      <c r="AG40" s="55"/>
      <c r="AH40" s="55"/>
      <c r="AI40" s="55"/>
      <c r="AJ40" s="854"/>
    </row>
    <row r="41" spans="2:36" outlineLevel="1">
      <c r="B41" s="746" t="s">
        <v>1045</v>
      </c>
      <c r="C41" s="758">
        <v>25</v>
      </c>
      <c r="D41" s="758">
        <v>25</v>
      </c>
      <c r="E41" s="758">
        <v>25</v>
      </c>
      <c r="F41" s="758">
        <v>25</v>
      </c>
      <c r="G41" s="758">
        <v>25</v>
      </c>
      <c r="H41" s="758"/>
      <c r="I41" s="758"/>
      <c r="J41" s="758"/>
      <c r="K41" s="765"/>
      <c r="L41" s="257"/>
      <c r="M41" s="739"/>
      <c r="N41" s="363"/>
      <c r="O41" s="879" t="s">
        <v>1135</v>
      </c>
      <c r="P41" s="55"/>
      <c r="Q41" s="55"/>
      <c r="R41" s="55"/>
      <c r="S41" s="55"/>
      <c r="T41" s="55"/>
      <c r="U41" s="55"/>
      <c r="V41" s="55"/>
      <c r="W41" s="55"/>
      <c r="X41" s="55"/>
      <c r="Y41" s="55"/>
      <c r="Z41" s="55"/>
      <c r="AA41" s="55"/>
      <c r="AB41" s="55"/>
      <c r="AC41" s="55"/>
      <c r="AD41" s="55"/>
      <c r="AE41" s="55"/>
      <c r="AF41" s="55"/>
      <c r="AG41" s="55"/>
      <c r="AH41" s="55"/>
      <c r="AI41" s="55"/>
      <c r="AJ41" s="854"/>
    </row>
    <row r="42" spans="2:36" ht="14.5" customHeight="1" outlineLevel="1">
      <c r="B42" s="737" t="s">
        <v>1046</v>
      </c>
      <c r="C42" s="756"/>
      <c r="D42" s="756"/>
      <c r="E42" s="756"/>
      <c r="F42" s="756"/>
      <c r="G42" s="756"/>
      <c r="H42" s="756"/>
      <c r="I42" s="756"/>
      <c r="J42" s="756"/>
      <c r="K42" s="756"/>
      <c r="L42" s="756"/>
      <c r="M42" s="750"/>
      <c r="N42" s="363"/>
      <c r="O42" s="853"/>
      <c r="P42" s="55"/>
      <c r="Q42" s="55"/>
      <c r="R42" s="880" t="s">
        <v>427</v>
      </c>
      <c r="S42" s="880" t="s">
        <v>1106</v>
      </c>
      <c r="T42" s="880" t="s">
        <v>428</v>
      </c>
      <c r="U42" s="771" t="s">
        <v>1049</v>
      </c>
      <c r="V42" s="880" t="s">
        <v>335</v>
      </c>
      <c r="W42" s="880" t="s">
        <v>336</v>
      </c>
      <c r="X42" s="881" t="s">
        <v>1102</v>
      </c>
      <c r="Y42" s="769" t="s">
        <v>337</v>
      </c>
      <c r="Z42" s="769" t="s">
        <v>1052</v>
      </c>
      <c r="AA42" s="769" t="s">
        <v>339</v>
      </c>
      <c r="AB42" s="882" t="s">
        <v>340</v>
      </c>
      <c r="AC42" s="47" t="s">
        <v>341</v>
      </c>
      <c r="AD42" s="49" t="s">
        <v>342</v>
      </c>
      <c r="AE42" s="49" t="s">
        <v>343</v>
      </c>
      <c r="AF42" s="769" t="s">
        <v>344</v>
      </c>
      <c r="AG42" s="769" t="s">
        <v>1104</v>
      </c>
      <c r="AH42" s="770" t="s">
        <v>997</v>
      </c>
      <c r="AI42" s="769" t="s">
        <v>1050</v>
      </c>
      <c r="AJ42" s="871" t="s">
        <v>1051</v>
      </c>
    </row>
    <row r="43" spans="2:36" ht="65" outlineLevel="1" thickBot="1">
      <c r="B43" s="742" t="s">
        <v>1047</v>
      </c>
      <c r="C43" s="767">
        <v>0.1</v>
      </c>
      <c r="D43" s="767">
        <v>0.1</v>
      </c>
      <c r="E43" s="758">
        <v>8.5000000000000006E-2</v>
      </c>
      <c r="F43" s="758">
        <v>7.4999999999999997E-2</v>
      </c>
      <c r="G43" s="758">
        <v>7.4999999999999997E-2</v>
      </c>
      <c r="H43" s="758">
        <v>0.09</v>
      </c>
      <c r="I43" s="758">
        <v>0.11</v>
      </c>
      <c r="J43" s="758">
        <v>7.0000000000000007E-2</v>
      </c>
      <c r="K43" s="760">
        <v>0.09</v>
      </c>
      <c r="L43" s="758" t="s">
        <v>887</v>
      </c>
      <c r="M43" s="739"/>
      <c r="N43" s="367"/>
      <c r="O43" s="853"/>
      <c r="P43" s="55"/>
      <c r="Q43" s="55"/>
      <c r="R43" s="834" t="s">
        <v>1107</v>
      </c>
      <c r="S43" s="834" t="s">
        <v>1108</v>
      </c>
      <c r="T43" s="834" t="s">
        <v>1109</v>
      </c>
      <c r="U43" s="835" t="s">
        <v>1110</v>
      </c>
      <c r="V43" s="50"/>
      <c r="W43" s="50"/>
      <c r="X43" s="833" t="s">
        <v>1103</v>
      </c>
      <c r="Y43" s="51"/>
      <c r="Z43" s="51"/>
      <c r="AA43" s="51"/>
      <c r="AB43" s="52"/>
      <c r="AC43" s="50"/>
      <c r="AD43" s="50"/>
      <c r="AE43" s="50"/>
      <c r="AF43" s="50"/>
      <c r="AG43" s="833" t="s">
        <v>1105</v>
      </c>
      <c r="AH43" s="50"/>
      <c r="AI43" s="50"/>
      <c r="AJ43" s="872"/>
    </row>
    <row r="44" spans="2:36" ht="16" outlineLevel="1">
      <c r="B44" s="742" t="s">
        <v>1048</v>
      </c>
      <c r="C44" s="758">
        <v>0.16</v>
      </c>
      <c r="D44" s="758">
        <v>0.16</v>
      </c>
      <c r="E44" s="758">
        <v>0.14000000000000001</v>
      </c>
      <c r="F44" s="758">
        <v>0.13</v>
      </c>
      <c r="G44" s="758">
        <v>0.13</v>
      </c>
      <c r="H44" s="758">
        <v>0.14000000000000001</v>
      </c>
      <c r="I44" s="758">
        <v>0.18</v>
      </c>
      <c r="J44" s="758">
        <v>0.12</v>
      </c>
      <c r="K44" s="760">
        <v>0.15</v>
      </c>
      <c r="L44" s="758" t="s">
        <v>887</v>
      </c>
      <c r="M44" s="739"/>
      <c r="N44" s="363"/>
      <c r="O44" s="853"/>
      <c r="P44" s="55"/>
      <c r="Q44" s="55"/>
      <c r="R44" s="55" t="s">
        <v>617</v>
      </c>
      <c r="S44" s="55"/>
      <c r="T44" s="55" t="s">
        <v>1113</v>
      </c>
      <c r="U44" s="55" t="s">
        <v>1058</v>
      </c>
      <c r="V44" s="466">
        <v>2020</v>
      </c>
      <c r="W44" s="870">
        <v>2020</v>
      </c>
      <c r="X44" s="867"/>
      <c r="Y44" s="82">
        <f>VLOOKUP($V44,$P$38:$Y$40,9,FALSE)</f>
        <v>0.89</v>
      </c>
      <c r="Z44" s="867"/>
      <c r="AA44" s="870">
        <v>25</v>
      </c>
      <c r="AB44" s="58">
        <f>VLOOKUP($V44,$P$38:$Y$40,5,FALSE)</f>
        <v>9.3029640000000011</v>
      </c>
      <c r="AC44" s="58">
        <f>VLOOKUP($V44,$P$38:$Y$40,6,FALSE)</f>
        <v>0.27908891999999996</v>
      </c>
      <c r="AD44" s="58">
        <f>VLOOKUP($V44,$P$38:$Y$40,7,FALSE)</f>
        <v>1.9576944444444446</v>
      </c>
      <c r="AE44" s="58"/>
      <c r="AF44" s="58"/>
      <c r="AG44" s="867"/>
      <c r="AH44" s="867"/>
      <c r="AI44" s="867"/>
      <c r="AJ44" s="873"/>
    </row>
    <row r="45" spans="2:36" outlineLevel="1">
      <c r="B45" s="742"/>
      <c r="C45" s="758"/>
      <c r="D45" s="758"/>
      <c r="E45" s="758"/>
      <c r="F45" s="758"/>
      <c r="G45" s="758"/>
      <c r="H45" s="758"/>
      <c r="I45" s="758"/>
      <c r="J45" s="758"/>
      <c r="K45" s="765"/>
      <c r="L45" s="758"/>
      <c r="M45" s="739"/>
      <c r="N45" s="363"/>
      <c r="O45" s="853"/>
      <c r="P45" s="55"/>
      <c r="Q45" s="55"/>
      <c r="R45" s="55"/>
      <c r="S45" s="55" t="s">
        <v>499</v>
      </c>
      <c r="T45" s="55"/>
      <c r="U45" s="55" t="s">
        <v>1058</v>
      </c>
      <c r="V45" s="466">
        <v>2020</v>
      </c>
      <c r="W45" s="867"/>
      <c r="X45" s="82">
        <f>VLOOKUP($V45,$P$38:$Y$40,8,FALSE)</f>
        <v>7.9281183932346719E-2</v>
      </c>
      <c r="Y45" s="874"/>
      <c r="Z45" s="867"/>
      <c r="AA45" s="867"/>
      <c r="AB45" s="867"/>
      <c r="AC45" s="867"/>
      <c r="AD45" s="867"/>
      <c r="AE45" s="867"/>
      <c r="AF45" s="867"/>
      <c r="AG45" s="867"/>
      <c r="AH45" s="867"/>
      <c r="AI45" s="867"/>
      <c r="AJ45" s="873"/>
    </row>
    <row r="46" spans="2:36" outlineLevel="1">
      <c r="B46" s="738"/>
      <c r="C46" s="758"/>
      <c r="D46" s="758"/>
      <c r="E46" s="758"/>
      <c r="F46" s="758"/>
      <c r="G46" s="766"/>
      <c r="H46" s="758"/>
      <c r="I46" s="758"/>
      <c r="J46" s="758"/>
      <c r="K46" s="766"/>
      <c r="L46" s="758"/>
      <c r="M46" s="739"/>
      <c r="N46" s="363"/>
      <c r="O46" s="853"/>
      <c r="P46" s="55"/>
      <c r="Q46" s="55"/>
      <c r="R46" s="55"/>
      <c r="S46" s="55"/>
      <c r="T46" s="55"/>
      <c r="U46" s="55" t="s">
        <v>1112</v>
      </c>
      <c r="V46" s="466">
        <v>2020</v>
      </c>
      <c r="W46" s="867"/>
      <c r="X46" s="198"/>
      <c r="Y46" s="874"/>
      <c r="Z46" s="867"/>
      <c r="AA46" s="867"/>
      <c r="AB46" s="867"/>
      <c r="AC46" s="867"/>
      <c r="AD46" s="867"/>
      <c r="AE46" s="867"/>
      <c r="AF46" s="867"/>
      <c r="AG46" s="58">
        <f>VLOOKUP($V46,$P$38:$Y$40,10,FALSE)</f>
        <v>118.10237203495629</v>
      </c>
      <c r="AH46" s="867"/>
      <c r="AI46" s="867"/>
      <c r="AJ46" s="873"/>
    </row>
    <row r="47" spans="2:36" ht="64" outlineLevel="1">
      <c r="B47" s="461" t="s">
        <v>769</v>
      </c>
      <c r="C47" s="483">
        <f>C33*$F$4*1/C16*1000</f>
        <v>29513.805522208888</v>
      </c>
      <c r="D47" s="483">
        <f t="shared" ref="D47:G47" si="9">D33*$F$4*1/D16*1000</f>
        <v>26830.732292917168</v>
      </c>
      <c r="E47" s="483">
        <f t="shared" si="9"/>
        <v>27937.500000000004</v>
      </c>
      <c r="F47" s="483">
        <f t="shared" si="9"/>
        <v>27090.909090909085</v>
      </c>
      <c r="G47" s="483">
        <f t="shared" si="9"/>
        <v>22575.757575757576</v>
      </c>
      <c r="H47" s="484"/>
      <c r="I47" s="420" t="s">
        <v>332</v>
      </c>
      <c r="J47" s="420"/>
      <c r="K47" s="484"/>
      <c r="L47" s="484"/>
      <c r="N47" s="420"/>
      <c r="O47" s="853"/>
      <c r="P47" s="55"/>
      <c r="Q47" s="55"/>
      <c r="R47" s="55"/>
      <c r="S47" s="55"/>
      <c r="T47" s="55"/>
      <c r="U47" s="55" t="s">
        <v>1058</v>
      </c>
      <c r="V47" s="466">
        <v>2030</v>
      </c>
      <c r="W47" s="867"/>
      <c r="X47" s="198"/>
      <c r="Y47" s="82">
        <f>VLOOKUP($V47,$P$38:$Y$40,9,FALSE)</f>
        <v>0.89</v>
      </c>
      <c r="Z47" s="867"/>
      <c r="AA47" s="58">
        <v>25</v>
      </c>
      <c r="AB47" s="58">
        <f>VLOOKUP($V47,$P$38:$Y$40,5,FALSE)</f>
        <v>7.6115160000000008</v>
      </c>
      <c r="AC47" s="58">
        <f>VLOOKUP($V47,$P$38:$Y$40,6,FALSE)</f>
        <v>0.22834548000000002</v>
      </c>
      <c r="AD47" s="58">
        <f>VLOOKUP($V47,$P$38:$Y$40,7,FALSE)</f>
        <v>1.9576944444444446</v>
      </c>
      <c r="AE47" s="867"/>
      <c r="AF47" s="867"/>
      <c r="AG47" s="867"/>
      <c r="AH47" s="867"/>
      <c r="AI47" s="867"/>
      <c r="AJ47" s="873"/>
    </row>
    <row r="48" spans="2:36" ht="14.5" customHeight="1" outlineLevel="1">
      <c r="B48" s="485" t="s">
        <v>770</v>
      </c>
      <c r="C48" s="486">
        <f>C47*$I48</f>
        <v>14756902.761104444</v>
      </c>
      <c r="D48" s="486">
        <f>D47*$I48</f>
        <v>13415366.146458585</v>
      </c>
      <c r="E48" s="486">
        <f>E47*$I48</f>
        <v>13968750.000000002</v>
      </c>
      <c r="F48" s="486">
        <f>F47*$I48</f>
        <v>13545454.545454543</v>
      </c>
      <c r="G48" s="486"/>
      <c r="H48" s="484"/>
      <c r="I48" s="71">
        <v>500</v>
      </c>
      <c r="J48" s="420" t="s">
        <v>330</v>
      </c>
      <c r="K48" s="484"/>
      <c r="L48" s="484"/>
      <c r="N48" s="420"/>
      <c r="O48" s="853"/>
      <c r="P48" s="55"/>
      <c r="Q48" s="55"/>
      <c r="R48" s="55"/>
      <c r="S48" s="55" t="s">
        <v>499</v>
      </c>
      <c r="T48" s="55"/>
      <c r="U48" s="55" t="s">
        <v>1058</v>
      </c>
      <c r="V48" s="466">
        <v>2030</v>
      </c>
      <c r="W48" s="867"/>
      <c r="X48" s="82">
        <f>VLOOKUP($V48,$P$38:$Y$40,8,FALSE)</f>
        <v>6.6067653276955601E-2</v>
      </c>
      <c r="Y48" s="874"/>
      <c r="Z48" s="867"/>
      <c r="AA48" s="867"/>
      <c r="AB48" s="867"/>
      <c r="AC48" s="867"/>
      <c r="AD48" s="867"/>
      <c r="AE48" s="867"/>
      <c r="AF48" s="867"/>
      <c r="AG48" s="867"/>
      <c r="AH48" s="867"/>
      <c r="AI48" s="867"/>
      <c r="AJ48" s="873"/>
    </row>
    <row r="49" spans="2:36" ht="48" outlineLevel="1">
      <c r="B49" s="461" t="s">
        <v>1074</v>
      </c>
      <c r="C49" s="359">
        <f>C39*$F$4*1/C16*1000</f>
        <v>885.4141656662664</v>
      </c>
      <c r="D49" s="359">
        <f t="shared" ref="D49:G49" si="10">D39*$F$4*1/D16*1000</f>
        <v>804.92196878751497</v>
      </c>
      <c r="E49" s="359">
        <f t="shared" si="10"/>
        <v>838.12500000000011</v>
      </c>
      <c r="F49" s="359">
        <f t="shared" si="10"/>
        <v>812.72727272727263</v>
      </c>
      <c r="G49" s="359">
        <f t="shared" si="10"/>
        <v>677.27272727272725</v>
      </c>
      <c r="I49" s="420" t="s">
        <v>333</v>
      </c>
      <c r="J49" s="420"/>
      <c r="N49" s="420" t="s">
        <v>1137</v>
      </c>
      <c r="O49" s="853"/>
      <c r="P49" s="55"/>
      <c r="Q49" s="55"/>
      <c r="R49" s="55"/>
      <c r="S49" s="55"/>
      <c r="T49" s="55"/>
      <c r="U49" s="55" t="s">
        <v>1058</v>
      </c>
      <c r="V49" s="466">
        <v>2050</v>
      </c>
      <c r="W49" s="867"/>
      <c r="X49" s="198"/>
      <c r="Y49" s="82">
        <f>VLOOKUP($V49,$P$38:$Y$40,9,FALSE)</f>
        <v>0.91</v>
      </c>
      <c r="Z49" s="867"/>
      <c r="AA49" s="58">
        <v>25</v>
      </c>
      <c r="AB49" s="58">
        <f>VLOOKUP($V49,$P$38:$Y$40,5,FALSE)</f>
        <v>5.3414147368421059</v>
      </c>
      <c r="AC49" s="58">
        <f>VLOOKUP($V49,$P$38:$Y$40,6,FALSE)</f>
        <v>0.16024244210526317</v>
      </c>
      <c r="AD49" s="58">
        <f>VLOOKUP($V49,$P$38:$Y$40,7,FALSE)</f>
        <v>1.8546578947368424</v>
      </c>
      <c r="AE49" s="867"/>
      <c r="AF49" s="867"/>
      <c r="AG49" s="867"/>
      <c r="AH49" s="867"/>
      <c r="AI49" s="867"/>
      <c r="AJ49" s="873"/>
    </row>
    <row r="50" spans="2:36" ht="49" outlineLevel="1" thickBot="1">
      <c r="B50" s="461" t="s">
        <v>846</v>
      </c>
      <c r="C50" s="487">
        <f>C40*$F$4*1/C24/3.6</f>
        <v>6.2108176603974927</v>
      </c>
      <c r="D50" s="487">
        <f t="shared" ref="D50:G50" si="11">D40*$F$4*1/D24/3.6</f>
        <v>6.2108176603974927</v>
      </c>
      <c r="E50" s="487">
        <f t="shared" si="11"/>
        <v>7.1855709876543212</v>
      </c>
      <c r="F50" s="487">
        <f t="shared" si="11"/>
        <v>7.8388047138047137</v>
      </c>
      <c r="G50" s="487">
        <f t="shared" si="11"/>
        <v>7.8388047138047137</v>
      </c>
      <c r="M50" s="420"/>
      <c r="N50" s="420"/>
      <c r="O50" s="855"/>
      <c r="P50" s="787"/>
      <c r="Q50" s="787"/>
      <c r="R50" s="787"/>
      <c r="S50" s="787" t="s">
        <v>499</v>
      </c>
      <c r="T50" s="787"/>
      <c r="U50" s="787" t="s">
        <v>1058</v>
      </c>
      <c r="V50" s="875">
        <v>2050</v>
      </c>
      <c r="W50" s="869"/>
      <c r="X50" s="876">
        <f>VLOOKUP($V50,$P$38:$Y$40,8,FALSE)</f>
        <v>5.5790462767206943E-2</v>
      </c>
      <c r="Y50" s="877"/>
      <c r="Z50" s="869"/>
      <c r="AA50" s="869"/>
      <c r="AB50" s="869"/>
      <c r="AC50" s="869"/>
      <c r="AD50" s="869"/>
      <c r="AE50" s="869"/>
      <c r="AF50" s="869"/>
      <c r="AG50" s="869"/>
      <c r="AH50" s="869"/>
      <c r="AI50" s="869"/>
      <c r="AJ50" s="878"/>
    </row>
    <row r="51" spans="2:36" outlineLevel="1"/>
    <row r="52" spans="2:36" outlineLevel="1"/>
    <row r="53" spans="2:36" outlineLevel="1"/>
    <row r="54" spans="2:36" outlineLevel="1"/>
    <row r="55" spans="2:36" outlineLevel="1">
      <c r="E55" s="358"/>
      <c r="F55" s="358"/>
      <c r="G55" s="358"/>
      <c r="H55" s="358"/>
      <c r="I55" s="358"/>
      <c r="J55" s="358"/>
      <c r="K55" s="358"/>
      <c r="L55" s="358"/>
    </row>
    <row r="56" spans="2:36" outlineLevel="1">
      <c r="B56" s="797" t="s">
        <v>773</v>
      </c>
      <c r="C56" s="223"/>
      <c r="D56" s="798"/>
      <c r="E56" s="798"/>
      <c r="F56" s="798"/>
      <c r="G56" s="798"/>
      <c r="H56" s="798"/>
      <c r="I56" s="798"/>
      <c r="J56" s="798"/>
      <c r="K56" s="798"/>
      <c r="L56" s="799"/>
    </row>
    <row r="57" spans="2:36" outlineLevel="1">
      <c r="B57" s="223">
        <v>1</v>
      </c>
      <c r="C57" s="223"/>
      <c r="D57" s="223"/>
      <c r="E57" s="800"/>
      <c r="F57" s="223"/>
      <c r="G57" s="223"/>
      <c r="H57" s="223"/>
      <c r="I57" s="223"/>
      <c r="J57" s="223"/>
      <c r="K57" s="223"/>
      <c r="L57" s="223"/>
    </row>
    <row r="58" spans="2:36" outlineLevel="1">
      <c r="B58" s="223">
        <v>2</v>
      </c>
      <c r="C58" s="223"/>
      <c r="D58" s="223"/>
      <c r="E58" s="800"/>
      <c r="F58" s="223"/>
      <c r="G58" s="223"/>
      <c r="H58" s="223"/>
      <c r="I58" s="223"/>
      <c r="J58" s="223"/>
      <c r="K58" s="223"/>
      <c r="L58" s="223"/>
    </row>
    <row r="59" spans="2:36" outlineLevel="1">
      <c r="B59" s="223">
        <v>3</v>
      </c>
      <c r="C59" s="223"/>
      <c r="D59" s="223"/>
      <c r="E59" s="800"/>
      <c r="F59" s="223"/>
      <c r="G59" s="223"/>
      <c r="H59" s="223"/>
      <c r="I59" s="223"/>
      <c r="J59" s="223"/>
      <c r="K59" s="223"/>
      <c r="L59" s="223"/>
    </row>
    <row r="60" spans="2:36" outlineLevel="1">
      <c r="B60" s="223"/>
      <c r="C60" s="223"/>
      <c r="D60" s="223"/>
      <c r="E60" s="223"/>
      <c r="F60" s="223"/>
      <c r="G60" s="223"/>
      <c r="H60" s="223"/>
      <c r="I60" s="223"/>
      <c r="J60" s="223"/>
      <c r="K60" s="223"/>
      <c r="L60" s="223"/>
    </row>
    <row r="61" spans="2:36" outlineLevel="1">
      <c r="B61" s="223"/>
      <c r="C61" s="223"/>
      <c r="D61" s="223"/>
      <c r="E61" s="223"/>
      <c r="F61" s="223"/>
      <c r="G61" s="223"/>
      <c r="H61" s="223"/>
      <c r="I61" s="223"/>
      <c r="J61" s="223"/>
      <c r="K61" s="223"/>
      <c r="L61" s="223"/>
    </row>
    <row r="62" spans="2:36" outlineLevel="1">
      <c r="B62" s="801" t="s">
        <v>783</v>
      </c>
      <c r="C62" s="223"/>
      <c r="D62" s="223"/>
      <c r="E62" s="223"/>
      <c r="F62" s="223"/>
      <c r="G62" s="223"/>
      <c r="H62" s="223"/>
      <c r="I62" s="223"/>
      <c r="J62" s="223"/>
      <c r="K62" s="223"/>
      <c r="L62" s="223"/>
    </row>
    <row r="63" spans="2:36" outlineLevel="1">
      <c r="B63" s="802" t="s">
        <v>6</v>
      </c>
      <c r="C63" s="223" t="s">
        <v>1059</v>
      </c>
      <c r="D63" s="223"/>
      <c r="E63" s="223"/>
      <c r="F63" s="223"/>
      <c r="G63" s="223"/>
      <c r="H63" s="223"/>
      <c r="I63" s="223"/>
      <c r="J63" s="223"/>
      <c r="K63" s="223"/>
      <c r="L63" s="223"/>
    </row>
    <row r="64" spans="2:36" outlineLevel="1">
      <c r="B64" s="802" t="s">
        <v>59</v>
      </c>
      <c r="C64" s="223" t="s">
        <v>1060</v>
      </c>
      <c r="D64" s="223"/>
      <c r="E64" s="223"/>
      <c r="F64" s="223"/>
      <c r="G64" s="223"/>
      <c r="H64" s="223"/>
      <c r="I64" s="223"/>
      <c r="J64" s="223"/>
      <c r="K64" s="223"/>
      <c r="L64" s="223"/>
    </row>
    <row r="65" spans="2:12" outlineLevel="1">
      <c r="B65" s="802" t="s">
        <v>16</v>
      </c>
      <c r="C65" s="223" t="s">
        <v>1061</v>
      </c>
      <c r="D65" s="223"/>
      <c r="E65" s="223"/>
      <c r="F65" s="223"/>
      <c r="G65" s="223"/>
      <c r="H65" s="223"/>
      <c r="I65" s="223"/>
      <c r="J65" s="223"/>
      <c r="K65" s="223"/>
      <c r="L65" s="223"/>
    </row>
    <row r="66" spans="2:12" outlineLevel="1">
      <c r="B66" s="802" t="s">
        <v>20</v>
      </c>
      <c r="C66" s="223" t="s">
        <v>1062</v>
      </c>
      <c r="D66" s="223"/>
      <c r="E66" s="223"/>
      <c r="F66" s="223"/>
      <c r="G66" s="223"/>
      <c r="H66" s="223"/>
      <c r="I66" s="223"/>
      <c r="J66" s="223"/>
      <c r="K66" s="223"/>
      <c r="L66" s="223"/>
    </row>
    <row r="67" spans="2:12" outlineLevel="1">
      <c r="B67" s="802" t="s">
        <v>76</v>
      </c>
      <c r="C67" s="223" t="s">
        <v>1063</v>
      </c>
      <c r="D67" s="223"/>
      <c r="E67" s="223"/>
      <c r="F67" s="223"/>
      <c r="G67" s="223"/>
      <c r="H67" s="223"/>
      <c r="I67" s="223"/>
      <c r="J67" s="223"/>
      <c r="K67" s="223"/>
      <c r="L67" s="223"/>
    </row>
    <row r="68" spans="2:12" outlineLevel="1">
      <c r="B68" s="802" t="s">
        <v>25</v>
      </c>
      <c r="C68" s="223" t="s">
        <v>1064</v>
      </c>
      <c r="D68" s="223"/>
      <c r="E68" s="223"/>
      <c r="F68" s="223"/>
      <c r="G68" s="223"/>
      <c r="H68" s="223"/>
      <c r="I68" s="223"/>
      <c r="J68" s="223"/>
      <c r="K68" s="223"/>
      <c r="L68" s="223"/>
    </row>
    <row r="69" spans="2:12" outlineLevel="1">
      <c r="B69" s="802" t="s">
        <v>33</v>
      </c>
      <c r="C69" s="223" t="s">
        <v>1065</v>
      </c>
      <c r="D69" s="223"/>
      <c r="E69" s="223"/>
      <c r="F69" s="223"/>
      <c r="G69" s="223"/>
      <c r="H69" s="223"/>
      <c r="I69" s="223"/>
      <c r="J69" s="223"/>
      <c r="K69" s="223"/>
      <c r="L69" s="223"/>
    </row>
    <row r="70" spans="2:12" outlineLevel="1">
      <c r="B70" s="802" t="s">
        <v>51</v>
      </c>
      <c r="C70" s="223" t="s">
        <v>1066</v>
      </c>
      <c r="D70" s="223"/>
      <c r="E70" s="223"/>
      <c r="F70" s="223"/>
      <c r="G70" s="223"/>
      <c r="H70" s="223"/>
      <c r="I70" s="223"/>
      <c r="J70" s="223"/>
      <c r="K70" s="223"/>
      <c r="L70" s="223"/>
    </row>
    <row r="71" spans="2:12" outlineLevel="1">
      <c r="B71" s="802" t="s">
        <v>52</v>
      </c>
      <c r="C71" s="223" t="s">
        <v>1067</v>
      </c>
      <c r="D71" s="223"/>
      <c r="E71" s="223"/>
      <c r="F71" s="223"/>
      <c r="G71" s="223"/>
      <c r="H71" s="223"/>
      <c r="I71" s="223"/>
      <c r="J71" s="223"/>
      <c r="K71" s="223"/>
      <c r="L71" s="223"/>
    </row>
    <row r="72" spans="2:12" outlineLevel="1">
      <c r="B72" s="802" t="s">
        <v>55</v>
      </c>
      <c r="C72" s="223" t="s">
        <v>1068</v>
      </c>
      <c r="D72" s="223"/>
      <c r="E72" s="223"/>
      <c r="F72" s="223"/>
      <c r="G72" s="223"/>
      <c r="H72" s="223"/>
      <c r="I72" s="223"/>
      <c r="J72" s="223"/>
      <c r="K72" s="223"/>
      <c r="L72" s="223"/>
    </row>
    <row r="73" spans="2:12" outlineLevel="1">
      <c r="B73" s="802" t="s">
        <v>49</v>
      </c>
      <c r="C73" s="223" t="s">
        <v>1069</v>
      </c>
      <c r="D73" s="223"/>
      <c r="E73" s="223"/>
      <c r="F73" s="223"/>
      <c r="G73" s="223"/>
      <c r="H73" s="223"/>
      <c r="I73" s="223"/>
      <c r="J73" s="223"/>
      <c r="K73" s="223"/>
      <c r="L73" s="223"/>
    </row>
    <row r="74" spans="2:12" outlineLevel="1">
      <c r="B74" s="802" t="s">
        <v>374</v>
      </c>
      <c r="C74" s="223" t="s">
        <v>1070</v>
      </c>
      <c r="D74" s="223"/>
      <c r="E74" s="223"/>
      <c r="F74" s="223"/>
      <c r="G74" s="223"/>
      <c r="H74" s="223"/>
      <c r="I74" s="223"/>
      <c r="J74" s="223"/>
      <c r="K74" s="223"/>
      <c r="L74" s="223"/>
    </row>
    <row r="75" spans="2:12" outlineLevel="1">
      <c r="B75" s="802" t="s">
        <v>886</v>
      </c>
      <c r="C75" s="223" t="s">
        <v>1071</v>
      </c>
      <c r="D75" s="223"/>
      <c r="E75" s="223"/>
      <c r="F75" s="223"/>
      <c r="G75" s="223"/>
      <c r="H75" s="223"/>
      <c r="I75" s="223"/>
      <c r="J75" s="223"/>
      <c r="K75" s="223"/>
      <c r="L75" s="223"/>
    </row>
    <row r="76" spans="2:12" outlineLevel="1">
      <c r="B76" s="802" t="s">
        <v>887</v>
      </c>
      <c r="C76" s="223" t="s">
        <v>1072</v>
      </c>
      <c r="D76" s="223"/>
      <c r="E76" s="223"/>
      <c r="F76" s="223"/>
      <c r="G76" s="223"/>
      <c r="H76" s="223"/>
      <c r="I76" s="223"/>
      <c r="J76" s="223"/>
      <c r="K76" s="223"/>
      <c r="L76" s="223"/>
    </row>
    <row r="77" spans="2:12" outlineLevel="1">
      <c r="B77" s="496"/>
      <c r="C77" s="498"/>
      <c r="G77" s="358"/>
      <c r="H77" s="358"/>
      <c r="I77" s="358"/>
      <c r="J77" s="358"/>
      <c r="K77" s="358"/>
      <c r="L77" s="358"/>
    </row>
    <row r="78" spans="2:12" outlineLevel="1">
      <c r="B78" s="496"/>
      <c r="C78" s="489"/>
      <c r="G78" s="358"/>
      <c r="H78" s="358"/>
      <c r="I78" s="358"/>
      <c r="J78" s="358"/>
      <c r="K78" s="358"/>
      <c r="L78" s="358"/>
    </row>
    <row r="79" spans="2:12" outlineLevel="1">
      <c r="E79" s="490"/>
      <c r="F79" s="490"/>
    </row>
    <row r="80" spans="2:12" outlineLevel="1"/>
    <row r="81" spans="1:21" outlineLevel="1">
      <c r="B81" s="496"/>
      <c r="C81" s="489"/>
      <c r="D81" s="489"/>
    </row>
    <row r="82" spans="1:21" outlineLevel="1">
      <c r="B82" s="638" t="str">
        <f>C87</f>
        <v>Post-combustion carbon capture retrofit - 500 MW(th) biomass-fired boiler</v>
      </c>
    </row>
    <row r="85" spans="1:21" ht="15" customHeight="1">
      <c r="A85" s="360" t="s">
        <v>1017</v>
      </c>
      <c r="B85" s="1134"/>
      <c r="C85" s="1135"/>
      <c r="D85" s="1135"/>
      <c r="E85" s="1135"/>
      <c r="F85" s="1135"/>
      <c r="G85" s="1135"/>
      <c r="H85" s="1135"/>
      <c r="I85" s="1135"/>
      <c r="J85" s="1135"/>
      <c r="K85" s="1135"/>
      <c r="L85" s="1135"/>
      <c r="M85" s="1135"/>
      <c r="N85" s="693"/>
    </row>
    <row r="86" spans="1:21" ht="15.75" customHeight="1" outlineLevel="1">
      <c r="B86" s="1134"/>
      <c r="C86" s="1135"/>
      <c r="D86" s="1135"/>
      <c r="E86" s="1135"/>
      <c r="F86" s="1135"/>
      <c r="G86" s="1135"/>
      <c r="H86" s="1135"/>
      <c r="I86" s="1135"/>
      <c r="J86" s="1135"/>
      <c r="K86" s="1135"/>
      <c r="L86" s="1135"/>
      <c r="M86" s="1135"/>
      <c r="N86" s="693"/>
    </row>
    <row r="87" spans="1:21" ht="20.25" customHeight="1" outlineLevel="1">
      <c r="B87" s="733" t="s">
        <v>0</v>
      </c>
      <c r="C87" s="1136" t="s">
        <v>1075</v>
      </c>
      <c r="D87" s="1137"/>
      <c r="E87" s="1137"/>
      <c r="F87" s="1137"/>
      <c r="G87" s="1137"/>
      <c r="H87" s="1137"/>
      <c r="I87" s="1137"/>
      <c r="J87" s="1137"/>
      <c r="K87" s="1137"/>
      <c r="L87" s="1137"/>
      <c r="M87" s="1138"/>
      <c r="N87" s="363"/>
    </row>
    <row r="88" spans="1:21" ht="15" customHeight="1" outlineLevel="1">
      <c r="B88" s="734"/>
      <c r="C88" s="751">
        <v>2020</v>
      </c>
      <c r="D88" s="751">
        <v>2025</v>
      </c>
      <c r="E88" s="752">
        <v>2030</v>
      </c>
      <c r="F88" s="752">
        <v>2040</v>
      </c>
      <c r="G88" s="753">
        <v>2050</v>
      </c>
      <c r="H88" s="1139" t="s">
        <v>1019</v>
      </c>
      <c r="I88" s="1140"/>
      <c r="J88" s="1139" t="s">
        <v>648</v>
      </c>
      <c r="K88" s="1140"/>
      <c r="L88" s="752" t="s">
        <v>2</v>
      </c>
      <c r="M88" s="735" t="s">
        <v>3</v>
      </c>
      <c r="N88" s="367"/>
      <c r="P88" s="1135"/>
      <c r="Q88" s="1135"/>
      <c r="R88" s="1135"/>
      <c r="S88" s="1135"/>
      <c r="T88" s="1135"/>
      <c r="U88" s="1135"/>
    </row>
    <row r="89" spans="1:21" ht="16" outlineLevel="1">
      <c r="B89" s="734"/>
      <c r="C89" s="754"/>
      <c r="D89" s="755"/>
      <c r="E89" s="756"/>
      <c r="F89" s="756"/>
      <c r="G89" s="756"/>
      <c r="H89" s="757" t="s">
        <v>649</v>
      </c>
      <c r="I89" s="757" t="s">
        <v>650</v>
      </c>
      <c r="J89" s="757" t="s">
        <v>649</v>
      </c>
      <c r="K89" s="757" t="s">
        <v>650</v>
      </c>
      <c r="L89" s="756"/>
      <c r="M89" s="736"/>
      <c r="N89" s="370"/>
    </row>
    <row r="90" spans="1:21" outlineLevel="1">
      <c r="B90" s="737" t="s">
        <v>4</v>
      </c>
      <c r="C90" s="756"/>
      <c r="D90" s="756"/>
      <c r="E90" s="756"/>
      <c r="F90" s="756"/>
      <c r="G90" s="756"/>
      <c r="H90" s="756"/>
      <c r="I90" s="756"/>
      <c r="J90" s="756"/>
      <c r="K90" s="756"/>
      <c r="L90" s="756"/>
      <c r="M90" s="736"/>
      <c r="N90" s="370"/>
    </row>
    <row r="91" spans="1:21" ht="24.5" customHeight="1" outlineLevel="1">
      <c r="B91" s="738" t="s">
        <v>1078</v>
      </c>
      <c r="C91" s="758">
        <v>164</v>
      </c>
      <c r="D91" s="758">
        <v>164</v>
      </c>
      <c r="E91" s="758">
        <v>164</v>
      </c>
      <c r="F91" s="758">
        <v>173</v>
      </c>
      <c r="G91" s="758">
        <v>173</v>
      </c>
      <c r="H91" s="758">
        <v>155</v>
      </c>
      <c r="I91" s="758">
        <v>173</v>
      </c>
      <c r="J91" s="758">
        <v>167</v>
      </c>
      <c r="K91" s="758">
        <v>180</v>
      </c>
      <c r="L91" s="758"/>
      <c r="M91" s="739"/>
      <c r="N91" s="370"/>
    </row>
    <row r="92" spans="1:21" ht="32.5" customHeight="1" outlineLevel="1">
      <c r="B92" s="740" t="s">
        <v>1021</v>
      </c>
      <c r="C92" s="759"/>
      <c r="D92" s="759"/>
      <c r="E92" s="759"/>
      <c r="F92" s="759"/>
      <c r="G92" s="759"/>
      <c r="H92" s="759"/>
      <c r="I92" s="759"/>
      <c r="J92" s="759"/>
      <c r="K92" s="759"/>
      <c r="L92" s="759"/>
      <c r="M92" s="741"/>
      <c r="N92" s="370"/>
    </row>
    <row r="93" spans="1:21" ht="14.5" customHeight="1" outlineLevel="1">
      <c r="B93" s="738" t="s">
        <v>1022</v>
      </c>
      <c r="C93" s="758">
        <v>5.0999999999999996</v>
      </c>
      <c r="D93" s="758">
        <v>5.0999999999999996</v>
      </c>
      <c r="E93" s="758">
        <v>5.0999999999999996</v>
      </c>
      <c r="F93" s="758">
        <v>4.8</v>
      </c>
      <c r="G93" s="758">
        <v>4.8</v>
      </c>
      <c r="H93" s="758">
        <v>5.4</v>
      </c>
      <c r="I93" s="758">
        <v>4.8</v>
      </c>
      <c r="J93" s="758">
        <v>5</v>
      </c>
      <c r="K93" s="758">
        <v>4.7</v>
      </c>
      <c r="L93" s="758"/>
      <c r="M93" s="739"/>
      <c r="N93" s="370"/>
    </row>
    <row r="94" spans="1:21" ht="15" customHeight="1" outlineLevel="1">
      <c r="B94" s="742" t="s">
        <v>1079</v>
      </c>
      <c r="C94" s="760">
        <v>17</v>
      </c>
      <c r="D94" s="760">
        <v>17</v>
      </c>
      <c r="E94" s="760">
        <v>17</v>
      </c>
      <c r="F94" s="760">
        <v>17</v>
      </c>
      <c r="G94" s="760">
        <v>17</v>
      </c>
      <c r="H94" s="760">
        <v>15</v>
      </c>
      <c r="I94" s="760">
        <v>17</v>
      </c>
      <c r="J94" s="760">
        <v>15</v>
      </c>
      <c r="K94" s="760">
        <v>17</v>
      </c>
      <c r="L94" s="760"/>
      <c r="M94" s="743"/>
      <c r="N94" s="370"/>
      <c r="P94" s="224">
        <f>C91*C96</f>
        <v>136.61199999999999</v>
      </c>
    </row>
    <row r="95" spans="1:21" ht="14.5" customHeight="1" outlineLevel="1">
      <c r="B95" s="742" t="s">
        <v>1080</v>
      </c>
      <c r="C95" s="758">
        <v>35</v>
      </c>
      <c r="D95" s="758">
        <v>35</v>
      </c>
      <c r="E95" s="758">
        <v>35</v>
      </c>
      <c r="F95" s="758">
        <v>35</v>
      </c>
      <c r="G95" s="758">
        <v>35</v>
      </c>
      <c r="H95" s="758">
        <v>30</v>
      </c>
      <c r="I95" s="758">
        <v>40</v>
      </c>
      <c r="J95" s="758">
        <v>30</v>
      </c>
      <c r="K95" s="758">
        <v>40</v>
      </c>
      <c r="L95" s="758" t="s">
        <v>59</v>
      </c>
      <c r="M95" s="739"/>
      <c r="N95" s="367"/>
    </row>
    <row r="96" spans="1:21" ht="16" outlineLevel="1">
      <c r="B96" s="804" t="s">
        <v>1025</v>
      </c>
      <c r="C96" s="805">
        <v>0.83299999999999996</v>
      </c>
      <c r="D96" s="805">
        <v>0.83299999999999996</v>
      </c>
      <c r="E96" s="805">
        <v>0.72</v>
      </c>
      <c r="F96" s="805">
        <v>0.66</v>
      </c>
      <c r="G96" s="805">
        <v>0.66</v>
      </c>
      <c r="H96" s="806">
        <v>0.66</v>
      </c>
      <c r="I96" s="806">
        <v>1</v>
      </c>
      <c r="J96" s="806">
        <v>0.55000000000000004</v>
      </c>
      <c r="K96" s="806">
        <v>0.72</v>
      </c>
      <c r="L96" s="806" t="s">
        <v>16</v>
      </c>
      <c r="M96" s="745"/>
      <c r="N96" s="363"/>
    </row>
    <row r="97" spans="1:20" ht="16" outlineLevel="1">
      <c r="B97" s="807" t="s">
        <v>1026</v>
      </c>
      <c r="C97" s="808">
        <v>0.03</v>
      </c>
      <c r="D97" s="808">
        <v>0.03</v>
      </c>
      <c r="E97" s="808">
        <v>2.5000000000000001E-2</v>
      </c>
      <c r="F97" s="808">
        <v>2.3E-2</v>
      </c>
      <c r="G97" s="808">
        <v>0.02</v>
      </c>
      <c r="H97" s="808">
        <v>2.5000000000000001E-2</v>
      </c>
      <c r="I97" s="808">
        <v>3.5000000000000003E-2</v>
      </c>
      <c r="J97" s="808">
        <v>1.7000000000000001E-2</v>
      </c>
      <c r="K97" s="808">
        <v>2.5000000000000001E-2</v>
      </c>
      <c r="L97" s="808" t="s">
        <v>20</v>
      </c>
      <c r="M97" s="743"/>
      <c r="N97" s="363"/>
      <c r="P97" s="224">
        <f>57/P98</f>
        <v>0.17093159999999996</v>
      </c>
    </row>
    <row r="98" spans="1:20" outlineLevel="1">
      <c r="B98" s="744" t="s">
        <v>1027</v>
      </c>
      <c r="C98" s="761">
        <v>0.3</v>
      </c>
      <c r="D98" s="761">
        <v>0.3</v>
      </c>
      <c r="E98" s="761">
        <v>0.2</v>
      </c>
      <c r="F98" s="761">
        <v>0.15</v>
      </c>
      <c r="G98" s="761">
        <v>0.1</v>
      </c>
      <c r="H98" s="761">
        <v>0.15</v>
      </c>
      <c r="I98" s="761">
        <v>1.5</v>
      </c>
      <c r="J98" s="761">
        <v>0.05</v>
      </c>
      <c r="K98" s="761">
        <v>0.3</v>
      </c>
      <c r="L98" s="761"/>
      <c r="M98" s="745"/>
      <c r="N98" s="363"/>
      <c r="O98" s="224" t="s">
        <v>1073</v>
      </c>
      <c r="P98" s="224">
        <f>P99*1/3.6*1000000/1000</f>
        <v>333.46672002134193</v>
      </c>
      <c r="Q98" s="224">
        <f t="shared" ref="Q98" si="12">Q99*1/3.6*1000000/1000</f>
        <v>333.46672002134193</v>
      </c>
      <c r="R98" s="224">
        <f t="shared" ref="R98" si="13">R99*1/3.6*1000000/1000</f>
        <v>385.80246913580248</v>
      </c>
      <c r="S98" s="224">
        <f t="shared" ref="S98" si="14">S99*1/3.6*1000000/1000</f>
        <v>420.87542087542084</v>
      </c>
      <c r="T98" s="224">
        <f t="shared" ref="T98" si="15">T99*1/3.6*1000000/1000</f>
        <v>420.87542087542084</v>
      </c>
    </row>
    <row r="99" spans="1:20" outlineLevel="1">
      <c r="B99" s="738" t="s">
        <v>1081</v>
      </c>
      <c r="C99" s="762"/>
      <c r="D99" s="758"/>
      <c r="E99" s="758"/>
      <c r="F99" s="758"/>
      <c r="G99" s="758"/>
      <c r="H99" s="758"/>
      <c r="I99" s="758"/>
      <c r="J99" s="758"/>
      <c r="K99" s="758"/>
      <c r="L99" s="758"/>
      <c r="M99" s="739"/>
      <c r="N99" s="363"/>
      <c r="O99" s="803"/>
      <c r="P99" s="224">
        <f>1/C96</f>
        <v>1.2004801920768309</v>
      </c>
      <c r="Q99" s="224">
        <f t="shared" ref="Q99" si="16">1/D96</f>
        <v>1.2004801920768309</v>
      </c>
      <c r="R99" s="224">
        <f t="shared" ref="R99" si="17">1/E96</f>
        <v>1.3888888888888888</v>
      </c>
      <c r="S99" s="224">
        <f t="shared" ref="S99" si="18">1/F96</f>
        <v>1.5151515151515151</v>
      </c>
      <c r="T99" s="224">
        <f t="shared" ref="T99" si="19">1/G96</f>
        <v>1.5151515151515151</v>
      </c>
    </row>
    <row r="100" spans="1:20" outlineLevel="1">
      <c r="B100" s="740" t="s">
        <v>1029</v>
      </c>
      <c r="C100" s="759"/>
      <c r="D100" s="759"/>
      <c r="E100" s="759"/>
      <c r="F100" s="759"/>
      <c r="G100" s="759"/>
      <c r="H100" s="759"/>
      <c r="I100" s="759"/>
      <c r="J100" s="759"/>
      <c r="K100" s="759"/>
      <c r="L100" s="759"/>
      <c r="M100" s="741"/>
      <c r="N100" s="363"/>
    </row>
    <row r="101" spans="1:20" ht="16" outlineLevel="1">
      <c r="B101" s="746" t="s">
        <v>1076</v>
      </c>
      <c r="C101" s="758">
        <v>97</v>
      </c>
      <c r="D101" s="758">
        <v>97</v>
      </c>
      <c r="E101" s="758">
        <v>98</v>
      </c>
      <c r="F101" s="758">
        <v>99</v>
      </c>
      <c r="G101" s="758">
        <v>99</v>
      </c>
      <c r="H101" s="758">
        <v>96</v>
      </c>
      <c r="I101" s="758">
        <v>98</v>
      </c>
      <c r="J101" s="758">
        <v>98</v>
      </c>
      <c r="K101" s="758">
        <v>99</v>
      </c>
      <c r="L101" s="758" t="s">
        <v>76</v>
      </c>
      <c r="M101" s="739"/>
      <c r="N101" s="363"/>
    </row>
    <row r="102" spans="1:20" ht="16" outlineLevel="1">
      <c r="B102" s="746" t="s">
        <v>1077</v>
      </c>
      <c r="C102" s="758">
        <v>160</v>
      </c>
      <c r="D102" s="758">
        <v>160</v>
      </c>
      <c r="E102" s="758">
        <v>300</v>
      </c>
      <c r="F102" s="758">
        <v>400</v>
      </c>
      <c r="G102" s="758">
        <v>400</v>
      </c>
      <c r="H102" s="758">
        <v>120</v>
      </c>
      <c r="I102" s="758">
        <v>300</v>
      </c>
      <c r="J102" s="758">
        <v>300</v>
      </c>
      <c r="K102" s="758">
        <v>600</v>
      </c>
      <c r="L102" s="758" t="s">
        <v>25</v>
      </c>
      <c r="M102" s="739"/>
      <c r="N102" s="420"/>
      <c r="P102" s="224">
        <f>P103/P99</f>
        <v>0.17093159999999999</v>
      </c>
    </row>
    <row r="103" spans="1:20" ht="38.25" customHeight="1" outlineLevel="1">
      <c r="B103" s="738" t="s">
        <v>1082</v>
      </c>
      <c r="C103" s="758">
        <v>90</v>
      </c>
      <c r="D103" s="758">
        <v>90</v>
      </c>
      <c r="E103" s="758">
        <v>90</v>
      </c>
      <c r="F103" s="758">
        <v>95</v>
      </c>
      <c r="G103" s="758">
        <v>95</v>
      </c>
      <c r="H103" s="758">
        <v>85</v>
      </c>
      <c r="I103" s="758">
        <v>95</v>
      </c>
      <c r="J103" s="758">
        <v>92</v>
      </c>
      <c r="K103" s="758">
        <v>99</v>
      </c>
      <c r="L103" s="758"/>
      <c r="M103" s="739"/>
      <c r="N103" s="428"/>
      <c r="P103" s="224">
        <f>57/1*3.6/1000000*1000</f>
        <v>0.20520000000000002</v>
      </c>
    </row>
    <row r="104" spans="1:20" outlineLevel="1">
      <c r="B104" s="738" t="s">
        <v>1033</v>
      </c>
      <c r="C104" s="758">
        <v>0.83299999999999996</v>
      </c>
      <c r="D104" s="758">
        <v>0.83299999999999996</v>
      </c>
      <c r="E104" s="758">
        <v>0.72</v>
      </c>
      <c r="F104" s="758">
        <v>0.66</v>
      </c>
      <c r="G104" s="758">
        <v>0.66</v>
      </c>
      <c r="H104" s="761">
        <v>0.66</v>
      </c>
      <c r="I104" s="761">
        <v>1</v>
      </c>
      <c r="J104" s="761">
        <v>0.55000000000000004</v>
      </c>
      <c r="K104" s="761">
        <v>0.72</v>
      </c>
      <c r="L104" s="758"/>
      <c r="M104" s="739"/>
      <c r="N104" s="428"/>
      <c r="P104" s="224">
        <f>333.5/1*3.6/1000000*1000</f>
        <v>1.2006000000000003</v>
      </c>
    </row>
    <row r="105" spans="1:20" ht="16" outlineLevel="1">
      <c r="B105" s="742" t="s">
        <v>1083</v>
      </c>
      <c r="C105" s="758">
        <v>60</v>
      </c>
      <c r="D105" s="758">
        <v>60</v>
      </c>
      <c r="E105" s="758">
        <v>60</v>
      </c>
      <c r="F105" s="758">
        <v>70</v>
      </c>
      <c r="G105" s="758">
        <v>70</v>
      </c>
      <c r="H105" s="758">
        <v>50</v>
      </c>
      <c r="I105" s="758">
        <v>80</v>
      </c>
      <c r="J105" s="758">
        <v>50</v>
      </c>
      <c r="K105" s="758">
        <v>120</v>
      </c>
      <c r="L105" s="758" t="s">
        <v>51</v>
      </c>
      <c r="M105" s="739"/>
      <c r="N105" s="428"/>
    </row>
    <row r="106" spans="1:20" outlineLevel="1">
      <c r="B106" s="747" t="s">
        <v>1035</v>
      </c>
      <c r="C106" s="761"/>
      <c r="D106" s="761"/>
      <c r="E106" s="761"/>
      <c r="F106" s="761"/>
      <c r="G106" s="761"/>
      <c r="H106" s="761"/>
      <c r="I106" s="761"/>
      <c r="J106" s="761"/>
      <c r="K106" s="761"/>
      <c r="L106" s="761"/>
      <c r="M106" s="745"/>
      <c r="N106" s="428"/>
    </row>
    <row r="107" spans="1:20" outlineLevel="1">
      <c r="B107" s="740" t="s">
        <v>1036</v>
      </c>
      <c r="C107" s="761"/>
      <c r="D107" s="761"/>
      <c r="E107" s="761"/>
      <c r="F107" s="761"/>
      <c r="G107" s="761"/>
      <c r="H107" s="761"/>
      <c r="I107" s="761"/>
      <c r="J107" s="761"/>
      <c r="K107" s="761"/>
      <c r="L107" s="761"/>
      <c r="M107" s="745"/>
      <c r="N107" s="428"/>
    </row>
    <row r="108" spans="1:20" outlineLevel="1">
      <c r="B108" s="738" t="s">
        <v>657</v>
      </c>
      <c r="C108" s="758">
        <v>5</v>
      </c>
      <c r="D108" s="758">
        <v>5</v>
      </c>
      <c r="E108" s="758">
        <v>3</v>
      </c>
      <c r="F108" s="758">
        <v>3</v>
      </c>
      <c r="G108" s="758">
        <v>3</v>
      </c>
      <c r="H108" s="758">
        <v>3</v>
      </c>
      <c r="I108" s="758">
        <v>3</v>
      </c>
      <c r="J108" s="758">
        <v>3</v>
      </c>
      <c r="K108" s="758">
        <v>3</v>
      </c>
      <c r="L108" s="758"/>
      <c r="M108" s="739"/>
      <c r="N108" s="428"/>
    </row>
    <row r="109" spans="1:20" ht="52" customHeight="1" outlineLevel="1">
      <c r="A109" s="435"/>
      <c r="B109" s="738" t="s">
        <v>658</v>
      </c>
      <c r="C109" s="758">
        <v>3</v>
      </c>
      <c r="D109" s="758">
        <v>3</v>
      </c>
      <c r="E109" s="758">
        <v>3</v>
      </c>
      <c r="F109" s="758">
        <v>2</v>
      </c>
      <c r="G109" s="758">
        <v>2</v>
      </c>
      <c r="H109" s="758">
        <v>2</v>
      </c>
      <c r="I109" s="758">
        <v>4</v>
      </c>
      <c r="J109" s="758">
        <v>2</v>
      </c>
      <c r="K109" s="758">
        <v>3</v>
      </c>
      <c r="L109" s="758"/>
      <c r="M109" s="739"/>
      <c r="N109" s="420"/>
    </row>
    <row r="110" spans="1:20" outlineLevel="1">
      <c r="B110" s="738" t="s">
        <v>11</v>
      </c>
      <c r="C110" s="758">
        <v>25</v>
      </c>
      <c r="D110" s="758">
        <v>25</v>
      </c>
      <c r="E110" s="758">
        <v>25</v>
      </c>
      <c r="F110" s="758">
        <v>25</v>
      </c>
      <c r="G110" s="758">
        <v>25</v>
      </c>
      <c r="H110" s="758">
        <v>25</v>
      </c>
      <c r="I110" s="758">
        <v>25</v>
      </c>
      <c r="J110" s="758">
        <v>25</v>
      </c>
      <c r="K110" s="758">
        <v>25</v>
      </c>
      <c r="L110" s="758"/>
      <c r="M110" s="739"/>
      <c r="N110" s="420"/>
    </row>
    <row r="111" spans="1:20" outlineLevel="1">
      <c r="B111" s="738" t="s">
        <v>273</v>
      </c>
      <c r="C111" s="758">
        <v>3</v>
      </c>
      <c r="D111" s="758">
        <v>3</v>
      </c>
      <c r="E111" s="758">
        <v>2.5</v>
      </c>
      <c r="F111" s="758">
        <v>2</v>
      </c>
      <c r="G111" s="758">
        <v>2</v>
      </c>
      <c r="H111" s="758">
        <v>2</v>
      </c>
      <c r="I111" s="758">
        <v>4</v>
      </c>
      <c r="J111" s="758">
        <v>2</v>
      </c>
      <c r="K111" s="758">
        <v>3</v>
      </c>
      <c r="L111" s="758"/>
      <c r="M111" s="739"/>
      <c r="N111" s="420"/>
    </row>
    <row r="112" spans="1:20" outlineLevel="1">
      <c r="B112" s="748" t="s">
        <v>674</v>
      </c>
      <c r="C112" s="763"/>
      <c r="D112" s="763"/>
      <c r="E112" s="763"/>
      <c r="F112" s="763"/>
      <c r="G112" s="763"/>
      <c r="H112" s="763"/>
      <c r="I112" s="763"/>
      <c r="J112" s="763"/>
      <c r="K112" s="763"/>
      <c r="L112" s="763"/>
      <c r="M112" s="748"/>
      <c r="N112" s="420"/>
    </row>
    <row r="113" spans="2:30" ht="37" customHeight="1" outlineLevel="1">
      <c r="B113" s="738" t="s">
        <v>1037</v>
      </c>
      <c r="C113" s="764">
        <v>2.7</v>
      </c>
      <c r="D113" s="764">
        <v>2.5</v>
      </c>
      <c r="E113" s="764">
        <v>2.2999999999999998</v>
      </c>
      <c r="F113" s="764">
        <v>2</v>
      </c>
      <c r="G113" s="764">
        <v>1.6</v>
      </c>
      <c r="H113" s="764">
        <v>2.2000000000000002</v>
      </c>
      <c r="I113" s="764">
        <v>3.7</v>
      </c>
      <c r="J113" s="764">
        <v>1.2</v>
      </c>
      <c r="K113" s="758">
        <v>2.2000000000000002</v>
      </c>
      <c r="L113" s="758" t="s">
        <v>52</v>
      </c>
      <c r="M113" s="739"/>
      <c r="N113" s="693"/>
    </row>
    <row r="114" spans="2:30" ht="15.75" customHeight="1" outlineLevel="1">
      <c r="B114" s="742" t="s">
        <v>1038</v>
      </c>
      <c r="C114" s="758">
        <v>50</v>
      </c>
      <c r="D114" s="758">
        <v>50</v>
      </c>
      <c r="E114" s="758">
        <v>50</v>
      </c>
      <c r="F114" s="758">
        <v>50</v>
      </c>
      <c r="G114" s="758">
        <v>50</v>
      </c>
      <c r="H114" s="758"/>
      <c r="I114" s="758"/>
      <c r="J114" s="758"/>
      <c r="K114" s="765"/>
      <c r="L114" s="758" t="s">
        <v>55</v>
      </c>
      <c r="M114" s="739"/>
      <c r="N114" s="693"/>
    </row>
    <row r="115" spans="2:30" ht="16" outlineLevel="1">
      <c r="B115" s="738" t="s">
        <v>1039</v>
      </c>
      <c r="C115" s="758">
        <v>10</v>
      </c>
      <c r="D115" s="758">
        <v>10</v>
      </c>
      <c r="E115" s="758">
        <v>10</v>
      </c>
      <c r="F115" s="758">
        <v>10</v>
      </c>
      <c r="G115" s="758">
        <v>10</v>
      </c>
      <c r="H115" s="758"/>
      <c r="I115" s="758"/>
      <c r="J115" s="758"/>
      <c r="K115" s="765"/>
      <c r="L115" s="758" t="s">
        <v>49</v>
      </c>
      <c r="M115" s="739"/>
      <c r="N115" s="363"/>
    </row>
    <row r="116" spans="2:30" outlineLevel="1">
      <c r="B116" s="749" t="s">
        <v>1040</v>
      </c>
      <c r="C116" s="758">
        <v>10</v>
      </c>
      <c r="D116" s="758">
        <v>10</v>
      </c>
      <c r="E116" s="758">
        <v>10</v>
      </c>
      <c r="F116" s="758">
        <v>10</v>
      </c>
      <c r="G116" s="758">
        <v>10</v>
      </c>
      <c r="H116" s="758"/>
      <c r="I116" s="758"/>
      <c r="J116" s="758"/>
      <c r="K116" s="765"/>
      <c r="L116" s="257"/>
      <c r="M116" s="739"/>
      <c r="N116" s="367"/>
      <c r="P116" s="1157">
        <f>C113</f>
        <v>2.7</v>
      </c>
      <c r="Q116" s="1135"/>
      <c r="R116" s="1135"/>
      <c r="S116" s="1135"/>
      <c r="T116" s="1135"/>
      <c r="U116" s="1158"/>
    </row>
    <row r="117" spans="2:30" ht="17" outlineLevel="1" thickBot="1">
      <c r="B117" s="738" t="s">
        <v>1041</v>
      </c>
      <c r="C117" s="758">
        <v>15</v>
      </c>
      <c r="D117" s="758">
        <v>15</v>
      </c>
      <c r="E117" s="758">
        <v>15</v>
      </c>
      <c r="F117" s="758">
        <v>15</v>
      </c>
      <c r="G117" s="758">
        <v>15</v>
      </c>
      <c r="H117" s="758"/>
      <c r="I117" s="758"/>
      <c r="J117" s="758"/>
      <c r="K117" s="765"/>
      <c r="L117" s="758" t="s">
        <v>374</v>
      </c>
      <c r="M117" s="739"/>
      <c r="N117" s="363"/>
      <c r="P117" s="1159">
        <f>C114</f>
        <v>50</v>
      </c>
      <c r="Q117" s="1160"/>
      <c r="R117" s="1160"/>
      <c r="S117" s="1160"/>
      <c r="T117" s="1160"/>
      <c r="U117" s="1161"/>
    </row>
    <row r="118" spans="2:30" outlineLevel="1">
      <c r="B118" s="738" t="s">
        <v>1042</v>
      </c>
      <c r="C118" s="758">
        <v>15</v>
      </c>
      <c r="D118" s="758">
        <v>15</v>
      </c>
      <c r="E118" s="758">
        <v>15</v>
      </c>
      <c r="F118" s="758">
        <v>15</v>
      </c>
      <c r="G118" s="758">
        <v>15</v>
      </c>
      <c r="H118" s="758"/>
      <c r="I118" s="758"/>
      <c r="J118" s="758"/>
      <c r="K118" s="766"/>
      <c r="L118" s="257"/>
      <c r="M118" s="739"/>
      <c r="N118" s="363"/>
      <c r="P118" s="53" t="s">
        <v>357</v>
      </c>
    </row>
    <row r="119" spans="2:30" ht="30" outlineLevel="1">
      <c r="B119" s="747" t="s">
        <v>1043</v>
      </c>
      <c r="C119" s="761">
        <f>C113*0.03</f>
        <v>8.1000000000000003E-2</v>
      </c>
      <c r="D119" s="761">
        <f>D113*0.03</f>
        <v>7.4999999999999997E-2</v>
      </c>
      <c r="E119" s="761">
        <f>E113*0.03</f>
        <v>6.8999999999999992E-2</v>
      </c>
      <c r="F119" s="761">
        <f>F113*0.03</f>
        <v>0.06</v>
      </c>
      <c r="G119" s="761">
        <f>G113*0.03</f>
        <v>4.8000000000000001E-2</v>
      </c>
      <c r="H119" s="761">
        <f t="shared" ref="H119:K119" si="20">H113*0.03</f>
        <v>6.6000000000000003E-2</v>
      </c>
      <c r="I119" s="761">
        <f t="shared" si="20"/>
        <v>0.111</v>
      </c>
      <c r="J119" s="761">
        <f t="shared" si="20"/>
        <v>3.5999999999999997E-2</v>
      </c>
      <c r="K119" s="761">
        <f t="shared" si="20"/>
        <v>6.6000000000000003E-2</v>
      </c>
      <c r="L119" s="758" t="s">
        <v>886</v>
      </c>
      <c r="M119" s="745"/>
      <c r="N119" s="363"/>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5" customHeight="1" outlineLevel="1" thickBot="1">
      <c r="B120" s="742" t="s">
        <v>1044</v>
      </c>
      <c r="C120" s="758">
        <v>2.5</v>
      </c>
      <c r="D120" s="758">
        <v>2.5</v>
      </c>
      <c r="E120" s="758">
        <v>2.5</v>
      </c>
      <c r="F120" s="758">
        <v>2.5</v>
      </c>
      <c r="G120" s="758">
        <v>2.5</v>
      </c>
      <c r="H120" s="761">
        <v>1.5</v>
      </c>
      <c r="I120" s="761">
        <v>3.5</v>
      </c>
      <c r="J120" s="761">
        <v>1.5</v>
      </c>
      <c r="K120" s="761">
        <v>3.5</v>
      </c>
      <c r="L120" s="257"/>
      <c r="M120" s="739"/>
      <c r="N120" s="363"/>
      <c r="P120" s="50"/>
      <c r="Q120" s="50"/>
      <c r="R120" s="51"/>
      <c r="S120" s="51"/>
      <c r="T120" s="51"/>
      <c r="U120" s="51" t="s">
        <v>760</v>
      </c>
      <c r="V120" s="50" t="s">
        <v>761</v>
      </c>
      <c r="W120" s="50"/>
      <c r="X120" s="50"/>
      <c r="Y120" s="50"/>
      <c r="Z120" s="50"/>
      <c r="AA120" s="50"/>
      <c r="AB120" s="50"/>
      <c r="AC120" s="50"/>
      <c r="AD120" s="50"/>
    </row>
    <row r="121" spans="2:30" ht="32" outlineLevel="1">
      <c r="B121" s="746" t="s">
        <v>1045</v>
      </c>
      <c r="C121" s="758">
        <v>25</v>
      </c>
      <c r="D121" s="758">
        <v>25</v>
      </c>
      <c r="E121" s="758">
        <v>25</v>
      </c>
      <c r="F121" s="758">
        <v>25</v>
      </c>
      <c r="G121" s="758">
        <v>25</v>
      </c>
      <c r="H121" s="758"/>
      <c r="I121" s="758"/>
      <c r="J121" s="758"/>
      <c r="K121" s="765"/>
      <c r="L121" s="257"/>
      <c r="M121" s="739"/>
      <c r="N121" s="363"/>
      <c r="O121" s="461" t="s">
        <v>732</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5" customHeight="1" outlineLevel="1">
      <c r="B122" s="737" t="s">
        <v>1046</v>
      </c>
      <c r="C122" s="756"/>
      <c r="D122" s="756"/>
      <c r="E122" s="756"/>
      <c r="F122" s="756"/>
      <c r="G122" s="756"/>
      <c r="H122" s="756"/>
      <c r="I122" s="756"/>
      <c r="J122" s="756"/>
      <c r="K122" s="756"/>
      <c r="L122" s="756"/>
      <c r="M122" s="750"/>
      <c r="N122" s="363"/>
      <c r="O122" s="465">
        <f>C92</f>
        <v>0</v>
      </c>
      <c r="P122" s="466">
        <f>C88</f>
        <v>2020</v>
      </c>
      <c r="Q122" s="58">
        <f>P122</f>
        <v>2020</v>
      </c>
      <c r="R122" s="466">
        <f>O122/100</f>
        <v>0</v>
      </c>
      <c r="S122" s="58"/>
      <c r="T122" s="466">
        <f>C96</f>
        <v>0.83299999999999996</v>
      </c>
      <c r="U122" s="467">
        <f>C127</f>
        <v>24147.659063625455</v>
      </c>
      <c r="V122" s="467">
        <f>C129</f>
        <v>724.42977190876354</v>
      </c>
      <c r="W122" s="467">
        <f>C130</f>
        <v>6.2108176603974927</v>
      </c>
      <c r="X122" s="58"/>
      <c r="Y122" s="58"/>
      <c r="Z122" s="466">
        <f>C103</f>
        <v>90</v>
      </c>
      <c r="AA122" s="468">
        <f>C105</f>
        <v>60</v>
      </c>
      <c r="AB122" s="468">
        <f>C106</f>
        <v>0</v>
      </c>
      <c r="AC122" s="468">
        <f>C107</f>
        <v>0</v>
      </c>
      <c r="AD122" s="468">
        <f>C104</f>
        <v>0.83299999999999996</v>
      </c>
    </row>
    <row r="123" spans="2:30" ht="16" outlineLevel="1">
      <c r="B123" s="742" t="s">
        <v>1047</v>
      </c>
      <c r="C123" s="767">
        <v>0.1</v>
      </c>
      <c r="D123" s="767">
        <v>0.1</v>
      </c>
      <c r="E123" s="758">
        <v>8.5000000000000006E-2</v>
      </c>
      <c r="F123" s="758">
        <v>7.4999999999999997E-2</v>
      </c>
      <c r="G123" s="758">
        <v>7.4999999999999997E-2</v>
      </c>
      <c r="H123" s="758">
        <v>0.09</v>
      </c>
      <c r="I123" s="758">
        <v>0.11</v>
      </c>
      <c r="J123" s="758">
        <v>7.0000000000000007E-2</v>
      </c>
      <c r="K123" s="760">
        <v>0.09</v>
      </c>
      <c r="L123" s="758" t="s">
        <v>887</v>
      </c>
      <c r="M123" s="739"/>
      <c r="N123" s="367"/>
      <c r="O123" s="465">
        <f>D92</f>
        <v>0</v>
      </c>
      <c r="P123" s="466">
        <f>D88</f>
        <v>2025</v>
      </c>
      <c r="Q123" s="58"/>
      <c r="R123" s="466">
        <f>O123/100</f>
        <v>0</v>
      </c>
      <c r="S123" s="58"/>
      <c r="T123" s="466">
        <f>D96</f>
        <v>0.83299999999999996</v>
      </c>
      <c r="U123" s="467">
        <f>D127</f>
        <v>22358.943577430975</v>
      </c>
      <c r="V123" s="467">
        <f>D129</f>
        <v>670.7683073229291</v>
      </c>
      <c r="W123" s="467">
        <f>D130</f>
        <v>6.2108176603974927</v>
      </c>
      <c r="X123" s="58"/>
      <c r="Y123" s="58"/>
      <c r="Z123" s="466">
        <f>D103</f>
        <v>90</v>
      </c>
      <c r="AA123" s="468">
        <f>D105</f>
        <v>60</v>
      </c>
      <c r="AB123" s="468">
        <f>D106</f>
        <v>0</v>
      </c>
      <c r="AC123" s="468">
        <f>D107</f>
        <v>0</v>
      </c>
      <c r="AD123" s="468">
        <f>D104</f>
        <v>0.83299999999999996</v>
      </c>
    </row>
    <row r="124" spans="2:30" ht="16" outlineLevel="1">
      <c r="B124" s="742" t="s">
        <v>1048</v>
      </c>
      <c r="C124" s="758">
        <v>0.16</v>
      </c>
      <c r="D124" s="758">
        <v>0.16</v>
      </c>
      <c r="E124" s="758">
        <v>0.14000000000000001</v>
      </c>
      <c r="F124" s="758">
        <v>0.13</v>
      </c>
      <c r="G124" s="758">
        <v>0.13</v>
      </c>
      <c r="H124" s="758">
        <v>0.14000000000000001</v>
      </c>
      <c r="I124" s="758">
        <v>0.18</v>
      </c>
      <c r="J124" s="758">
        <v>0.12</v>
      </c>
      <c r="K124" s="760">
        <v>0.15</v>
      </c>
      <c r="L124" s="758" t="s">
        <v>887</v>
      </c>
      <c r="M124" s="739"/>
      <c r="N124" s="363"/>
      <c r="O124" s="465">
        <f>E92</f>
        <v>0</v>
      </c>
      <c r="P124" s="466">
        <f>E88</f>
        <v>2030</v>
      </c>
      <c r="Q124" s="58"/>
      <c r="R124" s="466">
        <f>O124/100</f>
        <v>0</v>
      </c>
      <c r="S124" s="58"/>
      <c r="T124" s="466">
        <f>E96</f>
        <v>0.72</v>
      </c>
      <c r="U124" s="467">
        <f>E127</f>
        <v>23798.611111111109</v>
      </c>
      <c r="V124" s="467">
        <f>E129</f>
        <v>713.95833333333337</v>
      </c>
      <c r="W124" s="467">
        <f>E130</f>
        <v>7.1855709876543212</v>
      </c>
      <c r="X124" s="58"/>
      <c r="Y124" s="58"/>
      <c r="Z124" s="466">
        <f>E103</f>
        <v>90</v>
      </c>
      <c r="AA124" s="468">
        <f>E105</f>
        <v>60</v>
      </c>
      <c r="AB124" s="468">
        <f>E106</f>
        <v>0</v>
      </c>
      <c r="AC124" s="468">
        <f>E107</f>
        <v>0</v>
      </c>
      <c r="AD124" s="468">
        <f>E104</f>
        <v>0.72</v>
      </c>
    </row>
    <row r="125" spans="2:30" outlineLevel="1">
      <c r="B125" s="742"/>
      <c r="C125" s="758"/>
      <c r="D125" s="758"/>
      <c r="E125" s="758"/>
      <c r="F125" s="758"/>
      <c r="G125" s="758"/>
      <c r="H125" s="758"/>
      <c r="I125" s="758"/>
      <c r="J125" s="758"/>
      <c r="K125" s="765"/>
      <c r="L125" s="758"/>
      <c r="M125" s="739"/>
      <c r="N125" s="363"/>
      <c r="O125" s="465">
        <f>F92</f>
        <v>0</v>
      </c>
      <c r="P125" s="466">
        <f>F88</f>
        <v>2040</v>
      </c>
      <c r="Q125" s="58"/>
      <c r="R125" s="466">
        <f>O125/100</f>
        <v>0</v>
      </c>
      <c r="S125" s="58"/>
      <c r="T125" s="466">
        <f>F96</f>
        <v>0.66</v>
      </c>
      <c r="U125" s="467">
        <f>F127</f>
        <v>22575.757575757576</v>
      </c>
      <c r="V125" s="467">
        <f>F129</f>
        <v>677.27272727272725</v>
      </c>
      <c r="W125" s="467">
        <f>F130</f>
        <v>7.8388047138047137</v>
      </c>
      <c r="X125" s="58"/>
      <c r="Y125" s="58"/>
      <c r="Z125" s="466">
        <f>F103</f>
        <v>95</v>
      </c>
      <c r="AA125" s="468">
        <f>F105</f>
        <v>70</v>
      </c>
      <c r="AB125" s="468">
        <f>F106</f>
        <v>0</v>
      </c>
      <c r="AC125" s="468">
        <f>F107</f>
        <v>0</v>
      </c>
      <c r="AD125" s="468">
        <f>F104</f>
        <v>0.66</v>
      </c>
    </row>
    <row r="126" spans="2:30" outlineLevel="1">
      <c r="B126" s="738"/>
      <c r="C126" s="758"/>
      <c r="D126" s="758"/>
      <c r="E126" s="758"/>
      <c r="F126" s="758"/>
      <c r="G126" s="766"/>
      <c r="H126" s="758"/>
      <c r="I126" s="758"/>
      <c r="J126" s="758"/>
      <c r="K126" s="766"/>
      <c r="L126" s="758"/>
      <c r="M126" s="739"/>
      <c r="N126" s="363"/>
      <c r="O126" s="465">
        <f>E94</f>
        <v>17</v>
      </c>
      <c r="P126" s="466">
        <f>G88</f>
        <v>2050</v>
      </c>
      <c r="Q126" s="58"/>
      <c r="R126" s="466">
        <f>O126/100</f>
        <v>0.17</v>
      </c>
      <c r="S126" s="58"/>
      <c r="T126" s="466">
        <f>E98</f>
        <v>0.2</v>
      </c>
      <c r="U126" s="467">
        <f>E129</f>
        <v>713.95833333333337</v>
      </c>
      <c r="V126" s="467">
        <f>E131</f>
        <v>0</v>
      </c>
      <c r="W126" s="467">
        <f>E132</f>
        <v>0</v>
      </c>
      <c r="X126" s="58"/>
      <c r="Y126" s="58"/>
      <c r="Z126" s="466">
        <f>E105</f>
        <v>60</v>
      </c>
      <c r="AA126" s="468">
        <f>E107</f>
        <v>0</v>
      </c>
      <c r="AB126" s="468">
        <f>E108</f>
        <v>3</v>
      </c>
      <c r="AC126" s="468">
        <f>E109</f>
        <v>3</v>
      </c>
      <c r="AD126" s="468">
        <f>E106</f>
        <v>0</v>
      </c>
    </row>
    <row r="127" spans="2:30" ht="64" outlineLevel="1">
      <c r="B127" s="461" t="s">
        <v>769</v>
      </c>
      <c r="C127" s="483">
        <f>C113*$F$4*1/C96*1000</f>
        <v>24147.659063625455</v>
      </c>
      <c r="D127" s="483">
        <f t="shared" ref="D127:G127" si="21">D113*$F$4*1/D96*1000</f>
        <v>22358.943577430975</v>
      </c>
      <c r="E127" s="483">
        <f t="shared" si="21"/>
        <v>23798.611111111109</v>
      </c>
      <c r="F127" s="483">
        <f t="shared" si="21"/>
        <v>22575.757575757576</v>
      </c>
      <c r="G127" s="483">
        <f t="shared" si="21"/>
        <v>18060.606060606064</v>
      </c>
      <c r="H127" s="484"/>
      <c r="I127" s="420" t="s">
        <v>332</v>
      </c>
      <c r="J127" s="420"/>
      <c r="K127" s="484"/>
      <c r="L127" s="484"/>
      <c r="N127" s="420"/>
    </row>
    <row r="128" spans="2:30" ht="14.5" customHeight="1" outlineLevel="1">
      <c r="B128" s="485" t="s">
        <v>770</v>
      </c>
      <c r="C128" s="486">
        <f>C127*$I128</f>
        <v>12073829.531812727</v>
      </c>
      <c r="D128" s="486">
        <f>D127*$I128</f>
        <v>11179471.788715487</v>
      </c>
      <c r="E128" s="486">
        <f>E127*$I128</f>
        <v>11899305.555555554</v>
      </c>
      <c r="F128" s="486">
        <f>F127*$I128</f>
        <v>11287878.787878787</v>
      </c>
      <c r="G128" s="486"/>
      <c r="H128" s="484"/>
      <c r="I128" s="71">
        <v>500</v>
      </c>
      <c r="J128" s="420" t="s">
        <v>330</v>
      </c>
      <c r="K128" s="484"/>
      <c r="L128" s="484"/>
      <c r="N128" s="420"/>
    </row>
    <row r="129" spans="2:14" ht="48" outlineLevel="1">
      <c r="B129" s="461" t="s">
        <v>1074</v>
      </c>
      <c r="C129" s="359">
        <f>C119*$F$4*1/C96*1000</f>
        <v>724.42977190876354</v>
      </c>
      <c r="D129" s="359">
        <f t="shared" ref="D129:G129" si="22">D119*$F$4*1/D96*1000</f>
        <v>670.7683073229291</v>
      </c>
      <c r="E129" s="359">
        <f t="shared" si="22"/>
        <v>713.95833333333337</v>
      </c>
      <c r="F129" s="359">
        <f t="shared" si="22"/>
        <v>677.27272727272725</v>
      </c>
      <c r="G129" s="359">
        <f t="shared" si="22"/>
        <v>541.81818181818187</v>
      </c>
      <c r="I129" s="420" t="s">
        <v>333</v>
      </c>
      <c r="J129" s="420"/>
      <c r="N129" s="420"/>
    </row>
    <row r="130" spans="2:14" ht="48" outlineLevel="1">
      <c r="B130" s="461" t="s">
        <v>846</v>
      </c>
      <c r="C130" s="487">
        <f>C120*$F$4*1/C104/3.6</f>
        <v>6.2108176603974927</v>
      </c>
      <c r="D130" s="487">
        <f t="shared" ref="D130:G130" si="23">D120*$F$4*1/D104/3.6</f>
        <v>6.2108176603974927</v>
      </c>
      <c r="E130" s="487">
        <f t="shared" si="23"/>
        <v>7.1855709876543212</v>
      </c>
      <c r="F130" s="487">
        <f t="shared" si="23"/>
        <v>7.8388047138047137</v>
      </c>
      <c r="G130" s="487">
        <f t="shared" si="23"/>
        <v>7.8388047138047137</v>
      </c>
      <c r="M130" s="420"/>
      <c r="N130" s="420"/>
    </row>
    <row r="131" spans="2:14" outlineLevel="1"/>
    <row r="132" spans="2:14" outlineLevel="1"/>
    <row r="133" spans="2:14" outlineLevel="1"/>
    <row r="134" spans="2:14" outlineLevel="1"/>
    <row r="135" spans="2:14" outlineLevel="1">
      <c r="E135" s="358"/>
      <c r="F135" s="358"/>
      <c r="G135" s="358"/>
      <c r="H135" s="358"/>
      <c r="I135" s="358"/>
      <c r="J135" s="358"/>
      <c r="K135" s="358"/>
      <c r="L135" s="358"/>
    </row>
    <row r="136" spans="2:14" outlineLevel="1">
      <c r="B136" s="797" t="s">
        <v>773</v>
      </c>
      <c r="C136" s="223"/>
      <c r="D136" s="798"/>
      <c r="E136" s="798"/>
      <c r="F136" s="798"/>
      <c r="G136" s="798"/>
      <c r="H136" s="798"/>
      <c r="I136" s="798"/>
      <c r="J136" s="798"/>
      <c r="K136" s="798"/>
      <c r="L136" s="799"/>
    </row>
    <row r="137" spans="2:14" outlineLevel="1">
      <c r="B137" s="223">
        <v>1</v>
      </c>
      <c r="C137" s="223"/>
      <c r="D137" s="223"/>
      <c r="E137" s="800"/>
      <c r="F137" s="223"/>
      <c r="G137" s="223"/>
      <c r="H137" s="223"/>
      <c r="I137" s="223"/>
      <c r="J137" s="223"/>
      <c r="K137" s="223"/>
      <c r="L137" s="223"/>
    </row>
    <row r="138" spans="2:14" outlineLevel="1">
      <c r="B138" s="223">
        <v>2</v>
      </c>
      <c r="C138" s="223"/>
      <c r="D138" s="223"/>
      <c r="E138" s="800"/>
      <c r="F138" s="223"/>
      <c r="G138" s="223"/>
      <c r="H138" s="223"/>
      <c r="I138" s="223"/>
      <c r="J138" s="223"/>
      <c r="K138" s="223"/>
      <c r="L138" s="223"/>
    </row>
    <row r="139" spans="2:14" outlineLevel="1">
      <c r="B139" s="223">
        <v>3</v>
      </c>
      <c r="C139" s="223"/>
      <c r="D139" s="223"/>
      <c r="E139" s="800"/>
      <c r="F139" s="223"/>
      <c r="G139" s="223"/>
      <c r="H139" s="223"/>
      <c r="I139" s="223"/>
      <c r="J139" s="223"/>
      <c r="K139" s="223"/>
      <c r="L139" s="223"/>
    </row>
    <row r="140" spans="2:14" outlineLevel="1">
      <c r="B140" s="223"/>
      <c r="C140" s="223"/>
      <c r="D140" s="223"/>
      <c r="E140" s="223"/>
      <c r="F140" s="223"/>
      <c r="G140" s="223"/>
      <c r="H140" s="223"/>
      <c r="I140" s="223"/>
      <c r="J140" s="223"/>
      <c r="K140" s="223"/>
      <c r="L140" s="223"/>
    </row>
    <row r="141" spans="2:14" outlineLevel="1">
      <c r="B141" s="223"/>
      <c r="C141" s="223"/>
      <c r="D141" s="223"/>
      <c r="E141" s="223"/>
      <c r="F141" s="223"/>
      <c r="G141" s="223"/>
      <c r="H141" s="223"/>
      <c r="I141" s="223"/>
      <c r="J141" s="223"/>
      <c r="K141" s="223"/>
      <c r="L141" s="223"/>
    </row>
    <row r="142" spans="2:14" outlineLevel="1">
      <c r="B142" s="801" t="s">
        <v>783</v>
      </c>
      <c r="C142" s="223"/>
      <c r="D142" s="223"/>
      <c r="E142" s="223"/>
      <c r="F142" s="223"/>
      <c r="G142" s="223"/>
      <c r="H142" s="223"/>
      <c r="I142" s="223"/>
      <c r="J142" s="223"/>
      <c r="K142" s="223"/>
      <c r="L142" s="223"/>
    </row>
    <row r="143" spans="2:14" outlineLevel="1">
      <c r="B143" s="802" t="s">
        <v>6</v>
      </c>
      <c r="C143" s="223" t="s">
        <v>1059</v>
      </c>
      <c r="D143" s="223"/>
      <c r="E143" s="223"/>
      <c r="F143" s="223"/>
      <c r="G143" s="223"/>
      <c r="H143" s="223"/>
      <c r="I143" s="223"/>
      <c r="J143" s="223"/>
      <c r="K143" s="223"/>
      <c r="L143" s="223"/>
    </row>
    <row r="144" spans="2:14" outlineLevel="1">
      <c r="B144" s="802" t="s">
        <v>59</v>
      </c>
      <c r="C144" s="223" t="s">
        <v>1060</v>
      </c>
      <c r="D144" s="223"/>
      <c r="E144" s="223"/>
      <c r="F144" s="223"/>
      <c r="G144" s="223"/>
      <c r="H144" s="223"/>
      <c r="I144" s="223"/>
      <c r="J144" s="223"/>
      <c r="K144" s="223"/>
      <c r="L144" s="223"/>
    </row>
    <row r="145" spans="2:12" outlineLevel="1">
      <c r="B145" s="802" t="s">
        <v>16</v>
      </c>
      <c r="C145" s="223" t="s">
        <v>1061</v>
      </c>
      <c r="D145" s="223"/>
      <c r="E145" s="223"/>
      <c r="F145" s="223"/>
      <c r="G145" s="223"/>
      <c r="H145" s="223"/>
      <c r="I145" s="223"/>
      <c r="J145" s="223"/>
      <c r="K145" s="223"/>
      <c r="L145" s="223"/>
    </row>
    <row r="146" spans="2:12" outlineLevel="1">
      <c r="B146" s="802" t="s">
        <v>20</v>
      </c>
      <c r="C146" s="223" t="s">
        <v>1062</v>
      </c>
      <c r="D146" s="223"/>
      <c r="E146" s="223"/>
      <c r="F146" s="223"/>
      <c r="G146" s="223"/>
      <c r="H146" s="223"/>
      <c r="I146" s="223"/>
      <c r="J146" s="223"/>
      <c r="K146" s="223"/>
      <c r="L146" s="223"/>
    </row>
    <row r="147" spans="2:12" outlineLevel="1">
      <c r="B147" s="802" t="s">
        <v>76</v>
      </c>
      <c r="C147" s="223" t="s">
        <v>1063</v>
      </c>
      <c r="D147" s="223"/>
      <c r="E147" s="223"/>
      <c r="F147" s="223"/>
      <c r="G147" s="223"/>
      <c r="H147" s="223"/>
      <c r="I147" s="223"/>
      <c r="J147" s="223"/>
      <c r="K147" s="223"/>
      <c r="L147" s="223"/>
    </row>
    <row r="148" spans="2:12" outlineLevel="1">
      <c r="B148" s="802" t="s">
        <v>25</v>
      </c>
      <c r="C148" s="223" t="s">
        <v>1064</v>
      </c>
      <c r="D148" s="223"/>
      <c r="E148" s="223"/>
      <c r="F148" s="223"/>
      <c r="G148" s="223"/>
      <c r="H148" s="223"/>
      <c r="I148" s="223"/>
      <c r="J148" s="223"/>
      <c r="K148" s="223"/>
      <c r="L148" s="223"/>
    </row>
    <row r="149" spans="2:12" outlineLevel="1">
      <c r="B149" s="802" t="s">
        <v>33</v>
      </c>
      <c r="C149" s="223" t="s">
        <v>1065</v>
      </c>
      <c r="D149" s="223"/>
      <c r="E149" s="223"/>
      <c r="F149" s="223"/>
      <c r="G149" s="223"/>
      <c r="H149" s="223"/>
      <c r="I149" s="223"/>
      <c r="J149" s="223"/>
      <c r="K149" s="223"/>
      <c r="L149" s="223"/>
    </row>
    <row r="150" spans="2:12" outlineLevel="1">
      <c r="B150" s="802" t="s">
        <v>51</v>
      </c>
      <c r="C150" s="223" t="s">
        <v>1066</v>
      </c>
      <c r="D150" s="223"/>
      <c r="E150" s="223"/>
      <c r="F150" s="223"/>
      <c r="G150" s="223"/>
      <c r="H150" s="223"/>
      <c r="I150" s="223"/>
      <c r="J150" s="223"/>
      <c r="K150" s="223"/>
      <c r="L150" s="223"/>
    </row>
    <row r="151" spans="2:12" outlineLevel="1">
      <c r="B151" s="802" t="s">
        <v>52</v>
      </c>
      <c r="C151" s="223" t="s">
        <v>1067</v>
      </c>
      <c r="D151" s="223"/>
      <c r="E151" s="223"/>
      <c r="F151" s="223"/>
      <c r="G151" s="223"/>
      <c r="H151" s="223"/>
      <c r="I151" s="223"/>
      <c r="J151" s="223"/>
      <c r="K151" s="223"/>
      <c r="L151" s="223"/>
    </row>
    <row r="152" spans="2:12" outlineLevel="1">
      <c r="B152" s="802" t="s">
        <v>55</v>
      </c>
      <c r="C152" s="223" t="s">
        <v>1068</v>
      </c>
      <c r="D152" s="223"/>
      <c r="E152" s="223"/>
      <c r="F152" s="223"/>
      <c r="G152" s="223"/>
      <c r="H152" s="223"/>
      <c r="I152" s="223"/>
      <c r="J152" s="223"/>
      <c r="K152" s="223"/>
      <c r="L152" s="223"/>
    </row>
    <row r="153" spans="2:12" outlineLevel="1">
      <c r="B153" s="802" t="s">
        <v>49</v>
      </c>
      <c r="C153" s="223" t="s">
        <v>1069</v>
      </c>
      <c r="D153" s="223"/>
      <c r="E153" s="223"/>
      <c r="F153" s="223"/>
      <c r="G153" s="223"/>
      <c r="H153" s="223"/>
      <c r="I153" s="223"/>
      <c r="J153" s="223"/>
      <c r="K153" s="223"/>
      <c r="L153" s="223"/>
    </row>
    <row r="154" spans="2:12" outlineLevel="1">
      <c r="B154" s="802" t="s">
        <v>374</v>
      </c>
      <c r="C154" s="223" t="s">
        <v>1070</v>
      </c>
      <c r="D154" s="223"/>
      <c r="E154" s="223"/>
      <c r="F154" s="223"/>
      <c r="G154" s="223"/>
      <c r="H154" s="223"/>
      <c r="I154" s="223"/>
      <c r="J154" s="223"/>
      <c r="K154" s="223"/>
      <c r="L154" s="223"/>
    </row>
    <row r="155" spans="2:12" outlineLevel="1">
      <c r="B155" s="802" t="s">
        <v>886</v>
      </c>
      <c r="C155" s="223" t="s">
        <v>1071</v>
      </c>
      <c r="D155" s="223"/>
      <c r="E155" s="223"/>
      <c r="F155" s="223"/>
      <c r="G155" s="223"/>
      <c r="H155" s="223"/>
      <c r="I155" s="223"/>
      <c r="J155" s="223"/>
      <c r="K155" s="223"/>
      <c r="L155" s="223"/>
    </row>
    <row r="156" spans="2:12" outlineLevel="1">
      <c r="B156" s="802" t="s">
        <v>887</v>
      </c>
      <c r="C156" s="223" t="s">
        <v>1072</v>
      </c>
      <c r="D156" s="223"/>
      <c r="E156" s="223"/>
      <c r="F156" s="223"/>
      <c r="G156" s="223"/>
      <c r="H156" s="223"/>
      <c r="I156" s="223"/>
      <c r="J156" s="223"/>
      <c r="K156" s="223"/>
      <c r="L156" s="223"/>
    </row>
    <row r="157" spans="2:12" outlineLevel="1">
      <c r="B157" s="496"/>
      <c r="C157" s="498"/>
      <c r="G157" s="358"/>
      <c r="H157" s="358"/>
      <c r="I157" s="358"/>
      <c r="J157" s="358"/>
      <c r="K157" s="358"/>
      <c r="L157" s="358"/>
    </row>
    <row r="158" spans="2:12" outlineLevel="1">
      <c r="B158" s="496"/>
      <c r="C158" s="489"/>
      <c r="G158" s="358"/>
      <c r="H158" s="358"/>
      <c r="I158" s="358"/>
      <c r="J158" s="358"/>
      <c r="K158" s="358"/>
      <c r="L158" s="358"/>
    </row>
    <row r="159" spans="2:12" outlineLevel="1">
      <c r="E159" s="490"/>
      <c r="F159" s="490"/>
    </row>
    <row r="160" spans="2:12" outlineLevel="1">
      <c r="B160" s="496"/>
      <c r="C160" s="489"/>
      <c r="E160" s="490"/>
      <c r="F160" s="490"/>
    </row>
    <row r="161" spans="1:44" outlineLevel="1">
      <c r="B161" s="496"/>
      <c r="C161" s="489"/>
      <c r="E161" s="490"/>
      <c r="F161" s="490"/>
    </row>
    <row r="162" spans="1:44" outlineLevel="1"/>
    <row r="163" spans="1:44" outlineLevel="1">
      <c r="M163" s="214"/>
    </row>
    <row r="164" spans="1:44" outlineLevel="1"/>
    <row r="167" spans="1:44">
      <c r="A167" s="360" t="s">
        <v>989</v>
      </c>
      <c r="B167" s="1134"/>
      <c r="C167" s="1135"/>
      <c r="D167" s="1135"/>
      <c r="E167" s="1135"/>
      <c r="F167" s="1135"/>
      <c r="G167" s="1135"/>
      <c r="H167" s="1135"/>
      <c r="I167" s="1135"/>
      <c r="J167" s="1135"/>
      <c r="K167" s="1135"/>
      <c r="L167" s="1135"/>
      <c r="M167" s="1135"/>
      <c r="N167" s="361"/>
    </row>
    <row r="168" spans="1:44" ht="16" outlineLevel="1" thickBot="1">
      <c r="B168" s="1134"/>
      <c r="C168" s="1135"/>
      <c r="D168" s="1135"/>
      <c r="E168" s="1135"/>
      <c r="F168" s="1135"/>
      <c r="G168" s="1135"/>
      <c r="H168" s="1135"/>
      <c r="I168" s="1135"/>
      <c r="J168" s="1135"/>
      <c r="K168" s="1135"/>
      <c r="L168" s="1135"/>
      <c r="M168" s="1135"/>
      <c r="N168" s="361"/>
    </row>
    <row r="169" spans="1:44" ht="20.5" customHeight="1" outlineLevel="1" thickBot="1">
      <c r="B169" s="362" t="s">
        <v>0</v>
      </c>
      <c r="C169" s="1176" t="s">
        <v>990</v>
      </c>
      <c r="D169" s="1177"/>
      <c r="E169" s="1177"/>
      <c r="F169" s="1177"/>
      <c r="G169" s="1177"/>
      <c r="H169" s="1177"/>
      <c r="I169" s="1177"/>
      <c r="J169" s="1177"/>
      <c r="K169" s="1177"/>
      <c r="L169" s="1178"/>
      <c r="M169" s="363"/>
      <c r="N169" s="363"/>
      <c r="AK169" s="1147" t="s">
        <v>716</v>
      </c>
      <c r="AL169" s="1148"/>
      <c r="AM169" s="1147" t="s">
        <v>717</v>
      </c>
      <c r="AN169" s="1148"/>
      <c r="AO169" s="1147" t="s">
        <v>718</v>
      </c>
      <c r="AP169" s="1148"/>
      <c r="AQ169" s="1162" t="s">
        <v>719</v>
      </c>
      <c r="AR169" s="1163"/>
    </row>
    <row r="170" spans="1:44" ht="15" customHeight="1" outlineLevel="1" thickBot="1">
      <c r="B170" s="1168" t="s">
        <v>4</v>
      </c>
      <c r="C170" s="1170">
        <v>2020</v>
      </c>
      <c r="D170" s="1170">
        <v>2030</v>
      </c>
      <c r="E170" s="1170">
        <v>2040</v>
      </c>
      <c r="F170" s="1170">
        <v>2050</v>
      </c>
      <c r="G170" s="1172" t="s">
        <v>721</v>
      </c>
      <c r="H170" s="1173"/>
      <c r="I170" s="1172" t="s">
        <v>648</v>
      </c>
      <c r="J170" s="1173"/>
      <c r="K170" s="1174" t="s">
        <v>2</v>
      </c>
      <c r="L170" s="1174" t="s">
        <v>3</v>
      </c>
      <c r="M170" s="367"/>
      <c r="N170" s="367"/>
      <c r="P170" s="1135"/>
      <c r="Q170" s="1135"/>
      <c r="R170" s="1135"/>
      <c r="S170" s="1135"/>
      <c r="T170" s="1135"/>
      <c r="U170" s="1135"/>
      <c r="AK170" s="1149"/>
      <c r="AL170" s="1150"/>
      <c r="AM170" s="1149"/>
      <c r="AN170" s="1150"/>
      <c r="AO170" s="1149"/>
      <c r="AP170" s="1150"/>
      <c r="AQ170" s="1164"/>
      <c r="AR170" s="1165"/>
    </row>
    <row r="171" spans="1:44" ht="15" customHeight="1" outlineLevel="1" thickBot="1">
      <c r="B171" s="1169"/>
      <c r="C171" s="1171"/>
      <c r="D171" s="1171"/>
      <c r="E171" s="1171"/>
      <c r="F171" s="1171"/>
      <c r="G171" s="499" t="s">
        <v>649</v>
      </c>
      <c r="H171" s="499" t="s">
        <v>650</v>
      </c>
      <c r="I171" s="499" t="s">
        <v>649</v>
      </c>
      <c r="J171" s="499" t="s">
        <v>650</v>
      </c>
      <c r="K171" s="1175"/>
      <c r="L171" s="1175"/>
      <c r="M171" s="370"/>
      <c r="N171" s="370"/>
      <c r="P171" s="1135"/>
      <c r="Q171" s="1135"/>
      <c r="R171" s="1135"/>
      <c r="S171" s="1135"/>
      <c r="T171" s="1135"/>
      <c r="U171" s="1135"/>
      <c r="AK171" s="1149"/>
      <c r="AL171" s="1150"/>
      <c r="AM171" s="1149"/>
      <c r="AN171" s="1150"/>
      <c r="AO171" s="1149"/>
      <c r="AP171" s="1150"/>
      <c r="AQ171" s="1166"/>
      <c r="AR171" s="1167"/>
    </row>
    <row r="172" spans="1:44" ht="33" outlineLevel="1" thickBot="1">
      <c r="B172" s="371" t="s">
        <v>651</v>
      </c>
      <c r="C172" s="372">
        <v>20</v>
      </c>
      <c r="D172" s="372">
        <v>20</v>
      </c>
      <c r="E172" s="372">
        <v>20</v>
      </c>
      <c r="F172" s="372">
        <v>20</v>
      </c>
      <c r="G172" s="372">
        <v>1</v>
      </c>
      <c r="H172" s="372">
        <v>50</v>
      </c>
      <c r="I172" s="372">
        <v>1</v>
      </c>
      <c r="J172" s="372">
        <v>50</v>
      </c>
      <c r="K172" s="372" t="s">
        <v>6</v>
      </c>
      <c r="L172" s="373" t="s">
        <v>725</v>
      </c>
      <c r="M172" s="370"/>
      <c r="N172" s="370"/>
      <c r="P172" s="364" t="s">
        <v>713</v>
      </c>
      <c r="Q172" s="365"/>
      <c r="R172" s="366"/>
      <c r="S172" s="1143" t="s">
        <v>714</v>
      </c>
      <c r="T172" s="1147" t="s">
        <v>715</v>
      </c>
      <c r="U172" s="1148"/>
      <c r="V172" s="1147" t="s">
        <v>716</v>
      </c>
      <c r="W172" s="1148"/>
      <c r="X172" s="1147" t="s">
        <v>717</v>
      </c>
      <c r="Y172" s="1148"/>
      <c r="Z172" s="1147" t="s">
        <v>718</v>
      </c>
      <c r="AA172" s="1148"/>
      <c r="AB172" s="1147" t="s">
        <v>719</v>
      </c>
      <c r="AC172" s="1148"/>
      <c r="AE172" s="364" t="s">
        <v>720</v>
      </c>
      <c r="AF172" s="365"/>
      <c r="AG172" s="366"/>
      <c r="AH172" s="1143" t="s">
        <v>714</v>
      </c>
      <c r="AI172" s="1147" t="s">
        <v>715</v>
      </c>
      <c r="AJ172" s="1148"/>
      <c r="AK172" s="374" t="s">
        <v>726</v>
      </c>
      <c r="AL172" s="375" t="s">
        <v>727</v>
      </c>
      <c r="AM172" s="374" t="s">
        <v>726</v>
      </c>
      <c r="AN172" s="375" t="s">
        <v>727</v>
      </c>
      <c r="AO172" s="374" t="s">
        <v>726</v>
      </c>
      <c r="AP172" s="375" t="s">
        <v>727</v>
      </c>
      <c r="AQ172" s="374" t="s">
        <v>726</v>
      </c>
      <c r="AR172" s="375" t="s">
        <v>727</v>
      </c>
    </row>
    <row r="173" spans="1:44" ht="14.5" customHeight="1" outlineLevel="1">
      <c r="B173" s="500" t="s">
        <v>728</v>
      </c>
      <c r="C173" s="501">
        <v>91</v>
      </c>
      <c r="D173" s="501">
        <v>91</v>
      </c>
      <c r="E173" s="502">
        <v>91</v>
      </c>
      <c r="F173" s="501">
        <v>92</v>
      </c>
      <c r="G173" s="501">
        <f>D173-1</f>
        <v>90</v>
      </c>
      <c r="H173" s="501">
        <f>D173+2</f>
        <v>93</v>
      </c>
      <c r="I173" s="501">
        <f>F173-1</f>
        <v>91</v>
      </c>
      <c r="J173" s="501">
        <f>F173+2</f>
        <v>94</v>
      </c>
      <c r="K173" s="503" t="s">
        <v>59</v>
      </c>
      <c r="L173" s="504" t="s">
        <v>729</v>
      </c>
      <c r="M173" s="370"/>
      <c r="N173" s="370"/>
      <c r="P173" s="1151" t="s">
        <v>0</v>
      </c>
      <c r="Q173" s="368"/>
      <c r="R173" s="368"/>
      <c r="S173" s="1144"/>
      <c r="T173" s="1149"/>
      <c r="U173" s="1150"/>
      <c r="V173" s="1149"/>
      <c r="W173" s="1150"/>
      <c r="X173" s="1149"/>
      <c r="Y173" s="1150"/>
      <c r="Z173" s="1149"/>
      <c r="AA173" s="1150"/>
      <c r="AB173" s="1149"/>
      <c r="AC173" s="1150"/>
      <c r="AE173" s="1151" t="s">
        <v>0</v>
      </c>
      <c r="AF173" s="368"/>
      <c r="AG173" s="368"/>
      <c r="AH173" s="1144"/>
      <c r="AI173" s="1149"/>
      <c r="AJ173" s="1150"/>
      <c r="AK173" s="1182">
        <v>0</v>
      </c>
      <c r="AL173" s="1179">
        <v>0</v>
      </c>
      <c r="AM173" s="1182">
        <v>0</v>
      </c>
      <c r="AN173" s="1179">
        <v>0</v>
      </c>
      <c r="AO173" s="1182">
        <v>0</v>
      </c>
      <c r="AP173" s="1179">
        <v>0</v>
      </c>
      <c r="AQ173" s="1182">
        <v>0</v>
      </c>
      <c r="AR173" s="1179">
        <v>0</v>
      </c>
    </row>
    <row r="174" spans="1:44" outlineLevel="1">
      <c r="B174" s="383" t="s">
        <v>732</v>
      </c>
      <c r="C174" s="384">
        <f t="shared" ref="C174:J174" si="24">C173-1</f>
        <v>90</v>
      </c>
      <c r="D174" s="384">
        <f t="shared" si="24"/>
        <v>90</v>
      </c>
      <c r="E174" s="384">
        <f t="shared" si="24"/>
        <v>90</v>
      </c>
      <c r="F174" s="384">
        <f t="shared" si="24"/>
        <v>91</v>
      </c>
      <c r="G174" s="505">
        <f t="shared" si="24"/>
        <v>89</v>
      </c>
      <c r="H174" s="505">
        <f t="shared" si="24"/>
        <v>92</v>
      </c>
      <c r="I174" s="505">
        <f t="shared" si="24"/>
        <v>90</v>
      </c>
      <c r="J174" s="505">
        <f t="shared" si="24"/>
        <v>93</v>
      </c>
      <c r="K174" s="372"/>
      <c r="L174" s="373" t="s">
        <v>729</v>
      </c>
      <c r="M174" s="370"/>
      <c r="N174" s="370"/>
      <c r="P174" s="1152"/>
      <c r="Q174" s="1154" t="s">
        <v>722</v>
      </c>
      <c r="R174" s="1155" t="s">
        <v>723</v>
      </c>
      <c r="S174" s="1145"/>
      <c r="T174" s="1149"/>
      <c r="U174" s="1150"/>
      <c r="V174" s="1149"/>
      <c r="W174" s="1150"/>
      <c r="X174" s="1149"/>
      <c r="Y174" s="1150"/>
      <c r="Z174" s="1149"/>
      <c r="AA174" s="1150"/>
      <c r="AB174" s="1149"/>
      <c r="AC174" s="1150"/>
      <c r="AE174" s="1152"/>
      <c r="AF174" s="1198" t="s">
        <v>722</v>
      </c>
      <c r="AG174" s="1155" t="s">
        <v>723</v>
      </c>
      <c r="AH174" s="1145"/>
      <c r="AI174" s="1149"/>
      <c r="AJ174" s="1150"/>
      <c r="AK174" s="1183"/>
      <c r="AL174" s="1180"/>
      <c r="AM174" s="1183"/>
      <c r="AN174" s="1180"/>
      <c r="AO174" s="1183"/>
      <c r="AP174" s="1180"/>
      <c r="AQ174" s="1183"/>
      <c r="AR174" s="1180"/>
    </row>
    <row r="175" spans="1:44" ht="33" outlineLevel="1" thickBot="1">
      <c r="B175" s="500" t="s">
        <v>734</v>
      </c>
      <c r="C175" s="506">
        <v>2.2999999999999998</v>
      </c>
      <c r="D175" s="507">
        <v>2.2999999999999998</v>
      </c>
      <c r="E175" s="507">
        <v>2.2999999999999998</v>
      </c>
      <c r="F175" s="508">
        <v>2.2999999999999998</v>
      </c>
      <c r="G175" s="507">
        <v>2.2000000000000002</v>
      </c>
      <c r="H175" s="507">
        <v>2.5</v>
      </c>
      <c r="I175" s="507">
        <v>1.8</v>
      </c>
      <c r="J175" s="507">
        <v>2.5</v>
      </c>
      <c r="K175" s="503" t="s">
        <v>16</v>
      </c>
      <c r="L175" s="504">
        <v>3</v>
      </c>
      <c r="M175" s="370"/>
      <c r="N175" s="370"/>
      <c r="O175" s="74"/>
      <c r="P175" s="1153"/>
      <c r="Q175" s="1146"/>
      <c r="R175" s="1156"/>
      <c r="S175" s="1146"/>
      <c r="T175" s="374" t="s">
        <v>726</v>
      </c>
      <c r="U175" s="375" t="s">
        <v>727</v>
      </c>
      <c r="V175" s="374" t="s">
        <v>726</v>
      </c>
      <c r="W175" s="375" t="s">
        <v>727</v>
      </c>
      <c r="X175" s="374" t="s">
        <v>726</v>
      </c>
      <c r="Y175" s="375" t="s">
        <v>727</v>
      </c>
      <c r="Z175" s="374" t="s">
        <v>726</v>
      </c>
      <c r="AA175" s="375" t="s">
        <v>727</v>
      </c>
      <c r="AB175" s="374" t="s">
        <v>726</v>
      </c>
      <c r="AC175" s="375" t="s">
        <v>727</v>
      </c>
      <c r="AE175" s="1153"/>
      <c r="AF175" s="1199"/>
      <c r="AG175" s="1156"/>
      <c r="AH175" s="1146"/>
      <c r="AI175" s="374" t="s">
        <v>726</v>
      </c>
      <c r="AJ175" s="375" t="s">
        <v>727</v>
      </c>
      <c r="AK175" s="1184"/>
      <c r="AL175" s="1181"/>
      <c r="AM175" s="1184"/>
      <c r="AN175" s="1181"/>
      <c r="AO175" s="1184"/>
      <c r="AP175" s="1181"/>
      <c r="AQ175" s="1184"/>
      <c r="AR175" s="1181"/>
    </row>
    <row r="176" spans="1:44" ht="14.5" customHeight="1" outlineLevel="1">
      <c r="B176" s="500" t="s">
        <v>657</v>
      </c>
      <c r="C176" s="687">
        <v>3</v>
      </c>
      <c r="D176" s="687">
        <v>3</v>
      </c>
      <c r="E176" s="687">
        <v>3</v>
      </c>
      <c r="F176" s="687">
        <v>3</v>
      </c>
      <c r="G176" s="687">
        <v>3</v>
      </c>
      <c r="H176" s="687">
        <v>3</v>
      </c>
      <c r="I176" s="687">
        <v>3</v>
      </c>
      <c r="J176" s="687">
        <v>3</v>
      </c>
      <c r="K176" s="503" t="s">
        <v>20</v>
      </c>
      <c r="L176" s="504">
        <v>3</v>
      </c>
      <c r="M176" s="370"/>
      <c r="N176" s="370"/>
      <c r="P176" s="1200" t="str">
        <f>C169</f>
        <v>Hot water boiler, Wood Chips</v>
      </c>
      <c r="Q176" s="1188" t="s">
        <v>730</v>
      </c>
      <c r="R176" s="381" t="s">
        <v>731</v>
      </c>
      <c r="S176" s="382"/>
      <c r="T176" s="1191">
        <v>0</v>
      </c>
      <c r="U176" s="1179">
        <v>0</v>
      </c>
      <c r="V176" s="1182">
        <v>0</v>
      </c>
      <c r="W176" s="1179">
        <v>0</v>
      </c>
      <c r="X176" s="1182">
        <v>0</v>
      </c>
      <c r="Y176" s="1179">
        <v>0</v>
      </c>
      <c r="Z176" s="1182">
        <v>0</v>
      </c>
      <c r="AA176" s="1179">
        <v>0</v>
      </c>
      <c r="AB176" s="1182">
        <v>0</v>
      </c>
      <c r="AC176" s="1179">
        <v>0</v>
      </c>
      <c r="AE176" s="1185" t="str">
        <f>P176</f>
        <v>Hot water boiler, Wood Chips</v>
      </c>
      <c r="AF176" s="1188" t="s">
        <v>730</v>
      </c>
      <c r="AG176" s="381" t="s">
        <v>731</v>
      </c>
      <c r="AH176" s="382"/>
      <c r="AI176" s="1191">
        <v>0</v>
      </c>
      <c r="AJ176" s="1179">
        <v>0</v>
      </c>
      <c r="AK176" s="1191">
        <v>0</v>
      </c>
      <c r="AL176" s="1191">
        <f>W179/4</f>
        <v>0.14249999999999999</v>
      </c>
      <c r="AM176" s="1191">
        <v>0</v>
      </c>
      <c r="AN176" s="1191">
        <f>Y179/4</f>
        <v>0.125</v>
      </c>
      <c r="AO176" s="1191">
        <v>0</v>
      </c>
      <c r="AP176" s="1191">
        <f>AA179/4</f>
        <v>0.1275</v>
      </c>
      <c r="AQ176" s="1191">
        <v>0</v>
      </c>
      <c r="AR176" s="1179">
        <f>AC179/4</f>
        <v>0.10249999999999999</v>
      </c>
    </row>
    <row r="177" spans="1:44" outlineLevel="1">
      <c r="B177" s="500" t="s">
        <v>658</v>
      </c>
      <c r="C177" s="506">
        <v>3</v>
      </c>
      <c r="D177" s="506">
        <v>3</v>
      </c>
      <c r="E177" s="506">
        <v>3</v>
      </c>
      <c r="F177" s="506">
        <v>3</v>
      </c>
      <c r="G177" s="506">
        <v>2.6</v>
      </c>
      <c r="H177" s="506">
        <v>3.5</v>
      </c>
      <c r="I177" s="506">
        <v>2.2999999999999998</v>
      </c>
      <c r="J177" s="506">
        <v>3.8</v>
      </c>
      <c r="K177" s="503" t="s">
        <v>20</v>
      </c>
      <c r="L177" s="504">
        <v>3</v>
      </c>
      <c r="M177" s="367"/>
      <c r="N177" s="367"/>
      <c r="O177" s="71"/>
      <c r="P177" s="1186"/>
      <c r="Q177" s="1189"/>
      <c r="R177" s="388" t="s">
        <v>733</v>
      </c>
      <c r="S177" s="389"/>
      <c r="T177" s="1192"/>
      <c r="U177" s="1180"/>
      <c r="V177" s="1183"/>
      <c r="W177" s="1180"/>
      <c r="X177" s="1183"/>
      <c r="Y177" s="1180"/>
      <c r="Z177" s="1183"/>
      <c r="AA177" s="1180"/>
      <c r="AB177" s="1183"/>
      <c r="AC177" s="1180"/>
      <c r="AE177" s="1186"/>
      <c r="AF177" s="1189"/>
      <c r="AG177" s="388" t="s">
        <v>733</v>
      </c>
      <c r="AH177" s="389"/>
      <c r="AI177" s="1192"/>
      <c r="AJ177" s="1180"/>
      <c r="AK177" s="1194"/>
      <c r="AL177" s="1194"/>
      <c r="AM177" s="1194"/>
      <c r="AN177" s="1194"/>
      <c r="AO177" s="1194"/>
      <c r="AP177" s="1194"/>
      <c r="AQ177" s="1194"/>
      <c r="AR177" s="1196"/>
    </row>
    <row r="178" spans="1:44" ht="16" outlineLevel="1" thickBot="1">
      <c r="B178" s="383" t="s">
        <v>11</v>
      </c>
      <c r="C178" s="397">
        <v>25</v>
      </c>
      <c r="D178" s="397">
        <v>25</v>
      </c>
      <c r="E178" s="397">
        <v>25</v>
      </c>
      <c r="F178" s="397">
        <v>25</v>
      </c>
      <c r="G178" s="399">
        <v>20</v>
      </c>
      <c r="H178" s="399">
        <v>35</v>
      </c>
      <c r="I178" s="399">
        <v>20</v>
      </c>
      <c r="J178" s="399">
        <v>35</v>
      </c>
      <c r="K178" s="372"/>
      <c r="L178" s="373" t="s">
        <v>740</v>
      </c>
      <c r="M178" s="363"/>
      <c r="N178" s="363"/>
      <c r="O178" s="71"/>
      <c r="P178" s="1186"/>
      <c r="Q178" s="1190"/>
      <c r="R178" s="393" t="s">
        <v>735</v>
      </c>
      <c r="S178" s="394"/>
      <c r="T178" s="1193"/>
      <c r="U178" s="1181"/>
      <c r="V178" s="1184"/>
      <c r="W178" s="1181"/>
      <c r="X178" s="1184"/>
      <c r="Y178" s="1181"/>
      <c r="Z178" s="1184"/>
      <c r="AA178" s="1181"/>
      <c r="AB178" s="1184"/>
      <c r="AC178" s="1181"/>
      <c r="AE178" s="1186"/>
      <c r="AF178" s="1190"/>
      <c r="AG178" s="393" t="s">
        <v>735</v>
      </c>
      <c r="AH178" s="394"/>
      <c r="AI178" s="1193"/>
      <c r="AJ178" s="1181"/>
      <c r="AK178" s="1194"/>
      <c r="AL178" s="1194"/>
      <c r="AM178" s="1194"/>
      <c r="AN178" s="1194"/>
      <c r="AO178" s="1194"/>
      <c r="AP178" s="1194"/>
      <c r="AQ178" s="1194"/>
      <c r="AR178" s="1196"/>
    </row>
    <row r="179" spans="1:44" ht="16" outlineLevel="1" thickBot="1">
      <c r="B179" s="500" t="s">
        <v>273</v>
      </c>
      <c r="C179" s="506">
        <v>1</v>
      </c>
      <c r="D179" s="506">
        <v>1</v>
      </c>
      <c r="E179" s="506">
        <v>1</v>
      </c>
      <c r="F179" s="506">
        <v>1</v>
      </c>
      <c r="G179" s="506">
        <v>0.5</v>
      </c>
      <c r="H179" s="506">
        <v>1.5</v>
      </c>
      <c r="I179" s="506">
        <v>0.5</v>
      </c>
      <c r="J179" s="506">
        <v>1.5</v>
      </c>
      <c r="K179" s="372"/>
      <c r="L179" s="400"/>
      <c r="M179" s="363"/>
      <c r="N179" s="363"/>
      <c r="O179" s="71"/>
      <c r="P179" s="1186"/>
      <c r="Q179" s="1188" t="s">
        <v>736</v>
      </c>
      <c r="R179" s="395" t="s">
        <v>737</v>
      </c>
      <c r="S179" s="396" t="s">
        <v>738</v>
      </c>
      <c r="T179" s="1191">
        <v>0</v>
      </c>
      <c r="U179" s="1191">
        <v>0.67</v>
      </c>
      <c r="V179" s="1191">
        <v>0</v>
      </c>
      <c r="W179" s="1191">
        <v>0.56999999999999995</v>
      </c>
      <c r="X179" s="1191">
        <v>0</v>
      </c>
      <c r="Y179" s="1191">
        <v>0.5</v>
      </c>
      <c r="Z179" s="1191">
        <v>0</v>
      </c>
      <c r="AA179" s="1191">
        <v>0.51</v>
      </c>
      <c r="AB179" s="1191">
        <v>0</v>
      </c>
      <c r="AC179" s="1179">
        <v>0.41</v>
      </c>
      <c r="AE179" s="1186"/>
      <c r="AF179" s="1188" t="s">
        <v>736</v>
      </c>
      <c r="AG179" s="395" t="s">
        <v>737</v>
      </c>
      <c r="AH179" s="396" t="s">
        <v>738</v>
      </c>
      <c r="AI179" s="1191">
        <v>0</v>
      </c>
      <c r="AJ179" s="1191">
        <f>U179/4</f>
        <v>0.16750000000000001</v>
      </c>
      <c r="AK179" s="1194"/>
      <c r="AL179" s="1194"/>
      <c r="AM179" s="1194"/>
      <c r="AN179" s="1194"/>
      <c r="AO179" s="1194"/>
      <c r="AP179" s="1194"/>
      <c r="AQ179" s="1194"/>
      <c r="AR179" s="1196"/>
    </row>
    <row r="180" spans="1:44" ht="16" outlineLevel="1" thickBot="1">
      <c r="B180" s="401" t="s">
        <v>743</v>
      </c>
      <c r="C180" s="402"/>
      <c r="D180" s="403"/>
      <c r="E180" s="404"/>
      <c r="F180" s="405"/>
      <c r="G180" s="406"/>
      <c r="H180" s="406"/>
      <c r="I180" s="406"/>
      <c r="J180" s="406"/>
      <c r="K180" s="407"/>
      <c r="L180" s="408"/>
      <c r="M180" s="363"/>
      <c r="N180" s="363"/>
      <c r="O180" s="71"/>
      <c r="P180" s="1186"/>
      <c r="Q180" s="1189"/>
      <c r="R180" s="395" t="s">
        <v>739</v>
      </c>
      <c r="S180" s="396" t="s">
        <v>738</v>
      </c>
      <c r="T180" s="1194"/>
      <c r="U180" s="1194"/>
      <c r="V180" s="1194"/>
      <c r="W180" s="1194"/>
      <c r="X180" s="1194"/>
      <c r="Y180" s="1194"/>
      <c r="Z180" s="1194"/>
      <c r="AA180" s="1194"/>
      <c r="AB180" s="1194"/>
      <c r="AC180" s="1196"/>
      <c r="AE180" s="1186"/>
      <c r="AF180" s="1189"/>
      <c r="AG180" s="395" t="s">
        <v>739</v>
      </c>
      <c r="AH180" s="396" t="s">
        <v>738</v>
      </c>
      <c r="AI180" s="1194"/>
      <c r="AJ180" s="1194"/>
      <c r="AK180" s="1195"/>
      <c r="AL180" s="1195"/>
      <c r="AM180" s="1195"/>
      <c r="AN180" s="1195"/>
      <c r="AO180" s="1195"/>
      <c r="AP180" s="1195"/>
      <c r="AQ180" s="1195"/>
      <c r="AR180" s="1197"/>
    </row>
    <row r="181" spans="1:44" ht="16" outlineLevel="1" thickBot="1">
      <c r="B181" s="500" t="s">
        <v>663</v>
      </c>
      <c r="C181" s="506">
        <v>20</v>
      </c>
      <c r="D181" s="506">
        <v>20</v>
      </c>
      <c r="E181" s="506">
        <v>20</v>
      </c>
      <c r="F181" s="506">
        <v>20</v>
      </c>
      <c r="G181" s="507"/>
      <c r="H181" s="507"/>
      <c r="I181" s="507"/>
      <c r="J181" s="507"/>
      <c r="K181" s="503"/>
      <c r="L181" s="504">
        <v>3</v>
      </c>
      <c r="M181" s="363"/>
      <c r="N181" s="363"/>
      <c r="P181" s="1186"/>
      <c r="Q181" s="1189"/>
      <c r="R181" s="395" t="s">
        <v>741</v>
      </c>
      <c r="S181" s="396"/>
      <c r="T181" s="1194"/>
      <c r="U181" s="1194"/>
      <c r="V181" s="1194"/>
      <c r="W181" s="1194"/>
      <c r="X181" s="1194"/>
      <c r="Y181" s="1194"/>
      <c r="Z181" s="1194"/>
      <c r="AA181" s="1194"/>
      <c r="AB181" s="1194"/>
      <c r="AC181" s="1196"/>
      <c r="AE181" s="1186"/>
      <c r="AF181" s="1189"/>
      <c r="AG181" s="395" t="s">
        <v>741</v>
      </c>
      <c r="AH181" s="629" t="s">
        <v>738</v>
      </c>
      <c r="AI181" s="1194"/>
      <c r="AJ181" s="1194"/>
      <c r="AK181" s="416">
        <v>1</v>
      </c>
      <c r="AL181" s="415">
        <v>1</v>
      </c>
      <c r="AM181" s="416">
        <v>1</v>
      </c>
      <c r="AN181" s="415">
        <v>1</v>
      </c>
      <c r="AO181" s="416">
        <v>1</v>
      </c>
      <c r="AP181" s="415">
        <v>1</v>
      </c>
      <c r="AQ181" s="416">
        <v>1</v>
      </c>
      <c r="AR181" s="417">
        <v>1</v>
      </c>
    </row>
    <row r="182" spans="1:44" outlineLevel="1">
      <c r="B182" s="500" t="s">
        <v>664</v>
      </c>
      <c r="C182" s="506">
        <v>0.3</v>
      </c>
      <c r="D182" s="506">
        <v>0.3</v>
      </c>
      <c r="E182" s="506">
        <v>0.3</v>
      </c>
      <c r="F182" s="506">
        <v>0.3</v>
      </c>
      <c r="G182" s="509"/>
      <c r="H182" s="509"/>
      <c r="I182" s="509"/>
      <c r="J182" s="509"/>
      <c r="K182" s="510"/>
      <c r="L182" s="504">
        <v>3</v>
      </c>
      <c r="M182" s="363"/>
      <c r="N182" s="363"/>
      <c r="P182" s="1186"/>
      <c r="Q182" s="1189"/>
      <c r="R182" s="395" t="s">
        <v>742</v>
      </c>
      <c r="S182" s="396" t="s">
        <v>738</v>
      </c>
      <c r="T182" s="1194"/>
      <c r="U182" s="1194"/>
      <c r="V182" s="1194"/>
      <c r="W182" s="1194"/>
      <c r="X182" s="1194"/>
      <c r="Y182" s="1194"/>
      <c r="Z182" s="1194"/>
      <c r="AA182" s="1194"/>
      <c r="AB182" s="1194"/>
      <c r="AC182" s="1196"/>
      <c r="AE182" s="1186"/>
      <c r="AF182" s="1189"/>
      <c r="AG182" s="395" t="s">
        <v>742</v>
      </c>
      <c r="AH182" s="396"/>
      <c r="AI182" s="1194"/>
      <c r="AJ182" s="1194"/>
    </row>
    <row r="183" spans="1:44" ht="16" outlineLevel="1" thickBot="1">
      <c r="B183" s="500" t="s">
        <v>666</v>
      </c>
      <c r="C183" s="506">
        <v>0.5</v>
      </c>
      <c r="D183" s="506">
        <v>0.5</v>
      </c>
      <c r="E183" s="506">
        <v>0.5</v>
      </c>
      <c r="F183" s="506">
        <v>0.5</v>
      </c>
      <c r="G183" s="509"/>
      <c r="H183" s="509"/>
      <c r="I183" s="509"/>
      <c r="J183" s="509"/>
      <c r="K183" s="510"/>
      <c r="L183" s="504">
        <v>3</v>
      </c>
      <c r="M183" s="420"/>
      <c r="N183" s="363"/>
      <c r="P183" s="1186"/>
      <c r="Q183" s="1190"/>
      <c r="R183" s="409" t="s">
        <v>863</v>
      </c>
      <c r="S183" s="410" t="s">
        <v>738</v>
      </c>
      <c r="T183" s="1195"/>
      <c r="U183" s="1195"/>
      <c r="V183" s="1195"/>
      <c r="W183" s="1195"/>
      <c r="X183" s="1195"/>
      <c r="Y183" s="1195"/>
      <c r="Z183" s="1195"/>
      <c r="AA183" s="1195"/>
      <c r="AB183" s="1195"/>
      <c r="AC183" s="1197"/>
      <c r="AE183" s="1186"/>
      <c r="AF183" s="1190"/>
      <c r="AG183" s="409" t="s">
        <v>863</v>
      </c>
      <c r="AH183" s="410" t="s">
        <v>738</v>
      </c>
      <c r="AI183" s="1195"/>
      <c r="AJ183" s="1195"/>
    </row>
    <row r="184" spans="1:44" ht="33" outlineLevel="1" thickBot="1">
      <c r="B184" s="421" t="s">
        <v>12</v>
      </c>
      <c r="C184" s="399"/>
      <c r="D184" s="399"/>
      <c r="E184" s="399"/>
      <c r="F184" s="399"/>
      <c r="G184" s="422"/>
      <c r="H184" s="422"/>
      <c r="I184" s="422"/>
      <c r="J184" s="422"/>
      <c r="K184" s="423"/>
      <c r="L184" s="424"/>
      <c r="M184" s="420"/>
      <c r="N184" s="420"/>
      <c r="P184" s="1187"/>
      <c r="Q184" s="411" t="s">
        <v>745</v>
      </c>
      <c r="R184" s="412" t="s">
        <v>746</v>
      </c>
      <c r="S184" s="630" t="s">
        <v>738</v>
      </c>
      <c r="T184" s="416">
        <v>1</v>
      </c>
      <c r="U184" s="415">
        <v>1</v>
      </c>
      <c r="V184" s="416">
        <v>1</v>
      </c>
      <c r="W184" s="415">
        <v>1</v>
      </c>
      <c r="X184" s="416">
        <v>1</v>
      </c>
      <c r="Y184" s="415">
        <v>1</v>
      </c>
      <c r="Z184" s="416">
        <v>1</v>
      </c>
      <c r="AA184" s="415">
        <v>1</v>
      </c>
      <c r="AB184" s="416">
        <v>1</v>
      </c>
      <c r="AC184" s="417">
        <v>1</v>
      </c>
      <c r="AE184" s="1187"/>
      <c r="AF184" s="411" t="s">
        <v>745</v>
      </c>
      <c r="AG184" s="631" t="s">
        <v>746</v>
      </c>
      <c r="AH184" s="632" t="s">
        <v>738</v>
      </c>
      <c r="AI184" s="416">
        <v>1</v>
      </c>
      <c r="AJ184" s="415">
        <v>1</v>
      </c>
    </row>
    <row r="185" spans="1:44" outlineLevel="1">
      <c r="B185" s="383" t="s">
        <v>843</v>
      </c>
      <c r="C185" s="397">
        <v>11</v>
      </c>
      <c r="D185" s="397">
        <v>11</v>
      </c>
      <c r="E185" s="397">
        <v>11</v>
      </c>
      <c r="F185" s="397">
        <v>11</v>
      </c>
      <c r="G185" s="422"/>
      <c r="H185" s="425"/>
      <c r="I185" s="425"/>
      <c r="J185" s="425"/>
      <c r="K185" s="426" t="s">
        <v>76</v>
      </c>
      <c r="L185" s="427" t="s">
        <v>748</v>
      </c>
      <c r="M185" s="428"/>
      <c r="N185" s="428"/>
    </row>
    <row r="186" spans="1:44" outlineLevel="1">
      <c r="B186" s="383" t="s">
        <v>749</v>
      </c>
      <c r="C186" s="397">
        <v>10</v>
      </c>
      <c r="D186" s="397">
        <v>10</v>
      </c>
      <c r="E186" s="397">
        <v>10</v>
      </c>
      <c r="F186" s="397">
        <v>10</v>
      </c>
      <c r="G186" s="425"/>
      <c r="H186" s="425"/>
      <c r="I186" s="425"/>
      <c r="J186" s="425"/>
      <c r="K186" s="423"/>
      <c r="L186" s="427">
        <v>9</v>
      </c>
      <c r="M186" s="428"/>
      <c r="N186" s="428"/>
    </row>
    <row r="187" spans="1:44" outlineLevel="1">
      <c r="B187" s="383" t="s">
        <v>844</v>
      </c>
      <c r="C187" s="397">
        <v>63</v>
      </c>
      <c r="D187" s="397">
        <v>49</v>
      </c>
      <c r="E187" s="397">
        <v>46</v>
      </c>
      <c r="F187" s="397">
        <v>41</v>
      </c>
      <c r="G187" s="425"/>
      <c r="H187" s="425"/>
      <c r="I187" s="425"/>
      <c r="J187" s="425"/>
      <c r="K187" s="423"/>
      <c r="L187" s="427" t="s">
        <v>748</v>
      </c>
      <c r="M187" s="428"/>
      <c r="N187" s="428"/>
    </row>
    <row r="188" spans="1:44" outlineLevel="1">
      <c r="B188" s="383" t="s">
        <v>366</v>
      </c>
      <c r="C188" s="397">
        <v>11</v>
      </c>
      <c r="D188" s="397">
        <v>8</v>
      </c>
      <c r="E188" s="397">
        <v>6</v>
      </c>
      <c r="F188" s="397">
        <v>4</v>
      </c>
      <c r="G188" s="425"/>
      <c r="H188" s="425"/>
      <c r="I188" s="425"/>
      <c r="J188" s="425"/>
      <c r="K188" s="423"/>
      <c r="L188" s="427" t="s">
        <v>748</v>
      </c>
      <c r="M188" s="428"/>
      <c r="N188" s="428"/>
    </row>
    <row r="189" spans="1:44" ht="16" outlineLevel="1" thickBot="1">
      <c r="B189" s="429" t="s">
        <v>367</v>
      </c>
      <c r="C189" s="626">
        <v>3</v>
      </c>
      <c r="D189" s="626">
        <v>3</v>
      </c>
      <c r="E189" s="626">
        <v>1</v>
      </c>
      <c r="F189" s="626">
        <v>1</v>
      </c>
      <c r="G189" s="425"/>
      <c r="H189" s="425"/>
      <c r="I189" s="425"/>
      <c r="J189" s="425"/>
      <c r="K189" s="423"/>
      <c r="L189" s="427" t="s">
        <v>748</v>
      </c>
      <c r="M189" s="428"/>
      <c r="N189" s="428"/>
    </row>
    <row r="190" spans="1:44" ht="16" outlineLevel="1" thickBot="1">
      <c r="B190" s="431" t="s">
        <v>674</v>
      </c>
      <c r="C190" s="432"/>
      <c r="D190" s="403"/>
      <c r="E190" s="403"/>
      <c r="F190" s="433"/>
      <c r="G190" s="434"/>
      <c r="H190" s="406"/>
      <c r="I190" s="406"/>
      <c r="J190" s="406"/>
      <c r="K190" s="407"/>
      <c r="L190" s="408"/>
      <c r="M190" s="428"/>
      <c r="N190" s="428"/>
    </row>
    <row r="191" spans="1:44" outlineLevel="1">
      <c r="A191" s="435"/>
      <c r="B191" s="436" t="s">
        <v>910</v>
      </c>
      <c r="C191" s="551">
        <f>0.618181818181818</f>
        <v>0.61818181818181805</v>
      </c>
      <c r="D191" s="647">
        <f>0.590909090909091</f>
        <v>0.59090909090909105</v>
      </c>
      <c r="E191" s="647">
        <f>(F191+D191)/2</f>
        <v>0.56363636363636349</v>
      </c>
      <c r="F191" s="648">
        <f>0.536363636363636</f>
        <v>0.53636363636363604</v>
      </c>
      <c r="G191" s="425"/>
      <c r="H191" s="425"/>
      <c r="I191" s="425"/>
      <c r="J191" s="425"/>
      <c r="K191" s="426" t="s">
        <v>752</v>
      </c>
      <c r="L191" s="440" t="s">
        <v>753</v>
      </c>
      <c r="M191" s="420"/>
      <c r="N191" s="420"/>
    </row>
    <row r="192" spans="1:44" outlineLevel="1">
      <c r="B192" s="441" t="s">
        <v>839</v>
      </c>
      <c r="C192" s="442">
        <v>60</v>
      </c>
      <c r="D192" s="442">
        <v>60</v>
      </c>
      <c r="E192" s="442">
        <v>60</v>
      </c>
      <c r="F192" s="442">
        <v>60</v>
      </c>
      <c r="G192" s="425"/>
      <c r="H192" s="425"/>
      <c r="I192" s="425"/>
      <c r="J192" s="425"/>
      <c r="K192" s="444"/>
      <c r="L192" s="373">
        <v>3</v>
      </c>
      <c r="M192" s="71"/>
      <c r="N192" s="420"/>
    </row>
    <row r="193" spans="2:30" outlineLevel="1">
      <c r="B193" s="441" t="s">
        <v>840</v>
      </c>
      <c r="C193" s="442">
        <f>100-C192</f>
        <v>40</v>
      </c>
      <c r="D193" s="442">
        <f>100-D192</f>
        <v>40</v>
      </c>
      <c r="E193" s="442">
        <f>100-E192</f>
        <v>40</v>
      </c>
      <c r="F193" s="442">
        <f>100-F192</f>
        <v>40</v>
      </c>
      <c r="G193" s="425"/>
      <c r="H193" s="425"/>
      <c r="I193" s="425"/>
      <c r="J193" s="425"/>
      <c r="K193" s="444"/>
      <c r="L193" s="373">
        <v>3</v>
      </c>
      <c r="M193" s="420"/>
      <c r="N193" s="420"/>
    </row>
    <row r="194" spans="2:30" outlineLevel="1">
      <c r="B194" s="383" t="s">
        <v>841</v>
      </c>
      <c r="C194" s="602">
        <v>33700</v>
      </c>
      <c r="D194" s="603">
        <v>35900</v>
      </c>
      <c r="E194" s="603">
        <f>(F194+D194)/2</f>
        <v>34800</v>
      </c>
      <c r="F194" s="604">
        <v>33700</v>
      </c>
      <c r="G194" s="425"/>
      <c r="H194" s="425"/>
      <c r="I194" s="425"/>
      <c r="J194" s="425"/>
      <c r="K194" s="448" t="s">
        <v>51</v>
      </c>
      <c r="L194" s="373">
        <v>3</v>
      </c>
      <c r="M194" s="420"/>
      <c r="N194" s="420"/>
    </row>
    <row r="195" spans="2:30" outlineLevel="1">
      <c r="B195" s="383" t="s">
        <v>679</v>
      </c>
      <c r="C195" s="449">
        <f>C196+C197</f>
        <v>2.7789999999999999</v>
      </c>
      <c r="D195" s="449">
        <f t="shared" ref="D195:F195" si="25">D196+D197</f>
        <v>2.8250000000000002</v>
      </c>
      <c r="E195" s="449">
        <f t="shared" si="25"/>
        <v>2.8479999999999999</v>
      </c>
      <c r="F195" s="449">
        <f t="shared" si="25"/>
        <v>2.8479999999999999</v>
      </c>
      <c r="G195" s="425"/>
      <c r="H195" s="425"/>
      <c r="I195" s="425"/>
      <c r="J195" s="425"/>
      <c r="K195" s="448"/>
      <c r="L195" s="373">
        <v>3</v>
      </c>
      <c r="M195" s="450"/>
      <c r="N195" s="361"/>
    </row>
    <row r="196" spans="2:30" outlineLevel="1">
      <c r="B196" s="500" t="s">
        <v>758</v>
      </c>
      <c r="C196" s="514">
        <f>C175/100*73</f>
        <v>1.679</v>
      </c>
      <c r="D196" s="514">
        <f>D175/100*75</f>
        <v>1.7249999999999999</v>
      </c>
      <c r="E196" s="514">
        <f>E175/100*76</f>
        <v>1.748</v>
      </c>
      <c r="F196" s="514">
        <f>F175/100*76</f>
        <v>1.748</v>
      </c>
      <c r="G196" s="515"/>
      <c r="H196" s="515"/>
      <c r="I196" s="515"/>
      <c r="J196" s="515"/>
      <c r="K196" s="503" t="s">
        <v>52</v>
      </c>
      <c r="L196" s="504">
        <v>3</v>
      </c>
      <c r="M196" s="450"/>
      <c r="N196" s="361"/>
    </row>
    <row r="197" spans="2:30" outlineLevel="1">
      <c r="B197" s="500" t="s">
        <v>759</v>
      </c>
      <c r="C197" s="516">
        <v>1.1000000000000001</v>
      </c>
      <c r="D197" s="516">
        <v>1.1000000000000001</v>
      </c>
      <c r="E197" s="516">
        <v>1.1000000000000001</v>
      </c>
      <c r="F197" s="516">
        <v>1.1000000000000001</v>
      </c>
      <c r="G197" s="515"/>
      <c r="H197" s="515"/>
      <c r="I197" s="515"/>
      <c r="J197" s="515"/>
      <c r="K197" s="517"/>
      <c r="L197" s="504">
        <v>3</v>
      </c>
      <c r="M197" s="363"/>
      <c r="N197" s="363"/>
    </row>
    <row r="198" spans="2:30" outlineLevel="1">
      <c r="B198" s="441"/>
      <c r="C198" s="681"/>
      <c r="D198" s="681"/>
      <c r="E198" s="681"/>
      <c r="F198" s="681"/>
      <c r="G198" s="425"/>
      <c r="H198" s="425"/>
      <c r="I198" s="425"/>
      <c r="J198" s="425"/>
      <c r="K198" s="444"/>
      <c r="L198" s="424"/>
      <c r="M198" s="367"/>
      <c r="N198" s="367"/>
      <c r="P198" s="1157">
        <f>C195</f>
        <v>2.7789999999999999</v>
      </c>
      <c r="Q198" s="1135"/>
      <c r="R198" s="1135"/>
      <c r="S198" s="1135"/>
      <c r="T198" s="1135"/>
      <c r="U198" s="1158"/>
    </row>
    <row r="199" spans="2:30" ht="16" outlineLevel="1" thickBot="1">
      <c r="B199" s="519"/>
      <c r="C199" s="442"/>
      <c r="D199" s="520"/>
      <c r="E199" s="520"/>
      <c r="F199" s="521"/>
      <c r="G199" s="425"/>
      <c r="H199" s="425"/>
      <c r="I199" s="425"/>
      <c r="J199" s="425"/>
      <c r="K199" s="448"/>
      <c r="L199" s="424"/>
      <c r="M199" s="363"/>
      <c r="N199" s="363"/>
      <c r="P199" s="1159">
        <f>C196</f>
        <v>1.679</v>
      </c>
      <c r="Q199" s="1160"/>
      <c r="R199" s="1160"/>
      <c r="S199" s="1160"/>
      <c r="T199" s="1160"/>
      <c r="U199" s="1161"/>
    </row>
    <row r="200" spans="2:30" ht="16" outlineLevel="1" thickBot="1">
      <c r="B200" s="401" t="s">
        <v>682</v>
      </c>
      <c r="C200" s="402"/>
      <c r="D200" s="403"/>
      <c r="E200" s="404"/>
      <c r="F200" s="405"/>
      <c r="G200" s="406"/>
      <c r="H200" s="406"/>
      <c r="I200" s="406"/>
      <c r="J200" s="406"/>
      <c r="K200" s="459"/>
      <c r="L200" s="460"/>
      <c r="M200" s="363"/>
      <c r="N200" s="363"/>
      <c r="P200" s="53" t="s">
        <v>357</v>
      </c>
    </row>
    <row r="201" spans="2:30" ht="30" outlineLevel="1">
      <c r="B201" s="522" t="s">
        <v>762</v>
      </c>
      <c r="C201" s="670">
        <v>3.5000000000000003E-2</v>
      </c>
      <c r="D201" s="670">
        <v>0.03</v>
      </c>
      <c r="E201" s="670">
        <v>0.03</v>
      </c>
      <c r="F201" s="670">
        <v>0.03</v>
      </c>
      <c r="G201" s="524"/>
      <c r="H201" s="524"/>
      <c r="I201" s="524"/>
      <c r="J201" s="524"/>
      <c r="K201" s="524" t="s">
        <v>55</v>
      </c>
      <c r="L201" s="525"/>
      <c r="M201" s="363"/>
      <c r="N201" s="363"/>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6" outlineLevel="1" thickBot="1">
      <c r="B202" s="500" t="s">
        <v>763</v>
      </c>
      <c r="C202" s="526" t="s">
        <v>36</v>
      </c>
      <c r="D202" s="527" t="s">
        <v>36</v>
      </c>
      <c r="E202" s="527" t="s">
        <v>36</v>
      </c>
      <c r="F202" s="528" t="s">
        <v>36</v>
      </c>
      <c r="G202" s="528"/>
      <c r="H202" s="528"/>
      <c r="I202" s="528"/>
      <c r="J202" s="528"/>
      <c r="K202" s="529" t="s">
        <v>49</v>
      </c>
      <c r="L202" s="525"/>
      <c r="M202" s="363"/>
      <c r="N202" s="363"/>
      <c r="P202" s="50"/>
      <c r="Q202" s="50"/>
      <c r="R202" s="51"/>
      <c r="S202" s="51"/>
      <c r="T202" s="51"/>
      <c r="U202" s="51" t="s">
        <v>760</v>
      </c>
      <c r="V202" s="50" t="s">
        <v>761</v>
      </c>
      <c r="W202" s="50"/>
      <c r="X202" s="50"/>
      <c r="Y202" s="50"/>
      <c r="Z202" s="50"/>
      <c r="AA202" s="50"/>
      <c r="AB202" s="50"/>
      <c r="AC202" s="50"/>
      <c r="AD202" s="50"/>
    </row>
    <row r="203" spans="2:30" ht="32" outlineLevel="1">
      <c r="B203" s="500" t="s">
        <v>764</v>
      </c>
      <c r="C203" s="526" t="s">
        <v>36</v>
      </c>
      <c r="D203" s="527" t="s">
        <v>36</v>
      </c>
      <c r="E203" s="527" t="s">
        <v>36</v>
      </c>
      <c r="F203" s="528" t="s">
        <v>36</v>
      </c>
      <c r="G203" s="515"/>
      <c r="H203" s="515"/>
      <c r="I203" s="515"/>
      <c r="J203" s="515"/>
      <c r="K203" s="515"/>
      <c r="L203" s="504"/>
      <c r="M203" s="363"/>
      <c r="N203" s="363"/>
      <c r="O203" s="461" t="s">
        <v>732</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500" t="s">
        <v>765</v>
      </c>
      <c r="C204" s="685">
        <v>90</v>
      </c>
      <c r="D204" s="530">
        <v>90</v>
      </c>
      <c r="E204" s="530">
        <v>90</v>
      </c>
      <c r="F204" s="530">
        <v>90</v>
      </c>
      <c r="G204" s="531"/>
      <c r="H204" s="531"/>
      <c r="I204" s="531"/>
      <c r="J204" s="531"/>
      <c r="K204" s="531"/>
      <c r="L204" s="504">
        <v>3</v>
      </c>
      <c r="M204" s="363"/>
      <c r="N204" s="363"/>
      <c r="O204" s="465">
        <f>C174</f>
        <v>90</v>
      </c>
      <c r="P204" s="466">
        <f>C170</f>
        <v>2020</v>
      </c>
      <c r="Q204" s="58">
        <f>P204</f>
        <v>2020</v>
      </c>
      <c r="R204" s="466">
        <f>O204/100</f>
        <v>0.9</v>
      </c>
      <c r="S204" s="58"/>
      <c r="T204" s="466">
        <f>C178</f>
        <v>25</v>
      </c>
      <c r="U204" s="467">
        <f>C208</f>
        <v>4605.4545454545441</v>
      </c>
      <c r="V204" s="467">
        <f>C210</f>
        <v>251.065</v>
      </c>
      <c r="W204" s="467">
        <f>C211</f>
        <v>5.7509861111111107</v>
      </c>
      <c r="X204" s="58"/>
      <c r="Y204" s="58"/>
      <c r="Z204" s="466">
        <f>C185</f>
        <v>11</v>
      </c>
      <c r="AA204" s="468">
        <f>C187</f>
        <v>63</v>
      </c>
      <c r="AB204" s="468">
        <f>C188</f>
        <v>11</v>
      </c>
      <c r="AC204" s="468">
        <f>C189</f>
        <v>3</v>
      </c>
      <c r="AD204" s="468">
        <f>C186</f>
        <v>10</v>
      </c>
    </row>
    <row r="205" spans="2:30" outlineLevel="1">
      <c r="B205" s="532" t="s">
        <v>766</v>
      </c>
      <c r="C205" s="526"/>
      <c r="D205" s="527"/>
      <c r="E205" s="527"/>
      <c r="F205" s="528"/>
      <c r="G205" s="531"/>
      <c r="H205" s="531"/>
      <c r="I205" s="531"/>
      <c r="J205" s="531"/>
      <c r="K205" s="531"/>
      <c r="L205" s="533"/>
      <c r="M205" s="367"/>
      <c r="N205" s="367"/>
      <c r="O205" s="465">
        <f>D174</f>
        <v>90</v>
      </c>
      <c r="P205" s="466">
        <f>D170</f>
        <v>2030</v>
      </c>
      <c r="Q205" s="58"/>
      <c r="R205" s="466">
        <f>O205/100</f>
        <v>0.9</v>
      </c>
      <c r="S205" s="58"/>
      <c r="T205" s="466">
        <f>D178</f>
        <v>25</v>
      </c>
      <c r="U205" s="467">
        <f>D208</f>
        <v>4402.2727272727279</v>
      </c>
      <c r="V205" s="467">
        <f>D210</f>
        <v>267.45499999999998</v>
      </c>
      <c r="W205" s="467">
        <f>D211</f>
        <v>5.8461805555555557</v>
      </c>
      <c r="X205" s="58"/>
      <c r="Y205" s="58"/>
      <c r="Z205" s="466">
        <f>D185</f>
        <v>11</v>
      </c>
      <c r="AA205" s="468">
        <f>D187</f>
        <v>49</v>
      </c>
      <c r="AB205" s="468">
        <f>D188</f>
        <v>8</v>
      </c>
      <c r="AC205" s="468">
        <f>D189</f>
        <v>3</v>
      </c>
      <c r="AD205" s="468">
        <f>D186</f>
        <v>10</v>
      </c>
    </row>
    <row r="206" spans="2:30" outlineLevel="1">
      <c r="B206" s="532" t="s">
        <v>767</v>
      </c>
      <c r="C206" s="526"/>
      <c r="D206" s="527"/>
      <c r="E206" s="527"/>
      <c r="F206" s="528"/>
      <c r="G206" s="531"/>
      <c r="H206" s="531"/>
      <c r="I206" s="531"/>
      <c r="J206" s="531"/>
      <c r="K206" s="531"/>
      <c r="L206" s="533"/>
      <c r="M206" s="363"/>
      <c r="N206" s="363"/>
      <c r="O206" s="465">
        <f>E174</f>
        <v>90</v>
      </c>
      <c r="P206" s="466">
        <f>E170</f>
        <v>2040</v>
      </c>
      <c r="Q206" s="58"/>
      <c r="R206" s="466">
        <f>O206/100</f>
        <v>0.9</v>
      </c>
      <c r="S206" s="58"/>
      <c r="T206" s="466">
        <f>E178</f>
        <v>25</v>
      </c>
      <c r="U206" s="467">
        <f>E208</f>
        <v>4199.0909090909081</v>
      </c>
      <c r="V206" s="467">
        <f>E210</f>
        <v>259.26</v>
      </c>
      <c r="W206" s="467">
        <f>E211</f>
        <v>5.8937777777777782</v>
      </c>
      <c r="X206" s="58"/>
      <c r="Y206" s="58"/>
      <c r="Z206" s="466">
        <f>E185</f>
        <v>11</v>
      </c>
      <c r="AA206" s="468">
        <f>E187</f>
        <v>46</v>
      </c>
      <c r="AB206" s="468">
        <f>E188</f>
        <v>6</v>
      </c>
      <c r="AC206" s="468">
        <f>E189</f>
        <v>1</v>
      </c>
      <c r="AD206" s="468">
        <f>E186</f>
        <v>10</v>
      </c>
    </row>
    <row r="207" spans="2:30" ht="16" outlineLevel="1" thickBot="1">
      <c r="B207" s="534" t="s">
        <v>768</v>
      </c>
      <c r="C207" s="535"/>
      <c r="D207" s="536"/>
      <c r="E207" s="536"/>
      <c r="F207" s="537"/>
      <c r="G207" s="538"/>
      <c r="H207" s="538"/>
      <c r="I207" s="538"/>
      <c r="J207" s="538"/>
      <c r="K207" s="538"/>
      <c r="L207" s="539"/>
      <c r="M207" s="363"/>
      <c r="N207" s="363"/>
      <c r="O207" s="465">
        <f>F174</f>
        <v>91</v>
      </c>
      <c r="P207" s="466">
        <f>F170</f>
        <v>2050</v>
      </c>
      <c r="Q207" s="58"/>
      <c r="R207" s="466">
        <f>O207/100</f>
        <v>0.91</v>
      </c>
      <c r="S207" s="58"/>
      <c r="T207" s="466">
        <f>F178</f>
        <v>25</v>
      </c>
      <c r="U207" s="467">
        <f>F208</f>
        <v>3995.9090909090883</v>
      </c>
      <c r="V207" s="467">
        <f>F210</f>
        <v>251.065</v>
      </c>
      <c r="W207" s="467">
        <f>F211</f>
        <v>5.8937777777777782</v>
      </c>
      <c r="X207" s="58"/>
      <c r="Y207" s="58"/>
      <c r="Z207" s="466">
        <f>F185</f>
        <v>11</v>
      </c>
      <c r="AA207" s="468">
        <f>F187</f>
        <v>41</v>
      </c>
      <c r="AB207" s="468">
        <f>F188</f>
        <v>4</v>
      </c>
      <c r="AC207" s="468">
        <f>F189</f>
        <v>1</v>
      </c>
      <c r="AD207" s="468">
        <f>F186</f>
        <v>10</v>
      </c>
    </row>
    <row r="208" spans="2:30" ht="64" outlineLevel="1">
      <c r="B208" s="461" t="s">
        <v>769</v>
      </c>
      <c r="C208" s="483">
        <f>C191*$F$4*1000</f>
        <v>4605.4545454545441</v>
      </c>
      <c r="D208" s="483">
        <f t="shared" ref="D208:F208" si="26">D191*$F$4*1000</f>
        <v>4402.2727272727279</v>
      </c>
      <c r="E208" s="483">
        <f t="shared" si="26"/>
        <v>4199.0909090909081</v>
      </c>
      <c r="F208" s="483">
        <f t="shared" si="26"/>
        <v>3995.9090909090883</v>
      </c>
      <c r="G208" s="483"/>
      <c r="H208" s="484"/>
      <c r="I208" s="420" t="s">
        <v>332</v>
      </c>
      <c r="J208" s="420"/>
      <c r="K208" s="484"/>
      <c r="L208" s="484"/>
      <c r="N208" s="420"/>
    </row>
    <row r="209" spans="1:16" outlineLevel="1">
      <c r="B209" s="485" t="s">
        <v>770</v>
      </c>
      <c r="C209" s="486">
        <f>C208*$I209</f>
        <v>2302727.272727272</v>
      </c>
      <c r="D209" s="486">
        <f>D208*$I209</f>
        <v>2201136.3636363638</v>
      </c>
      <c r="E209" s="486">
        <f>E208*$I209</f>
        <v>2099545.4545454541</v>
      </c>
      <c r="F209" s="486">
        <f>F208*$I209</f>
        <v>1997954.545454544</v>
      </c>
      <c r="G209" s="486"/>
      <c r="H209" s="484"/>
      <c r="I209" s="71">
        <v>500</v>
      </c>
      <c r="J209" s="420" t="s">
        <v>330</v>
      </c>
      <c r="K209" s="484"/>
      <c r="L209" s="484"/>
      <c r="N209" s="420"/>
    </row>
    <row r="210" spans="1:16" ht="48" outlineLevel="1">
      <c r="B210" s="461" t="s">
        <v>845</v>
      </c>
      <c r="C210" s="359">
        <f>C194*$F$4/1000</f>
        <v>251.065</v>
      </c>
      <c r="D210" s="359">
        <f t="shared" ref="D210:F210" si="27">D194*$F$4/1000</f>
        <v>267.45499999999998</v>
      </c>
      <c r="E210" s="359">
        <f t="shared" si="27"/>
        <v>259.26</v>
      </c>
      <c r="F210" s="359">
        <f t="shared" si="27"/>
        <v>251.065</v>
      </c>
      <c r="G210" s="359"/>
      <c r="I210" s="420" t="s">
        <v>333</v>
      </c>
      <c r="J210" s="420"/>
      <c r="N210" s="420"/>
    </row>
    <row r="211" spans="1:16" ht="48" outlineLevel="1">
      <c r="B211" s="461" t="s">
        <v>846</v>
      </c>
      <c r="C211" s="487">
        <f>C195*$F$4/3.6</f>
        <v>5.7509861111111107</v>
      </c>
      <c r="D211" s="487">
        <f t="shared" ref="D211:F211" si="28">D195*$F$4/3.6</f>
        <v>5.8461805555555557</v>
      </c>
      <c r="E211" s="487">
        <f t="shared" si="28"/>
        <v>5.8937777777777782</v>
      </c>
      <c r="F211" s="487">
        <f t="shared" si="28"/>
        <v>5.8937777777777782</v>
      </c>
      <c r="G211" s="359"/>
      <c r="M211" s="420"/>
      <c r="N211" s="420"/>
    </row>
    <row r="212" spans="1:16" outlineLevel="1"/>
    <row r="213" spans="1:16" outlineLevel="1">
      <c r="A213" s="488"/>
      <c r="B213" s="489"/>
      <c r="D213" s="490"/>
      <c r="E213" s="490"/>
      <c r="F213" s="490"/>
      <c r="G213" s="358"/>
      <c r="H213" s="358"/>
      <c r="I213" s="358"/>
      <c r="J213" s="358"/>
      <c r="K213" s="358"/>
      <c r="L213" s="358"/>
      <c r="N213" s="570"/>
    </row>
    <row r="214" spans="1:16" outlineLevel="1">
      <c r="A214" s="491"/>
      <c r="B214" s="492"/>
      <c r="D214" s="490"/>
      <c r="E214" s="490"/>
      <c r="F214" s="490"/>
      <c r="G214" s="358"/>
      <c r="H214" s="358"/>
      <c r="I214" s="358"/>
      <c r="J214" s="358"/>
      <c r="K214" s="358"/>
      <c r="L214" s="358"/>
      <c r="N214" s="570"/>
    </row>
    <row r="215" spans="1:16" outlineLevel="1">
      <c r="A215" s="491"/>
      <c r="B215" s="493"/>
      <c r="D215" s="490"/>
      <c r="E215" s="490"/>
      <c r="F215" s="490"/>
      <c r="G215" s="358"/>
      <c r="H215" s="358"/>
      <c r="I215" s="358"/>
      <c r="J215" s="358"/>
      <c r="K215" s="358"/>
      <c r="L215" s="358"/>
      <c r="N215" s="570"/>
    </row>
    <row r="216" spans="1:16" outlineLevel="1">
      <c r="A216" s="491"/>
      <c r="B216" s="488" t="s">
        <v>773</v>
      </c>
      <c r="C216" s="489"/>
      <c r="E216" s="358"/>
      <c r="F216" s="490"/>
      <c r="G216" s="358"/>
      <c r="H216" s="358"/>
      <c r="I216" s="358"/>
      <c r="J216" s="358"/>
      <c r="K216" s="358"/>
      <c r="L216" s="358"/>
      <c r="N216" s="570"/>
      <c r="O216" s="489"/>
      <c r="P216" s="490"/>
    </row>
    <row r="217" spans="1:16" outlineLevel="1">
      <c r="A217" s="491"/>
      <c r="B217" s="491">
        <v>1</v>
      </c>
      <c r="C217" s="492" t="s">
        <v>774</v>
      </c>
      <c r="E217" s="358"/>
      <c r="F217" s="490"/>
      <c r="G217" s="358"/>
      <c r="H217" s="358"/>
      <c r="I217" s="358"/>
      <c r="J217" s="358"/>
      <c r="K217" s="358"/>
      <c r="L217" s="358"/>
      <c r="N217" s="570"/>
      <c r="O217" s="489"/>
      <c r="P217" s="490"/>
    </row>
    <row r="218" spans="1:16" outlineLevel="1">
      <c r="A218" s="358"/>
      <c r="B218" s="491">
        <v>2</v>
      </c>
      <c r="C218" s="493" t="s">
        <v>775</v>
      </c>
      <c r="E218" s="358"/>
      <c r="F218" s="490"/>
      <c r="G218" s="358"/>
      <c r="H218" s="358"/>
      <c r="I218" s="358"/>
      <c r="J218" s="358"/>
      <c r="K218" s="358"/>
      <c r="L218" s="358"/>
      <c r="O218" s="489"/>
      <c r="P218" s="490"/>
    </row>
    <row r="219" spans="1:16" outlineLevel="1">
      <c r="A219" s="358"/>
      <c r="B219" s="491">
        <v>3</v>
      </c>
      <c r="C219" s="493" t="s">
        <v>776</v>
      </c>
      <c r="E219" s="358"/>
      <c r="F219" s="490"/>
      <c r="G219" s="358"/>
      <c r="H219" s="358"/>
      <c r="I219" s="358"/>
      <c r="J219" s="358"/>
      <c r="K219" s="358"/>
      <c r="L219" s="358"/>
      <c r="O219" s="489"/>
      <c r="P219" s="490"/>
    </row>
    <row r="220" spans="1:16" outlineLevel="1">
      <c r="A220" s="358"/>
      <c r="B220" s="491">
        <v>4</v>
      </c>
      <c r="C220" s="493" t="s">
        <v>777</v>
      </c>
      <c r="E220" s="358"/>
      <c r="F220" s="490"/>
      <c r="G220" s="358"/>
      <c r="H220" s="358"/>
      <c r="I220" s="358"/>
      <c r="J220" s="358"/>
      <c r="K220" s="358"/>
      <c r="L220" s="358"/>
      <c r="O220" s="489"/>
      <c r="P220" s="490"/>
    </row>
    <row r="221" spans="1:16" outlineLevel="1">
      <c r="A221" s="358"/>
      <c r="B221" s="358">
        <v>5</v>
      </c>
      <c r="C221" s="494" t="s">
        <v>778</v>
      </c>
      <c r="F221" s="490"/>
      <c r="G221" s="358"/>
      <c r="H221" s="358"/>
      <c r="I221" s="358"/>
      <c r="J221" s="358"/>
      <c r="K221" s="358"/>
      <c r="L221" s="358"/>
    </row>
    <row r="222" spans="1:16" outlineLevel="1">
      <c r="A222" s="358"/>
      <c r="B222" s="358">
        <v>6</v>
      </c>
      <c r="C222" s="492" t="s">
        <v>779</v>
      </c>
      <c r="F222" s="490"/>
      <c r="G222" s="358"/>
      <c r="H222" s="358"/>
      <c r="I222" s="358"/>
      <c r="J222" s="358"/>
      <c r="K222" s="358"/>
      <c r="L222" s="358"/>
    </row>
    <row r="223" spans="1:16" outlineLevel="1">
      <c r="A223" s="358"/>
      <c r="B223" s="358">
        <v>7</v>
      </c>
      <c r="C223" s="495" t="s">
        <v>774</v>
      </c>
      <c r="F223" s="490"/>
      <c r="G223" s="358"/>
      <c r="H223" s="358"/>
      <c r="I223" s="358"/>
      <c r="J223" s="358"/>
      <c r="K223" s="358"/>
      <c r="L223" s="358"/>
    </row>
    <row r="224" spans="1:16" outlineLevel="1">
      <c r="A224" s="488"/>
      <c r="B224" s="358">
        <v>8</v>
      </c>
      <c r="C224" s="495" t="s">
        <v>780</v>
      </c>
      <c r="F224" s="490"/>
      <c r="G224" s="358"/>
      <c r="H224" s="358"/>
      <c r="I224" s="358"/>
      <c r="J224" s="358"/>
      <c r="K224" s="358"/>
      <c r="L224" s="358"/>
    </row>
    <row r="225" spans="1:16" outlineLevel="1">
      <c r="A225" s="496"/>
      <c r="B225" s="358">
        <v>9</v>
      </c>
      <c r="C225" s="489" t="s">
        <v>781</v>
      </c>
      <c r="F225" s="490"/>
      <c r="G225" s="358"/>
      <c r="H225" s="358"/>
      <c r="I225" s="358"/>
      <c r="J225" s="358"/>
      <c r="K225" s="358"/>
      <c r="L225" s="358"/>
      <c r="N225" s="570"/>
    </row>
    <row r="226" spans="1:16" outlineLevel="1">
      <c r="A226" s="496"/>
      <c r="B226" s="358">
        <v>10</v>
      </c>
      <c r="C226" s="490" t="s">
        <v>782</v>
      </c>
      <c r="F226" s="490"/>
      <c r="G226" s="358"/>
      <c r="H226" s="358"/>
      <c r="I226" s="358"/>
      <c r="J226" s="358"/>
      <c r="K226" s="358"/>
      <c r="L226" s="358"/>
      <c r="N226" s="570"/>
    </row>
    <row r="227" spans="1:16" outlineLevel="1">
      <c r="A227" s="496"/>
      <c r="B227" s="488" t="s">
        <v>783</v>
      </c>
      <c r="C227" s="489"/>
      <c r="F227" s="490"/>
      <c r="G227" s="358"/>
      <c r="H227" s="358"/>
      <c r="I227" s="358"/>
      <c r="J227" s="358"/>
      <c r="K227" s="358"/>
      <c r="L227" s="358"/>
      <c r="N227" s="570"/>
    </row>
    <row r="228" spans="1:16" outlineLevel="1">
      <c r="A228" s="496"/>
      <c r="B228" s="496" t="s">
        <v>6</v>
      </c>
      <c r="C228" s="497" t="s">
        <v>975</v>
      </c>
      <c r="D228" s="489"/>
      <c r="F228" s="490"/>
      <c r="G228" s="358"/>
      <c r="H228" s="358"/>
      <c r="I228" s="358"/>
      <c r="J228" s="358"/>
      <c r="K228" s="358"/>
      <c r="L228" s="358"/>
      <c r="N228" s="570"/>
      <c r="O228" s="489"/>
      <c r="P228" s="490"/>
    </row>
    <row r="229" spans="1:16" outlineLevel="1">
      <c r="A229" s="496"/>
      <c r="B229" s="496" t="s">
        <v>59</v>
      </c>
      <c r="C229" s="489" t="s">
        <v>785</v>
      </c>
      <c r="D229" s="489"/>
      <c r="F229" s="490"/>
      <c r="G229" s="358"/>
      <c r="H229" s="358"/>
      <c r="I229" s="358"/>
      <c r="J229" s="358"/>
      <c r="K229" s="358"/>
      <c r="L229" s="358"/>
      <c r="N229" s="570"/>
      <c r="O229" s="489"/>
      <c r="P229" s="490"/>
    </row>
    <row r="230" spans="1:16" outlineLevel="1">
      <c r="A230" s="496"/>
      <c r="B230" s="496" t="s">
        <v>16</v>
      </c>
      <c r="C230" s="489" t="s">
        <v>976</v>
      </c>
      <c r="D230" s="489"/>
      <c r="F230" s="490"/>
      <c r="G230" s="358"/>
      <c r="H230" s="358"/>
      <c r="I230" s="358"/>
      <c r="J230" s="358"/>
      <c r="K230" s="358"/>
      <c r="L230" s="358"/>
      <c r="N230" s="570"/>
      <c r="O230" s="489"/>
      <c r="P230" s="490"/>
    </row>
    <row r="231" spans="1:16" outlineLevel="1">
      <c r="A231" s="496"/>
      <c r="B231" s="496" t="s">
        <v>20</v>
      </c>
      <c r="C231" s="489" t="s">
        <v>977</v>
      </c>
      <c r="D231" s="489"/>
      <c r="F231" s="490"/>
      <c r="G231" s="358"/>
      <c r="H231" s="358"/>
      <c r="I231" s="358"/>
      <c r="J231" s="358"/>
      <c r="K231" s="358"/>
      <c r="L231" s="358"/>
      <c r="N231" s="570"/>
      <c r="O231" s="489"/>
      <c r="P231" s="490"/>
    </row>
    <row r="232" spans="1:16" outlineLevel="1">
      <c r="A232" s="496"/>
      <c r="B232" s="496" t="s">
        <v>76</v>
      </c>
      <c r="C232" s="489" t="s">
        <v>786</v>
      </c>
      <c r="D232" s="489"/>
      <c r="F232" s="490"/>
      <c r="G232" s="358"/>
      <c r="H232" s="358"/>
      <c r="I232" s="358"/>
      <c r="J232" s="358"/>
      <c r="K232" s="358"/>
      <c r="L232" s="358"/>
      <c r="N232" s="570"/>
      <c r="O232" s="489"/>
      <c r="P232" s="490"/>
    </row>
    <row r="233" spans="1:16" outlineLevel="1">
      <c r="A233" s="496"/>
      <c r="B233" s="496" t="s">
        <v>25</v>
      </c>
      <c r="C233" s="489" t="s">
        <v>978</v>
      </c>
      <c r="D233" s="489"/>
      <c r="F233" s="490"/>
      <c r="G233" s="358"/>
      <c r="H233" s="358"/>
      <c r="I233" s="358"/>
      <c r="J233" s="358"/>
      <c r="K233" s="358"/>
      <c r="L233" s="358"/>
      <c r="N233" s="570"/>
      <c r="O233" s="489"/>
      <c r="P233" s="490"/>
    </row>
    <row r="234" spans="1:16" outlineLevel="1">
      <c r="A234" s="496"/>
      <c r="B234" s="496" t="s">
        <v>33</v>
      </c>
      <c r="C234" s="489" t="s">
        <v>979</v>
      </c>
      <c r="D234" s="489"/>
      <c r="F234" s="490"/>
      <c r="G234" s="358"/>
      <c r="H234" s="358"/>
      <c r="I234" s="358"/>
      <c r="J234" s="358"/>
      <c r="K234" s="358"/>
      <c r="L234" s="358"/>
      <c r="N234" s="570"/>
      <c r="O234" s="489"/>
      <c r="P234" s="490"/>
    </row>
    <row r="235" spans="1:16" outlineLevel="1">
      <c r="A235" s="496"/>
      <c r="B235" s="496" t="s">
        <v>51</v>
      </c>
      <c r="C235" s="489" t="s">
        <v>980</v>
      </c>
      <c r="D235" s="489"/>
      <c r="F235" s="490"/>
      <c r="G235" s="358"/>
      <c r="H235" s="358"/>
      <c r="I235" s="358"/>
      <c r="J235" s="358"/>
      <c r="K235" s="358"/>
      <c r="L235" s="358"/>
      <c r="N235" s="570"/>
      <c r="O235" s="489"/>
      <c r="P235" s="490"/>
    </row>
    <row r="236" spans="1:16" outlineLevel="1">
      <c r="A236" s="496"/>
      <c r="B236" s="496" t="s">
        <v>52</v>
      </c>
      <c r="C236" s="498" t="s">
        <v>788</v>
      </c>
      <c r="D236" s="489"/>
      <c r="F236" s="490"/>
      <c r="G236" s="358"/>
      <c r="H236" s="358"/>
      <c r="I236" s="358"/>
      <c r="J236" s="358"/>
      <c r="K236" s="358"/>
      <c r="L236" s="358"/>
      <c r="N236" s="570"/>
      <c r="O236" s="489"/>
      <c r="P236" s="490"/>
    </row>
    <row r="237" spans="1:16" outlineLevel="1">
      <c r="A237" s="496"/>
      <c r="B237" s="496" t="s">
        <v>55</v>
      </c>
      <c r="C237" s="489" t="s">
        <v>804</v>
      </c>
      <c r="D237" s="489"/>
      <c r="F237" s="490"/>
      <c r="G237" s="358"/>
      <c r="H237" s="358"/>
      <c r="I237" s="358"/>
      <c r="J237" s="358"/>
      <c r="K237" s="358"/>
      <c r="L237" s="358"/>
      <c r="N237" s="571"/>
      <c r="O237" s="489"/>
      <c r="P237" s="490"/>
    </row>
    <row r="238" spans="1:16" outlineLevel="1">
      <c r="A238" s="496"/>
      <c r="B238" s="496" t="s">
        <v>49</v>
      </c>
      <c r="C238" s="489" t="s">
        <v>789</v>
      </c>
      <c r="D238" s="489"/>
      <c r="F238" s="490"/>
      <c r="G238" s="358"/>
      <c r="H238" s="358"/>
      <c r="I238" s="358"/>
      <c r="J238" s="358"/>
      <c r="K238" s="358"/>
      <c r="L238" s="358"/>
      <c r="N238" s="572"/>
      <c r="O238" s="489"/>
      <c r="P238" s="490"/>
    </row>
    <row r="239" spans="1:16" outlineLevel="1">
      <c r="A239" s="496"/>
      <c r="F239" s="490"/>
      <c r="G239" s="358"/>
      <c r="H239" s="358"/>
      <c r="I239" s="358"/>
      <c r="J239" s="358"/>
      <c r="K239" s="358"/>
      <c r="L239" s="358"/>
      <c r="N239" s="573"/>
      <c r="O239" s="489"/>
      <c r="P239" s="490"/>
    </row>
    <row r="240" spans="1:16" outlineLevel="1">
      <c r="A240" s="496"/>
      <c r="B240" s="498"/>
      <c r="C240" s="490"/>
      <c r="D240" s="490"/>
      <c r="E240" s="490"/>
      <c r="F240" s="490"/>
      <c r="G240" s="358"/>
      <c r="H240" s="358"/>
      <c r="I240" s="358"/>
      <c r="J240" s="358"/>
      <c r="K240" s="358"/>
      <c r="L240" s="358"/>
      <c r="N240" s="573"/>
      <c r="O240" s="489"/>
      <c r="P240" s="490"/>
    </row>
    <row r="241" spans="1:44" outlineLevel="1">
      <c r="A241" s="496"/>
      <c r="B241" s="489"/>
      <c r="C241" s="490"/>
      <c r="D241" s="490"/>
      <c r="E241" s="490"/>
      <c r="F241" s="490"/>
      <c r="G241" s="358"/>
      <c r="H241" s="358"/>
      <c r="I241" s="358"/>
      <c r="J241" s="358"/>
      <c r="K241" s="358"/>
      <c r="L241" s="358"/>
      <c r="N241" s="489"/>
      <c r="O241" s="489"/>
      <c r="P241" s="490"/>
    </row>
    <row r="242" spans="1:44" outlineLevel="1">
      <c r="A242" s="496"/>
      <c r="B242" s="489"/>
      <c r="C242" s="490"/>
      <c r="D242" s="490"/>
      <c r="E242" s="490"/>
      <c r="F242" s="490"/>
      <c r="G242" s="358"/>
      <c r="H242" s="358"/>
      <c r="I242" s="358"/>
      <c r="J242" s="358"/>
      <c r="K242" s="358"/>
      <c r="L242" s="358"/>
      <c r="N242" s="490"/>
      <c r="O242" s="489"/>
      <c r="P242" s="490"/>
    </row>
    <row r="243" spans="1:44" outlineLevel="1">
      <c r="O243" s="490"/>
      <c r="P243" s="490"/>
    </row>
    <row r="244" spans="1:44" outlineLevel="1">
      <c r="O244" s="490"/>
      <c r="P244" s="490"/>
    </row>
    <row r="245" spans="1:44">
      <c r="O245" s="490"/>
      <c r="P245" s="490"/>
    </row>
    <row r="246" spans="1:44">
      <c r="A246" s="360" t="s">
        <v>995</v>
      </c>
      <c r="B246" s="1134"/>
      <c r="C246" s="1135"/>
      <c r="D246" s="1135"/>
      <c r="E246" s="1135"/>
      <c r="F246" s="1135"/>
      <c r="G246" s="1135"/>
      <c r="H246" s="1135"/>
      <c r="I246" s="1135"/>
      <c r="J246" s="1135"/>
      <c r="K246" s="1135"/>
      <c r="L246" s="1135"/>
      <c r="M246" s="1135"/>
      <c r="N246" s="361"/>
    </row>
    <row r="247" spans="1:44" ht="20.5" customHeight="1" outlineLevel="1" thickBot="1">
      <c r="B247" s="1134"/>
      <c r="C247" s="1135"/>
      <c r="D247" s="1135"/>
      <c r="E247" s="1135"/>
      <c r="F247" s="1135"/>
      <c r="G247" s="1135"/>
      <c r="H247" s="1135"/>
      <c r="I247" s="1135"/>
      <c r="J247" s="1135"/>
      <c r="K247" s="1135"/>
      <c r="L247" s="1135"/>
      <c r="M247" s="1135"/>
      <c r="N247" s="361"/>
    </row>
    <row r="248" spans="1:44" ht="15" customHeight="1" outlineLevel="1" thickBot="1">
      <c r="B248" s="362" t="s">
        <v>0</v>
      </c>
      <c r="C248" s="1176" t="s">
        <v>991</v>
      </c>
      <c r="D248" s="1177"/>
      <c r="E248" s="1177"/>
      <c r="F248" s="1177"/>
      <c r="G248" s="1177"/>
      <c r="H248" s="1177"/>
      <c r="I248" s="1177"/>
      <c r="J248" s="1177"/>
      <c r="K248" s="1177"/>
      <c r="L248" s="1178"/>
      <c r="M248" s="363"/>
      <c r="N248" s="363"/>
      <c r="AK248" s="1147" t="s">
        <v>716</v>
      </c>
      <c r="AL248" s="1148"/>
      <c r="AM248" s="1147" t="s">
        <v>717</v>
      </c>
      <c r="AN248" s="1148"/>
      <c r="AO248" s="1147" t="s">
        <v>718</v>
      </c>
      <c r="AP248" s="1148"/>
      <c r="AQ248" s="1162" t="s">
        <v>719</v>
      </c>
      <c r="AR248" s="1163"/>
    </row>
    <row r="249" spans="1:44" ht="15" customHeight="1" outlineLevel="1" thickBot="1">
      <c r="B249" s="1168" t="s">
        <v>4</v>
      </c>
      <c r="C249" s="1170">
        <v>2020</v>
      </c>
      <c r="D249" s="1170">
        <v>2030</v>
      </c>
      <c r="E249" s="1170">
        <v>2040</v>
      </c>
      <c r="F249" s="1170">
        <v>2050</v>
      </c>
      <c r="G249" s="1172" t="s">
        <v>721</v>
      </c>
      <c r="H249" s="1173"/>
      <c r="I249" s="1172" t="s">
        <v>648</v>
      </c>
      <c r="J249" s="1173"/>
      <c r="K249" s="1174" t="s">
        <v>2</v>
      </c>
      <c r="L249" s="1174" t="s">
        <v>3</v>
      </c>
      <c r="M249" s="367"/>
      <c r="N249" s="367"/>
      <c r="P249" s="1135"/>
      <c r="Q249" s="1135"/>
      <c r="R249" s="1135"/>
      <c r="S249" s="1135"/>
      <c r="T249" s="1135"/>
      <c r="U249" s="1135"/>
      <c r="AK249" s="1149"/>
      <c r="AL249" s="1150"/>
      <c r="AM249" s="1149"/>
      <c r="AN249" s="1150"/>
      <c r="AO249" s="1149"/>
      <c r="AP249" s="1150"/>
      <c r="AQ249" s="1164"/>
      <c r="AR249" s="1165"/>
    </row>
    <row r="250" spans="1:44" ht="16" outlineLevel="1" thickBot="1">
      <c r="B250" s="1169"/>
      <c r="C250" s="1171"/>
      <c r="D250" s="1171"/>
      <c r="E250" s="1171"/>
      <c r="F250" s="1171"/>
      <c r="G250" s="499" t="s">
        <v>649</v>
      </c>
      <c r="H250" s="499" t="s">
        <v>650</v>
      </c>
      <c r="I250" s="499" t="s">
        <v>649</v>
      </c>
      <c r="J250" s="499" t="s">
        <v>650</v>
      </c>
      <c r="K250" s="1175"/>
      <c r="L250" s="1175"/>
      <c r="M250" s="370"/>
      <c r="N250" s="370"/>
      <c r="P250" s="1135"/>
      <c r="Q250" s="1135"/>
      <c r="R250" s="1135"/>
      <c r="S250" s="1135"/>
      <c r="T250" s="1135"/>
      <c r="U250" s="1135"/>
      <c r="AK250" s="1149"/>
      <c r="AL250" s="1150"/>
      <c r="AM250" s="1149"/>
      <c r="AN250" s="1150"/>
      <c r="AO250" s="1149"/>
      <c r="AP250" s="1150"/>
      <c r="AQ250" s="1166"/>
      <c r="AR250" s="1167"/>
    </row>
    <row r="251" spans="1:44" ht="14.5" customHeight="1" outlineLevel="1" thickBot="1">
      <c r="B251" s="371" t="s">
        <v>651</v>
      </c>
      <c r="C251" s="372">
        <v>20</v>
      </c>
      <c r="D251" s="372">
        <v>20</v>
      </c>
      <c r="E251" s="372">
        <v>20</v>
      </c>
      <c r="F251" s="372">
        <v>20</v>
      </c>
      <c r="G251" s="372">
        <v>1</v>
      </c>
      <c r="H251" s="372">
        <v>50</v>
      </c>
      <c r="I251" s="372">
        <v>1</v>
      </c>
      <c r="J251" s="372">
        <v>50</v>
      </c>
      <c r="K251" s="372" t="s">
        <v>6</v>
      </c>
      <c r="L251" s="373" t="s">
        <v>725</v>
      </c>
      <c r="M251" s="370"/>
      <c r="N251" s="370"/>
      <c r="P251" s="364" t="s">
        <v>713</v>
      </c>
      <c r="Q251" s="365"/>
      <c r="R251" s="366"/>
      <c r="S251" s="1143" t="s">
        <v>714</v>
      </c>
      <c r="T251" s="1147" t="s">
        <v>715</v>
      </c>
      <c r="U251" s="1148"/>
      <c r="V251" s="1147" t="s">
        <v>716</v>
      </c>
      <c r="W251" s="1148"/>
      <c r="X251" s="1147" t="s">
        <v>717</v>
      </c>
      <c r="Y251" s="1148"/>
      <c r="Z251" s="1147" t="s">
        <v>718</v>
      </c>
      <c r="AA251" s="1148"/>
      <c r="AB251" s="1147" t="s">
        <v>719</v>
      </c>
      <c r="AC251" s="1148"/>
      <c r="AE251" s="364" t="s">
        <v>720</v>
      </c>
      <c r="AF251" s="365"/>
      <c r="AG251" s="366"/>
      <c r="AH251" s="1143" t="s">
        <v>714</v>
      </c>
      <c r="AI251" s="1147" t="s">
        <v>715</v>
      </c>
      <c r="AJ251" s="1148"/>
      <c r="AK251" s="374" t="s">
        <v>726</v>
      </c>
      <c r="AL251" s="375" t="s">
        <v>727</v>
      </c>
      <c r="AM251" s="374" t="s">
        <v>726</v>
      </c>
      <c r="AN251" s="375" t="s">
        <v>727</v>
      </c>
      <c r="AO251" s="374" t="s">
        <v>726</v>
      </c>
      <c r="AP251" s="375" t="s">
        <v>727</v>
      </c>
      <c r="AQ251" s="374" t="s">
        <v>726</v>
      </c>
      <c r="AR251" s="375" t="s">
        <v>727</v>
      </c>
    </row>
    <row r="252" spans="1:44" outlineLevel="1">
      <c r="B252" s="500" t="s">
        <v>728</v>
      </c>
      <c r="C252" s="668">
        <v>116.18960947726835</v>
      </c>
      <c r="D252" s="668">
        <v>116.18960947726835</v>
      </c>
      <c r="E252" s="669">
        <v>116.18960947726835</v>
      </c>
      <c r="F252" s="668">
        <v>116.18960947726835</v>
      </c>
      <c r="G252" s="501">
        <v>88</v>
      </c>
      <c r="H252" s="501">
        <v>117</v>
      </c>
      <c r="I252" s="501">
        <v>88</v>
      </c>
      <c r="J252" s="501">
        <v>117</v>
      </c>
      <c r="K252" s="503" t="s">
        <v>982</v>
      </c>
      <c r="L252" s="504">
        <v>11</v>
      </c>
      <c r="M252" s="370"/>
      <c r="N252" s="370"/>
      <c r="P252" s="1151" t="s">
        <v>0</v>
      </c>
      <c r="Q252" s="368"/>
      <c r="R252" s="368"/>
      <c r="S252" s="1144"/>
      <c r="T252" s="1149"/>
      <c r="U252" s="1150"/>
      <c r="V252" s="1149"/>
      <c r="W252" s="1150"/>
      <c r="X252" s="1149"/>
      <c r="Y252" s="1150"/>
      <c r="Z252" s="1149"/>
      <c r="AA252" s="1150"/>
      <c r="AB252" s="1149"/>
      <c r="AC252" s="1150"/>
      <c r="AE252" s="1151" t="s">
        <v>0</v>
      </c>
      <c r="AF252" s="368"/>
      <c r="AG252" s="368"/>
      <c r="AH252" s="1144"/>
      <c r="AI252" s="1149"/>
      <c r="AJ252" s="1150"/>
      <c r="AK252" s="1182">
        <v>0</v>
      </c>
      <c r="AL252" s="1179">
        <v>0</v>
      </c>
      <c r="AM252" s="1182">
        <v>0</v>
      </c>
      <c r="AN252" s="1179">
        <v>0</v>
      </c>
      <c r="AO252" s="1182">
        <v>0</v>
      </c>
      <c r="AP252" s="1179">
        <v>0</v>
      </c>
      <c r="AQ252" s="1182">
        <v>0</v>
      </c>
      <c r="AR252" s="1179">
        <v>0</v>
      </c>
    </row>
    <row r="253" spans="1:44" outlineLevel="1">
      <c r="B253" s="383" t="s">
        <v>732</v>
      </c>
      <c r="C253" s="577">
        <v>116.18960947726835</v>
      </c>
      <c r="D253" s="577">
        <v>116.18960947726835</v>
      </c>
      <c r="E253" s="577">
        <v>116.18960947726835</v>
      </c>
      <c r="F253" s="577">
        <v>116.18960947726835</v>
      </c>
      <c r="G253" s="505">
        <v>88</v>
      </c>
      <c r="H253" s="505">
        <v>117</v>
      </c>
      <c r="I253" s="505">
        <v>88</v>
      </c>
      <c r="J253" s="505">
        <v>117</v>
      </c>
      <c r="K253" s="372" t="s">
        <v>982</v>
      </c>
      <c r="L253" s="373">
        <v>11</v>
      </c>
      <c r="M253" s="370"/>
      <c r="N253" s="370"/>
      <c r="P253" s="1152"/>
      <c r="Q253" s="1154" t="s">
        <v>722</v>
      </c>
      <c r="R253" s="1155" t="s">
        <v>723</v>
      </c>
      <c r="S253" s="1145"/>
      <c r="T253" s="1149"/>
      <c r="U253" s="1150"/>
      <c r="V253" s="1149"/>
      <c r="W253" s="1150"/>
      <c r="X253" s="1149"/>
      <c r="Y253" s="1150"/>
      <c r="Z253" s="1149"/>
      <c r="AA253" s="1150"/>
      <c r="AB253" s="1149"/>
      <c r="AC253" s="1150"/>
      <c r="AE253" s="1152"/>
      <c r="AF253" s="1198" t="s">
        <v>722</v>
      </c>
      <c r="AG253" s="1155" t="s">
        <v>723</v>
      </c>
      <c r="AH253" s="1145"/>
      <c r="AI253" s="1149"/>
      <c r="AJ253" s="1150"/>
      <c r="AK253" s="1183"/>
      <c r="AL253" s="1180"/>
      <c r="AM253" s="1183"/>
      <c r="AN253" s="1180"/>
      <c r="AO253" s="1183"/>
      <c r="AP253" s="1180"/>
      <c r="AQ253" s="1183"/>
      <c r="AR253" s="1180"/>
    </row>
    <row r="254" spans="1:44" ht="14.5" customHeight="1" outlineLevel="1" thickBot="1">
      <c r="B254" s="500" t="s">
        <v>734</v>
      </c>
      <c r="C254" s="506">
        <v>2.2999999999999998</v>
      </c>
      <c r="D254" s="507">
        <v>2.2999999999999998</v>
      </c>
      <c r="E254" s="507">
        <v>2.2999999999999998</v>
      </c>
      <c r="F254" s="508">
        <v>2.2999999999999998</v>
      </c>
      <c r="G254" s="507">
        <v>2.2000000000000002</v>
      </c>
      <c r="H254" s="507">
        <v>2.5</v>
      </c>
      <c r="I254" s="507">
        <v>1.8</v>
      </c>
      <c r="J254" s="507">
        <v>2.5</v>
      </c>
      <c r="K254" s="503" t="s">
        <v>59</v>
      </c>
      <c r="L254" s="504">
        <v>3</v>
      </c>
      <c r="M254" s="370"/>
      <c r="N254" s="370"/>
      <c r="O254" s="74"/>
      <c r="P254" s="1153"/>
      <c r="Q254" s="1146"/>
      <c r="R254" s="1156"/>
      <c r="S254" s="1146"/>
      <c r="T254" s="374" t="s">
        <v>726</v>
      </c>
      <c r="U254" s="375" t="s">
        <v>727</v>
      </c>
      <c r="V254" s="374" t="s">
        <v>726</v>
      </c>
      <c r="W254" s="375" t="s">
        <v>727</v>
      </c>
      <c r="X254" s="374" t="s">
        <v>726</v>
      </c>
      <c r="Y254" s="375" t="s">
        <v>727</v>
      </c>
      <c r="Z254" s="374" t="s">
        <v>726</v>
      </c>
      <c r="AA254" s="375" t="s">
        <v>727</v>
      </c>
      <c r="AB254" s="374" t="s">
        <v>726</v>
      </c>
      <c r="AC254" s="375" t="s">
        <v>727</v>
      </c>
      <c r="AE254" s="1153"/>
      <c r="AF254" s="1199"/>
      <c r="AG254" s="1156"/>
      <c r="AH254" s="1146"/>
      <c r="AI254" s="374" t="s">
        <v>726</v>
      </c>
      <c r="AJ254" s="375" t="s">
        <v>727</v>
      </c>
      <c r="AK254" s="1184"/>
      <c r="AL254" s="1181"/>
      <c r="AM254" s="1184"/>
      <c r="AN254" s="1181"/>
      <c r="AO254" s="1184"/>
      <c r="AP254" s="1181"/>
      <c r="AQ254" s="1184"/>
      <c r="AR254" s="1181"/>
    </row>
    <row r="255" spans="1:44" outlineLevel="1">
      <c r="B255" s="500" t="s">
        <v>657</v>
      </c>
      <c r="C255" s="687">
        <v>3</v>
      </c>
      <c r="D255" s="687">
        <v>3</v>
      </c>
      <c r="E255" s="687">
        <v>3</v>
      </c>
      <c r="F255" s="687">
        <v>3</v>
      </c>
      <c r="G255" s="687">
        <v>3</v>
      </c>
      <c r="H255" s="687">
        <v>3</v>
      </c>
      <c r="I255" s="687">
        <v>3</v>
      </c>
      <c r="J255" s="687">
        <v>3</v>
      </c>
      <c r="K255" s="503" t="s">
        <v>16</v>
      </c>
      <c r="L255" s="504">
        <v>3</v>
      </c>
      <c r="M255" s="370"/>
      <c r="N255" s="370"/>
      <c r="P255" s="1200" t="str">
        <f>C248</f>
        <v>Hot water boiler, Wood chips (Condensing)</v>
      </c>
      <c r="Q255" s="1188" t="s">
        <v>730</v>
      </c>
      <c r="R255" s="381" t="s">
        <v>731</v>
      </c>
      <c r="S255" s="382"/>
      <c r="T255" s="1191">
        <v>0</v>
      </c>
      <c r="U255" s="1179">
        <v>0</v>
      </c>
      <c r="V255" s="1182">
        <v>0</v>
      </c>
      <c r="W255" s="1179">
        <v>0</v>
      </c>
      <c r="X255" s="1182">
        <v>0</v>
      </c>
      <c r="Y255" s="1179">
        <v>0</v>
      </c>
      <c r="Z255" s="1182">
        <v>0</v>
      </c>
      <c r="AA255" s="1179">
        <v>0</v>
      </c>
      <c r="AB255" s="1182">
        <v>0</v>
      </c>
      <c r="AC255" s="1179">
        <v>0</v>
      </c>
      <c r="AE255" s="1185" t="str">
        <f>P255</f>
        <v>Hot water boiler, Wood chips (Condensing)</v>
      </c>
      <c r="AF255" s="1188" t="s">
        <v>730</v>
      </c>
      <c r="AG255" s="381" t="s">
        <v>731</v>
      </c>
      <c r="AH255" s="382"/>
      <c r="AI255" s="1191">
        <v>0</v>
      </c>
      <c r="AJ255" s="1179">
        <v>0</v>
      </c>
      <c r="AK255" s="1191">
        <v>0</v>
      </c>
      <c r="AL255" s="1191">
        <f>W258/4</f>
        <v>0</v>
      </c>
      <c r="AM255" s="1191">
        <v>0</v>
      </c>
      <c r="AN255" s="1191">
        <f>Y258/4</f>
        <v>0</v>
      </c>
      <c r="AO255" s="1191">
        <v>0</v>
      </c>
      <c r="AP255" s="1191">
        <f>AA258/4</f>
        <v>1.4999999999999999E-2</v>
      </c>
      <c r="AQ255" s="1191">
        <v>0</v>
      </c>
      <c r="AR255" s="1179">
        <f>AC258/4</f>
        <v>0</v>
      </c>
    </row>
    <row r="256" spans="1:44" outlineLevel="1">
      <c r="B256" s="500" t="s">
        <v>658</v>
      </c>
      <c r="C256" s="506">
        <v>3</v>
      </c>
      <c r="D256" s="506">
        <v>3</v>
      </c>
      <c r="E256" s="506">
        <v>3</v>
      </c>
      <c r="F256" s="506">
        <v>3</v>
      </c>
      <c r="G256" s="506">
        <v>2.6</v>
      </c>
      <c r="H256" s="506">
        <v>3.5</v>
      </c>
      <c r="I256" s="506">
        <v>2.2999999999999998</v>
      </c>
      <c r="J256" s="506">
        <v>3.8</v>
      </c>
      <c r="K256" s="503" t="s">
        <v>16</v>
      </c>
      <c r="L256" s="504">
        <v>3</v>
      </c>
      <c r="M256" s="367"/>
      <c r="N256" s="367"/>
      <c r="O256" s="71"/>
      <c r="P256" s="1186"/>
      <c r="Q256" s="1189"/>
      <c r="R256" s="388" t="s">
        <v>733</v>
      </c>
      <c r="S256" s="389"/>
      <c r="T256" s="1192"/>
      <c r="U256" s="1180"/>
      <c r="V256" s="1183"/>
      <c r="W256" s="1180"/>
      <c r="X256" s="1183"/>
      <c r="Y256" s="1180"/>
      <c r="Z256" s="1183"/>
      <c r="AA256" s="1180"/>
      <c r="AB256" s="1183"/>
      <c r="AC256" s="1180"/>
      <c r="AE256" s="1186"/>
      <c r="AF256" s="1189"/>
      <c r="AG256" s="388" t="s">
        <v>733</v>
      </c>
      <c r="AH256" s="389"/>
      <c r="AI256" s="1192"/>
      <c r="AJ256" s="1180"/>
      <c r="AK256" s="1194"/>
      <c r="AL256" s="1194"/>
      <c r="AM256" s="1194"/>
      <c r="AN256" s="1194"/>
      <c r="AO256" s="1194"/>
      <c r="AP256" s="1194"/>
      <c r="AQ256" s="1194"/>
      <c r="AR256" s="1196"/>
    </row>
    <row r="257" spans="1:44" ht="16" outlineLevel="1" thickBot="1">
      <c r="B257" s="383" t="s">
        <v>11</v>
      </c>
      <c r="C257" s="397">
        <v>25</v>
      </c>
      <c r="D257" s="397">
        <v>25</v>
      </c>
      <c r="E257" s="397">
        <v>25</v>
      </c>
      <c r="F257" s="397">
        <v>25</v>
      </c>
      <c r="G257" s="399">
        <v>20</v>
      </c>
      <c r="H257" s="399">
        <v>35</v>
      </c>
      <c r="I257" s="399">
        <v>20</v>
      </c>
      <c r="J257" s="399">
        <v>35</v>
      </c>
      <c r="K257" s="372"/>
      <c r="L257" s="373" t="s">
        <v>740</v>
      </c>
      <c r="M257" s="363"/>
      <c r="N257" s="363"/>
      <c r="O257" s="71"/>
      <c r="P257" s="1186"/>
      <c r="Q257" s="1190"/>
      <c r="R257" s="393" t="s">
        <v>735</v>
      </c>
      <c r="S257" s="394"/>
      <c r="T257" s="1193"/>
      <c r="U257" s="1181"/>
      <c r="V257" s="1184"/>
      <c r="W257" s="1181"/>
      <c r="X257" s="1184"/>
      <c r="Y257" s="1181"/>
      <c r="Z257" s="1184"/>
      <c r="AA257" s="1181"/>
      <c r="AB257" s="1184"/>
      <c r="AC257" s="1181"/>
      <c r="AE257" s="1186"/>
      <c r="AF257" s="1190"/>
      <c r="AG257" s="393" t="s">
        <v>735</v>
      </c>
      <c r="AH257" s="394"/>
      <c r="AI257" s="1193"/>
      <c r="AJ257" s="1181"/>
      <c r="AK257" s="1194"/>
      <c r="AL257" s="1194"/>
      <c r="AM257" s="1194"/>
      <c r="AN257" s="1194"/>
      <c r="AO257" s="1194"/>
      <c r="AP257" s="1194"/>
      <c r="AQ257" s="1194"/>
      <c r="AR257" s="1196"/>
    </row>
    <row r="258" spans="1:44" ht="16" outlineLevel="1" thickBot="1">
      <c r="B258" s="500" t="s">
        <v>273</v>
      </c>
      <c r="C258" s="506">
        <v>1</v>
      </c>
      <c r="D258" s="506">
        <v>1</v>
      </c>
      <c r="E258" s="506">
        <v>1</v>
      </c>
      <c r="F258" s="506">
        <v>1</v>
      </c>
      <c r="G258" s="506">
        <v>0.5</v>
      </c>
      <c r="H258" s="506">
        <v>1.5</v>
      </c>
      <c r="I258" s="506">
        <v>0.5</v>
      </c>
      <c r="J258" s="506">
        <v>1.5</v>
      </c>
      <c r="K258" s="372"/>
      <c r="L258" s="400"/>
      <c r="M258" s="363"/>
      <c r="N258" s="363"/>
      <c r="O258" s="71"/>
      <c r="P258" s="1186"/>
      <c r="Q258" s="1188" t="s">
        <v>736</v>
      </c>
      <c r="R258" s="395" t="s">
        <v>737</v>
      </c>
      <c r="S258" s="396" t="s">
        <v>738</v>
      </c>
      <c r="T258" s="1191">
        <v>0</v>
      </c>
      <c r="U258" s="1191">
        <v>0.17</v>
      </c>
      <c r="V258" s="1191">
        <v>0</v>
      </c>
      <c r="W258" s="1191">
        <v>0</v>
      </c>
      <c r="X258" s="1191">
        <v>0</v>
      </c>
      <c r="Y258" s="1191">
        <v>0</v>
      </c>
      <c r="Z258" s="1191">
        <v>0</v>
      </c>
      <c r="AA258" s="1191">
        <v>0.06</v>
      </c>
      <c r="AB258" s="1191">
        <v>0</v>
      </c>
      <c r="AC258" s="1179">
        <v>0</v>
      </c>
      <c r="AE258" s="1186"/>
      <c r="AF258" s="1188" t="s">
        <v>736</v>
      </c>
      <c r="AG258" s="395" t="s">
        <v>737</v>
      </c>
      <c r="AH258" s="396" t="s">
        <v>738</v>
      </c>
      <c r="AI258" s="1191">
        <v>0</v>
      </c>
      <c r="AJ258" s="1191">
        <f>U258/4</f>
        <v>4.2500000000000003E-2</v>
      </c>
      <c r="AK258" s="1194"/>
      <c r="AL258" s="1194"/>
      <c r="AM258" s="1194"/>
      <c r="AN258" s="1194"/>
      <c r="AO258" s="1194"/>
      <c r="AP258" s="1194"/>
      <c r="AQ258" s="1194"/>
      <c r="AR258" s="1196"/>
    </row>
    <row r="259" spans="1:44" ht="16" outlineLevel="1" thickBot="1">
      <c r="B259" s="401" t="s">
        <v>743</v>
      </c>
      <c r="C259" s="402"/>
      <c r="D259" s="403"/>
      <c r="E259" s="404"/>
      <c r="F259" s="405"/>
      <c r="G259" s="406"/>
      <c r="H259" s="406"/>
      <c r="I259" s="406"/>
      <c r="J259" s="406"/>
      <c r="K259" s="407"/>
      <c r="L259" s="408"/>
      <c r="M259" s="363"/>
      <c r="N259" s="363"/>
      <c r="O259" s="71"/>
      <c r="P259" s="1186"/>
      <c r="Q259" s="1189"/>
      <c r="R259" s="395" t="s">
        <v>739</v>
      </c>
      <c r="S259" s="396" t="s">
        <v>738</v>
      </c>
      <c r="T259" s="1194"/>
      <c r="U259" s="1194"/>
      <c r="V259" s="1194"/>
      <c r="W259" s="1194"/>
      <c r="X259" s="1194"/>
      <c r="Y259" s="1194"/>
      <c r="Z259" s="1194"/>
      <c r="AA259" s="1194"/>
      <c r="AB259" s="1194"/>
      <c r="AC259" s="1196"/>
      <c r="AE259" s="1186"/>
      <c r="AF259" s="1189"/>
      <c r="AG259" s="395" t="s">
        <v>739</v>
      </c>
      <c r="AH259" s="396" t="s">
        <v>738</v>
      </c>
      <c r="AI259" s="1194"/>
      <c r="AJ259" s="1194"/>
      <c r="AK259" s="1195"/>
      <c r="AL259" s="1195"/>
      <c r="AM259" s="1195"/>
      <c r="AN259" s="1195"/>
      <c r="AO259" s="1195"/>
      <c r="AP259" s="1195"/>
      <c r="AQ259" s="1195"/>
      <c r="AR259" s="1197"/>
    </row>
    <row r="260" spans="1:44" ht="16" outlineLevel="1" thickBot="1">
      <c r="B260" s="500" t="s">
        <v>663</v>
      </c>
      <c r="C260" s="506">
        <v>20</v>
      </c>
      <c r="D260" s="506">
        <v>20</v>
      </c>
      <c r="E260" s="506">
        <v>20</v>
      </c>
      <c r="F260" s="506">
        <v>20</v>
      </c>
      <c r="G260" s="507"/>
      <c r="H260" s="507"/>
      <c r="I260" s="507"/>
      <c r="J260" s="507"/>
      <c r="K260" s="503"/>
      <c r="L260" s="504">
        <v>3</v>
      </c>
      <c r="M260" s="363"/>
      <c r="N260" s="363"/>
      <c r="P260" s="1186"/>
      <c r="Q260" s="1189"/>
      <c r="R260" s="395" t="s">
        <v>741</v>
      </c>
      <c r="S260" s="396"/>
      <c r="T260" s="1194"/>
      <c r="U260" s="1194"/>
      <c r="V260" s="1194"/>
      <c r="W260" s="1194"/>
      <c r="X260" s="1194"/>
      <c r="Y260" s="1194"/>
      <c r="Z260" s="1194"/>
      <c r="AA260" s="1194"/>
      <c r="AB260" s="1194"/>
      <c r="AC260" s="1196"/>
      <c r="AE260" s="1186"/>
      <c r="AF260" s="1189"/>
      <c r="AG260" s="395" t="s">
        <v>741</v>
      </c>
      <c r="AH260" s="629" t="s">
        <v>738</v>
      </c>
      <c r="AI260" s="1194"/>
      <c r="AJ260" s="1194"/>
      <c r="AK260" s="416">
        <v>0</v>
      </c>
      <c r="AL260" s="415">
        <v>0</v>
      </c>
      <c r="AM260" s="416">
        <v>0</v>
      </c>
      <c r="AN260" s="415">
        <v>0</v>
      </c>
      <c r="AO260" s="416">
        <v>1</v>
      </c>
      <c r="AP260" s="415">
        <v>1</v>
      </c>
      <c r="AQ260" s="416">
        <v>0</v>
      </c>
      <c r="AR260" s="417">
        <v>0</v>
      </c>
    </row>
    <row r="261" spans="1:44" outlineLevel="1">
      <c r="B261" s="500" t="s">
        <v>664</v>
      </c>
      <c r="C261" s="506">
        <v>0.3</v>
      </c>
      <c r="D261" s="506">
        <v>0.3</v>
      </c>
      <c r="E261" s="506">
        <v>0.3</v>
      </c>
      <c r="F261" s="506">
        <v>0.3</v>
      </c>
      <c r="G261" s="509"/>
      <c r="H261" s="509"/>
      <c r="I261" s="509"/>
      <c r="J261" s="509"/>
      <c r="K261" s="510"/>
      <c r="L261" s="504">
        <v>3</v>
      </c>
      <c r="M261" s="363"/>
      <c r="N261" s="363"/>
      <c r="P261" s="1186"/>
      <c r="Q261" s="1189"/>
      <c r="R261" s="395" t="s">
        <v>742</v>
      </c>
      <c r="S261" s="396" t="s">
        <v>738</v>
      </c>
      <c r="T261" s="1194"/>
      <c r="U261" s="1194"/>
      <c r="V261" s="1194"/>
      <c r="W261" s="1194"/>
      <c r="X261" s="1194"/>
      <c r="Y261" s="1194"/>
      <c r="Z261" s="1194"/>
      <c r="AA261" s="1194"/>
      <c r="AB261" s="1194"/>
      <c r="AC261" s="1196"/>
      <c r="AE261" s="1186"/>
      <c r="AF261" s="1189"/>
      <c r="AG261" s="395" t="s">
        <v>742</v>
      </c>
      <c r="AH261" s="396"/>
      <c r="AI261" s="1194"/>
      <c r="AJ261" s="1194"/>
    </row>
    <row r="262" spans="1:44" ht="16" outlineLevel="1" thickBot="1">
      <c r="B262" s="500" t="s">
        <v>666</v>
      </c>
      <c r="C262" s="506">
        <v>0.5</v>
      </c>
      <c r="D262" s="506">
        <v>0.5</v>
      </c>
      <c r="E262" s="506">
        <v>0.5</v>
      </c>
      <c r="F262" s="506">
        <v>0.5</v>
      </c>
      <c r="G262" s="509"/>
      <c r="H262" s="509"/>
      <c r="I262" s="509"/>
      <c r="J262" s="509"/>
      <c r="K262" s="510"/>
      <c r="L262" s="504">
        <v>3</v>
      </c>
      <c r="M262" s="420"/>
      <c r="N262" s="363"/>
      <c r="P262" s="1186"/>
      <c r="Q262" s="1190"/>
      <c r="R262" s="409" t="s">
        <v>863</v>
      </c>
      <c r="S262" s="410" t="s">
        <v>738</v>
      </c>
      <c r="T262" s="1195"/>
      <c r="U262" s="1195"/>
      <c r="V262" s="1195"/>
      <c r="W262" s="1195"/>
      <c r="X262" s="1195"/>
      <c r="Y262" s="1195"/>
      <c r="Z262" s="1195"/>
      <c r="AA262" s="1195"/>
      <c r="AB262" s="1195"/>
      <c r="AC262" s="1197"/>
      <c r="AE262" s="1186"/>
      <c r="AF262" s="1190"/>
      <c r="AG262" s="409" t="s">
        <v>863</v>
      </c>
      <c r="AH262" s="410" t="s">
        <v>738</v>
      </c>
      <c r="AI262" s="1195"/>
      <c r="AJ262" s="1195"/>
    </row>
    <row r="263" spans="1:44" ht="33" outlineLevel="1" thickBot="1">
      <c r="B263" s="421" t="s">
        <v>12</v>
      </c>
      <c r="C263" s="399"/>
      <c r="D263" s="399"/>
      <c r="E263" s="399"/>
      <c r="F263" s="399"/>
      <c r="G263" s="422"/>
      <c r="H263" s="422"/>
      <c r="I263" s="422"/>
      <c r="J263" s="422"/>
      <c r="K263" s="423"/>
      <c r="L263" s="424"/>
      <c r="M263" s="420"/>
      <c r="N263" s="420"/>
      <c r="P263" s="1187"/>
      <c r="Q263" s="411" t="s">
        <v>745</v>
      </c>
      <c r="R263" s="412" t="s">
        <v>746</v>
      </c>
      <c r="S263" s="630" t="s">
        <v>738</v>
      </c>
      <c r="T263" s="416">
        <v>1</v>
      </c>
      <c r="U263" s="415">
        <v>1</v>
      </c>
      <c r="V263" s="416">
        <v>0</v>
      </c>
      <c r="W263" s="415">
        <v>0</v>
      </c>
      <c r="X263" s="416">
        <v>0</v>
      </c>
      <c r="Y263" s="415">
        <v>0</v>
      </c>
      <c r="Z263" s="416">
        <v>1</v>
      </c>
      <c r="AA263" s="415">
        <v>1</v>
      </c>
      <c r="AB263" s="416">
        <v>0</v>
      </c>
      <c r="AC263" s="417">
        <v>0</v>
      </c>
      <c r="AE263" s="1187"/>
      <c r="AF263" s="411" t="s">
        <v>745</v>
      </c>
      <c r="AG263" s="631" t="s">
        <v>746</v>
      </c>
      <c r="AH263" s="632" t="s">
        <v>738</v>
      </c>
      <c r="AI263" s="416">
        <v>1</v>
      </c>
      <c r="AJ263" s="415">
        <v>1</v>
      </c>
    </row>
    <row r="264" spans="1:44" outlineLevel="1">
      <c r="B264" s="383" t="s">
        <v>843</v>
      </c>
      <c r="C264" s="397">
        <v>11</v>
      </c>
      <c r="D264" s="397">
        <v>11</v>
      </c>
      <c r="E264" s="397">
        <v>11</v>
      </c>
      <c r="F264" s="397">
        <v>11</v>
      </c>
      <c r="G264" s="422"/>
      <c r="H264" s="425"/>
      <c r="I264" s="425"/>
      <c r="J264" s="425"/>
      <c r="K264" s="426" t="s">
        <v>20</v>
      </c>
      <c r="L264" s="427" t="s">
        <v>748</v>
      </c>
      <c r="M264" s="428"/>
      <c r="N264" s="428"/>
    </row>
    <row r="265" spans="1:44" outlineLevel="1">
      <c r="B265" s="383" t="s">
        <v>749</v>
      </c>
      <c r="C265" s="397">
        <v>10</v>
      </c>
      <c r="D265" s="397">
        <v>10</v>
      </c>
      <c r="E265" s="397">
        <v>10</v>
      </c>
      <c r="F265" s="397">
        <v>10</v>
      </c>
      <c r="G265" s="425"/>
      <c r="H265" s="425"/>
      <c r="I265" s="425"/>
      <c r="J265" s="425"/>
      <c r="K265" s="423"/>
      <c r="L265" s="427">
        <v>9</v>
      </c>
      <c r="M265" s="428"/>
      <c r="N265" s="428"/>
    </row>
    <row r="266" spans="1:44" outlineLevel="1">
      <c r="B266" s="383" t="s">
        <v>844</v>
      </c>
      <c r="C266" s="397">
        <v>63</v>
      </c>
      <c r="D266" s="397">
        <v>49</v>
      </c>
      <c r="E266" s="397">
        <v>46</v>
      </c>
      <c r="F266" s="397">
        <v>41</v>
      </c>
      <c r="G266" s="425"/>
      <c r="H266" s="425"/>
      <c r="I266" s="425"/>
      <c r="J266" s="425"/>
      <c r="K266" s="423"/>
      <c r="L266" s="427" t="s">
        <v>748</v>
      </c>
      <c r="M266" s="428"/>
      <c r="N266" s="428"/>
    </row>
    <row r="267" spans="1:44" outlineLevel="1">
      <c r="B267" s="383" t="s">
        <v>366</v>
      </c>
      <c r="C267" s="397">
        <v>11</v>
      </c>
      <c r="D267" s="397">
        <v>8</v>
      </c>
      <c r="E267" s="397">
        <v>6</v>
      </c>
      <c r="F267" s="397">
        <v>4</v>
      </c>
      <c r="G267" s="425"/>
      <c r="H267" s="425"/>
      <c r="I267" s="425"/>
      <c r="J267" s="425"/>
      <c r="K267" s="423"/>
      <c r="L267" s="427" t="s">
        <v>748</v>
      </c>
      <c r="M267" s="428"/>
      <c r="N267" s="428"/>
    </row>
    <row r="268" spans="1:44" ht="16" outlineLevel="1" thickBot="1">
      <c r="B268" s="429" t="s">
        <v>367</v>
      </c>
      <c r="C268" s="626">
        <v>3</v>
      </c>
      <c r="D268" s="626">
        <v>3</v>
      </c>
      <c r="E268" s="626">
        <v>1</v>
      </c>
      <c r="F268" s="626">
        <v>1</v>
      </c>
      <c r="G268" s="425"/>
      <c r="H268" s="425"/>
      <c r="I268" s="425"/>
      <c r="J268" s="425"/>
      <c r="K268" s="423"/>
      <c r="L268" s="427" t="s">
        <v>748</v>
      </c>
      <c r="M268" s="428"/>
      <c r="N268" s="428"/>
    </row>
    <row r="269" spans="1:44" ht="16" outlineLevel="1" thickBot="1">
      <c r="B269" s="431" t="s">
        <v>674</v>
      </c>
      <c r="C269" s="432"/>
      <c r="D269" s="403"/>
      <c r="E269" s="403"/>
      <c r="F269" s="433"/>
      <c r="G269" s="434"/>
      <c r="H269" s="406"/>
      <c r="I269" s="406"/>
      <c r="J269" s="406"/>
      <c r="K269" s="407"/>
      <c r="L269" s="408"/>
      <c r="M269" s="428"/>
      <c r="N269" s="428"/>
    </row>
    <row r="270" spans="1:44" outlineLevel="1">
      <c r="A270" s="435"/>
      <c r="B270" s="436" t="s">
        <v>910</v>
      </c>
      <c r="C270" s="551">
        <f>0.68</f>
        <v>0.68</v>
      </c>
      <c r="D270" s="647">
        <f>0.65</f>
        <v>0.65</v>
      </c>
      <c r="E270" s="647">
        <f>0.62</f>
        <v>0.62</v>
      </c>
      <c r="F270" s="648">
        <f>0.59</f>
        <v>0.59</v>
      </c>
      <c r="G270" s="425"/>
      <c r="H270" s="425"/>
      <c r="I270" s="425"/>
      <c r="J270" s="425"/>
      <c r="K270" s="426" t="s">
        <v>992</v>
      </c>
      <c r="L270" s="440" t="s">
        <v>753</v>
      </c>
      <c r="M270" s="420"/>
      <c r="N270" s="420"/>
    </row>
    <row r="271" spans="1:44" outlineLevel="1">
      <c r="B271" s="441" t="s">
        <v>839</v>
      </c>
      <c r="C271" s="442">
        <v>65</v>
      </c>
      <c r="D271" s="442">
        <v>65</v>
      </c>
      <c r="E271" s="442">
        <v>65</v>
      </c>
      <c r="F271" s="442">
        <v>65</v>
      </c>
      <c r="G271" s="425"/>
      <c r="H271" s="425"/>
      <c r="I271" s="425"/>
      <c r="J271" s="425"/>
      <c r="K271" s="444"/>
      <c r="L271" s="373">
        <v>3</v>
      </c>
      <c r="M271" s="71"/>
      <c r="N271" s="420"/>
    </row>
    <row r="272" spans="1:44" outlineLevel="1">
      <c r="B272" s="441" t="s">
        <v>840</v>
      </c>
      <c r="C272" s="442">
        <f>100-C271</f>
        <v>35</v>
      </c>
      <c r="D272" s="442">
        <f>100-D271</f>
        <v>35</v>
      </c>
      <c r="E272" s="442">
        <f>100-E271</f>
        <v>35</v>
      </c>
      <c r="F272" s="442">
        <f>100-F271</f>
        <v>35</v>
      </c>
      <c r="G272" s="425"/>
      <c r="H272" s="425"/>
      <c r="I272" s="425"/>
      <c r="J272" s="425"/>
      <c r="K272" s="444"/>
      <c r="L272" s="373">
        <v>3</v>
      </c>
      <c r="M272" s="420"/>
      <c r="N272" s="420"/>
    </row>
    <row r="273" spans="2:30" outlineLevel="1">
      <c r="B273" s="383" t="s">
        <v>841</v>
      </c>
      <c r="C273" s="445">
        <v>37000</v>
      </c>
      <c r="D273" s="446">
        <v>35900</v>
      </c>
      <c r="E273" s="446">
        <f>(F273+D273)/2</f>
        <v>34800</v>
      </c>
      <c r="F273" s="447">
        <v>33700</v>
      </c>
      <c r="G273" s="425"/>
      <c r="H273" s="425"/>
      <c r="I273" s="425"/>
      <c r="J273" s="425"/>
      <c r="K273" s="448" t="s">
        <v>33</v>
      </c>
      <c r="L273" s="373">
        <v>3</v>
      </c>
      <c r="M273" s="420"/>
      <c r="N273" s="420"/>
    </row>
    <row r="274" spans="2:30" outlineLevel="1">
      <c r="B274" s="383" t="s">
        <v>679</v>
      </c>
      <c r="C274" s="449">
        <f>C275+C276</f>
        <v>2.7789999999999999</v>
      </c>
      <c r="D274" s="449">
        <f t="shared" ref="D274:F274" si="29">D275+D276</f>
        <v>2.8250000000000002</v>
      </c>
      <c r="E274" s="449">
        <f t="shared" si="29"/>
        <v>2.8479999999999999</v>
      </c>
      <c r="F274" s="449">
        <f t="shared" si="29"/>
        <v>2.8479999999999999</v>
      </c>
      <c r="G274" s="425"/>
      <c r="H274" s="425"/>
      <c r="I274" s="425"/>
      <c r="J274" s="425"/>
      <c r="K274" s="448"/>
      <c r="L274" s="373">
        <v>3</v>
      </c>
      <c r="M274" s="450"/>
      <c r="N274" s="361"/>
    </row>
    <row r="275" spans="2:30" outlineLevel="1">
      <c r="B275" s="500" t="s">
        <v>758</v>
      </c>
      <c r="C275" s="514">
        <f>C254/100*73</f>
        <v>1.679</v>
      </c>
      <c r="D275" s="514">
        <f>D254/100*75</f>
        <v>1.7249999999999999</v>
      </c>
      <c r="E275" s="514">
        <f>E254/100*76</f>
        <v>1.748</v>
      </c>
      <c r="F275" s="514">
        <f>F254/100*76</f>
        <v>1.748</v>
      </c>
      <c r="G275" s="515"/>
      <c r="H275" s="515"/>
      <c r="I275" s="515"/>
      <c r="J275" s="515"/>
      <c r="K275" s="503" t="s">
        <v>51</v>
      </c>
      <c r="L275" s="504">
        <v>3</v>
      </c>
      <c r="M275" s="450"/>
      <c r="N275" s="361"/>
    </row>
    <row r="276" spans="2:30" outlineLevel="1">
      <c r="B276" s="500" t="s">
        <v>759</v>
      </c>
      <c r="C276" s="516">
        <v>1.1000000000000001</v>
      </c>
      <c r="D276" s="516">
        <v>1.1000000000000001</v>
      </c>
      <c r="E276" s="516">
        <v>1.1000000000000001</v>
      </c>
      <c r="F276" s="516">
        <v>1.1000000000000001</v>
      </c>
      <c r="G276" s="515"/>
      <c r="H276" s="515"/>
      <c r="I276" s="515"/>
      <c r="J276" s="515"/>
      <c r="K276" s="517"/>
      <c r="L276" s="504">
        <v>3</v>
      </c>
      <c r="M276" s="363"/>
      <c r="N276" s="363"/>
    </row>
    <row r="277" spans="2:30" outlineLevel="1">
      <c r="B277" s="441"/>
      <c r="C277" s="681"/>
      <c r="D277" s="681"/>
      <c r="E277" s="681"/>
      <c r="F277" s="681"/>
      <c r="G277" s="425"/>
      <c r="H277" s="425"/>
      <c r="I277" s="425"/>
      <c r="J277" s="425"/>
      <c r="K277" s="444"/>
      <c r="L277" s="424"/>
      <c r="M277" s="367"/>
      <c r="N277" s="367"/>
      <c r="P277" s="1157">
        <f>C274</f>
        <v>2.7789999999999999</v>
      </c>
      <c r="Q277" s="1135"/>
      <c r="R277" s="1135"/>
      <c r="S277" s="1135"/>
      <c r="T277" s="1135"/>
      <c r="U277" s="1158"/>
    </row>
    <row r="278" spans="2:30" ht="16" outlineLevel="1" thickBot="1">
      <c r="B278" s="519"/>
      <c r="C278" s="442"/>
      <c r="D278" s="520"/>
      <c r="E278" s="520"/>
      <c r="F278" s="521"/>
      <c r="G278" s="425"/>
      <c r="H278" s="425"/>
      <c r="I278" s="425"/>
      <c r="J278" s="425"/>
      <c r="K278" s="448"/>
      <c r="L278" s="424"/>
      <c r="M278" s="363"/>
      <c r="N278" s="363"/>
      <c r="P278" s="1159">
        <f>C275</f>
        <v>1.679</v>
      </c>
      <c r="Q278" s="1160"/>
      <c r="R278" s="1160"/>
      <c r="S278" s="1160"/>
      <c r="T278" s="1160"/>
      <c r="U278" s="1161"/>
    </row>
    <row r="279" spans="2:30" ht="16" outlineLevel="1" thickBot="1">
      <c r="B279" s="401" t="s">
        <v>682</v>
      </c>
      <c r="C279" s="402"/>
      <c r="D279" s="403"/>
      <c r="E279" s="404"/>
      <c r="F279" s="405"/>
      <c r="G279" s="406"/>
      <c r="H279" s="406"/>
      <c r="I279" s="406"/>
      <c r="J279" s="406"/>
      <c r="K279" s="459"/>
      <c r="L279" s="460"/>
      <c r="M279" s="363"/>
      <c r="N279" s="363"/>
      <c r="P279" s="53" t="s">
        <v>357</v>
      </c>
    </row>
    <row r="280" spans="2:30" ht="30" outlineLevel="1">
      <c r="B280" s="522" t="s">
        <v>762</v>
      </c>
      <c r="C280" s="670">
        <v>3.5000000000000003E-2</v>
      </c>
      <c r="D280" s="670">
        <v>0.03</v>
      </c>
      <c r="E280" s="670">
        <v>0.03</v>
      </c>
      <c r="F280" s="670">
        <v>0.03</v>
      </c>
      <c r="G280" s="524"/>
      <c r="H280" s="524"/>
      <c r="I280" s="524"/>
      <c r="J280" s="524"/>
      <c r="K280" s="524" t="s">
        <v>52</v>
      </c>
      <c r="L280" s="525"/>
      <c r="M280" s="363"/>
      <c r="N280" s="363"/>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6" outlineLevel="1" thickBot="1">
      <c r="B281" s="500" t="s">
        <v>763</v>
      </c>
      <c r="C281" s="526" t="s">
        <v>36</v>
      </c>
      <c r="D281" s="527" t="s">
        <v>36</v>
      </c>
      <c r="E281" s="527" t="s">
        <v>36</v>
      </c>
      <c r="F281" s="528" t="s">
        <v>36</v>
      </c>
      <c r="G281" s="528"/>
      <c r="H281" s="528"/>
      <c r="I281" s="528"/>
      <c r="J281" s="528"/>
      <c r="K281" s="529" t="s">
        <v>55</v>
      </c>
      <c r="L281" s="525"/>
      <c r="M281" s="363"/>
      <c r="N281" s="363"/>
      <c r="P281" s="50"/>
      <c r="Q281" s="50"/>
      <c r="R281" s="51"/>
      <c r="S281" s="51"/>
      <c r="T281" s="51"/>
      <c r="U281" s="51" t="s">
        <v>760</v>
      </c>
      <c r="V281" s="50" t="s">
        <v>761</v>
      </c>
      <c r="W281" s="50"/>
      <c r="X281" s="50"/>
      <c r="Y281" s="50"/>
      <c r="Z281" s="50"/>
      <c r="AA281" s="50"/>
      <c r="AB281" s="50"/>
      <c r="AC281" s="50"/>
      <c r="AD281" s="50"/>
    </row>
    <row r="282" spans="2:30" ht="32" outlineLevel="1">
      <c r="B282" s="500" t="s">
        <v>764</v>
      </c>
      <c r="C282" s="526" t="s">
        <v>36</v>
      </c>
      <c r="D282" s="527" t="s">
        <v>36</v>
      </c>
      <c r="E282" s="527" t="s">
        <v>36</v>
      </c>
      <c r="F282" s="528" t="s">
        <v>36</v>
      </c>
      <c r="G282" s="515"/>
      <c r="H282" s="515"/>
      <c r="I282" s="515"/>
      <c r="J282" s="515"/>
      <c r="K282" s="515"/>
      <c r="L282" s="504"/>
      <c r="M282" s="363"/>
      <c r="N282" s="363"/>
      <c r="O282" s="461" t="s">
        <v>732</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500" t="s">
        <v>765</v>
      </c>
      <c r="C283" s="685">
        <v>90</v>
      </c>
      <c r="D283" s="530">
        <v>90</v>
      </c>
      <c r="E283" s="530">
        <v>90</v>
      </c>
      <c r="F283" s="530">
        <v>90</v>
      </c>
      <c r="G283" s="531"/>
      <c r="H283" s="531"/>
      <c r="I283" s="531"/>
      <c r="J283" s="531"/>
      <c r="K283" s="531"/>
      <c r="L283" s="504">
        <v>3</v>
      </c>
      <c r="M283" s="363"/>
      <c r="N283" s="363"/>
      <c r="O283" s="465">
        <f>C253</f>
        <v>116.18960947726835</v>
      </c>
      <c r="P283" s="466">
        <f>C249</f>
        <v>2020</v>
      </c>
      <c r="Q283" s="58">
        <f>P283</f>
        <v>2020</v>
      </c>
      <c r="R283" s="466">
        <f>O283/100</f>
        <v>1.1618960947726835</v>
      </c>
      <c r="S283" s="58"/>
      <c r="T283" s="466">
        <f>C257</f>
        <v>25</v>
      </c>
      <c r="U283" s="467">
        <f>C287</f>
        <v>5066.0000000000009</v>
      </c>
      <c r="V283" s="467">
        <f>C289</f>
        <v>275.64999999999998</v>
      </c>
      <c r="W283" s="467">
        <f>C290</f>
        <v>5.7509861111111107</v>
      </c>
      <c r="X283" s="58"/>
      <c r="Y283" s="58"/>
      <c r="Z283" s="466">
        <f>C264</f>
        <v>11</v>
      </c>
      <c r="AA283" s="468">
        <f>C266</f>
        <v>63</v>
      </c>
      <c r="AB283" s="468">
        <f>C267</f>
        <v>11</v>
      </c>
      <c r="AC283" s="468">
        <f>C268</f>
        <v>3</v>
      </c>
      <c r="AD283" s="468">
        <f>C265</f>
        <v>10</v>
      </c>
    </row>
    <row r="284" spans="2:30" outlineLevel="1">
      <c r="B284" s="532" t="s">
        <v>766</v>
      </c>
      <c r="C284" s="526"/>
      <c r="D284" s="527"/>
      <c r="E284" s="527"/>
      <c r="F284" s="528"/>
      <c r="G284" s="531"/>
      <c r="H284" s="531"/>
      <c r="I284" s="531"/>
      <c r="J284" s="531"/>
      <c r="K284" s="531"/>
      <c r="L284" s="533"/>
      <c r="M284" s="367"/>
      <c r="N284" s="367"/>
      <c r="O284" s="465">
        <f>D253</f>
        <v>116.18960947726835</v>
      </c>
      <c r="P284" s="466">
        <f>D249</f>
        <v>2030</v>
      </c>
      <c r="Q284" s="58"/>
      <c r="R284" s="466">
        <f>O284/100</f>
        <v>1.1618960947726835</v>
      </c>
      <c r="S284" s="58"/>
      <c r="T284" s="466">
        <f>D257</f>
        <v>25</v>
      </c>
      <c r="U284" s="467">
        <f>D287</f>
        <v>4842.5</v>
      </c>
      <c r="V284" s="467">
        <f>D289</f>
        <v>267.45499999999998</v>
      </c>
      <c r="W284" s="467">
        <f>D290</f>
        <v>5.8461805555555557</v>
      </c>
      <c r="X284" s="58"/>
      <c r="Y284" s="58"/>
      <c r="Z284" s="466">
        <f>D264</f>
        <v>11</v>
      </c>
      <c r="AA284" s="468">
        <f>D266</f>
        <v>49</v>
      </c>
      <c r="AB284" s="468">
        <f>D267</f>
        <v>8</v>
      </c>
      <c r="AC284" s="468">
        <f>D268</f>
        <v>3</v>
      </c>
      <c r="AD284" s="468">
        <f>D265</f>
        <v>10</v>
      </c>
    </row>
    <row r="285" spans="2:30" outlineLevel="1">
      <c r="B285" s="532" t="s">
        <v>767</v>
      </c>
      <c r="C285" s="526"/>
      <c r="D285" s="527"/>
      <c r="E285" s="527"/>
      <c r="F285" s="528"/>
      <c r="G285" s="531"/>
      <c r="H285" s="531"/>
      <c r="I285" s="531"/>
      <c r="J285" s="531"/>
      <c r="K285" s="531"/>
      <c r="L285" s="533"/>
      <c r="M285" s="363"/>
      <c r="N285" s="363"/>
      <c r="O285" s="465">
        <f>E253</f>
        <v>116.18960947726835</v>
      </c>
      <c r="P285" s="466">
        <f>E249</f>
        <v>2040</v>
      </c>
      <c r="Q285" s="58"/>
      <c r="R285" s="466">
        <f>O285/100</f>
        <v>1.1618960947726835</v>
      </c>
      <c r="S285" s="58"/>
      <c r="T285" s="466">
        <f>E257</f>
        <v>25</v>
      </c>
      <c r="U285" s="467">
        <f>E287</f>
        <v>4619</v>
      </c>
      <c r="V285" s="467">
        <f>E289</f>
        <v>259.26</v>
      </c>
      <c r="W285" s="467">
        <f>E290</f>
        <v>5.8937777777777782</v>
      </c>
      <c r="X285" s="58"/>
      <c r="Y285" s="58"/>
      <c r="Z285" s="466">
        <f>E264</f>
        <v>11</v>
      </c>
      <c r="AA285" s="468">
        <f>E266</f>
        <v>46</v>
      </c>
      <c r="AB285" s="468">
        <f>E267</f>
        <v>6</v>
      </c>
      <c r="AC285" s="468">
        <f>E268</f>
        <v>1</v>
      </c>
      <c r="AD285" s="468">
        <f>E265</f>
        <v>10</v>
      </c>
    </row>
    <row r="286" spans="2:30" ht="16" outlineLevel="1" thickBot="1">
      <c r="B286" s="534" t="s">
        <v>768</v>
      </c>
      <c r="C286" s="535"/>
      <c r="D286" s="536"/>
      <c r="E286" s="536"/>
      <c r="F286" s="537"/>
      <c r="G286" s="538"/>
      <c r="H286" s="538"/>
      <c r="I286" s="538"/>
      <c r="J286" s="538"/>
      <c r="K286" s="538"/>
      <c r="L286" s="539"/>
      <c r="M286" s="363"/>
      <c r="N286" s="363"/>
      <c r="O286" s="465">
        <f>F253</f>
        <v>116.18960947726835</v>
      </c>
      <c r="P286" s="466">
        <f>F249</f>
        <v>2050</v>
      </c>
      <c r="Q286" s="58"/>
      <c r="R286" s="466">
        <f>O286/100</f>
        <v>1.1618960947726835</v>
      </c>
      <c r="S286" s="58"/>
      <c r="T286" s="466">
        <f>F257</f>
        <v>25</v>
      </c>
      <c r="U286" s="467">
        <f>F287</f>
        <v>4395.5</v>
      </c>
      <c r="V286" s="467">
        <f>F289</f>
        <v>251.065</v>
      </c>
      <c r="W286" s="467">
        <f>F290</f>
        <v>5.8937777777777782</v>
      </c>
      <c r="X286" s="58"/>
      <c r="Y286" s="58"/>
      <c r="Z286" s="466">
        <f>F264</f>
        <v>11</v>
      </c>
      <c r="AA286" s="468">
        <f>F266</f>
        <v>41</v>
      </c>
      <c r="AB286" s="468">
        <f>F267</f>
        <v>4</v>
      </c>
      <c r="AC286" s="468">
        <f>F268</f>
        <v>1</v>
      </c>
      <c r="AD286" s="468">
        <f>F265</f>
        <v>10</v>
      </c>
    </row>
    <row r="287" spans="2:30" ht="64" outlineLevel="1">
      <c r="B287" s="461" t="s">
        <v>769</v>
      </c>
      <c r="C287" s="483">
        <f>C270*$F$4*1000</f>
        <v>5066.0000000000009</v>
      </c>
      <c r="D287" s="483">
        <f t="shared" ref="D287:F287" si="30">D270*$F$4*1000</f>
        <v>4842.5</v>
      </c>
      <c r="E287" s="483">
        <f t="shared" si="30"/>
        <v>4619</v>
      </c>
      <c r="F287" s="483">
        <f t="shared" si="30"/>
        <v>4395.5</v>
      </c>
      <c r="G287" s="483"/>
      <c r="H287" s="484"/>
      <c r="I287" s="420" t="s">
        <v>332</v>
      </c>
      <c r="J287" s="420"/>
      <c r="K287" s="484"/>
      <c r="L287" s="484"/>
      <c r="N287" s="420"/>
    </row>
    <row r="288" spans="2:30" outlineLevel="1">
      <c r="B288" s="485" t="s">
        <v>770</v>
      </c>
      <c r="C288" s="486">
        <f>C287*$I288</f>
        <v>2533000.0000000005</v>
      </c>
      <c r="D288" s="486">
        <f>D287*$I288</f>
        <v>2421250</v>
      </c>
      <c r="E288" s="486">
        <f>E287*$I288</f>
        <v>2309500</v>
      </c>
      <c r="F288" s="486">
        <f>F287*$I288</f>
        <v>2197750</v>
      </c>
      <c r="G288" s="486"/>
      <c r="H288" s="484"/>
      <c r="I288" s="71">
        <v>500</v>
      </c>
      <c r="J288" s="420" t="s">
        <v>330</v>
      </c>
      <c r="K288" s="484"/>
      <c r="L288" s="484"/>
      <c r="N288" s="420"/>
    </row>
    <row r="289" spans="1:15" ht="48" outlineLevel="1">
      <c r="B289" s="461" t="s">
        <v>845</v>
      </c>
      <c r="C289" s="359">
        <f>C273*$F$4/1000</f>
        <v>275.64999999999998</v>
      </c>
      <c r="D289" s="359">
        <f t="shared" ref="D289:F289" si="31">D273*$F$4/1000</f>
        <v>267.45499999999998</v>
      </c>
      <c r="E289" s="359">
        <f t="shared" si="31"/>
        <v>259.26</v>
      </c>
      <c r="F289" s="359">
        <f t="shared" si="31"/>
        <v>251.065</v>
      </c>
      <c r="G289" s="359"/>
      <c r="I289" s="420" t="s">
        <v>333</v>
      </c>
      <c r="J289" s="420"/>
      <c r="N289" s="420"/>
    </row>
    <row r="290" spans="1:15" ht="48" outlineLevel="1">
      <c r="B290" s="461" t="s">
        <v>846</v>
      </c>
      <c r="C290" s="487">
        <f>C274*$F$4/3.6</f>
        <v>5.7509861111111107</v>
      </c>
      <c r="D290" s="487">
        <f t="shared" ref="D290:F290" si="32">D274*$F$4/3.6</f>
        <v>5.8461805555555557</v>
      </c>
      <c r="E290" s="487">
        <f t="shared" si="32"/>
        <v>5.8937777777777782</v>
      </c>
      <c r="F290" s="487">
        <f t="shared" si="32"/>
        <v>5.8937777777777782</v>
      </c>
      <c r="G290" s="359"/>
      <c r="M290" s="420"/>
      <c r="N290" s="420"/>
    </row>
    <row r="291" spans="1:15" outlineLevel="1">
      <c r="A291" s="488"/>
      <c r="B291" s="489"/>
      <c r="D291" s="490"/>
      <c r="E291" s="490"/>
      <c r="F291" s="490"/>
      <c r="G291" s="358"/>
      <c r="H291" s="358"/>
      <c r="I291" s="358"/>
      <c r="J291" s="358"/>
      <c r="K291" s="358"/>
      <c r="L291" s="358"/>
    </row>
    <row r="292" spans="1:15" outlineLevel="1">
      <c r="A292" s="491"/>
      <c r="B292" s="492"/>
      <c r="D292" s="490"/>
      <c r="E292" s="490"/>
      <c r="F292" s="490"/>
      <c r="G292" s="358"/>
      <c r="H292" s="358"/>
      <c r="I292" s="358"/>
      <c r="J292" s="358"/>
      <c r="K292" s="358"/>
      <c r="L292" s="358"/>
    </row>
    <row r="293" spans="1:15" outlineLevel="1">
      <c r="A293" s="491"/>
      <c r="B293" s="493"/>
      <c r="D293" s="490"/>
      <c r="E293" s="490"/>
      <c r="F293" s="490"/>
      <c r="G293" s="358"/>
      <c r="H293" s="358"/>
      <c r="I293" s="358"/>
      <c r="J293" s="358"/>
      <c r="K293" s="358"/>
      <c r="L293" s="358"/>
    </row>
    <row r="294" spans="1:15" outlineLevel="1">
      <c r="A294" s="491"/>
      <c r="B294" s="488" t="s">
        <v>773</v>
      </c>
      <c r="C294" s="489"/>
      <c r="E294" s="358"/>
      <c r="F294" s="490"/>
      <c r="G294" s="358"/>
      <c r="H294" s="358"/>
      <c r="I294" s="358"/>
      <c r="J294" s="358"/>
      <c r="K294" s="358"/>
      <c r="L294" s="358"/>
    </row>
    <row r="295" spans="1:15" outlineLevel="1">
      <c r="A295" s="491"/>
      <c r="B295" s="491">
        <v>1</v>
      </c>
      <c r="C295" s="492" t="s">
        <v>774</v>
      </c>
      <c r="E295" s="358"/>
      <c r="F295" s="490"/>
      <c r="G295" s="358"/>
      <c r="H295" s="358"/>
      <c r="I295" s="358"/>
      <c r="J295" s="358"/>
      <c r="K295" s="358"/>
      <c r="L295" s="358"/>
    </row>
    <row r="296" spans="1:15" outlineLevel="1">
      <c r="A296" s="358"/>
      <c r="B296" s="491">
        <v>2</v>
      </c>
      <c r="C296" s="493" t="s">
        <v>775</v>
      </c>
      <c r="E296" s="358"/>
      <c r="F296" s="490"/>
      <c r="G296" s="358"/>
      <c r="H296" s="358"/>
      <c r="I296" s="358"/>
      <c r="J296" s="358"/>
      <c r="K296" s="358"/>
      <c r="L296" s="358"/>
      <c r="M296" s="570"/>
      <c r="N296" s="489"/>
    </row>
    <row r="297" spans="1:15" outlineLevel="1">
      <c r="A297" s="358"/>
      <c r="B297" s="491">
        <v>3</v>
      </c>
      <c r="C297" s="493" t="s">
        <v>776</v>
      </c>
      <c r="E297" s="358"/>
      <c r="F297" s="490"/>
      <c r="G297" s="358"/>
      <c r="H297" s="358"/>
      <c r="I297" s="358"/>
      <c r="J297" s="358"/>
      <c r="K297" s="358"/>
      <c r="L297" s="358"/>
    </row>
    <row r="298" spans="1:15" outlineLevel="1">
      <c r="A298" s="358"/>
      <c r="B298" s="491">
        <v>4</v>
      </c>
      <c r="C298" s="493" t="s">
        <v>777</v>
      </c>
      <c r="E298" s="358"/>
      <c r="F298" s="490"/>
      <c r="G298" s="358"/>
      <c r="H298" s="358"/>
      <c r="I298" s="358"/>
      <c r="J298" s="358"/>
      <c r="K298" s="358"/>
      <c r="L298" s="358"/>
    </row>
    <row r="299" spans="1:15" outlineLevel="1">
      <c r="A299" s="358"/>
      <c r="B299" s="358">
        <v>5</v>
      </c>
      <c r="C299" s="494" t="s">
        <v>778</v>
      </c>
      <c r="F299" s="490"/>
      <c r="G299" s="358"/>
      <c r="H299" s="358"/>
      <c r="I299" s="358"/>
      <c r="J299" s="358"/>
      <c r="K299" s="358"/>
      <c r="L299" s="358"/>
      <c r="O299" s="490"/>
    </row>
    <row r="300" spans="1:15" outlineLevel="1">
      <c r="A300" s="358"/>
      <c r="B300" s="358">
        <v>6</v>
      </c>
      <c r="C300" s="492" t="s">
        <v>779</v>
      </c>
      <c r="F300" s="490"/>
      <c r="G300" s="358"/>
      <c r="H300" s="358"/>
      <c r="I300" s="358"/>
      <c r="J300" s="358"/>
      <c r="K300" s="358"/>
      <c r="L300" s="358"/>
      <c r="O300" s="490"/>
    </row>
    <row r="301" spans="1:15" outlineLevel="1">
      <c r="A301" s="358"/>
      <c r="B301" s="358">
        <v>7</v>
      </c>
      <c r="C301" s="495" t="s">
        <v>774</v>
      </c>
      <c r="F301" s="490"/>
      <c r="G301" s="358"/>
      <c r="H301" s="358"/>
      <c r="I301" s="358"/>
      <c r="J301" s="358"/>
      <c r="K301" s="358"/>
      <c r="L301" s="358"/>
      <c r="O301" s="490"/>
    </row>
    <row r="302" spans="1:15" outlineLevel="1">
      <c r="A302" s="488"/>
      <c r="B302" s="358">
        <v>8</v>
      </c>
      <c r="C302" s="495" t="s">
        <v>780</v>
      </c>
      <c r="F302" s="490"/>
      <c r="G302" s="358"/>
      <c r="H302" s="358"/>
      <c r="I302" s="358"/>
      <c r="J302" s="358"/>
      <c r="K302" s="358"/>
      <c r="L302" s="358"/>
      <c r="O302" s="490"/>
    </row>
    <row r="303" spans="1:15" outlineLevel="1">
      <c r="A303" s="488"/>
      <c r="B303" s="358">
        <v>9</v>
      </c>
      <c r="C303" s="489" t="s">
        <v>781</v>
      </c>
      <c r="F303" s="490"/>
      <c r="G303" s="358"/>
      <c r="H303" s="358"/>
      <c r="I303" s="358"/>
      <c r="J303" s="358"/>
      <c r="K303" s="358"/>
      <c r="L303" s="358"/>
      <c r="O303" s="490"/>
    </row>
    <row r="304" spans="1:15" outlineLevel="1">
      <c r="A304" s="488"/>
      <c r="B304" s="358">
        <v>10</v>
      </c>
      <c r="C304" s="490" t="s">
        <v>782</v>
      </c>
      <c r="F304" s="490"/>
      <c r="G304" s="358"/>
      <c r="H304" s="358"/>
      <c r="I304" s="358"/>
      <c r="J304" s="358"/>
      <c r="K304" s="358"/>
      <c r="L304" s="358"/>
      <c r="O304" s="490"/>
    </row>
    <row r="305" spans="1:15" outlineLevel="1">
      <c r="A305" s="488"/>
      <c r="B305" s="488" t="s">
        <v>783</v>
      </c>
      <c r="C305" s="489"/>
      <c r="F305" s="490"/>
      <c r="G305" s="358"/>
      <c r="H305" s="358"/>
      <c r="I305" s="358"/>
      <c r="J305" s="358"/>
      <c r="K305" s="358"/>
      <c r="L305" s="358"/>
      <c r="O305" s="490"/>
    </row>
    <row r="306" spans="1:15" outlineLevel="1">
      <c r="A306" s="488"/>
      <c r="B306" s="496" t="s">
        <v>6</v>
      </c>
      <c r="C306" s="497" t="s">
        <v>975</v>
      </c>
      <c r="D306" s="489"/>
      <c r="F306" s="490"/>
      <c r="G306" s="358"/>
      <c r="H306" s="358"/>
      <c r="I306" s="358"/>
      <c r="J306" s="358"/>
      <c r="K306" s="358"/>
      <c r="L306" s="358"/>
      <c r="O306" s="490"/>
    </row>
    <row r="307" spans="1:15" outlineLevel="1">
      <c r="A307" s="488"/>
      <c r="B307" s="496" t="s">
        <v>59</v>
      </c>
      <c r="C307" s="489" t="s">
        <v>785</v>
      </c>
      <c r="D307" s="489"/>
      <c r="F307" s="490"/>
      <c r="G307" s="358"/>
      <c r="H307" s="358"/>
      <c r="I307" s="358"/>
      <c r="J307" s="358"/>
      <c r="K307" s="358"/>
      <c r="L307" s="358"/>
      <c r="O307" s="490"/>
    </row>
    <row r="308" spans="1:15" outlineLevel="1">
      <c r="A308" s="488"/>
      <c r="B308" s="496" t="s">
        <v>16</v>
      </c>
      <c r="C308" s="489" t="s">
        <v>976</v>
      </c>
      <c r="D308" s="489"/>
      <c r="F308" s="490"/>
      <c r="G308" s="358"/>
      <c r="H308" s="358"/>
      <c r="I308" s="358"/>
      <c r="J308" s="358"/>
      <c r="K308" s="358"/>
      <c r="L308" s="358"/>
      <c r="O308" s="490"/>
    </row>
    <row r="309" spans="1:15" outlineLevel="1">
      <c r="A309" s="488"/>
      <c r="B309" s="496" t="s">
        <v>20</v>
      </c>
      <c r="C309" s="489" t="s">
        <v>977</v>
      </c>
      <c r="D309" s="489"/>
      <c r="F309" s="490"/>
      <c r="G309" s="358"/>
      <c r="H309" s="358"/>
      <c r="I309" s="358"/>
      <c r="J309" s="358"/>
      <c r="K309" s="358"/>
      <c r="L309" s="358"/>
      <c r="O309" s="490"/>
    </row>
    <row r="310" spans="1:15" outlineLevel="1">
      <c r="A310" s="488"/>
      <c r="B310" s="496" t="s">
        <v>76</v>
      </c>
      <c r="C310" s="489" t="s">
        <v>786</v>
      </c>
      <c r="D310" s="489"/>
      <c r="F310" s="490"/>
      <c r="G310" s="358"/>
      <c r="H310" s="358"/>
      <c r="I310" s="358"/>
      <c r="J310" s="358"/>
      <c r="K310" s="358"/>
      <c r="L310" s="358"/>
      <c r="O310" s="490"/>
    </row>
    <row r="311" spans="1:15" outlineLevel="1">
      <c r="A311" s="488"/>
      <c r="B311" s="496" t="s">
        <v>25</v>
      </c>
      <c r="C311" s="489" t="s">
        <v>978</v>
      </c>
      <c r="D311" s="489"/>
      <c r="F311" s="490"/>
      <c r="G311" s="358"/>
      <c r="H311" s="358"/>
      <c r="I311" s="358"/>
      <c r="J311" s="358"/>
      <c r="K311" s="358"/>
      <c r="L311" s="358"/>
      <c r="O311" s="490"/>
    </row>
    <row r="312" spans="1:15" outlineLevel="1">
      <c r="A312" s="488"/>
      <c r="B312" s="496" t="s">
        <v>33</v>
      </c>
      <c r="C312" s="489" t="s">
        <v>979</v>
      </c>
      <c r="D312" s="489"/>
      <c r="F312" s="490"/>
      <c r="G312" s="358"/>
      <c r="H312" s="358"/>
      <c r="I312" s="358"/>
      <c r="J312" s="358"/>
      <c r="K312" s="358"/>
      <c r="L312" s="358"/>
      <c r="O312" s="490"/>
    </row>
    <row r="313" spans="1:15" outlineLevel="1">
      <c r="A313" s="488"/>
      <c r="B313" s="496" t="s">
        <v>51</v>
      </c>
      <c r="C313" s="489" t="s">
        <v>980</v>
      </c>
      <c r="D313" s="489"/>
      <c r="F313" s="490"/>
      <c r="G313" s="358"/>
      <c r="H313" s="358"/>
      <c r="I313" s="358"/>
      <c r="J313" s="358"/>
      <c r="K313" s="358"/>
      <c r="L313" s="358"/>
      <c r="O313" s="490"/>
    </row>
    <row r="314" spans="1:15" outlineLevel="1">
      <c r="A314" s="488"/>
      <c r="B314" s="496" t="s">
        <v>52</v>
      </c>
      <c r="C314" s="498" t="s">
        <v>788</v>
      </c>
      <c r="D314" s="489"/>
      <c r="F314" s="490"/>
      <c r="G314" s="358"/>
      <c r="H314" s="358"/>
      <c r="I314" s="358"/>
      <c r="J314" s="358"/>
      <c r="K314" s="358"/>
      <c r="L314" s="358"/>
      <c r="O314" s="490"/>
    </row>
    <row r="315" spans="1:15" outlineLevel="1">
      <c r="A315" s="488"/>
      <c r="B315" s="496" t="s">
        <v>55</v>
      </c>
      <c r="C315" s="489" t="s">
        <v>804</v>
      </c>
      <c r="D315" s="489"/>
      <c r="F315" s="490"/>
      <c r="G315" s="358"/>
      <c r="H315" s="358"/>
      <c r="I315" s="358"/>
      <c r="J315" s="358"/>
      <c r="K315" s="358"/>
      <c r="L315" s="358"/>
      <c r="O315" s="490"/>
    </row>
    <row r="316" spans="1:15" outlineLevel="1">
      <c r="A316" s="496"/>
      <c r="B316" s="496" t="s">
        <v>49</v>
      </c>
      <c r="C316" s="489" t="s">
        <v>789</v>
      </c>
      <c r="D316" s="489"/>
      <c r="F316" s="490"/>
      <c r="G316" s="358"/>
      <c r="H316" s="358"/>
      <c r="I316" s="358"/>
      <c r="J316" s="358"/>
      <c r="K316" s="358"/>
      <c r="L316" s="358"/>
      <c r="M316" s="570"/>
      <c r="N316" s="489"/>
      <c r="O316" s="490"/>
    </row>
    <row r="317" spans="1:15" outlineLevel="1">
      <c r="A317" s="496"/>
      <c r="F317" s="490"/>
      <c r="G317" s="358"/>
      <c r="H317" s="358"/>
      <c r="I317" s="358"/>
      <c r="J317" s="358"/>
      <c r="K317" s="358"/>
      <c r="L317" s="358"/>
      <c r="M317" s="571"/>
      <c r="N317" s="489"/>
      <c r="O317" s="490"/>
    </row>
    <row r="318" spans="1:15" outlineLevel="1">
      <c r="A318" s="496"/>
      <c r="B318" s="489"/>
      <c r="D318" s="490"/>
      <c r="E318" s="490"/>
      <c r="F318" s="490"/>
      <c r="G318" s="358"/>
      <c r="H318" s="358"/>
      <c r="I318" s="358"/>
      <c r="J318" s="358"/>
      <c r="K318" s="358"/>
      <c r="L318" s="358"/>
      <c r="M318" s="572"/>
      <c r="N318" s="489"/>
      <c r="O318" s="490"/>
    </row>
    <row r="319" spans="1:15" outlineLevel="1">
      <c r="A319" s="496"/>
      <c r="B319" s="498"/>
      <c r="D319" s="490"/>
      <c r="E319" s="490"/>
      <c r="F319" s="490"/>
      <c r="G319" s="358"/>
      <c r="H319" s="358"/>
      <c r="I319" s="358"/>
      <c r="J319" s="358"/>
      <c r="K319" s="358"/>
      <c r="L319" s="358"/>
      <c r="M319" s="573"/>
      <c r="N319" s="489"/>
      <c r="O319" s="490"/>
    </row>
    <row r="320" spans="1:15" outlineLevel="1">
      <c r="A320" s="496"/>
      <c r="B320" s="489"/>
      <c r="D320" s="490"/>
      <c r="E320" s="490"/>
      <c r="F320" s="490"/>
      <c r="G320" s="358"/>
      <c r="H320" s="358"/>
      <c r="I320" s="358"/>
      <c r="J320" s="358"/>
      <c r="K320" s="358"/>
      <c r="L320" s="358"/>
      <c r="M320" s="573"/>
      <c r="N320" s="490"/>
      <c r="O320" s="490"/>
    </row>
    <row r="321" spans="1:44" outlineLevel="1">
      <c r="A321" s="496"/>
      <c r="B321" s="489"/>
      <c r="D321" s="490"/>
      <c r="E321" s="490"/>
      <c r="F321" s="490"/>
      <c r="G321" s="358"/>
      <c r="H321" s="358"/>
      <c r="I321" s="358"/>
      <c r="J321" s="358"/>
      <c r="K321" s="358"/>
      <c r="L321" s="358"/>
      <c r="M321" s="489"/>
      <c r="N321" s="490"/>
      <c r="O321" s="490"/>
    </row>
    <row r="322" spans="1:44" outlineLevel="1">
      <c r="O322" s="490"/>
    </row>
    <row r="323" spans="1:44">
      <c r="O323" s="490"/>
    </row>
    <row r="324" spans="1:44">
      <c r="O324" s="490"/>
    </row>
    <row r="325" spans="1:44" ht="16" thickBot="1">
      <c r="A325" s="360"/>
    </row>
    <row r="326" spans="1:44" ht="20.5" customHeight="1" thickBot="1">
      <c r="B326" s="362"/>
      <c r="C326" s="1201"/>
      <c r="D326" s="1202"/>
      <c r="E326" s="1202"/>
      <c r="F326" s="1202"/>
      <c r="G326" s="1202"/>
      <c r="H326" s="1202"/>
      <c r="I326" s="1202"/>
      <c r="J326" s="1202"/>
      <c r="K326" s="1202"/>
      <c r="L326" s="1203"/>
      <c r="M326" s="363"/>
      <c r="N326" s="363"/>
      <c r="AK326" s="1147"/>
      <c r="AL326" s="1148"/>
      <c r="AM326" s="1147"/>
      <c r="AN326" s="1148"/>
      <c r="AO326" s="1147"/>
      <c r="AP326" s="1148"/>
      <c r="AQ326" s="1162"/>
      <c r="AR326" s="1163"/>
    </row>
    <row r="327" spans="1:44" ht="15" customHeight="1" thickBot="1">
      <c r="B327" s="1168"/>
      <c r="C327" s="1170"/>
      <c r="D327" s="1170"/>
      <c r="E327" s="1170"/>
      <c r="F327" s="1170"/>
      <c r="G327" s="1206"/>
      <c r="H327" s="1207"/>
      <c r="I327" s="1206"/>
      <c r="J327" s="1207"/>
      <c r="K327" s="1204"/>
      <c r="L327" s="1204"/>
      <c r="M327" s="367"/>
      <c r="N327" s="367"/>
      <c r="AK327" s="1149"/>
      <c r="AL327" s="1150"/>
      <c r="AM327" s="1149"/>
      <c r="AN327" s="1150"/>
      <c r="AO327" s="1149"/>
      <c r="AP327" s="1150"/>
      <c r="AQ327" s="1164"/>
      <c r="AR327" s="1165"/>
    </row>
    <row r="328" spans="1:44" ht="15" customHeight="1" thickBot="1">
      <c r="B328" s="1169"/>
      <c r="C328" s="1171"/>
      <c r="D328" s="1171"/>
      <c r="E328" s="1171"/>
      <c r="F328" s="1171"/>
      <c r="G328" s="406"/>
      <c r="H328" s="406"/>
      <c r="I328" s="406"/>
      <c r="J328" s="406"/>
      <c r="K328" s="1205"/>
      <c r="L328" s="1205"/>
      <c r="M328" s="370"/>
      <c r="N328" s="370"/>
      <c r="AK328" s="1149"/>
      <c r="AL328" s="1150"/>
      <c r="AM328" s="1149"/>
      <c r="AN328" s="1150"/>
      <c r="AO328" s="1149"/>
      <c r="AP328" s="1150"/>
      <c r="AQ328" s="1166"/>
      <c r="AR328" s="1167"/>
    </row>
    <row r="329" spans="1:44" ht="21" thickBot="1">
      <c r="B329" s="371"/>
      <c r="C329" s="372"/>
      <c r="D329" s="372"/>
      <c r="E329" s="372"/>
      <c r="F329" s="372"/>
      <c r="G329" s="372"/>
      <c r="H329" s="372"/>
      <c r="I329" s="372"/>
      <c r="J329" s="372"/>
      <c r="K329" s="372"/>
      <c r="L329" s="373"/>
      <c r="M329" s="370"/>
      <c r="N329" s="370"/>
      <c r="P329" s="364"/>
      <c r="Q329" s="365"/>
      <c r="R329" s="366"/>
      <c r="S329" s="1143"/>
      <c r="T329" s="1147"/>
      <c r="U329" s="1148"/>
      <c r="V329" s="1147"/>
      <c r="W329" s="1148"/>
      <c r="X329" s="1147"/>
      <c r="Y329" s="1148"/>
      <c r="Z329" s="1147"/>
      <c r="AA329" s="1148"/>
      <c r="AB329" s="1147"/>
      <c r="AC329" s="1148"/>
      <c r="AE329" s="364"/>
      <c r="AF329" s="365"/>
      <c r="AG329" s="366"/>
      <c r="AH329" s="1143"/>
      <c r="AI329" s="1147"/>
      <c r="AJ329" s="1148"/>
      <c r="AK329" s="374"/>
      <c r="AL329" s="375"/>
      <c r="AM329" s="374"/>
      <c r="AN329" s="375"/>
      <c r="AO329" s="374"/>
      <c r="AP329" s="375"/>
      <c r="AQ329" s="374"/>
      <c r="AR329" s="375"/>
    </row>
    <row r="330" spans="1:44" ht="14.5" customHeight="1">
      <c r="B330" s="574"/>
      <c r="C330" s="575"/>
      <c r="D330" s="575"/>
      <c r="E330" s="575"/>
      <c r="F330" s="575"/>
      <c r="G330" s="576"/>
      <c r="H330" s="576"/>
      <c r="I330" s="576"/>
      <c r="J330" s="576"/>
      <c r="K330" s="372"/>
      <c r="L330" s="373"/>
      <c r="M330" s="370"/>
      <c r="N330" s="370"/>
      <c r="P330" s="1151"/>
      <c r="Q330" s="368"/>
      <c r="R330" s="368"/>
      <c r="S330" s="1144"/>
      <c r="T330" s="1149"/>
      <c r="U330" s="1150"/>
      <c r="V330" s="1149"/>
      <c r="W330" s="1150"/>
      <c r="X330" s="1149"/>
      <c r="Y330" s="1150"/>
      <c r="Z330" s="1149"/>
      <c r="AA330" s="1150"/>
      <c r="AB330" s="1149"/>
      <c r="AC330" s="1150"/>
      <c r="AE330" s="1151"/>
      <c r="AF330" s="368"/>
      <c r="AG330" s="368"/>
      <c r="AH330" s="1144"/>
      <c r="AI330" s="1149"/>
      <c r="AJ330" s="1150"/>
      <c r="AK330" s="1191"/>
      <c r="AL330" s="1179"/>
      <c r="AM330" s="1191"/>
      <c r="AN330" s="1179"/>
      <c r="AO330" s="1191"/>
      <c r="AP330" s="1179"/>
      <c r="AQ330" s="1182"/>
      <c r="AR330" s="1179"/>
    </row>
    <row r="331" spans="1:44">
      <c r="B331" s="383"/>
      <c r="C331" s="577"/>
      <c r="D331" s="577"/>
      <c r="E331" s="577"/>
      <c r="F331" s="577"/>
      <c r="G331" s="576"/>
      <c r="H331" s="576"/>
      <c r="I331" s="576"/>
      <c r="J331" s="576"/>
      <c r="K331" s="372"/>
      <c r="L331" s="373"/>
      <c r="M331" s="370"/>
      <c r="N331" s="370"/>
      <c r="P331" s="1152"/>
      <c r="Q331" s="1154"/>
      <c r="R331" s="1155"/>
      <c r="S331" s="1145"/>
      <c r="T331" s="1149"/>
      <c r="U331" s="1150"/>
      <c r="V331" s="1149"/>
      <c r="W331" s="1150"/>
      <c r="X331" s="1149"/>
      <c r="Y331" s="1150"/>
      <c r="Z331" s="1149"/>
      <c r="AA331" s="1150"/>
      <c r="AB331" s="1149"/>
      <c r="AC331" s="1150"/>
      <c r="AE331" s="1152"/>
      <c r="AF331" s="1154"/>
      <c r="AG331" s="1155"/>
      <c r="AH331" s="1145"/>
      <c r="AI331" s="1149"/>
      <c r="AJ331" s="1150"/>
      <c r="AK331" s="1192"/>
      <c r="AL331" s="1180"/>
      <c r="AM331" s="1192"/>
      <c r="AN331" s="1180"/>
      <c r="AO331" s="1192"/>
      <c r="AP331" s="1180"/>
      <c r="AQ331" s="1183"/>
      <c r="AR331" s="1180"/>
    </row>
    <row r="332" spans="1:44" ht="16" thickBot="1">
      <c r="B332" s="574"/>
      <c r="C332" s="578"/>
      <c r="D332" s="578"/>
      <c r="E332" s="578"/>
      <c r="F332" s="578"/>
      <c r="G332" s="578"/>
      <c r="H332" s="578"/>
      <c r="I332" s="578"/>
      <c r="J332" s="578"/>
      <c r="K332" s="579"/>
      <c r="L332" s="580"/>
      <c r="M332" s="370"/>
      <c r="N332" s="370"/>
      <c r="O332" s="74"/>
      <c r="P332" s="1153"/>
      <c r="Q332" s="1146"/>
      <c r="R332" s="1156"/>
      <c r="S332" s="1146"/>
      <c r="T332" s="374"/>
      <c r="U332" s="375"/>
      <c r="V332" s="374"/>
      <c r="W332" s="375"/>
      <c r="X332" s="374"/>
      <c r="Y332" s="375"/>
      <c r="Z332" s="374"/>
      <c r="AA332" s="375"/>
      <c r="AB332" s="374"/>
      <c r="AC332" s="375"/>
      <c r="AE332" s="1153"/>
      <c r="AF332" s="1146"/>
      <c r="AG332" s="1156"/>
      <c r="AH332" s="1146"/>
      <c r="AI332" s="374"/>
      <c r="AJ332" s="375"/>
      <c r="AK332" s="1193"/>
      <c r="AL332" s="1181"/>
      <c r="AM332" s="1193"/>
      <c r="AN332" s="1181"/>
      <c r="AO332" s="1193"/>
      <c r="AP332" s="1181"/>
      <c r="AQ332" s="1184"/>
      <c r="AR332" s="1181"/>
    </row>
    <row r="333" spans="1:44" ht="14.5" customHeight="1">
      <c r="B333" s="574"/>
      <c r="C333" s="581"/>
      <c r="D333" s="581"/>
      <c r="E333" s="581"/>
      <c r="F333" s="581"/>
      <c r="G333" s="581"/>
      <c r="H333" s="581"/>
      <c r="I333" s="581"/>
      <c r="J333" s="581"/>
      <c r="K333" s="579"/>
      <c r="L333" s="580"/>
      <c r="M333" s="370"/>
      <c r="N333" s="370"/>
      <c r="P333" s="1185"/>
      <c r="Q333" s="1188"/>
      <c r="R333" s="381"/>
      <c r="S333" s="382"/>
      <c r="T333" s="1191"/>
      <c r="U333" s="1179"/>
      <c r="V333" s="1191"/>
      <c r="W333" s="1179"/>
      <c r="X333" s="1191"/>
      <c r="Y333" s="1179"/>
      <c r="Z333" s="1191"/>
      <c r="AA333" s="1179"/>
      <c r="AB333" s="1182"/>
      <c r="AC333" s="1179"/>
      <c r="AE333" s="1185"/>
      <c r="AF333" s="1188"/>
      <c r="AG333" s="381"/>
      <c r="AH333" s="382"/>
      <c r="AI333" s="1191"/>
      <c r="AJ333" s="1179"/>
      <c r="AK333" s="1191"/>
      <c r="AL333" s="1191"/>
      <c r="AM333" s="1191"/>
      <c r="AN333" s="1191"/>
      <c r="AO333" s="1191"/>
      <c r="AP333" s="1191"/>
      <c r="AQ333" s="1191"/>
      <c r="AR333" s="1191"/>
    </row>
    <row r="334" spans="1:44">
      <c r="B334" s="574"/>
      <c r="C334" s="582"/>
      <c r="D334" s="582"/>
      <c r="E334" s="582"/>
      <c r="F334" s="582"/>
      <c r="G334" s="582"/>
      <c r="H334" s="582"/>
      <c r="I334" s="582"/>
      <c r="J334" s="582"/>
      <c r="K334" s="579"/>
      <c r="L334" s="580"/>
      <c r="M334" s="367"/>
      <c r="N334" s="367"/>
      <c r="O334" s="71"/>
      <c r="P334" s="1210"/>
      <c r="Q334" s="1189"/>
      <c r="R334" s="388"/>
      <c r="S334" s="389"/>
      <c r="T334" s="1192"/>
      <c r="U334" s="1180"/>
      <c r="V334" s="1192"/>
      <c r="W334" s="1180"/>
      <c r="X334" s="1192"/>
      <c r="Y334" s="1180"/>
      <c r="Z334" s="1192"/>
      <c r="AA334" s="1180"/>
      <c r="AB334" s="1183"/>
      <c r="AC334" s="1180"/>
      <c r="AE334" s="1210"/>
      <c r="AF334" s="1189"/>
      <c r="AG334" s="388"/>
      <c r="AH334" s="389"/>
      <c r="AI334" s="1192"/>
      <c r="AJ334" s="1180"/>
      <c r="AK334" s="1208"/>
      <c r="AL334" s="1208"/>
      <c r="AM334" s="1208"/>
      <c r="AN334" s="1208"/>
      <c r="AO334" s="1208"/>
      <c r="AP334" s="1208"/>
      <c r="AQ334" s="1192"/>
      <c r="AR334" s="1208"/>
    </row>
    <row r="335" spans="1:44" ht="16" thickBot="1">
      <c r="B335" s="383"/>
      <c r="C335" s="397"/>
      <c r="D335" s="397"/>
      <c r="E335" s="397"/>
      <c r="F335" s="397"/>
      <c r="G335" s="398"/>
      <c r="H335" s="398"/>
      <c r="I335" s="398"/>
      <c r="J335" s="398"/>
      <c r="K335" s="372"/>
      <c r="L335" s="373"/>
      <c r="M335" s="363"/>
      <c r="N335" s="363"/>
      <c r="O335" s="71"/>
      <c r="P335" s="1210"/>
      <c r="Q335" s="1190"/>
      <c r="R335" s="393"/>
      <c r="S335" s="394"/>
      <c r="T335" s="1193"/>
      <c r="U335" s="1181"/>
      <c r="V335" s="1193"/>
      <c r="W335" s="1181"/>
      <c r="X335" s="1193"/>
      <c r="Y335" s="1181"/>
      <c r="Z335" s="1193"/>
      <c r="AA335" s="1181"/>
      <c r="AB335" s="1184"/>
      <c r="AC335" s="1181"/>
      <c r="AE335" s="1210"/>
      <c r="AF335" s="1190"/>
      <c r="AG335" s="393"/>
      <c r="AH335" s="394"/>
      <c r="AI335" s="1193"/>
      <c r="AJ335" s="1181"/>
      <c r="AK335" s="1208"/>
      <c r="AL335" s="1208"/>
      <c r="AM335" s="1208"/>
      <c r="AN335" s="1208"/>
      <c r="AO335" s="1208"/>
      <c r="AP335" s="1208"/>
      <c r="AQ335" s="1192"/>
      <c r="AR335" s="1208"/>
    </row>
    <row r="336" spans="1:44" ht="16" thickBot="1">
      <c r="B336" s="574"/>
      <c r="C336" s="582"/>
      <c r="D336" s="582"/>
      <c r="E336" s="582"/>
      <c r="F336" s="582"/>
      <c r="G336" s="582"/>
      <c r="H336" s="582"/>
      <c r="I336" s="582"/>
      <c r="J336" s="582"/>
      <c r="K336" s="372"/>
      <c r="L336" s="373"/>
      <c r="M336" s="363"/>
      <c r="N336" s="363"/>
      <c r="O336" s="71"/>
      <c r="P336" s="1210"/>
      <c r="Q336" s="1212"/>
      <c r="R336" s="395"/>
      <c r="S336" s="396"/>
      <c r="T336" s="1191"/>
      <c r="U336" s="1191"/>
      <c r="V336" s="1191"/>
      <c r="W336" s="1191"/>
      <c r="X336" s="1191"/>
      <c r="Y336" s="1191"/>
      <c r="Z336" s="1191"/>
      <c r="AA336" s="1191"/>
      <c r="AB336" s="1191"/>
      <c r="AC336" s="1191"/>
      <c r="AE336" s="1210"/>
      <c r="AF336" s="1212"/>
      <c r="AG336" s="395"/>
      <c r="AH336" s="396"/>
      <c r="AI336" s="1191"/>
      <c r="AJ336" s="1191"/>
      <c r="AK336" s="1208"/>
      <c r="AL336" s="1208"/>
      <c r="AM336" s="1208"/>
      <c r="AN336" s="1208"/>
      <c r="AO336" s="1208"/>
      <c r="AP336" s="1208"/>
      <c r="AQ336" s="1192"/>
      <c r="AR336" s="1208"/>
    </row>
    <row r="337" spans="1:44" ht="16" thickBot="1">
      <c r="B337" s="401"/>
      <c r="C337" s="583"/>
      <c r="D337" s="584"/>
      <c r="E337" s="585"/>
      <c r="F337" s="586"/>
      <c r="G337" s="406"/>
      <c r="H337" s="406"/>
      <c r="I337" s="406"/>
      <c r="J337" s="406"/>
      <c r="K337" s="407"/>
      <c r="L337" s="587"/>
      <c r="M337" s="363"/>
      <c r="N337" s="363"/>
      <c r="O337" s="71"/>
      <c r="P337" s="1210"/>
      <c r="Q337" s="1213"/>
      <c r="R337" s="395"/>
      <c r="S337" s="396"/>
      <c r="T337" s="1208"/>
      <c r="U337" s="1208"/>
      <c r="V337" s="1208"/>
      <c r="W337" s="1208"/>
      <c r="X337" s="1208"/>
      <c r="Y337" s="1208"/>
      <c r="Z337" s="1208"/>
      <c r="AA337" s="1208"/>
      <c r="AB337" s="1192"/>
      <c r="AC337" s="1208"/>
      <c r="AE337" s="1210"/>
      <c r="AF337" s="1213"/>
      <c r="AG337" s="395"/>
      <c r="AH337" s="396"/>
      <c r="AI337" s="1208"/>
      <c r="AJ337" s="1208"/>
      <c r="AK337" s="1209"/>
      <c r="AL337" s="1209"/>
      <c r="AM337" s="1209"/>
      <c r="AN337" s="1209"/>
      <c r="AO337" s="1209"/>
      <c r="AP337" s="1209"/>
      <c r="AQ337" s="1193"/>
      <c r="AR337" s="1209"/>
    </row>
    <row r="338" spans="1:44" ht="16" thickBot="1">
      <c r="B338" s="574"/>
      <c r="C338" s="588"/>
      <c r="D338" s="588"/>
      <c r="E338" s="588"/>
      <c r="F338" s="588"/>
      <c r="G338" s="589"/>
      <c r="H338" s="589"/>
      <c r="I338" s="590"/>
      <c r="J338" s="590"/>
      <c r="K338" s="579"/>
      <c r="L338" s="580"/>
      <c r="M338" s="363"/>
      <c r="N338" s="363"/>
      <c r="P338" s="1210"/>
      <c r="Q338" s="1213"/>
      <c r="R338" s="395"/>
      <c r="S338" s="396"/>
      <c r="T338" s="1208"/>
      <c r="U338" s="1208"/>
      <c r="V338" s="1208"/>
      <c r="W338" s="1208"/>
      <c r="X338" s="1208"/>
      <c r="Y338" s="1208"/>
      <c r="Z338" s="1208"/>
      <c r="AA338" s="1208"/>
      <c r="AB338" s="1192"/>
      <c r="AC338" s="1208"/>
      <c r="AE338" s="1210"/>
      <c r="AF338" s="1213"/>
      <c r="AG338" s="395"/>
      <c r="AH338" s="396"/>
      <c r="AI338" s="1208"/>
      <c r="AJ338" s="1208"/>
      <c r="AK338" s="593"/>
      <c r="AL338" s="592"/>
      <c r="AM338" s="593"/>
      <c r="AN338" s="592"/>
      <c r="AO338" s="593"/>
      <c r="AP338" s="592"/>
      <c r="AQ338" s="593"/>
      <c r="AR338" s="594"/>
    </row>
    <row r="339" spans="1:44">
      <c r="B339" s="574"/>
      <c r="C339" s="582"/>
      <c r="D339" s="582"/>
      <c r="E339" s="582"/>
      <c r="F339" s="582"/>
      <c r="G339" s="595"/>
      <c r="H339" s="595"/>
      <c r="I339" s="595"/>
      <c r="J339" s="595"/>
      <c r="K339" s="596"/>
      <c r="L339" s="580"/>
      <c r="M339" s="363"/>
      <c r="N339" s="363"/>
      <c r="P339" s="1210"/>
      <c r="Q339" s="1213"/>
      <c r="R339" s="395"/>
      <c r="S339" s="396"/>
      <c r="T339" s="1208"/>
      <c r="U339" s="1208"/>
      <c r="V339" s="1208"/>
      <c r="W339" s="1208"/>
      <c r="X339" s="1208"/>
      <c r="Y339" s="1208"/>
      <c r="Z339" s="1208"/>
      <c r="AA339" s="1208"/>
      <c r="AB339" s="1192"/>
      <c r="AC339" s="1208"/>
      <c r="AE339" s="1210"/>
      <c r="AF339" s="1213"/>
      <c r="AG339" s="395"/>
      <c r="AH339" s="396"/>
      <c r="AI339" s="1208"/>
      <c r="AJ339" s="1208"/>
    </row>
    <row r="340" spans="1:44" ht="16" thickBot="1">
      <c r="B340" s="574"/>
      <c r="C340" s="582"/>
      <c r="D340" s="582"/>
      <c r="E340" s="582"/>
      <c r="F340" s="582"/>
      <c r="G340" s="595"/>
      <c r="H340" s="595"/>
      <c r="I340" s="595"/>
      <c r="J340" s="595"/>
      <c r="K340" s="596"/>
      <c r="L340" s="580"/>
      <c r="M340" s="420"/>
      <c r="N340" s="363"/>
      <c r="P340" s="1210"/>
      <c r="Q340" s="1214"/>
      <c r="R340" s="409"/>
      <c r="S340" s="410"/>
      <c r="T340" s="1209"/>
      <c r="U340" s="1209"/>
      <c r="V340" s="1209"/>
      <c r="W340" s="1209"/>
      <c r="X340" s="1209"/>
      <c r="Y340" s="1209"/>
      <c r="Z340" s="1209"/>
      <c r="AA340" s="1209"/>
      <c r="AB340" s="1193"/>
      <c r="AC340" s="1209"/>
      <c r="AE340" s="1210"/>
      <c r="AF340" s="1214"/>
      <c r="AG340" s="409"/>
      <c r="AH340" s="410"/>
      <c r="AI340" s="1209"/>
      <c r="AJ340" s="1209"/>
    </row>
    <row r="341" spans="1:44" ht="16" thickBot="1">
      <c r="B341" s="421"/>
      <c r="C341" s="399"/>
      <c r="D341" s="399"/>
      <c r="E341" s="399"/>
      <c r="F341" s="399"/>
      <c r="G341" s="422"/>
      <c r="H341" s="422"/>
      <c r="I341" s="422"/>
      <c r="J341" s="422"/>
      <c r="K341" s="423"/>
      <c r="L341" s="597"/>
      <c r="M341" s="420"/>
      <c r="N341" s="420"/>
      <c r="P341" s="1211"/>
      <c r="Q341" s="411"/>
      <c r="R341" s="412"/>
      <c r="S341" s="413"/>
      <c r="T341" s="591"/>
      <c r="U341" s="592"/>
      <c r="V341" s="593"/>
      <c r="W341" s="592"/>
      <c r="X341" s="593"/>
      <c r="Y341" s="592"/>
      <c r="Z341" s="593"/>
      <c r="AA341" s="592"/>
      <c r="AB341" s="593"/>
      <c r="AC341" s="594"/>
      <c r="AE341" s="1211"/>
      <c r="AF341" s="411"/>
      <c r="AG341" s="412"/>
      <c r="AH341" s="413"/>
      <c r="AI341" s="591"/>
      <c r="AJ341" s="592"/>
    </row>
    <row r="342" spans="1:44">
      <c r="B342" s="383"/>
      <c r="C342" s="397"/>
      <c r="D342" s="397"/>
      <c r="E342" s="397"/>
      <c r="F342" s="397"/>
      <c r="G342" s="422"/>
      <c r="H342" s="425"/>
      <c r="I342" s="425"/>
      <c r="J342" s="425"/>
      <c r="K342" s="426"/>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c r="B345" s="383"/>
      <c r="C345" s="397"/>
      <c r="D345" s="397"/>
      <c r="E345" s="397"/>
      <c r="F345" s="397"/>
      <c r="G345" s="425"/>
      <c r="H345" s="425"/>
      <c r="I345" s="425"/>
      <c r="J345" s="425"/>
      <c r="K345" s="423"/>
      <c r="L345" s="427"/>
      <c r="M345" s="428"/>
      <c r="N345" s="428"/>
    </row>
    <row r="346" spans="1:44" ht="16" thickBot="1">
      <c r="B346" s="429"/>
      <c r="C346" s="397"/>
      <c r="D346" s="397"/>
      <c r="E346" s="397"/>
      <c r="F346" s="397"/>
      <c r="G346" s="425"/>
      <c r="H346" s="425"/>
      <c r="I346" s="425"/>
      <c r="J346" s="425"/>
      <c r="K346" s="423"/>
      <c r="L346" s="427"/>
      <c r="M346" s="428"/>
      <c r="N346" s="428"/>
    </row>
    <row r="347" spans="1:44" ht="16" thickBot="1">
      <c r="B347" s="431"/>
      <c r="C347" s="598"/>
      <c r="D347" s="584"/>
      <c r="E347" s="584"/>
      <c r="F347" s="599"/>
      <c r="G347" s="434"/>
      <c r="H347" s="406"/>
      <c r="I347" s="406"/>
      <c r="J347" s="406"/>
      <c r="K347" s="407"/>
      <c r="L347" s="587"/>
      <c r="M347" s="428"/>
      <c r="N347" s="428"/>
    </row>
    <row r="348" spans="1:44">
      <c r="A348" s="435"/>
      <c r="B348" s="436"/>
      <c r="C348" s="600"/>
      <c r="D348" s="600"/>
      <c r="E348" s="600"/>
      <c r="F348" s="600"/>
      <c r="G348" s="425"/>
      <c r="H348" s="425"/>
      <c r="I348" s="425"/>
      <c r="J348" s="425"/>
      <c r="K348" s="426"/>
      <c r="L348" s="440"/>
      <c r="M348" s="420"/>
      <c r="N348" s="420"/>
    </row>
    <row r="349" spans="1:44">
      <c r="B349" s="441"/>
      <c r="C349" s="601"/>
      <c r="D349" s="601"/>
      <c r="E349" s="601"/>
      <c r="F349" s="601"/>
      <c r="G349" s="425"/>
      <c r="H349" s="425"/>
      <c r="I349" s="425"/>
      <c r="J349" s="425"/>
      <c r="K349" s="444"/>
      <c r="L349" s="373"/>
      <c r="M349" s="71"/>
      <c r="N349" s="420"/>
    </row>
    <row r="350" spans="1:44">
      <c r="B350" s="441"/>
      <c r="C350" s="601"/>
      <c r="D350" s="601"/>
      <c r="E350" s="601"/>
      <c r="F350" s="601"/>
      <c r="G350" s="425"/>
      <c r="H350" s="425"/>
      <c r="I350" s="425"/>
      <c r="J350" s="425"/>
      <c r="K350" s="444"/>
      <c r="L350" s="373"/>
      <c r="M350" s="420"/>
      <c r="N350" s="420"/>
    </row>
    <row r="351" spans="1:44">
      <c r="B351" s="383"/>
      <c r="C351" s="602"/>
      <c r="D351" s="603"/>
      <c r="E351" s="603"/>
      <c r="F351" s="604"/>
      <c r="G351" s="425"/>
      <c r="H351" s="425"/>
      <c r="I351" s="425"/>
      <c r="J351" s="425"/>
      <c r="K351" s="444"/>
      <c r="L351" s="373"/>
      <c r="M351" s="420"/>
      <c r="N351" s="420"/>
    </row>
    <row r="352" spans="1:44">
      <c r="B352" s="383"/>
      <c r="C352" s="605"/>
      <c r="D352" s="605"/>
      <c r="E352" s="605"/>
      <c r="F352" s="605"/>
      <c r="G352" s="425"/>
      <c r="H352" s="425"/>
      <c r="I352" s="425"/>
      <c r="J352" s="425"/>
      <c r="K352" s="444"/>
      <c r="L352" s="373"/>
      <c r="M352" s="450"/>
      <c r="N352" s="361"/>
    </row>
    <row r="353" spans="2:30">
      <c r="B353" s="541"/>
      <c r="C353" s="552"/>
      <c r="D353" s="552"/>
      <c r="E353" s="552"/>
      <c r="F353" s="552"/>
      <c r="G353" s="553"/>
      <c r="H353" s="553"/>
      <c r="I353" s="553"/>
      <c r="J353" s="553"/>
      <c r="K353" s="547"/>
      <c r="L353" s="548"/>
      <c r="M353" s="450"/>
      <c r="N353" s="361"/>
    </row>
    <row r="354" spans="2:30">
      <c r="B354" s="541"/>
      <c r="C354" s="606"/>
      <c r="D354" s="606"/>
      <c r="E354" s="606"/>
      <c r="F354" s="606"/>
      <c r="G354" s="553"/>
      <c r="H354" s="553"/>
      <c r="I354" s="553"/>
      <c r="J354" s="553"/>
      <c r="K354" s="547"/>
      <c r="L354" s="548"/>
      <c r="M354" s="363"/>
      <c r="N354" s="363"/>
    </row>
    <row r="355" spans="2:30">
      <c r="B355" s="541"/>
      <c r="C355" s="607"/>
      <c r="D355" s="547"/>
      <c r="E355" s="547"/>
      <c r="F355" s="563"/>
      <c r="G355" s="550"/>
      <c r="H355" s="550"/>
      <c r="I355" s="550"/>
      <c r="J355" s="550"/>
      <c r="K355" s="547"/>
      <c r="L355" s="608"/>
      <c r="M355" s="367"/>
      <c r="N355" s="367"/>
      <c r="P355" s="1157"/>
      <c r="Q355" s="1135"/>
      <c r="R355" s="1135"/>
      <c r="S355" s="1135"/>
      <c r="T355" s="1135"/>
      <c r="U355" s="1158"/>
    </row>
    <row r="356" spans="2:30" ht="16" thickBot="1">
      <c r="B356" s="566"/>
      <c r="C356" s="607"/>
      <c r="D356" s="609"/>
      <c r="E356" s="609"/>
      <c r="F356" s="610"/>
      <c r="G356" s="550"/>
      <c r="H356" s="550"/>
      <c r="I356" s="550"/>
      <c r="J356" s="550"/>
      <c r="K356" s="547"/>
      <c r="L356" s="608"/>
      <c r="M356" s="363"/>
      <c r="N356" s="363"/>
      <c r="P356" s="1159"/>
      <c r="Q356" s="1160"/>
      <c r="R356" s="1160"/>
      <c r="S356" s="1160"/>
      <c r="T356" s="1160"/>
      <c r="U356" s="1161"/>
    </row>
    <row r="357" spans="2:30" ht="16" thickBot="1">
      <c r="B357" s="611"/>
      <c r="C357" s="612"/>
      <c r="D357" s="613"/>
      <c r="E357" s="614"/>
      <c r="F357" s="615"/>
      <c r="G357" s="540"/>
      <c r="H357" s="540"/>
      <c r="I357" s="540"/>
      <c r="J357" s="540"/>
      <c r="K357" s="616"/>
      <c r="L357" s="617"/>
      <c r="M357" s="363"/>
      <c r="N357" s="363"/>
      <c r="P357" s="53"/>
    </row>
    <row r="358" spans="2:30">
      <c r="B358" s="556"/>
      <c r="C358" s="618"/>
      <c r="D358" s="618"/>
      <c r="E358" s="618"/>
      <c r="F358" s="618"/>
      <c r="G358" s="618"/>
      <c r="H358" s="618"/>
      <c r="I358" s="618"/>
      <c r="J358" s="618"/>
      <c r="K358" s="618"/>
      <c r="L358" s="619"/>
      <c r="M358" s="363"/>
      <c r="N358" s="363"/>
      <c r="P358" s="46"/>
      <c r="Q358" s="46"/>
      <c r="R358" s="47"/>
      <c r="S358" s="47"/>
      <c r="T358" s="47"/>
      <c r="U358" s="48"/>
      <c r="V358" s="49"/>
      <c r="W358" s="49"/>
      <c r="X358" s="49"/>
      <c r="Y358" s="49"/>
      <c r="Z358" s="49"/>
      <c r="AA358" s="49"/>
      <c r="AB358" s="49"/>
      <c r="AC358" s="49"/>
      <c r="AD358" s="49"/>
    </row>
    <row r="359" spans="2:30" ht="16" thickBot="1">
      <c r="B359" s="541"/>
      <c r="C359" s="558"/>
      <c r="D359" s="558"/>
      <c r="E359" s="558"/>
      <c r="F359" s="558"/>
      <c r="G359" s="563"/>
      <c r="H359" s="563"/>
      <c r="I359" s="563"/>
      <c r="J359" s="563"/>
      <c r="K359" s="563"/>
      <c r="L359" s="548"/>
      <c r="M359" s="363"/>
      <c r="N359" s="363"/>
      <c r="O359" s="71"/>
      <c r="P359" s="50"/>
      <c r="Q359" s="50"/>
      <c r="R359" s="51"/>
      <c r="S359" s="51"/>
      <c r="T359" s="51"/>
      <c r="U359" s="51"/>
      <c r="V359" s="50"/>
      <c r="W359" s="50"/>
      <c r="X359" s="50"/>
      <c r="Y359" s="50"/>
      <c r="Z359" s="50"/>
      <c r="AA359" s="50"/>
      <c r="AB359" s="50"/>
      <c r="AC359" s="50"/>
      <c r="AD359" s="50"/>
    </row>
    <row r="360" spans="2:30">
      <c r="B360" s="541"/>
      <c r="C360" s="558"/>
      <c r="D360" s="558"/>
      <c r="E360" s="558"/>
      <c r="F360" s="558"/>
      <c r="G360" s="563"/>
      <c r="H360" s="563"/>
      <c r="I360" s="563"/>
      <c r="J360" s="563"/>
      <c r="K360" s="563"/>
      <c r="L360" s="548"/>
      <c r="M360" s="363"/>
      <c r="N360" s="363"/>
      <c r="O360" s="461"/>
      <c r="P360" s="56"/>
      <c r="Q360" s="56"/>
      <c r="R360" s="57"/>
      <c r="S360" s="57"/>
      <c r="T360" s="57"/>
      <c r="U360" s="56"/>
      <c r="V360" s="56"/>
      <c r="W360" s="56"/>
      <c r="X360" s="56"/>
      <c r="Y360" s="56"/>
      <c r="Z360" s="56"/>
      <c r="AA360" s="56"/>
      <c r="AB360" s="56"/>
      <c r="AC360" s="56"/>
      <c r="AD360" s="56"/>
    </row>
    <row r="361" spans="2:30">
      <c r="B361" s="541"/>
      <c r="C361" s="564"/>
      <c r="D361" s="564"/>
      <c r="E361" s="564"/>
      <c r="F361" s="564"/>
      <c r="G361" s="621"/>
      <c r="H361" s="621"/>
      <c r="I361" s="621"/>
      <c r="J361" s="621"/>
      <c r="K361" s="621"/>
      <c r="L361" s="548"/>
      <c r="M361" s="363"/>
      <c r="N361" s="363"/>
      <c r="O361" s="620"/>
      <c r="P361" s="466"/>
      <c r="Q361" s="58"/>
      <c r="R361" s="466"/>
      <c r="S361" s="58"/>
      <c r="T361" s="466"/>
      <c r="U361" s="467"/>
      <c r="V361" s="467"/>
      <c r="W361" s="467"/>
      <c r="X361" s="58"/>
      <c r="Y361" s="58"/>
      <c r="Z361" s="466"/>
      <c r="AA361" s="468"/>
      <c r="AB361" s="468"/>
      <c r="AC361" s="468"/>
      <c r="AD361" s="468"/>
    </row>
    <row r="362" spans="2:30">
      <c r="B362" s="566"/>
      <c r="C362" s="558"/>
      <c r="D362" s="558"/>
      <c r="E362" s="558"/>
      <c r="F362" s="558"/>
      <c r="G362" s="563"/>
      <c r="H362" s="563"/>
      <c r="I362" s="563"/>
      <c r="J362" s="563"/>
      <c r="K362" s="563"/>
      <c r="L362" s="548"/>
      <c r="M362" s="367"/>
      <c r="N362" s="367"/>
      <c r="O362" s="620"/>
      <c r="P362" s="466"/>
      <c r="Q362" s="58"/>
      <c r="R362" s="466"/>
      <c r="S362" s="58"/>
      <c r="T362" s="466"/>
      <c r="U362" s="467"/>
      <c r="V362" s="467"/>
      <c r="W362" s="467"/>
      <c r="X362" s="58"/>
      <c r="Y362" s="58"/>
      <c r="Z362" s="466"/>
      <c r="AA362" s="468"/>
      <c r="AB362" s="468"/>
      <c r="AC362" s="468"/>
      <c r="AD362" s="468"/>
    </row>
    <row r="363" spans="2:30">
      <c r="B363" s="566"/>
      <c r="C363" s="558"/>
      <c r="D363" s="558"/>
      <c r="E363" s="558"/>
      <c r="F363" s="558"/>
      <c r="G363" s="563"/>
      <c r="H363" s="563"/>
      <c r="I363" s="563"/>
      <c r="J363" s="563"/>
      <c r="K363" s="563"/>
      <c r="L363" s="548"/>
      <c r="M363" s="363"/>
      <c r="N363" s="363"/>
      <c r="O363" s="620"/>
      <c r="P363" s="466"/>
      <c r="Q363" s="58"/>
      <c r="R363" s="466"/>
      <c r="S363" s="58"/>
      <c r="T363" s="466"/>
      <c r="U363" s="467"/>
      <c r="V363" s="467"/>
      <c r="W363" s="467"/>
      <c r="X363" s="58"/>
      <c r="Y363" s="58"/>
      <c r="Z363" s="466"/>
      <c r="AA363" s="468"/>
      <c r="AB363" s="468"/>
      <c r="AC363" s="468"/>
      <c r="AD363" s="468"/>
    </row>
    <row r="364" spans="2:30" ht="16" thickBot="1">
      <c r="B364" s="567"/>
      <c r="C364" s="622"/>
      <c r="D364" s="622"/>
      <c r="E364" s="622"/>
      <c r="F364" s="622"/>
      <c r="G364" s="623"/>
      <c r="H364" s="623"/>
      <c r="I364" s="623"/>
      <c r="J364" s="623"/>
      <c r="K364" s="623"/>
      <c r="L364" s="624"/>
      <c r="M364" s="363"/>
      <c r="N364" s="363"/>
      <c r="O364" s="620"/>
      <c r="P364" s="466"/>
      <c r="Q364" s="58"/>
      <c r="R364" s="466"/>
      <c r="S364" s="58"/>
      <c r="T364" s="466"/>
      <c r="U364" s="467"/>
      <c r="V364" s="467"/>
      <c r="W364" s="467"/>
      <c r="X364" s="58"/>
      <c r="Y364" s="58"/>
      <c r="Z364" s="466"/>
      <c r="AA364" s="468"/>
      <c r="AB364" s="468"/>
      <c r="AC364" s="468"/>
      <c r="AD364" s="468"/>
    </row>
    <row r="365" spans="2:30">
      <c r="B365" s="461"/>
      <c r="C365" s="483"/>
      <c r="D365" s="483"/>
      <c r="E365" s="483"/>
      <c r="F365" s="483"/>
      <c r="G365" s="483"/>
      <c r="H365" s="484"/>
      <c r="I365" s="420"/>
      <c r="J365" s="420"/>
      <c r="K365" s="484"/>
      <c r="L365" s="484"/>
      <c r="N365" s="420"/>
    </row>
    <row r="366" spans="2:30">
      <c r="B366" s="485"/>
      <c r="C366" s="486"/>
      <c r="D366" s="486"/>
      <c r="E366" s="486"/>
      <c r="F366" s="486"/>
      <c r="G366" s="486"/>
      <c r="H366" s="484"/>
      <c r="I366" s="71"/>
      <c r="J366" s="420"/>
      <c r="K366" s="484"/>
      <c r="L366" s="484"/>
      <c r="N366" s="420"/>
    </row>
    <row r="367" spans="2:30">
      <c r="B367" s="461"/>
      <c r="C367" s="359"/>
      <c r="D367" s="359"/>
      <c r="E367" s="359"/>
      <c r="F367" s="359"/>
      <c r="G367" s="359"/>
      <c r="I367" s="420"/>
      <c r="J367" s="420"/>
      <c r="N367" s="420"/>
    </row>
    <row r="368" spans="2:30">
      <c r="B368" s="461"/>
      <c r="C368" s="487"/>
      <c r="D368" s="487"/>
      <c r="E368" s="487"/>
      <c r="F368" s="487"/>
      <c r="G368" s="359"/>
      <c r="M368" s="420"/>
      <c r="N368" s="420"/>
    </row>
    <row r="371" spans="1:11">
      <c r="A371" s="488"/>
      <c r="B371" s="489"/>
      <c r="D371" s="358"/>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490"/>
      <c r="E378" s="358"/>
      <c r="F378" s="358"/>
      <c r="G378" s="358"/>
      <c r="H378" s="358"/>
      <c r="I378" s="358"/>
      <c r="J378" s="358"/>
      <c r="K378" s="358"/>
    </row>
    <row r="379" spans="1:11">
      <c r="A379" s="358"/>
      <c r="B379" s="625"/>
      <c r="E379" s="358"/>
      <c r="F379" s="358"/>
      <c r="G379" s="358"/>
      <c r="H379" s="358"/>
      <c r="I379" s="358"/>
      <c r="J379" s="358"/>
      <c r="K379" s="358"/>
    </row>
    <row r="380" spans="1:11">
      <c r="A380" s="358"/>
      <c r="B380" s="490"/>
      <c r="E380" s="358"/>
      <c r="F380" s="358"/>
      <c r="G380" s="358"/>
      <c r="H380" s="358"/>
      <c r="I380" s="358"/>
      <c r="J380" s="358"/>
      <c r="K380" s="358"/>
    </row>
    <row r="381" spans="1:11">
      <c r="A381" s="488"/>
      <c r="B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row r="387" spans="1:11" ht="15.75" customHeight="1">
      <c r="A387" s="496"/>
      <c r="B387" s="490"/>
      <c r="C387" s="489"/>
      <c r="E387" s="358"/>
      <c r="F387" s="358"/>
      <c r="G387" s="358"/>
      <c r="H387" s="358"/>
      <c r="I387" s="358"/>
      <c r="J387" s="358"/>
      <c r="K387" s="358"/>
    </row>
  </sheetData>
  <mergeCells count="253">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Q333:Q335"/>
    <mergeCell ref="T333:T335"/>
    <mergeCell ref="U333:U335"/>
    <mergeCell ref="V333:V335"/>
    <mergeCell ref="X329:Y331"/>
    <mergeCell ref="B327:B328"/>
    <mergeCell ref="C327:C328"/>
    <mergeCell ref="D327:D328"/>
    <mergeCell ref="E327:E328"/>
    <mergeCell ref="F327:F328"/>
    <mergeCell ref="G327:H327"/>
    <mergeCell ref="I327:J327"/>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C326:L326"/>
    <mergeCell ref="S329:S332"/>
    <mergeCell ref="T329:U331"/>
    <mergeCell ref="V329:W331"/>
    <mergeCell ref="K327:K328"/>
    <mergeCell ref="L327:L328"/>
    <mergeCell ref="P330:P332"/>
    <mergeCell ref="Q331:Q332"/>
    <mergeCell ref="Z329:AA331"/>
    <mergeCell ref="R331:R332"/>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P255:P263"/>
    <mergeCell ref="Q255:Q257"/>
    <mergeCell ref="T255:T257"/>
    <mergeCell ref="U255:U257"/>
    <mergeCell ref="V255:V257"/>
    <mergeCell ref="W255:W257"/>
    <mergeCell ref="Q258:Q262"/>
    <mergeCell ref="T258:T262"/>
    <mergeCell ref="U258:U262"/>
    <mergeCell ref="V258:V262"/>
    <mergeCell ref="W258:W262"/>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S251:S254"/>
    <mergeCell ref="T251:U253"/>
    <mergeCell ref="V251:W253"/>
    <mergeCell ref="X251:Y253"/>
    <mergeCell ref="Z251:AA253"/>
    <mergeCell ref="P252:P254"/>
    <mergeCell ref="Q253:Q254"/>
    <mergeCell ref="R253:R254"/>
    <mergeCell ref="P198:U198"/>
    <mergeCell ref="P199:U199"/>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S172:S175"/>
    <mergeCell ref="T172:U174"/>
    <mergeCell ref="V172:W174"/>
    <mergeCell ref="X172:Y174"/>
    <mergeCell ref="Z172:AA174"/>
    <mergeCell ref="P173:P175"/>
    <mergeCell ref="Q174:Q175"/>
    <mergeCell ref="R174:R175"/>
    <mergeCell ref="P116:U116"/>
    <mergeCell ref="P117:U117"/>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8B7-0FA7-41B8-8C5B-3CD7874F100E}">
  <sheetPr>
    <tabColor rgb="FFFFFF00"/>
  </sheetPr>
  <dimension ref="A2:AX264"/>
  <sheetViews>
    <sheetView workbookViewId="0">
      <pane xSplit="5" ySplit="12" topLeftCell="F217" activePane="bottomRight" state="frozen"/>
      <selection pane="topRight" activeCell="F1" sqref="F1"/>
      <selection pane="bottomLeft" activeCell="A13" sqref="A13"/>
      <selection pane="bottomRight" activeCell="AT228" sqref="AT228"/>
    </sheetView>
  </sheetViews>
  <sheetFormatPr baseColWidth="10" defaultColWidth="8.83203125" defaultRowHeight="15"/>
  <cols>
    <col min="1" max="6" width="8.83203125" style="224"/>
    <col min="7" max="9" width="8.83203125" style="224" hidden="1" customWidth="1"/>
    <col min="10" max="10" width="12" style="224" hidden="1" customWidth="1"/>
    <col min="11" max="12" width="12.1640625" style="224" hidden="1" customWidth="1"/>
    <col min="13" max="15" width="8.83203125" style="224" hidden="1" customWidth="1"/>
    <col min="16" max="16" width="8.1640625" style="224" hidden="1" customWidth="1"/>
    <col min="17" max="26" width="8.83203125" style="224" hidden="1" customWidth="1"/>
    <col min="27" max="27" width="8.83203125" style="224" customWidth="1"/>
    <col min="28" max="29" width="8.83203125" style="224" hidden="1" customWidth="1"/>
    <col min="30" max="30" width="8.83203125" style="224" customWidth="1"/>
    <col min="31" max="39" width="8.83203125" style="224" hidden="1" customWidth="1"/>
    <col min="40" max="41" width="8.83203125" style="224"/>
    <col min="42" max="44" width="8.83203125" style="1123"/>
    <col min="45" max="45" width="27.1640625" style="1123" customWidth="1"/>
    <col min="46" max="16384" width="8.83203125" style="224"/>
  </cols>
  <sheetData>
    <row r="2" spans="1:50">
      <c r="A2" s="224" t="s">
        <v>2063</v>
      </c>
    </row>
    <row r="4" spans="1:50">
      <c r="A4" s="224" t="s">
        <v>2002</v>
      </c>
      <c r="C4" s="224">
        <v>0.13175999999999999</v>
      </c>
      <c r="D4" s="224" t="s">
        <v>2066</v>
      </c>
      <c r="F4" s="224" t="s">
        <v>2068</v>
      </c>
    </row>
    <row r="5" spans="1:50">
      <c r="A5" s="224" t="s">
        <v>2003</v>
      </c>
    </row>
    <row r="6" spans="1:50">
      <c r="A6" s="224" t="s">
        <v>531</v>
      </c>
    </row>
    <row r="7" spans="1:50">
      <c r="A7" s="224" t="s">
        <v>2004</v>
      </c>
      <c r="B7" s="224" t="s">
        <v>2005</v>
      </c>
    </row>
    <row r="8" spans="1:50">
      <c r="A8" s="224" t="s">
        <v>2006</v>
      </c>
      <c r="B8" s="224" t="s">
        <v>2007</v>
      </c>
    </row>
    <row r="9" spans="1:50">
      <c r="A9" s="224" t="s">
        <v>2008</v>
      </c>
      <c r="B9" s="224" t="s">
        <v>2009</v>
      </c>
    </row>
    <row r="10" spans="1:50">
      <c r="A10" s="224" t="s">
        <v>2064</v>
      </c>
      <c r="B10" s="224" t="s">
        <v>2065</v>
      </c>
    </row>
    <row r="11" spans="1:50">
      <c r="G11" s="1215" t="s">
        <v>2010</v>
      </c>
      <c r="H11" s="1215"/>
      <c r="I11" s="1108"/>
      <c r="J11" s="1216" t="s">
        <v>2011</v>
      </c>
      <c r="K11" s="1216"/>
      <c r="L11" s="1216"/>
      <c r="M11" s="1216"/>
      <c r="N11" s="1216"/>
      <c r="O11" s="1216"/>
      <c r="P11" s="1216" t="s">
        <v>2012</v>
      </c>
      <c r="Q11" s="1216"/>
      <c r="R11" s="1216"/>
      <c r="S11" s="1216"/>
      <c r="T11" s="1216"/>
      <c r="U11" s="1216"/>
      <c r="V11" s="1215" t="s">
        <v>2013</v>
      </c>
      <c r="W11" s="1215"/>
      <c r="X11" s="1215"/>
      <c r="Y11" s="1215"/>
      <c r="Z11" s="1215"/>
      <c r="AA11" s="1215" t="s">
        <v>2014</v>
      </c>
      <c r="AB11" s="1215"/>
      <c r="AC11" s="1215"/>
      <c r="AD11" s="1108" t="s">
        <v>2015</v>
      </c>
      <c r="AE11" s="1215" t="s">
        <v>2016</v>
      </c>
      <c r="AF11" s="1215"/>
      <c r="AG11" s="1215"/>
      <c r="AH11" s="1215"/>
      <c r="AI11" s="1215"/>
      <c r="AJ11" s="1215"/>
      <c r="AK11" s="1215"/>
      <c r="AL11" s="1215"/>
      <c r="AM11" s="1215"/>
      <c r="AN11" s="1109" t="s">
        <v>2017</v>
      </c>
    </row>
    <row r="12" spans="1:50" ht="30">
      <c r="A12" s="1110" t="s">
        <v>1133</v>
      </c>
      <c r="B12" s="1111" t="s">
        <v>2018</v>
      </c>
      <c r="C12" s="1111" t="s">
        <v>2019</v>
      </c>
      <c r="D12" s="1111" t="s">
        <v>2020</v>
      </c>
      <c r="E12" s="1111" t="s">
        <v>2021</v>
      </c>
      <c r="F12" s="1111" t="s">
        <v>2022</v>
      </c>
      <c r="G12" s="1112" t="s">
        <v>2023</v>
      </c>
      <c r="H12" s="1112" t="s">
        <v>2024</v>
      </c>
      <c r="I12" s="1113" t="s">
        <v>2025</v>
      </c>
      <c r="J12" s="1114" t="s">
        <v>2026</v>
      </c>
      <c r="K12" s="1114" t="s">
        <v>2027</v>
      </c>
      <c r="L12" s="1114" t="s">
        <v>2028</v>
      </c>
      <c r="M12" s="1115" t="s">
        <v>2029</v>
      </c>
      <c r="N12" s="1115" t="s">
        <v>2030</v>
      </c>
      <c r="O12" s="1115" t="s">
        <v>2031</v>
      </c>
      <c r="P12" s="1112" t="s">
        <v>2032</v>
      </c>
      <c r="Q12" s="1112" t="s">
        <v>2033</v>
      </c>
      <c r="R12" s="1112" t="s">
        <v>2034</v>
      </c>
      <c r="S12" s="1112" t="s">
        <v>2035</v>
      </c>
      <c r="T12" s="1112" t="s">
        <v>2036</v>
      </c>
      <c r="U12" s="1112" t="s">
        <v>2037</v>
      </c>
      <c r="V12" s="1112" t="s">
        <v>2038</v>
      </c>
      <c r="W12" s="1112" t="s">
        <v>2039</v>
      </c>
      <c r="X12" s="1112" t="s">
        <v>2040</v>
      </c>
      <c r="Y12" s="1113" t="s">
        <v>2041</v>
      </c>
      <c r="Z12" s="1112" t="s">
        <v>2042</v>
      </c>
      <c r="AA12" s="1112" t="s">
        <v>2043</v>
      </c>
      <c r="AB12" s="1112" t="s">
        <v>2044</v>
      </c>
      <c r="AC12" s="1112" t="s">
        <v>2045</v>
      </c>
      <c r="AD12" s="1116" t="s">
        <v>2046</v>
      </c>
      <c r="AE12" s="1112" t="s">
        <v>2047</v>
      </c>
      <c r="AF12" s="1112" t="s">
        <v>2048</v>
      </c>
      <c r="AG12" s="1112" t="s">
        <v>2049</v>
      </c>
      <c r="AH12" s="1112" t="s">
        <v>2050</v>
      </c>
      <c r="AI12" s="1112" t="s">
        <v>2051</v>
      </c>
      <c r="AJ12" s="1112" t="s">
        <v>2052</v>
      </c>
      <c r="AK12" s="1112" t="s">
        <v>2053</v>
      </c>
      <c r="AL12" s="1112" t="s">
        <v>2054</v>
      </c>
      <c r="AM12" s="1112" t="s">
        <v>2055</v>
      </c>
      <c r="AN12" s="1117" t="s">
        <v>2056</v>
      </c>
      <c r="AO12" s="1122" t="s">
        <v>2067</v>
      </c>
      <c r="AP12" s="1124" t="s">
        <v>2074</v>
      </c>
      <c r="AQ12" s="1124" t="s">
        <v>2076</v>
      </c>
      <c r="AR12" s="1125" t="s">
        <v>339</v>
      </c>
      <c r="AS12" s="1123" t="s">
        <v>2075</v>
      </c>
      <c r="AT12" s="224" t="s">
        <v>2079</v>
      </c>
    </row>
    <row r="13" spans="1:50">
      <c r="A13" s="1118">
        <v>2017</v>
      </c>
      <c r="B13" s="1119"/>
      <c r="C13" s="1119"/>
      <c r="D13" s="1119" t="s">
        <v>2002</v>
      </c>
      <c r="E13" s="1119" t="s">
        <v>2057</v>
      </c>
      <c r="F13" s="1119"/>
      <c r="G13" s="224">
        <v>26408.122257943447</v>
      </c>
      <c r="H13" s="224">
        <v>14740.142857142857</v>
      </c>
      <c r="I13" s="224">
        <v>2.3759999999999999</v>
      </c>
      <c r="J13" s="224">
        <v>0.19797451388064591</v>
      </c>
      <c r="K13" s="224">
        <v>0.13507787674661281</v>
      </c>
      <c r="L13" s="224">
        <v>0.15733502692996645</v>
      </c>
      <c r="M13" s="224">
        <v>0</v>
      </c>
      <c r="N13" s="224">
        <v>0</v>
      </c>
      <c r="O13" s="224">
        <v>0</v>
      </c>
      <c r="P13" s="224">
        <v>0</v>
      </c>
      <c r="Q13" s="224">
        <v>0</v>
      </c>
      <c r="R13" s="224">
        <v>0</v>
      </c>
      <c r="S13" s="224">
        <v>0</v>
      </c>
      <c r="T13" s="224">
        <v>0</v>
      </c>
      <c r="U13" s="224">
        <v>0</v>
      </c>
      <c r="V13" s="224">
        <v>293.64053294285713</v>
      </c>
      <c r="W13" s="224">
        <v>0</v>
      </c>
      <c r="X13" s="224">
        <v>3.2632499999999989</v>
      </c>
      <c r="Y13" s="224">
        <v>2.3759999999999999</v>
      </c>
      <c r="Z13" s="224">
        <v>0</v>
      </c>
      <c r="AA13" s="224">
        <v>73.609182931698555</v>
      </c>
      <c r="AB13" s="224">
        <v>49.322425946787725</v>
      </c>
      <c r="AC13" s="224">
        <v>57.182761255902996</v>
      </c>
      <c r="AD13" s="1120">
        <v>10.02727521340155</v>
      </c>
      <c r="AE13" s="224">
        <v>29831.954199447344</v>
      </c>
      <c r="AF13" s="224">
        <v>0</v>
      </c>
      <c r="AG13" s="224">
        <v>261.59999999999997</v>
      </c>
      <c r="AH13" s="224">
        <v>12272.34363356928</v>
      </c>
      <c r="AI13" s="224">
        <v>78000</v>
      </c>
      <c r="AJ13" s="224">
        <v>0</v>
      </c>
      <c r="AK13" s="224">
        <v>791.37040000000002</v>
      </c>
      <c r="AL13" s="224">
        <v>0</v>
      </c>
      <c r="AM13" s="224">
        <v>436.00000000000006</v>
      </c>
      <c r="AN13" s="1120">
        <v>121593.26823301661</v>
      </c>
      <c r="AO13" s="224">
        <f>AD13*$C$4</f>
        <v>1.3211937821177882</v>
      </c>
      <c r="AP13" s="1123">
        <v>0.1</v>
      </c>
      <c r="AQ13" s="1123">
        <f>AA13*$C$4*365/1000*0.1</f>
        <v>0.35400422692244193</v>
      </c>
      <c r="AR13" s="1123">
        <v>20</v>
      </c>
      <c r="AS13" s="1123">
        <f>AO13/$AO$13</f>
        <v>1</v>
      </c>
      <c r="AT13" s="224">
        <f>AN13*AQ13</f>
        <v>43044.530919802164</v>
      </c>
      <c r="AW13" s="224">
        <f>AA13*$C$4</f>
        <v>9.6987459430806009</v>
      </c>
      <c r="AX13" s="224" t="s">
        <v>2072</v>
      </c>
    </row>
    <row r="14" spans="1:50">
      <c r="A14" s="1121">
        <v>2020</v>
      </c>
      <c r="B14" s="1107"/>
      <c r="C14" s="1107"/>
      <c r="D14" s="1107" t="s">
        <v>2002</v>
      </c>
      <c r="E14" s="1107" t="s">
        <v>2057</v>
      </c>
      <c r="F14" s="1107"/>
      <c r="G14" s="224">
        <v>26332.535627387872</v>
      </c>
      <c r="H14" s="224">
        <v>14788.638071428571</v>
      </c>
      <c r="I14" s="224">
        <v>2.3759999999999999</v>
      </c>
      <c r="J14" s="224">
        <v>0.18839736099100321</v>
      </c>
      <c r="K14" s="224">
        <v>0.12550666692171605</v>
      </c>
      <c r="L14" s="224">
        <v>0.14532221572453397</v>
      </c>
      <c r="M14" s="224">
        <v>0</v>
      </c>
      <c r="N14" s="224">
        <v>0</v>
      </c>
      <c r="O14" s="224">
        <v>0</v>
      </c>
      <c r="P14" s="224">
        <v>0</v>
      </c>
      <c r="Q14" s="224">
        <v>0</v>
      </c>
      <c r="R14" s="224">
        <v>0</v>
      </c>
      <c r="S14" s="224">
        <v>0</v>
      </c>
      <c r="T14" s="224">
        <v>0</v>
      </c>
      <c r="U14" s="224">
        <v>0</v>
      </c>
      <c r="V14" s="224">
        <v>287.78656302857138</v>
      </c>
      <c r="W14" s="224">
        <v>0</v>
      </c>
      <c r="X14" s="224">
        <v>3.2161153846153852</v>
      </c>
      <c r="Y14" s="224">
        <v>2.3759999999999999</v>
      </c>
      <c r="Z14" s="224">
        <v>0</v>
      </c>
      <c r="AA14" s="224">
        <v>69.908740104792571</v>
      </c>
      <c r="AB14" s="224">
        <v>45.751764098419187</v>
      </c>
      <c r="AC14" s="224">
        <v>52.715685388398406</v>
      </c>
      <c r="AD14" s="1120">
        <v>9.2806164525154138</v>
      </c>
      <c r="AE14" s="224">
        <v>29481.994606924036</v>
      </c>
      <c r="AF14" s="224">
        <v>0</v>
      </c>
      <c r="AG14" s="224">
        <v>261.59999999999997</v>
      </c>
      <c r="AH14" s="224">
        <v>12048.013477633367</v>
      </c>
      <c r="AI14" s="224">
        <v>78000</v>
      </c>
      <c r="AJ14" s="224">
        <v>1235.8047393673185</v>
      </c>
      <c r="AK14" s="224">
        <v>1631.3232079293696</v>
      </c>
      <c r="AL14" s="224">
        <v>0</v>
      </c>
      <c r="AM14" s="224">
        <v>436.00000000000006</v>
      </c>
      <c r="AN14" s="1120">
        <v>123094.73603185407</v>
      </c>
      <c r="AO14" s="224">
        <f t="shared" ref="AO14:AO77" si="0">AD14*$C$4</f>
        <v>1.2228140237834308</v>
      </c>
      <c r="AP14" s="1123">
        <v>0.1</v>
      </c>
      <c r="AQ14" s="1123">
        <f>AQ13</f>
        <v>0.35400422692244193</v>
      </c>
      <c r="AR14" s="1123">
        <v>20</v>
      </c>
      <c r="AS14" s="1123">
        <f t="shared" ref="AS14:AS48" si="1">AO14/$AO$13</f>
        <v>0.92553722272544992</v>
      </c>
      <c r="AT14" s="224">
        <f t="shared" ref="AT14:AT77" si="2">AN14*AQ14</f>
        <v>43576.056867178559</v>
      </c>
    </row>
    <row r="15" spans="1:50">
      <c r="A15" s="1118">
        <v>2025</v>
      </c>
      <c r="B15" s="1119"/>
      <c r="C15" s="1119"/>
      <c r="D15" s="1119" t="s">
        <v>2002</v>
      </c>
      <c r="E15" s="1119" t="s">
        <v>2057</v>
      </c>
      <c r="F15" s="1119"/>
      <c r="G15" s="224">
        <v>26195.292266285</v>
      </c>
      <c r="H15" s="224">
        <v>14867.142864285717</v>
      </c>
      <c r="I15" s="224">
        <v>2.3760000000000003</v>
      </c>
      <c r="J15" s="224">
        <v>0.17168153260518534</v>
      </c>
      <c r="K15" s="224">
        <v>0.10664540168303958</v>
      </c>
      <c r="L15" s="224">
        <v>0.12132105842633337</v>
      </c>
      <c r="M15" s="224">
        <v>0</v>
      </c>
      <c r="N15" s="224">
        <v>0</v>
      </c>
      <c r="O15" s="224">
        <v>0</v>
      </c>
      <c r="P15" s="224">
        <v>0</v>
      </c>
      <c r="Q15" s="224">
        <v>0</v>
      </c>
      <c r="R15" s="224">
        <v>0</v>
      </c>
      <c r="S15" s="224">
        <v>0</v>
      </c>
      <c r="T15" s="224">
        <v>0</v>
      </c>
      <c r="U15" s="224">
        <v>0</v>
      </c>
      <c r="V15" s="224">
        <v>281.7640115785714</v>
      </c>
      <c r="W15" s="224">
        <v>0</v>
      </c>
      <c r="X15" s="224">
        <v>3.2567207357859536</v>
      </c>
      <c r="Y15" s="224">
        <v>2.3760000000000003</v>
      </c>
      <c r="Z15" s="224">
        <v>0</v>
      </c>
      <c r="AA15" s="224">
        <v>63.826054707962932</v>
      </c>
      <c r="AB15" s="224">
        <v>38.955322779931315</v>
      </c>
      <c r="AC15" s="224">
        <v>44.085858181948602</v>
      </c>
      <c r="AD15" s="1120">
        <v>7.8306165260302167</v>
      </c>
      <c r="AE15" s="224">
        <v>29423.839794467323</v>
      </c>
      <c r="AF15" s="224">
        <v>0</v>
      </c>
      <c r="AG15" s="224">
        <v>211.19999999999996</v>
      </c>
      <c r="AH15" s="224">
        <v>11817.22310363203</v>
      </c>
      <c r="AI15" s="224">
        <v>78000</v>
      </c>
      <c r="AJ15" s="224">
        <v>3001.6221048198017</v>
      </c>
      <c r="AK15" s="224">
        <v>4684.2551232572232</v>
      </c>
      <c r="AL15" s="224">
        <v>0</v>
      </c>
      <c r="AM15" s="224">
        <v>352.00000000000006</v>
      </c>
      <c r="AN15" s="1120">
        <v>127490.1401261764</v>
      </c>
      <c r="AO15" s="224">
        <f t="shared" si="0"/>
        <v>1.0317620334697413</v>
      </c>
      <c r="AP15" s="1123">
        <v>0.1</v>
      </c>
      <c r="AQ15" s="1123">
        <f t="shared" ref="AQ15:AQ78" si="3">AQ14</f>
        <v>0.35400422692244193</v>
      </c>
      <c r="AR15" s="1123">
        <v>20</v>
      </c>
      <c r="AS15" s="1123">
        <f t="shared" si="1"/>
        <v>0.78093164487641886</v>
      </c>
      <c r="AT15" s="224">
        <f t="shared" si="2"/>
        <v>45132.048495600866</v>
      </c>
      <c r="AW15" s="224">
        <f>AW13*365</f>
        <v>3540.0422692244192</v>
      </c>
      <c r="AX15" s="224" t="s">
        <v>2073</v>
      </c>
    </row>
    <row r="16" spans="1:50">
      <c r="A16" s="1118">
        <v>2030</v>
      </c>
      <c r="B16" s="1107"/>
      <c r="C16" s="1107"/>
      <c r="D16" s="1107" t="s">
        <v>2002</v>
      </c>
      <c r="E16" s="1107" t="s">
        <v>2057</v>
      </c>
      <c r="F16" s="1107"/>
      <c r="G16" s="224">
        <v>26117.947076364519</v>
      </c>
      <c r="H16" s="224">
        <v>14946.571435714286</v>
      </c>
      <c r="I16" s="224">
        <v>2.3760000000000003</v>
      </c>
      <c r="J16" s="224">
        <v>0.15957393872617764</v>
      </c>
      <c r="K16" s="224">
        <v>9.7323618510881268E-2</v>
      </c>
      <c r="L16" s="224">
        <v>0.11048419632192973</v>
      </c>
      <c r="M16" s="224">
        <v>0</v>
      </c>
      <c r="N16" s="224">
        <v>0</v>
      </c>
      <c r="O16" s="224">
        <v>0</v>
      </c>
      <c r="P16" s="224">
        <v>0</v>
      </c>
      <c r="Q16" s="224">
        <v>0</v>
      </c>
      <c r="R16" s="224">
        <v>0</v>
      </c>
      <c r="S16" s="224">
        <v>0</v>
      </c>
      <c r="T16" s="224">
        <v>0</v>
      </c>
      <c r="U16" s="224">
        <v>0</v>
      </c>
      <c r="V16" s="224">
        <v>278.98241930000006</v>
      </c>
      <c r="W16" s="224">
        <v>0</v>
      </c>
      <c r="X16" s="224">
        <v>3.2973260869565215</v>
      </c>
      <c r="Y16" s="224">
        <v>2.3760000000000003</v>
      </c>
      <c r="Z16" s="224">
        <v>0</v>
      </c>
      <c r="AA16" s="224">
        <v>59.198506197950238</v>
      </c>
      <c r="AB16" s="224">
        <v>35.476576416898716</v>
      </c>
      <c r="AC16" s="224">
        <v>40.058437305236893</v>
      </c>
      <c r="AD16" s="1120">
        <v>7.1386366986433591</v>
      </c>
      <c r="AE16" s="224">
        <v>29691.188496201441</v>
      </c>
      <c r="AF16" s="224">
        <v>0</v>
      </c>
      <c r="AG16" s="224">
        <v>177.59999999999994</v>
      </c>
      <c r="AH16" s="224">
        <v>11710.629622842302</v>
      </c>
      <c r="AI16" s="224">
        <v>78000</v>
      </c>
      <c r="AJ16" s="224">
        <v>4652.3376046714302</v>
      </c>
      <c r="AK16" s="224">
        <v>6053.4260506112532</v>
      </c>
      <c r="AL16" s="224">
        <v>0</v>
      </c>
      <c r="AM16" s="224">
        <v>296</v>
      </c>
      <c r="AN16" s="1120">
        <v>130581.18177432647</v>
      </c>
      <c r="AO16" s="224">
        <f t="shared" si="0"/>
        <v>0.94058677141324887</v>
      </c>
      <c r="AP16" s="1123">
        <v>0.1</v>
      </c>
      <c r="AQ16" s="1123">
        <f t="shared" si="3"/>
        <v>0.35400422692244193</v>
      </c>
      <c r="AR16" s="1123">
        <v>20</v>
      </c>
      <c r="AS16" s="1123">
        <f t="shared" si="1"/>
        <v>0.71192188772304776</v>
      </c>
      <c r="AT16" s="224">
        <f t="shared" si="2"/>
        <v>46226.290304639304</v>
      </c>
    </row>
    <row r="17" spans="1:50">
      <c r="A17" s="1118">
        <v>2035</v>
      </c>
      <c r="B17" s="1119"/>
      <c r="C17" s="1119"/>
      <c r="D17" s="1119" t="s">
        <v>2002</v>
      </c>
      <c r="E17" s="1119" t="s">
        <v>2057</v>
      </c>
      <c r="F17" s="1119"/>
      <c r="G17" s="224">
        <v>26069.45064160672</v>
      </c>
      <c r="H17" s="224">
        <v>15014.842857142854</v>
      </c>
      <c r="I17" s="224">
        <v>2.3760000000000003</v>
      </c>
      <c r="J17" s="224">
        <v>0.15291445572180104</v>
      </c>
      <c r="K17" s="224">
        <v>9.2203225081430543E-2</v>
      </c>
      <c r="L17" s="224">
        <v>0.10449100066881481</v>
      </c>
      <c r="M17" s="224">
        <v>0</v>
      </c>
      <c r="N17" s="224">
        <v>0</v>
      </c>
      <c r="O17" s="224">
        <v>0</v>
      </c>
      <c r="P17" s="224">
        <v>0</v>
      </c>
      <c r="Q17" s="224">
        <v>0</v>
      </c>
      <c r="R17" s="224">
        <v>0</v>
      </c>
      <c r="S17" s="224">
        <v>0</v>
      </c>
      <c r="T17" s="224">
        <v>0</v>
      </c>
      <c r="U17" s="224">
        <v>0</v>
      </c>
      <c r="V17" s="224">
        <v>277.53540537142857</v>
      </c>
      <c r="W17" s="224">
        <v>0</v>
      </c>
      <c r="X17" s="224">
        <v>3.2973260869565215</v>
      </c>
      <c r="Y17" s="224">
        <v>2.3760000000000003</v>
      </c>
      <c r="Z17" s="224">
        <v>0</v>
      </c>
      <c r="AA17" s="224">
        <v>56.74412582077575</v>
      </c>
      <c r="AB17" s="224">
        <v>33.631101688178283</v>
      </c>
      <c r="AC17" s="224">
        <v>37.904508354029971</v>
      </c>
      <c r="AD17" s="1120">
        <v>6.7386069924535423</v>
      </c>
      <c r="AE17" s="224">
        <v>29942.241707242159</v>
      </c>
      <c r="AF17" s="224">
        <v>0</v>
      </c>
      <c r="AG17" s="224">
        <v>144</v>
      </c>
      <c r="AH17" s="224">
        <v>11655.178558865069</v>
      </c>
      <c r="AI17" s="224">
        <v>78000</v>
      </c>
      <c r="AJ17" s="224">
        <v>6198.9956242500029</v>
      </c>
      <c r="AK17" s="224">
        <v>7508.9546426144352</v>
      </c>
      <c r="AL17" s="224">
        <v>0</v>
      </c>
      <c r="AM17" s="224">
        <v>240</v>
      </c>
      <c r="AN17" s="1120">
        <v>133689.37053297169</v>
      </c>
      <c r="AO17" s="224">
        <f t="shared" si="0"/>
        <v>0.88787885732567862</v>
      </c>
      <c r="AP17" s="1123">
        <v>0.1</v>
      </c>
      <c r="AQ17" s="1123">
        <f t="shared" si="3"/>
        <v>0.35400422692244193</v>
      </c>
      <c r="AR17" s="1123">
        <v>20</v>
      </c>
      <c r="AS17" s="1123">
        <f t="shared" si="1"/>
        <v>0.67202772927258725</v>
      </c>
      <c r="AT17" s="224">
        <f t="shared" si="2"/>
        <v>47326.602263272529</v>
      </c>
    </row>
    <row r="18" spans="1:50">
      <c r="A18" s="1118">
        <v>2050</v>
      </c>
      <c r="B18" s="1107"/>
      <c r="C18" s="1107"/>
      <c r="D18" s="1107" t="s">
        <v>2002</v>
      </c>
      <c r="E18" s="1107" t="s">
        <v>2057</v>
      </c>
      <c r="F18" s="1107"/>
      <c r="G18" s="224">
        <v>25863.710394384048</v>
      </c>
      <c r="H18" s="224">
        <v>15132.571428571429</v>
      </c>
      <c r="I18" s="224">
        <v>2.3760000000000003</v>
      </c>
      <c r="J18" s="224">
        <v>0.14396819386129797</v>
      </c>
      <c r="K18" s="224">
        <v>8.5966418327038177E-2</v>
      </c>
      <c r="L18" s="224">
        <v>9.7330107363680668E-2</v>
      </c>
      <c r="M18" s="224">
        <v>0</v>
      </c>
      <c r="N18" s="224">
        <v>0</v>
      </c>
      <c r="O18" s="224">
        <v>0</v>
      </c>
      <c r="P18" s="224">
        <v>0</v>
      </c>
      <c r="Q18" s="224">
        <v>0</v>
      </c>
      <c r="R18" s="224">
        <v>0</v>
      </c>
      <c r="S18" s="224">
        <v>0</v>
      </c>
      <c r="T18" s="224">
        <v>0</v>
      </c>
      <c r="U18" s="224">
        <v>0</v>
      </c>
      <c r="V18" s="224">
        <v>273.7042530357142</v>
      </c>
      <c r="W18" s="224">
        <v>0</v>
      </c>
      <c r="X18" s="224">
        <v>3.2973260869565215</v>
      </c>
      <c r="Y18" s="224">
        <v>2.3760000000000003</v>
      </c>
      <c r="Z18" s="224">
        <v>0</v>
      </c>
      <c r="AA18" s="224">
        <v>53.506648598408908</v>
      </c>
      <c r="AB18" s="224">
        <v>31.458414224639274</v>
      </c>
      <c r="AC18" s="224">
        <v>35.4325252239639</v>
      </c>
      <c r="AD18" s="1120">
        <v>6.2334834458202755</v>
      </c>
      <c r="AE18" s="224">
        <v>30406.811189858428</v>
      </c>
      <c r="AF18" s="224">
        <v>0</v>
      </c>
      <c r="AG18" s="224">
        <v>144</v>
      </c>
      <c r="AH18" s="224">
        <v>11508.364855776552</v>
      </c>
      <c r="AI18" s="224">
        <v>78000</v>
      </c>
      <c r="AJ18" s="224">
        <v>8872.2189929999986</v>
      </c>
      <c r="AK18" s="224">
        <v>9328.7717626399844</v>
      </c>
      <c r="AL18" s="224">
        <v>0</v>
      </c>
      <c r="AM18" s="224">
        <v>240</v>
      </c>
      <c r="AN18" s="1120">
        <v>138500.16680127496</v>
      </c>
      <c r="AO18" s="224">
        <f t="shared" si="0"/>
        <v>0.82132377882127938</v>
      </c>
      <c r="AP18" s="1123">
        <v>0.1</v>
      </c>
      <c r="AQ18" s="1123">
        <f t="shared" si="3"/>
        <v>0.35400422692244193</v>
      </c>
      <c r="AR18" s="1123">
        <v>20</v>
      </c>
      <c r="AS18" s="1123">
        <f t="shared" si="1"/>
        <v>0.62165277337647662</v>
      </c>
      <c r="AT18" s="224">
        <f t="shared" si="2"/>
        <v>49029.644477114598</v>
      </c>
      <c r="AW18" s="224">
        <v>9.7627813729303412</v>
      </c>
      <c r="AX18" s="224" t="s">
        <v>2071</v>
      </c>
    </row>
    <row r="19" spans="1:50">
      <c r="A19" s="1118">
        <v>2017</v>
      </c>
      <c r="B19" s="1119"/>
      <c r="C19" s="1119"/>
      <c r="D19" s="1107" t="s">
        <v>2002</v>
      </c>
      <c r="E19" s="1119" t="s">
        <v>2058</v>
      </c>
      <c r="F19" s="1119"/>
      <c r="G19" s="224">
        <v>27064.634931718221</v>
      </c>
      <c r="H19" s="224">
        <v>15303</v>
      </c>
      <c r="I19" s="224">
        <v>0.48412446720000002</v>
      </c>
      <c r="J19" s="224">
        <v>0.1996787429222229</v>
      </c>
      <c r="K19" s="224">
        <v>0.13806601477218242</v>
      </c>
      <c r="L19" s="224">
        <v>0.16342551705769728</v>
      </c>
      <c r="M19" s="224">
        <v>0</v>
      </c>
      <c r="N19" s="224">
        <v>0</v>
      </c>
      <c r="O19" s="224">
        <v>0</v>
      </c>
      <c r="P19" s="224">
        <v>0</v>
      </c>
      <c r="Q19" s="224">
        <v>0</v>
      </c>
      <c r="R19" s="224">
        <v>0</v>
      </c>
      <c r="S19" s="224">
        <v>0</v>
      </c>
      <c r="T19" s="224">
        <v>0</v>
      </c>
      <c r="U19" s="224">
        <v>0</v>
      </c>
      <c r="V19" s="224">
        <v>299.68644853333331</v>
      </c>
      <c r="W19" s="224">
        <v>14</v>
      </c>
      <c r="X19" s="224">
        <v>14.215581550239234</v>
      </c>
      <c r="Y19" s="224">
        <v>0.48412446720000002</v>
      </c>
      <c r="Z19" s="224">
        <v>0</v>
      </c>
      <c r="AA19" s="224">
        <v>68.273245431470727</v>
      </c>
      <c r="AB19" s="224">
        <v>46.40919616719561</v>
      </c>
      <c r="AC19" s="224">
        <v>54.500515295319644</v>
      </c>
      <c r="AD19" s="1120">
        <v>9.9757543924584038</v>
      </c>
      <c r="AE19" s="224">
        <v>30568.311523208951</v>
      </c>
      <c r="AF19" s="224">
        <v>2238.6</v>
      </c>
      <c r="AG19" s="224">
        <v>657.03734372440192</v>
      </c>
      <c r="AH19" s="224">
        <v>12504.029345495663</v>
      </c>
      <c r="AI19" s="224">
        <v>77200</v>
      </c>
      <c r="AJ19" s="224">
        <v>0</v>
      </c>
      <c r="AK19" s="224">
        <v>791.37040000000013</v>
      </c>
      <c r="AL19" s="224">
        <v>0</v>
      </c>
      <c r="AM19" s="224">
        <v>436.00000000000006</v>
      </c>
      <c r="AN19" s="1120">
        <v>124395.34861242901</v>
      </c>
      <c r="AO19" s="224">
        <f t="shared" si="0"/>
        <v>1.3144053987503193</v>
      </c>
      <c r="AP19" s="1123">
        <v>0.1</v>
      </c>
      <c r="AQ19" s="1123">
        <f t="shared" si="3"/>
        <v>0.35400422692244193</v>
      </c>
      <c r="AR19" s="1123">
        <v>20</v>
      </c>
      <c r="AS19" s="1123">
        <f t="shared" si="1"/>
        <v>0.99486193209554197</v>
      </c>
      <c r="AT19" s="224">
        <f t="shared" si="2"/>
        <v>44036.479218290588</v>
      </c>
    </row>
    <row r="20" spans="1:50">
      <c r="A20" s="1121">
        <v>2020</v>
      </c>
      <c r="D20" s="1107" t="s">
        <v>2002</v>
      </c>
      <c r="E20" s="224" t="s">
        <v>2058</v>
      </c>
      <c r="G20" s="224">
        <v>26933.67908247991</v>
      </c>
      <c r="H20" s="224">
        <v>15351.977766666669</v>
      </c>
      <c r="I20" s="224">
        <v>0.41651681280000008</v>
      </c>
      <c r="J20" s="224">
        <v>0.18730253189038781</v>
      </c>
      <c r="K20" s="224">
        <v>0.12679058464843229</v>
      </c>
      <c r="L20" s="224">
        <v>0.148829156445658</v>
      </c>
      <c r="M20" s="224">
        <v>0</v>
      </c>
      <c r="N20" s="224">
        <v>0</v>
      </c>
      <c r="O20" s="224">
        <v>0</v>
      </c>
      <c r="P20" s="224">
        <v>0</v>
      </c>
      <c r="Q20" s="224">
        <v>0</v>
      </c>
      <c r="R20" s="224">
        <v>0</v>
      </c>
      <c r="S20" s="224">
        <v>0</v>
      </c>
      <c r="T20" s="224">
        <v>0</v>
      </c>
      <c r="U20" s="224">
        <v>0</v>
      </c>
      <c r="V20" s="224">
        <v>291.91944619999998</v>
      </c>
      <c r="W20" s="224">
        <v>12.117333333333335</v>
      </c>
      <c r="X20" s="224">
        <v>12.239094047846889</v>
      </c>
      <c r="Y20" s="224">
        <v>0.41651681280000008</v>
      </c>
      <c r="Z20" s="224">
        <v>0</v>
      </c>
      <c r="AA20" s="224">
        <v>63.867094268472336</v>
      </c>
      <c r="AB20" s="224">
        <v>42.53484647536893</v>
      </c>
      <c r="AC20" s="224">
        <v>49.560332426153757</v>
      </c>
      <c r="AD20" s="1120">
        <v>9.1263532909671898</v>
      </c>
      <c r="AE20" s="224">
        <v>29944.409095160761</v>
      </c>
      <c r="AF20" s="224">
        <v>1413.3756000000001</v>
      </c>
      <c r="AG20" s="224">
        <v>565.28252306985644</v>
      </c>
      <c r="AH20" s="224">
        <v>12206.389817089599</v>
      </c>
      <c r="AI20" s="224">
        <v>77200</v>
      </c>
      <c r="AJ20" s="224">
        <v>1248.1013039381367</v>
      </c>
      <c r="AK20" s="224">
        <v>1864.475097070389</v>
      </c>
      <c r="AL20" s="224">
        <v>0</v>
      </c>
      <c r="AM20" s="224">
        <v>436.00000000000006</v>
      </c>
      <c r="AN20" s="1120">
        <v>124878.03343632874</v>
      </c>
      <c r="AO20" s="224">
        <f t="shared" si="0"/>
        <v>1.2024883096178369</v>
      </c>
      <c r="AP20" s="1123">
        <v>0.1</v>
      </c>
      <c r="AQ20" s="1123">
        <f t="shared" si="3"/>
        <v>0.35400422692244193</v>
      </c>
      <c r="AR20" s="1123">
        <v>20</v>
      </c>
      <c r="AS20" s="1123">
        <f t="shared" si="1"/>
        <v>0.91015286772718984</v>
      </c>
      <c r="AT20" s="224">
        <f t="shared" si="2"/>
        <v>44207.351686222413</v>
      </c>
      <c r="AW20" s="224">
        <f>AW18*1000000/AW15</f>
        <v>2757.8149158849587</v>
      </c>
      <c r="AX20" s="224" t="s">
        <v>2069</v>
      </c>
    </row>
    <row r="21" spans="1:50">
      <c r="A21" s="1118">
        <v>2025</v>
      </c>
      <c r="D21" s="1107" t="s">
        <v>2002</v>
      </c>
      <c r="E21" s="224" t="s">
        <v>2058</v>
      </c>
      <c r="G21" s="224">
        <v>26751.233065459473</v>
      </c>
      <c r="H21" s="224">
        <v>15429.111116666667</v>
      </c>
      <c r="I21" s="224">
        <v>0.33284190720000001</v>
      </c>
      <c r="J21" s="224">
        <v>0.17238403550125492</v>
      </c>
      <c r="K21" s="224">
        <v>0.10778459570583571</v>
      </c>
      <c r="L21" s="224">
        <v>0.12400449076458737</v>
      </c>
      <c r="M21" s="224">
        <v>0</v>
      </c>
      <c r="N21" s="224">
        <v>0</v>
      </c>
      <c r="O21" s="224">
        <v>0</v>
      </c>
      <c r="P21" s="224">
        <v>0</v>
      </c>
      <c r="Q21" s="224">
        <v>0</v>
      </c>
      <c r="R21" s="224">
        <v>0</v>
      </c>
      <c r="S21" s="224">
        <v>0</v>
      </c>
      <c r="T21" s="224">
        <v>0</v>
      </c>
      <c r="U21" s="224">
        <v>0</v>
      </c>
      <c r="V21" s="224">
        <v>285.55183858333334</v>
      </c>
      <c r="W21" s="224">
        <v>9.6253333333333337</v>
      </c>
      <c r="X21" s="224">
        <v>9.1781984365108578</v>
      </c>
      <c r="Y21" s="224">
        <v>0.33284190720000001</v>
      </c>
      <c r="Z21" s="224">
        <v>0</v>
      </c>
      <c r="AA21" s="224">
        <v>58.950679135830207</v>
      </c>
      <c r="AB21" s="224">
        <v>36.392585050499342</v>
      </c>
      <c r="AC21" s="224">
        <v>41.653059360502169</v>
      </c>
      <c r="AD21" s="1120">
        <v>7.7095277276779193</v>
      </c>
      <c r="AE21" s="224">
        <v>29846.466359674709</v>
      </c>
      <c r="AF21" s="224">
        <v>689.96080000000018</v>
      </c>
      <c r="AG21" s="224">
        <v>307.2586829110931</v>
      </c>
      <c r="AH21" s="224">
        <v>11962.376535419047</v>
      </c>
      <c r="AI21" s="224">
        <v>77200</v>
      </c>
      <c r="AJ21" s="224">
        <v>2980.6412058654009</v>
      </c>
      <c r="AK21" s="224">
        <v>5016.6108153929827</v>
      </c>
      <c r="AL21" s="224">
        <v>0</v>
      </c>
      <c r="AM21" s="224">
        <v>352.00000000000006</v>
      </c>
      <c r="AN21" s="1120">
        <v>128355.31439926322</v>
      </c>
      <c r="AO21" s="224">
        <f t="shared" si="0"/>
        <v>1.0158073733988426</v>
      </c>
      <c r="AP21" s="1123">
        <v>0.1</v>
      </c>
      <c r="AQ21" s="1123">
        <f t="shared" si="3"/>
        <v>0.35400422692244193</v>
      </c>
      <c r="AR21" s="1123">
        <v>20</v>
      </c>
      <c r="AS21" s="1123">
        <f t="shared" si="1"/>
        <v>0.76885570243190904</v>
      </c>
      <c r="AT21" s="224">
        <f t="shared" si="2"/>
        <v>45438.32384529816</v>
      </c>
      <c r="AW21" s="224">
        <v>24123</v>
      </c>
      <c r="AX21" s="224" t="s">
        <v>2070</v>
      </c>
    </row>
    <row r="22" spans="1:50">
      <c r="A22" s="1118">
        <v>2030</v>
      </c>
      <c r="D22" s="1107" t="s">
        <v>2002</v>
      </c>
      <c r="E22" s="224" t="s">
        <v>2058</v>
      </c>
      <c r="G22" s="224">
        <v>26579.322414015111</v>
      </c>
      <c r="H22" s="224">
        <v>15509.111116666667</v>
      </c>
      <c r="I22" s="224">
        <v>0.27232888319999998</v>
      </c>
      <c r="J22" s="224">
        <v>0.15984744337042828</v>
      </c>
      <c r="K22" s="224">
        <v>9.8031943713811465E-2</v>
      </c>
      <c r="L22" s="224">
        <v>0.11229520588268865</v>
      </c>
      <c r="M22" s="224">
        <v>0</v>
      </c>
      <c r="N22" s="224">
        <v>0</v>
      </c>
      <c r="O22" s="224">
        <v>0</v>
      </c>
      <c r="P22" s="224">
        <v>0</v>
      </c>
      <c r="Q22" s="224">
        <v>0</v>
      </c>
      <c r="R22" s="224">
        <v>0</v>
      </c>
      <c r="S22" s="224">
        <v>0</v>
      </c>
      <c r="T22" s="224">
        <v>0</v>
      </c>
      <c r="U22" s="224">
        <v>0</v>
      </c>
      <c r="V22" s="224">
        <v>283.00400015000002</v>
      </c>
      <c r="W22" s="224">
        <v>7.8753333333333337</v>
      </c>
      <c r="X22" s="224">
        <v>6.174096946651602</v>
      </c>
      <c r="Y22" s="224">
        <v>0.27232888319999998</v>
      </c>
      <c r="Z22" s="224">
        <v>0</v>
      </c>
      <c r="AA22" s="224">
        <v>54.640994921058883</v>
      </c>
      <c r="AB22" s="224">
        <v>33.064758414850395</v>
      </c>
      <c r="AC22" s="224">
        <v>37.692864771707981</v>
      </c>
      <c r="AD22" s="1120">
        <v>6.9923396615588631</v>
      </c>
      <c r="AE22" s="224">
        <v>30170.945759665145</v>
      </c>
      <c r="AF22" s="224">
        <v>434.70764000000008</v>
      </c>
      <c r="AG22" s="224">
        <v>160.75132163888233</v>
      </c>
      <c r="AH22" s="224">
        <v>11864.740742714612</v>
      </c>
      <c r="AI22" s="224">
        <v>77200</v>
      </c>
      <c r="AJ22" s="224">
        <v>4645.2328152999999</v>
      </c>
      <c r="AK22" s="224">
        <v>6503.1130127197384</v>
      </c>
      <c r="AL22" s="224">
        <v>0</v>
      </c>
      <c r="AM22" s="224">
        <v>296</v>
      </c>
      <c r="AN22" s="1120">
        <v>131275.49129203838</v>
      </c>
      <c r="AO22" s="224">
        <f t="shared" si="0"/>
        <v>0.92131067380699572</v>
      </c>
      <c r="AP22" s="1123">
        <v>0.1</v>
      </c>
      <c r="AQ22" s="1123">
        <f t="shared" si="3"/>
        <v>0.35400422692244193</v>
      </c>
      <c r="AR22" s="1123">
        <v>20</v>
      </c>
      <c r="AS22" s="1123">
        <f t="shared" si="1"/>
        <v>0.69733197830388993</v>
      </c>
      <c r="AT22" s="224">
        <f t="shared" si="2"/>
        <v>46472.078808701801</v>
      </c>
    </row>
    <row r="23" spans="1:50">
      <c r="A23" s="1118">
        <v>2035</v>
      </c>
      <c r="D23" s="1107" t="s">
        <v>2002</v>
      </c>
      <c r="E23" s="224" t="s">
        <v>2058</v>
      </c>
      <c r="G23" s="224">
        <v>26428.452296018761</v>
      </c>
      <c r="H23" s="224">
        <v>15580.433333333334</v>
      </c>
      <c r="I23" s="224">
        <v>0.24206223360000004</v>
      </c>
      <c r="J23" s="224">
        <v>0.1531460094703587</v>
      </c>
      <c r="K23" s="224">
        <v>9.2556344439821039E-2</v>
      </c>
      <c r="L23" s="224">
        <v>0.10565727415765568</v>
      </c>
      <c r="M23" s="224">
        <v>0</v>
      </c>
      <c r="N23" s="224">
        <v>0</v>
      </c>
      <c r="O23" s="224">
        <v>0</v>
      </c>
      <c r="P23" s="224">
        <v>0</v>
      </c>
      <c r="Q23" s="224">
        <v>0</v>
      </c>
      <c r="R23" s="224">
        <v>0</v>
      </c>
      <c r="S23" s="224">
        <v>0</v>
      </c>
      <c r="T23" s="224">
        <v>0</v>
      </c>
      <c r="U23" s="224">
        <v>0</v>
      </c>
      <c r="V23" s="224">
        <v>281.05052640000002</v>
      </c>
      <c r="W23" s="224">
        <v>7</v>
      </c>
      <c r="X23" s="224">
        <v>4.5745021484716135</v>
      </c>
      <c r="Y23" s="224">
        <v>0.24206223360000004</v>
      </c>
      <c r="Z23" s="224">
        <v>0</v>
      </c>
      <c r="AA23" s="224">
        <v>52.401365769806553</v>
      </c>
      <c r="AB23" s="224">
        <v>31.249715520685324</v>
      </c>
      <c r="AC23" s="224">
        <v>35.508543825484701</v>
      </c>
      <c r="AD23" s="1120">
        <v>6.571796648484125</v>
      </c>
      <c r="AE23" s="224">
        <v>30355.09871399324</v>
      </c>
      <c r="AF23" s="224">
        <v>322.20479999999998</v>
      </c>
      <c r="AG23" s="224">
        <v>90.026186955458471</v>
      </c>
      <c r="AH23" s="224">
        <v>11789.881616793109</v>
      </c>
      <c r="AI23" s="224">
        <v>77200</v>
      </c>
      <c r="AJ23" s="224">
        <v>6260.6771727500018</v>
      </c>
      <c r="AK23" s="224">
        <v>8246.7711471673647</v>
      </c>
      <c r="AL23" s="224">
        <v>0</v>
      </c>
      <c r="AM23" s="224">
        <v>240</v>
      </c>
      <c r="AN23" s="1120">
        <v>134504.65963765918</v>
      </c>
      <c r="AO23" s="224">
        <f t="shared" si="0"/>
        <v>0.86589992640426827</v>
      </c>
      <c r="AP23" s="1123">
        <v>0.1</v>
      </c>
      <c r="AQ23" s="1123">
        <f t="shared" si="3"/>
        <v>0.35400422692244193</v>
      </c>
      <c r="AR23" s="1123">
        <v>20</v>
      </c>
      <c r="AS23" s="1123">
        <f t="shared" si="1"/>
        <v>0.65539206899406288</v>
      </c>
      <c r="AT23" s="224">
        <f t="shared" si="2"/>
        <v>47615.218052495715</v>
      </c>
    </row>
    <row r="24" spans="1:50">
      <c r="A24" s="1118">
        <v>2050</v>
      </c>
      <c r="D24" s="1107" t="s">
        <v>2002</v>
      </c>
      <c r="E24" s="224" t="s">
        <v>2058</v>
      </c>
      <c r="G24" s="224">
        <v>26174.90858593733</v>
      </c>
      <c r="H24" s="224">
        <v>15699.333333333334</v>
      </c>
      <c r="I24" s="224">
        <v>0.18154752000000005</v>
      </c>
      <c r="J24" s="224">
        <v>0.14475690294206744</v>
      </c>
      <c r="K24" s="224">
        <v>8.6241312804220316E-2</v>
      </c>
      <c r="L24" s="224">
        <v>9.8144165948491444E-2</v>
      </c>
      <c r="M24" s="224">
        <v>0</v>
      </c>
      <c r="N24" s="224">
        <v>0</v>
      </c>
      <c r="O24" s="224">
        <v>0</v>
      </c>
      <c r="P24" s="224">
        <v>0</v>
      </c>
      <c r="Q24" s="224">
        <v>0</v>
      </c>
      <c r="R24" s="224">
        <v>0</v>
      </c>
      <c r="S24" s="224">
        <v>0</v>
      </c>
      <c r="T24" s="224">
        <v>0</v>
      </c>
      <c r="U24" s="224">
        <v>0</v>
      </c>
      <c r="V24" s="224">
        <v>277.31043770000002</v>
      </c>
      <c r="W24" s="224">
        <v>5.25</v>
      </c>
      <c r="X24" s="224">
        <v>3.4308925764192129</v>
      </c>
      <c r="Y24" s="224">
        <v>0.18154752000000005</v>
      </c>
      <c r="Z24" s="224">
        <v>0</v>
      </c>
      <c r="AA24" s="224">
        <v>49.585186569049476</v>
      </c>
      <c r="AB24" s="224">
        <v>29.217265626344936</v>
      </c>
      <c r="AC24" s="224">
        <v>33.112056706393943</v>
      </c>
      <c r="AD24" s="1120">
        <v>6.0732321204434214</v>
      </c>
      <c r="AE24" s="224">
        <v>30813.759914632286</v>
      </c>
      <c r="AF24" s="224">
        <v>145.26</v>
      </c>
      <c r="AG24" s="224">
        <v>64.50072934847158</v>
      </c>
      <c r="AH24" s="224">
        <v>11646.557566008756</v>
      </c>
      <c r="AI24" s="224">
        <v>77200</v>
      </c>
      <c r="AJ24" s="224">
        <v>8960.4997789999998</v>
      </c>
      <c r="AK24" s="224">
        <v>10325.102059837716</v>
      </c>
      <c r="AL24" s="224">
        <v>0</v>
      </c>
      <c r="AM24" s="224">
        <v>240</v>
      </c>
      <c r="AN24" s="1120">
        <v>139395.68004882723</v>
      </c>
      <c r="AO24" s="224">
        <f t="shared" si="0"/>
        <v>0.80020906418962512</v>
      </c>
      <c r="AP24" s="1123">
        <v>0.1</v>
      </c>
      <c r="AQ24" s="1123">
        <f t="shared" si="3"/>
        <v>0.35400422692244193</v>
      </c>
      <c r="AR24" s="1123">
        <v>20</v>
      </c>
      <c r="AS24" s="1123">
        <f t="shared" si="1"/>
        <v>0.60567123083711594</v>
      </c>
      <c r="AT24" s="224">
        <f t="shared" si="2"/>
        <v>49346.659952013142</v>
      </c>
    </row>
    <row r="25" spans="1:50">
      <c r="A25" s="1118">
        <v>2017</v>
      </c>
      <c r="D25" s="1107" t="s">
        <v>2002</v>
      </c>
      <c r="E25" s="224" t="s">
        <v>2059</v>
      </c>
      <c r="G25" s="224">
        <v>27322.508461019064</v>
      </c>
      <c r="H25" s="224">
        <v>15303</v>
      </c>
      <c r="I25" s="224">
        <v>3.1046400000000003</v>
      </c>
      <c r="J25" s="224">
        <v>0.19623957929621064</v>
      </c>
      <c r="K25" s="224">
        <v>0.14131658301024555</v>
      </c>
      <c r="L25" s="224">
        <v>0.16005264821116735</v>
      </c>
      <c r="M25" s="224">
        <v>0</v>
      </c>
      <c r="N25" s="224">
        <v>0</v>
      </c>
      <c r="O25" s="224">
        <v>0</v>
      </c>
      <c r="P25" s="224">
        <v>0</v>
      </c>
      <c r="Q25" s="224">
        <v>0</v>
      </c>
      <c r="R25" s="224">
        <v>0</v>
      </c>
      <c r="S25" s="224">
        <v>0</v>
      </c>
      <c r="T25" s="224">
        <v>0</v>
      </c>
      <c r="U25" s="224">
        <v>0</v>
      </c>
      <c r="V25" s="224">
        <v>298.93931560000004</v>
      </c>
      <c r="W25" s="224">
        <v>74.0372737</v>
      </c>
      <c r="X25" s="224">
        <v>96.640191387559796</v>
      </c>
      <c r="Y25" s="224">
        <v>3.1046400000000003</v>
      </c>
      <c r="Z25" s="224">
        <v>0</v>
      </c>
      <c r="AA25" s="224">
        <v>67.106824171911384</v>
      </c>
      <c r="AB25" s="224">
        <v>47.534969912251704</v>
      </c>
      <c r="AC25" s="224">
        <v>53.842425871708741</v>
      </c>
      <c r="AD25" s="1120">
        <v>9.8245444546329725</v>
      </c>
      <c r="AE25" s="224">
        <v>30596.843031001426</v>
      </c>
      <c r="AF25" s="224">
        <v>4814.1990417300003</v>
      </c>
      <c r="AG25" s="224">
        <v>4213.512344497607</v>
      </c>
      <c r="AH25" s="224">
        <v>13705.966834241088</v>
      </c>
      <c r="AI25" s="224">
        <v>77200</v>
      </c>
      <c r="AJ25" s="224">
        <v>0</v>
      </c>
      <c r="AK25" s="224">
        <v>791.37040000000013</v>
      </c>
      <c r="AL25" s="224">
        <v>0</v>
      </c>
      <c r="AM25" s="224">
        <v>436.00000000000006</v>
      </c>
      <c r="AN25" s="1120">
        <v>131757.89165147013</v>
      </c>
      <c r="AO25" s="224">
        <f t="shared" si="0"/>
        <v>1.2944819773424403</v>
      </c>
      <c r="AP25" s="1123">
        <v>0.1</v>
      </c>
      <c r="AQ25" s="1123">
        <f t="shared" si="3"/>
        <v>0.35400422692244193</v>
      </c>
      <c r="AR25" s="1123">
        <v>20</v>
      </c>
      <c r="AS25" s="1123">
        <f t="shared" si="1"/>
        <v>0.97978206896150344</v>
      </c>
      <c r="AT25" s="224">
        <f t="shared" si="2"/>
        <v>46642.85057500955</v>
      </c>
    </row>
    <row r="26" spans="1:50">
      <c r="A26" s="1121">
        <v>2020</v>
      </c>
      <c r="D26" s="1107" t="s">
        <v>2002</v>
      </c>
      <c r="E26" s="224" t="s">
        <v>2059</v>
      </c>
      <c r="G26" s="224">
        <v>27213.060441985086</v>
      </c>
      <c r="H26" s="224">
        <v>15351.977766666669</v>
      </c>
      <c r="I26" s="224">
        <v>3.1468800000000008</v>
      </c>
      <c r="J26" s="224">
        <v>0.1833500943814986</v>
      </c>
      <c r="K26" s="224">
        <v>0.12996531502040404</v>
      </c>
      <c r="L26" s="224">
        <v>0.14761022126558498</v>
      </c>
      <c r="M26" s="224">
        <v>0</v>
      </c>
      <c r="N26" s="224">
        <v>0</v>
      </c>
      <c r="O26" s="224">
        <v>0</v>
      </c>
      <c r="P26" s="224">
        <v>0</v>
      </c>
      <c r="Q26" s="224">
        <v>0</v>
      </c>
      <c r="R26" s="224">
        <v>0</v>
      </c>
      <c r="S26" s="224">
        <v>0</v>
      </c>
      <c r="T26" s="224">
        <v>0</v>
      </c>
      <c r="U26" s="224">
        <v>0</v>
      </c>
      <c r="V26" s="224">
        <v>295.21398793333339</v>
      </c>
      <c r="W26" s="224">
        <v>75.205901233333336</v>
      </c>
      <c r="X26" s="224">
        <v>97.955023923444955</v>
      </c>
      <c r="Y26" s="224">
        <v>3.1468800000000008</v>
      </c>
      <c r="Z26" s="224">
        <v>0</v>
      </c>
      <c r="AA26" s="224">
        <v>62.4935100073915</v>
      </c>
      <c r="AB26" s="224">
        <v>43.624002541478553</v>
      </c>
      <c r="AC26" s="224">
        <v>49.5445642739002</v>
      </c>
      <c r="AD26" s="1120">
        <v>9.0616292788267572</v>
      </c>
      <c r="AE26" s="224">
        <v>30554.429963345901</v>
      </c>
      <c r="AF26" s="224">
        <v>3504.7616258849994</v>
      </c>
      <c r="AG26" s="224">
        <v>4270.8390430622003</v>
      </c>
      <c r="AH26" s="224">
        <v>13582.632118651369</v>
      </c>
      <c r="AI26" s="224">
        <v>77200</v>
      </c>
      <c r="AJ26" s="224">
        <v>1248.1013039381367</v>
      </c>
      <c r="AK26" s="224">
        <v>1864.475097070389</v>
      </c>
      <c r="AL26" s="224">
        <v>0</v>
      </c>
      <c r="AM26" s="224">
        <v>436.00000000000006</v>
      </c>
      <c r="AN26" s="1120">
        <v>132661.23915195299</v>
      </c>
      <c r="AO26" s="224">
        <f t="shared" si="0"/>
        <v>1.1939602737782133</v>
      </c>
      <c r="AP26" s="1123">
        <v>0.1</v>
      </c>
      <c r="AQ26" s="1123">
        <f t="shared" si="3"/>
        <v>0.35400422692244193</v>
      </c>
      <c r="AR26" s="1123">
        <v>20</v>
      </c>
      <c r="AS26" s="1123">
        <f t="shared" si="1"/>
        <v>0.90369807210594977</v>
      </c>
      <c r="AT26" s="224">
        <f t="shared" si="2"/>
        <v>46962.639408560302</v>
      </c>
    </row>
    <row r="27" spans="1:50">
      <c r="A27" s="1118">
        <v>2025</v>
      </c>
      <c r="D27" s="1107" t="s">
        <v>2002</v>
      </c>
      <c r="E27" s="224" t="s">
        <v>2059</v>
      </c>
      <c r="G27" s="224">
        <v>26898.752966467157</v>
      </c>
      <c r="H27" s="224">
        <v>15429.111116666667</v>
      </c>
      <c r="I27" s="224">
        <v>3.1891200000000004</v>
      </c>
      <c r="J27" s="224">
        <v>0.16272260250742993</v>
      </c>
      <c r="K27" s="224">
        <v>0.10863143297947618</v>
      </c>
      <c r="L27" s="224">
        <v>0.1238592451865513</v>
      </c>
      <c r="M27" s="224">
        <v>0</v>
      </c>
      <c r="N27" s="224">
        <v>0</v>
      </c>
      <c r="O27" s="224">
        <v>0</v>
      </c>
      <c r="P27" s="224">
        <v>0</v>
      </c>
      <c r="Q27" s="224">
        <v>0</v>
      </c>
      <c r="R27" s="224">
        <v>0</v>
      </c>
      <c r="S27" s="224">
        <v>0</v>
      </c>
      <c r="T27" s="224">
        <v>0</v>
      </c>
      <c r="U27" s="224">
        <v>0</v>
      </c>
      <c r="V27" s="224">
        <v>291.69065398333333</v>
      </c>
      <c r="W27" s="224">
        <v>76.288419266666665</v>
      </c>
      <c r="X27" s="224">
        <v>89.972561648877431</v>
      </c>
      <c r="Y27" s="224">
        <v>3.1891200000000004</v>
      </c>
      <c r="Z27" s="224">
        <v>0</v>
      </c>
      <c r="AA27" s="224">
        <v>55.715835339381137</v>
      </c>
      <c r="AB27" s="224">
        <v>36.648336966362656</v>
      </c>
      <c r="AC27" s="224">
        <v>41.80123464784262</v>
      </c>
      <c r="AD27" s="1120">
        <v>7.6197777898915087</v>
      </c>
      <c r="AE27" s="224">
        <v>30812.684549107758</v>
      </c>
      <c r="AF27" s="224">
        <v>1764.3396242524998</v>
      </c>
      <c r="AG27" s="224">
        <v>2874.957862348178</v>
      </c>
      <c r="AH27" s="224">
        <v>13465.606790282916</v>
      </c>
      <c r="AI27" s="224">
        <v>77200</v>
      </c>
      <c r="AJ27" s="224">
        <v>2980.6412058654009</v>
      </c>
      <c r="AK27" s="224">
        <v>5016.6108153929827</v>
      </c>
      <c r="AL27" s="224">
        <v>0</v>
      </c>
      <c r="AM27" s="224">
        <v>352.00000000000006</v>
      </c>
      <c r="AN27" s="1120">
        <v>134466.84084724972</v>
      </c>
      <c r="AO27" s="224">
        <f t="shared" si="0"/>
        <v>1.003981921596105</v>
      </c>
      <c r="AP27" s="1123">
        <v>0.1</v>
      </c>
      <c r="AQ27" s="1123">
        <f t="shared" si="3"/>
        <v>0.35400422692244193</v>
      </c>
      <c r="AR27" s="1123">
        <v>20</v>
      </c>
      <c r="AS27" s="1123">
        <f t="shared" si="1"/>
        <v>0.75990512155362022</v>
      </c>
      <c r="AT27" s="224">
        <f t="shared" si="2"/>
        <v>47601.830040833673</v>
      </c>
    </row>
    <row r="28" spans="1:50">
      <c r="A28" s="1118">
        <v>2030</v>
      </c>
      <c r="D28" s="1107" t="s">
        <v>2002</v>
      </c>
      <c r="E28" s="224" t="s">
        <v>2059</v>
      </c>
      <c r="G28" s="224">
        <v>26663.612170618999</v>
      </c>
      <c r="H28" s="224">
        <v>15509.111116666667</v>
      </c>
      <c r="I28" s="224">
        <v>3.3211200000000005</v>
      </c>
      <c r="J28" s="224">
        <v>0.14936364429732635</v>
      </c>
      <c r="K28" s="224">
        <v>9.8505082251563791E-2</v>
      </c>
      <c r="L28" s="224">
        <v>0.11269856671827649</v>
      </c>
      <c r="M28" s="224">
        <v>0</v>
      </c>
      <c r="N28" s="224">
        <v>0</v>
      </c>
      <c r="O28" s="224">
        <v>0</v>
      </c>
      <c r="P28" s="224">
        <v>0</v>
      </c>
      <c r="Q28" s="224">
        <v>0</v>
      </c>
      <c r="R28" s="224">
        <v>0</v>
      </c>
      <c r="S28" s="224">
        <v>0</v>
      </c>
      <c r="T28" s="224">
        <v>0</v>
      </c>
      <c r="U28" s="224">
        <v>0</v>
      </c>
      <c r="V28" s="224">
        <v>286.17211270000001</v>
      </c>
      <c r="W28" s="224">
        <v>79.393506049999999</v>
      </c>
      <c r="X28" s="224">
        <v>73.14237029346198</v>
      </c>
      <c r="Y28" s="224">
        <v>3.3211200000000005</v>
      </c>
      <c r="Z28" s="224">
        <v>0</v>
      </c>
      <c r="AA28" s="224">
        <v>51.079327733785199</v>
      </c>
      <c r="AB28" s="224">
        <v>33.218467537515899</v>
      </c>
      <c r="AC28" s="224">
        <v>37.935254385029417</v>
      </c>
      <c r="AD28" s="1120">
        <v>6.9253455630912129</v>
      </c>
      <c r="AE28" s="224">
        <v>30741.454462093574</v>
      </c>
      <c r="AF28" s="224">
        <v>1291.2973929766702</v>
      </c>
      <c r="AG28" s="224">
        <v>1863.0114177176536</v>
      </c>
      <c r="AH28" s="224">
        <v>13305.74003704224</v>
      </c>
      <c r="AI28" s="224">
        <v>77200</v>
      </c>
      <c r="AJ28" s="224">
        <v>4645.2328152999999</v>
      </c>
      <c r="AK28" s="224">
        <v>6503.1130127197384</v>
      </c>
      <c r="AL28" s="224">
        <v>0</v>
      </c>
      <c r="AM28" s="224">
        <v>296</v>
      </c>
      <c r="AN28" s="1120">
        <v>135845.84913784987</v>
      </c>
      <c r="AO28" s="224">
        <f t="shared" si="0"/>
        <v>0.91248353139289817</v>
      </c>
      <c r="AP28" s="1123">
        <v>0.1</v>
      </c>
      <c r="AQ28" s="1123">
        <f t="shared" si="3"/>
        <v>0.35400422692244193</v>
      </c>
      <c r="AR28" s="1123">
        <v>20</v>
      </c>
      <c r="AS28" s="1123">
        <f t="shared" si="1"/>
        <v>0.69065079153661024</v>
      </c>
      <c r="AT28" s="224">
        <f t="shared" si="2"/>
        <v>48090.004804667216</v>
      </c>
    </row>
    <row r="29" spans="1:50">
      <c r="A29" s="1118">
        <v>2035</v>
      </c>
      <c r="D29" s="1107" t="s">
        <v>2002</v>
      </c>
      <c r="E29" s="224" t="s">
        <v>2059</v>
      </c>
      <c r="G29" s="224">
        <v>26504.923463389732</v>
      </c>
      <c r="H29" s="224">
        <v>15580.433333333334</v>
      </c>
      <c r="I29" s="224">
        <v>3.5006400000000002</v>
      </c>
      <c r="J29" s="224">
        <v>0.14229817022046334</v>
      </c>
      <c r="K29" s="224">
        <v>9.2923596906542061E-2</v>
      </c>
      <c r="L29" s="224">
        <v>0.1061557444344783</v>
      </c>
      <c r="M29" s="224">
        <v>0</v>
      </c>
      <c r="N29" s="224">
        <v>0</v>
      </c>
      <c r="O29" s="224">
        <v>0</v>
      </c>
      <c r="P29" s="224">
        <v>0</v>
      </c>
      <c r="Q29" s="224">
        <v>0</v>
      </c>
      <c r="R29" s="224">
        <v>0</v>
      </c>
      <c r="S29" s="224">
        <v>0</v>
      </c>
      <c r="T29" s="224">
        <v>0</v>
      </c>
      <c r="U29" s="224">
        <v>0</v>
      </c>
      <c r="V29" s="224">
        <v>283.68277849999998</v>
      </c>
      <c r="W29" s="224">
        <v>83.505211233333341</v>
      </c>
      <c r="X29" s="224">
        <v>66.155240174672471</v>
      </c>
      <c r="Y29" s="224">
        <v>3.5006400000000002</v>
      </c>
      <c r="Z29" s="224">
        <v>0</v>
      </c>
      <c r="AA29" s="224">
        <v>48.717647954536432</v>
      </c>
      <c r="AB29" s="224">
        <v>31.36014938006171</v>
      </c>
      <c r="AC29" s="224">
        <v>35.828168124992438</v>
      </c>
      <c r="AD29" s="1120">
        <v>6.5062704399293603</v>
      </c>
      <c r="AE29" s="224">
        <v>30833.59497896647</v>
      </c>
      <c r="AF29" s="224">
        <v>1096.9642437552</v>
      </c>
      <c r="AG29" s="224">
        <v>1278.5622707423574</v>
      </c>
      <c r="AH29" s="224">
        <v>13278.686553544952</v>
      </c>
      <c r="AI29" s="224">
        <v>77200</v>
      </c>
      <c r="AJ29" s="224">
        <v>6260.6771727500018</v>
      </c>
      <c r="AK29" s="224">
        <v>8246.7711471673647</v>
      </c>
      <c r="AL29" s="224">
        <v>0</v>
      </c>
      <c r="AM29" s="224">
        <v>240</v>
      </c>
      <c r="AN29" s="1120">
        <v>138435.25636692633</v>
      </c>
      <c r="AO29" s="224">
        <f t="shared" si="0"/>
        <v>0.85726619316509245</v>
      </c>
      <c r="AP29" s="1123">
        <v>0.1</v>
      </c>
      <c r="AQ29" s="1123">
        <f t="shared" si="3"/>
        <v>0.35400422692244193</v>
      </c>
      <c r="AR29" s="1123">
        <v>20</v>
      </c>
      <c r="AS29" s="1123">
        <f t="shared" si="1"/>
        <v>0.64885727193701304</v>
      </c>
      <c r="AT29" s="224">
        <f t="shared" si="2"/>
        <v>49006.665908983814</v>
      </c>
    </row>
    <row r="30" spans="1:50">
      <c r="A30" s="1118">
        <v>2050</v>
      </c>
      <c r="D30" s="1107" t="s">
        <v>2002</v>
      </c>
      <c r="E30" s="224" t="s">
        <v>2059</v>
      </c>
      <c r="G30" s="224">
        <v>26262.403686468311</v>
      </c>
      <c r="H30" s="224">
        <v>15699.333333333334</v>
      </c>
      <c r="I30" s="224">
        <v>3.5877600000000007</v>
      </c>
      <c r="J30" s="224">
        <v>0.13365307244876218</v>
      </c>
      <c r="K30" s="224">
        <v>8.6428558402547317E-2</v>
      </c>
      <c r="L30" s="224">
        <v>9.9203193517960808E-2</v>
      </c>
      <c r="M30" s="224">
        <v>0</v>
      </c>
      <c r="N30" s="224">
        <v>0</v>
      </c>
      <c r="O30" s="224">
        <v>0</v>
      </c>
      <c r="P30" s="224">
        <v>0</v>
      </c>
      <c r="Q30" s="224">
        <v>0</v>
      </c>
      <c r="R30" s="224">
        <v>0</v>
      </c>
      <c r="S30" s="224">
        <v>0</v>
      </c>
      <c r="T30" s="224">
        <v>0</v>
      </c>
      <c r="U30" s="224">
        <v>0</v>
      </c>
      <c r="V30" s="224">
        <v>282.04188204999997</v>
      </c>
      <c r="W30" s="224">
        <v>85.621933599999991</v>
      </c>
      <c r="X30" s="224">
        <v>67.801637554585128</v>
      </c>
      <c r="Y30" s="224">
        <v>3.5877600000000007</v>
      </c>
      <c r="Z30" s="224">
        <v>0</v>
      </c>
      <c r="AA30" s="224">
        <v>45.800697353920413</v>
      </c>
      <c r="AB30" s="224">
        <v>29.242763814139909</v>
      </c>
      <c r="AC30" s="224">
        <v>33.555903314666573</v>
      </c>
      <c r="AD30" s="1120">
        <v>6.0116800741201901</v>
      </c>
      <c r="AE30" s="224">
        <v>31512.701897487994</v>
      </c>
      <c r="AF30" s="224">
        <v>648.36217284799989</v>
      </c>
      <c r="AG30" s="224">
        <v>1232.7624890829691</v>
      </c>
      <c r="AH30" s="224">
        <v>13250.987607349476</v>
      </c>
      <c r="AI30" s="224">
        <v>77200</v>
      </c>
      <c r="AJ30" s="224">
        <v>8960.4997789999998</v>
      </c>
      <c r="AK30" s="224">
        <v>10325.102059837716</v>
      </c>
      <c r="AL30" s="224">
        <v>0</v>
      </c>
      <c r="AM30" s="224">
        <v>240</v>
      </c>
      <c r="AN30" s="1120">
        <v>143370.41600560615</v>
      </c>
      <c r="AO30" s="224">
        <f t="shared" si="0"/>
        <v>0.79209896656607615</v>
      </c>
      <c r="AP30" s="1123">
        <v>0.1</v>
      </c>
      <c r="AQ30" s="1123">
        <f t="shared" si="3"/>
        <v>0.35400422692244193</v>
      </c>
      <c r="AR30" s="1123">
        <v>20</v>
      </c>
      <c r="AS30" s="1123">
        <f t="shared" si="1"/>
        <v>0.59953276899047525</v>
      </c>
      <c r="AT30" s="224">
        <f t="shared" si="2"/>
        <v>50753.733281613502</v>
      </c>
    </row>
    <row r="31" spans="1:50">
      <c r="A31" s="1118">
        <v>2017</v>
      </c>
      <c r="D31" s="1107" t="s">
        <v>2002</v>
      </c>
      <c r="E31" s="224" t="s">
        <v>2060</v>
      </c>
      <c r="G31" s="224">
        <v>30575.823562955575</v>
      </c>
      <c r="H31" s="224">
        <v>15303</v>
      </c>
      <c r="I31" s="224">
        <v>578.87762499999997</v>
      </c>
      <c r="J31" s="224">
        <v>0.21665880026170956</v>
      </c>
      <c r="K31" s="224">
        <v>0.18374052074637426</v>
      </c>
      <c r="L31" s="224">
        <v>0.21604480937980206</v>
      </c>
      <c r="M31" s="224">
        <v>8.1089661602502611E-2</v>
      </c>
      <c r="N31" s="224">
        <v>6.8565077066707142E-2</v>
      </c>
      <c r="O31" s="224">
        <v>8.1210005888080222E-2</v>
      </c>
      <c r="P31" s="224">
        <v>-13.116721767375227</v>
      </c>
      <c r="Q31" s="224">
        <v>-36.42871993012475</v>
      </c>
      <c r="R31" s="224">
        <v>-6.5333453255386162</v>
      </c>
      <c r="S31" s="224">
        <v>3053.5197015973167</v>
      </c>
      <c r="T31" s="224">
        <v>2581.8928026981325</v>
      </c>
      <c r="U31" s="224">
        <v>3058.0513970036586</v>
      </c>
      <c r="V31" s="224">
        <v>276.66666666666669</v>
      </c>
      <c r="W31" s="224">
        <v>520.87692240000013</v>
      </c>
      <c r="X31" s="224">
        <v>781.31538360000002</v>
      </c>
      <c r="Y31" s="224">
        <v>577.05712499999993</v>
      </c>
      <c r="Z31" s="224">
        <v>0</v>
      </c>
      <c r="AA31" s="224">
        <v>51.67246992449747</v>
      </c>
      <c r="AB31" s="224">
        <v>38.571392895752517</v>
      </c>
      <c r="AC31" s="224">
        <v>49.309951951892891</v>
      </c>
      <c r="AD31" s="1120">
        <v>4.800321368476113</v>
      </c>
      <c r="AE31" s="224">
        <v>27272.735238095236</v>
      </c>
      <c r="AF31" s="224">
        <v>23983.619970960001</v>
      </c>
      <c r="AG31" s="224">
        <v>328333.96298249997</v>
      </c>
      <c r="AH31" s="224">
        <v>0</v>
      </c>
      <c r="AI31" s="224">
        <v>77200</v>
      </c>
      <c r="AJ31" s="224">
        <v>0</v>
      </c>
      <c r="AK31" s="224">
        <v>791.37040000000013</v>
      </c>
      <c r="AL31" s="224">
        <v>0</v>
      </c>
      <c r="AM31" s="224">
        <v>436.00000000000006</v>
      </c>
      <c r="AN31" s="1120">
        <v>458017.68859155523</v>
      </c>
      <c r="AO31" s="224">
        <f t="shared" si="0"/>
        <v>0.63249034351041256</v>
      </c>
      <c r="AP31" s="1123">
        <v>0.1</v>
      </c>
      <c r="AQ31" s="1123">
        <f t="shared" si="3"/>
        <v>0.35400422692244193</v>
      </c>
      <c r="AR31" s="1123">
        <v>20</v>
      </c>
      <c r="AS31" s="1123">
        <f t="shared" si="1"/>
        <v>0.47872640037449427</v>
      </c>
      <c r="AT31" s="224">
        <f t="shared" si="2"/>
        <v>162140.19776665725</v>
      </c>
    </row>
    <row r="32" spans="1:50">
      <c r="A32" s="1121">
        <v>2020</v>
      </c>
      <c r="D32" s="1107" t="s">
        <v>2002</v>
      </c>
      <c r="E32" s="224" t="s">
        <v>2060</v>
      </c>
      <c r="G32" s="224">
        <v>30001.992007391102</v>
      </c>
      <c r="H32" s="224">
        <v>15351.977766666669</v>
      </c>
      <c r="I32" s="224">
        <v>539.94375000000002</v>
      </c>
      <c r="J32" s="224">
        <v>0.19696724219637154</v>
      </c>
      <c r="K32" s="224">
        <v>0.16472913703361422</v>
      </c>
      <c r="L32" s="224">
        <v>0.19386620586928263</v>
      </c>
      <c r="M32" s="224">
        <v>7.5858940230874874E-2</v>
      </c>
      <c r="N32" s="224">
        <v>6.3374698423764517E-2</v>
      </c>
      <c r="O32" s="224">
        <v>7.5014765319475693E-2</v>
      </c>
      <c r="P32" s="224">
        <v>-13.599413771419448</v>
      </c>
      <c r="Q32" s="224">
        <v>-28.370798914681998</v>
      </c>
      <c r="R32" s="224">
        <v>-3.8674094981537004</v>
      </c>
      <c r="S32" s="224">
        <v>2856.5511800103609</v>
      </c>
      <c r="T32" s="224">
        <v>2386.4434305862364</v>
      </c>
      <c r="U32" s="224">
        <v>2824.7628524651386</v>
      </c>
      <c r="V32" s="224">
        <v>260</v>
      </c>
      <c r="W32" s="224">
        <v>506.83495089999997</v>
      </c>
      <c r="X32" s="224">
        <v>760.25242634999995</v>
      </c>
      <c r="Y32" s="224">
        <v>538.70249999999999</v>
      </c>
      <c r="Z32" s="224">
        <v>0</v>
      </c>
      <c r="AA32" s="224">
        <v>47.140268604325108</v>
      </c>
      <c r="AB32" s="224">
        <v>34.641865587735403</v>
      </c>
      <c r="AC32" s="224">
        <v>44.271141520152163</v>
      </c>
      <c r="AD32" s="1120">
        <v>4.4292115007891386</v>
      </c>
      <c r="AE32" s="224">
        <v>25719.633897542855</v>
      </c>
      <c r="AF32" s="224">
        <v>17813.264622335002</v>
      </c>
      <c r="AG32" s="224">
        <v>285372.26235000003</v>
      </c>
      <c r="AH32" s="224">
        <v>0</v>
      </c>
      <c r="AI32" s="224">
        <v>77200</v>
      </c>
      <c r="AJ32" s="224">
        <v>1248.1013039381367</v>
      </c>
      <c r="AK32" s="224">
        <v>1864.475097070389</v>
      </c>
      <c r="AL32" s="224">
        <v>0</v>
      </c>
      <c r="AM32" s="224">
        <v>436.00000000000006</v>
      </c>
      <c r="AN32" s="1120">
        <v>409653.73727088637</v>
      </c>
      <c r="AO32" s="224">
        <f t="shared" si="0"/>
        <v>0.58359290734397684</v>
      </c>
      <c r="AP32" s="1123">
        <v>0.1</v>
      </c>
      <c r="AQ32" s="1123">
        <f t="shared" si="3"/>
        <v>0.35400422692244193</v>
      </c>
      <c r="AR32" s="1123">
        <v>20</v>
      </c>
      <c r="AS32" s="1123">
        <f t="shared" si="1"/>
        <v>0.44171635928267478</v>
      </c>
      <c r="AT32" s="224">
        <f t="shared" si="2"/>
        <v>145019.15456846927</v>
      </c>
    </row>
    <row r="33" spans="1:46">
      <c r="A33" s="1118">
        <v>2025</v>
      </c>
      <c r="D33" s="1107" t="s">
        <v>2002</v>
      </c>
      <c r="E33" s="224" t="s">
        <v>2060</v>
      </c>
      <c r="G33" s="224">
        <v>28796.6844623941</v>
      </c>
      <c r="H33" s="224">
        <v>15429.111116666667</v>
      </c>
      <c r="I33" s="224">
        <v>471.30262499999998</v>
      </c>
      <c r="J33" s="224">
        <v>0.16691751893204818</v>
      </c>
      <c r="K33" s="224">
        <v>0.13431647487873258</v>
      </c>
      <c r="L33" s="224">
        <v>0.15596394503616262</v>
      </c>
      <c r="M33" s="224">
        <v>6.7665902627079041E-2</v>
      </c>
      <c r="N33" s="224">
        <v>5.3923221282296541E-2</v>
      </c>
      <c r="O33" s="224">
        <v>6.339623172977922E-2</v>
      </c>
      <c r="P33" s="224">
        <v>-0.86161323711477278</v>
      </c>
      <c r="Q33" s="224">
        <v>-47.209629570481042</v>
      </c>
      <c r="R33" s="224">
        <v>0.5231098915522866</v>
      </c>
      <c r="S33" s="224">
        <v>2548.0334078959172</v>
      </c>
      <c r="T33" s="224">
        <v>2030.5377443331511</v>
      </c>
      <c r="U33" s="224">
        <v>2387.2542907237316</v>
      </c>
      <c r="V33" s="224">
        <v>221.66666666666666</v>
      </c>
      <c r="W33" s="224">
        <v>479.46367563333337</v>
      </c>
      <c r="X33" s="224">
        <v>719.19551345000002</v>
      </c>
      <c r="Y33" s="224">
        <v>469.70968750000003</v>
      </c>
      <c r="Z33" s="224">
        <v>0</v>
      </c>
      <c r="AA33" s="224">
        <v>40.98386206623357</v>
      </c>
      <c r="AB33" s="224">
        <v>28.499449878901149</v>
      </c>
      <c r="AC33" s="224">
        <v>35.999684078496792</v>
      </c>
      <c r="AD33" s="1120">
        <v>3.7530599655105807</v>
      </c>
      <c r="AE33" s="224">
        <v>22253.068008152379</v>
      </c>
      <c r="AF33" s="224">
        <v>8377.7801492825001</v>
      </c>
      <c r="AG33" s="224">
        <v>151607.41695000001</v>
      </c>
      <c r="AH33" s="224">
        <v>0</v>
      </c>
      <c r="AI33" s="224">
        <v>77200</v>
      </c>
      <c r="AJ33" s="224">
        <v>2980.6412058654009</v>
      </c>
      <c r="AK33" s="224">
        <v>5016.6108153929827</v>
      </c>
      <c r="AL33" s="224">
        <v>0</v>
      </c>
      <c r="AM33" s="224">
        <v>352.00000000000006</v>
      </c>
      <c r="AN33" s="1120">
        <v>267787.51712869323</v>
      </c>
      <c r="AO33" s="224">
        <f t="shared" si="0"/>
        <v>0.49450318105567409</v>
      </c>
      <c r="AP33" s="1123">
        <v>0.1</v>
      </c>
      <c r="AQ33" s="1123">
        <f t="shared" si="3"/>
        <v>0.35400422692244193</v>
      </c>
      <c r="AR33" s="1123">
        <v>20</v>
      </c>
      <c r="AS33" s="1123">
        <f t="shared" si="1"/>
        <v>0.37428512588290985</v>
      </c>
      <c r="AT33" s="224">
        <f t="shared" si="2"/>
        <v>94797.912980623223</v>
      </c>
    </row>
    <row r="34" spans="1:46">
      <c r="A34" s="1118">
        <v>2030</v>
      </c>
      <c r="D34" s="1107" t="s">
        <v>2002</v>
      </c>
      <c r="E34" s="224" t="s">
        <v>2060</v>
      </c>
      <c r="G34" s="224">
        <v>28144.848651930748</v>
      </c>
      <c r="H34" s="224">
        <v>15509.111116666667</v>
      </c>
      <c r="I34" s="224">
        <v>444.57437499999997</v>
      </c>
      <c r="J34" s="224">
        <v>0.1486601319949232</v>
      </c>
      <c r="K34" s="224">
        <v>0.11943786752816903</v>
      </c>
      <c r="L34" s="224">
        <v>0.13813965289209015</v>
      </c>
      <c r="M34" s="224">
        <v>6.3433364459049804E-2</v>
      </c>
      <c r="N34" s="224">
        <v>5.0256508893012558E-2</v>
      </c>
      <c r="O34" s="224">
        <v>5.907933064863314E-2</v>
      </c>
      <c r="P34" s="224">
        <v>-3.2686885569037263</v>
      </c>
      <c r="Q34" s="224">
        <v>-57.7031137485424</v>
      </c>
      <c r="R34" s="224">
        <v>3.4077469544694403</v>
      </c>
      <c r="S34" s="224">
        <v>2388.6525641677326</v>
      </c>
      <c r="T34" s="224">
        <v>1892.4636877949251</v>
      </c>
      <c r="U34" s="224">
        <v>2224.6966694360444</v>
      </c>
      <c r="V34" s="224">
        <v>206.66666666666666</v>
      </c>
      <c r="W34" s="224">
        <v>466.28631091666671</v>
      </c>
      <c r="X34" s="224">
        <v>699.42946637500006</v>
      </c>
      <c r="Y34" s="224">
        <v>442.44356250000004</v>
      </c>
      <c r="Z34" s="224">
        <v>0</v>
      </c>
      <c r="AA34" s="224">
        <v>36.850912578914851</v>
      </c>
      <c r="AB34" s="224">
        <v>25.614377704310829</v>
      </c>
      <c r="AC34" s="224">
        <v>32.194628890516277</v>
      </c>
      <c r="AD34" s="1120">
        <v>3.4830418119557311</v>
      </c>
      <c r="AE34" s="224">
        <v>21335.035990095243</v>
      </c>
      <c r="AF34" s="224">
        <v>6047.8529398496003</v>
      </c>
      <c r="AG34" s="224">
        <v>101443.60027125</v>
      </c>
      <c r="AH34" s="224">
        <v>0</v>
      </c>
      <c r="AI34" s="224">
        <v>77200</v>
      </c>
      <c r="AJ34" s="224">
        <v>4645.2328152999999</v>
      </c>
      <c r="AK34" s="224">
        <v>6503.1130127197384</v>
      </c>
      <c r="AL34" s="224">
        <v>0</v>
      </c>
      <c r="AM34" s="224">
        <v>296</v>
      </c>
      <c r="AN34" s="1120">
        <v>217470.83502921453</v>
      </c>
      <c r="AO34" s="224">
        <f t="shared" si="0"/>
        <v>0.45892558914328707</v>
      </c>
      <c r="AP34" s="1123">
        <v>0.1</v>
      </c>
      <c r="AQ34" s="1123">
        <f t="shared" si="3"/>
        <v>0.35400422692244193</v>
      </c>
      <c r="AR34" s="1123">
        <v>20</v>
      </c>
      <c r="AS34" s="1123">
        <f t="shared" si="1"/>
        <v>0.34735675822486772</v>
      </c>
      <c r="AT34" s="224">
        <f t="shared" si="2"/>
        <v>76985.594832695002</v>
      </c>
    </row>
    <row r="35" spans="1:46">
      <c r="A35" s="1118">
        <v>2035</v>
      </c>
      <c r="D35" s="1107" t="s">
        <v>2002</v>
      </c>
      <c r="E35" s="224" t="s">
        <v>2060</v>
      </c>
      <c r="G35" s="224">
        <v>27794.228155926743</v>
      </c>
      <c r="H35" s="224">
        <v>15580.433333333334</v>
      </c>
      <c r="I35" s="224">
        <v>406.86106249999995</v>
      </c>
      <c r="J35" s="224">
        <v>0.13834634475309543</v>
      </c>
      <c r="K35" s="224">
        <v>0.11077755566942137</v>
      </c>
      <c r="L35" s="224">
        <v>0.12747145655953954</v>
      </c>
      <c r="M35" s="224">
        <v>6.0572338063486407E-2</v>
      </c>
      <c r="N35" s="224">
        <v>4.772432215879327E-2</v>
      </c>
      <c r="O35" s="224">
        <v>5.6065497858030867E-2</v>
      </c>
      <c r="P35" s="224">
        <v>-0.95674776542134854</v>
      </c>
      <c r="Q35" s="224">
        <v>-64.05017823384226</v>
      </c>
      <c r="R35" s="224">
        <v>12.989282840428416</v>
      </c>
      <c r="S35" s="224">
        <v>2280.9174929762012</v>
      </c>
      <c r="T35" s="224">
        <v>1797.1114329173024</v>
      </c>
      <c r="U35" s="224">
        <v>2111.207506680184</v>
      </c>
      <c r="V35" s="224">
        <v>196.66666666666666</v>
      </c>
      <c r="W35" s="224">
        <v>458.83236468333331</v>
      </c>
      <c r="X35" s="224">
        <v>688.24854702499999</v>
      </c>
      <c r="Y35" s="224">
        <v>405.68187500000005</v>
      </c>
      <c r="Z35" s="224">
        <v>0</v>
      </c>
      <c r="AA35" s="224">
        <v>34.523044056890576</v>
      </c>
      <c r="AB35" s="224">
        <v>23.916806466259825</v>
      </c>
      <c r="AC35" s="224">
        <v>29.90248184435001</v>
      </c>
      <c r="AD35" s="1120">
        <v>3.292837434911609</v>
      </c>
      <c r="AE35" s="224">
        <v>20756.766185523804</v>
      </c>
      <c r="AF35" s="224">
        <v>4886.5019055295998</v>
      </c>
      <c r="AG35" s="224">
        <v>69756.460117499984</v>
      </c>
      <c r="AH35" s="224">
        <v>0</v>
      </c>
      <c r="AI35" s="224">
        <v>77200</v>
      </c>
      <c r="AJ35" s="224">
        <v>6260.6771727500018</v>
      </c>
      <c r="AK35" s="224">
        <v>8246.7711471673647</v>
      </c>
      <c r="AL35" s="224">
        <v>0</v>
      </c>
      <c r="AM35" s="224">
        <v>240</v>
      </c>
      <c r="AN35" s="1120">
        <v>187347.17652847079</v>
      </c>
      <c r="AO35" s="224">
        <f t="shared" si="0"/>
        <v>0.43386426042395354</v>
      </c>
      <c r="AP35" s="1123">
        <v>0.1</v>
      </c>
      <c r="AQ35" s="1123">
        <f t="shared" si="3"/>
        <v>0.35400422692244193</v>
      </c>
      <c r="AR35" s="1123">
        <v>20</v>
      </c>
      <c r="AS35" s="1123">
        <f t="shared" si="1"/>
        <v>0.3283880580549639</v>
      </c>
      <c r="AT35" s="224">
        <f t="shared" si="2"/>
        <v>66321.692393063568</v>
      </c>
    </row>
    <row r="36" spans="1:46">
      <c r="A36" s="1118">
        <v>2050</v>
      </c>
      <c r="D36" s="1107" t="s">
        <v>2002</v>
      </c>
      <c r="E36" s="224" t="s">
        <v>2060</v>
      </c>
      <c r="G36" s="224">
        <v>27301.989310802805</v>
      </c>
      <c r="H36" s="224">
        <v>15699.333333333334</v>
      </c>
      <c r="I36" s="224">
        <v>385.67706249999998</v>
      </c>
      <c r="J36" s="224">
        <v>0.12628160484956444</v>
      </c>
      <c r="K36" s="224">
        <v>0.10110086854374732</v>
      </c>
      <c r="L36" s="224">
        <v>0.11566445180084105</v>
      </c>
      <c r="M36" s="224">
        <v>5.6925926620870794E-2</v>
      </c>
      <c r="N36" s="224">
        <v>4.4737673708989234E-2</v>
      </c>
      <c r="O36" s="224">
        <v>5.2591800887985339E-2</v>
      </c>
      <c r="P36" s="224">
        <v>-1.249273662757292</v>
      </c>
      <c r="Q36" s="224">
        <v>-67.756653075856065</v>
      </c>
      <c r="R36" s="224">
        <v>27.701611421687005</v>
      </c>
      <c r="S36" s="224">
        <v>2143.607890739398</v>
      </c>
      <c r="T36" s="224">
        <v>1684.6459261807415</v>
      </c>
      <c r="U36" s="224">
        <v>1980.4016563930302</v>
      </c>
      <c r="V36" s="224">
        <v>183.33333333333334</v>
      </c>
      <c r="W36" s="224">
        <v>448.91448588333327</v>
      </c>
      <c r="X36" s="224">
        <v>673.37172882499999</v>
      </c>
      <c r="Y36" s="224">
        <v>384.95299999999997</v>
      </c>
      <c r="Z36" s="224">
        <v>0</v>
      </c>
      <c r="AA36" s="224">
        <v>31.755048554188051</v>
      </c>
      <c r="AB36" s="224">
        <v>22.020569182783522</v>
      </c>
      <c r="AC36" s="224">
        <v>27.463261866575319</v>
      </c>
      <c r="AD36" s="1120">
        <v>3.0644474224420066</v>
      </c>
      <c r="AE36" s="224">
        <v>20341.452280761903</v>
      </c>
      <c r="AF36" s="224">
        <v>2903.450148901999</v>
      </c>
      <c r="AG36" s="224">
        <v>55183.977083999991</v>
      </c>
      <c r="AH36" s="224">
        <v>0</v>
      </c>
      <c r="AI36" s="224">
        <v>77200</v>
      </c>
      <c r="AJ36" s="224">
        <v>8960.4997789999998</v>
      </c>
      <c r="AK36" s="224">
        <v>10325.102059837716</v>
      </c>
      <c r="AL36" s="224">
        <v>0</v>
      </c>
      <c r="AM36" s="224">
        <v>240</v>
      </c>
      <c r="AN36" s="1120">
        <v>175154.48135250164</v>
      </c>
      <c r="AO36" s="224">
        <f t="shared" si="0"/>
        <v>0.40377159238095878</v>
      </c>
      <c r="AP36" s="1123">
        <v>0.1</v>
      </c>
      <c r="AQ36" s="1123">
        <f t="shared" si="3"/>
        <v>0.35400422692244193</v>
      </c>
      <c r="AR36" s="1123">
        <v>20</v>
      </c>
      <c r="AS36" s="1123">
        <f t="shared" si="1"/>
        <v>0.30561118122561781</v>
      </c>
      <c r="AT36" s="224">
        <f t="shared" si="2"/>
        <v>62005.426763193616</v>
      </c>
    </row>
    <row r="37" spans="1:46">
      <c r="A37" s="1118">
        <v>2017</v>
      </c>
      <c r="D37" s="1107" t="s">
        <v>2002</v>
      </c>
      <c r="E37" s="224" t="s">
        <v>2061</v>
      </c>
      <c r="G37" s="224">
        <v>31740.695918731668</v>
      </c>
      <c r="H37" s="224">
        <v>15303</v>
      </c>
      <c r="I37" s="224">
        <v>1116.4216249999999</v>
      </c>
      <c r="J37" s="224">
        <v>0</v>
      </c>
      <c r="K37" s="224">
        <v>0</v>
      </c>
      <c r="L37" s="224">
        <v>0</v>
      </c>
      <c r="M37" s="224">
        <v>0</v>
      </c>
      <c r="N37" s="224">
        <v>0</v>
      </c>
      <c r="O37" s="224">
        <v>0</v>
      </c>
      <c r="P37" s="224">
        <v>0</v>
      </c>
      <c r="Q37" s="224">
        <v>0</v>
      </c>
      <c r="R37" s="224">
        <v>0</v>
      </c>
      <c r="S37" s="224">
        <v>3140.3915257783033</v>
      </c>
      <c r="T37" s="224">
        <v>2933.5871430858897</v>
      </c>
      <c r="U37" s="224">
        <v>3437.9269390074915</v>
      </c>
      <c r="V37" s="224">
        <v>0</v>
      </c>
      <c r="W37" s="224">
        <v>509.18100959999998</v>
      </c>
      <c r="X37" s="224">
        <v>763.7715144</v>
      </c>
      <c r="Y37" s="224">
        <v>1116.4216249999999</v>
      </c>
      <c r="Z37" s="224">
        <v>0</v>
      </c>
      <c r="AA37" s="224">
        <v>29.003492024807517</v>
      </c>
      <c r="AB37" s="224">
        <v>26.385878994642244</v>
      </c>
      <c r="AC37" s="224">
        <v>30.833411890675361</v>
      </c>
      <c r="AD37" s="1120">
        <v>5.3266949685643015</v>
      </c>
      <c r="AE37" s="224">
        <v>0</v>
      </c>
      <c r="AF37" s="224">
        <v>23481.865311839996</v>
      </c>
      <c r="AG37" s="224">
        <v>635221.57619249995</v>
      </c>
      <c r="AH37" s="224">
        <v>0</v>
      </c>
      <c r="AI37" s="224">
        <v>77200</v>
      </c>
      <c r="AJ37" s="224">
        <v>0</v>
      </c>
      <c r="AK37" s="224">
        <v>791.37040000000013</v>
      </c>
      <c r="AL37" s="224">
        <v>0</v>
      </c>
      <c r="AM37" s="224">
        <v>0</v>
      </c>
      <c r="AN37" s="1120">
        <v>736694.81190434005</v>
      </c>
      <c r="AO37" s="224">
        <f t="shared" si="0"/>
        <v>0.70184532905803232</v>
      </c>
      <c r="AP37" s="1123">
        <v>0.1</v>
      </c>
      <c r="AQ37" s="1123">
        <f t="shared" si="3"/>
        <v>0.35400422692244193</v>
      </c>
      <c r="AR37" s="1123">
        <v>20</v>
      </c>
      <c r="AS37" s="1123">
        <f t="shared" si="1"/>
        <v>0.53122058138437467</v>
      </c>
      <c r="AT37" s="224">
        <f t="shared" si="2"/>
        <v>260793.07736596969</v>
      </c>
    </row>
    <row r="38" spans="1:46">
      <c r="A38" s="1121">
        <v>2020</v>
      </c>
      <c r="D38" s="1107" t="s">
        <v>2002</v>
      </c>
      <c r="E38" s="224" t="s">
        <v>2061</v>
      </c>
      <c r="G38" s="224">
        <v>30892.368620434117</v>
      </c>
      <c r="H38" s="224">
        <v>15351.977766666669</v>
      </c>
      <c r="I38" s="224">
        <v>1044.9669999999999</v>
      </c>
      <c r="J38" s="224">
        <v>0</v>
      </c>
      <c r="K38" s="224">
        <v>0</v>
      </c>
      <c r="L38" s="224">
        <v>0</v>
      </c>
      <c r="M38" s="224">
        <v>0</v>
      </c>
      <c r="N38" s="224">
        <v>0</v>
      </c>
      <c r="O38" s="224">
        <v>0</v>
      </c>
      <c r="P38" s="224">
        <v>0</v>
      </c>
      <c r="Q38" s="224">
        <v>0</v>
      </c>
      <c r="R38" s="224">
        <v>0</v>
      </c>
      <c r="S38" s="224">
        <v>2916.3151107777235</v>
      </c>
      <c r="T38" s="224">
        <v>2706.7053918948595</v>
      </c>
      <c r="U38" s="224">
        <v>3168.5430091047388</v>
      </c>
      <c r="V38" s="224">
        <v>0</v>
      </c>
      <c r="W38" s="224">
        <v>491.32550093333339</v>
      </c>
      <c r="X38" s="224">
        <v>736.98825139999997</v>
      </c>
      <c r="Y38" s="224">
        <v>1044.9669999999999</v>
      </c>
      <c r="Z38" s="224">
        <v>0</v>
      </c>
      <c r="AA38" s="224">
        <v>26.857068670055664</v>
      </c>
      <c r="AB38" s="224">
        <v>24.285698491008802</v>
      </c>
      <c r="AC38" s="224">
        <v>28.370848003428943</v>
      </c>
      <c r="AD38" s="1120">
        <v>4.9000287969382477</v>
      </c>
      <c r="AE38" s="224">
        <v>0</v>
      </c>
      <c r="AF38" s="224">
        <v>17299.126355939996</v>
      </c>
      <c r="AG38" s="224">
        <v>553560.81858000008</v>
      </c>
      <c r="AH38" s="224">
        <v>0</v>
      </c>
      <c r="AI38" s="224">
        <v>77200</v>
      </c>
      <c r="AJ38" s="224">
        <v>1248.1013039381367</v>
      </c>
      <c r="AK38" s="224">
        <v>1864.475097070389</v>
      </c>
      <c r="AL38" s="224">
        <v>0</v>
      </c>
      <c r="AM38" s="224">
        <v>0</v>
      </c>
      <c r="AN38" s="1120">
        <v>651172.52133694838</v>
      </c>
      <c r="AO38" s="224">
        <f t="shared" si="0"/>
        <v>0.6456277942845835</v>
      </c>
      <c r="AP38" s="1123">
        <v>0.1</v>
      </c>
      <c r="AQ38" s="1123">
        <f t="shared" si="3"/>
        <v>0.35400422692244193</v>
      </c>
      <c r="AR38" s="1123">
        <v>20</v>
      </c>
      <c r="AS38" s="1123">
        <f t="shared" si="1"/>
        <v>0.48867002178112279</v>
      </c>
      <c r="AT38" s="224">
        <f t="shared" si="2"/>
        <v>230517.82500902374</v>
      </c>
    </row>
    <row r="39" spans="1:46">
      <c r="A39" s="1118">
        <v>2025</v>
      </c>
      <c r="D39" s="1107" t="s">
        <v>2002</v>
      </c>
      <c r="E39" s="224" t="s">
        <v>2061</v>
      </c>
      <c r="G39" s="224">
        <v>29047.424489399029</v>
      </c>
      <c r="H39" s="224">
        <v>15429.111116666667</v>
      </c>
      <c r="I39" s="224">
        <v>909.75349999999992</v>
      </c>
      <c r="J39" s="224">
        <v>0</v>
      </c>
      <c r="K39" s="224">
        <v>0</v>
      </c>
      <c r="L39" s="224">
        <v>0</v>
      </c>
      <c r="M39" s="224">
        <v>0</v>
      </c>
      <c r="N39" s="224">
        <v>0</v>
      </c>
      <c r="O39" s="224">
        <v>0</v>
      </c>
      <c r="P39" s="224">
        <v>0</v>
      </c>
      <c r="Q39" s="224">
        <v>0</v>
      </c>
      <c r="R39" s="224">
        <v>0</v>
      </c>
      <c r="S39" s="224">
        <v>2553.5812876138366</v>
      </c>
      <c r="T39" s="224">
        <v>2290.7388512383477</v>
      </c>
      <c r="U39" s="224">
        <v>2659.9200571018623</v>
      </c>
      <c r="V39" s="224">
        <v>0</v>
      </c>
      <c r="W39" s="224">
        <v>455.51349128333339</v>
      </c>
      <c r="X39" s="224">
        <v>683.27023692499995</v>
      </c>
      <c r="Y39" s="224">
        <v>909.75349999999992</v>
      </c>
      <c r="Z39" s="224">
        <v>0</v>
      </c>
      <c r="AA39" s="224">
        <v>23.507187347585642</v>
      </c>
      <c r="AB39" s="224">
        <v>20.60614328051086</v>
      </c>
      <c r="AC39" s="224">
        <v>23.921951389943512</v>
      </c>
      <c r="AD39" s="1120">
        <v>4.1175397532614779</v>
      </c>
      <c r="AE39" s="224">
        <v>0</v>
      </c>
      <c r="AF39" s="224">
        <v>7995.4231336800003</v>
      </c>
      <c r="AG39" s="224">
        <v>293600.4093</v>
      </c>
      <c r="AH39" s="224">
        <v>0</v>
      </c>
      <c r="AI39" s="224">
        <v>77200</v>
      </c>
      <c r="AJ39" s="224">
        <v>2980.6412058654009</v>
      </c>
      <c r="AK39" s="224">
        <v>5016.6108153929827</v>
      </c>
      <c r="AL39" s="224">
        <v>0</v>
      </c>
      <c r="AM39" s="224">
        <v>0</v>
      </c>
      <c r="AN39" s="1120">
        <v>386793.0844549383</v>
      </c>
      <c r="AO39" s="224">
        <f t="shared" si="0"/>
        <v>0.54252703788973233</v>
      </c>
      <c r="AP39" s="1123">
        <v>0.1</v>
      </c>
      <c r="AQ39" s="1123">
        <f t="shared" si="3"/>
        <v>0.35400422692244193</v>
      </c>
      <c r="AR39" s="1123">
        <v>20</v>
      </c>
      <c r="AS39" s="1123">
        <f t="shared" si="1"/>
        <v>0.41063396243062589</v>
      </c>
      <c r="AT39" s="224">
        <f t="shared" si="2"/>
        <v>136926.38684141723</v>
      </c>
    </row>
    <row r="40" spans="1:46">
      <c r="A40" s="1118">
        <v>2030</v>
      </c>
      <c r="D40" s="1107" t="s">
        <v>2002</v>
      </c>
      <c r="E40" s="224" t="s">
        <v>2061</v>
      </c>
      <c r="G40" s="224">
        <v>28093.865356359714</v>
      </c>
      <c r="H40" s="224">
        <v>15509.111116666667</v>
      </c>
      <c r="I40" s="224">
        <v>861.75850000000003</v>
      </c>
      <c r="J40" s="224">
        <v>0</v>
      </c>
      <c r="K40" s="224">
        <v>0</v>
      </c>
      <c r="L40" s="224">
        <v>0</v>
      </c>
      <c r="M40" s="224">
        <v>0</v>
      </c>
      <c r="N40" s="224">
        <v>0</v>
      </c>
      <c r="O40" s="224">
        <v>0</v>
      </c>
      <c r="P40" s="224">
        <v>0</v>
      </c>
      <c r="Q40" s="224">
        <v>0</v>
      </c>
      <c r="R40" s="224">
        <v>0</v>
      </c>
      <c r="S40" s="224">
        <v>2369.9295343463668</v>
      </c>
      <c r="T40" s="224">
        <v>2131.7521677691229</v>
      </c>
      <c r="U40" s="224">
        <v>2473.587674126627</v>
      </c>
      <c r="V40" s="224">
        <v>0</v>
      </c>
      <c r="W40" s="224">
        <v>434.90755173333338</v>
      </c>
      <c r="X40" s="224">
        <v>652.3613276000001</v>
      </c>
      <c r="Y40" s="224">
        <v>861.75850000000003</v>
      </c>
      <c r="Z40" s="224">
        <v>0</v>
      </c>
      <c r="AA40" s="224">
        <v>21.771174584447397</v>
      </c>
      <c r="AB40" s="224">
        <v>19.171553683959797</v>
      </c>
      <c r="AC40" s="224">
        <v>22.245824639785891</v>
      </c>
      <c r="AD40" s="1120">
        <v>3.809677629264105</v>
      </c>
      <c r="AE40" s="224">
        <v>0</v>
      </c>
      <c r="AF40" s="224">
        <v>5665.6365422714516</v>
      </c>
      <c r="AG40" s="224">
        <v>197784.01342125001</v>
      </c>
      <c r="AH40" s="224">
        <v>0</v>
      </c>
      <c r="AI40" s="224">
        <v>77200</v>
      </c>
      <c r="AJ40" s="224">
        <v>4645.2328152999999</v>
      </c>
      <c r="AK40" s="224">
        <v>6503.1130127197384</v>
      </c>
      <c r="AL40" s="224">
        <v>0</v>
      </c>
      <c r="AM40" s="224">
        <v>0</v>
      </c>
      <c r="AN40" s="1120">
        <v>291797.99579154112</v>
      </c>
      <c r="AO40" s="224">
        <f t="shared" si="0"/>
        <v>0.50196312443183844</v>
      </c>
      <c r="AP40" s="1123">
        <v>0.1</v>
      </c>
      <c r="AQ40" s="1123">
        <f t="shared" si="3"/>
        <v>0.35400422692244193</v>
      </c>
      <c r="AR40" s="1123">
        <v>20</v>
      </c>
      <c r="AS40" s="1123">
        <f t="shared" si="1"/>
        <v>0.37993149167506984</v>
      </c>
      <c r="AT40" s="224">
        <f t="shared" si="2"/>
        <v>103297.72391770247</v>
      </c>
    </row>
    <row r="41" spans="1:46">
      <c r="A41" s="1118">
        <v>2035</v>
      </c>
      <c r="D41" s="1107" t="s">
        <v>2002</v>
      </c>
      <c r="E41" s="224" t="s">
        <v>2061</v>
      </c>
      <c r="G41" s="224">
        <v>27627.349821655836</v>
      </c>
      <c r="H41" s="224">
        <v>15580.433333333334</v>
      </c>
      <c r="I41" s="224">
        <v>787.01456250000001</v>
      </c>
      <c r="J41" s="224">
        <v>0</v>
      </c>
      <c r="K41" s="224">
        <v>0</v>
      </c>
      <c r="L41" s="224">
        <v>0</v>
      </c>
      <c r="M41" s="224">
        <v>0</v>
      </c>
      <c r="N41" s="224">
        <v>0</v>
      </c>
      <c r="O41" s="224">
        <v>0</v>
      </c>
      <c r="P41" s="224">
        <v>0</v>
      </c>
      <c r="Q41" s="224">
        <v>0</v>
      </c>
      <c r="R41" s="224">
        <v>0</v>
      </c>
      <c r="S41" s="224">
        <v>2256.2192765000141</v>
      </c>
      <c r="T41" s="224">
        <v>2020.7821302498667</v>
      </c>
      <c r="U41" s="224">
        <v>2343.8948654255923</v>
      </c>
      <c r="V41" s="224">
        <v>0</v>
      </c>
      <c r="W41" s="224">
        <v>429.57914714999993</v>
      </c>
      <c r="X41" s="224">
        <v>644.36872072499989</v>
      </c>
      <c r="Y41" s="224">
        <v>787.01456250000001</v>
      </c>
      <c r="Z41" s="224">
        <v>0</v>
      </c>
      <c r="AA41" s="224">
        <v>20.732447063934035</v>
      </c>
      <c r="AB41" s="224">
        <v>18.163381754624908</v>
      </c>
      <c r="AC41" s="224">
        <v>21.076543826265006</v>
      </c>
      <c r="AD41" s="1120">
        <v>3.5953864064020595</v>
      </c>
      <c r="AE41" s="224">
        <v>0</v>
      </c>
      <c r="AF41" s="224">
        <v>4598.1649984927999</v>
      </c>
      <c r="AG41" s="224">
        <v>135318.36410999997</v>
      </c>
      <c r="AH41" s="224">
        <v>0</v>
      </c>
      <c r="AI41" s="224">
        <v>77200</v>
      </c>
      <c r="AJ41" s="224">
        <v>6260.6771727500018</v>
      </c>
      <c r="AK41" s="224">
        <v>8246.7711471673647</v>
      </c>
      <c r="AL41" s="224">
        <v>0</v>
      </c>
      <c r="AM41" s="224">
        <v>0</v>
      </c>
      <c r="AN41" s="1120">
        <v>231623.97742841011</v>
      </c>
      <c r="AO41" s="224">
        <f t="shared" si="0"/>
        <v>0.4737281129075353</v>
      </c>
      <c r="AP41" s="1123">
        <v>0.1</v>
      </c>
      <c r="AQ41" s="1123">
        <f t="shared" si="3"/>
        <v>0.35400422692244193</v>
      </c>
      <c r="AR41" s="1123">
        <v>20</v>
      </c>
      <c r="AS41" s="1123">
        <f t="shared" si="1"/>
        <v>0.35856065879161175</v>
      </c>
      <c r="AT41" s="224">
        <f t="shared" si="2"/>
        <v>81995.867066245468</v>
      </c>
    </row>
    <row r="42" spans="1:46">
      <c r="A42" s="1118">
        <v>2050</v>
      </c>
      <c r="D42" s="1107" t="s">
        <v>2002</v>
      </c>
      <c r="E42" s="224" t="s">
        <v>2061</v>
      </c>
      <c r="G42" s="224">
        <v>27017.25222165072</v>
      </c>
      <c r="H42" s="224">
        <v>15699.333333333334</v>
      </c>
      <c r="I42" s="224">
        <v>746.03262500000017</v>
      </c>
      <c r="J42" s="224">
        <v>0</v>
      </c>
      <c r="K42" s="224">
        <v>0</v>
      </c>
      <c r="L42" s="224">
        <v>0</v>
      </c>
      <c r="M42" s="224">
        <v>0</v>
      </c>
      <c r="N42" s="224">
        <v>0</v>
      </c>
      <c r="O42" s="224">
        <v>0</v>
      </c>
      <c r="P42" s="224">
        <v>0</v>
      </c>
      <c r="Q42" s="224">
        <v>0</v>
      </c>
      <c r="R42" s="224">
        <v>0</v>
      </c>
      <c r="S42" s="224">
        <v>2111.0252038044027</v>
      </c>
      <c r="T42" s="224">
        <v>1895.4423423046248</v>
      </c>
      <c r="U42" s="224">
        <v>2198.9251274266226</v>
      </c>
      <c r="V42" s="224">
        <v>0</v>
      </c>
      <c r="W42" s="224">
        <v>418.23349284999995</v>
      </c>
      <c r="X42" s="224">
        <v>627.35023927500004</v>
      </c>
      <c r="Y42" s="224">
        <v>746.03262500000017</v>
      </c>
      <c r="Z42" s="224">
        <v>0</v>
      </c>
      <c r="AA42" s="224">
        <v>19.405371423637693</v>
      </c>
      <c r="AB42" s="224">
        <v>17.065127603801326</v>
      </c>
      <c r="AC42" s="224">
        <v>19.816124814686706</v>
      </c>
      <c r="AD42" s="1120">
        <v>3.3446999401372377</v>
      </c>
      <c r="AE42" s="224">
        <v>0</v>
      </c>
      <c r="AF42" s="224">
        <v>2714.2952158399999</v>
      </c>
      <c r="AG42" s="224">
        <v>106913.18006399997</v>
      </c>
      <c r="AH42" s="224">
        <v>0</v>
      </c>
      <c r="AI42" s="224">
        <v>77200</v>
      </c>
      <c r="AJ42" s="224">
        <v>8960.4997789999998</v>
      </c>
      <c r="AK42" s="224">
        <v>10325.102059837716</v>
      </c>
      <c r="AL42" s="224">
        <v>0</v>
      </c>
      <c r="AM42" s="224">
        <v>0</v>
      </c>
      <c r="AN42" s="1120">
        <v>206113.0771186777</v>
      </c>
      <c r="AO42" s="224">
        <f t="shared" si="0"/>
        <v>0.4406976641124824</v>
      </c>
      <c r="AP42" s="1123">
        <v>0.1</v>
      </c>
      <c r="AQ42" s="1123">
        <f t="shared" si="3"/>
        <v>0.35400422692244193</v>
      </c>
      <c r="AR42" s="1123">
        <v>20</v>
      </c>
      <c r="AS42" s="1123">
        <f t="shared" si="1"/>
        <v>0.33356020144605325</v>
      </c>
      <c r="AT42" s="224">
        <f t="shared" si="2"/>
        <v>72964.900524003155</v>
      </c>
    </row>
    <row r="43" spans="1:46">
      <c r="A43" s="1118">
        <v>2017</v>
      </c>
      <c r="D43" s="1107" t="s">
        <v>2002</v>
      </c>
      <c r="E43" s="224" t="s">
        <v>2062</v>
      </c>
      <c r="G43" s="224">
        <v>31077.080827951599</v>
      </c>
      <c r="H43" s="224">
        <v>17273</v>
      </c>
      <c r="I43" s="224">
        <v>7.1992799999999999</v>
      </c>
      <c r="J43" s="224">
        <v>0.17092003045618401</v>
      </c>
      <c r="K43" s="224">
        <v>0.14078898612370816</v>
      </c>
      <c r="L43" s="224">
        <v>0.17113039874034502</v>
      </c>
      <c r="M43" s="224">
        <v>0</v>
      </c>
      <c r="N43" s="224">
        <v>0</v>
      </c>
      <c r="O43" s="224">
        <v>0</v>
      </c>
      <c r="P43" s="224">
        <v>0</v>
      </c>
      <c r="Q43" s="224">
        <v>0</v>
      </c>
      <c r="R43" s="224">
        <v>0</v>
      </c>
      <c r="S43" s="224">
        <v>0</v>
      </c>
      <c r="T43" s="224">
        <v>0</v>
      </c>
      <c r="U43" s="224">
        <v>0</v>
      </c>
      <c r="V43" s="224">
        <v>0</v>
      </c>
      <c r="W43" s="224">
        <v>549.54407450000008</v>
      </c>
      <c r="X43" s="224">
        <v>224.09677033492818</v>
      </c>
      <c r="Y43" s="224">
        <v>7.1992800000000008</v>
      </c>
      <c r="Z43" s="224">
        <v>359.2131584</v>
      </c>
      <c r="AA43" s="224">
        <v>64.584841972615763</v>
      </c>
      <c r="AB43" s="224">
        <v>52.300801445761856</v>
      </c>
      <c r="AC43" s="224">
        <v>63.233296010162675</v>
      </c>
      <c r="AD43" s="1120">
        <v>8.6761756496156472</v>
      </c>
      <c r="AE43" s="224">
        <v>0</v>
      </c>
      <c r="AF43" s="224">
        <v>25398.690796049996</v>
      </c>
      <c r="AG43" s="224">
        <v>9770.6191866028712</v>
      </c>
      <c r="AH43" s="224">
        <v>0</v>
      </c>
      <c r="AI43" s="224">
        <v>82200</v>
      </c>
      <c r="AJ43" s="224">
        <v>0</v>
      </c>
      <c r="AK43" s="224">
        <v>791.37040000000013</v>
      </c>
      <c r="AL43" s="224">
        <v>172278.86</v>
      </c>
      <c r="AM43" s="224">
        <v>65144.992756000014</v>
      </c>
      <c r="AN43" s="1120">
        <v>355584.53313865291</v>
      </c>
      <c r="AO43" s="224">
        <f t="shared" si="0"/>
        <v>1.1431729035933575</v>
      </c>
      <c r="AP43" s="1123">
        <v>0.1</v>
      </c>
      <c r="AQ43" s="1123">
        <f t="shared" si="3"/>
        <v>0.35400422692244193</v>
      </c>
      <c r="AR43" s="1123">
        <v>20</v>
      </c>
      <c r="AS43" s="1123">
        <f t="shared" si="1"/>
        <v>0.86525755651144931</v>
      </c>
      <c r="AT43" s="224">
        <f t="shared" si="2"/>
        <v>125878.42775932627</v>
      </c>
    </row>
    <row r="44" spans="1:46">
      <c r="A44" s="1121">
        <v>2020</v>
      </c>
      <c r="D44" s="1107" t="s">
        <v>2002</v>
      </c>
      <c r="E44" s="224" t="s">
        <v>2062</v>
      </c>
      <c r="G44" s="224">
        <v>30848.280250827975</v>
      </c>
      <c r="H44" s="224">
        <v>17326.2</v>
      </c>
      <c r="I44" s="224">
        <v>7.2943199999999999</v>
      </c>
      <c r="J44" s="224">
        <v>0.16174192361783329</v>
      </c>
      <c r="K44" s="224">
        <v>0.13081697851330126</v>
      </c>
      <c r="L44" s="224">
        <v>0.15807439951175559</v>
      </c>
      <c r="M44" s="224">
        <v>0</v>
      </c>
      <c r="N44" s="224">
        <v>0</v>
      </c>
      <c r="O44" s="224">
        <v>0</v>
      </c>
      <c r="P44" s="224">
        <v>0</v>
      </c>
      <c r="Q44" s="224">
        <v>0</v>
      </c>
      <c r="R44" s="224">
        <v>0</v>
      </c>
      <c r="S44" s="224">
        <v>0</v>
      </c>
      <c r="T44" s="224">
        <v>0</v>
      </c>
      <c r="U44" s="224">
        <v>0</v>
      </c>
      <c r="V44" s="224">
        <v>0</v>
      </c>
      <c r="W44" s="224">
        <v>543.27966934999995</v>
      </c>
      <c r="X44" s="224">
        <v>227.0551435406698</v>
      </c>
      <c r="Y44" s="224">
        <v>7.2943200000000008</v>
      </c>
      <c r="Z44" s="224">
        <v>354.58743770000001</v>
      </c>
      <c r="AA44" s="224">
        <v>60.995008282317912</v>
      </c>
      <c r="AB44" s="224">
        <v>48.52333394592744</v>
      </c>
      <c r="AC44" s="224">
        <v>58.365801165954352</v>
      </c>
      <c r="AD44" s="1120">
        <v>8.0195082308180901</v>
      </c>
      <c r="AE44" s="224">
        <v>0</v>
      </c>
      <c r="AF44" s="224">
        <v>19128.046038952496</v>
      </c>
      <c r="AG44" s="224">
        <v>9899.6042583732051</v>
      </c>
      <c r="AH44" s="224">
        <v>0</v>
      </c>
      <c r="AI44" s="224">
        <v>82200</v>
      </c>
      <c r="AJ44" s="224">
        <v>1355.6962439328033</v>
      </c>
      <c r="AK44" s="224">
        <v>2068.4830000687812</v>
      </c>
      <c r="AL44" s="224">
        <v>162032.85999999999</v>
      </c>
      <c r="AM44" s="224">
        <v>59427.412747692302</v>
      </c>
      <c r="AN44" s="1120">
        <v>336112.10228901962</v>
      </c>
      <c r="AO44" s="224">
        <f t="shared" si="0"/>
        <v>1.0566504044925915</v>
      </c>
      <c r="AP44" s="1123">
        <v>0.1</v>
      </c>
      <c r="AQ44" s="1123">
        <f t="shared" si="3"/>
        <v>0.35400422692244193</v>
      </c>
      <c r="AR44" s="1123">
        <v>20</v>
      </c>
      <c r="AS44" s="1123">
        <f t="shared" si="1"/>
        <v>0.79976943488096752</v>
      </c>
      <c r="AT44" s="224">
        <f t="shared" si="2"/>
        <v>118985.10493010112</v>
      </c>
    </row>
    <row r="45" spans="1:46">
      <c r="A45" s="1118">
        <v>2025</v>
      </c>
      <c r="D45" s="1107" t="s">
        <v>2002</v>
      </c>
      <c r="E45" s="224" t="s">
        <v>2062</v>
      </c>
      <c r="G45" s="224">
        <v>30069.955138762438</v>
      </c>
      <c r="H45" s="224">
        <v>17412.966675</v>
      </c>
      <c r="I45" s="224">
        <v>7.2547200000000007</v>
      </c>
      <c r="J45" s="224">
        <v>0.14658558646134701</v>
      </c>
      <c r="K45" s="224">
        <v>0.11247819535755534</v>
      </c>
      <c r="L45" s="224">
        <v>0.13388114457349407</v>
      </c>
      <c r="M45" s="224">
        <v>0</v>
      </c>
      <c r="N45" s="224">
        <v>0</v>
      </c>
      <c r="O45" s="224">
        <v>0</v>
      </c>
      <c r="P45" s="224">
        <v>0</v>
      </c>
      <c r="Q45" s="224">
        <v>0</v>
      </c>
      <c r="R45" s="224">
        <v>0</v>
      </c>
      <c r="S45" s="224">
        <v>0</v>
      </c>
      <c r="T45" s="224">
        <v>0</v>
      </c>
      <c r="U45" s="224">
        <v>0</v>
      </c>
      <c r="V45" s="224">
        <v>0</v>
      </c>
      <c r="W45" s="224">
        <v>525.56696205000003</v>
      </c>
      <c r="X45" s="224">
        <v>205.17436970923814</v>
      </c>
      <c r="Y45" s="224">
        <v>7.2547200000000007</v>
      </c>
      <c r="Z45" s="224">
        <v>342.40827820000004</v>
      </c>
      <c r="AA45" s="224">
        <v>55.457155362590314</v>
      </c>
      <c r="AB45" s="224">
        <v>41.93566431523589</v>
      </c>
      <c r="AC45" s="224">
        <v>49.77625419581711</v>
      </c>
      <c r="AD45" s="1120">
        <v>6.833751105169533</v>
      </c>
      <c r="AE45" s="224">
        <v>0</v>
      </c>
      <c r="AF45" s="224">
        <v>9169.7893652950006</v>
      </c>
      <c r="AG45" s="224">
        <v>6573.4731983805677</v>
      </c>
      <c r="AH45" s="224">
        <v>0</v>
      </c>
      <c r="AI45" s="224">
        <v>82200</v>
      </c>
      <c r="AJ45" s="224">
        <v>3308.0785849881008</v>
      </c>
      <c r="AK45" s="224">
        <v>5120.4589597967124</v>
      </c>
      <c r="AL45" s="224">
        <v>98523.04</v>
      </c>
      <c r="AM45" s="224">
        <v>37393.903766153853</v>
      </c>
      <c r="AN45" s="1120">
        <v>242288.74387461424</v>
      </c>
      <c r="AO45" s="224">
        <f t="shared" si="0"/>
        <v>0.90041504561713759</v>
      </c>
      <c r="AP45" s="1123">
        <v>0.1</v>
      </c>
      <c r="AQ45" s="1123">
        <f t="shared" si="3"/>
        <v>0.35400422692244193</v>
      </c>
      <c r="AR45" s="1123">
        <v>20</v>
      </c>
      <c r="AS45" s="1123">
        <f t="shared" si="1"/>
        <v>0.68151626037312296</v>
      </c>
      <c r="AT45" s="224">
        <f t="shared" si="2"/>
        <v>85771.239467342355</v>
      </c>
    </row>
    <row r="46" spans="1:46">
      <c r="A46" s="1118">
        <v>2030</v>
      </c>
      <c r="D46" s="1107" t="s">
        <v>2002</v>
      </c>
      <c r="E46" s="224" t="s">
        <v>2062</v>
      </c>
      <c r="G46" s="224">
        <v>29625.762175313204</v>
      </c>
      <c r="H46" s="224">
        <v>17500.166675</v>
      </c>
      <c r="I46" s="224">
        <v>7.3576800000000011</v>
      </c>
      <c r="J46" s="224">
        <v>0.13770344790337635</v>
      </c>
      <c r="K46" s="224">
        <v>0.10460951997158341</v>
      </c>
      <c r="L46" s="224">
        <v>0.12414995342603863</v>
      </c>
      <c r="M46" s="224">
        <v>0</v>
      </c>
      <c r="N46" s="224">
        <v>0</v>
      </c>
      <c r="O46" s="224">
        <v>0</v>
      </c>
      <c r="P46" s="224">
        <v>0</v>
      </c>
      <c r="Q46" s="224">
        <v>0</v>
      </c>
      <c r="R46" s="224">
        <v>0</v>
      </c>
      <c r="S46" s="224">
        <v>0</v>
      </c>
      <c r="T46" s="224">
        <v>0</v>
      </c>
      <c r="U46" s="224">
        <v>0</v>
      </c>
      <c r="V46" s="224">
        <v>0</v>
      </c>
      <c r="W46" s="224">
        <v>517.95809322499997</v>
      </c>
      <c r="X46" s="224">
        <v>163.53805653953032</v>
      </c>
      <c r="Y46" s="224">
        <v>7.3576800000000011</v>
      </c>
      <c r="Z46" s="224">
        <v>336.966672475</v>
      </c>
      <c r="AA46" s="224">
        <v>52.099536575940647</v>
      </c>
      <c r="AB46" s="224">
        <v>39.021115650347937</v>
      </c>
      <c r="AC46" s="224">
        <v>46.210021200880036</v>
      </c>
      <c r="AD46" s="1120">
        <v>6.3198501324656275</v>
      </c>
      <c r="AE46" s="224">
        <v>0</v>
      </c>
      <c r="AF46" s="224">
        <v>6691.286276569921</v>
      </c>
      <c r="AG46" s="224">
        <v>4195.0893027300208</v>
      </c>
      <c r="AH46" s="224">
        <v>0</v>
      </c>
      <c r="AI46" s="224">
        <v>82200</v>
      </c>
      <c r="AJ46" s="224">
        <v>5119.7028019500003</v>
      </c>
      <c r="AK46" s="224">
        <v>6626.5650117372134</v>
      </c>
      <c r="AL46" s="224">
        <v>63914.540000000008</v>
      </c>
      <c r="AM46" s="224">
        <v>27183.589200000002</v>
      </c>
      <c r="AN46" s="1120">
        <v>195930.77259298717</v>
      </c>
      <c r="AO46" s="224">
        <f t="shared" si="0"/>
        <v>0.83270345345367103</v>
      </c>
      <c r="AP46" s="1123">
        <v>0.1</v>
      </c>
      <c r="AQ46" s="1123">
        <f t="shared" si="3"/>
        <v>0.35400422692244193</v>
      </c>
      <c r="AR46" s="1123">
        <v>20</v>
      </c>
      <c r="AS46" s="1123">
        <f t="shared" si="1"/>
        <v>0.63026594941954783</v>
      </c>
      <c r="AT46" s="224">
        <f t="shared" si="2"/>
        <v>69360.321682097201</v>
      </c>
    </row>
    <row r="47" spans="1:46">
      <c r="A47" s="1118">
        <v>2035</v>
      </c>
      <c r="D47" s="1107" t="s">
        <v>2002</v>
      </c>
      <c r="E47" s="224" t="s">
        <v>2062</v>
      </c>
      <c r="G47" s="224">
        <v>29277.774661991123</v>
      </c>
      <c r="H47" s="224">
        <v>17574.349999999999</v>
      </c>
      <c r="I47" s="224">
        <v>7.4052000000000016</v>
      </c>
      <c r="J47" s="224">
        <v>0.12907920426693353</v>
      </c>
      <c r="K47" s="224">
        <v>9.7247906980452117E-2</v>
      </c>
      <c r="L47" s="224">
        <v>0.11508005178236913</v>
      </c>
      <c r="M47" s="224">
        <v>0</v>
      </c>
      <c r="N47" s="224">
        <v>0</v>
      </c>
      <c r="O47" s="224">
        <v>0</v>
      </c>
      <c r="P47" s="224">
        <v>0</v>
      </c>
      <c r="Q47" s="224">
        <v>0</v>
      </c>
      <c r="R47" s="224">
        <v>0</v>
      </c>
      <c r="S47" s="224">
        <v>0</v>
      </c>
      <c r="T47" s="224">
        <v>0</v>
      </c>
      <c r="U47" s="224">
        <v>0</v>
      </c>
      <c r="V47" s="224">
        <v>0</v>
      </c>
      <c r="W47" s="224">
        <v>511.25037105000001</v>
      </c>
      <c r="X47" s="224">
        <v>139.94377729257639</v>
      </c>
      <c r="Y47" s="224">
        <v>7.4052000000000016</v>
      </c>
      <c r="Z47" s="224">
        <v>332.37036072500001</v>
      </c>
      <c r="AA47" s="224">
        <v>48.84129924638043</v>
      </c>
      <c r="AB47" s="224">
        <v>36.300706198400896</v>
      </c>
      <c r="AC47" s="224">
        <v>42.865993136386386</v>
      </c>
      <c r="AD47" s="1120">
        <v>5.8457860465932248</v>
      </c>
      <c r="AE47" s="224">
        <v>0</v>
      </c>
      <c r="AF47" s="224">
        <v>5432.7450309287997</v>
      </c>
      <c r="AG47" s="224">
        <v>2691.2310917030554</v>
      </c>
      <c r="AH47" s="224">
        <v>0</v>
      </c>
      <c r="AI47" s="224">
        <v>82200</v>
      </c>
      <c r="AJ47" s="224">
        <v>6800.390722125002</v>
      </c>
      <c r="AK47" s="224">
        <v>8381.7279528533218</v>
      </c>
      <c r="AL47" s="224">
        <v>49594.2</v>
      </c>
      <c r="AM47" s="224">
        <v>20226.811754999999</v>
      </c>
      <c r="AN47" s="1120">
        <v>175327.10655261017</v>
      </c>
      <c r="AO47" s="224">
        <f t="shared" si="0"/>
        <v>0.77024076949912323</v>
      </c>
      <c r="AP47" s="1123">
        <v>0.1</v>
      </c>
      <c r="AQ47" s="1123">
        <f t="shared" si="3"/>
        <v>0.35400422692244193</v>
      </c>
      <c r="AR47" s="1123">
        <v>20</v>
      </c>
      <c r="AS47" s="1123">
        <f t="shared" si="1"/>
        <v>0.58298849110875861</v>
      </c>
      <c r="AT47" s="224">
        <f t="shared" si="2"/>
        <v>62066.536813705367</v>
      </c>
    </row>
    <row r="48" spans="1:46">
      <c r="A48" s="1118">
        <v>2050</v>
      </c>
      <c r="D48" s="1107" t="s">
        <v>2002</v>
      </c>
      <c r="E48" s="224" t="s">
        <v>2062</v>
      </c>
      <c r="G48" s="224">
        <v>28803.557637863691</v>
      </c>
      <c r="H48" s="224">
        <v>17703.5</v>
      </c>
      <c r="I48" s="224">
        <v>7.3563200000000011</v>
      </c>
      <c r="J48" s="224">
        <v>0.1173603442647627</v>
      </c>
      <c r="K48" s="224">
        <v>8.7081292184246872E-2</v>
      </c>
      <c r="L48" s="224">
        <v>0.10299942971992142</v>
      </c>
      <c r="M48" s="224">
        <v>0</v>
      </c>
      <c r="N48" s="224">
        <v>0</v>
      </c>
      <c r="O48" s="224">
        <v>0</v>
      </c>
      <c r="P48" s="224">
        <v>0</v>
      </c>
      <c r="Q48" s="224">
        <v>0</v>
      </c>
      <c r="R48" s="224">
        <v>0</v>
      </c>
      <c r="S48" s="224">
        <v>0</v>
      </c>
      <c r="T48" s="224">
        <v>0</v>
      </c>
      <c r="U48" s="224">
        <v>0</v>
      </c>
      <c r="V48" s="224">
        <v>0</v>
      </c>
      <c r="W48" s="224">
        <v>493.51753114999997</v>
      </c>
      <c r="X48" s="224">
        <v>118.11992358078601</v>
      </c>
      <c r="Y48" s="224">
        <v>6.2225200000000012</v>
      </c>
      <c r="Z48" s="224">
        <v>320.21511939999999</v>
      </c>
      <c r="AA48" s="224">
        <v>44.348058823579386</v>
      </c>
      <c r="AB48" s="224">
        <v>32.408915493817005</v>
      </c>
      <c r="AC48" s="224">
        <v>38.647156785270631</v>
      </c>
      <c r="AD48" s="1120">
        <v>5.1948040784098275</v>
      </c>
      <c r="AE48" s="224">
        <v>0</v>
      </c>
      <c r="AF48" s="224">
        <v>3205.504398174</v>
      </c>
      <c r="AG48" s="224">
        <v>2184.7393886462874</v>
      </c>
      <c r="AH48" s="224">
        <v>0</v>
      </c>
      <c r="AI48" s="224">
        <v>82200</v>
      </c>
      <c r="AJ48" s="224">
        <v>9732.9566565000005</v>
      </c>
      <c r="AK48" s="224">
        <v>10325.102059837716</v>
      </c>
      <c r="AL48" s="224">
        <v>43259.999999999993</v>
      </c>
      <c r="AM48" s="224">
        <v>17272.873800000001</v>
      </c>
      <c r="AN48" s="1120">
        <v>168181.24908685117</v>
      </c>
      <c r="AO48" s="224">
        <f t="shared" si="0"/>
        <v>0.68446738537127882</v>
      </c>
      <c r="AP48" s="1123">
        <v>0.1</v>
      </c>
      <c r="AQ48" s="1123">
        <f t="shared" si="3"/>
        <v>0.35400422692244193</v>
      </c>
      <c r="AR48" s="1123">
        <v>20</v>
      </c>
      <c r="AS48" s="1123">
        <f t="shared" si="1"/>
        <v>0.51806736803901843</v>
      </c>
      <c r="AT48" s="224">
        <f t="shared" si="2"/>
        <v>59536.873065841392</v>
      </c>
    </row>
    <row r="49" spans="1:46">
      <c r="A49" s="1118">
        <v>2017</v>
      </c>
      <c r="B49" s="1119"/>
      <c r="C49" s="1119"/>
      <c r="D49" s="1119" t="s">
        <v>2003</v>
      </c>
      <c r="E49" s="1119" t="s">
        <v>2057</v>
      </c>
      <c r="F49" s="1119"/>
      <c r="G49" s="224">
        <v>4053.7476382418367</v>
      </c>
      <c r="H49" s="224">
        <v>1644.5</v>
      </c>
      <c r="I49" s="224">
        <v>3.1680000000000001</v>
      </c>
      <c r="J49" s="224">
        <v>6.5906262051519532E-2</v>
      </c>
      <c r="K49" s="224">
        <v>5.6202373470164706E-2</v>
      </c>
      <c r="L49" s="224">
        <v>6.8640769823530248E-2</v>
      </c>
      <c r="M49" s="224">
        <v>0</v>
      </c>
      <c r="N49" s="224">
        <v>0</v>
      </c>
      <c r="O49" s="224">
        <v>0</v>
      </c>
      <c r="P49" s="224">
        <v>0</v>
      </c>
      <c r="Q49" s="224">
        <v>0</v>
      </c>
      <c r="R49" s="224">
        <v>0</v>
      </c>
      <c r="S49" s="224">
        <v>0</v>
      </c>
      <c r="T49" s="224">
        <v>0</v>
      </c>
      <c r="U49" s="224">
        <v>0</v>
      </c>
      <c r="V49" s="224">
        <v>162.90557410000002</v>
      </c>
      <c r="W49" s="224">
        <v>0</v>
      </c>
      <c r="X49" s="224">
        <v>4.3509999999999991</v>
      </c>
      <c r="Y49" s="224">
        <v>3.1680000000000001</v>
      </c>
      <c r="Z49" s="224">
        <v>0</v>
      </c>
      <c r="AA49" s="224">
        <v>13.181252410303909</v>
      </c>
      <c r="AB49" s="224">
        <v>11.24047469403294</v>
      </c>
      <c r="AC49" s="224">
        <v>13.728153964706051</v>
      </c>
      <c r="AD49" s="1120">
        <v>55.196820642492561</v>
      </c>
      <c r="AE49" s="224">
        <v>15143.902991442286</v>
      </c>
      <c r="AF49" s="224">
        <v>0</v>
      </c>
      <c r="AG49" s="224">
        <v>261.60000000000002</v>
      </c>
      <c r="AH49" s="224">
        <v>5573.2276677744831</v>
      </c>
      <c r="AI49" s="224">
        <v>18600</v>
      </c>
      <c r="AJ49" s="224">
        <v>0</v>
      </c>
      <c r="AK49" s="224">
        <v>745.98720000000003</v>
      </c>
      <c r="AL49" s="224">
        <v>0</v>
      </c>
      <c r="AM49" s="224">
        <v>436.00000000000006</v>
      </c>
      <c r="AN49" s="1120">
        <v>40760.717859216769</v>
      </c>
      <c r="AO49" s="224">
        <f t="shared" si="0"/>
        <v>7.2727330878548191</v>
      </c>
      <c r="AP49" s="1123">
        <v>0.1</v>
      </c>
      <c r="AQ49" s="1123">
        <f>AA49*$C$4*365/1000*0.1</f>
        <v>6.3391806341729959E-2</v>
      </c>
      <c r="AR49" s="1123">
        <v>20</v>
      </c>
      <c r="AS49" s="1123">
        <f>AO49/$AO$49</f>
        <v>1</v>
      </c>
      <c r="AT49" s="224">
        <f t="shared" si="2"/>
        <v>2583.8955328813631</v>
      </c>
    </row>
    <row r="50" spans="1:46">
      <c r="A50" s="1121">
        <v>2020</v>
      </c>
      <c r="B50" s="1107"/>
      <c r="C50" s="1107"/>
      <c r="D50" s="1107" t="s">
        <v>2003</v>
      </c>
      <c r="E50" s="1107" t="s">
        <v>2057</v>
      </c>
      <c r="F50" s="1107"/>
      <c r="G50" s="224" t="e">
        <v>#DIV/0!</v>
      </c>
      <c r="H50" s="224" t="e">
        <v>#DIV/0!</v>
      </c>
      <c r="I50" s="224" t="e">
        <v>#DIV/0!</v>
      </c>
      <c r="J50" s="224" t="e">
        <v>#DIV/0!</v>
      </c>
      <c r="K50" s="224" t="e">
        <v>#DIV/0!</v>
      </c>
      <c r="L50" s="224" t="e">
        <v>#DIV/0!</v>
      </c>
      <c r="M50" s="224" t="e">
        <v>#DIV/0!</v>
      </c>
      <c r="N50" s="224" t="e">
        <v>#DIV/0!</v>
      </c>
      <c r="O50" s="224" t="e">
        <v>#DIV/0!</v>
      </c>
      <c r="P50" s="224" t="e">
        <v>#DIV/0!</v>
      </c>
      <c r="Q50" s="224" t="e">
        <v>#DIV/0!</v>
      </c>
      <c r="R50" s="224" t="e">
        <v>#DIV/0!</v>
      </c>
      <c r="S50" s="224" t="e">
        <v>#DIV/0!</v>
      </c>
      <c r="T50" s="224" t="e">
        <v>#DIV/0!</v>
      </c>
      <c r="U50" s="224" t="e">
        <v>#DIV/0!</v>
      </c>
      <c r="V50" s="224" t="e">
        <v>#DIV/0!</v>
      </c>
      <c r="W50" s="224" t="e">
        <v>#DIV/0!</v>
      </c>
      <c r="X50" s="224" t="e">
        <v>#DIV/0!</v>
      </c>
      <c r="Y50" s="224" t="e">
        <v>#DIV/0!</v>
      </c>
      <c r="Z50" s="224" t="e">
        <v>#DIV/0!</v>
      </c>
      <c r="AA50" s="224" t="e">
        <v>#DIV/0!</v>
      </c>
      <c r="AB50" s="224" t="e">
        <v>#DIV/0!</v>
      </c>
      <c r="AC50" s="224" t="e">
        <v>#DIV/0!</v>
      </c>
      <c r="AD50" s="1120" t="e">
        <v>#DIV/0!</v>
      </c>
      <c r="AE50" s="224" t="e">
        <v>#DIV/0!</v>
      </c>
      <c r="AF50" s="224" t="e">
        <v>#DIV/0!</v>
      </c>
      <c r="AG50" s="224" t="e">
        <v>#DIV/0!</v>
      </c>
      <c r="AH50" s="224" t="e">
        <v>#DIV/0!</v>
      </c>
      <c r="AI50" s="224" t="e">
        <v>#DIV/0!</v>
      </c>
      <c r="AJ50" s="224" t="e">
        <v>#DIV/0!</v>
      </c>
      <c r="AK50" s="224" t="e">
        <v>#DIV/0!</v>
      </c>
      <c r="AL50" s="224" t="e">
        <v>#DIV/0!</v>
      </c>
      <c r="AM50" s="224" t="e">
        <v>#DIV/0!</v>
      </c>
      <c r="AN50" s="1120" t="e">
        <v>#DIV/0!</v>
      </c>
      <c r="AO50" s="224" t="e">
        <f t="shared" si="0"/>
        <v>#DIV/0!</v>
      </c>
      <c r="AP50" s="1123">
        <v>0.1</v>
      </c>
      <c r="AQ50" s="1123">
        <f t="shared" si="3"/>
        <v>6.3391806341729959E-2</v>
      </c>
      <c r="AR50" s="1123">
        <v>20</v>
      </c>
      <c r="AS50" s="1123" t="e">
        <f t="shared" ref="AS50:AS84" si="4">AO50/$AO$49</f>
        <v>#DIV/0!</v>
      </c>
      <c r="AT50" s="224" t="e">
        <f t="shared" si="2"/>
        <v>#DIV/0!</v>
      </c>
    </row>
    <row r="51" spans="1:46">
      <c r="A51" s="1118">
        <v>2025</v>
      </c>
      <c r="B51" s="1119"/>
      <c r="C51" s="1119"/>
      <c r="D51" s="1107" t="s">
        <v>2003</v>
      </c>
      <c r="E51" s="1119" t="s">
        <v>2057</v>
      </c>
      <c r="F51" s="1119"/>
      <c r="G51" s="224" t="e">
        <v>#DIV/0!</v>
      </c>
      <c r="H51" s="224" t="e">
        <v>#DIV/0!</v>
      </c>
      <c r="I51" s="224" t="e">
        <v>#DIV/0!</v>
      </c>
      <c r="J51" s="224" t="e">
        <v>#DIV/0!</v>
      </c>
      <c r="K51" s="224" t="e">
        <v>#DIV/0!</v>
      </c>
      <c r="L51" s="224" t="e">
        <v>#DIV/0!</v>
      </c>
      <c r="M51" s="224" t="e">
        <v>#DIV/0!</v>
      </c>
      <c r="N51" s="224" t="e">
        <v>#DIV/0!</v>
      </c>
      <c r="O51" s="224" t="e">
        <v>#DIV/0!</v>
      </c>
      <c r="P51" s="224" t="e">
        <v>#DIV/0!</v>
      </c>
      <c r="Q51" s="224" t="e">
        <v>#DIV/0!</v>
      </c>
      <c r="R51" s="224" t="e">
        <v>#DIV/0!</v>
      </c>
      <c r="S51" s="224" t="e">
        <v>#DIV/0!</v>
      </c>
      <c r="T51" s="224" t="e">
        <v>#DIV/0!</v>
      </c>
      <c r="U51" s="224" t="e">
        <v>#DIV/0!</v>
      </c>
      <c r="V51" s="224" t="e">
        <v>#DIV/0!</v>
      </c>
      <c r="W51" s="224" t="e">
        <v>#DIV/0!</v>
      </c>
      <c r="X51" s="224" t="e">
        <v>#DIV/0!</v>
      </c>
      <c r="Y51" s="224" t="e">
        <v>#DIV/0!</v>
      </c>
      <c r="Z51" s="224" t="e">
        <v>#DIV/0!</v>
      </c>
      <c r="AA51" s="224" t="e">
        <v>#DIV/0!</v>
      </c>
      <c r="AB51" s="224" t="e">
        <v>#DIV/0!</v>
      </c>
      <c r="AC51" s="224" t="e">
        <v>#DIV/0!</v>
      </c>
      <c r="AD51" s="1120" t="e">
        <v>#DIV/0!</v>
      </c>
      <c r="AE51" s="224" t="e">
        <v>#DIV/0!</v>
      </c>
      <c r="AF51" s="224" t="e">
        <v>#DIV/0!</v>
      </c>
      <c r="AG51" s="224" t="e">
        <v>#DIV/0!</v>
      </c>
      <c r="AH51" s="224" t="e">
        <v>#DIV/0!</v>
      </c>
      <c r="AI51" s="224" t="e">
        <v>#DIV/0!</v>
      </c>
      <c r="AJ51" s="224" t="e">
        <v>#DIV/0!</v>
      </c>
      <c r="AK51" s="224" t="e">
        <v>#DIV/0!</v>
      </c>
      <c r="AL51" s="224" t="e">
        <v>#DIV/0!</v>
      </c>
      <c r="AM51" s="224" t="e">
        <v>#DIV/0!</v>
      </c>
      <c r="AN51" s="1120" t="e">
        <v>#DIV/0!</v>
      </c>
      <c r="AO51" s="224" t="e">
        <f t="shared" si="0"/>
        <v>#DIV/0!</v>
      </c>
      <c r="AP51" s="1123">
        <v>0.1</v>
      </c>
      <c r="AQ51" s="1123">
        <f t="shared" si="3"/>
        <v>6.3391806341729959E-2</v>
      </c>
      <c r="AR51" s="1123">
        <v>20</v>
      </c>
      <c r="AS51" s="1123" t="e">
        <f t="shared" si="4"/>
        <v>#DIV/0!</v>
      </c>
      <c r="AT51" s="224" t="e">
        <f t="shared" si="2"/>
        <v>#DIV/0!</v>
      </c>
    </row>
    <row r="52" spans="1:46">
      <c r="A52" s="1118">
        <v>2030</v>
      </c>
      <c r="B52" s="1107"/>
      <c r="C52" s="1107"/>
      <c r="D52" s="1107" t="s">
        <v>2003</v>
      </c>
      <c r="E52" s="1107" t="s">
        <v>2057</v>
      </c>
      <c r="F52" s="1107"/>
      <c r="G52" s="224">
        <v>4187.8509903640024</v>
      </c>
      <c r="H52" s="224">
        <v>1679.5</v>
      </c>
      <c r="I52" s="224">
        <v>3.1680000000000001</v>
      </c>
      <c r="J52" s="224">
        <v>4.9049991627523312E-2</v>
      </c>
      <c r="K52" s="224">
        <v>3.5792453856287508E-2</v>
      </c>
      <c r="L52" s="224">
        <v>4.3136869286860627E-2</v>
      </c>
      <c r="M52" s="224">
        <v>0</v>
      </c>
      <c r="N52" s="224">
        <v>0</v>
      </c>
      <c r="O52" s="224">
        <v>0</v>
      </c>
      <c r="P52" s="224">
        <v>0</v>
      </c>
      <c r="Q52" s="224">
        <v>0</v>
      </c>
      <c r="R52" s="224">
        <v>0</v>
      </c>
      <c r="S52" s="224">
        <v>0</v>
      </c>
      <c r="T52" s="224">
        <v>0</v>
      </c>
      <c r="U52" s="224">
        <v>0</v>
      </c>
      <c r="V52" s="224">
        <v>164.2930159</v>
      </c>
      <c r="W52" s="224">
        <v>0</v>
      </c>
      <c r="X52" s="224">
        <v>4.3964347826086954</v>
      </c>
      <c r="Y52" s="224">
        <v>3.1680000000000001</v>
      </c>
      <c r="Z52" s="224">
        <v>0</v>
      </c>
      <c r="AA52" s="224">
        <v>9.8099983255046634</v>
      </c>
      <c r="AB52" s="224">
        <v>7.158490771257501</v>
      </c>
      <c r="AC52" s="224">
        <v>8.6273738573721239</v>
      </c>
      <c r="AD52" s="1120">
        <v>35.160573732855248</v>
      </c>
      <c r="AE52" s="224">
        <v>15379.952058614859</v>
      </c>
      <c r="AF52" s="224">
        <v>0</v>
      </c>
      <c r="AG52" s="224">
        <v>177.6</v>
      </c>
      <c r="AH52" s="224">
        <v>5612.0090582255179</v>
      </c>
      <c r="AI52" s="224">
        <v>18600</v>
      </c>
      <c r="AJ52" s="224">
        <v>619.42648860000008</v>
      </c>
      <c r="AK52" s="224">
        <v>5614.4184944067338</v>
      </c>
      <c r="AL52" s="224">
        <v>0</v>
      </c>
      <c r="AM52" s="224">
        <v>296</v>
      </c>
      <c r="AN52" s="1120">
        <v>46299.406099847103</v>
      </c>
      <c r="AO52" s="224">
        <f t="shared" si="0"/>
        <v>4.6327571950410071</v>
      </c>
      <c r="AP52" s="1123">
        <v>0.1</v>
      </c>
      <c r="AQ52" s="1123">
        <f t="shared" si="3"/>
        <v>6.3391806341729959E-2</v>
      </c>
      <c r="AR52" s="1123">
        <v>20</v>
      </c>
      <c r="AS52" s="1123">
        <f t="shared" si="4"/>
        <v>0.63700360498277209</v>
      </c>
      <c r="AT52" s="224">
        <f t="shared" si="2"/>
        <v>2935.0029852186185</v>
      </c>
    </row>
    <row r="53" spans="1:46">
      <c r="A53" s="1118">
        <v>2035</v>
      </c>
      <c r="B53" s="1119"/>
      <c r="C53" s="1119"/>
      <c r="D53" s="1107" t="s">
        <v>2003</v>
      </c>
      <c r="E53" s="1119" t="s">
        <v>2057</v>
      </c>
      <c r="F53" s="1119"/>
      <c r="G53" s="224" t="e">
        <v>#DIV/0!</v>
      </c>
      <c r="H53" s="224" t="e">
        <v>#DIV/0!</v>
      </c>
      <c r="I53" s="224" t="e">
        <v>#DIV/0!</v>
      </c>
      <c r="J53" s="224" t="e">
        <v>#DIV/0!</v>
      </c>
      <c r="K53" s="224" t="e">
        <v>#DIV/0!</v>
      </c>
      <c r="L53" s="224" t="e">
        <v>#DIV/0!</v>
      </c>
      <c r="M53" s="224" t="e">
        <v>#DIV/0!</v>
      </c>
      <c r="N53" s="224" t="e">
        <v>#DIV/0!</v>
      </c>
      <c r="O53" s="224" t="e">
        <v>#DIV/0!</v>
      </c>
      <c r="P53" s="224" t="e">
        <v>#DIV/0!</v>
      </c>
      <c r="Q53" s="224" t="e">
        <v>#DIV/0!</v>
      </c>
      <c r="R53" s="224" t="e">
        <v>#DIV/0!</v>
      </c>
      <c r="S53" s="224" t="e">
        <v>#DIV/0!</v>
      </c>
      <c r="T53" s="224" t="e">
        <v>#DIV/0!</v>
      </c>
      <c r="U53" s="224" t="e">
        <v>#DIV/0!</v>
      </c>
      <c r="V53" s="224" t="e">
        <v>#DIV/0!</v>
      </c>
      <c r="W53" s="224" t="e">
        <v>#DIV/0!</v>
      </c>
      <c r="X53" s="224" t="e">
        <v>#DIV/0!</v>
      </c>
      <c r="Y53" s="224" t="e">
        <v>#DIV/0!</v>
      </c>
      <c r="Z53" s="224" t="e">
        <v>#DIV/0!</v>
      </c>
      <c r="AA53" s="224" t="e">
        <v>#DIV/0!</v>
      </c>
      <c r="AB53" s="224" t="e">
        <v>#DIV/0!</v>
      </c>
      <c r="AC53" s="224" t="e">
        <v>#DIV/0!</v>
      </c>
      <c r="AD53" s="1120" t="e">
        <v>#DIV/0!</v>
      </c>
      <c r="AE53" s="224" t="e">
        <v>#DIV/0!</v>
      </c>
      <c r="AF53" s="224" t="e">
        <v>#DIV/0!</v>
      </c>
      <c r="AG53" s="224" t="e">
        <v>#DIV/0!</v>
      </c>
      <c r="AH53" s="224" t="e">
        <v>#DIV/0!</v>
      </c>
      <c r="AI53" s="224" t="e">
        <v>#DIV/0!</v>
      </c>
      <c r="AJ53" s="224" t="e">
        <v>#DIV/0!</v>
      </c>
      <c r="AK53" s="224" t="e">
        <v>#DIV/0!</v>
      </c>
      <c r="AL53" s="224" t="e">
        <v>#DIV/0!</v>
      </c>
      <c r="AM53" s="224" t="e">
        <v>#DIV/0!</v>
      </c>
      <c r="AN53" s="1120" t="e">
        <v>#DIV/0!</v>
      </c>
      <c r="AO53" s="224" t="e">
        <f t="shared" si="0"/>
        <v>#DIV/0!</v>
      </c>
      <c r="AP53" s="1123">
        <v>0.1</v>
      </c>
      <c r="AQ53" s="1123">
        <f t="shared" si="3"/>
        <v>6.3391806341729959E-2</v>
      </c>
      <c r="AR53" s="1123">
        <v>20</v>
      </c>
      <c r="AS53" s="1123" t="e">
        <f t="shared" si="4"/>
        <v>#DIV/0!</v>
      </c>
      <c r="AT53" s="224" t="e">
        <f t="shared" si="2"/>
        <v>#DIV/0!</v>
      </c>
    </row>
    <row r="54" spans="1:46">
      <c r="A54" s="1118">
        <v>2050</v>
      </c>
      <c r="B54" s="1107"/>
      <c r="C54" s="1107"/>
      <c r="D54" s="1107" t="s">
        <v>2003</v>
      </c>
      <c r="E54" s="1107" t="s">
        <v>2057</v>
      </c>
      <c r="F54" s="1107"/>
      <c r="G54" s="224">
        <v>4176.440580739185</v>
      </c>
      <c r="H54" s="224">
        <v>1762.5</v>
      </c>
      <c r="I54" s="224">
        <v>3.1680000000000001</v>
      </c>
      <c r="J54" s="224">
        <v>4.6207571249253801E-2</v>
      </c>
      <c r="K54" s="224">
        <v>3.3731579691021078E-2</v>
      </c>
      <c r="L54" s="224">
        <v>4.0817837443209035E-2</v>
      </c>
      <c r="M54" s="224">
        <v>0</v>
      </c>
      <c r="N54" s="224">
        <v>0</v>
      </c>
      <c r="O54" s="224">
        <v>0</v>
      </c>
      <c r="P54" s="224">
        <v>0</v>
      </c>
      <c r="Q54" s="224">
        <v>0</v>
      </c>
      <c r="R54" s="224">
        <v>0</v>
      </c>
      <c r="S54" s="224">
        <v>0</v>
      </c>
      <c r="T54" s="224">
        <v>0</v>
      </c>
      <c r="U54" s="224">
        <v>0</v>
      </c>
      <c r="V54" s="224">
        <v>161.15968530000001</v>
      </c>
      <c r="W54" s="224">
        <v>0</v>
      </c>
      <c r="X54" s="224">
        <v>4.3964347826086954</v>
      </c>
      <c r="Y54" s="224">
        <v>3.1680000000000001</v>
      </c>
      <c r="Z54" s="224">
        <v>0</v>
      </c>
      <c r="AA54" s="224">
        <v>9.2415142498507592</v>
      </c>
      <c r="AB54" s="224">
        <v>6.7463159382042157</v>
      </c>
      <c r="AC54" s="224">
        <v>8.1635674886418066</v>
      </c>
      <c r="AD54" s="1120">
        <v>29.642635265481175</v>
      </c>
      <c r="AE54" s="224">
        <v>15107.349068223997</v>
      </c>
      <c r="AF54" s="224">
        <v>0</v>
      </c>
      <c r="AG54" s="224">
        <v>144</v>
      </c>
      <c r="AH54" s="224">
        <v>5524.4270656613789</v>
      </c>
      <c r="AI54" s="224">
        <v>18600</v>
      </c>
      <c r="AJ54" s="224">
        <v>1463.2117487400001</v>
      </c>
      <c r="AK54" s="224">
        <v>6393.2965024452897</v>
      </c>
      <c r="AL54" s="224">
        <v>0</v>
      </c>
      <c r="AM54" s="224">
        <v>240</v>
      </c>
      <c r="AN54" s="1120">
        <v>47472.28438507067</v>
      </c>
      <c r="AO54" s="224">
        <f t="shared" si="0"/>
        <v>3.9057136225797993</v>
      </c>
      <c r="AP54" s="1123">
        <v>0.1</v>
      </c>
      <c r="AQ54" s="1123">
        <f t="shared" si="3"/>
        <v>6.3391806341729959E-2</v>
      </c>
      <c r="AR54" s="1123">
        <v>20</v>
      </c>
      <c r="AS54" s="1123">
        <f t="shared" si="4"/>
        <v>0.53703519370210206</v>
      </c>
      <c r="AT54" s="224">
        <f t="shared" si="2"/>
        <v>3009.3538583379309</v>
      </c>
    </row>
    <row r="55" spans="1:46">
      <c r="A55" s="1118">
        <v>2017</v>
      </c>
      <c r="B55" s="1119"/>
      <c r="C55" s="1119"/>
      <c r="D55" s="1107" t="s">
        <v>2003</v>
      </c>
      <c r="E55" s="1119" t="s">
        <v>2058</v>
      </c>
      <c r="F55" s="1119"/>
      <c r="G55" s="224">
        <v>3993.8355053458145</v>
      </c>
      <c r="H55" s="224">
        <v>1644.5</v>
      </c>
      <c r="I55" s="224">
        <v>0.21333565440000002</v>
      </c>
      <c r="J55" s="224">
        <v>6.4751080622256027E-2</v>
      </c>
      <c r="K55" s="224">
        <v>5.4092369722961803E-2</v>
      </c>
      <c r="L55" s="224">
        <v>6.6417858813371866E-2</v>
      </c>
      <c r="M55" s="224">
        <v>0</v>
      </c>
      <c r="N55" s="224">
        <v>0</v>
      </c>
      <c r="O55" s="224">
        <v>0</v>
      </c>
      <c r="P55" s="224">
        <v>0</v>
      </c>
      <c r="Q55" s="224">
        <v>0</v>
      </c>
      <c r="R55" s="224">
        <v>0</v>
      </c>
      <c r="S55" s="224">
        <v>0</v>
      </c>
      <c r="T55" s="224">
        <v>0</v>
      </c>
      <c r="U55" s="224">
        <v>0</v>
      </c>
      <c r="V55" s="224">
        <v>162.90557410000002</v>
      </c>
      <c r="W55" s="224">
        <v>4</v>
      </c>
      <c r="X55" s="224">
        <v>6</v>
      </c>
      <c r="Y55" s="224">
        <v>0.21333565440000002</v>
      </c>
      <c r="Z55" s="224">
        <v>0</v>
      </c>
      <c r="AA55" s="224">
        <v>12.950216124451204</v>
      </c>
      <c r="AB55" s="224">
        <v>10.818473944592359</v>
      </c>
      <c r="AC55" s="224">
        <v>13.283571762674374</v>
      </c>
      <c r="AD55" s="1120">
        <v>53.883584050093319</v>
      </c>
      <c r="AE55" s="224">
        <v>15143.902991442286</v>
      </c>
      <c r="AF55" s="224">
        <v>883.35</v>
      </c>
      <c r="AG55" s="224">
        <v>289.53193070239229</v>
      </c>
      <c r="AH55" s="224">
        <v>5573.2276677744831</v>
      </c>
      <c r="AI55" s="224">
        <v>18600</v>
      </c>
      <c r="AJ55" s="224">
        <v>0</v>
      </c>
      <c r="AK55" s="224">
        <v>745.98720000000003</v>
      </c>
      <c r="AL55" s="224">
        <v>0</v>
      </c>
      <c r="AM55" s="224">
        <v>436.00000000000006</v>
      </c>
      <c r="AN55" s="1120">
        <v>41671.999789919166</v>
      </c>
      <c r="AO55" s="224">
        <f t="shared" si="0"/>
        <v>7.0997010344402947</v>
      </c>
      <c r="AP55" s="1123">
        <v>0.1</v>
      </c>
      <c r="AQ55" s="1123">
        <f t="shared" si="3"/>
        <v>6.3391806341729959E-2</v>
      </c>
      <c r="AR55" s="1123">
        <v>20</v>
      </c>
      <c r="AS55" s="1123">
        <f t="shared" si="4"/>
        <v>0.97620811167902188</v>
      </c>
      <c r="AT55" s="224">
        <f t="shared" si="2"/>
        <v>2641.6633405551675</v>
      </c>
    </row>
    <row r="56" spans="1:46">
      <c r="A56" s="1121">
        <v>2020</v>
      </c>
      <c r="D56" s="1107" t="s">
        <v>2003</v>
      </c>
      <c r="E56" s="224" t="s">
        <v>2058</v>
      </c>
      <c r="G56" s="224" t="e">
        <v>#DIV/0!</v>
      </c>
      <c r="H56" s="224" t="e">
        <v>#DIV/0!</v>
      </c>
      <c r="I56" s="224" t="e">
        <v>#DIV/0!</v>
      </c>
      <c r="J56" s="224" t="e">
        <v>#DIV/0!</v>
      </c>
      <c r="K56" s="224" t="e">
        <v>#DIV/0!</v>
      </c>
      <c r="L56" s="224" t="e">
        <v>#DIV/0!</v>
      </c>
      <c r="M56" s="224" t="e">
        <v>#DIV/0!</v>
      </c>
      <c r="N56" s="224" t="e">
        <v>#DIV/0!</v>
      </c>
      <c r="O56" s="224" t="e">
        <v>#DIV/0!</v>
      </c>
      <c r="P56" s="224" t="e">
        <v>#DIV/0!</v>
      </c>
      <c r="Q56" s="224" t="e">
        <v>#DIV/0!</v>
      </c>
      <c r="R56" s="224" t="e">
        <v>#DIV/0!</v>
      </c>
      <c r="S56" s="224" t="e">
        <v>#DIV/0!</v>
      </c>
      <c r="T56" s="224" t="e">
        <v>#DIV/0!</v>
      </c>
      <c r="U56" s="224" t="e">
        <v>#DIV/0!</v>
      </c>
      <c r="V56" s="224" t="e">
        <v>#DIV/0!</v>
      </c>
      <c r="W56" s="224" t="e">
        <v>#DIV/0!</v>
      </c>
      <c r="X56" s="224" t="e">
        <v>#DIV/0!</v>
      </c>
      <c r="Y56" s="224" t="e">
        <v>#DIV/0!</v>
      </c>
      <c r="Z56" s="224" t="e">
        <v>#DIV/0!</v>
      </c>
      <c r="AA56" s="224" t="e">
        <v>#DIV/0!</v>
      </c>
      <c r="AB56" s="224" t="e">
        <v>#DIV/0!</v>
      </c>
      <c r="AC56" s="224" t="e">
        <v>#DIV/0!</v>
      </c>
      <c r="AD56" s="1120" t="e">
        <v>#DIV/0!</v>
      </c>
      <c r="AE56" s="224" t="e">
        <v>#DIV/0!</v>
      </c>
      <c r="AF56" s="224" t="e">
        <v>#DIV/0!</v>
      </c>
      <c r="AG56" s="224" t="e">
        <v>#DIV/0!</v>
      </c>
      <c r="AH56" s="224" t="e">
        <v>#DIV/0!</v>
      </c>
      <c r="AI56" s="224" t="e">
        <v>#DIV/0!</v>
      </c>
      <c r="AJ56" s="224" t="e">
        <v>#DIV/0!</v>
      </c>
      <c r="AK56" s="224" t="e">
        <v>#DIV/0!</v>
      </c>
      <c r="AL56" s="224" t="e">
        <v>#DIV/0!</v>
      </c>
      <c r="AM56" s="224" t="e">
        <v>#DIV/0!</v>
      </c>
      <c r="AN56" s="1120" t="e">
        <v>#DIV/0!</v>
      </c>
      <c r="AO56" s="224" t="e">
        <f t="shared" si="0"/>
        <v>#DIV/0!</v>
      </c>
      <c r="AP56" s="1123">
        <v>0.1</v>
      </c>
      <c r="AQ56" s="1123">
        <f t="shared" si="3"/>
        <v>6.3391806341729959E-2</v>
      </c>
      <c r="AR56" s="1123">
        <v>20</v>
      </c>
      <c r="AS56" s="1123" t="e">
        <f t="shared" si="4"/>
        <v>#DIV/0!</v>
      </c>
      <c r="AT56" s="224" t="e">
        <f t="shared" si="2"/>
        <v>#DIV/0!</v>
      </c>
    </row>
    <row r="57" spans="1:46">
      <c r="A57" s="1118">
        <v>2025</v>
      </c>
      <c r="D57" s="1107" t="s">
        <v>2003</v>
      </c>
      <c r="E57" s="224" t="s">
        <v>2058</v>
      </c>
      <c r="G57" s="224" t="e">
        <v>#DIV/0!</v>
      </c>
      <c r="H57" s="224" t="e">
        <v>#DIV/0!</v>
      </c>
      <c r="I57" s="224" t="e">
        <v>#DIV/0!</v>
      </c>
      <c r="J57" s="224" t="e">
        <v>#DIV/0!</v>
      </c>
      <c r="K57" s="224" t="e">
        <v>#DIV/0!</v>
      </c>
      <c r="L57" s="224" t="e">
        <v>#DIV/0!</v>
      </c>
      <c r="M57" s="224" t="e">
        <v>#DIV/0!</v>
      </c>
      <c r="N57" s="224" t="e">
        <v>#DIV/0!</v>
      </c>
      <c r="O57" s="224" t="e">
        <v>#DIV/0!</v>
      </c>
      <c r="P57" s="224" t="e">
        <v>#DIV/0!</v>
      </c>
      <c r="Q57" s="224" t="e">
        <v>#DIV/0!</v>
      </c>
      <c r="R57" s="224" t="e">
        <v>#DIV/0!</v>
      </c>
      <c r="S57" s="224" t="e">
        <v>#DIV/0!</v>
      </c>
      <c r="T57" s="224" t="e">
        <v>#DIV/0!</v>
      </c>
      <c r="U57" s="224" t="e">
        <v>#DIV/0!</v>
      </c>
      <c r="V57" s="224" t="e">
        <v>#DIV/0!</v>
      </c>
      <c r="W57" s="224" t="e">
        <v>#DIV/0!</v>
      </c>
      <c r="X57" s="224" t="e">
        <v>#DIV/0!</v>
      </c>
      <c r="Y57" s="224" t="e">
        <v>#DIV/0!</v>
      </c>
      <c r="Z57" s="224" t="e">
        <v>#DIV/0!</v>
      </c>
      <c r="AA57" s="224" t="e">
        <v>#DIV/0!</v>
      </c>
      <c r="AB57" s="224" t="e">
        <v>#DIV/0!</v>
      </c>
      <c r="AC57" s="224" t="e">
        <v>#DIV/0!</v>
      </c>
      <c r="AD57" s="1120" t="e">
        <v>#DIV/0!</v>
      </c>
      <c r="AE57" s="224" t="e">
        <v>#DIV/0!</v>
      </c>
      <c r="AF57" s="224" t="e">
        <v>#DIV/0!</v>
      </c>
      <c r="AG57" s="224" t="e">
        <v>#DIV/0!</v>
      </c>
      <c r="AH57" s="224" t="e">
        <v>#DIV/0!</v>
      </c>
      <c r="AI57" s="224" t="e">
        <v>#DIV/0!</v>
      </c>
      <c r="AJ57" s="224" t="e">
        <v>#DIV/0!</v>
      </c>
      <c r="AK57" s="224" t="e">
        <v>#DIV/0!</v>
      </c>
      <c r="AL57" s="224" t="e">
        <v>#DIV/0!</v>
      </c>
      <c r="AM57" s="224" t="e">
        <v>#DIV/0!</v>
      </c>
      <c r="AN57" s="1120" t="e">
        <v>#DIV/0!</v>
      </c>
      <c r="AO57" s="224" t="e">
        <f t="shared" si="0"/>
        <v>#DIV/0!</v>
      </c>
      <c r="AP57" s="1123">
        <v>0.1</v>
      </c>
      <c r="AQ57" s="1123">
        <f t="shared" si="3"/>
        <v>6.3391806341729959E-2</v>
      </c>
      <c r="AR57" s="1123">
        <v>20</v>
      </c>
      <c r="AS57" s="1123" t="e">
        <f t="shared" si="4"/>
        <v>#DIV/0!</v>
      </c>
      <c r="AT57" s="224" t="e">
        <f t="shared" si="2"/>
        <v>#DIV/0!</v>
      </c>
    </row>
    <row r="58" spans="1:46">
      <c r="A58" s="1118">
        <v>2030</v>
      </c>
      <c r="D58" s="1107" t="s">
        <v>2003</v>
      </c>
      <c r="E58" s="224" t="s">
        <v>2058</v>
      </c>
      <c r="G58" s="224" t="e">
        <v>#DIV/0!</v>
      </c>
      <c r="H58" s="224" t="e">
        <v>#DIV/0!</v>
      </c>
      <c r="I58" s="224" t="e">
        <v>#DIV/0!</v>
      </c>
      <c r="J58" s="224" t="e">
        <v>#DIV/0!</v>
      </c>
      <c r="K58" s="224" t="e">
        <v>#DIV/0!</v>
      </c>
      <c r="L58" s="224" t="e">
        <v>#DIV/0!</v>
      </c>
      <c r="M58" s="224" t="e">
        <v>#DIV/0!</v>
      </c>
      <c r="N58" s="224" t="e">
        <v>#DIV/0!</v>
      </c>
      <c r="O58" s="224" t="e">
        <v>#DIV/0!</v>
      </c>
      <c r="P58" s="224" t="e">
        <v>#DIV/0!</v>
      </c>
      <c r="Q58" s="224" t="e">
        <v>#DIV/0!</v>
      </c>
      <c r="R58" s="224" t="e">
        <v>#DIV/0!</v>
      </c>
      <c r="S58" s="224" t="e">
        <v>#DIV/0!</v>
      </c>
      <c r="T58" s="224" t="e">
        <v>#DIV/0!</v>
      </c>
      <c r="U58" s="224" t="e">
        <v>#DIV/0!</v>
      </c>
      <c r="V58" s="224" t="e">
        <v>#DIV/0!</v>
      </c>
      <c r="W58" s="224" t="e">
        <v>#DIV/0!</v>
      </c>
      <c r="X58" s="224" t="e">
        <v>#DIV/0!</v>
      </c>
      <c r="Y58" s="224" t="e">
        <v>#DIV/0!</v>
      </c>
      <c r="Z58" s="224" t="e">
        <v>#DIV/0!</v>
      </c>
      <c r="AA58" s="224" t="e">
        <v>#DIV/0!</v>
      </c>
      <c r="AB58" s="224" t="e">
        <v>#DIV/0!</v>
      </c>
      <c r="AC58" s="224" t="e">
        <v>#DIV/0!</v>
      </c>
      <c r="AD58" s="1120" t="e">
        <v>#DIV/0!</v>
      </c>
      <c r="AE58" s="224" t="e">
        <v>#DIV/0!</v>
      </c>
      <c r="AF58" s="224" t="e">
        <v>#DIV/0!</v>
      </c>
      <c r="AG58" s="224" t="e">
        <v>#DIV/0!</v>
      </c>
      <c r="AH58" s="224" t="e">
        <v>#DIV/0!</v>
      </c>
      <c r="AI58" s="224" t="e">
        <v>#DIV/0!</v>
      </c>
      <c r="AJ58" s="224" t="e">
        <v>#DIV/0!</v>
      </c>
      <c r="AK58" s="224" t="e">
        <v>#DIV/0!</v>
      </c>
      <c r="AL58" s="224" t="e">
        <v>#DIV/0!</v>
      </c>
      <c r="AM58" s="224" t="e">
        <v>#DIV/0!</v>
      </c>
      <c r="AN58" s="1120" t="e">
        <v>#DIV/0!</v>
      </c>
      <c r="AO58" s="224" t="e">
        <f t="shared" si="0"/>
        <v>#DIV/0!</v>
      </c>
      <c r="AP58" s="1123">
        <v>0.1</v>
      </c>
      <c r="AQ58" s="1123">
        <f t="shared" si="3"/>
        <v>6.3391806341729959E-2</v>
      </c>
      <c r="AR58" s="1123">
        <v>20</v>
      </c>
      <c r="AS58" s="1123" t="e">
        <f t="shared" si="4"/>
        <v>#DIV/0!</v>
      </c>
      <c r="AT58" s="224" t="e">
        <f t="shared" si="2"/>
        <v>#DIV/0!</v>
      </c>
    </row>
    <row r="59" spans="1:46">
      <c r="A59" s="1118">
        <v>2035</v>
      </c>
      <c r="D59" s="1107" t="s">
        <v>2003</v>
      </c>
      <c r="E59" s="224" t="s">
        <v>2058</v>
      </c>
      <c r="G59" s="224" t="e">
        <v>#DIV/0!</v>
      </c>
      <c r="H59" s="224" t="e">
        <v>#DIV/0!</v>
      </c>
      <c r="I59" s="224" t="e">
        <v>#DIV/0!</v>
      </c>
      <c r="J59" s="224" t="e">
        <v>#DIV/0!</v>
      </c>
      <c r="K59" s="224" t="e">
        <v>#DIV/0!</v>
      </c>
      <c r="L59" s="224" t="e">
        <v>#DIV/0!</v>
      </c>
      <c r="M59" s="224" t="e">
        <v>#DIV/0!</v>
      </c>
      <c r="N59" s="224" t="e">
        <v>#DIV/0!</v>
      </c>
      <c r="O59" s="224" t="e">
        <v>#DIV/0!</v>
      </c>
      <c r="P59" s="224" t="e">
        <v>#DIV/0!</v>
      </c>
      <c r="Q59" s="224" t="e">
        <v>#DIV/0!</v>
      </c>
      <c r="R59" s="224" t="e">
        <v>#DIV/0!</v>
      </c>
      <c r="S59" s="224" t="e">
        <v>#DIV/0!</v>
      </c>
      <c r="T59" s="224" t="e">
        <v>#DIV/0!</v>
      </c>
      <c r="U59" s="224" t="e">
        <v>#DIV/0!</v>
      </c>
      <c r="V59" s="224" t="e">
        <v>#DIV/0!</v>
      </c>
      <c r="W59" s="224" t="e">
        <v>#DIV/0!</v>
      </c>
      <c r="X59" s="224" t="e">
        <v>#DIV/0!</v>
      </c>
      <c r="Y59" s="224" t="e">
        <v>#DIV/0!</v>
      </c>
      <c r="Z59" s="224" t="e">
        <v>#DIV/0!</v>
      </c>
      <c r="AA59" s="224" t="e">
        <v>#DIV/0!</v>
      </c>
      <c r="AB59" s="224" t="e">
        <v>#DIV/0!</v>
      </c>
      <c r="AC59" s="224" t="e">
        <v>#DIV/0!</v>
      </c>
      <c r="AD59" s="1120" t="e">
        <v>#DIV/0!</v>
      </c>
      <c r="AE59" s="224" t="e">
        <v>#DIV/0!</v>
      </c>
      <c r="AF59" s="224" t="e">
        <v>#DIV/0!</v>
      </c>
      <c r="AG59" s="224" t="e">
        <v>#DIV/0!</v>
      </c>
      <c r="AH59" s="224" t="e">
        <v>#DIV/0!</v>
      </c>
      <c r="AI59" s="224" t="e">
        <v>#DIV/0!</v>
      </c>
      <c r="AJ59" s="224" t="e">
        <v>#DIV/0!</v>
      </c>
      <c r="AK59" s="224" t="e">
        <v>#DIV/0!</v>
      </c>
      <c r="AL59" s="224" t="e">
        <v>#DIV/0!</v>
      </c>
      <c r="AM59" s="224" t="e">
        <v>#DIV/0!</v>
      </c>
      <c r="AN59" s="1120" t="e">
        <v>#DIV/0!</v>
      </c>
      <c r="AO59" s="224" t="e">
        <f t="shared" si="0"/>
        <v>#DIV/0!</v>
      </c>
      <c r="AP59" s="1123">
        <v>0.1</v>
      </c>
      <c r="AQ59" s="1123">
        <f t="shared" si="3"/>
        <v>6.3391806341729959E-2</v>
      </c>
      <c r="AR59" s="1123">
        <v>20</v>
      </c>
      <c r="AS59" s="1123" t="e">
        <f t="shared" si="4"/>
        <v>#DIV/0!</v>
      </c>
      <c r="AT59" s="224" t="e">
        <f t="shared" si="2"/>
        <v>#DIV/0!</v>
      </c>
    </row>
    <row r="60" spans="1:46">
      <c r="A60" s="1118">
        <v>2050</v>
      </c>
      <c r="D60" s="1107" t="s">
        <v>2003</v>
      </c>
      <c r="E60" s="224" t="s">
        <v>2058</v>
      </c>
      <c r="G60" s="224" t="e">
        <v>#DIV/0!</v>
      </c>
      <c r="H60" s="224" t="e">
        <v>#DIV/0!</v>
      </c>
      <c r="I60" s="224" t="e">
        <v>#DIV/0!</v>
      </c>
      <c r="J60" s="224" t="e">
        <v>#DIV/0!</v>
      </c>
      <c r="K60" s="224" t="e">
        <v>#DIV/0!</v>
      </c>
      <c r="L60" s="224" t="e">
        <v>#DIV/0!</v>
      </c>
      <c r="M60" s="224" t="e">
        <v>#DIV/0!</v>
      </c>
      <c r="N60" s="224" t="e">
        <v>#DIV/0!</v>
      </c>
      <c r="O60" s="224" t="e">
        <v>#DIV/0!</v>
      </c>
      <c r="P60" s="224" t="e">
        <v>#DIV/0!</v>
      </c>
      <c r="Q60" s="224" t="e">
        <v>#DIV/0!</v>
      </c>
      <c r="R60" s="224" t="e">
        <v>#DIV/0!</v>
      </c>
      <c r="S60" s="224" t="e">
        <v>#DIV/0!</v>
      </c>
      <c r="T60" s="224" t="e">
        <v>#DIV/0!</v>
      </c>
      <c r="U60" s="224" t="e">
        <v>#DIV/0!</v>
      </c>
      <c r="V60" s="224" t="e">
        <v>#DIV/0!</v>
      </c>
      <c r="W60" s="224" t="e">
        <v>#DIV/0!</v>
      </c>
      <c r="X60" s="224" t="e">
        <v>#DIV/0!</v>
      </c>
      <c r="Y60" s="224" t="e">
        <v>#DIV/0!</v>
      </c>
      <c r="Z60" s="224" t="e">
        <v>#DIV/0!</v>
      </c>
      <c r="AA60" s="224" t="e">
        <v>#DIV/0!</v>
      </c>
      <c r="AB60" s="224" t="e">
        <v>#DIV/0!</v>
      </c>
      <c r="AC60" s="224" t="e">
        <v>#DIV/0!</v>
      </c>
      <c r="AD60" s="1120" t="e">
        <v>#DIV/0!</v>
      </c>
      <c r="AE60" s="224" t="e">
        <v>#DIV/0!</v>
      </c>
      <c r="AF60" s="224" t="e">
        <v>#DIV/0!</v>
      </c>
      <c r="AG60" s="224" t="e">
        <v>#DIV/0!</v>
      </c>
      <c r="AH60" s="224" t="e">
        <v>#DIV/0!</v>
      </c>
      <c r="AI60" s="224" t="e">
        <v>#DIV/0!</v>
      </c>
      <c r="AJ60" s="224" t="e">
        <v>#DIV/0!</v>
      </c>
      <c r="AK60" s="224" t="e">
        <v>#DIV/0!</v>
      </c>
      <c r="AL60" s="224" t="e">
        <v>#DIV/0!</v>
      </c>
      <c r="AM60" s="224" t="e">
        <v>#DIV/0!</v>
      </c>
      <c r="AN60" s="1120" t="e">
        <v>#DIV/0!</v>
      </c>
      <c r="AO60" s="224" t="e">
        <f t="shared" si="0"/>
        <v>#DIV/0!</v>
      </c>
      <c r="AP60" s="1123">
        <v>0.1</v>
      </c>
      <c r="AQ60" s="1123">
        <f t="shared" si="3"/>
        <v>6.3391806341729959E-2</v>
      </c>
      <c r="AR60" s="1123">
        <v>20</v>
      </c>
      <c r="AS60" s="1123" t="e">
        <f t="shared" si="4"/>
        <v>#DIV/0!</v>
      </c>
      <c r="AT60" s="224" t="e">
        <f t="shared" si="2"/>
        <v>#DIV/0!</v>
      </c>
    </row>
    <row r="61" spans="1:46">
      <c r="A61" s="1118">
        <v>2017</v>
      </c>
      <c r="D61" s="1107" t="s">
        <v>2003</v>
      </c>
      <c r="E61" s="224" t="s">
        <v>2059</v>
      </c>
      <c r="G61" s="224">
        <v>4099.1554302979039</v>
      </c>
      <c r="H61" s="224">
        <v>1644.5</v>
      </c>
      <c r="I61" s="224">
        <v>2.5027200000000001</v>
      </c>
      <c r="J61" s="224">
        <v>5.0344994435630008E-2</v>
      </c>
      <c r="K61" s="224">
        <v>5.2836574396871311E-2</v>
      </c>
      <c r="L61" s="224">
        <v>6.5596132222139614E-2</v>
      </c>
      <c r="M61" s="224">
        <v>0</v>
      </c>
      <c r="N61" s="224">
        <v>0</v>
      </c>
      <c r="O61" s="224">
        <v>0</v>
      </c>
      <c r="P61" s="224">
        <v>0</v>
      </c>
      <c r="Q61" s="224">
        <v>0</v>
      </c>
      <c r="R61" s="224">
        <v>0</v>
      </c>
      <c r="S61" s="224">
        <v>0</v>
      </c>
      <c r="T61" s="224">
        <v>0</v>
      </c>
      <c r="U61" s="224">
        <v>0</v>
      </c>
      <c r="V61" s="224">
        <v>129.05817984999999</v>
      </c>
      <c r="W61" s="224">
        <v>59.969975349999999</v>
      </c>
      <c r="X61" s="224">
        <v>77.903827751196161</v>
      </c>
      <c r="Y61" s="224">
        <v>2.5027200000000001</v>
      </c>
      <c r="Z61" s="224">
        <v>0</v>
      </c>
      <c r="AA61" s="224">
        <v>10.068998887126</v>
      </c>
      <c r="AB61" s="224">
        <v>10.567314879374262</v>
      </c>
      <c r="AC61" s="224">
        <v>13.119226444427923</v>
      </c>
      <c r="AD61" s="1120">
        <v>47.775085810073321</v>
      </c>
      <c r="AE61" s="224">
        <v>12122.235262687998</v>
      </c>
      <c r="AF61" s="224">
        <v>3284.4619425149999</v>
      </c>
      <c r="AG61" s="224">
        <v>3396.6068899521529</v>
      </c>
      <c r="AH61" s="224">
        <v>5623.8914427038753</v>
      </c>
      <c r="AI61" s="224">
        <v>18600</v>
      </c>
      <c r="AJ61" s="224">
        <v>0</v>
      </c>
      <c r="AK61" s="224">
        <v>745.98720000000003</v>
      </c>
      <c r="AL61" s="224">
        <v>0</v>
      </c>
      <c r="AM61" s="224">
        <v>436.00000000000006</v>
      </c>
      <c r="AN61" s="1120">
        <v>44209.182737859024</v>
      </c>
      <c r="AO61" s="224">
        <f t="shared" si="0"/>
        <v>6.2948453063352598</v>
      </c>
      <c r="AP61" s="1123">
        <v>0.1</v>
      </c>
      <c r="AQ61" s="1123">
        <f t="shared" si="3"/>
        <v>6.3391806341729959E-2</v>
      </c>
      <c r="AR61" s="1123">
        <v>20</v>
      </c>
      <c r="AS61" s="1123">
        <f t="shared" si="4"/>
        <v>0.86554053755216265</v>
      </c>
      <c r="AT61" s="224">
        <f t="shared" si="2"/>
        <v>2802.4999506445101</v>
      </c>
    </row>
    <row r="62" spans="1:46">
      <c r="A62" s="1121">
        <v>2020</v>
      </c>
      <c r="D62" s="1107" t="s">
        <v>2003</v>
      </c>
      <c r="E62" s="224" t="s">
        <v>2059</v>
      </c>
      <c r="G62" s="224" t="e">
        <v>#DIV/0!</v>
      </c>
      <c r="H62" s="224" t="e">
        <v>#DIV/0!</v>
      </c>
      <c r="I62" s="224" t="e">
        <v>#DIV/0!</v>
      </c>
      <c r="J62" s="224" t="e">
        <v>#DIV/0!</v>
      </c>
      <c r="K62" s="224" t="e">
        <v>#DIV/0!</v>
      </c>
      <c r="L62" s="224" t="e">
        <v>#DIV/0!</v>
      </c>
      <c r="M62" s="224" t="e">
        <v>#DIV/0!</v>
      </c>
      <c r="N62" s="224" t="e">
        <v>#DIV/0!</v>
      </c>
      <c r="O62" s="224" t="e">
        <v>#DIV/0!</v>
      </c>
      <c r="P62" s="224" t="e">
        <v>#DIV/0!</v>
      </c>
      <c r="Q62" s="224" t="e">
        <v>#DIV/0!</v>
      </c>
      <c r="R62" s="224" t="e">
        <v>#DIV/0!</v>
      </c>
      <c r="S62" s="224" t="e">
        <v>#DIV/0!</v>
      </c>
      <c r="T62" s="224" t="e">
        <v>#DIV/0!</v>
      </c>
      <c r="U62" s="224" t="e">
        <v>#DIV/0!</v>
      </c>
      <c r="V62" s="224" t="e">
        <v>#DIV/0!</v>
      </c>
      <c r="W62" s="224" t="e">
        <v>#DIV/0!</v>
      </c>
      <c r="X62" s="224" t="e">
        <v>#DIV/0!</v>
      </c>
      <c r="Y62" s="224" t="e">
        <v>#DIV/0!</v>
      </c>
      <c r="Z62" s="224" t="e">
        <v>#DIV/0!</v>
      </c>
      <c r="AA62" s="224" t="e">
        <v>#DIV/0!</v>
      </c>
      <c r="AB62" s="224" t="e">
        <v>#DIV/0!</v>
      </c>
      <c r="AC62" s="224" t="e">
        <v>#DIV/0!</v>
      </c>
      <c r="AD62" s="1120" t="e">
        <v>#DIV/0!</v>
      </c>
      <c r="AE62" s="224" t="e">
        <v>#DIV/0!</v>
      </c>
      <c r="AF62" s="224" t="e">
        <v>#DIV/0!</v>
      </c>
      <c r="AG62" s="224" t="e">
        <v>#DIV/0!</v>
      </c>
      <c r="AH62" s="224" t="e">
        <v>#DIV/0!</v>
      </c>
      <c r="AI62" s="224" t="e">
        <v>#DIV/0!</v>
      </c>
      <c r="AJ62" s="224" t="e">
        <v>#DIV/0!</v>
      </c>
      <c r="AK62" s="224" t="e">
        <v>#DIV/0!</v>
      </c>
      <c r="AL62" s="224" t="e">
        <v>#DIV/0!</v>
      </c>
      <c r="AM62" s="224" t="e">
        <v>#DIV/0!</v>
      </c>
      <c r="AN62" s="1120" t="e">
        <v>#DIV/0!</v>
      </c>
      <c r="AO62" s="224" t="e">
        <f t="shared" si="0"/>
        <v>#DIV/0!</v>
      </c>
      <c r="AP62" s="1123">
        <v>0.1</v>
      </c>
      <c r="AQ62" s="1123">
        <f t="shared" si="3"/>
        <v>6.3391806341729959E-2</v>
      </c>
      <c r="AR62" s="1123">
        <v>20</v>
      </c>
      <c r="AS62" s="1123" t="e">
        <f t="shared" si="4"/>
        <v>#DIV/0!</v>
      </c>
      <c r="AT62" s="224" t="e">
        <f t="shared" si="2"/>
        <v>#DIV/0!</v>
      </c>
    </row>
    <row r="63" spans="1:46">
      <c r="A63" s="1118">
        <v>2025</v>
      </c>
      <c r="D63" s="1107" t="s">
        <v>2003</v>
      </c>
      <c r="E63" s="224" t="s">
        <v>2059</v>
      </c>
      <c r="G63" s="224" t="e">
        <v>#DIV/0!</v>
      </c>
      <c r="H63" s="224" t="e">
        <v>#DIV/0!</v>
      </c>
      <c r="I63" s="224" t="e">
        <v>#DIV/0!</v>
      </c>
      <c r="J63" s="224" t="e">
        <v>#DIV/0!</v>
      </c>
      <c r="K63" s="224" t="e">
        <v>#DIV/0!</v>
      </c>
      <c r="L63" s="224" t="e">
        <v>#DIV/0!</v>
      </c>
      <c r="M63" s="224" t="e">
        <v>#DIV/0!</v>
      </c>
      <c r="N63" s="224" t="e">
        <v>#DIV/0!</v>
      </c>
      <c r="O63" s="224" t="e">
        <v>#DIV/0!</v>
      </c>
      <c r="P63" s="224" t="e">
        <v>#DIV/0!</v>
      </c>
      <c r="Q63" s="224" t="e">
        <v>#DIV/0!</v>
      </c>
      <c r="R63" s="224" t="e">
        <v>#DIV/0!</v>
      </c>
      <c r="S63" s="224" t="e">
        <v>#DIV/0!</v>
      </c>
      <c r="T63" s="224" t="e">
        <v>#DIV/0!</v>
      </c>
      <c r="U63" s="224" t="e">
        <v>#DIV/0!</v>
      </c>
      <c r="V63" s="224" t="e">
        <v>#DIV/0!</v>
      </c>
      <c r="W63" s="224" t="e">
        <v>#DIV/0!</v>
      </c>
      <c r="X63" s="224" t="e">
        <v>#DIV/0!</v>
      </c>
      <c r="Y63" s="224" t="e">
        <v>#DIV/0!</v>
      </c>
      <c r="Z63" s="224" t="e">
        <v>#DIV/0!</v>
      </c>
      <c r="AA63" s="224" t="e">
        <v>#DIV/0!</v>
      </c>
      <c r="AB63" s="224" t="e">
        <v>#DIV/0!</v>
      </c>
      <c r="AC63" s="224" t="e">
        <v>#DIV/0!</v>
      </c>
      <c r="AD63" s="1120" t="e">
        <v>#DIV/0!</v>
      </c>
      <c r="AE63" s="224" t="e">
        <v>#DIV/0!</v>
      </c>
      <c r="AF63" s="224" t="e">
        <v>#DIV/0!</v>
      </c>
      <c r="AG63" s="224" t="e">
        <v>#DIV/0!</v>
      </c>
      <c r="AH63" s="224" t="e">
        <v>#DIV/0!</v>
      </c>
      <c r="AI63" s="224" t="e">
        <v>#DIV/0!</v>
      </c>
      <c r="AJ63" s="224" t="e">
        <v>#DIV/0!</v>
      </c>
      <c r="AK63" s="224" t="e">
        <v>#DIV/0!</v>
      </c>
      <c r="AL63" s="224" t="e">
        <v>#DIV/0!</v>
      </c>
      <c r="AM63" s="224" t="e">
        <v>#DIV/0!</v>
      </c>
      <c r="AN63" s="1120" t="e">
        <v>#DIV/0!</v>
      </c>
      <c r="AO63" s="224" t="e">
        <f t="shared" si="0"/>
        <v>#DIV/0!</v>
      </c>
      <c r="AP63" s="1123">
        <v>0.1</v>
      </c>
      <c r="AQ63" s="1123">
        <f t="shared" si="3"/>
        <v>6.3391806341729959E-2</v>
      </c>
      <c r="AR63" s="1123">
        <v>20</v>
      </c>
      <c r="AS63" s="1123" t="e">
        <f t="shared" si="4"/>
        <v>#DIV/0!</v>
      </c>
      <c r="AT63" s="224" t="e">
        <f t="shared" si="2"/>
        <v>#DIV/0!</v>
      </c>
    </row>
    <row r="64" spans="1:46">
      <c r="A64" s="1118">
        <v>2030</v>
      </c>
      <c r="D64" s="1107" t="s">
        <v>2003</v>
      </c>
      <c r="E64" s="224" t="s">
        <v>2059</v>
      </c>
      <c r="G64" s="224" t="e">
        <v>#DIV/0!</v>
      </c>
      <c r="H64" s="224" t="e">
        <v>#DIV/0!</v>
      </c>
      <c r="I64" s="224" t="e">
        <v>#DIV/0!</v>
      </c>
      <c r="J64" s="224" t="e">
        <v>#DIV/0!</v>
      </c>
      <c r="K64" s="224" t="e">
        <v>#DIV/0!</v>
      </c>
      <c r="L64" s="224" t="e">
        <v>#DIV/0!</v>
      </c>
      <c r="M64" s="224" t="e">
        <v>#DIV/0!</v>
      </c>
      <c r="N64" s="224" t="e">
        <v>#DIV/0!</v>
      </c>
      <c r="O64" s="224" t="e">
        <v>#DIV/0!</v>
      </c>
      <c r="P64" s="224" t="e">
        <v>#DIV/0!</v>
      </c>
      <c r="Q64" s="224" t="e">
        <v>#DIV/0!</v>
      </c>
      <c r="R64" s="224" t="e">
        <v>#DIV/0!</v>
      </c>
      <c r="S64" s="224" t="e">
        <v>#DIV/0!</v>
      </c>
      <c r="T64" s="224" t="e">
        <v>#DIV/0!</v>
      </c>
      <c r="U64" s="224" t="e">
        <v>#DIV/0!</v>
      </c>
      <c r="V64" s="224" t="e">
        <v>#DIV/0!</v>
      </c>
      <c r="W64" s="224" t="e">
        <v>#DIV/0!</v>
      </c>
      <c r="X64" s="224" t="e">
        <v>#DIV/0!</v>
      </c>
      <c r="Y64" s="224" t="e">
        <v>#DIV/0!</v>
      </c>
      <c r="Z64" s="224" t="e">
        <v>#DIV/0!</v>
      </c>
      <c r="AA64" s="224" t="e">
        <v>#DIV/0!</v>
      </c>
      <c r="AB64" s="224" t="e">
        <v>#DIV/0!</v>
      </c>
      <c r="AC64" s="224" t="e">
        <v>#DIV/0!</v>
      </c>
      <c r="AD64" s="1120" t="e">
        <v>#DIV/0!</v>
      </c>
      <c r="AE64" s="224" t="e">
        <v>#DIV/0!</v>
      </c>
      <c r="AF64" s="224" t="e">
        <v>#DIV/0!</v>
      </c>
      <c r="AG64" s="224" t="e">
        <v>#DIV/0!</v>
      </c>
      <c r="AH64" s="224" t="e">
        <v>#DIV/0!</v>
      </c>
      <c r="AI64" s="224" t="e">
        <v>#DIV/0!</v>
      </c>
      <c r="AJ64" s="224" t="e">
        <v>#DIV/0!</v>
      </c>
      <c r="AK64" s="224" t="e">
        <v>#DIV/0!</v>
      </c>
      <c r="AL64" s="224" t="e">
        <v>#DIV/0!</v>
      </c>
      <c r="AM64" s="224" t="e">
        <v>#DIV/0!</v>
      </c>
      <c r="AN64" s="1120" t="e">
        <v>#DIV/0!</v>
      </c>
      <c r="AO64" s="224" t="e">
        <f t="shared" si="0"/>
        <v>#DIV/0!</v>
      </c>
      <c r="AP64" s="1123">
        <v>0.1</v>
      </c>
      <c r="AQ64" s="1123">
        <f t="shared" si="3"/>
        <v>6.3391806341729959E-2</v>
      </c>
      <c r="AR64" s="1123">
        <v>20</v>
      </c>
      <c r="AS64" s="1123" t="e">
        <f t="shared" si="4"/>
        <v>#DIV/0!</v>
      </c>
      <c r="AT64" s="224" t="e">
        <f t="shared" si="2"/>
        <v>#DIV/0!</v>
      </c>
    </row>
    <row r="65" spans="1:46">
      <c r="A65" s="1118">
        <v>2035</v>
      </c>
      <c r="D65" s="1107" t="s">
        <v>2003</v>
      </c>
      <c r="E65" s="224" t="s">
        <v>2059</v>
      </c>
      <c r="G65" s="224" t="e">
        <v>#DIV/0!</v>
      </c>
      <c r="H65" s="224" t="e">
        <v>#DIV/0!</v>
      </c>
      <c r="I65" s="224" t="e">
        <v>#DIV/0!</v>
      </c>
      <c r="J65" s="224" t="e">
        <v>#DIV/0!</v>
      </c>
      <c r="K65" s="224" t="e">
        <v>#DIV/0!</v>
      </c>
      <c r="L65" s="224" t="e">
        <v>#DIV/0!</v>
      </c>
      <c r="M65" s="224" t="e">
        <v>#DIV/0!</v>
      </c>
      <c r="N65" s="224" t="e">
        <v>#DIV/0!</v>
      </c>
      <c r="O65" s="224" t="e">
        <v>#DIV/0!</v>
      </c>
      <c r="P65" s="224" t="e">
        <v>#DIV/0!</v>
      </c>
      <c r="Q65" s="224" t="e">
        <v>#DIV/0!</v>
      </c>
      <c r="R65" s="224" t="e">
        <v>#DIV/0!</v>
      </c>
      <c r="S65" s="224" t="e">
        <v>#DIV/0!</v>
      </c>
      <c r="T65" s="224" t="e">
        <v>#DIV/0!</v>
      </c>
      <c r="U65" s="224" t="e">
        <v>#DIV/0!</v>
      </c>
      <c r="V65" s="224" t="e">
        <v>#DIV/0!</v>
      </c>
      <c r="W65" s="224" t="e">
        <v>#DIV/0!</v>
      </c>
      <c r="X65" s="224" t="e">
        <v>#DIV/0!</v>
      </c>
      <c r="Y65" s="224" t="e">
        <v>#DIV/0!</v>
      </c>
      <c r="Z65" s="224" t="e">
        <v>#DIV/0!</v>
      </c>
      <c r="AA65" s="224" t="e">
        <v>#DIV/0!</v>
      </c>
      <c r="AB65" s="224" t="e">
        <v>#DIV/0!</v>
      </c>
      <c r="AC65" s="224" t="e">
        <v>#DIV/0!</v>
      </c>
      <c r="AD65" s="1120" t="e">
        <v>#DIV/0!</v>
      </c>
      <c r="AE65" s="224" t="e">
        <v>#DIV/0!</v>
      </c>
      <c r="AF65" s="224" t="e">
        <v>#DIV/0!</v>
      </c>
      <c r="AG65" s="224" t="e">
        <v>#DIV/0!</v>
      </c>
      <c r="AH65" s="224" t="e">
        <v>#DIV/0!</v>
      </c>
      <c r="AI65" s="224" t="e">
        <v>#DIV/0!</v>
      </c>
      <c r="AJ65" s="224" t="e">
        <v>#DIV/0!</v>
      </c>
      <c r="AK65" s="224" t="e">
        <v>#DIV/0!</v>
      </c>
      <c r="AL65" s="224" t="e">
        <v>#DIV/0!</v>
      </c>
      <c r="AM65" s="224" t="e">
        <v>#DIV/0!</v>
      </c>
      <c r="AN65" s="1120" t="e">
        <v>#DIV/0!</v>
      </c>
      <c r="AO65" s="224" t="e">
        <f t="shared" si="0"/>
        <v>#DIV/0!</v>
      </c>
      <c r="AP65" s="1123">
        <v>0.1</v>
      </c>
      <c r="AQ65" s="1123">
        <f t="shared" si="3"/>
        <v>6.3391806341729959E-2</v>
      </c>
      <c r="AR65" s="1123">
        <v>20</v>
      </c>
      <c r="AS65" s="1123" t="e">
        <f t="shared" si="4"/>
        <v>#DIV/0!</v>
      </c>
      <c r="AT65" s="224" t="e">
        <f t="shared" si="2"/>
        <v>#DIV/0!</v>
      </c>
    </row>
    <row r="66" spans="1:46">
      <c r="A66" s="1118">
        <v>2050</v>
      </c>
      <c r="D66" s="1107" t="s">
        <v>2003</v>
      </c>
      <c r="E66" s="224" t="s">
        <v>2059</v>
      </c>
      <c r="G66" s="224" t="e">
        <v>#DIV/0!</v>
      </c>
      <c r="H66" s="224" t="e">
        <v>#DIV/0!</v>
      </c>
      <c r="I66" s="224" t="e">
        <v>#DIV/0!</v>
      </c>
      <c r="J66" s="224" t="e">
        <v>#DIV/0!</v>
      </c>
      <c r="K66" s="224" t="e">
        <v>#DIV/0!</v>
      </c>
      <c r="L66" s="224" t="e">
        <v>#DIV/0!</v>
      </c>
      <c r="M66" s="224" t="e">
        <v>#DIV/0!</v>
      </c>
      <c r="N66" s="224" t="e">
        <v>#DIV/0!</v>
      </c>
      <c r="O66" s="224" t="e">
        <v>#DIV/0!</v>
      </c>
      <c r="P66" s="224" t="e">
        <v>#DIV/0!</v>
      </c>
      <c r="Q66" s="224" t="e">
        <v>#DIV/0!</v>
      </c>
      <c r="R66" s="224" t="e">
        <v>#DIV/0!</v>
      </c>
      <c r="S66" s="224" t="e">
        <v>#DIV/0!</v>
      </c>
      <c r="T66" s="224" t="e">
        <v>#DIV/0!</v>
      </c>
      <c r="U66" s="224" t="e">
        <v>#DIV/0!</v>
      </c>
      <c r="V66" s="224" t="e">
        <v>#DIV/0!</v>
      </c>
      <c r="W66" s="224" t="e">
        <v>#DIV/0!</v>
      </c>
      <c r="X66" s="224" t="e">
        <v>#DIV/0!</v>
      </c>
      <c r="Y66" s="224" t="e">
        <v>#DIV/0!</v>
      </c>
      <c r="Z66" s="224" t="e">
        <v>#DIV/0!</v>
      </c>
      <c r="AA66" s="224" t="e">
        <v>#DIV/0!</v>
      </c>
      <c r="AB66" s="224" t="e">
        <v>#DIV/0!</v>
      </c>
      <c r="AC66" s="224" t="e">
        <v>#DIV/0!</v>
      </c>
      <c r="AD66" s="1120" t="e">
        <v>#DIV/0!</v>
      </c>
      <c r="AE66" s="224" t="e">
        <v>#DIV/0!</v>
      </c>
      <c r="AF66" s="224" t="e">
        <v>#DIV/0!</v>
      </c>
      <c r="AG66" s="224" t="e">
        <v>#DIV/0!</v>
      </c>
      <c r="AH66" s="224" t="e">
        <v>#DIV/0!</v>
      </c>
      <c r="AI66" s="224" t="e">
        <v>#DIV/0!</v>
      </c>
      <c r="AJ66" s="224" t="e">
        <v>#DIV/0!</v>
      </c>
      <c r="AK66" s="224" t="e">
        <v>#DIV/0!</v>
      </c>
      <c r="AL66" s="224" t="e">
        <v>#DIV/0!</v>
      </c>
      <c r="AM66" s="224" t="e">
        <v>#DIV/0!</v>
      </c>
      <c r="AN66" s="1120" t="e">
        <v>#DIV/0!</v>
      </c>
      <c r="AO66" s="224" t="e">
        <f t="shared" si="0"/>
        <v>#DIV/0!</v>
      </c>
      <c r="AP66" s="1123">
        <v>0.1</v>
      </c>
      <c r="AQ66" s="1123">
        <f t="shared" si="3"/>
        <v>6.3391806341729959E-2</v>
      </c>
      <c r="AR66" s="1123">
        <v>20</v>
      </c>
      <c r="AS66" s="1123" t="e">
        <f t="shared" si="4"/>
        <v>#DIV/0!</v>
      </c>
      <c r="AT66" s="224" t="e">
        <f t="shared" si="2"/>
        <v>#DIV/0!</v>
      </c>
    </row>
    <row r="67" spans="1:46">
      <c r="A67" s="1118">
        <v>2017</v>
      </c>
      <c r="D67" s="1107" t="s">
        <v>2003</v>
      </c>
      <c r="E67" s="224" t="s">
        <v>2060</v>
      </c>
      <c r="G67" s="224">
        <v>5089.9452426137404</v>
      </c>
      <c r="H67" s="224">
        <v>1644.5</v>
      </c>
      <c r="I67" s="224">
        <v>138.95793750000001</v>
      </c>
      <c r="J67" s="224">
        <v>5.0582418140320697E-2</v>
      </c>
      <c r="K67" s="224">
        <v>7.0158716260260073E-2</v>
      </c>
      <c r="L67" s="224">
        <v>8.7861968948538954E-2</v>
      </c>
      <c r="M67" s="224">
        <v>1.5459713726655805E-2</v>
      </c>
      <c r="N67" s="224">
        <v>2.2274093076443929E-2</v>
      </c>
      <c r="O67" s="224">
        <v>2.7943211698448909E-2</v>
      </c>
      <c r="P67" s="224">
        <v>-11.10626596361568</v>
      </c>
      <c r="Q67" s="224">
        <v>-4.3069097677977632</v>
      </c>
      <c r="R67" s="224">
        <v>-7.8609884967423742</v>
      </c>
      <c r="S67" s="224">
        <v>582.15239171673977</v>
      </c>
      <c r="T67" s="224">
        <v>838.75528273304383</v>
      </c>
      <c r="U67" s="224">
        <v>1052.2321312102383</v>
      </c>
      <c r="V67" s="224">
        <v>115</v>
      </c>
      <c r="W67" s="224">
        <v>189.70124829999997</v>
      </c>
      <c r="X67" s="224">
        <v>284.55187244999996</v>
      </c>
      <c r="Y67" s="224">
        <v>138.46143749999999</v>
      </c>
      <c r="Z67" s="224">
        <v>0</v>
      </c>
      <c r="AA67" s="224">
        <v>3.3098351593625495</v>
      </c>
      <c r="AB67" s="224">
        <v>6.9180279881862328</v>
      </c>
      <c r="AC67" s="224">
        <v>10.476944665084059</v>
      </c>
      <c r="AD67" s="1120">
        <v>16.903041896195628</v>
      </c>
      <c r="AE67" s="224">
        <v>11026.897142857142</v>
      </c>
      <c r="AF67" s="224">
        <v>8849.9335520699988</v>
      </c>
      <c r="AG67" s="224">
        <v>78781.788708750013</v>
      </c>
      <c r="AH67" s="224">
        <v>0</v>
      </c>
      <c r="AI67" s="224">
        <v>18600</v>
      </c>
      <c r="AJ67" s="224">
        <v>0</v>
      </c>
      <c r="AK67" s="224">
        <v>745.98720000000003</v>
      </c>
      <c r="AL67" s="224">
        <v>0</v>
      </c>
      <c r="AM67" s="224">
        <v>436.00000000000006</v>
      </c>
      <c r="AN67" s="1120">
        <v>118440.60660367715</v>
      </c>
      <c r="AO67" s="224">
        <f t="shared" si="0"/>
        <v>2.2271448002427356</v>
      </c>
      <c r="AP67" s="1123">
        <v>0.1</v>
      </c>
      <c r="AQ67" s="1123">
        <f t="shared" si="3"/>
        <v>6.3391806341729959E-2</v>
      </c>
      <c r="AR67" s="1123">
        <v>20</v>
      </c>
      <c r="AS67" s="1123">
        <f t="shared" si="4"/>
        <v>0.30623216517625002</v>
      </c>
      <c r="AT67" s="224">
        <f t="shared" si="2"/>
        <v>7508.1639968173249</v>
      </c>
    </row>
    <row r="68" spans="1:46">
      <c r="A68" s="1121">
        <v>2020</v>
      </c>
      <c r="D68" s="1107" t="s">
        <v>2003</v>
      </c>
      <c r="E68" s="224" t="s">
        <v>2060</v>
      </c>
      <c r="G68" s="224" t="e">
        <v>#DIV/0!</v>
      </c>
      <c r="H68" s="224" t="e">
        <v>#DIV/0!</v>
      </c>
      <c r="I68" s="224" t="e">
        <v>#DIV/0!</v>
      </c>
      <c r="J68" s="224" t="e">
        <v>#DIV/0!</v>
      </c>
      <c r="K68" s="224" t="e">
        <v>#DIV/0!</v>
      </c>
      <c r="L68" s="224" t="e">
        <v>#DIV/0!</v>
      </c>
      <c r="M68" s="224" t="e">
        <v>#DIV/0!</v>
      </c>
      <c r="N68" s="224" t="e">
        <v>#DIV/0!</v>
      </c>
      <c r="O68" s="224" t="e">
        <v>#DIV/0!</v>
      </c>
      <c r="P68" s="224" t="e">
        <v>#DIV/0!</v>
      </c>
      <c r="Q68" s="224" t="e">
        <v>#DIV/0!</v>
      </c>
      <c r="R68" s="224" t="e">
        <v>#DIV/0!</v>
      </c>
      <c r="S68" s="224" t="e">
        <v>#DIV/0!</v>
      </c>
      <c r="T68" s="224" t="e">
        <v>#DIV/0!</v>
      </c>
      <c r="U68" s="224" t="e">
        <v>#DIV/0!</v>
      </c>
      <c r="V68" s="224" t="e">
        <v>#DIV/0!</v>
      </c>
      <c r="W68" s="224" t="e">
        <v>#DIV/0!</v>
      </c>
      <c r="X68" s="224" t="e">
        <v>#DIV/0!</v>
      </c>
      <c r="Y68" s="224" t="e">
        <v>#DIV/0!</v>
      </c>
      <c r="Z68" s="224" t="e">
        <v>#DIV/0!</v>
      </c>
      <c r="AA68" s="224" t="e">
        <v>#DIV/0!</v>
      </c>
      <c r="AB68" s="224" t="e">
        <v>#DIV/0!</v>
      </c>
      <c r="AC68" s="224" t="e">
        <v>#DIV/0!</v>
      </c>
      <c r="AD68" s="1120" t="e">
        <v>#DIV/0!</v>
      </c>
      <c r="AE68" s="224" t="e">
        <v>#DIV/0!</v>
      </c>
      <c r="AF68" s="224" t="e">
        <v>#DIV/0!</v>
      </c>
      <c r="AG68" s="224" t="e">
        <v>#DIV/0!</v>
      </c>
      <c r="AH68" s="224" t="e">
        <v>#DIV/0!</v>
      </c>
      <c r="AI68" s="224" t="e">
        <v>#DIV/0!</v>
      </c>
      <c r="AJ68" s="224" t="e">
        <v>#DIV/0!</v>
      </c>
      <c r="AK68" s="224" t="e">
        <v>#DIV/0!</v>
      </c>
      <c r="AL68" s="224" t="e">
        <v>#DIV/0!</v>
      </c>
      <c r="AM68" s="224" t="e">
        <v>#DIV/0!</v>
      </c>
      <c r="AN68" s="1120" t="e">
        <v>#DIV/0!</v>
      </c>
      <c r="AO68" s="224" t="e">
        <f t="shared" si="0"/>
        <v>#DIV/0!</v>
      </c>
      <c r="AP68" s="1123">
        <v>0.1</v>
      </c>
      <c r="AQ68" s="1123">
        <f t="shared" si="3"/>
        <v>6.3391806341729959E-2</v>
      </c>
      <c r="AR68" s="1123">
        <v>20</v>
      </c>
      <c r="AS68" s="1123" t="e">
        <f t="shared" si="4"/>
        <v>#DIV/0!</v>
      </c>
      <c r="AT68" s="224" t="e">
        <f t="shared" si="2"/>
        <v>#DIV/0!</v>
      </c>
    </row>
    <row r="69" spans="1:46">
      <c r="A69" s="1118">
        <v>2025</v>
      </c>
      <c r="D69" s="1107" t="s">
        <v>2003</v>
      </c>
      <c r="E69" s="224" t="s">
        <v>2060</v>
      </c>
      <c r="G69" s="224" t="e">
        <v>#DIV/0!</v>
      </c>
      <c r="H69" s="224" t="e">
        <v>#DIV/0!</v>
      </c>
      <c r="I69" s="224" t="e">
        <v>#DIV/0!</v>
      </c>
      <c r="J69" s="224" t="e">
        <v>#DIV/0!</v>
      </c>
      <c r="K69" s="224" t="e">
        <v>#DIV/0!</v>
      </c>
      <c r="L69" s="224" t="e">
        <v>#DIV/0!</v>
      </c>
      <c r="M69" s="224" t="e">
        <v>#DIV/0!</v>
      </c>
      <c r="N69" s="224" t="e">
        <v>#DIV/0!</v>
      </c>
      <c r="O69" s="224" t="e">
        <v>#DIV/0!</v>
      </c>
      <c r="P69" s="224" t="e">
        <v>#DIV/0!</v>
      </c>
      <c r="Q69" s="224" t="e">
        <v>#DIV/0!</v>
      </c>
      <c r="R69" s="224" t="e">
        <v>#DIV/0!</v>
      </c>
      <c r="S69" s="224" t="e">
        <v>#DIV/0!</v>
      </c>
      <c r="T69" s="224" t="e">
        <v>#DIV/0!</v>
      </c>
      <c r="U69" s="224" t="e">
        <v>#DIV/0!</v>
      </c>
      <c r="V69" s="224" t="e">
        <v>#DIV/0!</v>
      </c>
      <c r="W69" s="224" t="e">
        <v>#DIV/0!</v>
      </c>
      <c r="X69" s="224" t="e">
        <v>#DIV/0!</v>
      </c>
      <c r="Y69" s="224" t="e">
        <v>#DIV/0!</v>
      </c>
      <c r="Z69" s="224" t="e">
        <v>#DIV/0!</v>
      </c>
      <c r="AA69" s="224" t="e">
        <v>#DIV/0!</v>
      </c>
      <c r="AB69" s="224" t="e">
        <v>#DIV/0!</v>
      </c>
      <c r="AC69" s="224" t="e">
        <v>#DIV/0!</v>
      </c>
      <c r="AD69" s="1120" t="e">
        <v>#DIV/0!</v>
      </c>
      <c r="AE69" s="224" t="e">
        <v>#DIV/0!</v>
      </c>
      <c r="AF69" s="224" t="e">
        <v>#DIV/0!</v>
      </c>
      <c r="AG69" s="224" t="e">
        <v>#DIV/0!</v>
      </c>
      <c r="AH69" s="224" t="e">
        <v>#DIV/0!</v>
      </c>
      <c r="AI69" s="224" t="e">
        <v>#DIV/0!</v>
      </c>
      <c r="AJ69" s="224" t="e">
        <v>#DIV/0!</v>
      </c>
      <c r="AK69" s="224" t="e">
        <v>#DIV/0!</v>
      </c>
      <c r="AL69" s="224" t="e">
        <v>#DIV/0!</v>
      </c>
      <c r="AM69" s="224" t="e">
        <v>#DIV/0!</v>
      </c>
      <c r="AN69" s="1120" t="e">
        <v>#DIV/0!</v>
      </c>
      <c r="AO69" s="224" t="e">
        <f t="shared" si="0"/>
        <v>#DIV/0!</v>
      </c>
      <c r="AP69" s="1123">
        <v>0.1</v>
      </c>
      <c r="AQ69" s="1123">
        <f t="shared" si="3"/>
        <v>6.3391806341729959E-2</v>
      </c>
      <c r="AR69" s="1123">
        <v>20</v>
      </c>
      <c r="AS69" s="1123" t="e">
        <f t="shared" si="4"/>
        <v>#DIV/0!</v>
      </c>
      <c r="AT69" s="224" t="e">
        <f t="shared" si="2"/>
        <v>#DIV/0!</v>
      </c>
    </row>
    <row r="70" spans="1:46">
      <c r="A70" s="1118">
        <v>2030</v>
      </c>
      <c r="D70" s="1107" t="s">
        <v>2003</v>
      </c>
      <c r="E70" s="224" t="s">
        <v>2060</v>
      </c>
      <c r="G70" s="224" t="e">
        <v>#DIV/0!</v>
      </c>
      <c r="H70" s="224" t="e">
        <v>#DIV/0!</v>
      </c>
      <c r="I70" s="224" t="e">
        <v>#DIV/0!</v>
      </c>
      <c r="J70" s="224" t="e">
        <v>#DIV/0!</v>
      </c>
      <c r="K70" s="224" t="e">
        <v>#DIV/0!</v>
      </c>
      <c r="L70" s="224" t="e">
        <v>#DIV/0!</v>
      </c>
      <c r="M70" s="224" t="e">
        <v>#DIV/0!</v>
      </c>
      <c r="N70" s="224" t="e">
        <v>#DIV/0!</v>
      </c>
      <c r="O70" s="224" t="e">
        <v>#DIV/0!</v>
      </c>
      <c r="P70" s="224" t="e">
        <v>#DIV/0!</v>
      </c>
      <c r="Q70" s="224" t="e">
        <v>#DIV/0!</v>
      </c>
      <c r="R70" s="224" t="e">
        <v>#DIV/0!</v>
      </c>
      <c r="S70" s="224" t="e">
        <v>#DIV/0!</v>
      </c>
      <c r="T70" s="224" t="e">
        <v>#DIV/0!</v>
      </c>
      <c r="U70" s="224" t="e">
        <v>#DIV/0!</v>
      </c>
      <c r="V70" s="224" t="e">
        <v>#DIV/0!</v>
      </c>
      <c r="W70" s="224" t="e">
        <v>#DIV/0!</v>
      </c>
      <c r="X70" s="224" t="e">
        <v>#DIV/0!</v>
      </c>
      <c r="Y70" s="224" t="e">
        <v>#DIV/0!</v>
      </c>
      <c r="Z70" s="224" t="e">
        <v>#DIV/0!</v>
      </c>
      <c r="AA70" s="224" t="e">
        <v>#DIV/0!</v>
      </c>
      <c r="AB70" s="224" t="e">
        <v>#DIV/0!</v>
      </c>
      <c r="AC70" s="224" t="e">
        <v>#DIV/0!</v>
      </c>
      <c r="AD70" s="1120" t="e">
        <v>#DIV/0!</v>
      </c>
      <c r="AE70" s="224" t="e">
        <v>#DIV/0!</v>
      </c>
      <c r="AF70" s="224" t="e">
        <v>#DIV/0!</v>
      </c>
      <c r="AG70" s="224" t="e">
        <v>#DIV/0!</v>
      </c>
      <c r="AH70" s="224" t="e">
        <v>#DIV/0!</v>
      </c>
      <c r="AI70" s="224" t="e">
        <v>#DIV/0!</v>
      </c>
      <c r="AJ70" s="224" t="e">
        <v>#DIV/0!</v>
      </c>
      <c r="AK70" s="224" t="e">
        <v>#DIV/0!</v>
      </c>
      <c r="AL70" s="224" t="e">
        <v>#DIV/0!</v>
      </c>
      <c r="AM70" s="224" t="e">
        <v>#DIV/0!</v>
      </c>
      <c r="AN70" s="1120" t="e">
        <v>#DIV/0!</v>
      </c>
      <c r="AO70" s="224" t="e">
        <f t="shared" si="0"/>
        <v>#DIV/0!</v>
      </c>
      <c r="AP70" s="1123">
        <v>0.1</v>
      </c>
      <c r="AQ70" s="1123">
        <f t="shared" si="3"/>
        <v>6.3391806341729959E-2</v>
      </c>
      <c r="AR70" s="1123">
        <v>20</v>
      </c>
      <c r="AS70" s="1123" t="e">
        <f t="shared" si="4"/>
        <v>#DIV/0!</v>
      </c>
      <c r="AT70" s="224" t="e">
        <f t="shared" si="2"/>
        <v>#DIV/0!</v>
      </c>
    </row>
    <row r="71" spans="1:46">
      <c r="A71" s="1118">
        <v>2035</v>
      </c>
      <c r="D71" s="1107" t="s">
        <v>2003</v>
      </c>
      <c r="E71" s="224" t="s">
        <v>2060</v>
      </c>
      <c r="G71" s="224" t="e">
        <v>#DIV/0!</v>
      </c>
      <c r="H71" s="224" t="e">
        <v>#DIV/0!</v>
      </c>
      <c r="I71" s="224" t="e">
        <v>#DIV/0!</v>
      </c>
      <c r="J71" s="224" t="e">
        <v>#DIV/0!</v>
      </c>
      <c r="K71" s="224" t="e">
        <v>#DIV/0!</v>
      </c>
      <c r="L71" s="224" t="e">
        <v>#DIV/0!</v>
      </c>
      <c r="M71" s="224" t="e">
        <v>#DIV/0!</v>
      </c>
      <c r="N71" s="224" t="e">
        <v>#DIV/0!</v>
      </c>
      <c r="O71" s="224" t="e">
        <v>#DIV/0!</v>
      </c>
      <c r="P71" s="224" t="e">
        <v>#DIV/0!</v>
      </c>
      <c r="Q71" s="224" t="e">
        <v>#DIV/0!</v>
      </c>
      <c r="R71" s="224" t="e">
        <v>#DIV/0!</v>
      </c>
      <c r="S71" s="224" t="e">
        <v>#DIV/0!</v>
      </c>
      <c r="T71" s="224" t="e">
        <v>#DIV/0!</v>
      </c>
      <c r="U71" s="224" t="e">
        <v>#DIV/0!</v>
      </c>
      <c r="V71" s="224" t="e">
        <v>#DIV/0!</v>
      </c>
      <c r="W71" s="224" t="e">
        <v>#DIV/0!</v>
      </c>
      <c r="X71" s="224" t="e">
        <v>#DIV/0!</v>
      </c>
      <c r="Y71" s="224" t="e">
        <v>#DIV/0!</v>
      </c>
      <c r="Z71" s="224" t="e">
        <v>#DIV/0!</v>
      </c>
      <c r="AA71" s="224" t="e">
        <v>#DIV/0!</v>
      </c>
      <c r="AB71" s="224" t="e">
        <v>#DIV/0!</v>
      </c>
      <c r="AC71" s="224" t="e">
        <v>#DIV/0!</v>
      </c>
      <c r="AD71" s="1120" t="e">
        <v>#DIV/0!</v>
      </c>
      <c r="AE71" s="224" t="e">
        <v>#DIV/0!</v>
      </c>
      <c r="AF71" s="224" t="e">
        <v>#DIV/0!</v>
      </c>
      <c r="AG71" s="224" t="e">
        <v>#DIV/0!</v>
      </c>
      <c r="AH71" s="224" t="e">
        <v>#DIV/0!</v>
      </c>
      <c r="AI71" s="224" t="e">
        <v>#DIV/0!</v>
      </c>
      <c r="AJ71" s="224" t="e">
        <v>#DIV/0!</v>
      </c>
      <c r="AK71" s="224" t="e">
        <v>#DIV/0!</v>
      </c>
      <c r="AL71" s="224" t="e">
        <v>#DIV/0!</v>
      </c>
      <c r="AM71" s="224" t="e">
        <v>#DIV/0!</v>
      </c>
      <c r="AN71" s="1120" t="e">
        <v>#DIV/0!</v>
      </c>
      <c r="AO71" s="224" t="e">
        <f t="shared" si="0"/>
        <v>#DIV/0!</v>
      </c>
      <c r="AP71" s="1123">
        <v>0.1</v>
      </c>
      <c r="AQ71" s="1123">
        <f t="shared" si="3"/>
        <v>6.3391806341729959E-2</v>
      </c>
      <c r="AR71" s="1123">
        <v>20</v>
      </c>
      <c r="AS71" s="1123" t="e">
        <f t="shared" si="4"/>
        <v>#DIV/0!</v>
      </c>
      <c r="AT71" s="224" t="e">
        <f t="shared" si="2"/>
        <v>#DIV/0!</v>
      </c>
    </row>
    <row r="72" spans="1:46">
      <c r="A72" s="1118">
        <v>2050</v>
      </c>
      <c r="D72" s="1107" t="s">
        <v>2003</v>
      </c>
      <c r="E72" s="224" t="s">
        <v>2060</v>
      </c>
      <c r="G72" s="224" t="e">
        <v>#DIV/0!</v>
      </c>
      <c r="H72" s="224" t="e">
        <v>#DIV/0!</v>
      </c>
      <c r="I72" s="224" t="e">
        <v>#DIV/0!</v>
      </c>
      <c r="J72" s="224" t="e">
        <v>#DIV/0!</v>
      </c>
      <c r="K72" s="224" t="e">
        <v>#DIV/0!</v>
      </c>
      <c r="L72" s="224" t="e">
        <v>#DIV/0!</v>
      </c>
      <c r="M72" s="224" t="e">
        <v>#DIV/0!</v>
      </c>
      <c r="N72" s="224" t="e">
        <v>#DIV/0!</v>
      </c>
      <c r="O72" s="224" t="e">
        <v>#DIV/0!</v>
      </c>
      <c r="P72" s="224" t="e">
        <v>#DIV/0!</v>
      </c>
      <c r="Q72" s="224" t="e">
        <v>#DIV/0!</v>
      </c>
      <c r="R72" s="224" t="e">
        <v>#DIV/0!</v>
      </c>
      <c r="S72" s="224" t="e">
        <v>#DIV/0!</v>
      </c>
      <c r="T72" s="224" t="e">
        <v>#DIV/0!</v>
      </c>
      <c r="U72" s="224" t="e">
        <v>#DIV/0!</v>
      </c>
      <c r="V72" s="224" t="e">
        <v>#DIV/0!</v>
      </c>
      <c r="W72" s="224" t="e">
        <v>#DIV/0!</v>
      </c>
      <c r="X72" s="224" t="e">
        <v>#DIV/0!</v>
      </c>
      <c r="Y72" s="224" t="e">
        <v>#DIV/0!</v>
      </c>
      <c r="Z72" s="224" t="e">
        <v>#DIV/0!</v>
      </c>
      <c r="AA72" s="224" t="e">
        <v>#DIV/0!</v>
      </c>
      <c r="AB72" s="224" t="e">
        <v>#DIV/0!</v>
      </c>
      <c r="AC72" s="224" t="e">
        <v>#DIV/0!</v>
      </c>
      <c r="AD72" s="1120" t="e">
        <v>#DIV/0!</v>
      </c>
      <c r="AE72" s="224" t="e">
        <v>#DIV/0!</v>
      </c>
      <c r="AF72" s="224" t="e">
        <v>#DIV/0!</v>
      </c>
      <c r="AG72" s="224" t="e">
        <v>#DIV/0!</v>
      </c>
      <c r="AH72" s="224" t="e">
        <v>#DIV/0!</v>
      </c>
      <c r="AI72" s="224" t="e">
        <v>#DIV/0!</v>
      </c>
      <c r="AJ72" s="224" t="e">
        <v>#DIV/0!</v>
      </c>
      <c r="AK72" s="224" t="e">
        <v>#DIV/0!</v>
      </c>
      <c r="AL72" s="224" t="e">
        <v>#DIV/0!</v>
      </c>
      <c r="AM72" s="224" t="e">
        <v>#DIV/0!</v>
      </c>
      <c r="AN72" s="1120" t="e">
        <v>#DIV/0!</v>
      </c>
      <c r="AO72" s="224" t="e">
        <f t="shared" si="0"/>
        <v>#DIV/0!</v>
      </c>
      <c r="AP72" s="1123">
        <v>0.1</v>
      </c>
      <c r="AQ72" s="1123">
        <f t="shared" si="3"/>
        <v>6.3391806341729959E-2</v>
      </c>
      <c r="AR72" s="1123">
        <v>20</v>
      </c>
      <c r="AS72" s="1123" t="e">
        <f t="shared" si="4"/>
        <v>#DIV/0!</v>
      </c>
      <c r="AT72" s="224" t="e">
        <f t="shared" si="2"/>
        <v>#DIV/0!</v>
      </c>
    </row>
    <row r="73" spans="1:46">
      <c r="A73" s="1118">
        <v>2017</v>
      </c>
      <c r="D73" s="1107" t="s">
        <v>2003</v>
      </c>
      <c r="E73" s="224" t="s">
        <v>2061</v>
      </c>
      <c r="G73" s="224">
        <v>4764.2062053375003</v>
      </c>
      <c r="H73" s="224">
        <v>1644.5</v>
      </c>
      <c r="I73" s="224">
        <v>258.36618750000002</v>
      </c>
      <c r="J73" s="224">
        <v>0</v>
      </c>
      <c r="K73" s="224">
        <v>0</v>
      </c>
      <c r="L73" s="224">
        <v>0</v>
      </c>
      <c r="M73" s="224">
        <v>0</v>
      </c>
      <c r="N73" s="224">
        <v>0</v>
      </c>
      <c r="O73" s="224">
        <v>0</v>
      </c>
      <c r="P73" s="224">
        <v>0</v>
      </c>
      <c r="Q73" s="224">
        <v>0</v>
      </c>
      <c r="R73" s="224">
        <v>0</v>
      </c>
      <c r="S73" s="224">
        <v>560.36800490323662</v>
      </c>
      <c r="T73" s="224">
        <v>897.68396136564468</v>
      </c>
      <c r="U73" s="224">
        <v>1110.8414818751887</v>
      </c>
      <c r="V73" s="224">
        <v>0</v>
      </c>
      <c r="W73" s="224">
        <v>162.33558619999999</v>
      </c>
      <c r="X73" s="224">
        <v>243.50337930000001</v>
      </c>
      <c r="Y73" s="224">
        <v>258.36618750000002</v>
      </c>
      <c r="Z73" s="224">
        <v>0</v>
      </c>
      <c r="AA73" s="224">
        <v>2.976722469605507</v>
      </c>
      <c r="AB73" s="224">
        <v>4.7685734999503033</v>
      </c>
      <c r="AC73" s="224">
        <v>5.9008843658708567</v>
      </c>
      <c r="AD73" s="1120">
        <v>17.255266768180615</v>
      </c>
      <c r="AE73" s="224">
        <v>0</v>
      </c>
      <c r="AF73" s="224">
        <v>7675.9466479799994</v>
      </c>
      <c r="AG73" s="224">
        <v>147005.19336375</v>
      </c>
      <c r="AH73" s="224">
        <v>0</v>
      </c>
      <c r="AI73" s="224">
        <v>18600</v>
      </c>
      <c r="AJ73" s="224">
        <v>0</v>
      </c>
      <c r="AK73" s="224">
        <v>745.98720000000003</v>
      </c>
      <c r="AL73" s="224">
        <v>0</v>
      </c>
      <c r="AM73" s="224">
        <v>0</v>
      </c>
      <c r="AN73" s="1120">
        <v>174027.12721173</v>
      </c>
      <c r="AO73" s="224">
        <f t="shared" si="0"/>
        <v>2.2735539493754775</v>
      </c>
      <c r="AP73" s="1123">
        <v>0.1</v>
      </c>
      <c r="AQ73" s="1123">
        <f t="shared" si="3"/>
        <v>6.3391806341729959E-2</v>
      </c>
      <c r="AR73" s="1123">
        <v>20</v>
      </c>
      <c r="AS73" s="1123">
        <f t="shared" si="4"/>
        <v>0.31261341807967957</v>
      </c>
      <c r="AT73" s="224">
        <f t="shared" si="2"/>
        <v>11031.893946413591</v>
      </c>
    </row>
    <row r="74" spans="1:46">
      <c r="A74" s="1121">
        <v>2020</v>
      </c>
      <c r="D74" s="1107" t="s">
        <v>2003</v>
      </c>
      <c r="E74" s="224" t="s">
        <v>2061</v>
      </c>
      <c r="G74" s="224" t="e">
        <v>#DIV/0!</v>
      </c>
      <c r="H74" s="224" t="e">
        <v>#DIV/0!</v>
      </c>
      <c r="I74" s="224" t="e">
        <v>#DIV/0!</v>
      </c>
      <c r="J74" s="224" t="e">
        <v>#DIV/0!</v>
      </c>
      <c r="K74" s="224" t="e">
        <v>#DIV/0!</v>
      </c>
      <c r="L74" s="224" t="e">
        <v>#DIV/0!</v>
      </c>
      <c r="M74" s="224" t="e">
        <v>#DIV/0!</v>
      </c>
      <c r="N74" s="224" t="e">
        <v>#DIV/0!</v>
      </c>
      <c r="O74" s="224" t="e">
        <v>#DIV/0!</v>
      </c>
      <c r="P74" s="224" t="e">
        <v>#DIV/0!</v>
      </c>
      <c r="Q74" s="224" t="e">
        <v>#DIV/0!</v>
      </c>
      <c r="R74" s="224" t="e">
        <v>#DIV/0!</v>
      </c>
      <c r="S74" s="224" t="e">
        <v>#DIV/0!</v>
      </c>
      <c r="T74" s="224" t="e">
        <v>#DIV/0!</v>
      </c>
      <c r="U74" s="224" t="e">
        <v>#DIV/0!</v>
      </c>
      <c r="V74" s="224" t="e">
        <v>#DIV/0!</v>
      </c>
      <c r="W74" s="224" t="e">
        <v>#DIV/0!</v>
      </c>
      <c r="X74" s="224" t="e">
        <v>#DIV/0!</v>
      </c>
      <c r="Y74" s="224" t="e">
        <v>#DIV/0!</v>
      </c>
      <c r="Z74" s="224" t="e">
        <v>#DIV/0!</v>
      </c>
      <c r="AA74" s="224" t="e">
        <v>#DIV/0!</v>
      </c>
      <c r="AB74" s="224" t="e">
        <v>#DIV/0!</v>
      </c>
      <c r="AC74" s="224" t="e">
        <v>#DIV/0!</v>
      </c>
      <c r="AD74" s="1120" t="e">
        <v>#DIV/0!</v>
      </c>
      <c r="AE74" s="224" t="e">
        <v>#DIV/0!</v>
      </c>
      <c r="AF74" s="224" t="e">
        <v>#DIV/0!</v>
      </c>
      <c r="AG74" s="224" t="e">
        <v>#DIV/0!</v>
      </c>
      <c r="AH74" s="224" t="e">
        <v>#DIV/0!</v>
      </c>
      <c r="AI74" s="224" t="e">
        <v>#DIV/0!</v>
      </c>
      <c r="AJ74" s="224" t="e">
        <v>#DIV/0!</v>
      </c>
      <c r="AK74" s="224" t="e">
        <v>#DIV/0!</v>
      </c>
      <c r="AL74" s="224" t="e">
        <v>#DIV/0!</v>
      </c>
      <c r="AM74" s="224" t="e">
        <v>#DIV/0!</v>
      </c>
      <c r="AN74" s="1120" t="e">
        <v>#DIV/0!</v>
      </c>
      <c r="AO74" s="224" t="e">
        <f t="shared" si="0"/>
        <v>#DIV/0!</v>
      </c>
      <c r="AP74" s="1123">
        <v>0.1</v>
      </c>
      <c r="AQ74" s="1123">
        <f t="shared" si="3"/>
        <v>6.3391806341729959E-2</v>
      </c>
      <c r="AR74" s="1123">
        <v>20</v>
      </c>
      <c r="AS74" s="1123" t="e">
        <f t="shared" si="4"/>
        <v>#DIV/0!</v>
      </c>
      <c r="AT74" s="224" t="e">
        <f t="shared" si="2"/>
        <v>#DIV/0!</v>
      </c>
    </row>
    <row r="75" spans="1:46">
      <c r="A75" s="1118">
        <v>2025</v>
      </c>
      <c r="D75" s="1107" t="s">
        <v>2003</v>
      </c>
      <c r="E75" s="224" t="s">
        <v>2061</v>
      </c>
      <c r="G75" s="224" t="e">
        <v>#DIV/0!</v>
      </c>
      <c r="H75" s="224" t="e">
        <v>#DIV/0!</v>
      </c>
      <c r="I75" s="224" t="e">
        <v>#DIV/0!</v>
      </c>
      <c r="J75" s="224" t="e">
        <v>#DIV/0!</v>
      </c>
      <c r="K75" s="224" t="e">
        <v>#DIV/0!</v>
      </c>
      <c r="L75" s="224" t="e">
        <v>#DIV/0!</v>
      </c>
      <c r="M75" s="224" t="e">
        <v>#DIV/0!</v>
      </c>
      <c r="N75" s="224" t="e">
        <v>#DIV/0!</v>
      </c>
      <c r="O75" s="224" t="e">
        <v>#DIV/0!</v>
      </c>
      <c r="P75" s="224" t="e">
        <v>#DIV/0!</v>
      </c>
      <c r="Q75" s="224" t="e">
        <v>#DIV/0!</v>
      </c>
      <c r="R75" s="224" t="e">
        <v>#DIV/0!</v>
      </c>
      <c r="S75" s="224" t="e">
        <v>#DIV/0!</v>
      </c>
      <c r="T75" s="224" t="e">
        <v>#DIV/0!</v>
      </c>
      <c r="U75" s="224" t="e">
        <v>#DIV/0!</v>
      </c>
      <c r="V75" s="224" t="e">
        <v>#DIV/0!</v>
      </c>
      <c r="W75" s="224" t="e">
        <v>#DIV/0!</v>
      </c>
      <c r="X75" s="224" t="e">
        <v>#DIV/0!</v>
      </c>
      <c r="Y75" s="224" t="e">
        <v>#DIV/0!</v>
      </c>
      <c r="Z75" s="224" t="e">
        <v>#DIV/0!</v>
      </c>
      <c r="AA75" s="224" t="e">
        <v>#DIV/0!</v>
      </c>
      <c r="AB75" s="224" t="e">
        <v>#DIV/0!</v>
      </c>
      <c r="AC75" s="224" t="e">
        <v>#DIV/0!</v>
      </c>
      <c r="AD75" s="1120" t="e">
        <v>#DIV/0!</v>
      </c>
      <c r="AE75" s="224" t="e">
        <v>#DIV/0!</v>
      </c>
      <c r="AF75" s="224" t="e">
        <v>#DIV/0!</v>
      </c>
      <c r="AG75" s="224" t="e">
        <v>#DIV/0!</v>
      </c>
      <c r="AH75" s="224" t="e">
        <v>#DIV/0!</v>
      </c>
      <c r="AI75" s="224" t="e">
        <v>#DIV/0!</v>
      </c>
      <c r="AJ75" s="224" t="e">
        <v>#DIV/0!</v>
      </c>
      <c r="AK75" s="224" t="e">
        <v>#DIV/0!</v>
      </c>
      <c r="AL75" s="224" t="e">
        <v>#DIV/0!</v>
      </c>
      <c r="AM75" s="224" t="e">
        <v>#DIV/0!</v>
      </c>
      <c r="AN75" s="1120" t="e">
        <v>#DIV/0!</v>
      </c>
      <c r="AO75" s="224" t="e">
        <f t="shared" si="0"/>
        <v>#DIV/0!</v>
      </c>
      <c r="AP75" s="1123">
        <v>0.1</v>
      </c>
      <c r="AQ75" s="1123">
        <f t="shared" si="3"/>
        <v>6.3391806341729959E-2</v>
      </c>
      <c r="AR75" s="1123">
        <v>20</v>
      </c>
      <c r="AS75" s="1123" t="e">
        <f t="shared" si="4"/>
        <v>#DIV/0!</v>
      </c>
      <c r="AT75" s="224" t="e">
        <f t="shared" si="2"/>
        <v>#DIV/0!</v>
      </c>
    </row>
    <row r="76" spans="1:46">
      <c r="A76" s="1118">
        <v>2030</v>
      </c>
      <c r="D76" s="1107" t="s">
        <v>2003</v>
      </c>
      <c r="E76" s="224" t="s">
        <v>2061</v>
      </c>
      <c r="G76" s="224" t="e">
        <v>#DIV/0!</v>
      </c>
      <c r="H76" s="224" t="e">
        <v>#DIV/0!</v>
      </c>
      <c r="I76" s="224" t="e">
        <v>#DIV/0!</v>
      </c>
      <c r="J76" s="224" t="e">
        <v>#DIV/0!</v>
      </c>
      <c r="K76" s="224" t="e">
        <v>#DIV/0!</v>
      </c>
      <c r="L76" s="224" t="e">
        <v>#DIV/0!</v>
      </c>
      <c r="M76" s="224" t="e">
        <v>#DIV/0!</v>
      </c>
      <c r="N76" s="224" t="e">
        <v>#DIV/0!</v>
      </c>
      <c r="O76" s="224" t="e">
        <v>#DIV/0!</v>
      </c>
      <c r="P76" s="224" t="e">
        <v>#DIV/0!</v>
      </c>
      <c r="Q76" s="224" t="e">
        <v>#DIV/0!</v>
      </c>
      <c r="R76" s="224" t="e">
        <v>#DIV/0!</v>
      </c>
      <c r="S76" s="224" t="e">
        <v>#DIV/0!</v>
      </c>
      <c r="T76" s="224" t="e">
        <v>#DIV/0!</v>
      </c>
      <c r="U76" s="224" t="e">
        <v>#DIV/0!</v>
      </c>
      <c r="V76" s="224" t="e">
        <v>#DIV/0!</v>
      </c>
      <c r="W76" s="224" t="e">
        <v>#DIV/0!</v>
      </c>
      <c r="X76" s="224" t="e">
        <v>#DIV/0!</v>
      </c>
      <c r="Y76" s="224" t="e">
        <v>#DIV/0!</v>
      </c>
      <c r="Z76" s="224" t="e">
        <v>#DIV/0!</v>
      </c>
      <c r="AA76" s="224" t="e">
        <v>#DIV/0!</v>
      </c>
      <c r="AB76" s="224" t="e">
        <v>#DIV/0!</v>
      </c>
      <c r="AC76" s="224" t="e">
        <v>#DIV/0!</v>
      </c>
      <c r="AD76" s="1120" t="e">
        <v>#DIV/0!</v>
      </c>
      <c r="AE76" s="224" t="e">
        <v>#DIV/0!</v>
      </c>
      <c r="AF76" s="224" t="e">
        <v>#DIV/0!</v>
      </c>
      <c r="AG76" s="224" t="e">
        <v>#DIV/0!</v>
      </c>
      <c r="AH76" s="224" t="e">
        <v>#DIV/0!</v>
      </c>
      <c r="AI76" s="224" t="e">
        <v>#DIV/0!</v>
      </c>
      <c r="AJ76" s="224" t="e">
        <v>#DIV/0!</v>
      </c>
      <c r="AK76" s="224" t="e">
        <v>#DIV/0!</v>
      </c>
      <c r="AL76" s="224" t="e">
        <v>#DIV/0!</v>
      </c>
      <c r="AM76" s="224" t="e">
        <v>#DIV/0!</v>
      </c>
      <c r="AN76" s="1120" t="e">
        <v>#DIV/0!</v>
      </c>
      <c r="AO76" s="224" t="e">
        <f t="shared" si="0"/>
        <v>#DIV/0!</v>
      </c>
      <c r="AP76" s="1123">
        <v>0.1</v>
      </c>
      <c r="AQ76" s="1123">
        <f t="shared" si="3"/>
        <v>6.3391806341729959E-2</v>
      </c>
      <c r="AR76" s="1123">
        <v>20</v>
      </c>
      <c r="AS76" s="1123" t="e">
        <f t="shared" si="4"/>
        <v>#DIV/0!</v>
      </c>
      <c r="AT76" s="224" t="e">
        <f t="shared" si="2"/>
        <v>#DIV/0!</v>
      </c>
    </row>
    <row r="77" spans="1:46">
      <c r="A77" s="1118">
        <v>2035</v>
      </c>
      <c r="D77" s="1107" t="s">
        <v>2003</v>
      </c>
      <c r="E77" s="224" t="s">
        <v>2061</v>
      </c>
      <c r="G77" s="224" t="e">
        <v>#DIV/0!</v>
      </c>
      <c r="H77" s="224" t="e">
        <v>#DIV/0!</v>
      </c>
      <c r="I77" s="224" t="e">
        <v>#DIV/0!</v>
      </c>
      <c r="J77" s="224" t="e">
        <v>#DIV/0!</v>
      </c>
      <c r="K77" s="224" t="e">
        <v>#DIV/0!</v>
      </c>
      <c r="L77" s="224" t="e">
        <v>#DIV/0!</v>
      </c>
      <c r="M77" s="224" t="e">
        <v>#DIV/0!</v>
      </c>
      <c r="N77" s="224" t="e">
        <v>#DIV/0!</v>
      </c>
      <c r="O77" s="224" t="e">
        <v>#DIV/0!</v>
      </c>
      <c r="P77" s="224" t="e">
        <v>#DIV/0!</v>
      </c>
      <c r="Q77" s="224" t="e">
        <v>#DIV/0!</v>
      </c>
      <c r="R77" s="224" t="e">
        <v>#DIV/0!</v>
      </c>
      <c r="S77" s="224" t="e">
        <v>#DIV/0!</v>
      </c>
      <c r="T77" s="224" t="e">
        <v>#DIV/0!</v>
      </c>
      <c r="U77" s="224" t="e">
        <v>#DIV/0!</v>
      </c>
      <c r="V77" s="224" t="e">
        <v>#DIV/0!</v>
      </c>
      <c r="W77" s="224" t="e">
        <v>#DIV/0!</v>
      </c>
      <c r="X77" s="224" t="e">
        <v>#DIV/0!</v>
      </c>
      <c r="Y77" s="224" t="e">
        <v>#DIV/0!</v>
      </c>
      <c r="Z77" s="224" t="e">
        <v>#DIV/0!</v>
      </c>
      <c r="AA77" s="224" t="e">
        <v>#DIV/0!</v>
      </c>
      <c r="AB77" s="224" t="e">
        <v>#DIV/0!</v>
      </c>
      <c r="AC77" s="224" t="e">
        <v>#DIV/0!</v>
      </c>
      <c r="AD77" s="1120" t="e">
        <v>#DIV/0!</v>
      </c>
      <c r="AE77" s="224" t="e">
        <v>#DIV/0!</v>
      </c>
      <c r="AF77" s="224" t="e">
        <v>#DIV/0!</v>
      </c>
      <c r="AG77" s="224" t="e">
        <v>#DIV/0!</v>
      </c>
      <c r="AH77" s="224" t="e">
        <v>#DIV/0!</v>
      </c>
      <c r="AI77" s="224" t="e">
        <v>#DIV/0!</v>
      </c>
      <c r="AJ77" s="224" t="e">
        <v>#DIV/0!</v>
      </c>
      <c r="AK77" s="224" t="e">
        <v>#DIV/0!</v>
      </c>
      <c r="AL77" s="224" t="e">
        <v>#DIV/0!</v>
      </c>
      <c r="AM77" s="224" t="e">
        <v>#DIV/0!</v>
      </c>
      <c r="AN77" s="1120" t="e">
        <v>#DIV/0!</v>
      </c>
      <c r="AO77" s="224" t="e">
        <f t="shared" si="0"/>
        <v>#DIV/0!</v>
      </c>
      <c r="AP77" s="1123">
        <v>0.1</v>
      </c>
      <c r="AQ77" s="1123">
        <f t="shared" si="3"/>
        <v>6.3391806341729959E-2</v>
      </c>
      <c r="AR77" s="1123">
        <v>20</v>
      </c>
      <c r="AS77" s="1123" t="e">
        <f t="shared" si="4"/>
        <v>#DIV/0!</v>
      </c>
      <c r="AT77" s="224" t="e">
        <f t="shared" si="2"/>
        <v>#DIV/0!</v>
      </c>
    </row>
    <row r="78" spans="1:46">
      <c r="A78" s="1118">
        <v>2050</v>
      </c>
      <c r="D78" s="1107" t="s">
        <v>2003</v>
      </c>
      <c r="E78" s="224" t="s">
        <v>2061</v>
      </c>
      <c r="G78" s="224" t="e">
        <v>#DIV/0!</v>
      </c>
      <c r="H78" s="224" t="e">
        <v>#DIV/0!</v>
      </c>
      <c r="I78" s="224" t="e">
        <v>#DIV/0!</v>
      </c>
      <c r="J78" s="224" t="e">
        <v>#DIV/0!</v>
      </c>
      <c r="K78" s="224" t="e">
        <v>#DIV/0!</v>
      </c>
      <c r="L78" s="224" t="e">
        <v>#DIV/0!</v>
      </c>
      <c r="M78" s="224" t="e">
        <v>#DIV/0!</v>
      </c>
      <c r="N78" s="224" t="e">
        <v>#DIV/0!</v>
      </c>
      <c r="O78" s="224" t="e">
        <v>#DIV/0!</v>
      </c>
      <c r="P78" s="224" t="e">
        <v>#DIV/0!</v>
      </c>
      <c r="Q78" s="224" t="e">
        <v>#DIV/0!</v>
      </c>
      <c r="R78" s="224" t="e">
        <v>#DIV/0!</v>
      </c>
      <c r="S78" s="224" t="e">
        <v>#DIV/0!</v>
      </c>
      <c r="T78" s="224" t="e">
        <v>#DIV/0!</v>
      </c>
      <c r="U78" s="224" t="e">
        <v>#DIV/0!</v>
      </c>
      <c r="V78" s="224" t="e">
        <v>#DIV/0!</v>
      </c>
      <c r="W78" s="224" t="e">
        <v>#DIV/0!</v>
      </c>
      <c r="X78" s="224" t="e">
        <v>#DIV/0!</v>
      </c>
      <c r="Y78" s="224" t="e">
        <v>#DIV/0!</v>
      </c>
      <c r="Z78" s="224" t="e">
        <v>#DIV/0!</v>
      </c>
      <c r="AA78" s="224" t="e">
        <v>#DIV/0!</v>
      </c>
      <c r="AB78" s="224" t="e">
        <v>#DIV/0!</v>
      </c>
      <c r="AC78" s="224" t="e">
        <v>#DIV/0!</v>
      </c>
      <c r="AD78" s="1120" t="e">
        <v>#DIV/0!</v>
      </c>
      <c r="AE78" s="224" t="e">
        <v>#DIV/0!</v>
      </c>
      <c r="AF78" s="224" t="e">
        <v>#DIV/0!</v>
      </c>
      <c r="AG78" s="224" t="e">
        <v>#DIV/0!</v>
      </c>
      <c r="AH78" s="224" t="e">
        <v>#DIV/0!</v>
      </c>
      <c r="AI78" s="224" t="e">
        <v>#DIV/0!</v>
      </c>
      <c r="AJ78" s="224" t="e">
        <v>#DIV/0!</v>
      </c>
      <c r="AK78" s="224" t="e">
        <v>#DIV/0!</v>
      </c>
      <c r="AL78" s="224" t="e">
        <v>#DIV/0!</v>
      </c>
      <c r="AM78" s="224" t="e">
        <v>#DIV/0!</v>
      </c>
      <c r="AN78" s="1120" t="e">
        <v>#DIV/0!</v>
      </c>
      <c r="AO78" s="224" t="e">
        <f t="shared" ref="AO78:AO141" si="5">AD78*$C$4</f>
        <v>#DIV/0!</v>
      </c>
      <c r="AP78" s="1123">
        <v>0.1</v>
      </c>
      <c r="AQ78" s="1123">
        <f t="shared" si="3"/>
        <v>6.3391806341729959E-2</v>
      </c>
      <c r="AR78" s="1123">
        <v>20</v>
      </c>
      <c r="AS78" s="1123" t="e">
        <f t="shared" si="4"/>
        <v>#DIV/0!</v>
      </c>
      <c r="AT78" s="224" t="e">
        <f t="shared" ref="AT78:AT141" si="6">AN78*AQ78</f>
        <v>#DIV/0!</v>
      </c>
    </row>
    <row r="79" spans="1:46">
      <c r="A79" s="1118">
        <v>2017</v>
      </c>
      <c r="D79" s="1107" t="s">
        <v>2003</v>
      </c>
      <c r="E79" s="224" t="s">
        <v>2062</v>
      </c>
      <c r="G79" s="224">
        <v>4011.4635405839831</v>
      </c>
      <c r="H79" s="224">
        <v>1644.5</v>
      </c>
      <c r="I79" s="224">
        <v>2.9304000000000001</v>
      </c>
      <c r="J79" s="224">
        <v>3.0378714739285759E-2</v>
      </c>
      <c r="K79" s="224">
        <v>4.0303916367529724E-2</v>
      </c>
      <c r="L79" s="224">
        <v>5.1443773103483373E-2</v>
      </c>
      <c r="M79" s="224">
        <v>0</v>
      </c>
      <c r="N79" s="224">
        <v>0</v>
      </c>
      <c r="O79" s="224">
        <v>0</v>
      </c>
      <c r="P79" s="224">
        <v>0</v>
      </c>
      <c r="Q79" s="224">
        <v>0</v>
      </c>
      <c r="R79" s="224">
        <v>0</v>
      </c>
      <c r="S79" s="224">
        <v>0</v>
      </c>
      <c r="T79" s="224">
        <v>0</v>
      </c>
      <c r="U79" s="224">
        <v>0</v>
      </c>
      <c r="V79" s="224">
        <v>0</v>
      </c>
      <c r="W79" s="224">
        <v>188.60309874999999</v>
      </c>
      <c r="X79" s="224">
        <v>91.216507177033492</v>
      </c>
      <c r="Y79" s="224">
        <v>2.9304000000000001</v>
      </c>
      <c r="Z79" s="224">
        <v>122.8892587</v>
      </c>
      <c r="AA79" s="224">
        <v>6.075742947857151</v>
      </c>
      <c r="AB79" s="224">
        <v>8.0607832735059457</v>
      </c>
      <c r="AC79" s="224">
        <v>10.288754620696675</v>
      </c>
      <c r="AD79" s="1120">
        <v>32.043098420878422</v>
      </c>
      <c r="AE79" s="224">
        <v>0</v>
      </c>
      <c r="AF79" s="224">
        <v>8802.8229363749997</v>
      </c>
      <c r="AG79" s="224">
        <v>3977.0397129186604</v>
      </c>
      <c r="AH79" s="224">
        <v>0</v>
      </c>
      <c r="AI79" s="224">
        <v>18600</v>
      </c>
      <c r="AJ79" s="224">
        <v>0</v>
      </c>
      <c r="AK79" s="224">
        <v>745.98720000000003</v>
      </c>
      <c r="AL79" s="224">
        <v>58937.390000000007</v>
      </c>
      <c r="AM79" s="224">
        <v>11987.604616000001</v>
      </c>
      <c r="AN79" s="1120">
        <v>103050.84446529366</v>
      </c>
      <c r="AO79" s="224">
        <f t="shared" si="5"/>
        <v>4.2219986479349405</v>
      </c>
      <c r="AP79" s="1123">
        <v>0.1</v>
      </c>
      <c r="AQ79" s="1123">
        <f t="shared" ref="AQ79:AQ142" si="7">AQ78</f>
        <v>6.3391806341729959E-2</v>
      </c>
      <c r="AR79" s="1123">
        <v>20</v>
      </c>
      <c r="AS79" s="1123">
        <f t="shared" si="4"/>
        <v>0.58052434991537272</v>
      </c>
      <c r="AT79" s="224">
        <f t="shared" si="6"/>
        <v>6532.5791756956305</v>
      </c>
    </row>
    <row r="80" spans="1:46">
      <c r="A80" s="1121">
        <v>2020</v>
      </c>
      <c r="D80" s="1107" t="s">
        <v>2003</v>
      </c>
      <c r="E80" s="224" t="s">
        <v>2062</v>
      </c>
      <c r="G80" s="224" t="e">
        <v>#DIV/0!</v>
      </c>
      <c r="H80" s="224" t="e">
        <v>#DIV/0!</v>
      </c>
      <c r="I80" s="224" t="e">
        <v>#DIV/0!</v>
      </c>
      <c r="J80" s="224" t="e">
        <v>#DIV/0!</v>
      </c>
      <c r="K80" s="224" t="e">
        <v>#DIV/0!</v>
      </c>
      <c r="L80" s="224" t="e">
        <v>#DIV/0!</v>
      </c>
      <c r="M80" s="224" t="e">
        <v>#DIV/0!</v>
      </c>
      <c r="N80" s="224" t="e">
        <v>#DIV/0!</v>
      </c>
      <c r="O80" s="224" t="e">
        <v>#DIV/0!</v>
      </c>
      <c r="P80" s="224" t="e">
        <v>#DIV/0!</v>
      </c>
      <c r="Q80" s="224" t="e">
        <v>#DIV/0!</v>
      </c>
      <c r="R80" s="224" t="e">
        <v>#DIV/0!</v>
      </c>
      <c r="S80" s="224" t="e">
        <v>#DIV/0!</v>
      </c>
      <c r="T80" s="224" t="e">
        <v>#DIV/0!</v>
      </c>
      <c r="U80" s="224" t="e">
        <v>#DIV/0!</v>
      </c>
      <c r="V80" s="224" t="e">
        <v>#DIV/0!</v>
      </c>
      <c r="W80" s="224" t="e">
        <v>#DIV/0!</v>
      </c>
      <c r="X80" s="224" t="e">
        <v>#DIV/0!</v>
      </c>
      <c r="Y80" s="224" t="e">
        <v>#DIV/0!</v>
      </c>
      <c r="Z80" s="224" t="e">
        <v>#DIV/0!</v>
      </c>
      <c r="AA80" s="224" t="e">
        <v>#DIV/0!</v>
      </c>
      <c r="AB80" s="224" t="e">
        <v>#DIV/0!</v>
      </c>
      <c r="AC80" s="224" t="e">
        <v>#DIV/0!</v>
      </c>
      <c r="AD80" s="1120" t="e">
        <v>#DIV/0!</v>
      </c>
      <c r="AE80" s="224" t="e">
        <v>#DIV/0!</v>
      </c>
      <c r="AF80" s="224" t="e">
        <v>#DIV/0!</v>
      </c>
      <c r="AG80" s="224" t="e">
        <v>#DIV/0!</v>
      </c>
      <c r="AH80" s="224" t="e">
        <v>#DIV/0!</v>
      </c>
      <c r="AI80" s="224" t="e">
        <v>#DIV/0!</v>
      </c>
      <c r="AJ80" s="224" t="e">
        <v>#DIV/0!</v>
      </c>
      <c r="AK80" s="224" t="e">
        <v>#DIV/0!</v>
      </c>
      <c r="AL80" s="224" t="e">
        <v>#DIV/0!</v>
      </c>
      <c r="AM80" s="224" t="e">
        <v>#DIV/0!</v>
      </c>
      <c r="AN80" s="1120" t="e">
        <v>#DIV/0!</v>
      </c>
      <c r="AO80" s="224" t="e">
        <f t="shared" si="5"/>
        <v>#DIV/0!</v>
      </c>
      <c r="AP80" s="1123">
        <v>0.1</v>
      </c>
      <c r="AQ80" s="1123">
        <f t="shared" si="7"/>
        <v>6.3391806341729959E-2</v>
      </c>
      <c r="AR80" s="1123">
        <v>20</v>
      </c>
      <c r="AS80" s="1123" t="e">
        <f t="shared" si="4"/>
        <v>#DIV/0!</v>
      </c>
      <c r="AT80" s="224" t="e">
        <f t="shared" si="6"/>
        <v>#DIV/0!</v>
      </c>
    </row>
    <row r="81" spans="1:46">
      <c r="A81" s="1118">
        <v>2025</v>
      </c>
      <c r="D81" s="1107" t="s">
        <v>2003</v>
      </c>
      <c r="E81" s="224" t="s">
        <v>2062</v>
      </c>
      <c r="G81" s="224" t="e">
        <v>#DIV/0!</v>
      </c>
      <c r="H81" s="224" t="e">
        <v>#DIV/0!</v>
      </c>
      <c r="I81" s="224" t="e">
        <v>#DIV/0!</v>
      </c>
      <c r="J81" s="224" t="e">
        <v>#DIV/0!</v>
      </c>
      <c r="K81" s="224" t="e">
        <v>#DIV/0!</v>
      </c>
      <c r="L81" s="224" t="e">
        <v>#DIV/0!</v>
      </c>
      <c r="M81" s="224" t="e">
        <v>#DIV/0!</v>
      </c>
      <c r="N81" s="224" t="e">
        <v>#DIV/0!</v>
      </c>
      <c r="O81" s="224" t="e">
        <v>#DIV/0!</v>
      </c>
      <c r="P81" s="224" t="e">
        <v>#DIV/0!</v>
      </c>
      <c r="Q81" s="224" t="e">
        <v>#DIV/0!</v>
      </c>
      <c r="R81" s="224" t="e">
        <v>#DIV/0!</v>
      </c>
      <c r="S81" s="224" t="e">
        <v>#DIV/0!</v>
      </c>
      <c r="T81" s="224" t="e">
        <v>#DIV/0!</v>
      </c>
      <c r="U81" s="224" t="e">
        <v>#DIV/0!</v>
      </c>
      <c r="V81" s="224" t="e">
        <v>#DIV/0!</v>
      </c>
      <c r="W81" s="224" t="e">
        <v>#DIV/0!</v>
      </c>
      <c r="X81" s="224" t="e">
        <v>#DIV/0!</v>
      </c>
      <c r="Y81" s="224" t="e">
        <v>#DIV/0!</v>
      </c>
      <c r="Z81" s="224" t="e">
        <v>#DIV/0!</v>
      </c>
      <c r="AA81" s="224" t="e">
        <v>#DIV/0!</v>
      </c>
      <c r="AB81" s="224" t="e">
        <v>#DIV/0!</v>
      </c>
      <c r="AC81" s="224" t="e">
        <v>#DIV/0!</v>
      </c>
      <c r="AD81" s="1120" t="e">
        <v>#DIV/0!</v>
      </c>
      <c r="AE81" s="224" t="e">
        <v>#DIV/0!</v>
      </c>
      <c r="AF81" s="224" t="e">
        <v>#DIV/0!</v>
      </c>
      <c r="AG81" s="224" t="e">
        <v>#DIV/0!</v>
      </c>
      <c r="AH81" s="224" t="e">
        <v>#DIV/0!</v>
      </c>
      <c r="AI81" s="224" t="e">
        <v>#DIV/0!</v>
      </c>
      <c r="AJ81" s="224" t="e">
        <v>#DIV/0!</v>
      </c>
      <c r="AK81" s="224" t="e">
        <v>#DIV/0!</v>
      </c>
      <c r="AL81" s="224" t="e">
        <v>#DIV/0!</v>
      </c>
      <c r="AM81" s="224" t="e">
        <v>#DIV/0!</v>
      </c>
      <c r="AN81" s="1120" t="e">
        <v>#DIV/0!</v>
      </c>
      <c r="AO81" s="224" t="e">
        <f t="shared" si="5"/>
        <v>#DIV/0!</v>
      </c>
      <c r="AP81" s="1123">
        <v>0.1</v>
      </c>
      <c r="AQ81" s="1123">
        <f t="shared" si="7"/>
        <v>6.3391806341729959E-2</v>
      </c>
      <c r="AR81" s="1123">
        <v>20</v>
      </c>
      <c r="AS81" s="1123" t="e">
        <f t="shared" si="4"/>
        <v>#DIV/0!</v>
      </c>
      <c r="AT81" s="224" t="e">
        <f t="shared" si="6"/>
        <v>#DIV/0!</v>
      </c>
    </row>
    <row r="82" spans="1:46">
      <c r="A82" s="1118">
        <v>2030</v>
      </c>
      <c r="D82" s="1107" t="s">
        <v>2003</v>
      </c>
      <c r="E82" s="224" t="s">
        <v>2062</v>
      </c>
      <c r="G82" s="224">
        <v>3533.8088048981808</v>
      </c>
      <c r="H82" s="224">
        <v>1679.5</v>
      </c>
      <c r="I82" s="224">
        <v>2.3443200000000002</v>
      </c>
      <c r="J82" s="224">
        <v>2.0152619915498694E-2</v>
      </c>
      <c r="K82" s="224">
        <v>2.5584682137724041E-2</v>
      </c>
      <c r="L82" s="224">
        <v>3.1895332620800326E-2</v>
      </c>
      <c r="M82" s="224">
        <v>0</v>
      </c>
      <c r="N82" s="224">
        <v>0</v>
      </c>
      <c r="O82" s="224">
        <v>0</v>
      </c>
      <c r="P82" s="224">
        <v>0</v>
      </c>
      <c r="Q82" s="224">
        <v>0</v>
      </c>
      <c r="R82" s="224">
        <v>0</v>
      </c>
      <c r="S82" s="224">
        <v>0</v>
      </c>
      <c r="T82" s="224">
        <v>0</v>
      </c>
      <c r="U82" s="224">
        <v>0</v>
      </c>
      <c r="V82" s="224">
        <v>0</v>
      </c>
      <c r="W82" s="224">
        <v>149.9532681</v>
      </c>
      <c r="X82" s="224">
        <v>44.303056768558939</v>
      </c>
      <c r="Y82" s="224">
        <v>2.3443200000000002</v>
      </c>
      <c r="Z82" s="224">
        <v>97.369036249999994</v>
      </c>
      <c r="AA82" s="224">
        <v>4.030523983099739</v>
      </c>
      <c r="AB82" s="224">
        <v>5.1169364275448084</v>
      </c>
      <c r="AC82" s="224">
        <v>6.3790665241600646</v>
      </c>
      <c r="AD82" s="1120">
        <v>19.303355955212709</v>
      </c>
      <c r="AE82" s="224">
        <v>0</v>
      </c>
      <c r="AF82" s="224">
        <v>1502.4417541128</v>
      </c>
      <c r="AG82" s="224">
        <v>983.52786026200829</v>
      </c>
      <c r="AH82" s="224">
        <v>0</v>
      </c>
      <c r="AI82" s="224">
        <v>18600</v>
      </c>
      <c r="AJ82" s="224">
        <v>619.42648860000008</v>
      </c>
      <c r="AK82" s="224">
        <v>5614.4184944067338</v>
      </c>
      <c r="AL82" s="224">
        <v>11528.46</v>
      </c>
      <c r="AM82" s="224">
        <v>3599.9297999999999</v>
      </c>
      <c r="AN82" s="1120">
        <v>42448.204397381545</v>
      </c>
      <c r="AO82" s="224">
        <f t="shared" si="5"/>
        <v>2.5434101806588263</v>
      </c>
      <c r="AP82" s="1123">
        <v>0.1</v>
      </c>
      <c r="AQ82" s="1123">
        <f t="shared" si="7"/>
        <v>6.3391806341729959E-2</v>
      </c>
      <c r="AR82" s="1123">
        <v>20</v>
      </c>
      <c r="AS82" s="1123">
        <f t="shared" si="4"/>
        <v>0.34971862021256112</v>
      </c>
      <c r="AT82" s="224">
        <f t="shared" si="6"/>
        <v>2690.868352712981</v>
      </c>
    </row>
    <row r="83" spans="1:46">
      <c r="A83" s="1118">
        <v>2035</v>
      </c>
      <c r="D83" s="1107" t="s">
        <v>2003</v>
      </c>
      <c r="E83" s="224" t="s">
        <v>2062</v>
      </c>
      <c r="G83" s="224" t="e">
        <v>#DIV/0!</v>
      </c>
      <c r="H83" s="224" t="e">
        <v>#DIV/0!</v>
      </c>
      <c r="I83" s="224" t="e">
        <v>#DIV/0!</v>
      </c>
      <c r="J83" s="224" t="e">
        <v>#DIV/0!</v>
      </c>
      <c r="K83" s="224" t="e">
        <v>#DIV/0!</v>
      </c>
      <c r="L83" s="224" t="e">
        <v>#DIV/0!</v>
      </c>
      <c r="M83" s="224" t="e">
        <v>#DIV/0!</v>
      </c>
      <c r="N83" s="224" t="e">
        <v>#DIV/0!</v>
      </c>
      <c r="O83" s="224" t="e">
        <v>#DIV/0!</v>
      </c>
      <c r="P83" s="224" t="e">
        <v>#DIV/0!</v>
      </c>
      <c r="Q83" s="224" t="e">
        <v>#DIV/0!</v>
      </c>
      <c r="R83" s="224" t="e">
        <v>#DIV/0!</v>
      </c>
      <c r="S83" s="224" t="e">
        <v>#DIV/0!</v>
      </c>
      <c r="T83" s="224" t="e">
        <v>#DIV/0!</v>
      </c>
      <c r="U83" s="224" t="e">
        <v>#DIV/0!</v>
      </c>
      <c r="V83" s="224" t="e">
        <v>#DIV/0!</v>
      </c>
      <c r="W83" s="224" t="e">
        <v>#DIV/0!</v>
      </c>
      <c r="X83" s="224" t="e">
        <v>#DIV/0!</v>
      </c>
      <c r="Y83" s="224" t="e">
        <v>#DIV/0!</v>
      </c>
      <c r="Z83" s="224" t="e">
        <v>#DIV/0!</v>
      </c>
      <c r="AA83" s="224" t="e">
        <v>#DIV/0!</v>
      </c>
      <c r="AB83" s="224" t="e">
        <v>#DIV/0!</v>
      </c>
      <c r="AC83" s="224" t="e">
        <v>#DIV/0!</v>
      </c>
      <c r="AD83" s="1120" t="e">
        <v>#DIV/0!</v>
      </c>
      <c r="AE83" s="224" t="e">
        <v>#DIV/0!</v>
      </c>
      <c r="AF83" s="224" t="e">
        <v>#DIV/0!</v>
      </c>
      <c r="AG83" s="224" t="e">
        <v>#DIV/0!</v>
      </c>
      <c r="AH83" s="224" t="e">
        <v>#DIV/0!</v>
      </c>
      <c r="AI83" s="224" t="e">
        <v>#DIV/0!</v>
      </c>
      <c r="AJ83" s="224" t="e">
        <v>#DIV/0!</v>
      </c>
      <c r="AK83" s="224" t="e">
        <v>#DIV/0!</v>
      </c>
      <c r="AL83" s="224" t="e">
        <v>#DIV/0!</v>
      </c>
      <c r="AM83" s="224" t="e">
        <v>#DIV/0!</v>
      </c>
      <c r="AN83" s="1120" t="e">
        <v>#DIV/0!</v>
      </c>
      <c r="AO83" s="224" t="e">
        <f t="shared" si="5"/>
        <v>#DIV/0!</v>
      </c>
      <c r="AP83" s="1123">
        <v>0.1</v>
      </c>
      <c r="AQ83" s="1123">
        <f t="shared" si="7"/>
        <v>6.3391806341729959E-2</v>
      </c>
      <c r="AR83" s="1123">
        <v>20</v>
      </c>
      <c r="AS83" s="1123" t="e">
        <f t="shared" si="4"/>
        <v>#DIV/0!</v>
      </c>
      <c r="AT83" s="224" t="e">
        <f t="shared" si="6"/>
        <v>#DIV/0!</v>
      </c>
    </row>
    <row r="84" spans="1:46">
      <c r="A84" s="1118">
        <v>2050</v>
      </c>
      <c r="D84" s="1107" t="s">
        <v>2003</v>
      </c>
      <c r="E84" s="224" t="s">
        <v>2062</v>
      </c>
      <c r="G84" s="224">
        <v>3213.1958107497685</v>
      </c>
      <c r="H84" s="224">
        <v>1762.5</v>
      </c>
      <c r="I84" s="224">
        <v>2.1146400000000001</v>
      </c>
      <c r="J84" s="224">
        <v>1.6091622779731279E-2</v>
      </c>
      <c r="K84" s="224">
        <v>2.1592041072090926E-2</v>
      </c>
      <c r="L84" s="224">
        <v>2.7233811708624812E-2</v>
      </c>
      <c r="M84" s="224">
        <v>0</v>
      </c>
      <c r="N84" s="224">
        <v>0</v>
      </c>
      <c r="O84" s="224">
        <v>0</v>
      </c>
      <c r="P84" s="224">
        <v>0</v>
      </c>
      <c r="Q84" s="224">
        <v>0</v>
      </c>
      <c r="R84" s="224">
        <v>0</v>
      </c>
      <c r="S84" s="224">
        <v>0</v>
      </c>
      <c r="T84" s="224">
        <v>0</v>
      </c>
      <c r="U84" s="224">
        <v>0</v>
      </c>
      <c r="V84" s="224">
        <v>0</v>
      </c>
      <c r="W84" s="224">
        <v>133.11707964999999</v>
      </c>
      <c r="X84" s="224">
        <v>39.962554585152823</v>
      </c>
      <c r="Y84" s="224">
        <v>2.1146400000000001</v>
      </c>
      <c r="Z84" s="224">
        <v>86.256103400000001</v>
      </c>
      <c r="AA84" s="224">
        <v>3.2183245559462561</v>
      </c>
      <c r="AB84" s="224">
        <v>4.3184082144181852</v>
      </c>
      <c r="AC84" s="224">
        <v>5.4467623417249627</v>
      </c>
      <c r="AD84" s="1120">
        <v>14.096532110677792</v>
      </c>
      <c r="AE84" s="224">
        <v>0</v>
      </c>
      <c r="AF84" s="224">
        <v>671.36198232000004</v>
      </c>
      <c r="AG84" s="224">
        <v>623.415851528384</v>
      </c>
      <c r="AH84" s="224">
        <v>0</v>
      </c>
      <c r="AI84" s="224">
        <v>18600</v>
      </c>
      <c r="AJ84" s="224">
        <v>1463.2117487400001</v>
      </c>
      <c r="AK84" s="224">
        <v>6393.2965024452897</v>
      </c>
      <c r="AL84" s="224">
        <v>6210.6</v>
      </c>
      <c r="AM84" s="224">
        <v>2210.8749600000001</v>
      </c>
      <c r="AN84" s="1120">
        <v>36172.761045033665</v>
      </c>
      <c r="AO84" s="224">
        <f t="shared" si="5"/>
        <v>1.8573590709029058</v>
      </c>
      <c r="AP84" s="1123">
        <v>0.1</v>
      </c>
      <c r="AQ84" s="1123">
        <f t="shared" si="7"/>
        <v>6.3391806341729959E-2</v>
      </c>
      <c r="AR84" s="1123">
        <v>20</v>
      </c>
      <c r="AS84" s="1123">
        <f t="shared" si="4"/>
        <v>0.25538666804706789</v>
      </c>
      <c r="AT84" s="224">
        <f t="shared" si="6"/>
        <v>2293.0566630124476</v>
      </c>
    </row>
    <row r="85" spans="1:46">
      <c r="A85" s="1118">
        <v>2017</v>
      </c>
      <c r="B85" s="1119"/>
      <c r="C85" s="1119"/>
      <c r="D85" s="1119" t="s">
        <v>531</v>
      </c>
      <c r="E85" s="1119" t="s">
        <v>2057</v>
      </c>
      <c r="F85" s="1119"/>
      <c r="G85" s="224">
        <v>11100.744038962512</v>
      </c>
      <c r="H85" s="224">
        <v>6467</v>
      </c>
      <c r="I85" s="224">
        <v>3.1680000000000001</v>
      </c>
      <c r="J85" s="224">
        <v>0.10405569828545599</v>
      </c>
      <c r="K85" s="224">
        <v>7.2810078080015786E-2</v>
      </c>
      <c r="L85" s="224">
        <v>8.5475492153009383E-2</v>
      </c>
      <c r="M85" s="224">
        <v>0</v>
      </c>
      <c r="N85" s="224">
        <v>0</v>
      </c>
      <c r="O85" s="224">
        <v>0</v>
      </c>
      <c r="P85" s="224">
        <v>0</v>
      </c>
      <c r="Q85" s="224">
        <v>0</v>
      </c>
      <c r="R85" s="224">
        <v>0</v>
      </c>
      <c r="S85" s="224">
        <v>0</v>
      </c>
      <c r="T85" s="224">
        <v>0</v>
      </c>
      <c r="U85" s="224">
        <v>0</v>
      </c>
      <c r="V85" s="224">
        <v>199.69452859999998</v>
      </c>
      <c r="W85" s="224">
        <v>0</v>
      </c>
      <c r="X85" s="224">
        <v>4.3509999999999991</v>
      </c>
      <c r="Y85" s="224">
        <v>3.1680000000000001</v>
      </c>
      <c r="Z85" s="224">
        <v>0</v>
      </c>
      <c r="AA85" s="224">
        <v>15.608354742818399</v>
      </c>
      <c r="AB85" s="224">
        <v>10.921511712002367</v>
      </c>
      <c r="AC85" s="224">
        <v>12.821323822951408</v>
      </c>
      <c r="AD85" s="1120">
        <v>13.014656704562958</v>
      </c>
      <c r="AE85" s="224">
        <v>18587.158587373709</v>
      </c>
      <c r="AF85" s="224">
        <v>0</v>
      </c>
      <c r="AG85" s="224">
        <v>261.60000000000002</v>
      </c>
      <c r="AH85" s="224">
        <v>6601.5423752813786</v>
      </c>
      <c r="AI85" s="224">
        <v>49200</v>
      </c>
      <c r="AJ85" s="224">
        <v>0</v>
      </c>
      <c r="AK85" s="224">
        <v>745.98720000000003</v>
      </c>
      <c r="AL85" s="224">
        <v>0</v>
      </c>
      <c r="AM85" s="224">
        <v>436.00000000000006</v>
      </c>
      <c r="AN85" s="1120">
        <v>75832.288162655095</v>
      </c>
      <c r="AO85" s="224">
        <f t="shared" si="5"/>
        <v>1.7148111673932152</v>
      </c>
      <c r="AP85" s="1123">
        <v>0.1</v>
      </c>
      <c r="AQ85" s="1123">
        <f>AA85*$C$4*365/1000*0.1</f>
        <v>7.5064323963351956E-2</v>
      </c>
      <c r="AR85" s="1123">
        <v>20</v>
      </c>
      <c r="AS85" s="1123">
        <f>AO85/$AO$85</f>
        <v>1</v>
      </c>
      <c r="AT85" s="224">
        <f t="shared" si="6"/>
        <v>5692.2994455238013</v>
      </c>
    </row>
    <row r="86" spans="1:46">
      <c r="A86" s="1121">
        <v>2020</v>
      </c>
      <c r="B86" s="1107"/>
      <c r="C86" s="1107"/>
      <c r="D86" s="1107" t="s">
        <v>531</v>
      </c>
      <c r="E86" s="1107" t="s">
        <v>2057</v>
      </c>
      <c r="F86" s="1107"/>
      <c r="G86" s="224" t="e">
        <v>#DIV/0!</v>
      </c>
      <c r="H86" s="224" t="e">
        <v>#DIV/0!</v>
      </c>
      <c r="I86" s="224" t="e">
        <v>#DIV/0!</v>
      </c>
      <c r="J86" s="224" t="e">
        <v>#DIV/0!</v>
      </c>
      <c r="K86" s="224" t="e">
        <v>#DIV/0!</v>
      </c>
      <c r="L86" s="224" t="e">
        <v>#DIV/0!</v>
      </c>
      <c r="M86" s="224" t="e">
        <v>#DIV/0!</v>
      </c>
      <c r="N86" s="224" t="e">
        <v>#DIV/0!</v>
      </c>
      <c r="O86" s="224" t="e">
        <v>#DIV/0!</v>
      </c>
      <c r="P86" s="224" t="e">
        <v>#DIV/0!</v>
      </c>
      <c r="Q86" s="224" t="e">
        <v>#DIV/0!</v>
      </c>
      <c r="R86" s="224" t="e">
        <v>#DIV/0!</v>
      </c>
      <c r="S86" s="224" t="e">
        <v>#DIV/0!</v>
      </c>
      <c r="T86" s="224" t="e">
        <v>#DIV/0!</v>
      </c>
      <c r="U86" s="224" t="e">
        <v>#DIV/0!</v>
      </c>
      <c r="V86" s="224" t="e">
        <v>#DIV/0!</v>
      </c>
      <c r="W86" s="224" t="e">
        <v>#DIV/0!</v>
      </c>
      <c r="X86" s="224" t="e">
        <v>#DIV/0!</v>
      </c>
      <c r="Y86" s="224" t="e">
        <v>#DIV/0!</v>
      </c>
      <c r="Z86" s="224" t="e">
        <v>#DIV/0!</v>
      </c>
      <c r="AA86" s="224" t="e">
        <v>#DIV/0!</v>
      </c>
      <c r="AB86" s="224" t="e">
        <v>#DIV/0!</v>
      </c>
      <c r="AC86" s="224" t="e">
        <v>#DIV/0!</v>
      </c>
      <c r="AD86" s="1120" t="e">
        <v>#DIV/0!</v>
      </c>
      <c r="AE86" s="224" t="e">
        <v>#DIV/0!</v>
      </c>
      <c r="AF86" s="224" t="e">
        <v>#DIV/0!</v>
      </c>
      <c r="AG86" s="224" t="e">
        <v>#DIV/0!</v>
      </c>
      <c r="AH86" s="224" t="e">
        <v>#DIV/0!</v>
      </c>
      <c r="AI86" s="224" t="e">
        <v>#DIV/0!</v>
      </c>
      <c r="AJ86" s="224" t="e">
        <v>#DIV/0!</v>
      </c>
      <c r="AK86" s="224" t="e">
        <v>#DIV/0!</v>
      </c>
      <c r="AL86" s="224" t="e">
        <v>#DIV/0!</v>
      </c>
      <c r="AM86" s="224" t="e">
        <v>#DIV/0!</v>
      </c>
      <c r="AN86" s="1120" t="e">
        <v>#DIV/0!</v>
      </c>
      <c r="AO86" s="224" t="e">
        <f t="shared" si="5"/>
        <v>#DIV/0!</v>
      </c>
      <c r="AP86" s="1123">
        <v>0.1</v>
      </c>
      <c r="AQ86" s="1123">
        <f t="shared" si="7"/>
        <v>7.5064323963351956E-2</v>
      </c>
      <c r="AR86" s="1123">
        <v>20</v>
      </c>
      <c r="AS86" s="1123" t="e">
        <f t="shared" ref="AS86:AS120" si="8">AO86/$AO$85</f>
        <v>#DIV/0!</v>
      </c>
      <c r="AT86" s="224" t="e">
        <f t="shared" si="6"/>
        <v>#DIV/0!</v>
      </c>
    </row>
    <row r="87" spans="1:46">
      <c r="A87" s="1118">
        <v>2025</v>
      </c>
      <c r="B87" s="1119"/>
      <c r="C87" s="1119"/>
      <c r="D87" s="1107" t="s">
        <v>531</v>
      </c>
      <c r="E87" s="1119" t="s">
        <v>2057</v>
      </c>
      <c r="F87" s="1119"/>
      <c r="G87" s="224" t="e">
        <v>#DIV/0!</v>
      </c>
      <c r="H87" s="224" t="e">
        <v>#DIV/0!</v>
      </c>
      <c r="I87" s="224" t="e">
        <v>#DIV/0!</v>
      </c>
      <c r="J87" s="224" t="e">
        <v>#DIV/0!</v>
      </c>
      <c r="K87" s="224" t="e">
        <v>#DIV/0!</v>
      </c>
      <c r="L87" s="224" t="e">
        <v>#DIV/0!</v>
      </c>
      <c r="M87" s="224" t="e">
        <v>#DIV/0!</v>
      </c>
      <c r="N87" s="224" t="e">
        <v>#DIV/0!</v>
      </c>
      <c r="O87" s="224" t="e">
        <v>#DIV/0!</v>
      </c>
      <c r="P87" s="224" t="e">
        <v>#DIV/0!</v>
      </c>
      <c r="Q87" s="224" t="e">
        <v>#DIV/0!</v>
      </c>
      <c r="R87" s="224" t="e">
        <v>#DIV/0!</v>
      </c>
      <c r="S87" s="224" t="e">
        <v>#DIV/0!</v>
      </c>
      <c r="T87" s="224" t="e">
        <v>#DIV/0!</v>
      </c>
      <c r="U87" s="224" t="e">
        <v>#DIV/0!</v>
      </c>
      <c r="V87" s="224" t="e">
        <v>#DIV/0!</v>
      </c>
      <c r="W87" s="224" t="e">
        <v>#DIV/0!</v>
      </c>
      <c r="X87" s="224" t="e">
        <v>#DIV/0!</v>
      </c>
      <c r="Y87" s="224" t="e">
        <v>#DIV/0!</v>
      </c>
      <c r="Z87" s="224" t="e">
        <v>#DIV/0!</v>
      </c>
      <c r="AA87" s="224" t="e">
        <v>#DIV/0!</v>
      </c>
      <c r="AB87" s="224" t="e">
        <v>#DIV/0!</v>
      </c>
      <c r="AC87" s="224" t="e">
        <v>#DIV/0!</v>
      </c>
      <c r="AD87" s="1120" t="e">
        <v>#DIV/0!</v>
      </c>
      <c r="AE87" s="224" t="e">
        <v>#DIV/0!</v>
      </c>
      <c r="AF87" s="224" t="e">
        <v>#DIV/0!</v>
      </c>
      <c r="AG87" s="224" t="e">
        <v>#DIV/0!</v>
      </c>
      <c r="AH87" s="224" t="e">
        <v>#DIV/0!</v>
      </c>
      <c r="AI87" s="224" t="e">
        <v>#DIV/0!</v>
      </c>
      <c r="AJ87" s="224" t="e">
        <v>#DIV/0!</v>
      </c>
      <c r="AK87" s="224" t="e">
        <v>#DIV/0!</v>
      </c>
      <c r="AL87" s="224" t="e">
        <v>#DIV/0!</v>
      </c>
      <c r="AM87" s="224" t="e">
        <v>#DIV/0!</v>
      </c>
      <c r="AN87" s="1120" t="e">
        <v>#DIV/0!</v>
      </c>
      <c r="AO87" s="224" t="e">
        <f t="shared" si="5"/>
        <v>#DIV/0!</v>
      </c>
      <c r="AP87" s="1123">
        <v>0.1</v>
      </c>
      <c r="AQ87" s="1123">
        <f t="shared" si="7"/>
        <v>7.5064323963351956E-2</v>
      </c>
      <c r="AR87" s="1123">
        <v>20</v>
      </c>
      <c r="AS87" s="1123" t="e">
        <f t="shared" si="8"/>
        <v>#DIV/0!</v>
      </c>
      <c r="AT87" s="224" t="e">
        <f t="shared" si="6"/>
        <v>#DIV/0!</v>
      </c>
    </row>
    <row r="88" spans="1:46">
      <c r="A88" s="1118">
        <v>2030</v>
      </c>
      <c r="B88" s="1107"/>
      <c r="C88" s="1107"/>
      <c r="D88" s="1107" t="s">
        <v>531</v>
      </c>
      <c r="E88" s="1107" t="s">
        <v>2057</v>
      </c>
      <c r="F88" s="1107"/>
      <c r="G88" s="224">
        <v>19983.69671034018</v>
      </c>
      <c r="H88" s="224">
        <v>10561.333333333334</v>
      </c>
      <c r="I88" s="224">
        <v>3.1680000000000006</v>
      </c>
      <c r="J88" s="224">
        <v>0.13569154063174957</v>
      </c>
      <c r="K88" s="224">
        <v>8.1071760632485723E-2</v>
      </c>
      <c r="L88" s="224">
        <v>9.0112530737374963E-2</v>
      </c>
      <c r="M88" s="224">
        <v>0</v>
      </c>
      <c r="N88" s="224">
        <v>0</v>
      </c>
      <c r="O88" s="224">
        <v>0</v>
      </c>
      <c r="P88" s="224">
        <v>0</v>
      </c>
      <c r="Q88" s="224">
        <v>0</v>
      </c>
      <c r="R88" s="224">
        <v>0</v>
      </c>
      <c r="S88" s="224">
        <v>0</v>
      </c>
      <c r="T88" s="224">
        <v>0</v>
      </c>
      <c r="U88" s="224">
        <v>0</v>
      </c>
      <c r="V88" s="224">
        <v>243.61868640000003</v>
      </c>
      <c r="W88" s="224">
        <v>0</v>
      </c>
      <c r="X88" s="224">
        <v>4.3964347826086954</v>
      </c>
      <c r="Y88" s="224">
        <v>3.1680000000000006</v>
      </c>
      <c r="Z88" s="224">
        <v>0</v>
      </c>
      <c r="AA88" s="224">
        <v>20.353731094762434</v>
      </c>
      <c r="AB88" s="224">
        <v>12.16076409487286</v>
      </c>
      <c r="AC88" s="224">
        <v>13.516879610606246</v>
      </c>
      <c r="AD88" s="1120">
        <v>10.668385630529594</v>
      </c>
      <c r="AE88" s="224">
        <v>23472.804954111998</v>
      </c>
      <c r="AF88" s="224">
        <v>0</v>
      </c>
      <c r="AG88" s="224">
        <v>177.6</v>
      </c>
      <c r="AH88" s="224">
        <v>7829.2983170979305</v>
      </c>
      <c r="AI88" s="224">
        <v>60400</v>
      </c>
      <c r="AJ88" s="224">
        <v>3142.5935149999991</v>
      </c>
      <c r="AK88" s="224">
        <v>4601.2931467233002</v>
      </c>
      <c r="AL88" s="224">
        <v>0</v>
      </c>
      <c r="AM88" s="224">
        <v>296</v>
      </c>
      <c r="AN88" s="1120">
        <v>99919.589932933231</v>
      </c>
      <c r="AO88" s="224">
        <f t="shared" si="5"/>
        <v>1.4056664906785792</v>
      </c>
      <c r="AP88" s="1123">
        <v>0.1</v>
      </c>
      <c r="AQ88" s="1123">
        <f t="shared" si="7"/>
        <v>7.5064323963351956E-2</v>
      </c>
      <c r="AR88" s="1123">
        <v>20</v>
      </c>
      <c r="AS88" s="1123">
        <f t="shared" si="8"/>
        <v>0.8197208633854508</v>
      </c>
      <c r="AT88" s="224">
        <f t="shared" si="6"/>
        <v>7500.3964690109806</v>
      </c>
    </row>
    <row r="89" spans="1:46">
      <c r="A89" s="1118">
        <v>2035</v>
      </c>
      <c r="B89" s="1119"/>
      <c r="C89" s="1119"/>
      <c r="D89" s="1107" t="s">
        <v>531</v>
      </c>
      <c r="E89" s="1119" t="s">
        <v>2057</v>
      </c>
      <c r="F89" s="1119"/>
      <c r="G89" s="224" t="e">
        <v>#DIV/0!</v>
      </c>
      <c r="H89" s="224" t="e">
        <v>#DIV/0!</v>
      </c>
      <c r="I89" s="224" t="e">
        <v>#DIV/0!</v>
      </c>
      <c r="J89" s="224" t="e">
        <v>#DIV/0!</v>
      </c>
      <c r="K89" s="224" t="e">
        <v>#DIV/0!</v>
      </c>
      <c r="L89" s="224" t="e">
        <v>#DIV/0!</v>
      </c>
      <c r="M89" s="224" t="e">
        <v>#DIV/0!</v>
      </c>
      <c r="N89" s="224" t="e">
        <v>#DIV/0!</v>
      </c>
      <c r="O89" s="224" t="e">
        <v>#DIV/0!</v>
      </c>
      <c r="P89" s="224" t="e">
        <v>#DIV/0!</v>
      </c>
      <c r="Q89" s="224" t="e">
        <v>#DIV/0!</v>
      </c>
      <c r="R89" s="224" t="e">
        <v>#DIV/0!</v>
      </c>
      <c r="S89" s="224" t="e">
        <v>#DIV/0!</v>
      </c>
      <c r="T89" s="224" t="e">
        <v>#DIV/0!</v>
      </c>
      <c r="U89" s="224" t="e">
        <v>#DIV/0!</v>
      </c>
      <c r="V89" s="224" t="e">
        <v>#DIV/0!</v>
      </c>
      <c r="W89" s="224" t="e">
        <v>#DIV/0!</v>
      </c>
      <c r="X89" s="224" t="e">
        <v>#DIV/0!</v>
      </c>
      <c r="Y89" s="224" t="e">
        <v>#DIV/0!</v>
      </c>
      <c r="Z89" s="224" t="e">
        <v>#DIV/0!</v>
      </c>
      <c r="AA89" s="224" t="e">
        <v>#DIV/0!</v>
      </c>
      <c r="AB89" s="224" t="e">
        <v>#DIV/0!</v>
      </c>
      <c r="AC89" s="224" t="e">
        <v>#DIV/0!</v>
      </c>
      <c r="AD89" s="1120" t="e">
        <v>#DIV/0!</v>
      </c>
      <c r="AE89" s="224" t="e">
        <v>#DIV/0!</v>
      </c>
      <c r="AF89" s="224" t="e">
        <v>#DIV/0!</v>
      </c>
      <c r="AG89" s="224" t="e">
        <v>#DIV/0!</v>
      </c>
      <c r="AH89" s="224" t="e">
        <v>#DIV/0!</v>
      </c>
      <c r="AI89" s="224" t="e">
        <v>#DIV/0!</v>
      </c>
      <c r="AJ89" s="224" t="e">
        <v>#DIV/0!</v>
      </c>
      <c r="AK89" s="224" t="e">
        <v>#DIV/0!</v>
      </c>
      <c r="AL89" s="224" t="e">
        <v>#DIV/0!</v>
      </c>
      <c r="AM89" s="224" t="e">
        <v>#DIV/0!</v>
      </c>
      <c r="AN89" s="1120" t="e">
        <v>#DIV/0!</v>
      </c>
      <c r="AO89" s="224" t="e">
        <f t="shared" si="5"/>
        <v>#DIV/0!</v>
      </c>
      <c r="AP89" s="1123">
        <v>0.1</v>
      </c>
      <c r="AQ89" s="1123">
        <f t="shared" si="7"/>
        <v>7.5064323963351956E-2</v>
      </c>
      <c r="AR89" s="1123">
        <v>20</v>
      </c>
      <c r="AS89" s="1123" t="e">
        <f t="shared" si="8"/>
        <v>#DIV/0!</v>
      </c>
      <c r="AT89" s="224" t="e">
        <f t="shared" si="6"/>
        <v>#DIV/0!</v>
      </c>
    </row>
    <row r="90" spans="1:46">
      <c r="A90" s="1118">
        <v>2050</v>
      </c>
      <c r="B90" s="1107"/>
      <c r="C90" s="1107"/>
      <c r="D90" s="1107" t="s">
        <v>531</v>
      </c>
      <c r="E90" s="1107" t="s">
        <v>2057</v>
      </c>
      <c r="F90" s="1107"/>
      <c r="G90" s="224">
        <v>19758.335932354355</v>
      </c>
      <c r="H90" s="224">
        <v>10972</v>
      </c>
      <c r="I90" s="224">
        <v>3.1680000000000006</v>
      </c>
      <c r="J90" s="224">
        <v>0.12434380992141593</v>
      </c>
      <c r="K90" s="224">
        <v>7.2348634610258963E-2</v>
      </c>
      <c r="L90" s="224">
        <v>8.1361650974030419E-2</v>
      </c>
      <c r="M90" s="224">
        <v>0</v>
      </c>
      <c r="N90" s="224">
        <v>0</v>
      </c>
      <c r="O90" s="224">
        <v>0</v>
      </c>
      <c r="P90" s="224">
        <v>0</v>
      </c>
      <c r="Q90" s="224">
        <v>0</v>
      </c>
      <c r="R90" s="224">
        <v>0</v>
      </c>
      <c r="S90" s="224">
        <v>0</v>
      </c>
      <c r="T90" s="224">
        <v>0</v>
      </c>
      <c r="U90" s="224">
        <v>0</v>
      </c>
      <c r="V90" s="224">
        <v>238.09564950000001</v>
      </c>
      <c r="W90" s="224">
        <v>0</v>
      </c>
      <c r="X90" s="224">
        <v>4.3964347826086954</v>
      </c>
      <c r="Y90" s="224">
        <v>3.1680000000000006</v>
      </c>
      <c r="Z90" s="224">
        <v>0</v>
      </c>
      <c r="AA90" s="224">
        <v>18.651571488212394</v>
      </c>
      <c r="AB90" s="224">
        <v>10.852295191538845</v>
      </c>
      <c r="AC90" s="224">
        <v>12.204247646104562</v>
      </c>
      <c r="AD90" s="1120">
        <v>9.4058561391212905</v>
      </c>
      <c r="AE90" s="224">
        <v>22859.168341531429</v>
      </c>
      <c r="AF90" s="224">
        <v>0</v>
      </c>
      <c r="AG90" s="224">
        <v>144</v>
      </c>
      <c r="AH90" s="224">
        <v>7674.9199132655167</v>
      </c>
      <c r="AI90" s="224">
        <v>60400</v>
      </c>
      <c r="AJ90" s="224">
        <v>7970.2159843600011</v>
      </c>
      <c r="AK90" s="224">
        <v>5802.3136575333883</v>
      </c>
      <c r="AL90" s="224">
        <v>0</v>
      </c>
      <c r="AM90" s="224">
        <v>240</v>
      </c>
      <c r="AN90" s="1120">
        <v>105090.61789669032</v>
      </c>
      <c r="AO90" s="224">
        <f t="shared" si="5"/>
        <v>1.2393156048906211</v>
      </c>
      <c r="AP90" s="1123">
        <v>0.1</v>
      </c>
      <c r="AQ90" s="1123">
        <f t="shared" si="7"/>
        <v>7.5064323963351956E-2</v>
      </c>
      <c r="AR90" s="1123">
        <v>20</v>
      </c>
      <c r="AS90" s="1123">
        <f t="shared" si="8"/>
        <v>0.72271258110277958</v>
      </c>
      <c r="AT90" s="224">
        <f t="shared" si="6"/>
        <v>7888.5561873059951</v>
      </c>
    </row>
    <row r="91" spans="1:46">
      <c r="A91" s="1118">
        <v>2017</v>
      </c>
      <c r="B91" s="1119"/>
      <c r="C91" s="1119"/>
      <c r="D91" s="1107" t="s">
        <v>531</v>
      </c>
      <c r="E91" s="1119" t="s">
        <v>2058</v>
      </c>
      <c r="F91" s="1119"/>
      <c r="G91" s="224">
        <v>11117.839939648044</v>
      </c>
      <c r="H91" s="224">
        <v>6467</v>
      </c>
      <c r="I91" s="224">
        <v>0.21333565440000002</v>
      </c>
      <c r="J91" s="224">
        <v>0.10601275547138236</v>
      </c>
      <c r="K91" s="224">
        <v>7.062027565247056E-2</v>
      </c>
      <c r="L91" s="224">
        <v>8.3137719405582497E-2</v>
      </c>
      <c r="M91" s="224">
        <v>0</v>
      </c>
      <c r="N91" s="224">
        <v>0</v>
      </c>
      <c r="O91" s="224">
        <v>0</v>
      </c>
      <c r="P91" s="224">
        <v>0</v>
      </c>
      <c r="Q91" s="224">
        <v>0</v>
      </c>
      <c r="R91" s="224">
        <v>0</v>
      </c>
      <c r="S91" s="224">
        <v>0</v>
      </c>
      <c r="T91" s="224">
        <v>0</v>
      </c>
      <c r="U91" s="224">
        <v>0</v>
      </c>
      <c r="V91" s="224">
        <v>199.69452859999998</v>
      </c>
      <c r="W91" s="224">
        <v>4</v>
      </c>
      <c r="X91" s="224">
        <v>6</v>
      </c>
      <c r="Y91" s="224">
        <v>0.21333565440000002</v>
      </c>
      <c r="Z91" s="224">
        <v>0</v>
      </c>
      <c r="AA91" s="224">
        <v>15.901913320707354</v>
      </c>
      <c r="AB91" s="224">
        <v>10.593041347870583</v>
      </c>
      <c r="AC91" s="224">
        <v>12.470657910837375</v>
      </c>
      <c r="AD91" s="1120">
        <v>13.019320237668857</v>
      </c>
      <c r="AE91" s="224">
        <v>18587.158587373709</v>
      </c>
      <c r="AF91" s="224">
        <v>883.35</v>
      </c>
      <c r="AG91" s="224">
        <v>289.53193070239229</v>
      </c>
      <c r="AH91" s="224">
        <v>6601.5423752813786</v>
      </c>
      <c r="AI91" s="224">
        <v>49200</v>
      </c>
      <c r="AJ91" s="224">
        <v>0</v>
      </c>
      <c r="AK91" s="224">
        <v>745.98720000000003</v>
      </c>
      <c r="AL91" s="224">
        <v>0</v>
      </c>
      <c r="AM91" s="224">
        <v>436.00000000000006</v>
      </c>
      <c r="AN91" s="1120">
        <v>76743.570093357499</v>
      </c>
      <c r="AO91" s="224">
        <f t="shared" si="5"/>
        <v>1.7154256345152485</v>
      </c>
      <c r="AP91" s="1123">
        <v>0.1</v>
      </c>
      <c r="AQ91" s="1123">
        <f t="shared" si="7"/>
        <v>7.5064323963351956E-2</v>
      </c>
      <c r="AR91" s="1123">
        <v>20</v>
      </c>
      <c r="AS91" s="1123">
        <f t="shared" si="8"/>
        <v>1.0003583293214537</v>
      </c>
      <c r="AT91" s="224">
        <f t="shared" si="6"/>
        <v>5760.7042075919962</v>
      </c>
    </row>
    <row r="92" spans="1:46">
      <c r="A92" s="1121">
        <v>2020</v>
      </c>
      <c r="D92" s="1107" t="s">
        <v>531</v>
      </c>
      <c r="E92" s="224" t="s">
        <v>2058</v>
      </c>
      <c r="G92" s="224" t="e">
        <v>#DIV/0!</v>
      </c>
      <c r="H92" s="224" t="e">
        <v>#DIV/0!</v>
      </c>
      <c r="I92" s="224" t="e">
        <v>#DIV/0!</v>
      </c>
      <c r="J92" s="224" t="e">
        <v>#DIV/0!</v>
      </c>
      <c r="K92" s="224" t="e">
        <v>#DIV/0!</v>
      </c>
      <c r="L92" s="224" t="e">
        <v>#DIV/0!</v>
      </c>
      <c r="M92" s="224" t="e">
        <v>#DIV/0!</v>
      </c>
      <c r="N92" s="224" t="e">
        <v>#DIV/0!</v>
      </c>
      <c r="O92" s="224" t="e">
        <v>#DIV/0!</v>
      </c>
      <c r="P92" s="224" t="e">
        <v>#DIV/0!</v>
      </c>
      <c r="Q92" s="224" t="e">
        <v>#DIV/0!</v>
      </c>
      <c r="R92" s="224" t="e">
        <v>#DIV/0!</v>
      </c>
      <c r="S92" s="224" t="e">
        <v>#DIV/0!</v>
      </c>
      <c r="T92" s="224" t="e">
        <v>#DIV/0!</v>
      </c>
      <c r="U92" s="224" t="e">
        <v>#DIV/0!</v>
      </c>
      <c r="V92" s="224" t="e">
        <v>#DIV/0!</v>
      </c>
      <c r="W92" s="224" t="e">
        <v>#DIV/0!</v>
      </c>
      <c r="X92" s="224" t="e">
        <v>#DIV/0!</v>
      </c>
      <c r="Y92" s="224" t="e">
        <v>#DIV/0!</v>
      </c>
      <c r="Z92" s="224" t="e">
        <v>#DIV/0!</v>
      </c>
      <c r="AA92" s="224" t="e">
        <v>#DIV/0!</v>
      </c>
      <c r="AB92" s="224" t="e">
        <v>#DIV/0!</v>
      </c>
      <c r="AC92" s="224" t="e">
        <v>#DIV/0!</v>
      </c>
      <c r="AD92" s="1120" t="e">
        <v>#DIV/0!</v>
      </c>
      <c r="AE92" s="224" t="e">
        <v>#DIV/0!</v>
      </c>
      <c r="AF92" s="224" t="e">
        <v>#DIV/0!</v>
      </c>
      <c r="AG92" s="224" t="e">
        <v>#DIV/0!</v>
      </c>
      <c r="AH92" s="224" t="e">
        <v>#DIV/0!</v>
      </c>
      <c r="AI92" s="224" t="e">
        <v>#DIV/0!</v>
      </c>
      <c r="AJ92" s="224" t="e">
        <v>#DIV/0!</v>
      </c>
      <c r="AK92" s="224" t="e">
        <v>#DIV/0!</v>
      </c>
      <c r="AL92" s="224" t="e">
        <v>#DIV/0!</v>
      </c>
      <c r="AM92" s="224" t="e">
        <v>#DIV/0!</v>
      </c>
      <c r="AN92" s="1120" t="e">
        <v>#DIV/0!</v>
      </c>
      <c r="AO92" s="224" t="e">
        <f t="shared" si="5"/>
        <v>#DIV/0!</v>
      </c>
      <c r="AP92" s="1123">
        <v>0.1</v>
      </c>
      <c r="AQ92" s="1123">
        <f t="shared" si="7"/>
        <v>7.5064323963351956E-2</v>
      </c>
      <c r="AR92" s="1123">
        <v>20</v>
      </c>
      <c r="AS92" s="1123" t="e">
        <f t="shared" si="8"/>
        <v>#DIV/0!</v>
      </c>
      <c r="AT92" s="224" t="e">
        <f t="shared" si="6"/>
        <v>#DIV/0!</v>
      </c>
    </row>
    <row r="93" spans="1:46">
      <c r="A93" s="1118">
        <v>2025</v>
      </c>
      <c r="D93" s="1107" t="s">
        <v>531</v>
      </c>
      <c r="E93" s="224" t="s">
        <v>2058</v>
      </c>
      <c r="G93" s="224" t="e">
        <v>#DIV/0!</v>
      </c>
      <c r="H93" s="224" t="e">
        <v>#DIV/0!</v>
      </c>
      <c r="I93" s="224" t="e">
        <v>#DIV/0!</v>
      </c>
      <c r="J93" s="224" t="e">
        <v>#DIV/0!</v>
      </c>
      <c r="K93" s="224" t="e">
        <v>#DIV/0!</v>
      </c>
      <c r="L93" s="224" t="e">
        <v>#DIV/0!</v>
      </c>
      <c r="M93" s="224" t="e">
        <v>#DIV/0!</v>
      </c>
      <c r="N93" s="224" t="e">
        <v>#DIV/0!</v>
      </c>
      <c r="O93" s="224" t="e">
        <v>#DIV/0!</v>
      </c>
      <c r="P93" s="224" t="e">
        <v>#DIV/0!</v>
      </c>
      <c r="Q93" s="224" t="e">
        <v>#DIV/0!</v>
      </c>
      <c r="R93" s="224" t="e">
        <v>#DIV/0!</v>
      </c>
      <c r="S93" s="224" t="e">
        <v>#DIV/0!</v>
      </c>
      <c r="T93" s="224" t="e">
        <v>#DIV/0!</v>
      </c>
      <c r="U93" s="224" t="e">
        <v>#DIV/0!</v>
      </c>
      <c r="V93" s="224" t="e">
        <v>#DIV/0!</v>
      </c>
      <c r="W93" s="224" t="e">
        <v>#DIV/0!</v>
      </c>
      <c r="X93" s="224" t="e">
        <v>#DIV/0!</v>
      </c>
      <c r="Y93" s="224" t="e">
        <v>#DIV/0!</v>
      </c>
      <c r="Z93" s="224" t="e">
        <v>#DIV/0!</v>
      </c>
      <c r="AA93" s="224" t="e">
        <v>#DIV/0!</v>
      </c>
      <c r="AB93" s="224" t="e">
        <v>#DIV/0!</v>
      </c>
      <c r="AC93" s="224" t="e">
        <v>#DIV/0!</v>
      </c>
      <c r="AD93" s="1120" t="e">
        <v>#DIV/0!</v>
      </c>
      <c r="AE93" s="224" t="e">
        <v>#DIV/0!</v>
      </c>
      <c r="AF93" s="224" t="e">
        <v>#DIV/0!</v>
      </c>
      <c r="AG93" s="224" t="e">
        <v>#DIV/0!</v>
      </c>
      <c r="AH93" s="224" t="e">
        <v>#DIV/0!</v>
      </c>
      <c r="AI93" s="224" t="e">
        <v>#DIV/0!</v>
      </c>
      <c r="AJ93" s="224" t="e">
        <v>#DIV/0!</v>
      </c>
      <c r="AK93" s="224" t="e">
        <v>#DIV/0!</v>
      </c>
      <c r="AL93" s="224" t="e">
        <v>#DIV/0!</v>
      </c>
      <c r="AM93" s="224" t="e">
        <v>#DIV/0!</v>
      </c>
      <c r="AN93" s="1120" t="e">
        <v>#DIV/0!</v>
      </c>
      <c r="AO93" s="224" t="e">
        <f t="shared" si="5"/>
        <v>#DIV/0!</v>
      </c>
      <c r="AP93" s="1123">
        <v>0.1</v>
      </c>
      <c r="AQ93" s="1123">
        <f t="shared" si="7"/>
        <v>7.5064323963351956E-2</v>
      </c>
      <c r="AR93" s="1123">
        <v>20</v>
      </c>
      <c r="AS93" s="1123" t="e">
        <f t="shared" si="8"/>
        <v>#DIV/0!</v>
      </c>
      <c r="AT93" s="224" t="e">
        <f t="shared" si="6"/>
        <v>#DIV/0!</v>
      </c>
    </row>
    <row r="94" spans="1:46">
      <c r="A94" s="1118">
        <v>2030</v>
      </c>
      <c r="D94" s="1107" t="s">
        <v>531</v>
      </c>
      <c r="E94" s="224" t="s">
        <v>2058</v>
      </c>
      <c r="G94" s="224" t="e">
        <v>#DIV/0!</v>
      </c>
      <c r="H94" s="224" t="e">
        <v>#DIV/0!</v>
      </c>
      <c r="I94" s="224" t="e">
        <v>#DIV/0!</v>
      </c>
      <c r="J94" s="224" t="e">
        <v>#DIV/0!</v>
      </c>
      <c r="K94" s="224" t="e">
        <v>#DIV/0!</v>
      </c>
      <c r="L94" s="224" t="e">
        <v>#DIV/0!</v>
      </c>
      <c r="M94" s="224" t="e">
        <v>#DIV/0!</v>
      </c>
      <c r="N94" s="224" t="e">
        <v>#DIV/0!</v>
      </c>
      <c r="O94" s="224" t="e">
        <v>#DIV/0!</v>
      </c>
      <c r="P94" s="224" t="e">
        <v>#DIV/0!</v>
      </c>
      <c r="Q94" s="224" t="e">
        <v>#DIV/0!</v>
      </c>
      <c r="R94" s="224" t="e">
        <v>#DIV/0!</v>
      </c>
      <c r="S94" s="224" t="e">
        <v>#DIV/0!</v>
      </c>
      <c r="T94" s="224" t="e">
        <v>#DIV/0!</v>
      </c>
      <c r="U94" s="224" t="e">
        <v>#DIV/0!</v>
      </c>
      <c r="V94" s="224" t="e">
        <v>#DIV/0!</v>
      </c>
      <c r="W94" s="224" t="e">
        <v>#DIV/0!</v>
      </c>
      <c r="X94" s="224" t="e">
        <v>#DIV/0!</v>
      </c>
      <c r="Y94" s="224" t="e">
        <v>#DIV/0!</v>
      </c>
      <c r="Z94" s="224" t="e">
        <v>#DIV/0!</v>
      </c>
      <c r="AA94" s="224" t="e">
        <v>#DIV/0!</v>
      </c>
      <c r="AB94" s="224" t="e">
        <v>#DIV/0!</v>
      </c>
      <c r="AC94" s="224" t="e">
        <v>#DIV/0!</v>
      </c>
      <c r="AD94" s="1120" t="e">
        <v>#DIV/0!</v>
      </c>
      <c r="AE94" s="224" t="e">
        <v>#DIV/0!</v>
      </c>
      <c r="AF94" s="224" t="e">
        <v>#DIV/0!</v>
      </c>
      <c r="AG94" s="224" t="e">
        <v>#DIV/0!</v>
      </c>
      <c r="AH94" s="224" t="e">
        <v>#DIV/0!</v>
      </c>
      <c r="AI94" s="224" t="e">
        <v>#DIV/0!</v>
      </c>
      <c r="AJ94" s="224" t="e">
        <v>#DIV/0!</v>
      </c>
      <c r="AK94" s="224" t="e">
        <v>#DIV/0!</v>
      </c>
      <c r="AL94" s="224" t="e">
        <v>#DIV/0!</v>
      </c>
      <c r="AM94" s="224" t="e">
        <v>#DIV/0!</v>
      </c>
      <c r="AN94" s="1120" t="e">
        <v>#DIV/0!</v>
      </c>
      <c r="AO94" s="224" t="e">
        <f t="shared" si="5"/>
        <v>#DIV/0!</v>
      </c>
      <c r="AP94" s="1123">
        <v>0.1</v>
      </c>
      <c r="AQ94" s="1123">
        <f t="shared" si="7"/>
        <v>7.5064323963351956E-2</v>
      </c>
      <c r="AR94" s="1123">
        <v>20</v>
      </c>
      <c r="AS94" s="1123" t="e">
        <f t="shared" si="8"/>
        <v>#DIV/0!</v>
      </c>
      <c r="AT94" s="224" t="e">
        <f t="shared" si="6"/>
        <v>#DIV/0!</v>
      </c>
    </row>
    <row r="95" spans="1:46">
      <c r="A95" s="1118">
        <v>2035</v>
      </c>
      <c r="D95" s="1107" t="s">
        <v>531</v>
      </c>
      <c r="E95" s="224" t="s">
        <v>2058</v>
      </c>
      <c r="G95" s="224" t="e">
        <v>#DIV/0!</v>
      </c>
      <c r="H95" s="224" t="e">
        <v>#DIV/0!</v>
      </c>
      <c r="I95" s="224" t="e">
        <v>#DIV/0!</v>
      </c>
      <c r="J95" s="224" t="e">
        <v>#DIV/0!</v>
      </c>
      <c r="K95" s="224" t="e">
        <v>#DIV/0!</v>
      </c>
      <c r="L95" s="224" t="e">
        <v>#DIV/0!</v>
      </c>
      <c r="M95" s="224" t="e">
        <v>#DIV/0!</v>
      </c>
      <c r="N95" s="224" t="e">
        <v>#DIV/0!</v>
      </c>
      <c r="O95" s="224" t="e">
        <v>#DIV/0!</v>
      </c>
      <c r="P95" s="224" t="e">
        <v>#DIV/0!</v>
      </c>
      <c r="Q95" s="224" t="e">
        <v>#DIV/0!</v>
      </c>
      <c r="R95" s="224" t="e">
        <v>#DIV/0!</v>
      </c>
      <c r="S95" s="224" t="e">
        <v>#DIV/0!</v>
      </c>
      <c r="T95" s="224" t="e">
        <v>#DIV/0!</v>
      </c>
      <c r="U95" s="224" t="e">
        <v>#DIV/0!</v>
      </c>
      <c r="V95" s="224" t="e">
        <v>#DIV/0!</v>
      </c>
      <c r="W95" s="224" t="e">
        <v>#DIV/0!</v>
      </c>
      <c r="X95" s="224" t="e">
        <v>#DIV/0!</v>
      </c>
      <c r="Y95" s="224" t="e">
        <v>#DIV/0!</v>
      </c>
      <c r="Z95" s="224" t="e">
        <v>#DIV/0!</v>
      </c>
      <c r="AA95" s="224" t="e">
        <v>#DIV/0!</v>
      </c>
      <c r="AB95" s="224" t="e">
        <v>#DIV/0!</v>
      </c>
      <c r="AC95" s="224" t="e">
        <v>#DIV/0!</v>
      </c>
      <c r="AD95" s="1120" t="e">
        <v>#DIV/0!</v>
      </c>
      <c r="AE95" s="224" t="e">
        <v>#DIV/0!</v>
      </c>
      <c r="AF95" s="224" t="e">
        <v>#DIV/0!</v>
      </c>
      <c r="AG95" s="224" t="e">
        <v>#DIV/0!</v>
      </c>
      <c r="AH95" s="224" t="e">
        <v>#DIV/0!</v>
      </c>
      <c r="AI95" s="224" t="e">
        <v>#DIV/0!</v>
      </c>
      <c r="AJ95" s="224" t="e">
        <v>#DIV/0!</v>
      </c>
      <c r="AK95" s="224" t="e">
        <v>#DIV/0!</v>
      </c>
      <c r="AL95" s="224" t="e">
        <v>#DIV/0!</v>
      </c>
      <c r="AM95" s="224" t="e">
        <v>#DIV/0!</v>
      </c>
      <c r="AN95" s="1120" t="e">
        <v>#DIV/0!</v>
      </c>
      <c r="AO95" s="224" t="e">
        <f t="shared" si="5"/>
        <v>#DIV/0!</v>
      </c>
      <c r="AP95" s="1123">
        <v>0.1</v>
      </c>
      <c r="AQ95" s="1123">
        <f t="shared" si="7"/>
        <v>7.5064323963351956E-2</v>
      </c>
      <c r="AR95" s="1123">
        <v>20</v>
      </c>
      <c r="AS95" s="1123" t="e">
        <f t="shared" si="8"/>
        <v>#DIV/0!</v>
      </c>
      <c r="AT95" s="224" t="e">
        <f t="shared" si="6"/>
        <v>#DIV/0!</v>
      </c>
    </row>
    <row r="96" spans="1:46">
      <c r="A96" s="1118">
        <v>2050</v>
      </c>
      <c r="D96" s="1107" t="s">
        <v>531</v>
      </c>
      <c r="E96" s="224" t="s">
        <v>2058</v>
      </c>
      <c r="G96" s="224" t="e">
        <v>#DIV/0!</v>
      </c>
      <c r="H96" s="224" t="e">
        <v>#DIV/0!</v>
      </c>
      <c r="I96" s="224" t="e">
        <v>#DIV/0!</v>
      </c>
      <c r="J96" s="224" t="e">
        <v>#DIV/0!</v>
      </c>
      <c r="K96" s="224" t="e">
        <v>#DIV/0!</v>
      </c>
      <c r="L96" s="224" t="e">
        <v>#DIV/0!</v>
      </c>
      <c r="M96" s="224" t="e">
        <v>#DIV/0!</v>
      </c>
      <c r="N96" s="224" t="e">
        <v>#DIV/0!</v>
      </c>
      <c r="O96" s="224" t="e">
        <v>#DIV/0!</v>
      </c>
      <c r="P96" s="224" t="e">
        <v>#DIV/0!</v>
      </c>
      <c r="Q96" s="224" t="e">
        <v>#DIV/0!</v>
      </c>
      <c r="R96" s="224" t="e">
        <v>#DIV/0!</v>
      </c>
      <c r="S96" s="224" t="e">
        <v>#DIV/0!</v>
      </c>
      <c r="T96" s="224" t="e">
        <v>#DIV/0!</v>
      </c>
      <c r="U96" s="224" t="e">
        <v>#DIV/0!</v>
      </c>
      <c r="V96" s="224" t="e">
        <v>#DIV/0!</v>
      </c>
      <c r="W96" s="224" t="e">
        <v>#DIV/0!</v>
      </c>
      <c r="X96" s="224" t="e">
        <v>#DIV/0!</v>
      </c>
      <c r="Y96" s="224" t="e">
        <v>#DIV/0!</v>
      </c>
      <c r="Z96" s="224" t="e">
        <v>#DIV/0!</v>
      </c>
      <c r="AA96" s="224" t="e">
        <v>#DIV/0!</v>
      </c>
      <c r="AB96" s="224" t="e">
        <v>#DIV/0!</v>
      </c>
      <c r="AC96" s="224" t="e">
        <v>#DIV/0!</v>
      </c>
      <c r="AD96" s="1120" t="e">
        <v>#DIV/0!</v>
      </c>
      <c r="AE96" s="224" t="e">
        <v>#DIV/0!</v>
      </c>
      <c r="AF96" s="224" t="e">
        <v>#DIV/0!</v>
      </c>
      <c r="AG96" s="224" t="e">
        <v>#DIV/0!</v>
      </c>
      <c r="AH96" s="224" t="e">
        <v>#DIV/0!</v>
      </c>
      <c r="AI96" s="224" t="e">
        <v>#DIV/0!</v>
      </c>
      <c r="AJ96" s="224" t="e">
        <v>#DIV/0!</v>
      </c>
      <c r="AK96" s="224" t="e">
        <v>#DIV/0!</v>
      </c>
      <c r="AL96" s="224" t="e">
        <v>#DIV/0!</v>
      </c>
      <c r="AM96" s="224" t="e">
        <v>#DIV/0!</v>
      </c>
      <c r="AN96" s="1120" t="e">
        <v>#DIV/0!</v>
      </c>
      <c r="AO96" s="224" t="e">
        <f t="shared" si="5"/>
        <v>#DIV/0!</v>
      </c>
      <c r="AP96" s="1123">
        <v>0.1</v>
      </c>
      <c r="AQ96" s="1123">
        <f t="shared" si="7"/>
        <v>7.5064323963351956E-2</v>
      </c>
      <c r="AR96" s="1123">
        <v>20</v>
      </c>
      <c r="AS96" s="1123" t="e">
        <f t="shared" si="8"/>
        <v>#DIV/0!</v>
      </c>
      <c r="AT96" s="224" t="e">
        <f t="shared" si="6"/>
        <v>#DIV/0!</v>
      </c>
    </row>
    <row r="97" spans="1:46">
      <c r="A97" s="1118">
        <v>2017</v>
      </c>
      <c r="D97" s="1107" t="s">
        <v>531</v>
      </c>
      <c r="E97" s="224" t="s">
        <v>2059</v>
      </c>
      <c r="G97" s="224">
        <v>11471.075730225295</v>
      </c>
      <c r="H97" s="224">
        <v>6467</v>
      </c>
      <c r="I97" s="224">
        <v>5.7024000000000008</v>
      </c>
      <c r="J97" s="224">
        <v>7.9321194288726846E-2</v>
      </c>
      <c r="K97" s="224">
        <v>6.9441908198748778E-2</v>
      </c>
      <c r="L97" s="224">
        <v>8.3069502211880822E-2</v>
      </c>
      <c r="M97" s="224">
        <v>0</v>
      </c>
      <c r="N97" s="224">
        <v>0</v>
      </c>
      <c r="O97" s="224">
        <v>0</v>
      </c>
      <c r="P97" s="224">
        <v>0</v>
      </c>
      <c r="Q97" s="224">
        <v>0</v>
      </c>
      <c r="R97" s="224">
        <v>0</v>
      </c>
      <c r="S97" s="224">
        <v>0</v>
      </c>
      <c r="T97" s="224">
        <v>0</v>
      </c>
      <c r="U97" s="224">
        <v>0</v>
      </c>
      <c r="V97" s="224">
        <v>150.43824429999998</v>
      </c>
      <c r="W97" s="224">
        <v>136.17875339999998</v>
      </c>
      <c r="X97" s="224">
        <v>177.50239234449759</v>
      </c>
      <c r="Y97" s="224">
        <v>5.7024000000000008</v>
      </c>
      <c r="Z97" s="224">
        <v>0</v>
      </c>
      <c r="AA97" s="224">
        <v>11.898179143309028</v>
      </c>
      <c r="AB97" s="224">
        <v>10.416286229812316</v>
      </c>
      <c r="AC97" s="224">
        <v>12.460425331782123</v>
      </c>
      <c r="AD97" s="1120">
        <v>10.843838828359436</v>
      </c>
      <c r="AE97" s="224">
        <v>13919.872726372572</v>
      </c>
      <c r="AF97" s="224">
        <v>6553.8185208599989</v>
      </c>
      <c r="AG97" s="224">
        <v>7739.1043062200952</v>
      </c>
      <c r="AH97" s="224">
        <v>7488.1619216837353</v>
      </c>
      <c r="AI97" s="224">
        <v>49200</v>
      </c>
      <c r="AJ97" s="224">
        <v>0</v>
      </c>
      <c r="AK97" s="224">
        <v>745.98720000000003</v>
      </c>
      <c r="AL97" s="224">
        <v>0</v>
      </c>
      <c r="AM97" s="224">
        <v>436.00000000000006</v>
      </c>
      <c r="AN97" s="1120">
        <v>86082.944675136416</v>
      </c>
      <c r="AO97" s="224">
        <f t="shared" si="5"/>
        <v>1.4287842040246392</v>
      </c>
      <c r="AP97" s="1123">
        <v>0.1</v>
      </c>
      <c r="AQ97" s="1123">
        <f t="shared" si="7"/>
        <v>7.5064323963351956E-2</v>
      </c>
      <c r="AR97" s="1123">
        <v>20</v>
      </c>
      <c r="AS97" s="1123">
        <f t="shared" si="8"/>
        <v>0.83320206398971486</v>
      </c>
      <c r="AT97" s="224">
        <f t="shared" si="6"/>
        <v>6461.758046813743</v>
      </c>
    </row>
    <row r="98" spans="1:46">
      <c r="A98" s="1121">
        <v>2020</v>
      </c>
      <c r="D98" s="1107" t="s">
        <v>531</v>
      </c>
      <c r="E98" s="224" t="s">
        <v>2059</v>
      </c>
      <c r="G98" s="224" t="e">
        <v>#DIV/0!</v>
      </c>
      <c r="H98" s="224" t="e">
        <v>#DIV/0!</v>
      </c>
      <c r="I98" s="224" t="e">
        <v>#DIV/0!</v>
      </c>
      <c r="J98" s="224" t="e">
        <v>#DIV/0!</v>
      </c>
      <c r="K98" s="224" t="e">
        <v>#DIV/0!</v>
      </c>
      <c r="L98" s="224" t="e">
        <v>#DIV/0!</v>
      </c>
      <c r="M98" s="224" t="e">
        <v>#DIV/0!</v>
      </c>
      <c r="N98" s="224" t="e">
        <v>#DIV/0!</v>
      </c>
      <c r="O98" s="224" t="e">
        <v>#DIV/0!</v>
      </c>
      <c r="P98" s="224" t="e">
        <v>#DIV/0!</v>
      </c>
      <c r="Q98" s="224" t="e">
        <v>#DIV/0!</v>
      </c>
      <c r="R98" s="224" t="e">
        <v>#DIV/0!</v>
      </c>
      <c r="S98" s="224" t="e">
        <v>#DIV/0!</v>
      </c>
      <c r="T98" s="224" t="e">
        <v>#DIV/0!</v>
      </c>
      <c r="U98" s="224" t="e">
        <v>#DIV/0!</v>
      </c>
      <c r="V98" s="224" t="e">
        <v>#DIV/0!</v>
      </c>
      <c r="W98" s="224" t="e">
        <v>#DIV/0!</v>
      </c>
      <c r="X98" s="224" t="e">
        <v>#DIV/0!</v>
      </c>
      <c r="Y98" s="224" t="e">
        <v>#DIV/0!</v>
      </c>
      <c r="Z98" s="224" t="e">
        <v>#DIV/0!</v>
      </c>
      <c r="AA98" s="224" t="e">
        <v>#DIV/0!</v>
      </c>
      <c r="AB98" s="224" t="e">
        <v>#DIV/0!</v>
      </c>
      <c r="AC98" s="224" t="e">
        <v>#DIV/0!</v>
      </c>
      <c r="AD98" s="1120" t="e">
        <v>#DIV/0!</v>
      </c>
      <c r="AE98" s="224" t="e">
        <v>#DIV/0!</v>
      </c>
      <c r="AF98" s="224" t="e">
        <v>#DIV/0!</v>
      </c>
      <c r="AG98" s="224" t="e">
        <v>#DIV/0!</v>
      </c>
      <c r="AH98" s="224" t="e">
        <v>#DIV/0!</v>
      </c>
      <c r="AI98" s="224" t="e">
        <v>#DIV/0!</v>
      </c>
      <c r="AJ98" s="224" t="e">
        <v>#DIV/0!</v>
      </c>
      <c r="AK98" s="224" t="e">
        <v>#DIV/0!</v>
      </c>
      <c r="AL98" s="224" t="e">
        <v>#DIV/0!</v>
      </c>
      <c r="AM98" s="224" t="e">
        <v>#DIV/0!</v>
      </c>
      <c r="AN98" s="1120" t="e">
        <v>#DIV/0!</v>
      </c>
      <c r="AO98" s="224" t="e">
        <f t="shared" si="5"/>
        <v>#DIV/0!</v>
      </c>
      <c r="AP98" s="1123">
        <v>0.1</v>
      </c>
      <c r="AQ98" s="1123">
        <f t="shared" si="7"/>
        <v>7.5064323963351956E-2</v>
      </c>
      <c r="AR98" s="1123">
        <v>20</v>
      </c>
      <c r="AS98" s="1123" t="e">
        <f t="shared" si="8"/>
        <v>#DIV/0!</v>
      </c>
      <c r="AT98" s="224" t="e">
        <f t="shared" si="6"/>
        <v>#DIV/0!</v>
      </c>
    </row>
    <row r="99" spans="1:46">
      <c r="A99" s="1118">
        <v>2025</v>
      </c>
      <c r="D99" s="1107" t="s">
        <v>531</v>
      </c>
      <c r="E99" s="224" t="s">
        <v>2059</v>
      </c>
      <c r="G99" s="224" t="e">
        <v>#DIV/0!</v>
      </c>
      <c r="H99" s="224" t="e">
        <v>#DIV/0!</v>
      </c>
      <c r="I99" s="224" t="e">
        <v>#DIV/0!</v>
      </c>
      <c r="J99" s="224" t="e">
        <v>#DIV/0!</v>
      </c>
      <c r="K99" s="224" t="e">
        <v>#DIV/0!</v>
      </c>
      <c r="L99" s="224" t="e">
        <v>#DIV/0!</v>
      </c>
      <c r="M99" s="224" t="e">
        <v>#DIV/0!</v>
      </c>
      <c r="N99" s="224" t="e">
        <v>#DIV/0!</v>
      </c>
      <c r="O99" s="224" t="e">
        <v>#DIV/0!</v>
      </c>
      <c r="P99" s="224" t="e">
        <v>#DIV/0!</v>
      </c>
      <c r="Q99" s="224" t="e">
        <v>#DIV/0!</v>
      </c>
      <c r="R99" s="224" t="e">
        <v>#DIV/0!</v>
      </c>
      <c r="S99" s="224" t="e">
        <v>#DIV/0!</v>
      </c>
      <c r="T99" s="224" t="e">
        <v>#DIV/0!</v>
      </c>
      <c r="U99" s="224" t="e">
        <v>#DIV/0!</v>
      </c>
      <c r="V99" s="224" t="e">
        <v>#DIV/0!</v>
      </c>
      <c r="W99" s="224" t="e">
        <v>#DIV/0!</v>
      </c>
      <c r="X99" s="224" t="e">
        <v>#DIV/0!</v>
      </c>
      <c r="Y99" s="224" t="e">
        <v>#DIV/0!</v>
      </c>
      <c r="Z99" s="224" t="e">
        <v>#DIV/0!</v>
      </c>
      <c r="AA99" s="224" t="e">
        <v>#DIV/0!</v>
      </c>
      <c r="AB99" s="224" t="e">
        <v>#DIV/0!</v>
      </c>
      <c r="AC99" s="224" t="e">
        <v>#DIV/0!</v>
      </c>
      <c r="AD99" s="1120" t="e">
        <v>#DIV/0!</v>
      </c>
      <c r="AE99" s="224" t="e">
        <v>#DIV/0!</v>
      </c>
      <c r="AF99" s="224" t="e">
        <v>#DIV/0!</v>
      </c>
      <c r="AG99" s="224" t="e">
        <v>#DIV/0!</v>
      </c>
      <c r="AH99" s="224" t="e">
        <v>#DIV/0!</v>
      </c>
      <c r="AI99" s="224" t="e">
        <v>#DIV/0!</v>
      </c>
      <c r="AJ99" s="224" t="e">
        <v>#DIV/0!</v>
      </c>
      <c r="AK99" s="224" t="e">
        <v>#DIV/0!</v>
      </c>
      <c r="AL99" s="224" t="e">
        <v>#DIV/0!</v>
      </c>
      <c r="AM99" s="224" t="e">
        <v>#DIV/0!</v>
      </c>
      <c r="AN99" s="1120" t="e">
        <v>#DIV/0!</v>
      </c>
      <c r="AO99" s="224" t="e">
        <f t="shared" si="5"/>
        <v>#DIV/0!</v>
      </c>
      <c r="AP99" s="1123">
        <v>0.1</v>
      </c>
      <c r="AQ99" s="1123">
        <f t="shared" si="7"/>
        <v>7.5064323963351956E-2</v>
      </c>
      <c r="AR99" s="1123">
        <v>20</v>
      </c>
      <c r="AS99" s="1123" t="e">
        <f t="shared" si="8"/>
        <v>#DIV/0!</v>
      </c>
      <c r="AT99" s="224" t="e">
        <f t="shared" si="6"/>
        <v>#DIV/0!</v>
      </c>
    </row>
    <row r="100" spans="1:46">
      <c r="A100" s="1118">
        <v>2030</v>
      </c>
      <c r="D100" s="1107" t="s">
        <v>531</v>
      </c>
      <c r="E100" s="224" t="s">
        <v>2059</v>
      </c>
      <c r="G100" s="224" t="e">
        <v>#DIV/0!</v>
      </c>
      <c r="H100" s="224" t="e">
        <v>#DIV/0!</v>
      </c>
      <c r="I100" s="224" t="e">
        <v>#DIV/0!</v>
      </c>
      <c r="J100" s="224" t="e">
        <v>#DIV/0!</v>
      </c>
      <c r="K100" s="224" t="e">
        <v>#DIV/0!</v>
      </c>
      <c r="L100" s="224" t="e">
        <v>#DIV/0!</v>
      </c>
      <c r="M100" s="224" t="e">
        <v>#DIV/0!</v>
      </c>
      <c r="N100" s="224" t="e">
        <v>#DIV/0!</v>
      </c>
      <c r="O100" s="224" t="e">
        <v>#DIV/0!</v>
      </c>
      <c r="P100" s="224" t="e">
        <v>#DIV/0!</v>
      </c>
      <c r="Q100" s="224" t="e">
        <v>#DIV/0!</v>
      </c>
      <c r="R100" s="224" t="e">
        <v>#DIV/0!</v>
      </c>
      <c r="S100" s="224" t="e">
        <v>#DIV/0!</v>
      </c>
      <c r="T100" s="224" t="e">
        <v>#DIV/0!</v>
      </c>
      <c r="U100" s="224" t="e">
        <v>#DIV/0!</v>
      </c>
      <c r="V100" s="224" t="e">
        <v>#DIV/0!</v>
      </c>
      <c r="W100" s="224" t="e">
        <v>#DIV/0!</v>
      </c>
      <c r="X100" s="224" t="e">
        <v>#DIV/0!</v>
      </c>
      <c r="Y100" s="224" t="e">
        <v>#DIV/0!</v>
      </c>
      <c r="Z100" s="224" t="e">
        <v>#DIV/0!</v>
      </c>
      <c r="AA100" s="224" t="e">
        <v>#DIV/0!</v>
      </c>
      <c r="AB100" s="224" t="e">
        <v>#DIV/0!</v>
      </c>
      <c r="AC100" s="224" t="e">
        <v>#DIV/0!</v>
      </c>
      <c r="AD100" s="1120" t="e">
        <v>#DIV/0!</v>
      </c>
      <c r="AE100" s="224" t="e">
        <v>#DIV/0!</v>
      </c>
      <c r="AF100" s="224" t="e">
        <v>#DIV/0!</v>
      </c>
      <c r="AG100" s="224" t="e">
        <v>#DIV/0!</v>
      </c>
      <c r="AH100" s="224" t="e">
        <v>#DIV/0!</v>
      </c>
      <c r="AI100" s="224" t="e">
        <v>#DIV/0!</v>
      </c>
      <c r="AJ100" s="224" t="e">
        <v>#DIV/0!</v>
      </c>
      <c r="AK100" s="224" t="e">
        <v>#DIV/0!</v>
      </c>
      <c r="AL100" s="224" t="e">
        <v>#DIV/0!</v>
      </c>
      <c r="AM100" s="224" t="e">
        <v>#DIV/0!</v>
      </c>
      <c r="AN100" s="1120" t="e">
        <v>#DIV/0!</v>
      </c>
      <c r="AO100" s="224" t="e">
        <f t="shared" si="5"/>
        <v>#DIV/0!</v>
      </c>
      <c r="AP100" s="1123">
        <v>0.1</v>
      </c>
      <c r="AQ100" s="1123">
        <f t="shared" si="7"/>
        <v>7.5064323963351956E-2</v>
      </c>
      <c r="AR100" s="1123">
        <v>20</v>
      </c>
      <c r="AS100" s="1123" t="e">
        <f t="shared" si="8"/>
        <v>#DIV/0!</v>
      </c>
      <c r="AT100" s="224" t="e">
        <f t="shared" si="6"/>
        <v>#DIV/0!</v>
      </c>
    </row>
    <row r="101" spans="1:46">
      <c r="A101" s="1118">
        <v>2035</v>
      </c>
      <c r="D101" s="1107" t="s">
        <v>531</v>
      </c>
      <c r="E101" s="224" t="s">
        <v>2059</v>
      </c>
      <c r="G101" s="224" t="e">
        <v>#DIV/0!</v>
      </c>
      <c r="H101" s="224" t="e">
        <v>#DIV/0!</v>
      </c>
      <c r="I101" s="224" t="e">
        <v>#DIV/0!</v>
      </c>
      <c r="J101" s="224" t="e">
        <v>#DIV/0!</v>
      </c>
      <c r="K101" s="224" t="e">
        <v>#DIV/0!</v>
      </c>
      <c r="L101" s="224" t="e">
        <v>#DIV/0!</v>
      </c>
      <c r="M101" s="224" t="e">
        <v>#DIV/0!</v>
      </c>
      <c r="N101" s="224" t="e">
        <v>#DIV/0!</v>
      </c>
      <c r="O101" s="224" t="e">
        <v>#DIV/0!</v>
      </c>
      <c r="P101" s="224" t="e">
        <v>#DIV/0!</v>
      </c>
      <c r="Q101" s="224" t="e">
        <v>#DIV/0!</v>
      </c>
      <c r="R101" s="224" t="e">
        <v>#DIV/0!</v>
      </c>
      <c r="S101" s="224" t="e">
        <v>#DIV/0!</v>
      </c>
      <c r="T101" s="224" t="e">
        <v>#DIV/0!</v>
      </c>
      <c r="U101" s="224" t="e">
        <v>#DIV/0!</v>
      </c>
      <c r="V101" s="224" t="e">
        <v>#DIV/0!</v>
      </c>
      <c r="W101" s="224" t="e">
        <v>#DIV/0!</v>
      </c>
      <c r="X101" s="224" t="e">
        <v>#DIV/0!</v>
      </c>
      <c r="Y101" s="224" t="e">
        <v>#DIV/0!</v>
      </c>
      <c r="Z101" s="224" t="e">
        <v>#DIV/0!</v>
      </c>
      <c r="AA101" s="224" t="e">
        <v>#DIV/0!</v>
      </c>
      <c r="AB101" s="224" t="e">
        <v>#DIV/0!</v>
      </c>
      <c r="AC101" s="224" t="e">
        <v>#DIV/0!</v>
      </c>
      <c r="AD101" s="1120" t="e">
        <v>#DIV/0!</v>
      </c>
      <c r="AE101" s="224" t="e">
        <v>#DIV/0!</v>
      </c>
      <c r="AF101" s="224" t="e">
        <v>#DIV/0!</v>
      </c>
      <c r="AG101" s="224" t="e">
        <v>#DIV/0!</v>
      </c>
      <c r="AH101" s="224" t="e">
        <v>#DIV/0!</v>
      </c>
      <c r="AI101" s="224" t="e">
        <v>#DIV/0!</v>
      </c>
      <c r="AJ101" s="224" t="e">
        <v>#DIV/0!</v>
      </c>
      <c r="AK101" s="224" t="e">
        <v>#DIV/0!</v>
      </c>
      <c r="AL101" s="224" t="e">
        <v>#DIV/0!</v>
      </c>
      <c r="AM101" s="224" t="e">
        <v>#DIV/0!</v>
      </c>
      <c r="AN101" s="1120" t="e">
        <v>#DIV/0!</v>
      </c>
      <c r="AO101" s="224" t="e">
        <f t="shared" si="5"/>
        <v>#DIV/0!</v>
      </c>
      <c r="AP101" s="1123">
        <v>0.1</v>
      </c>
      <c r="AQ101" s="1123">
        <f t="shared" si="7"/>
        <v>7.5064323963351956E-2</v>
      </c>
      <c r="AR101" s="1123">
        <v>20</v>
      </c>
      <c r="AS101" s="1123" t="e">
        <f t="shared" si="8"/>
        <v>#DIV/0!</v>
      </c>
      <c r="AT101" s="224" t="e">
        <f t="shared" si="6"/>
        <v>#DIV/0!</v>
      </c>
    </row>
    <row r="102" spans="1:46">
      <c r="A102" s="1118">
        <v>2050</v>
      </c>
      <c r="D102" s="1107" t="s">
        <v>531</v>
      </c>
      <c r="E102" s="224" t="s">
        <v>2059</v>
      </c>
      <c r="G102" s="224" t="e">
        <v>#DIV/0!</v>
      </c>
      <c r="H102" s="224" t="e">
        <v>#DIV/0!</v>
      </c>
      <c r="I102" s="224" t="e">
        <v>#DIV/0!</v>
      </c>
      <c r="J102" s="224" t="e">
        <v>#DIV/0!</v>
      </c>
      <c r="K102" s="224" t="e">
        <v>#DIV/0!</v>
      </c>
      <c r="L102" s="224" t="e">
        <v>#DIV/0!</v>
      </c>
      <c r="M102" s="224" t="e">
        <v>#DIV/0!</v>
      </c>
      <c r="N102" s="224" t="e">
        <v>#DIV/0!</v>
      </c>
      <c r="O102" s="224" t="e">
        <v>#DIV/0!</v>
      </c>
      <c r="P102" s="224" t="e">
        <v>#DIV/0!</v>
      </c>
      <c r="Q102" s="224" t="e">
        <v>#DIV/0!</v>
      </c>
      <c r="R102" s="224" t="e">
        <v>#DIV/0!</v>
      </c>
      <c r="S102" s="224" t="e">
        <v>#DIV/0!</v>
      </c>
      <c r="T102" s="224" t="e">
        <v>#DIV/0!</v>
      </c>
      <c r="U102" s="224" t="e">
        <v>#DIV/0!</v>
      </c>
      <c r="V102" s="224" t="e">
        <v>#DIV/0!</v>
      </c>
      <c r="W102" s="224" t="e">
        <v>#DIV/0!</v>
      </c>
      <c r="X102" s="224" t="e">
        <v>#DIV/0!</v>
      </c>
      <c r="Y102" s="224" t="e">
        <v>#DIV/0!</v>
      </c>
      <c r="Z102" s="224" t="e">
        <v>#DIV/0!</v>
      </c>
      <c r="AA102" s="224" t="e">
        <v>#DIV/0!</v>
      </c>
      <c r="AB102" s="224" t="e">
        <v>#DIV/0!</v>
      </c>
      <c r="AC102" s="224" t="e">
        <v>#DIV/0!</v>
      </c>
      <c r="AD102" s="1120" t="e">
        <v>#DIV/0!</v>
      </c>
      <c r="AE102" s="224" t="e">
        <v>#DIV/0!</v>
      </c>
      <c r="AF102" s="224" t="e">
        <v>#DIV/0!</v>
      </c>
      <c r="AG102" s="224" t="e">
        <v>#DIV/0!</v>
      </c>
      <c r="AH102" s="224" t="e">
        <v>#DIV/0!</v>
      </c>
      <c r="AI102" s="224" t="e">
        <v>#DIV/0!</v>
      </c>
      <c r="AJ102" s="224" t="e">
        <v>#DIV/0!</v>
      </c>
      <c r="AK102" s="224" t="e">
        <v>#DIV/0!</v>
      </c>
      <c r="AL102" s="224" t="e">
        <v>#DIV/0!</v>
      </c>
      <c r="AM102" s="224" t="e">
        <v>#DIV/0!</v>
      </c>
      <c r="AN102" s="1120" t="e">
        <v>#DIV/0!</v>
      </c>
      <c r="AO102" s="224" t="e">
        <f t="shared" si="5"/>
        <v>#DIV/0!</v>
      </c>
      <c r="AP102" s="1123">
        <v>0.1</v>
      </c>
      <c r="AQ102" s="1123">
        <f t="shared" si="7"/>
        <v>7.5064323963351956E-2</v>
      </c>
      <c r="AR102" s="1123">
        <v>20</v>
      </c>
      <c r="AS102" s="1123" t="e">
        <f t="shared" si="8"/>
        <v>#DIV/0!</v>
      </c>
      <c r="AT102" s="224" t="e">
        <f t="shared" si="6"/>
        <v>#DIV/0!</v>
      </c>
    </row>
    <row r="103" spans="1:46">
      <c r="A103" s="1118">
        <v>2017</v>
      </c>
      <c r="D103" s="1107" t="s">
        <v>531</v>
      </c>
      <c r="E103" s="224" t="s">
        <v>2060</v>
      </c>
      <c r="G103" s="224">
        <v>12136.886811206423</v>
      </c>
      <c r="H103" s="224">
        <v>6467</v>
      </c>
      <c r="I103" s="224">
        <v>130.33125000000001</v>
      </c>
      <c r="J103" s="224">
        <v>8.0740653958544142E-2</v>
      </c>
      <c r="K103" s="224">
        <v>8.698750505864862E-2</v>
      </c>
      <c r="L103" s="224">
        <v>0.1032815704359101</v>
      </c>
      <c r="M103" s="224">
        <v>2.7344512737575603E-2</v>
      </c>
      <c r="N103" s="224">
        <v>2.9532150215869652E-2</v>
      </c>
      <c r="O103" s="224">
        <v>3.4748586175006139E-2</v>
      </c>
      <c r="P103" s="224">
        <v>-15.898569795509976</v>
      </c>
      <c r="Q103" s="224">
        <v>-26.631251222353725</v>
      </c>
      <c r="R103" s="224">
        <v>-51.02235619069549</v>
      </c>
      <c r="S103" s="224">
        <v>1029.6874684724169</v>
      </c>
      <c r="T103" s="224">
        <v>1112.0653451081409</v>
      </c>
      <c r="U103" s="224">
        <v>1308.4959338979254</v>
      </c>
      <c r="V103" s="224">
        <v>120</v>
      </c>
      <c r="W103" s="224">
        <v>217.28667060000001</v>
      </c>
      <c r="X103" s="224">
        <v>325.93000589999997</v>
      </c>
      <c r="Y103" s="224">
        <v>130.20712499999999</v>
      </c>
      <c r="Z103" s="224">
        <v>0</v>
      </c>
      <c r="AA103" s="224">
        <v>6.0347069664040882</v>
      </c>
      <c r="AB103" s="224">
        <v>6.9941406824851295</v>
      </c>
      <c r="AC103" s="224">
        <v>9.3550550472690883</v>
      </c>
      <c r="AD103" s="1120">
        <v>4.154041672855513</v>
      </c>
      <c r="AE103" s="224">
        <v>11392.582857142856</v>
      </c>
      <c r="AF103" s="224">
        <v>10033.348168740002</v>
      </c>
      <c r="AG103" s="224">
        <v>74085.249982500012</v>
      </c>
      <c r="AH103" s="224">
        <v>0</v>
      </c>
      <c r="AI103" s="224">
        <v>49200</v>
      </c>
      <c r="AJ103" s="224">
        <v>0</v>
      </c>
      <c r="AK103" s="224">
        <v>745.98720000000003</v>
      </c>
      <c r="AL103" s="224">
        <v>0</v>
      </c>
      <c r="AM103" s="224">
        <v>436.00000000000006</v>
      </c>
      <c r="AN103" s="1120">
        <v>145893.16820838288</v>
      </c>
      <c r="AO103" s="224">
        <f t="shared" si="5"/>
        <v>0.54733653081544231</v>
      </c>
      <c r="AP103" s="1123">
        <v>0.1</v>
      </c>
      <c r="AQ103" s="1123">
        <f t="shared" si="7"/>
        <v>7.5064323963351956E-2</v>
      </c>
      <c r="AR103" s="1123">
        <v>20</v>
      </c>
      <c r="AS103" s="1123">
        <f t="shared" si="8"/>
        <v>0.31918180918280387</v>
      </c>
      <c r="AT103" s="224">
        <f t="shared" si="6"/>
        <v>10951.372042433853</v>
      </c>
    </row>
    <row r="104" spans="1:46">
      <c r="A104" s="1121">
        <v>2020</v>
      </c>
      <c r="D104" s="1107" t="s">
        <v>531</v>
      </c>
      <c r="E104" s="224" t="s">
        <v>2060</v>
      </c>
      <c r="G104" s="224" t="e">
        <v>#DIV/0!</v>
      </c>
      <c r="H104" s="224" t="e">
        <v>#DIV/0!</v>
      </c>
      <c r="I104" s="224" t="e">
        <v>#DIV/0!</v>
      </c>
      <c r="J104" s="224" t="e">
        <v>#DIV/0!</v>
      </c>
      <c r="K104" s="224" t="e">
        <v>#DIV/0!</v>
      </c>
      <c r="L104" s="224" t="e">
        <v>#DIV/0!</v>
      </c>
      <c r="M104" s="224" t="e">
        <v>#DIV/0!</v>
      </c>
      <c r="N104" s="224" t="e">
        <v>#DIV/0!</v>
      </c>
      <c r="O104" s="224" t="e">
        <v>#DIV/0!</v>
      </c>
      <c r="P104" s="224" t="e">
        <v>#DIV/0!</v>
      </c>
      <c r="Q104" s="224" t="e">
        <v>#DIV/0!</v>
      </c>
      <c r="R104" s="224" t="e">
        <v>#DIV/0!</v>
      </c>
      <c r="S104" s="224" t="e">
        <v>#DIV/0!</v>
      </c>
      <c r="T104" s="224" t="e">
        <v>#DIV/0!</v>
      </c>
      <c r="U104" s="224" t="e">
        <v>#DIV/0!</v>
      </c>
      <c r="V104" s="224" t="e">
        <v>#DIV/0!</v>
      </c>
      <c r="W104" s="224" t="e">
        <v>#DIV/0!</v>
      </c>
      <c r="X104" s="224" t="e">
        <v>#DIV/0!</v>
      </c>
      <c r="Y104" s="224" t="e">
        <v>#DIV/0!</v>
      </c>
      <c r="Z104" s="224" t="e">
        <v>#DIV/0!</v>
      </c>
      <c r="AA104" s="224" t="e">
        <v>#DIV/0!</v>
      </c>
      <c r="AB104" s="224" t="e">
        <v>#DIV/0!</v>
      </c>
      <c r="AC104" s="224" t="e">
        <v>#DIV/0!</v>
      </c>
      <c r="AD104" s="1120" t="e">
        <v>#DIV/0!</v>
      </c>
      <c r="AE104" s="224" t="e">
        <v>#DIV/0!</v>
      </c>
      <c r="AF104" s="224" t="e">
        <v>#DIV/0!</v>
      </c>
      <c r="AG104" s="224" t="e">
        <v>#DIV/0!</v>
      </c>
      <c r="AH104" s="224" t="e">
        <v>#DIV/0!</v>
      </c>
      <c r="AI104" s="224" t="e">
        <v>#DIV/0!</v>
      </c>
      <c r="AJ104" s="224" t="e">
        <v>#DIV/0!</v>
      </c>
      <c r="AK104" s="224" t="e">
        <v>#DIV/0!</v>
      </c>
      <c r="AL104" s="224" t="e">
        <v>#DIV/0!</v>
      </c>
      <c r="AM104" s="224" t="e">
        <v>#DIV/0!</v>
      </c>
      <c r="AN104" s="1120" t="e">
        <v>#DIV/0!</v>
      </c>
      <c r="AO104" s="224" t="e">
        <f t="shared" si="5"/>
        <v>#DIV/0!</v>
      </c>
      <c r="AP104" s="1123">
        <v>0.1</v>
      </c>
      <c r="AQ104" s="1123">
        <f t="shared" si="7"/>
        <v>7.5064323963351956E-2</v>
      </c>
      <c r="AR104" s="1123">
        <v>20</v>
      </c>
      <c r="AS104" s="1123" t="e">
        <f t="shared" si="8"/>
        <v>#DIV/0!</v>
      </c>
      <c r="AT104" s="224" t="e">
        <f t="shared" si="6"/>
        <v>#DIV/0!</v>
      </c>
    </row>
    <row r="105" spans="1:46">
      <c r="A105" s="1118">
        <v>2025</v>
      </c>
      <c r="D105" s="1107" t="s">
        <v>531</v>
      </c>
      <c r="E105" s="224" t="s">
        <v>2060</v>
      </c>
      <c r="G105" s="224" t="e">
        <v>#DIV/0!</v>
      </c>
      <c r="H105" s="224" t="e">
        <v>#DIV/0!</v>
      </c>
      <c r="I105" s="224" t="e">
        <v>#DIV/0!</v>
      </c>
      <c r="J105" s="224" t="e">
        <v>#DIV/0!</v>
      </c>
      <c r="K105" s="224" t="e">
        <v>#DIV/0!</v>
      </c>
      <c r="L105" s="224" t="e">
        <v>#DIV/0!</v>
      </c>
      <c r="M105" s="224" t="e">
        <v>#DIV/0!</v>
      </c>
      <c r="N105" s="224" t="e">
        <v>#DIV/0!</v>
      </c>
      <c r="O105" s="224" t="e">
        <v>#DIV/0!</v>
      </c>
      <c r="P105" s="224" t="e">
        <v>#DIV/0!</v>
      </c>
      <c r="Q105" s="224" t="e">
        <v>#DIV/0!</v>
      </c>
      <c r="R105" s="224" t="e">
        <v>#DIV/0!</v>
      </c>
      <c r="S105" s="224" t="e">
        <v>#DIV/0!</v>
      </c>
      <c r="T105" s="224" t="e">
        <v>#DIV/0!</v>
      </c>
      <c r="U105" s="224" t="e">
        <v>#DIV/0!</v>
      </c>
      <c r="V105" s="224" t="e">
        <v>#DIV/0!</v>
      </c>
      <c r="W105" s="224" t="e">
        <v>#DIV/0!</v>
      </c>
      <c r="X105" s="224" t="e">
        <v>#DIV/0!</v>
      </c>
      <c r="Y105" s="224" t="e">
        <v>#DIV/0!</v>
      </c>
      <c r="Z105" s="224" t="e">
        <v>#DIV/0!</v>
      </c>
      <c r="AA105" s="224" t="e">
        <v>#DIV/0!</v>
      </c>
      <c r="AB105" s="224" t="e">
        <v>#DIV/0!</v>
      </c>
      <c r="AC105" s="224" t="e">
        <v>#DIV/0!</v>
      </c>
      <c r="AD105" s="1120" t="e">
        <v>#DIV/0!</v>
      </c>
      <c r="AE105" s="224" t="e">
        <v>#DIV/0!</v>
      </c>
      <c r="AF105" s="224" t="e">
        <v>#DIV/0!</v>
      </c>
      <c r="AG105" s="224" t="e">
        <v>#DIV/0!</v>
      </c>
      <c r="AH105" s="224" t="e">
        <v>#DIV/0!</v>
      </c>
      <c r="AI105" s="224" t="e">
        <v>#DIV/0!</v>
      </c>
      <c r="AJ105" s="224" t="e">
        <v>#DIV/0!</v>
      </c>
      <c r="AK105" s="224" t="e">
        <v>#DIV/0!</v>
      </c>
      <c r="AL105" s="224" t="e">
        <v>#DIV/0!</v>
      </c>
      <c r="AM105" s="224" t="e">
        <v>#DIV/0!</v>
      </c>
      <c r="AN105" s="1120" t="e">
        <v>#DIV/0!</v>
      </c>
      <c r="AO105" s="224" t="e">
        <f t="shared" si="5"/>
        <v>#DIV/0!</v>
      </c>
      <c r="AP105" s="1123">
        <v>0.1</v>
      </c>
      <c r="AQ105" s="1123">
        <f t="shared" si="7"/>
        <v>7.5064323963351956E-2</v>
      </c>
      <c r="AR105" s="1123">
        <v>20</v>
      </c>
      <c r="AS105" s="1123" t="e">
        <f t="shared" si="8"/>
        <v>#DIV/0!</v>
      </c>
      <c r="AT105" s="224" t="e">
        <f t="shared" si="6"/>
        <v>#DIV/0!</v>
      </c>
    </row>
    <row r="106" spans="1:46">
      <c r="A106" s="1118">
        <v>2030</v>
      </c>
      <c r="D106" s="1107" t="s">
        <v>531</v>
      </c>
      <c r="E106" s="224" t="s">
        <v>2060</v>
      </c>
      <c r="G106" s="224" t="e">
        <v>#DIV/0!</v>
      </c>
      <c r="H106" s="224" t="e">
        <v>#DIV/0!</v>
      </c>
      <c r="I106" s="224" t="e">
        <v>#DIV/0!</v>
      </c>
      <c r="J106" s="224" t="e">
        <v>#DIV/0!</v>
      </c>
      <c r="K106" s="224" t="e">
        <v>#DIV/0!</v>
      </c>
      <c r="L106" s="224" t="e">
        <v>#DIV/0!</v>
      </c>
      <c r="M106" s="224" t="e">
        <v>#DIV/0!</v>
      </c>
      <c r="N106" s="224" t="e">
        <v>#DIV/0!</v>
      </c>
      <c r="O106" s="224" t="e">
        <v>#DIV/0!</v>
      </c>
      <c r="P106" s="224" t="e">
        <v>#DIV/0!</v>
      </c>
      <c r="Q106" s="224" t="e">
        <v>#DIV/0!</v>
      </c>
      <c r="R106" s="224" t="e">
        <v>#DIV/0!</v>
      </c>
      <c r="S106" s="224" t="e">
        <v>#DIV/0!</v>
      </c>
      <c r="T106" s="224" t="e">
        <v>#DIV/0!</v>
      </c>
      <c r="U106" s="224" t="e">
        <v>#DIV/0!</v>
      </c>
      <c r="V106" s="224" t="e">
        <v>#DIV/0!</v>
      </c>
      <c r="W106" s="224" t="e">
        <v>#DIV/0!</v>
      </c>
      <c r="X106" s="224" t="e">
        <v>#DIV/0!</v>
      </c>
      <c r="Y106" s="224" t="e">
        <v>#DIV/0!</v>
      </c>
      <c r="Z106" s="224" t="e">
        <v>#DIV/0!</v>
      </c>
      <c r="AA106" s="224" t="e">
        <v>#DIV/0!</v>
      </c>
      <c r="AB106" s="224" t="e">
        <v>#DIV/0!</v>
      </c>
      <c r="AC106" s="224" t="e">
        <v>#DIV/0!</v>
      </c>
      <c r="AD106" s="1120" t="e">
        <v>#DIV/0!</v>
      </c>
      <c r="AE106" s="224" t="e">
        <v>#DIV/0!</v>
      </c>
      <c r="AF106" s="224" t="e">
        <v>#DIV/0!</v>
      </c>
      <c r="AG106" s="224" t="e">
        <v>#DIV/0!</v>
      </c>
      <c r="AH106" s="224" t="e">
        <v>#DIV/0!</v>
      </c>
      <c r="AI106" s="224" t="e">
        <v>#DIV/0!</v>
      </c>
      <c r="AJ106" s="224" t="e">
        <v>#DIV/0!</v>
      </c>
      <c r="AK106" s="224" t="e">
        <v>#DIV/0!</v>
      </c>
      <c r="AL106" s="224" t="e">
        <v>#DIV/0!</v>
      </c>
      <c r="AM106" s="224" t="e">
        <v>#DIV/0!</v>
      </c>
      <c r="AN106" s="1120" t="e">
        <v>#DIV/0!</v>
      </c>
      <c r="AO106" s="224" t="e">
        <f t="shared" si="5"/>
        <v>#DIV/0!</v>
      </c>
      <c r="AP106" s="1123">
        <v>0.1</v>
      </c>
      <c r="AQ106" s="1123">
        <f t="shared" si="7"/>
        <v>7.5064323963351956E-2</v>
      </c>
      <c r="AR106" s="1123">
        <v>20</v>
      </c>
      <c r="AS106" s="1123" t="e">
        <f t="shared" si="8"/>
        <v>#DIV/0!</v>
      </c>
      <c r="AT106" s="224" t="e">
        <f t="shared" si="6"/>
        <v>#DIV/0!</v>
      </c>
    </row>
    <row r="107" spans="1:46">
      <c r="A107" s="1118">
        <v>2035</v>
      </c>
      <c r="D107" s="1107" t="s">
        <v>531</v>
      </c>
      <c r="E107" s="224" t="s">
        <v>2060</v>
      </c>
      <c r="G107" s="224" t="e">
        <v>#DIV/0!</v>
      </c>
      <c r="H107" s="224" t="e">
        <v>#DIV/0!</v>
      </c>
      <c r="I107" s="224" t="e">
        <v>#DIV/0!</v>
      </c>
      <c r="J107" s="224" t="e">
        <v>#DIV/0!</v>
      </c>
      <c r="K107" s="224" t="e">
        <v>#DIV/0!</v>
      </c>
      <c r="L107" s="224" t="e">
        <v>#DIV/0!</v>
      </c>
      <c r="M107" s="224" t="e">
        <v>#DIV/0!</v>
      </c>
      <c r="N107" s="224" t="e">
        <v>#DIV/0!</v>
      </c>
      <c r="O107" s="224" t="e">
        <v>#DIV/0!</v>
      </c>
      <c r="P107" s="224" t="e">
        <v>#DIV/0!</v>
      </c>
      <c r="Q107" s="224" t="e">
        <v>#DIV/0!</v>
      </c>
      <c r="R107" s="224" t="e">
        <v>#DIV/0!</v>
      </c>
      <c r="S107" s="224" t="e">
        <v>#DIV/0!</v>
      </c>
      <c r="T107" s="224" t="e">
        <v>#DIV/0!</v>
      </c>
      <c r="U107" s="224" t="e">
        <v>#DIV/0!</v>
      </c>
      <c r="V107" s="224" t="e">
        <v>#DIV/0!</v>
      </c>
      <c r="W107" s="224" t="e">
        <v>#DIV/0!</v>
      </c>
      <c r="X107" s="224" t="e">
        <v>#DIV/0!</v>
      </c>
      <c r="Y107" s="224" t="e">
        <v>#DIV/0!</v>
      </c>
      <c r="Z107" s="224" t="e">
        <v>#DIV/0!</v>
      </c>
      <c r="AA107" s="224" t="e">
        <v>#DIV/0!</v>
      </c>
      <c r="AB107" s="224" t="e">
        <v>#DIV/0!</v>
      </c>
      <c r="AC107" s="224" t="e">
        <v>#DIV/0!</v>
      </c>
      <c r="AD107" s="1120" t="e">
        <v>#DIV/0!</v>
      </c>
      <c r="AE107" s="224" t="e">
        <v>#DIV/0!</v>
      </c>
      <c r="AF107" s="224" t="e">
        <v>#DIV/0!</v>
      </c>
      <c r="AG107" s="224" t="e">
        <v>#DIV/0!</v>
      </c>
      <c r="AH107" s="224" t="e">
        <v>#DIV/0!</v>
      </c>
      <c r="AI107" s="224" t="e">
        <v>#DIV/0!</v>
      </c>
      <c r="AJ107" s="224" t="e">
        <v>#DIV/0!</v>
      </c>
      <c r="AK107" s="224" t="e">
        <v>#DIV/0!</v>
      </c>
      <c r="AL107" s="224" t="e">
        <v>#DIV/0!</v>
      </c>
      <c r="AM107" s="224" t="e">
        <v>#DIV/0!</v>
      </c>
      <c r="AN107" s="1120" t="e">
        <v>#DIV/0!</v>
      </c>
      <c r="AO107" s="224" t="e">
        <f t="shared" si="5"/>
        <v>#DIV/0!</v>
      </c>
      <c r="AP107" s="1123">
        <v>0.1</v>
      </c>
      <c r="AQ107" s="1123">
        <f t="shared" si="7"/>
        <v>7.5064323963351956E-2</v>
      </c>
      <c r="AR107" s="1123">
        <v>20</v>
      </c>
      <c r="AS107" s="1123" t="e">
        <f t="shared" si="8"/>
        <v>#DIV/0!</v>
      </c>
      <c r="AT107" s="224" t="e">
        <f t="shared" si="6"/>
        <v>#DIV/0!</v>
      </c>
    </row>
    <row r="108" spans="1:46">
      <c r="A108" s="1118">
        <v>2050</v>
      </c>
      <c r="D108" s="1107" t="s">
        <v>531</v>
      </c>
      <c r="E108" s="224" t="s">
        <v>2060</v>
      </c>
      <c r="G108" s="224" t="e">
        <v>#DIV/0!</v>
      </c>
      <c r="H108" s="224" t="e">
        <v>#DIV/0!</v>
      </c>
      <c r="I108" s="224" t="e">
        <v>#DIV/0!</v>
      </c>
      <c r="J108" s="224" t="e">
        <v>#DIV/0!</v>
      </c>
      <c r="K108" s="224" t="e">
        <v>#DIV/0!</v>
      </c>
      <c r="L108" s="224" t="e">
        <v>#DIV/0!</v>
      </c>
      <c r="M108" s="224" t="e">
        <v>#DIV/0!</v>
      </c>
      <c r="N108" s="224" t="e">
        <v>#DIV/0!</v>
      </c>
      <c r="O108" s="224" t="e">
        <v>#DIV/0!</v>
      </c>
      <c r="P108" s="224" t="e">
        <v>#DIV/0!</v>
      </c>
      <c r="Q108" s="224" t="e">
        <v>#DIV/0!</v>
      </c>
      <c r="R108" s="224" t="e">
        <v>#DIV/0!</v>
      </c>
      <c r="S108" s="224" t="e">
        <v>#DIV/0!</v>
      </c>
      <c r="T108" s="224" t="e">
        <v>#DIV/0!</v>
      </c>
      <c r="U108" s="224" t="e">
        <v>#DIV/0!</v>
      </c>
      <c r="V108" s="224" t="e">
        <v>#DIV/0!</v>
      </c>
      <c r="W108" s="224" t="e">
        <v>#DIV/0!</v>
      </c>
      <c r="X108" s="224" t="e">
        <v>#DIV/0!</v>
      </c>
      <c r="Y108" s="224" t="e">
        <v>#DIV/0!</v>
      </c>
      <c r="Z108" s="224" t="e">
        <v>#DIV/0!</v>
      </c>
      <c r="AA108" s="224" t="e">
        <v>#DIV/0!</v>
      </c>
      <c r="AB108" s="224" t="e">
        <v>#DIV/0!</v>
      </c>
      <c r="AC108" s="224" t="e">
        <v>#DIV/0!</v>
      </c>
      <c r="AD108" s="1120" t="e">
        <v>#DIV/0!</v>
      </c>
      <c r="AE108" s="224" t="e">
        <v>#DIV/0!</v>
      </c>
      <c r="AF108" s="224" t="e">
        <v>#DIV/0!</v>
      </c>
      <c r="AG108" s="224" t="e">
        <v>#DIV/0!</v>
      </c>
      <c r="AH108" s="224" t="e">
        <v>#DIV/0!</v>
      </c>
      <c r="AI108" s="224" t="e">
        <v>#DIV/0!</v>
      </c>
      <c r="AJ108" s="224" t="e">
        <v>#DIV/0!</v>
      </c>
      <c r="AK108" s="224" t="e">
        <v>#DIV/0!</v>
      </c>
      <c r="AL108" s="224" t="e">
        <v>#DIV/0!</v>
      </c>
      <c r="AM108" s="224" t="e">
        <v>#DIV/0!</v>
      </c>
      <c r="AN108" s="1120" t="e">
        <v>#DIV/0!</v>
      </c>
      <c r="AO108" s="224" t="e">
        <f t="shared" si="5"/>
        <v>#DIV/0!</v>
      </c>
      <c r="AP108" s="1123">
        <v>0.1</v>
      </c>
      <c r="AQ108" s="1123">
        <f t="shared" si="7"/>
        <v>7.5064323963351956E-2</v>
      </c>
      <c r="AR108" s="1123">
        <v>20</v>
      </c>
      <c r="AS108" s="1123" t="e">
        <f t="shared" si="8"/>
        <v>#DIV/0!</v>
      </c>
      <c r="AT108" s="224" t="e">
        <f t="shared" si="6"/>
        <v>#DIV/0!</v>
      </c>
    </row>
    <row r="109" spans="1:46">
      <c r="A109" s="1118">
        <v>2017</v>
      </c>
      <c r="D109" s="1107" t="s">
        <v>531</v>
      </c>
      <c r="E109" s="224" t="s">
        <v>2061</v>
      </c>
      <c r="G109" s="224">
        <v>11756.477403045001</v>
      </c>
      <c r="H109" s="224">
        <v>6467</v>
      </c>
      <c r="I109" s="224">
        <v>246.76050000000001</v>
      </c>
      <c r="J109" s="224">
        <v>0</v>
      </c>
      <c r="K109" s="224">
        <v>0</v>
      </c>
      <c r="L109" s="224">
        <v>0</v>
      </c>
      <c r="M109" s="224">
        <v>0</v>
      </c>
      <c r="N109" s="224">
        <v>0</v>
      </c>
      <c r="O109" s="224">
        <v>0</v>
      </c>
      <c r="P109" s="224">
        <v>0</v>
      </c>
      <c r="Q109" s="224">
        <v>0</v>
      </c>
      <c r="R109" s="224">
        <v>0</v>
      </c>
      <c r="S109" s="224">
        <v>997.18847575030054</v>
      </c>
      <c r="T109" s="224">
        <v>1214.0059118469787</v>
      </c>
      <c r="U109" s="224">
        <v>1424.5495672153872</v>
      </c>
      <c r="V109" s="224">
        <v>0</v>
      </c>
      <c r="W109" s="224">
        <v>182.69018549999998</v>
      </c>
      <c r="X109" s="224">
        <v>274.03527824999998</v>
      </c>
      <c r="Y109" s="224">
        <v>246.76050000000001</v>
      </c>
      <c r="Z109" s="224">
        <v>0</v>
      </c>
      <c r="AA109" s="224">
        <v>3.9728624531884487</v>
      </c>
      <c r="AB109" s="224">
        <v>4.8366769396293972</v>
      </c>
      <c r="AC109" s="224">
        <v>5.6754962837266421</v>
      </c>
      <c r="AD109" s="1120">
        <v>4.2757003381458514</v>
      </c>
      <c r="AE109" s="224">
        <v>0</v>
      </c>
      <c r="AF109" s="224">
        <v>8549.1589579499978</v>
      </c>
      <c r="AG109" s="224">
        <v>140401.78928999999</v>
      </c>
      <c r="AH109" s="224">
        <v>0</v>
      </c>
      <c r="AI109" s="224">
        <v>49200</v>
      </c>
      <c r="AJ109" s="224">
        <v>0</v>
      </c>
      <c r="AK109" s="224">
        <v>745.98720000000003</v>
      </c>
      <c r="AL109" s="224">
        <v>0</v>
      </c>
      <c r="AM109" s="224">
        <v>0</v>
      </c>
      <c r="AN109" s="1120">
        <v>198896.93544795</v>
      </c>
      <c r="AO109" s="224">
        <f t="shared" si="5"/>
        <v>0.56336627655409732</v>
      </c>
      <c r="AP109" s="1123">
        <v>0.1</v>
      </c>
      <c r="AQ109" s="1123">
        <f t="shared" si="7"/>
        <v>7.5064323963351956E-2</v>
      </c>
      <c r="AR109" s="1123">
        <v>20</v>
      </c>
      <c r="AS109" s="1123">
        <f t="shared" si="8"/>
        <v>0.32852962895646604</v>
      </c>
      <c r="AT109" s="224">
        <f t="shared" si="6"/>
        <v>14930.063997782821</v>
      </c>
    </row>
    <row r="110" spans="1:46">
      <c r="A110" s="1121">
        <v>2020</v>
      </c>
      <c r="D110" s="1107" t="s">
        <v>531</v>
      </c>
      <c r="E110" s="224" t="s">
        <v>2061</v>
      </c>
      <c r="G110" s="224" t="e">
        <v>#DIV/0!</v>
      </c>
      <c r="H110" s="224" t="e">
        <v>#DIV/0!</v>
      </c>
      <c r="I110" s="224" t="e">
        <v>#DIV/0!</v>
      </c>
      <c r="J110" s="224" t="e">
        <v>#DIV/0!</v>
      </c>
      <c r="K110" s="224" t="e">
        <v>#DIV/0!</v>
      </c>
      <c r="L110" s="224" t="e">
        <v>#DIV/0!</v>
      </c>
      <c r="M110" s="224" t="e">
        <v>#DIV/0!</v>
      </c>
      <c r="N110" s="224" t="e">
        <v>#DIV/0!</v>
      </c>
      <c r="O110" s="224" t="e">
        <v>#DIV/0!</v>
      </c>
      <c r="P110" s="224" t="e">
        <v>#DIV/0!</v>
      </c>
      <c r="Q110" s="224" t="e">
        <v>#DIV/0!</v>
      </c>
      <c r="R110" s="224" t="e">
        <v>#DIV/0!</v>
      </c>
      <c r="S110" s="224" t="e">
        <v>#DIV/0!</v>
      </c>
      <c r="T110" s="224" t="e">
        <v>#DIV/0!</v>
      </c>
      <c r="U110" s="224" t="e">
        <v>#DIV/0!</v>
      </c>
      <c r="V110" s="224" t="e">
        <v>#DIV/0!</v>
      </c>
      <c r="W110" s="224" t="e">
        <v>#DIV/0!</v>
      </c>
      <c r="X110" s="224" t="e">
        <v>#DIV/0!</v>
      </c>
      <c r="Y110" s="224" t="e">
        <v>#DIV/0!</v>
      </c>
      <c r="Z110" s="224" t="e">
        <v>#DIV/0!</v>
      </c>
      <c r="AA110" s="224" t="e">
        <v>#DIV/0!</v>
      </c>
      <c r="AB110" s="224" t="e">
        <v>#DIV/0!</v>
      </c>
      <c r="AC110" s="224" t="e">
        <v>#DIV/0!</v>
      </c>
      <c r="AD110" s="1120" t="e">
        <v>#DIV/0!</v>
      </c>
      <c r="AE110" s="224" t="e">
        <v>#DIV/0!</v>
      </c>
      <c r="AF110" s="224" t="e">
        <v>#DIV/0!</v>
      </c>
      <c r="AG110" s="224" t="e">
        <v>#DIV/0!</v>
      </c>
      <c r="AH110" s="224" t="e">
        <v>#DIV/0!</v>
      </c>
      <c r="AI110" s="224" t="e">
        <v>#DIV/0!</v>
      </c>
      <c r="AJ110" s="224" t="e">
        <v>#DIV/0!</v>
      </c>
      <c r="AK110" s="224" t="e">
        <v>#DIV/0!</v>
      </c>
      <c r="AL110" s="224" t="e">
        <v>#DIV/0!</v>
      </c>
      <c r="AM110" s="224" t="e">
        <v>#DIV/0!</v>
      </c>
      <c r="AN110" s="1120" t="e">
        <v>#DIV/0!</v>
      </c>
      <c r="AO110" s="224" t="e">
        <f t="shared" si="5"/>
        <v>#DIV/0!</v>
      </c>
      <c r="AP110" s="1123">
        <v>0.1</v>
      </c>
      <c r="AQ110" s="1123">
        <f t="shared" si="7"/>
        <v>7.5064323963351956E-2</v>
      </c>
      <c r="AR110" s="1123">
        <v>20</v>
      </c>
      <c r="AS110" s="1123" t="e">
        <f t="shared" ref="AS110:AS114" si="9">AO110/$AO$229</f>
        <v>#DIV/0!</v>
      </c>
      <c r="AT110" s="224" t="e">
        <f t="shared" si="6"/>
        <v>#DIV/0!</v>
      </c>
    </row>
    <row r="111" spans="1:46">
      <c r="A111" s="1118">
        <v>2025</v>
      </c>
      <c r="D111" s="1107" t="s">
        <v>531</v>
      </c>
      <c r="E111" s="224" t="s">
        <v>2061</v>
      </c>
      <c r="G111" s="224" t="e">
        <v>#DIV/0!</v>
      </c>
      <c r="H111" s="224" t="e">
        <v>#DIV/0!</v>
      </c>
      <c r="I111" s="224" t="e">
        <v>#DIV/0!</v>
      </c>
      <c r="J111" s="224" t="e">
        <v>#DIV/0!</v>
      </c>
      <c r="K111" s="224" t="e">
        <v>#DIV/0!</v>
      </c>
      <c r="L111" s="224" t="e">
        <v>#DIV/0!</v>
      </c>
      <c r="M111" s="224" t="e">
        <v>#DIV/0!</v>
      </c>
      <c r="N111" s="224" t="e">
        <v>#DIV/0!</v>
      </c>
      <c r="O111" s="224" t="e">
        <v>#DIV/0!</v>
      </c>
      <c r="P111" s="224" t="e">
        <v>#DIV/0!</v>
      </c>
      <c r="Q111" s="224" t="e">
        <v>#DIV/0!</v>
      </c>
      <c r="R111" s="224" t="e">
        <v>#DIV/0!</v>
      </c>
      <c r="S111" s="224" t="e">
        <v>#DIV/0!</v>
      </c>
      <c r="T111" s="224" t="e">
        <v>#DIV/0!</v>
      </c>
      <c r="U111" s="224" t="e">
        <v>#DIV/0!</v>
      </c>
      <c r="V111" s="224" t="e">
        <v>#DIV/0!</v>
      </c>
      <c r="W111" s="224" t="e">
        <v>#DIV/0!</v>
      </c>
      <c r="X111" s="224" t="e">
        <v>#DIV/0!</v>
      </c>
      <c r="Y111" s="224" t="e">
        <v>#DIV/0!</v>
      </c>
      <c r="Z111" s="224" t="e">
        <v>#DIV/0!</v>
      </c>
      <c r="AA111" s="224" t="e">
        <v>#DIV/0!</v>
      </c>
      <c r="AB111" s="224" t="e">
        <v>#DIV/0!</v>
      </c>
      <c r="AC111" s="224" t="e">
        <v>#DIV/0!</v>
      </c>
      <c r="AD111" s="1120" t="e">
        <v>#DIV/0!</v>
      </c>
      <c r="AE111" s="224" t="e">
        <v>#DIV/0!</v>
      </c>
      <c r="AF111" s="224" t="e">
        <v>#DIV/0!</v>
      </c>
      <c r="AG111" s="224" t="e">
        <v>#DIV/0!</v>
      </c>
      <c r="AH111" s="224" t="e">
        <v>#DIV/0!</v>
      </c>
      <c r="AI111" s="224" t="e">
        <v>#DIV/0!</v>
      </c>
      <c r="AJ111" s="224" t="e">
        <v>#DIV/0!</v>
      </c>
      <c r="AK111" s="224" t="e">
        <v>#DIV/0!</v>
      </c>
      <c r="AL111" s="224" t="e">
        <v>#DIV/0!</v>
      </c>
      <c r="AM111" s="224" t="e">
        <v>#DIV/0!</v>
      </c>
      <c r="AN111" s="1120" t="e">
        <v>#DIV/0!</v>
      </c>
      <c r="AO111" s="224" t="e">
        <f t="shared" si="5"/>
        <v>#DIV/0!</v>
      </c>
      <c r="AP111" s="1123">
        <v>0.1</v>
      </c>
      <c r="AQ111" s="1123">
        <f t="shared" si="7"/>
        <v>7.5064323963351956E-2</v>
      </c>
      <c r="AR111" s="1123">
        <v>20</v>
      </c>
      <c r="AS111" s="1123" t="e">
        <f t="shared" si="9"/>
        <v>#DIV/0!</v>
      </c>
      <c r="AT111" s="224" t="e">
        <f t="shared" si="6"/>
        <v>#DIV/0!</v>
      </c>
    </row>
    <row r="112" spans="1:46">
      <c r="A112" s="1118">
        <v>2030</v>
      </c>
      <c r="D112" s="1107" t="s">
        <v>531</v>
      </c>
      <c r="E112" s="224" t="s">
        <v>2061</v>
      </c>
      <c r="G112" s="224">
        <v>11756.477403045001</v>
      </c>
      <c r="H112" s="224">
        <v>6467</v>
      </c>
      <c r="I112" s="224">
        <v>246.76050000000001</v>
      </c>
      <c r="J112" s="224">
        <v>0</v>
      </c>
      <c r="K112" s="224">
        <v>0</v>
      </c>
      <c r="L112" s="224">
        <v>0</v>
      </c>
      <c r="M112" s="224">
        <v>0</v>
      </c>
      <c r="N112" s="224">
        <v>0</v>
      </c>
      <c r="O112" s="224">
        <v>0</v>
      </c>
      <c r="P112" s="224">
        <v>0</v>
      </c>
      <c r="Q112" s="224">
        <v>0</v>
      </c>
      <c r="R112" s="224">
        <v>0</v>
      </c>
      <c r="S112" s="224">
        <v>997.18847575030054</v>
      </c>
      <c r="T112" s="224">
        <v>1214.0059118469787</v>
      </c>
      <c r="U112" s="224">
        <v>1424.5495672153872</v>
      </c>
      <c r="V112" s="224">
        <v>0</v>
      </c>
      <c r="W112" s="224">
        <v>182.69018549999998</v>
      </c>
      <c r="X112" s="224">
        <v>274.03527824999998</v>
      </c>
      <c r="Y112" s="224">
        <v>246.76050000000001</v>
      </c>
      <c r="Z112" s="224">
        <v>0</v>
      </c>
      <c r="AA112" s="224">
        <v>3.9728624531884487</v>
      </c>
      <c r="AB112" s="224">
        <v>4.8366769396293972</v>
      </c>
      <c r="AC112" s="224">
        <v>5.6754962837266421</v>
      </c>
      <c r="AD112" s="224">
        <v>4.2757003381458514</v>
      </c>
      <c r="AE112" s="224">
        <v>0</v>
      </c>
      <c r="AF112" s="224">
        <v>1140.3468928799998</v>
      </c>
      <c r="AG112" s="224">
        <v>43715.815737476747</v>
      </c>
      <c r="AH112" s="224">
        <v>0</v>
      </c>
      <c r="AI112" s="224">
        <v>57600</v>
      </c>
      <c r="AJ112" s="224">
        <v>0</v>
      </c>
      <c r="AK112" s="224">
        <v>6130.1750326299316</v>
      </c>
      <c r="AL112" s="224">
        <v>0</v>
      </c>
      <c r="AM112" s="224">
        <v>0</v>
      </c>
      <c r="AN112" s="1120">
        <v>108586.33766298668</v>
      </c>
      <c r="AO112" s="224">
        <f t="shared" si="5"/>
        <v>0.56336627655409732</v>
      </c>
      <c r="AP112" s="1123">
        <v>0.1</v>
      </c>
      <c r="AQ112" s="1123">
        <f t="shared" si="7"/>
        <v>7.5064323963351956E-2</v>
      </c>
      <c r="AR112" s="1123">
        <v>20</v>
      </c>
      <c r="AS112" s="1123">
        <f t="shared" si="9"/>
        <v>0.2596817207332125</v>
      </c>
      <c r="AT112" s="224">
        <f t="shared" si="6"/>
        <v>8150.960028328358</v>
      </c>
    </row>
    <row r="113" spans="1:46">
      <c r="A113" s="1118">
        <v>2035</v>
      </c>
      <c r="D113" s="1107" t="s">
        <v>531</v>
      </c>
      <c r="E113" s="224" t="s">
        <v>2061</v>
      </c>
      <c r="G113" s="224" t="e">
        <v>#DIV/0!</v>
      </c>
      <c r="H113" s="224" t="e">
        <v>#DIV/0!</v>
      </c>
      <c r="I113" s="224" t="e">
        <v>#DIV/0!</v>
      </c>
      <c r="J113" s="224" t="e">
        <v>#DIV/0!</v>
      </c>
      <c r="K113" s="224" t="e">
        <v>#DIV/0!</v>
      </c>
      <c r="L113" s="224" t="e">
        <v>#DIV/0!</v>
      </c>
      <c r="M113" s="224" t="e">
        <v>#DIV/0!</v>
      </c>
      <c r="N113" s="224" t="e">
        <v>#DIV/0!</v>
      </c>
      <c r="O113" s="224" t="e">
        <v>#DIV/0!</v>
      </c>
      <c r="P113" s="224" t="e">
        <v>#DIV/0!</v>
      </c>
      <c r="Q113" s="224" t="e">
        <v>#DIV/0!</v>
      </c>
      <c r="R113" s="224" t="e">
        <v>#DIV/0!</v>
      </c>
      <c r="S113" s="224" t="e">
        <v>#DIV/0!</v>
      </c>
      <c r="T113" s="224" t="e">
        <v>#DIV/0!</v>
      </c>
      <c r="U113" s="224" t="e">
        <v>#DIV/0!</v>
      </c>
      <c r="V113" s="224" t="e">
        <v>#DIV/0!</v>
      </c>
      <c r="W113" s="224" t="e">
        <v>#DIV/0!</v>
      </c>
      <c r="X113" s="224" t="e">
        <v>#DIV/0!</v>
      </c>
      <c r="Y113" s="224" t="e">
        <v>#DIV/0!</v>
      </c>
      <c r="Z113" s="224" t="e">
        <v>#DIV/0!</v>
      </c>
      <c r="AA113" s="224" t="e">
        <v>#DIV/0!</v>
      </c>
      <c r="AB113" s="224" t="e">
        <v>#DIV/0!</v>
      </c>
      <c r="AC113" s="224" t="e">
        <v>#DIV/0!</v>
      </c>
      <c r="AD113" s="224" t="e">
        <v>#DIV/0!</v>
      </c>
      <c r="AE113" s="224" t="e">
        <v>#DIV/0!</v>
      </c>
      <c r="AF113" s="224" t="e">
        <v>#DIV/0!</v>
      </c>
      <c r="AG113" s="224" t="e">
        <v>#DIV/0!</v>
      </c>
      <c r="AH113" s="224" t="e">
        <v>#DIV/0!</v>
      </c>
      <c r="AI113" s="224" t="e">
        <v>#DIV/0!</v>
      </c>
      <c r="AJ113" s="224" t="e">
        <v>#DIV/0!</v>
      </c>
      <c r="AK113" s="224" t="e">
        <v>#DIV/0!</v>
      </c>
      <c r="AL113" s="224" t="e">
        <v>#DIV/0!</v>
      </c>
      <c r="AM113" s="224" t="e">
        <v>#DIV/0!</v>
      </c>
      <c r="AN113" s="1120" t="e">
        <v>#DIV/0!</v>
      </c>
      <c r="AO113" s="224" t="e">
        <f t="shared" si="5"/>
        <v>#DIV/0!</v>
      </c>
      <c r="AP113" s="1123">
        <v>0.1</v>
      </c>
      <c r="AQ113" s="1123">
        <f t="shared" si="7"/>
        <v>7.5064323963351956E-2</v>
      </c>
      <c r="AR113" s="1123">
        <v>20</v>
      </c>
      <c r="AS113" s="1123" t="e">
        <f t="shared" si="9"/>
        <v>#DIV/0!</v>
      </c>
      <c r="AT113" s="224" t="e">
        <f t="shared" si="6"/>
        <v>#DIV/0!</v>
      </c>
    </row>
    <row r="114" spans="1:46">
      <c r="A114" s="1118">
        <v>2050</v>
      </c>
      <c r="D114" s="1107" t="s">
        <v>531</v>
      </c>
      <c r="E114" s="224" t="s">
        <v>2061</v>
      </c>
      <c r="G114" s="224">
        <v>11756.477403045001</v>
      </c>
      <c r="H114" s="224">
        <v>6467</v>
      </c>
      <c r="I114" s="224">
        <v>246.76050000000001</v>
      </c>
      <c r="J114" s="224">
        <v>0</v>
      </c>
      <c r="K114" s="224">
        <v>0</v>
      </c>
      <c r="L114" s="224">
        <v>0</v>
      </c>
      <c r="M114" s="224">
        <v>0</v>
      </c>
      <c r="N114" s="224">
        <v>0</v>
      </c>
      <c r="O114" s="224">
        <v>0</v>
      </c>
      <c r="P114" s="224">
        <v>0</v>
      </c>
      <c r="Q114" s="224">
        <v>0</v>
      </c>
      <c r="R114" s="224">
        <v>0</v>
      </c>
      <c r="S114" s="224">
        <v>997.18847575030054</v>
      </c>
      <c r="T114" s="224">
        <v>1214.0059118469787</v>
      </c>
      <c r="U114" s="224">
        <v>1424.5495672153872</v>
      </c>
      <c r="V114" s="224">
        <v>0</v>
      </c>
      <c r="W114" s="224">
        <v>182.69018549999998</v>
      </c>
      <c r="X114" s="224">
        <v>274.03527824999998</v>
      </c>
      <c r="Y114" s="224">
        <v>246.76050000000001</v>
      </c>
      <c r="Z114" s="224">
        <v>0</v>
      </c>
      <c r="AA114" s="224">
        <v>3.9728624531884487</v>
      </c>
      <c r="AB114" s="224">
        <v>4.8366769396293972</v>
      </c>
      <c r="AC114" s="224">
        <v>5.6754962837266421</v>
      </c>
      <c r="AD114" s="224">
        <v>4.2757003381458514</v>
      </c>
      <c r="AE114" s="224">
        <v>0</v>
      </c>
      <c r="AF114" s="224">
        <v>988.2068971462412</v>
      </c>
      <c r="AG114" s="224">
        <v>23630.812211455206</v>
      </c>
      <c r="AH114" s="224">
        <v>0</v>
      </c>
      <c r="AI114" s="224">
        <v>57600</v>
      </c>
      <c r="AJ114" s="224">
        <v>0</v>
      </c>
      <c r="AK114" s="224">
        <v>9732.9821475917834</v>
      </c>
      <c r="AL114" s="224">
        <v>0</v>
      </c>
      <c r="AM114" s="224">
        <v>0</v>
      </c>
      <c r="AN114" s="1120">
        <v>91952.001256193224</v>
      </c>
      <c r="AO114" s="224">
        <f t="shared" si="5"/>
        <v>0.56336627655409732</v>
      </c>
      <c r="AP114" s="1123">
        <v>0.1</v>
      </c>
      <c r="AQ114" s="1123">
        <f t="shared" si="7"/>
        <v>7.5064323963351956E-2</v>
      </c>
      <c r="AR114" s="1123">
        <v>20</v>
      </c>
      <c r="AS114" s="1123">
        <f t="shared" si="9"/>
        <v>0.2596817207332125</v>
      </c>
      <c r="AT114" s="224">
        <f t="shared" si="6"/>
        <v>6902.3148113734342</v>
      </c>
    </row>
    <row r="115" spans="1:46">
      <c r="A115" s="1118">
        <v>2017</v>
      </c>
      <c r="D115" s="1107" t="s">
        <v>531</v>
      </c>
      <c r="E115" s="224" t="s">
        <v>2062</v>
      </c>
      <c r="G115" s="224">
        <v>11434.671917506445</v>
      </c>
      <c r="H115" s="224">
        <v>6467</v>
      </c>
      <c r="I115" s="224">
        <v>7.5398400000000008</v>
      </c>
      <c r="J115" s="224">
        <v>5.4084760276697438E-2</v>
      </c>
      <c r="K115" s="224">
        <v>5.785690340535847E-2</v>
      </c>
      <c r="L115" s="224">
        <v>7.2171923072217078E-2</v>
      </c>
      <c r="M115" s="224">
        <v>0</v>
      </c>
      <c r="N115" s="224">
        <v>0</v>
      </c>
      <c r="O115" s="224">
        <v>0</v>
      </c>
      <c r="P115" s="224">
        <v>0</v>
      </c>
      <c r="Q115" s="224">
        <v>0</v>
      </c>
      <c r="R115" s="224">
        <v>0</v>
      </c>
      <c r="S115" s="224">
        <v>0</v>
      </c>
      <c r="T115" s="224">
        <v>0</v>
      </c>
      <c r="U115" s="224">
        <v>0</v>
      </c>
      <c r="V115" s="224">
        <v>0</v>
      </c>
      <c r="W115" s="224">
        <v>195.38714780000001</v>
      </c>
      <c r="X115" s="224">
        <v>234.69760765550237</v>
      </c>
      <c r="Y115" s="224">
        <v>7.5398400000000008</v>
      </c>
      <c r="Z115" s="224">
        <v>127.2717193</v>
      </c>
      <c r="AA115" s="224">
        <v>8.1127140415046153</v>
      </c>
      <c r="AB115" s="224">
        <v>8.6785355108037709</v>
      </c>
      <c r="AC115" s="224">
        <v>10.825788460832563</v>
      </c>
      <c r="AD115" s="1120">
        <v>8.1240944812822207</v>
      </c>
      <c r="AE115" s="224">
        <v>0</v>
      </c>
      <c r="AF115" s="224">
        <v>9093.8586406200011</v>
      </c>
      <c r="AG115" s="224">
        <v>10232.815693779903</v>
      </c>
      <c r="AH115" s="224">
        <v>0</v>
      </c>
      <c r="AI115" s="224">
        <v>49200</v>
      </c>
      <c r="AJ115" s="224">
        <v>0</v>
      </c>
      <c r="AK115" s="224">
        <v>745.98720000000003</v>
      </c>
      <c r="AL115" s="224">
        <v>61040</v>
      </c>
      <c r="AM115" s="224">
        <v>11135.552487999999</v>
      </c>
      <c r="AN115" s="1120">
        <v>141448.21402239992</v>
      </c>
      <c r="AO115" s="224">
        <f t="shared" si="5"/>
        <v>1.0704306888537454</v>
      </c>
      <c r="AP115" s="1123">
        <v>0.1</v>
      </c>
      <c r="AQ115" s="1123">
        <f t="shared" si="7"/>
        <v>7.5064323963351956E-2</v>
      </c>
      <c r="AR115" s="1123">
        <v>20</v>
      </c>
      <c r="AS115" s="1123">
        <f>AO115/$AO$85</f>
        <v>0.62422656745405369</v>
      </c>
      <c r="AT115" s="224">
        <f t="shared" si="6"/>
        <v>10617.71456141497</v>
      </c>
    </row>
    <row r="116" spans="1:46">
      <c r="A116" s="1121">
        <v>2020</v>
      </c>
      <c r="D116" s="1107" t="s">
        <v>531</v>
      </c>
      <c r="E116" s="224" t="s">
        <v>2062</v>
      </c>
      <c r="G116" s="224" t="e">
        <v>#DIV/0!</v>
      </c>
      <c r="H116" s="224" t="e">
        <v>#DIV/0!</v>
      </c>
      <c r="I116" s="224" t="e">
        <v>#DIV/0!</v>
      </c>
      <c r="J116" s="224" t="e">
        <v>#DIV/0!</v>
      </c>
      <c r="K116" s="224" t="e">
        <v>#DIV/0!</v>
      </c>
      <c r="L116" s="224" t="e">
        <v>#DIV/0!</v>
      </c>
      <c r="M116" s="224" t="e">
        <v>#DIV/0!</v>
      </c>
      <c r="N116" s="224" t="e">
        <v>#DIV/0!</v>
      </c>
      <c r="O116" s="224" t="e">
        <v>#DIV/0!</v>
      </c>
      <c r="P116" s="224" t="e">
        <v>#DIV/0!</v>
      </c>
      <c r="Q116" s="224" t="e">
        <v>#DIV/0!</v>
      </c>
      <c r="R116" s="224" t="e">
        <v>#DIV/0!</v>
      </c>
      <c r="S116" s="224" t="e">
        <v>#DIV/0!</v>
      </c>
      <c r="T116" s="224" t="e">
        <v>#DIV/0!</v>
      </c>
      <c r="U116" s="224" t="e">
        <v>#DIV/0!</v>
      </c>
      <c r="V116" s="224" t="e">
        <v>#DIV/0!</v>
      </c>
      <c r="W116" s="224" t="e">
        <v>#DIV/0!</v>
      </c>
      <c r="X116" s="224" t="e">
        <v>#DIV/0!</v>
      </c>
      <c r="Y116" s="224" t="e">
        <v>#DIV/0!</v>
      </c>
      <c r="Z116" s="224" t="e">
        <v>#DIV/0!</v>
      </c>
      <c r="AA116" s="224" t="e">
        <v>#DIV/0!</v>
      </c>
      <c r="AB116" s="224" t="e">
        <v>#DIV/0!</v>
      </c>
      <c r="AC116" s="224" t="e">
        <v>#DIV/0!</v>
      </c>
      <c r="AD116" s="1120" t="e">
        <v>#DIV/0!</v>
      </c>
      <c r="AE116" s="224" t="e">
        <v>#DIV/0!</v>
      </c>
      <c r="AF116" s="224" t="e">
        <v>#DIV/0!</v>
      </c>
      <c r="AG116" s="224" t="e">
        <v>#DIV/0!</v>
      </c>
      <c r="AH116" s="224" t="e">
        <v>#DIV/0!</v>
      </c>
      <c r="AI116" s="224" t="e">
        <v>#DIV/0!</v>
      </c>
      <c r="AJ116" s="224" t="e">
        <v>#DIV/0!</v>
      </c>
      <c r="AK116" s="224" t="e">
        <v>#DIV/0!</v>
      </c>
      <c r="AL116" s="224" t="e">
        <v>#DIV/0!</v>
      </c>
      <c r="AM116" s="224" t="e">
        <v>#DIV/0!</v>
      </c>
      <c r="AN116" s="1120" t="e">
        <v>#DIV/0!</v>
      </c>
      <c r="AO116" s="224" t="e">
        <f t="shared" si="5"/>
        <v>#DIV/0!</v>
      </c>
      <c r="AP116" s="1123">
        <v>0.1</v>
      </c>
      <c r="AQ116" s="1123">
        <f t="shared" si="7"/>
        <v>7.5064323963351956E-2</v>
      </c>
      <c r="AR116" s="1123">
        <v>20</v>
      </c>
      <c r="AS116" s="1123" t="e">
        <f t="shared" si="8"/>
        <v>#DIV/0!</v>
      </c>
      <c r="AT116" s="224" t="e">
        <f t="shared" si="6"/>
        <v>#DIV/0!</v>
      </c>
    </row>
    <row r="117" spans="1:46">
      <c r="A117" s="1118">
        <v>2025</v>
      </c>
      <c r="D117" s="1107" t="s">
        <v>531</v>
      </c>
      <c r="E117" s="224" t="s">
        <v>2062</v>
      </c>
      <c r="G117" s="224" t="e">
        <v>#DIV/0!</v>
      </c>
      <c r="H117" s="224" t="e">
        <v>#DIV/0!</v>
      </c>
      <c r="I117" s="224" t="e">
        <v>#DIV/0!</v>
      </c>
      <c r="J117" s="224" t="e">
        <v>#DIV/0!</v>
      </c>
      <c r="K117" s="224" t="e">
        <v>#DIV/0!</v>
      </c>
      <c r="L117" s="224" t="e">
        <v>#DIV/0!</v>
      </c>
      <c r="M117" s="224" t="e">
        <v>#DIV/0!</v>
      </c>
      <c r="N117" s="224" t="e">
        <v>#DIV/0!</v>
      </c>
      <c r="O117" s="224" t="e">
        <v>#DIV/0!</v>
      </c>
      <c r="P117" s="224" t="e">
        <v>#DIV/0!</v>
      </c>
      <c r="Q117" s="224" t="e">
        <v>#DIV/0!</v>
      </c>
      <c r="R117" s="224" t="e">
        <v>#DIV/0!</v>
      </c>
      <c r="S117" s="224" t="e">
        <v>#DIV/0!</v>
      </c>
      <c r="T117" s="224" t="e">
        <v>#DIV/0!</v>
      </c>
      <c r="U117" s="224" t="e">
        <v>#DIV/0!</v>
      </c>
      <c r="V117" s="224" t="e">
        <v>#DIV/0!</v>
      </c>
      <c r="W117" s="224" t="e">
        <v>#DIV/0!</v>
      </c>
      <c r="X117" s="224" t="e">
        <v>#DIV/0!</v>
      </c>
      <c r="Y117" s="224" t="e">
        <v>#DIV/0!</v>
      </c>
      <c r="Z117" s="224" t="e">
        <v>#DIV/0!</v>
      </c>
      <c r="AA117" s="224" t="e">
        <v>#DIV/0!</v>
      </c>
      <c r="AB117" s="224" t="e">
        <v>#DIV/0!</v>
      </c>
      <c r="AC117" s="224" t="e">
        <v>#DIV/0!</v>
      </c>
      <c r="AD117" s="1120" t="e">
        <v>#DIV/0!</v>
      </c>
      <c r="AE117" s="224" t="e">
        <v>#DIV/0!</v>
      </c>
      <c r="AF117" s="224" t="e">
        <v>#DIV/0!</v>
      </c>
      <c r="AG117" s="224" t="e">
        <v>#DIV/0!</v>
      </c>
      <c r="AH117" s="224" t="e">
        <v>#DIV/0!</v>
      </c>
      <c r="AI117" s="224" t="e">
        <v>#DIV/0!</v>
      </c>
      <c r="AJ117" s="224" t="e">
        <v>#DIV/0!</v>
      </c>
      <c r="AK117" s="224" t="e">
        <v>#DIV/0!</v>
      </c>
      <c r="AL117" s="224" t="e">
        <v>#DIV/0!</v>
      </c>
      <c r="AM117" s="224" t="e">
        <v>#DIV/0!</v>
      </c>
      <c r="AN117" s="1120" t="e">
        <v>#DIV/0!</v>
      </c>
      <c r="AO117" s="224" t="e">
        <f t="shared" si="5"/>
        <v>#DIV/0!</v>
      </c>
      <c r="AP117" s="1123">
        <v>0.1</v>
      </c>
      <c r="AQ117" s="1123">
        <f t="shared" si="7"/>
        <v>7.5064323963351956E-2</v>
      </c>
      <c r="AR117" s="1123">
        <v>20</v>
      </c>
      <c r="AS117" s="1123" t="e">
        <f t="shared" si="8"/>
        <v>#DIV/0!</v>
      </c>
      <c r="AT117" s="224" t="e">
        <f t="shared" si="6"/>
        <v>#DIV/0!</v>
      </c>
    </row>
    <row r="118" spans="1:46">
      <c r="A118" s="1118">
        <v>2030</v>
      </c>
      <c r="D118" s="1107" t="s">
        <v>531</v>
      </c>
      <c r="E118" s="224" t="s">
        <v>2062</v>
      </c>
      <c r="G118" s="224">
        <v>17075.416404132378</v>
      </c>
      <c r="H118" s="224">
        <v>9627</v>
      </c>
      <c r="I118" s="224">
        <v>6.7240800000000007</v>
      </c>
      <c r="J118" s="224">
        <v>5.8786719646386099E-2</v>
      </c>
      <c r="K118" s="224">
        <v>6.0255813726998383E-2</v>
      </c>
      <c r="L118" s="224">
        <v>7.3342969598852462E-2</v>
      </c>
      <c r="M118" s="224">
        <v>0</v>
      </c>
      <c r="N118" s="224">
        <v>0</v>
      </c>
      <c r="O118" s="224">
        <v>0</v>
      </c>
      <c r="P118" s="224">
        <v>0</v>
      </c>
      <c r="Q118" s="224">
        <v>0</v>
      </c>
      <c r="R118" s="224">
        <v>0</v>
      </c>
      <c r="S118" s="224">
        <v>0</v>
      </c>
      <c r="T118" s="224">
        <v>0</v>
      </c>
      <c r="U118" s="224">
        <v>0</v>
      </c>
      <c r="V118" s="224">
        <v>0</v>
      </c>
      <c r="W118" s="224">
        <v>242.17620160000001</v>
      </c>
      <c r="X118" s="224">
        <v>127.071943231441</v>
      </c>
      <c r="Y118" s="224">
        <v>6.7240800000000007</v>
      </c>
      <c r="Z118" s="224">
        <v>156.94457464999999</v>
      </c>
      <c r="AA118" s="224">
        <v>8.8180079469579145</v>
      </c>
      <c r="AB118" s="224">
        <v>9.0383720590497578</v>
      </c>
      <c r="AC118" s="224">
        <v>11.001445439827869</v>
      </c>
      <c r="AD118" s="1120">
        <v>5.411192987119863</v>
      </c>
      <c r="AE118" s="224">
        <v>0</v>
      </c>
      <c r="AF118" s="224">
        <v>2359.0083604608003</v>
      </c>
      <c r="AG118" s="224">
        <v>2820.9971397379904</v>
      </c>
      <c r="AH118" s="224">
        <v>0</v>
      </c>
      <c r="AI118" s="224">
        <v>57600</v>
      </c>
      <c r="AJ118" s="224">
        <v>4342.7233634999993</v>
      </c>
      <c r="AK118" s="224">
        <v>5614.4184944067338</v>
      </c>
      <c r="AL118" s="224">
        <v>18582.88</v>
      </c>
      <c r="AM118" s="224">
        <v>5319.12</v>
      </c>
      <c r="AN118" s="1120">
        <v>96639.147358105518</v>
      </c>
      <c r="AO118" s="224">
        <f t="shared" si="5"/>
        <v>0.71297878798291303</v>
      </c>
      <c r="AP118" s="1123">
        <v>0.1</v>
      </c>
      <c r="AQ118" s="1123">
        <f t="shared" si="7"/>
        <v>7.5064323963351956E-2</v>
      </c>
      <c r="AR118" s="1123">
        <v>20</v>
      </c>
      <c r="AS118" s="1123">
        <f t="shared" si="8"/>
        <v>0.41577685143417503</v>
      </c>
      <c r="AT118" s="224">
        <f t="shared" si="6"/>
        <v>7254.152264830941</v>
      </c>
    </row>
    <row r="119" spans="1:46">
      <c r="A119" s="1118">
        <v>2035</v>
      </c>
      <c r="D119" s="1107" t="s">
        <v>531</v>
      </c>
      <c r="E119" s="224" t="s">
        <v>2062</v>
      </c>
      <c r="G119" s="224" t="e">
        <v>#DIV/0!</v>
      </c>
      <c r="H119" s="224" t="e">
        <v>#DIV/0!</v>
      </c>
      <c r="I119" s="224" t="e">
        <v>#DIV/0!</v>
      </c>
      <c r="J119" s="224" t="e">
        <v>#DIV/0!</v>
      </c>
      <c r="K119" s="224" t="e">
        <v>#DIV/0!</v>
      </c>
      <c r="L119" s="224" t="e">
        <v>#DIV/0!</v>
      </c>
      <c r="M119" s="224" t="e">
        <v>#DIV/0!</v>
      </c>
      <c r="N119" s="224" t="e">
        <v>#DIV/0!</v>
      </c>
      <c r="O119" s="224" t="e">
        <v>#DIV/0!</v>
      </c>
      <c r="P119" s="224" t="e">
        <v>#DIV/0!</v>
      </c>
      <c r="Q119" s="224" t="e">
        <v>#DIV/0!</v>
      </c>
      <c r="R119" s="224" t="e">
        <v>#DIV/0!</v>
      </c>
      <c r="S119" s="224" t="e">
        <v>#DIV/0!</v>
      </c>
      <c r="T119" s="224" t="e">
        <v>#DIV/0!</v>
      </c>
      <c r="U119" s="224" t="e">
        <v>#DIV/0!</v>
      </c>
      <c r="V119" s="224" t="e">
        <v>#DIV/0!</v>
      </c>
      <c r="W119" s="224" t="e">
        <v>#DIV/0!</v>
      </c>
      <c r="X119" s="224" t="e">
        <v>#DIV/0!</v>
      </c>
      <c r="Y119" s="224" t="e">
        <v>#DIV/0!</v>
      </c>
      <c r="Z119" s="224" t="e">
        <v>#DIV/0!</v>
      </c>
      <c r="AA119" s="224" t="e">
        <v>#DIV/0!</v>
      </c>
      <c r="AB119" s="224" t="e">
        <v>#DIV/0!</v>
      </c>
      <c r="AC119" s="224" t="e">
        <v>#DIV/0!</v>
      </c>
      <c r="AD119" s="1120" t="e">
        <v>#DIV/0!</v>
      </c>
      <c r="AE119" s="224" t="e">
        <v>#DIV/0!</v>
      </c>
      <c r="AF119" s="224" t="e">
        <v>#DIV/0!</v>
      </c>
      <c r="AG119" s="224" t="e">
        <v>#DIV/0!</v>
      </c>
      <c r="AH119" s="224" t="e">
        <v>#DIV/0!</v>
      </c>
      <c r="AI119" s="224" t="e">
        <v>#DIV/0!</v>
      </c>
      <c r="AJ119" s="224" t="e">
        <v>#DIV/0!</v>
      </c>
      <c r="AK119" s="224" t="e">
        <v>#DIV/0!</v>
      </c>
      <c r="AL119" s="224" t="e">
        <v>#DIV/0!</v>
      </c>
      <c r="AM119" s="224" t="e">
        <v>#DIV/0!</v>
      </c>
      <c r="AN119" s="1120" t="e">
        <v>#DIV/0!</v>
      </c>
      <c r="AO119" s="224" t="e">
        <f t="shared" si="5"/>
        <v>#DIV/0!</v>
      </c>
      <c r="AP119" s="1123">
        <v>0.1</v>
      </c>
      <c r="AQ119" s="1123">
        <f t="shared" si="7"/>
        <v>7.5064323963351956E-2</v>
      </c>
      <c r="AR119" s="1123">
        <v>20</v>
      </c>
      <c r="AS119" s="1123" t="e">
        <f t="shared" si="8"/>
        <v>#DIV/0!</v>
      </c>
      <c r="AT119" s="224" t="e">
        <f t="shared" si="6"/>
        <v>#DIV/0!</v>
      </c>
    </row>
    <row r="120" spans="1:46">
      <c r="A120" s="1118">
        <v>2050</v>
      </c>
      <c r="D120" s="1107" t="s">
        <v>531</v>
      </c>
      <c r="E120" s="224" t="s">
        <v>2062</v>
      </c>
      <c r="G120" s="224">
        <v>16371.348471566882</v>
      </c>
      <c r="H120" s="224">
        <v>9852</v>
      </c>
      <c r="I120" s="224">
        <v>6.5102400000000005</v>
      </c>
      <c r="J120" s="224">
        <v>4.9171183458573686E-2</v>
      </c>
      <c r="K120" s="224">
        <v>5.1320288613999662E-2</v>
      </c>
      <c r="L120" s="224">
        <v>6.2356861721108402E-2</v>
      </c>
      <c r="M120" s="224">
        <v>0</v>
      </c>
      <c r="N120" s="224">
        <v>0</v>
      </c>
      <c r="O120" s="224">
        <v>0</v>
      </c>
      <c r="P120" s="224">
        <v>0</v>
      </c>
      <c r="Q120" s="224">
        <v>0</v>
      </c>
      <c r="R120" s="224">
        <v>0</v>
      </c>
      <c r="S120" s="224">
        <v>0</v>
      </c>
      <c r="T120" s="224">
        <v>0</v>
      </c>
      <c r="U120" s="224">
        <v>0</v>
      </c>
      <c r="V120" s="224">
        <v>0</v>
      </c>
      <c r="W120" s="224">
        <v>230.82226935</v>
      </c>
      <c r="X120" s="224">
        <v>123.03078602620083</v>
      </c>
      <c r="Y120" s="224">
        <v>6.5102400000000005</v>
      </c>
      <c r="Z120" s="224">
        <v>149.37315104999999</v>
      </c>
      <c r="AA120" s="224">
        <v>7.3756775187860528</v>
      </c>
      <c r="AB120" s="224">
        <v>7.6980432920999498</v>
      </c>
      <c r="AC120" s="224">
        <v>9.3535292581662599</v>
      </c>
      <c r="AD120" s="1120">
        <v>4.3992666456769669</v>
      </c>
      <c r="AE120" s="224">
        <v>0</v>
      </c>
      <c r="AF120" s="224">
        <v>1140.3468928799998</v>
      </c>
      <c r="AG120" s="224">
        <v>1919.280262008733</v>
      </c>
      <c r="AH120" s="224">
        <v>0</v>
      </c>
      <c r="AI120" s="224">
        <v>57600</v>
      </c>
      <c r="AJ120" s="224">
        <v>8066.4150890400015</v>
      </c>
      <c r="AK120" s="224">
        <v>6393.2965024452897</v>
      </c>
      <c r="AL120" s="224">
        <v>10755</v>
      </c>
      <c r="AM120" s="224">
        <v>3244.6041599999999</v>
      </c>
      <c r="AN120" s="1120">
        <v>89118.94290637401</v>
      </c>
      <c r="AO120" s="224">
        <f t="shared" si="5"/>
        <v>0.57964737323439708</v>
      </c>
      <c r="AP120" s="1123">
        <v>0.1</v>
      </c>
      <c r="AQ120" s="1123">
        <f>AA120*$C$4*365/1000*0.1</f>
        <v>3.5471403350446636E-2</v>
      </c>
      <c r="AR120" s="1123">
        <v>20</v>
      </c>
      <c r="AS120" s="1123">
        <f t="shared" si="8"/>
        <v>0.33802402518497299</v>
      </c>
      <c r="AT120" s="224">
        <f t="shared" si="6"/>
        <v>3161.1739699974173</v>
      </c>
    </row>
    <row r="121" spans="1:46">
      <c r="A121" s="1118">
        <v>2017</v>
      </c>
      <c r="B121" s="1119"/>
      <c r="C121" s="1119"/>
      <c r="D121" s="1119" t="s">
        <v>2004</v>
      </c>
      <c r="E121" s="1119" t="s">
        <v>2057</v>
      </c>
      <c r="F121" s="1119"/>
      <c r="G121" s="224">
        <v>8126.318466190125</v>
      </c>
      <c r="H121" s="224">
        <v>3423.6666666666665</v>
      </c>
      <c r="I121" s="224">
        <v>3.1680000000000006</v>
      </c>
      <c r="J121" s="224">
        <v>9.3742814197221844E-2</v>
      </c>
      <c r="K121" s="224">
        <v>8.1886786104516829E-2</v>
      </c>
      <c r="L121" s="224">
        <v>0.10184108214187677</v>
      </c>
      <c r="M121" s="224">
        <v>0</v>
      </c>
      <c r="N121" s="224">
        <v>0</v>
      </c>
      <c r="O121" s="224">
        <v>0</v>
      </c>
      <c r="P121" s="224">
        <v>0</v>
      </c>
      <c r="Q121" s="224">
        <v>0</v>
      </c>
      <c r="R121" s="224">
        <v>0</v>
      </c>
      <c r="S121" s="224">
        <v>0</v>
      </c>
      <c r="T121" s="224">
        <v>0</v>
      </c>
      <c r="U121" s="224">
        <v>0</v>
      </c>
      <c r="V121" s="224">
        <v>171.46471469999997</v>
      </c>
      <c r="W121" s="224">
        <v>0</v>
      </c>
      <c r="X121" s="224">
        <v>4.3509999999999991</v>
      </c>
      <c r="Y121" s="224">
        <v>3.1680000000000006</v>
      </c>
      <c r="Z121" s="224">
        <v>0</v>
      </c>
      <c r="AA121" s="224">
        <v>14.061422129583276</v>
      </c>
      <c r="AB121" s="224">
        <v>12.283017915677524</v>
      </c>
      <c r="AC121" s="224">
        <v>15.276162321281518</v>
      </c>
      <c r="AD121" s="1120">
        <v>26.497357103453727</v>
      </c>
      <c r="AE121" s="224">
        <v>15836.106940918857</v>
      </c>
      <c r="AF121" s="224">
        <v>0</v>
      </c>
      <c r="AG121" s="224">
        <v>261.60000000000002</v>
      </c>
      <c r="AH121" s="224">
        <v>5812.4704046834486</v>
      </c>
      <c r="AI121" s="224">
        <v>33600</v>
      </c>
      <c r="AJ121" s="224">
        <v>0</v>
      </c>
      <c r="AK121" s="224">
        <v>745.98720000000003</v>
      </c>
      <c r="AL121" s="224">
        <v>0</v>
      </c>
      <c r="AM121" s="224">
        <v>436.00000000000006</v>
      </c>
      <c r="AN121" s="1120">
        <v>56692.164545602318</v>
      </c>
      <c r="AO121" s="224">
        <f t="shared" si="5"/>
        <v>3.4912917719510626</v>
      </c>
      <c r="AP121" s="1123">
        <v>0.1</v>
      </c>
      <c r="AQ121" s="1123">
        <f t="shared" si="7"/>
        <v>3.5471403350446636E-2</v>
      </c>
      <c r="AR121" s="1123">
        <v>20</v>
      </c>
      <c r="AS121" s="1123">
        <f>AO121/$AO$121</f>
        <v>1</v>
      </c>
      <c r="AT121" s="224">
        <f t="shared" si="6"/>
        <v>2010.9506354069499</v>
      </c>
    </row>
    <row r="122" spans="1:46">
      <c r="A122" s="1121">
        <v>2020</v>
      </c>
      <c r="B122" s="1107"/>
      <c r="C122" s="1107"/>
      <c r="D122" s="1107" t="s">
        <v>2004</v>
      </c>
      <c r="E122" s="1107" t="s">
        <v>2057</v>
      </c>
      <c r="F122" s="1107"/>
      <c r="G122" s="224">
        <v>8013.6269139799015</v>
      </c>
      <c r="H122" s="224">
        <v>3507.4902666666662</v>
      </c>
      <c r="I122" s="224">
        <v>3.1680000000000006</v>
      </c>
      <c r="J122" s="224">
        <v>8.9381175739435673E-2</v>
      </c>
      <c r="K122" s="224">
        <v>7.5677047963316604E-2</v>
      </c>
      <c r="L122" s="224">
        <v>9.3043623251365615E-2</v>
      </c>
      <c r="M122" s="224">
        <v>0</v>
      </c>
      <c r="N122" s="224">
        <v>0</v>
      </c>
      <c r="O122" s="224">
        <v>0</v>
      </c>
      <c r="P122" s="224">
        <v>0</v>
      </c>
      <c r="Q122" s="224">
        <v>0</v>
      </c>
      <c r="R122" s="224">
        <v>0</v>
      </c>
      <c r="S122" s="224">
        <v>0</v>
      </c>
      <c r="T122" s="224">
        <v>0</v>
      </c>
      <c r="U122" s="224">
        <v>0</v>
      </c>
      <c r="V122" s="224">
        <v>169.35779890000001</v>
      </c>
      <c r="W122" s="224">
        <v>0</v>
      </c>
      <c r="X122" s="224">
        <v>4.2881538461538478</v>
      </c>
      <c r="Y122" s="224">
        <v>3.1680000000000006</v>
      </c>
      <c r="Z122" s="224">
        <v>0</v>
      </c>
      <c r="AA122" s="224">
        <v>13.407176360915351</v>
      </c>
      <c r="AB122" s="224">
        <v>11.351557194497493</v>
      </c>
      <c r="AC122" s="224">
        <v>13.956543487704842</v>
      </c>
      <c r="AD122" s="1120">
        <v>23.902582271148258</v>
      </c>
      <c r="AE122" s="224">
        <v>16256.279769333531</v>
      </c>
      <c r="AF122" s="224">
        <v>0</v>
      </c>
      <c r="AG122" s="224">
        <v>261.60000000000002</v>
      </c>
      <c r="AH122" s="224">
        <v>5753.578475459999</v>
      </c>
      <c r="AI122" s="224">
        <v>33600</v>
      </c>
      <c r="AJ122" s="224">
        <v>1510.4126832356826</v>
      </c>
      <c r="AK122" s="224">
        <v>1214.2458237810094</v>
      </c>
      <c r="AL122" s="224">
        <v>0</v>
      </c>
      <c r="AM122" s="224">
        <v>436.00000000000006</v>
      </c>
      <c r="AN122" s="1120">
        <v>59032.116751810216</v>
      </c>
      <c r="AO122" s="224">
        <f t="shared" si="5"/>
        <v>3.1494042400464943</v>
      </c>
      <c r="AP122" s="1123">
        <v>0.1</v>
      </c>
      <c r="AQ122" s="1123">
        <f t="shared" si="7"/>
        <v>3.5471403350446636E-2</v>
      </c>
      <c r="AR122" s="1123">
        <v>20</v>
      </c>
      <c r="AS122" s="1123">
        <f t="shared" ref="AS122:AS156" si="10">AO122/$AO$121</f>
        <v>0.90207420226195856</v>
      </c>
      <c r="AT122" s="224">
        <f t="shared" si="6"/>
        <v>2093.9520239341177</v>
      </c>
    </row>
    <row r="123" spans="1:46">
      <c r="A123" s="1118">
        <v>2025</v>
      </c>
      <c r="B123" s="1119"/>
      <c r="C123" s="1119"/>
      <c r="D123" s="1107" t="s">
        <v>2004</v>
      </c>
      <c r="E123" s="1119" t="s">
        <v>2057</v>
      </c>
      <c r="F123" s="1119"/>
      <c r="G123" s="224">
        <v>7992.698734984825</v>
      </c>
      <c r="H123" s="224">
        <v>3536.8930166666669</v>
      </c>
      <c r="I123" s="224">
        <v>3.1679999999999997</v>
      </c>
      <c r="J123" s="224">
        <v>7.8911864657545405E-2</v>
      </c>
      <c r="K123" s="224">
        <v>6.258844834328639E-2</v>
      </c>
      <c r="L123" s="224">
        <v>7.6350753696471596E-2</v>
      </c>
      <c r="M123" s="224">
        <v>0</v>
      </c>
      <c r="N123" s="224">
        <v>0</v>
      </c>
      <c r="O123" s="224">
        <v>0</v>
      </c>
      <c r="P123" s="224">
        <v>0</v>
      </c>
      <c r="Q123" s="224">
        <v>0</v>
      </c>
      <c r="R123" s="224">
        <v>0</v>
      </c>
      <c r="S123" s="224">
        <v>0</v>
      </c>
      <c r="T123" s="224">
        <v>0</v>
      </c>
      <c r="U123" s="224">
        <v>0</v>
      </c>
      <c r="V123" s="224">
        <v>162.87437585000001</v>
      </c>
      <c r="W123" s="224">
        <v>0</v>
      </c>
      <c r="X123" s="224">
        <v>4.3422943143812711</v>
      </c>
      <c r="Y123" s="224">
        <v>3.1679999999999997</v>
      </c>
      <c r="Z123" s="224">
        <v>0</v>
      </c>
      <c r="AA123" s="224">
        <v>11.836779698631814</v>
      </c>
      <c r="AB123" s="224">
        <v>9.388267251492957</v>
      </c>
      <c r="AC123" s="224">
        <v>11.45261305447074</v>
      </c>
      <c r="AD123" s="1120">
        <v>20.340035890652047</v>
      </c>
      <c r="AE123" s="224">
        <v>16786.492045399053</v>
      </c>
      <c r="AF123" s="224">
        <v>0</v>
      </c>
      <c r="AG123" s="224">
        <v>211.20000000000002</v>
      </c>
      <c r="AH123" s="224">
        <v>5572.3556228968955</v>
      </c>
      <c r="AI123" s="224">
        <v>33600</v>
      </c>
      <c r="AJ123" s="224">
        <v>1891.4628123673938</v>
      </c>
      <c r="AK123" s="224">
        <v>2829.8971847014668</v>
      </c>
      <c r="AL123" s="224">
        <v>0</v>
      </c>
      <c r="AM123" s="224">
        <v>352.00000000000006</v>
      </c>
      <c r="AN123" s="1120">
        <v>61243.407665364815</v>
      </c>
      <c r="AO123" s="224">
        <f t="shared" si="5"/>
        <v>2.6800031289523134</v>
      </c>
      <c r="AP123" s="1123">
        <v>0.1</v>
      </c>
      <c r="AQ123" s="1123">
        <f t="shared" si="7"/>
        <v>3.5471403350446636E-2</v>
      </c>
      <c r="AR123" s="1123">
        <v>20</v>
      </c>
      <c r="AS123" s="1123">
        <f t="shared" si="10"/>
        <v>0.76762508091800896</v>
      </c>
      <c r="AT123" s="224">
        <f t="shared" si="6"/>
        <v>2172.3896158539906</v>
      </c>
    </row>
    <row r="124" spans="1:46">
      <c r="A124" s="1118">
        <v>2030</v>
      </c>
      <c r="B124" s="1107"/>
      <c r="C124" s="1107"/>
      <c r="D124" s="1107" t="s">
        <v>2004</v>
      </c>
      <c r="E124" s="1107" t="s">
        <v>2057</v>
      </c>
      <c r="F124" s="1107"/>
      <c r="G124" s="224">
        <v>8049.8665066520625</v>
      </c>
      <c r="H124" s="224">
        <v>3571.6254166666663</v>
      </c>
      <c r="I124" s="224">
        <v>3.1679999999999997</v>
      </c>
      <c r="J124" s="224">
        <v>7.504238591431342E-2</v>
      </c>
      <c r="K124" s="224">
        <v>5.8643333708983593E-2</v>
      </c>
      <c r="L124" s="224">
        <v>7.1287512370904707E-2</v>
      </c>
      <c r="M124" s="224">
        <v>0</v>
      </c>
      <c r="N124" s="224">
        <v>0</v>
      </c>
      <c r="O124" s="224">
        <v>0</v>
      </c>
      <c r="P124" s="224">
        <v>0</v>
      </c>
      <c r="Q124" s="224">
        <v>0</v>
      </c>
      <c r="R124" s="224">
        <v>0</v>
      </c>
      <c r="S124" s="224">
        <v>0</v>
      </c>
      <c r="T124" s="224">
        <v>0</v>
      </c>
      <c r="U124" s="224">
        <v>0</v>
      </c>
      <c r="V124" s="224">
        <v>162.8414055333333</v>
      </c>
      <c r="W124" s="224">
        <v>0</v>
      </c>
      <c r="X124" s="224">
        <v>4.3964347826086945</v>
      </c>
      <c r="Y124" s="224">
        <v>3.1679999999999997</v>
      </c>
      <c r="Z124" s="224">
        <v>0</v>
      </c>
      <c r="AA124" s="224">
        <v>11.256357887147013</v>
      </c>
      <c r="AB124" s="224">
        <v>8.79650005634754</v>
      </c>
      <c r="AC124" s="224">
        <v>10.693126855635706</v>
      </c>
      <c r="AD124" s="1120">
        <v>19.03440467307615</v>
      </c>
      <c r="AE124" s="224">
        <v>17111.41528673418</v>
      </c>
      <c r="AF124" s="224">
        <v>0</v>
      </c>
      <c r="AG124" s="224">
        <v>177.6</v>
      </c>
      <c r="AH124" s="224">
        <v>5571.4340457006883</v>
      </c>
      <c r="AI124" s="224">
        <v>33600</v>
      </c>
      <c r="AJ124" s="224">
        <v>2355.5883541473254</v>
      </c>
      <c r="AK124" s="224">
        <v>3508.029060192428</v>
      </c>
      <c r="AL124" s="224">
        <v>0</v>
      </c>
      <c r="AM124" s="224">
        <v>296</v>
      </c>
      <c r="AN124" s="1120">
        <v>62620.066746774617</v>
      </c>
      <c r="AO124" s="224">
        <f t="shared" si="5"/>
        <v>2.5079731597245134</v>
      </c>
      <c r="AP124" s="1123">
        <v>0.1</v>
      </c>
      <c r="AQ124" s="1123">
        <f t="shared" si="7"/>
        <v>3.5471403350446636E-2</v>
      </c>
      <c r="AR124" s="1123">
        <v>20</v>
      </c>
      <c r="AS124" s="1123">
        <f t="shared" si="10"/>
        <v>0.71835106417444039</v>
      </c>
      <c r="AT124" s="224">
        <f t="shared" si="6"/>
        <v>2221.2216454067329</v>
      </c>
    </row>
    <row r="125" spans="1:46">
      <c r="A125" s="1118">
        <v>2035</v>
      </c>
      <c r="B125" s="1119"/>
      <c r="C125" s="1119"/>
      <c r="D125" s="1107" t="s">
        <v>2004</v>
      </c>
      <c r="E125" s="1119" t="s">
        <v>2057</v>
      </c>
      <c r="F125" s="1119"/>
      <c r="G125" s="224">
        <v>8107.3213773054003</v>
      </c>
      <c r="H125" s="224">
        <v>3605.1661333333336</v>
      </c>
      <c r="I125" s="224">
        <v>3.1679999999999997</v>
      </c>
      <c r="J125" s="224">
        <v>7.3053728894190914E-2</v>
      </c>
      <c r="K125" s="224">
        <v>5.6680450942871163E-2</v>
      </c>
      <c r="L125" s="224">
        <v>6.8742202739152686E-2</v>
      </c>
      <c r="M125" s="224">
        <v>0</v>
      </c>
      <c r="N125" s="224">
        <v>0</v>
      </c>
      <c r="O125" s="224">
        <v>0</v>
      </c>
      <c r="P125" s="224">
        <v>0</v>
      </c>
      <c r="Q125" s="224">
        <v>0</v>
      </c>
      <c r="R125" s="224">
        <v>0</v>
      </c>
      <c r="S125" s="224">
        <v>0</v>
      </c>
      <c r="T125" s="224">
        <v>0</v>
      </c>
      <c r="U125" s="224">
        <v>0</v>
      </c>
      <c r="V125" s="224">
        <v>162.30004374999999</v>
      </c>
      <c r="W125" s="224">
        <v>0</v>
      </c>
      <c r="X125" s="224">
        <v>4.3964347826086945</v>
      </c>
      <c r="Y125" s="224">
        <v>3.1679999999999997</v>
      </c>
      <c r="Z125" s="224">
        <v>0</v>
      </c>
      <c r="AA125" s="224">
        <v>10.958059334128636</v>
      </c>
      <c r="AB125" s="224">
        <v>8.5020676414306742</v>
      </c>
      <c r="AC125" s="224">
        <v>10.311330410872904</v>
      </c>
      <c r="AD125" s="1120">
        <v>18.306387904663019</v>
      </c>
      <c r="AE125" s="224">
        <v>17439.532307304344</v>
      </c>
      <c r="AF125" s="224">
        <v>0</v>
      </c>
      <c r="AG125" s="224">
        <v>144</v>
      </c>
      <c r="AH125" s="224">
        <v>5556.3020504741371</v>
      </c>
      <c r="AI125" s="224">
        <v>33600</v>
      </c>
      <c r="AJ125" s="224">
        <v>2891.3252488602134</v>
      </c>
      <c r="AK125" s="224">
        <v>3935.8667708711309</v>
      </c>
      <c r="AL125" s="224">
        <v>0</v>
      </c>
      <c r="AM125" s="224">
        <v>240</v>
      </c>
      <c r="AN125" s="1120">
        <v>63807.026377509821</v>
      </c>
      <c r="AO125" s="224">
        <f t="shared" si="5"/>
        <v>2.4120496703183991</v>
      </c>
      <c r="AP125" s="1123">
        <v>0.1</v>
      </c>
      <c r="AQ125" s="1123">
        <f t="shared" si="7"/>
        <v>3.5471403350446636E-2</v>
      </c>
      <c r="AR125" s="1123">
        <v>20</v>
      </c>
      <c r="AS125" s="1123">
        <f t="shared" si="10"/>
        <v>0.69087599314864967</v>
      </c>
      <c r="AT125" s="224">
        <f t="shared" si="6"/>
        <v>2263.3247692292389</v>
      </c>
    </row>
    <row r="126" spans="1:46">
      <c r="A126" s="1118">
        <v>2050</v>
      </c>
      <c r="B126" s="1107"/>
      <c r="C126" s="1107"/>
      <c r="D126" s="1107" t="s">
        <v>2004</v>
      </c>
      <c r="E126" s="1107" t="s">
        <v>2057</v>
      </c>
      <c r="F126" s="1107"/>
      <c r="G126" s="224">
        <v>8074.6809317777033</v>
      </c>
      <c r="H126" s="224">
        <v>3650.5913833333339</v>
      </c>
      <c r="I126" s="224">
        <v>3.1679999999999997</v>
      </c>
      <c r="J126" s="224">
        <v>6.9391778632702308E-2</v>
      </c>
      <c r="K126" s="224">
        <v>5.3357589732972298E-2</v>
      </c>
      <c r="L126" s="224">
        <v>6.4660175815608845E-2</v>
      </c>
      <c r="M126" s="224">
        <v>0</v>
      </c>
      <c r="N126" s="224">
        <v>0</v>
      </c>
      <c r="O126" s="224">
        <v>0</v>
      </c>
      <c r="P126" s="224">
        <v>0</v>
      </c>
      <c r="Q126" s="224">
        <v>0</v>
      </c>
      <c r="R126" s="224">
        <v>0</v>
      </c>
      <c r="S126" s="224">
        <v>0</v>
      </c>
      <c r="T126" s="224">
        <v>0</v>
      </c>
      <c r="U126" s="224">
        <v>0</v>
      </c>
      <c r="V126" s="224">
        <v>160.57556886666666</v>
      </c>
      <c r="W126" s="224">
        <v>0</v>
      </c>
      <c r="X126" s="224">
        <v>4.3964347826086945</v>
      </c>
      <c r="Y126" s="224">
        <v>3.1679999999999997</v>
      </c>
      <c r="Z126" s="224">
        <v>0</v>
      </c>
      <c r="AA126" s="224">
        <v>10.408766794905345</v>
      </c>
      <c r="AB126" s="224">
        <v>8.0036384599458454</v>
      </c>
      <c r="AC126" s="224">
        <v>9.6990263723413292</v>
      </c>
      <c r="AD126" s="1120">
        <v>17.155048718914212</v>
      </c>
      <c r="AE126" s="224">
        <v>17838.366121622792</v>
      </c>
      <c r="AF126" s="224">
        <v>0</v>
      </c>
      <c r="AG126" s="224">
        <v>144</v>
      </c>
      <c r="AH126" s="224">
        <v>5508.1000042524138</v>
      </c>
      <c r="AI126" s="224">
        <v>33600</v>
      </c>
      <c r="AJ126" s="224">
        <v>3617.2934899153802</v>
      </c>
      <c r="AK126" s="224">
        <v>4842.5801991868502</v>
      </c>
      <c r="AL126" s="224">
        <v>0</v>
      </c>
      <c r="AM126" s="224">
        <v>240</v>
      </c>
      <c r="AN126" s="1120">
        <v>65790.339814977429</v>
      </c>
      <c r="AO126" s="224">
        <f t="shared" si="5"/>
        <v>2.2603492192041363</v>
      </c>
      <c r="AP126" s="1123">
        <v>0.1</v>
      </c>
      <c r="AQ126" s="1123">
        <f t="shared" si="7"/>
        <v>3.5471403350446636E-2</v>
      </c>
      <c r="AR126" s="1123">
        <v>20</v>
      </c>
      <c r="AS126" s="1123">
        <f t="shared" si="10"/>
        <v>0.64742489796003788</v>
      </c>
      <c r="AT126" s="224">
        <f t="shared" si="6"/>
        <v>2333.6756801400129</v>
      </c>
    </row>
    <row r="127" spans="1:46">
      <c r="A127" s="1118">
        <v>2017</v>
      </c>
      <c r="B127" s="1119"/>
      <c r="C127" s="1119"/>
      <c r="D127" s="1107" t="s">
        <v>2004</v>
      </c>
      <c r="E127" s="1119" t="s">
        <v>2058</v>
      </c>
      <c r="F127" s="1119"/>
      <c r="G127" s="224">
        <v>8511.8968082817519</v>
      </c>
      <c r="H127" s="224">
        <v>3840.5</v>
      </c>
      <c r="I127" s="224">
        <v>0.37666506240000003</v>
      </c>
      <c r="J127" s="224">
        <v>9.1101393971552119E-2</v>
      </c>
      <c r="K127" s="224">
        <v>8.2048901242951444E-2</v>
      </c>
      <c r="L127" s="224">
        <v>0.1016608439019627</v>
      </c>
      <c r="M127" s="224">
        <v>0</v>
      </c>
      <c r="N127" s="224">
        <v>0</v>
      </c>
      <c r="O127" s="224">
        <v>0</v>
      </c>
      <c r="P127" s="224">
        <v>0</v>
      </c>
      <c r="Q127" s="224">
        <v>0</v>
      </c>
      <c r="R127" s="224">
        <v>0</v>
      </c>
      <c r="S127" s="224">
        <v>0</v>
      </c>
      <c r="T127" s="224">
        <v>0</v>
      </c>
      <c r="U127" s="224">
        <v>0</v>
      </c>
      <c r="V127" s="224">
        <v>169.71553950000001</v>
      </c>
      <c r="W127" s="224">
        <v>5.6</v>
      </c>
      <c r="X127" s="224">
        <v>8.4</v>
      </c>
      <c r="Y127" s="224">
        <v>0.37666506240000003</v>
      </c>
      <c r="Z127" s="224">
        <v>0</v>
      </c>
      <c r="AA127" s="224">
        <v>13.665209095732816</v>
      </c>
      <c r="AB127" s="224">
        <v>12.307335186442717</v>
      </c>
      <c r="AC127" s="224">
        <v>15.249126585294405</v>
      </c>
      <c r="AD127" s="1120">
        <v>23.285173587757562</v>
      </c>
      <c r="AE127" s="224">
        <v>15673.484209874285</v>
      </c>
      <c r="AF127" s="224">
        <v>1100.19</v>
      </c>
      <c r="AG127" s="224">
        <v>511.19707604210521</v>
      </c>
      <c r="AH127" s="224">
        <v>5763.5779420241379</v>
      </c>
      <c r="AI127" s="224">
        <v>40800</v>
      </c>
      <c r="AJ127" s="224">
        <v>0</v>
      </c>
      <c r="AK127" s="224">
        <v>745.98720000000003</v>
      </c>
      <c r="AL127" s="224">
        <v>0</v>
      </c>
      <c r="AM127" s="224">
        <v>436.00000000000006</v>
      </c>
      <c r="AN127" s="1120">
        <v>65030.436427940542</v>
      </c>
      <c r="AO127" s="224">
        <f t="shared" si="5"/>
        <v>3.0680544719229359</v>
      </c>
      <c r="AP127" s="1123">
        <v>0.1</v>
      </c>
      <c r="AQ127" s="1123">
        <f t="shared" si="7"/>
        <v>3.5471403350446636E-2</v>
      </c>
      <c r="AR127" s="1123">
        <v>20</v>
      </c>
      <c r="AS127" s="1123">
        <f t="shared" si="10"/>
        <v>0.87877343754870252</v>
      </c>
      <c r="AT127" s="224">
        <f t="shared" si="6"/>
        <v>2306.7208405910569</v>
      </c>
    </row>
    <row r="128" spans="1:46">
      <c r="A128" s="1121">
        <v>2020</v>
      </c>
      <c r="D128" s="1107" t="s">
        <v>2004</v>
      </c>
      <c r="E128" s="224" t="s">
        <v>2058</v>
      </c>
      <c r="G128" s="224">
        <v>8282.3532898825288</v>
      </c>
      <c r="H128" s="224">
        <v>3950.4837499999999</v>
      </c>
      <c r="I128" s="224">
        <v>0.32972037120000003</v>
      </c>
      <c r="J128" s="224">
        <v>8.3877057169329777E-2</v>
      </c>
      <c r="K128" s="224">
        <v>7.3891427106439797E-2</v>
      </c>
      <c r="L128" s="224">
        <v>9.1416234068864136E-2</v>
      </c>
      <c r="M128" s="224">
        <v>0</v>
      </c>
      <c r="N128" s="224">
        <v>0</v>
      </c>
      <c r="O128" s="224">
        <v>0</v>
      </c>
      <c r="P128" s="224">
        <v>0</v>
      </c>
      <c r="Q128" s="224">
        <v>0</v>
      </c>
      <c r="R128" s="224">
        <v>0</v>
      </c>
      <c r="S128" s="224">
        <v>0</v>
      </c>
      <c r="T128" s="224">
        <v>0</v>
      </c>
      <c r="U128" s="224">
        <v>0</v>
      </c>
      <c r="V128" s="224">
        <v>165.11378815</v>
      </c>
      <c r="W128" s="224">
        <v>4.9019999999999992</v>
      </c>
      <c r="X128" s="224">
        <v>7.3529999999999998</v>
      </c>
      <c r="Y128" s="224">
        <v>0.32972037120000003</v>
      </c>
      <c r="Z128" s="224">
        <v>0</v>
      </c>
      <c r="AA128" s="224">
        <v>12.581558575399466</v>
      </c>
      <c r="AB128" s="224">
        <v>11.083714065965969</v>
      </c>
      <c r="AC128" s="224">
        <v>13.71243511032962</v>
      </c>
      <c r="AD128" s="1120">
        <v>20.231517586918883</v>
      </c>
      <c r="AE128" s="224">
        <v>15916.530409683673</v>
      </c>
      <c r="AF128" s="224">
        <v>716.91554999999994</v>
      </c>
      <c r="AG128" s="224">
        <v>447.48532979138758</v>
      </c>
      <c r="AH128" s="224">
        <v>5634.951057737585</v>
      </c>
      <c r="AI128" s="224">
        <v>40800</v>
      </c>
      <c r="AJ128" s="224">
        <v>1981.7906762525845</v>
      </c>
      <c r="AK128" s="224">
        <v>1214.2458237810094</v>
      </c>
      <c r="AL128" s="224">
        <v>0</v>
      </c>
      <c r="AM128" s="224">
        <v>436.00000000000006</v>
      </c>
      <c r="AN128" s="1120">
        <v>67147.918847246241</v>
      </c>
      <c r="AO128" s="224">
        <f t="shared" si="5"/>
        <v>2.6657047572524317</v>
      </c>
      <c r="AP128" s="1123">
        <v>0.1</v>
      </c>
      <c r="AQ128" s="1123">
        <f t="shared" si="7"/>
        <v>3.5471403350446636E-2</v>
      </c>
      <c r="AR128" s="1123">
        <v>20</v>
      </c>
      <c r="AS128" s="1123">
        <f t="shared" si="10"/>
        <v>0.76352964214238028</v>
      </c>
      <c r="AT128" s="224">
        <f t="shared" si="6"/>
        <v>2381.830913573729</v>
      </c>
    </row>
    <row r="129" spans="1:46">
      <c r="A129" s="1118">
        <v>2025</v>
      </c>
      <c r="D129" s="1107" t="s">
        <v>2004</v>
      </c>
      <c r="E129" s="224" t="s">
        <v>2058</v>
      </c>
      <c r="G129" s="224">
        <v>8208.7032176910234</v>
      </c>
      <c r="H129" s="224">
        <v>3981.9561999999996</v>
      </c>
      <c r="I129" s="224">
        <v>0.25902581759999999</v>
      </c>
      <c r="J129" s="224">
        <v>7.5309510458857698E-2</v>
      </c>
      <c r="K129" s="224">
        <v>6.1154466161957445E-2</v>
      </c>
      <c r="L129" s="224">
        <v>7.5125469466749556E-2</v>
      </c>
      <c r="M129" s="224">
        <v>0</v>
      </c>
      <c r="N129" s="224">
        <v>0</v>
      </c>
      <c r="O129" s="224">
        <v>0</v>
      </c>
      <c r="P129" s="224">
        <v>0</v>
      </c>
      <c r="Q129" s="224">
        <v>0</v>
      </c>
      <c r="R129" s="224">
        <v>0</v>
      </c>
      <c r="S129" s="224">
        <v>0</v>
      </c>
      <c r="T129" s="224">
        <v>0</v>
      </c>
      <c r="U129" s="224">
        <v>0</v>
      </c>
      <c r="V129" s="224">
        <v>160.334350675</v>
      </c>
      <c r="W129" s="224">
        <v>3.851</v>
      </c>
      <c r="X129" s="224">
        <v>5.6416302377622385</v>
      </c>
      <c r="Y129" s="224">
        <v>0.25902581759999999</v>
      </c>
      <c r="Z129" s="224">
        <v>0</v>
      </c>
      <c r="AA129" s="224">
        <v>11.296426568828654</v>
      </c>
      <c r="AB129" s="224">
        <v>9.1731699242936173</v>
      </c>
      <c r="AC129" s="224">
        <v>11.268820420012435</v>
      </c>
      <c r="AD129" s="1120">
        <v>17.461361033327691</v>
      </c>
      <c r="AE129" s="224">
        <v>16596.791967797166</v>
      </c>
      <c r="AF129" s="224">
        <v>345.77865000000003</v>
      </c>
      <c r="AG129" s="224">
        <v>239.10400698558703</v>
      </c>
      <c r="AH129" s="224">
        <v>5501.3575399018955</v>
      </c>
      <c r="AI129" s="224">
        <v>40800</v>
      </c>
      <c r="AJ129" s="224">
        <v>2363.0182694392256</v>
      </c>
      <c r="AK129" s="224">
        <v>2829.8971847014668</v>
      </c>
      <c r="AL129" s="224">
        <v>0</v>
      </c>
      <c r="AM129" s="224">
        <v>352.00000000000006</v>
      </c>
      <c r="AN129" s="1120">
        <v>69027.947618825347</v>
      </c>
      <c r="AO129" s="224">
        <f t="shared" si="5"/>
        <v>2.3007089297512562</v>
      </c>
      <c r="AP129" s="1123">
        <v>0.1</v>
      </c>
      <c r="AQ129" s="1123">
        <f t="shared" si="7"/>
        <v>3.5471403350446636E-2</v>
      </c>
      <c r="AR129" s="1123">
        <v>20</v>
      </c>
      <c r="AS129" s="1123">
        <f t="shared" si="10"/>
        <v>0.65898500613299793</v>
      </c>
      <c r="AT129" s="224">
        <f t="shared" si="6"/>
        <v>2448.5181724408562</v>
      </c>
    </row>
    <row r="130" spans="1:46">
      <c r="A130" s="1118">
        <v>2030</v>
      </c>
      <c r="D130" s="1107" t="s">
        <v>2004</v>
      </c>
      <c r="E130" s="224" t="s">
        <v>2058</v>
      </c>
      <c r="G130" s="224">
        <v>8131.4691827233955</v>
      </c>
      <c r="H130" s="224">
        <v>4019.5814499999997</v>
      </c>
      <c r="I130" s="224">
        <v>0.21194300160000001</v>
      </c>
      <c r="J130" s="224">
        <v>7.1037106108940998E-2</v>
      </c>
      <c r="K130" s="224">
        <v>5.6725236343352158E-2</v>
      </c>
      <c r="L130" s="224">
        <v>6.9494271795185664E-2</v>
      </c>
      <c r="M130" s="224">
        <v>0</v>
      </c>
      <c r="N130" s="224">
        <v>0</v>
      </c>
      <c r="O130" s="224">
        <v>0</v>
      </c>
      <c r="P130" s="224">
        <v>0</v>
      </c>
      <c r="Q130" s="224">
        <v>0</v>
      </c>
      <c r="R130" s="224">
        <v>0</v>
      </c>
      <c r="S130" s="224">
        <v>0</v>
      </c>
      <c r="T130" s="224">
        <v>0</v>
      </c>
      <c r="U130" s="224">
        <v>0</v>
      </c>
      <c r="V130" s="224">
        <v>159.86322979999997</v>
      </c>
      <c r="W130" s="224">
        <v>3.1510000000000002</v>
      </c>
      <c r="X130" s="224">
        <v>4.2354221857269367</v>
      </c>
      <c r="Y130" s="224">
        <v>0.21194300160000001</v>
      </c>
      <c r="Z130" s="224">
        <v>0</v>
      </c>
      <c r="AA130" s="224">
        <v>10.65556591634115</v>
      </c>
      <c r="AB130" s="224">
        <v>8.5087854515028223</v>
      </c>
      <c r="AC130" s="224">
        <v>10.424140769277848</v>
      </c>
      <c r="AD130" s="1120">
        <v>16.150669539587692</v>
      </c>
      <c r="AE130" s="224">
        <v>16930.996149864746</v>
      </c>
      <c r="AF130" s="224">
        <v>224.30287800000002</v>
      </c>
      <c r="AG130" s="224">
        <v>125.09563236610866</v>
      </c>
      <c r="AH130" s="224">
        <v>5488.1888991682745</v>
      </c>
      <c r="AI130" s="224">
        <v>40800</v>
      </c>
      <c r="AJ130" s="224">
        <v>2851.055440532888</v>
      </c>
      <c r="AK130" s="224">
        <v>3508.029060192428</v>
      </c>
      <c r="AL130" s="224">
        <v>0</v>
      </c>
      <c r="AM130" s="224">
        <v>296</v>
      </c>
      <c r="AN130" s="1120">
        <v>70223.66806012443</v>
      </c>
      <c r="AO130" s="224">
        <f t="shared" si="5"/>
        <v>2.1280122185360741</v>
      </c>
      <c r="AP130" s="1123">
        <v>0.1</v>
      </c>
      <c r="AQ130" s="1123">
        <f t="shared" si="7"/>
        <v>3.5471403350446636E-2</v>
      </c>
      <c r="AR130" s="1123">
        <v>20</v>
      </c>
      <c r="AS130" s="1123">
        <f t="shared" si="10"/>
        <v>0.60952001652582088</v>
      </c>
      <c r="AT130" s="224">
        <f t="shared" si="6"/>
        <v>2490.9320545085502</v>
      </c>
    </row>
    <row r="131" spans="1:46">
      <c r="A131" s="1118">
        <v>2035</v>
      </c>
      <c r="D131" s="1107" t="s">
        <v>2004</v>
      </c>
      <c r="E131" s="224" t="s">
        <v>2058</v>
      </c>
      <c r="G131" s="224">
        <v>8057.7439217320371</v>
      </c>
      <c r="H131" s="224">
        <v>4055.8958750000002</v>
      </c>
      <c r="I131" s="224">
        <v>0.18833379840000003</v>
      </c>
      <c r="J131" s="224">
        <v>6.8725537566871303E-2</v>
      </c>
      <c r="K131" s="224">
        <v>5.4518469504022782E-2</v>
      </c>
      <c r="L131" s="224">
        <v>6.6682404926218519E-2</v>
      </c>
      <c r="M131" s="224">
        <v>0</v>
      </c>
      <c r="N131" s="224">
        <v>0</v>
      </c>
      <c r="O131" s="224">
        <v>0</v>
      </c>
      <c r="P131" s="224">
        <v>0</v>
      </c>
      <c r="Q131" s="224">
        <v>0</v>
      </c>
      <c r="R131" s="224">
        <v>0</v>
      </c>
      <c r="S131" s="224">
        <v>0</v>
      </c>
      <c r="T131" s="224">
        <v>0</v>
      </c>
      <c r="U131" s="224">
        <v>0</v>
      </c>
      <c r="V131" s="224">
        <v>159.36753347499999</v>
      </c>
      <c r="W131" s="224">
        <v>2.8000000000000003</v>
      </c>
      <c r="X131" s="224">
        <v>3.4618597729257634</v>
      </c>
      <c r="Y131" s="224">
        <v>0.18833379840000003</v>
      </c>
      <c r="Z131" s="224">
        <v>0</v>
      </c>
      <c r="AA131" s="224">
        <v>10.308830635030693</v>
      </c>
      <c r="AB131" s="224">
        <v>8.177770425603418</v>
      </c>
      <c r="AC131" s="224">
        <v>10.002360738932779</v>
      </c>
      <c r="AD131" s="1120">
        <v>15.45014352582978</v>
      </c>
      <c r="AE131" s="224">
        <v>17292.520007703151</v>
      </c>
      <c r="AF131" s="224">
        <v>168.62592000000001</v>
      </c>
      <c r="AG131" s="224">
        <v>70.043851179039279</v>
      </c>
      <c r="AH131" s="224">
        <v>5474.3333322356893</v>
      </c>
      <c r="AI131" s="224">
        <v>40800</v>
      </c>
      <c r="AJ131" s="224">
        <v>3431.2796019510192</v>
      </c>
      <c r="AK131" s="224">
        <v>3935.8667708711309</v>
      </c>
      <c r="AL131" s="224">
        <v>0</v>
      </c>
      <c r="AM131" s="224">
        <v>240</v>
      </c>
      <c r="AN131" s="1120">
        <v>71412.66948394003</v>
      </c>
      <c r="AO131" s="224">
        <f t="shared" si="5"/>
        <v>2.0357109109633318</v>
      </c>
      <c r="AP131" s="1123">
        <v>0.1</v>
      </c>
      <c r="AQ131" s="1123">
        <f t="shared" si="7"/>
        <v>3.5471403350446636E-2</v>
      </c>
      <c r="AR131" s="1123">
        <v>20</v>
      </c>
      <c r="AS131" s="1123">
        <f t="shared" si="10"/>
        <v>0.58308243593909126</v>
      </c>
      <c r="AT131" s="224">
        <f t="shared" si="6"/>
        <v>2533.1076035969686</v>
      </c>
    </row>
    <row r="132" spans="1:46">
      <c r="A132" s="1118">
        <v>2050</v>
      </c>
      <c r="D132" s="1107" t="s">
        <v>2004</v>
      </c>
      <c r="E132" s="224" t="s">
        <v>2058</v>
      </c>
      <c r="G132" s="224">
        <v>7954.4117696296144</v>
      </c>
      <c r="H132" s="224">
        <v>4104.9930750000003</v>
      </c>
      <c r="I132" s="224">
        <v>0.1412509824</v>
      </c>
      <c r="J132" s="224">
        <v>6.5341037886137335E-2</v>
      </c>
      <c r="K132" s="224">
        <v>5.1154827792352559E-2</v>
      </c>
      <c r="L132" s="224">
        <v>6.2507944940178348E-2</v>
      </c>
      <c r="M132" s="224">
        <v>0</v>
      </c>
      <c r="N132" s="224">
        <v>0</v>
      </c>
      <c r="O132" s="224">
        <v>0</v>
      </c>
      <c r="P132" s="224">
        <v>0</v>
      </c>
      <c r="Q132" s="224">
        <v>0</v>
      </c>
      <c r="R132" s="224">
        <v>0</v>
      </c>
      <c r="S132" s="224">
        <v>0</v>
      </c>
      <c r="T132" s="224">
        <v>0</v>
      </c>
      <c r="U132" s="224">
        <v>0</v>
      </c>
      <c r="V132" s="224">
        <v>156.80546079999999</v>
      </c>
      <c r="W132" s="224">
        <v>2.1</v>
      </c>
      <c r="X132" s="224">
        <v>2.5963948296943227</v>
      </c>
      <c r="Y132" s="224">
        <v>0.1412509824</v>
      </c>
      <c r="Z132" s="224">
        <v>0</v>
      </c>
      <c r="AA132" s="224">
        <v>9.8011556829205997</v>
      </c>
      <c r="AB132" s="224">
        <v>7.6732241688528831</v>
      </c>
      <c r="AC132" s="224">
        <v>9.3761917410267532</v>
      </c>
      <c r="AD132" s="1120">
        <v>14.46478504308411</v>
      </c>
      <c r="AE132" s="224">
        <v>17602.808569574558</v>
      </c>
      <c r="AF132" s="224">
        <v>76.463999999999999</v>
      </c>
      <c r="AG132" s="224">
        <v>50.184060052401726</v>
      </c>
      <c r="AH132" s="224">
        <v>5402.7189836027583</v>
      </c>
      <c r="AI132" s="224">
        <v>40800</v>
      </c>
      <c r="AJ132" s="224">
        <v>4216.1246270287984</v>
      </c>
      <c r="AK132" s="224">
        <v>4842.5801991868502</v>
      </c>
      <c r="AL132" s="224">
        <v>0</v>
      </c>
      <c r="AM132" s="224">
        <v>240</v>
      </c>
      <c r="AN132" s="1120">
        <v>73230.880439445376</v>
      </c>
      <c r="AO132" s="224">
        <f t="shared" si="5"/>
        <v>1.9058800772767621</v>
      </c>
      <c r="AP132" s="1123">
        <v>0.1</v>
      </c>
      <c r="AQ132" s="1123">
        <f t="shared" si="7"/>
        <v>3.5471403350446636E-2</v>
      </c>
      <c r="AR132" s="1123">
        <v>20</v>
      </c>
      <c r="AS132" s="1123">
        <f t="shared" si="10"/>
        <v>0.5458953882309544</v>
      </c>
      <c r="AT132" s="224">
        <f t="shared" si="6"/>
        <v>2597.6020977758999</v>
      </c>
    </row>
    <row r="133" spans="1:46">
      <c r="A133" s="1118">
        <v>2017</v>
      </c>
      <c r="D133" s="1107" t="s">
        <v>2004</v>
      </c>
      <c r="E133" s="224" t="s">
        <v>2059</v>
      </c>
      <c r="G133" s="224">
        <v>8883.9599902395639</v>
      </c>
      <c r="H133" s="224">
        <v>3840.5</v>
      </c>
      <c r="I133" s="224">
        <v>4.7916000000000007</v>
      </c>
      <c r="J133" s="224">
        <v>7.7403173228406327E-2</v>
      </c>
      <c r="K133" s="224">
        <v>8.6402141538296839E-2</v>
      </c>
      <c r="L133" s="224">
        <v>0.10688099421831837</v>
      </c>
      <c r="M133" s="224">
        <v>0</v>
      </c>
      <c r="N133" s="224">
        <v>0</v>
      </c>
      <c r="O133" s="224">
        <v>0</v>
      </c>
      <c r="P133" s="224">
        <v>0</v>
      </c>
      <c r="Q133" s="224">
        <v>0</v>
      </c>
      <c r="R133" s="224">
        <v>0</v>
      </c>
      <c r="S133" s="224">
        <v>0</v>
      </c>
      <c r="T133" s="224">
        <v>0</v>
      </c>
      <c r="U133" s="224">
        <v>0</v>
      </c>
      <c r="V133" s="224">
        <v>173.34234975000001</v>
      </c>
      <c r="W133" s="224">
        <v>114.2786736</v>
      </c>
      <c r="X133" s="224">
        <v>149.15131578947364</v>
      </c>
      <c r="Y133" s="224">
        <v>4.7916000000000007</v>
      </c>
      <c r="Z133" s="224">
        <v>0</v>
      </c>
      <c r="AA133" s="224">
        <v>11.610475984260949</v>
      </c>
      <c r="AB133" s="224">
        <v>12.960321230744526</v>
      </c>
      <c r="AC133" s="224">
        <v>16.032149132747755</v>
      </c>
      <c r="AD133" s="1120">
        <v>21.689622626504793</v>
      </c>
      <c r="AE133" s="224">
        <v>16019.419254194287</v>
      </c>
      <c r="AF133" s="224">
        <v>5762.505097440001</v>
      </c>
      <c r="AG133" s="224">
        <v>6502.9973684210527</v>
      </c>
      <c r="AH133" s="224">
        <v>7764.371451110077</v>
      </c>
      <c r="AI133" s="224">
        <v>40800</v>
      </c>
      <c r="AJ133" s="224">
        <v>0</v>
      </c>
      <c r="AK133" s="224">
        <v>745.98720000000003</v>
      </c>
      <c r="AL133" s="224">
        <v>0</v>
      </c>
      <c r="AM133" s="224">
        <v>436.00000000000006</v>
      </c>
      <c r="AN133" s="1120">
        <v>78031.280371165427</v>
      </c>
      <c r="AO133" s="224">
        <f t="shared" si="5"/>
        <v>2.8578246772682712</v>
      </c>
      <c r="AP133" s="1123">
        <v>0.1</v>
      </c>
      <c r="AQ133" s="1123">
        <f t="shared" si="7"/>
        <v>3.5471403350446636E-2</v>
      </c>
      <c r="AR133" s="1123">
        <v>20</v>
      </c>
      <c r="AS133" s="1123">
        <f t="shared" si="10"/>
        <v>0.81855796190623542</v>
      </c>
      <c r="AT133" s="224">
        <f t="shared" si="6"/>
        <v>2767.8790199973982</v>
      </c>
    </row>
    <row r="134" spans="1:46">
      <c r="A134" s="1121">
        <v>2020</v>
      </c>
      <c r="D134" s="1107" t="s">
        <v>2004</v>
      </c>
      <c r="E134" s="224" t="s">
        <v>2059</v>
      </c>
      <c r="G134" s="224">
        <v>8639.3085272736189</v>
      </c>
      <c r="H134" s="224">
        <v>3950.4837499999999</v>
      </c>
      <c r="I134" s="224">
        <v>4.7124000000000006</v>
      </c>
      <c r="J134" s="224">
        <v>6.9512705014763171E-2</v>
      </c>
      <c r="K134" s="224">
        <v>7.7462408876326605E-2</v>
      </c>
      <c r="L134" s="224">
        <v>9.636438380256393E-2</v>
      </c>
      <c r="M134" s="224">
        <v>0</v>
      </c>
      <c r="N134" s="224">
        <v>0</v>
      </c>
      <c r="O134" s="224">
        <v>0</v>
      </c>
      <c r="P134" s="224">
        <v>0</v>
      </c>
      <c r="Q134" s="224">
        <v>0</v>
      </c>
      <c r="R134" s="224">
        <v>0</v>
      </c>
      <c r="S134" s="224">
        <v>0</v>
      </c>
      <c r="T134" s="224">
        <v>0</v>
      </c>
      <c r="U134" s="224">
        <v>0</v>
      </c>
      <c r="V134" s="224">
        <v>163.87392734999997</v>
      </c>
      <c r="W134" s="224">
        <v>112.8029995</v>
      </c>
      <c r="X134" s="224">
        <v>146.68600478468898</v>
      </c>
      <c r="Y134" s="224">
        <v>4.7124000000000006</v>
      </c>
      <c r="Z134" s="224">
        <v>0</v>
      </c>
      <c r="AA134" s="224">
        <v>10.426905752214473</v>
      </c>
      <c r="AB134" s="224">
        <v>11.619361331448992</v>
      </c>
      <c r="AC134" s="224">
        <v>14.45465757038459</v>
      </c>
      <c r="AD134" s="1120">
        <v>18.533552212055088</v>
      </c>
      <c r="AE134" s="224">
        <v>15809.571266991104</v>
      </c>
      <c r="AF134" s="224">
        <v>4293.8336834250003</v>
      </c>
      <c r="AG134" s="224">
        <v>6395.5098086124399</v>
      </c>
      <c r="AH134" s="224">
        <v>7475.1856432754685</v>
      </c>
      <c r="AI134" s="224">
        <v>40800</v>
      </c>
      <c r="AJ134" s="224">
        <v>1981.7906762525845</v>
      </c>
      <c r="AK134" s="224">
        <v>1214.2458237810094</v>
      </c>
      <c r="AL134" s="224">
        <v>0</v>
      </c>
      <c r="AM134" s="224">
        <v>436.00000000000006</v>
      </c>
      <c r="AN134" s="1120">
        <v>78406.136902337603</v>
      </c>
      <c r="AO134" s="224">
        <f t="shared" si="5"/>
        <v>2.4419808394603781</v>
      </c>
      <c r="AP134" s="1123">
        <v>0.1</v>
      </c>
      <c r="AQ134" s="1123">
        <f t="shared" si="7"/>
        <v>3.5471403350446636E-2</v>
      </c>
      <c r="AR134" s="1123">
        <v>20</v>
      </c>
      <c r="AS134" s="1123">
        <f t="shared" si="10"/>
        <v>0.69944908617468804</v>
      </c>
      <c r="AT134" s="224">
        <f t="shared" si="6"/>
        <v>2781.1757072131554</v>
      </c>
    </row>
    <row r="135" spans="1:46">
      <c r="A135" s="1118">
        <v>2025</v>
      </c>
      <c r="D135" s="1107" t="s">
        <v>2004</v>
      </c>
      <c r="E135" s="224" t="s">
        <v>2059</v>
      </c>
      <c r="G135" s="224">
        <v>8337.5202652810258</v>
      </c>
      <c r="H135" s="224">
        <v>3981.9561999999996</v>
      </c>
      <c r="I135" s="224">
        <v>4.6213200000000008</v>
      </c>
      <c r="J135" s="224">
        <v>5.8609311401376409E-2</v>
      </c>
      <c r="K135" s="224">
        <v>6.2351437171635431E-2</v>
      </c>
      <c r="L135" s="224">
        <v>7.7993167462590135E-2</v>
      </c>
      <c r="M135" s="224">
        <v>0</v>
      </c>
      <c r="N135" s="224">
        <v>0</v>
      </c>
      <c r="O135" s="224">
        <v>0</v>
      </c>
      <c r="P135" s="224">
        <v>0</v>
      </c>
      <c r="Q135" s="224">
        <v>0</v>
      </c>
      <c r="R135" s="224">
        <v>0</v>
      </c>
      <c r="S135" s="224">
        <v>0</v>
      </c>
      <c r="T135" s="224">
        <v>0</v>
      </c>
      <c r="U135" s="224">
        <v>0</v>
      </c>
      <c r="V135" s="224">
        <v>155.79770332499999</v>
      </c>
      <c r="W135" s="224">
        <v>110.37967212500001</v>
      </c>
      <c r="X135" s="224">
        <v>130.64964114832534</v>
      </c>
      <c r="Y135" s="224">
        <v>4.6213200000000008</v>
      </c>
      <c r="Z135" s="224">
        <v>0</v>
      </c>
      <c r="AA135" s="224">
        <v>8.7913967102064614</v>
      </c>
      <c r="AB135" s="224">
        <v>9.3527155757453144</v>
      </c>
      <c r="AC135" s="224">
        <v>11.698975119388521</v>
      </c>
      <c r="AD135" s="1120">
        <v>15.208044153868011</v>
      </c>
      <c r="AE135" s="224">
        <v>16204.807534137737</v>
      </c>
      <c r="AF135" s="224">
        <v>2076.5743628312503</v>
      </c>
      <c r="AG135" s="224">
        <v>4184.1473684210532</v>
      </c>
      <c r="AH135" s="224">
        <v>7209.1633009934994</v>
      </c>
      <c r="AI135" s="224">
        <v>40800</v>
      </c>
      <c r="AJ135" s="224">
        <v>2363.0182694392256</v>
      </c>
      <c r="AK135" s="224">
        <v>2829.8971847014668</v>
      </c>
      <c r="AL135" s="224">
        <v>0</v>
      </c>
      <c r="AM135" s="224">
        <v>352.00000000000006</v>
      </c>
      <c r="AN135" s="1120">
        <v>76019.608020524232</v>
      </c>
      <c r="AO135" s="224">
        <f t="shared" si="5"/>
        <v>2.003811897713649</v>
      </c>
      <c r="AP135" s="1123">
        <v>0.1</v>
      </c>
      <c r="AQ135" s="1123">
        <f t="shared" si="7"/>
        <v>3.5471403350446636E-2</v>
      </c>
      <c r="AR135" s="1123">
        <v>20</v>
      </c>
      <c r="AS135" s="1123">
        <f t="shared" si="10"/>
        <v>0.57394569935753181</v>
      </c>
      <c r="AT135" s="224">
        <f t="shared" si="6"/>
        <v>2696.5221786388634</v>
      </c>
    </row>
    <row r="136" spans="1:46">
      <c r="A136" s="1118">
        <v>2030</v>
      </c>
      <c r="D136" s="1107" t="s">
        <v>2004</v>
      </c>
      <c r="E136" s="224" t="s">
        <v>2059</v>
      </c>
      <c r="G136" s="224">
        <v>8168.4771848717528</v>
      </c>
      <c r="H136" s="224">
        <v>4019.5814499999997</v>
      </c>
      <c r="I136" s="224">
        <v>4.550040000000001</v>
      </c>
      <c r="J136" s="224">
        <v>5.3789831379861347E-2</v>
      </c>
      <c r="K136" s="224">
        <v>5.6777141700606278E-2</v>
      </c>
      <c r="L136" s="224">
        <v>7.1134620632623879E-2</v>
      </c>
      <c r="M136" s="224">
        <v>0</v>
      </c>
      <c r="N136" s="224">
        <v>0</v>
      </c>
      <c r="O136" s="224">
        <v>0</v>
      </c>
      <c r="P136" s="224">
        <v>0</v>
      </c>
      <c r="Q136" s="224">
        <v>0</v>
      </c>
      <c r="R136" s="224">
        <v>0</v>
      </c>
      <c r="S136" s="224">
        <v>0</v>
      </c>
      <c r="T136" s="224">
        <v>0</v>
      </c>
      <c r="U136" s="224">
        <v>0</v>
      </c>
      <c r="V136" s="224">
        <v>149.43881347500002</v>
      </c>
      <c r="W136" s="224">
        <v>108.54191707500001</v>
      </c>
      <c r="X136" s="224">
        <v>100.8063761565945</v>
      </c>
      <c r="Y136" s="224">
        <v>4.550040000000001</v>
      </c>
      <c r="Z136" s="224">
        <v>0</v>
      </c>
      <c r="AA136" s="224">
        <v>8.0684747069792007</v>
      </c>
      <c r="AB136" s="224">
        <v>8.5165712550909412</v>
      </c>
      <c r="AC136" s="224">
        <v>10.670193094893584</v>
      </c>
      <c r="AD136" s="1120">
        <v>13.686421388967844</v>
      </c>
      <c r="AE136" s="224">
        <v>16006.238656065889</v>
      </c>
      <c r="AF136" s="224">
        <v>1504.3106239468952</v>
      </c>
      <c r="AG136" s="224">
        <v>2579.4896905365376</v>
      </c>
      <c r="AH136" s="224">
        <v>7000.8761668322431</v>
      </c>
      <c r="AI136" s="224">
        <v>40800</v>
      </c>
      <c r="AJ136" s="224">
        <v>2851.055440532888</v>
      </c>
      <c r="AK136" s="224">
        <v>3508.029060192428</v>
      </c>
      <c r="AL136" s="224">
        <v>0</v>
      </c>
      <c r="AM136" s="224">
        <v>296</v>
      </c>
      <c r="AN136" s="1120">
        <v>74545.999638106878</v>
      </c>
      <c r="AO136" s="224">
        <f t="shared" si="5"/>
        <v>1.803322882210403</v>
      </c>
      <c r="AP136" s="1123">
        <v>0.1</v>
      </c>
      <c r="AQ136" s="1123">
        <f t="shared" si="7"/>
        <v>3.5471403350446636E-2</v>
      </c>
      <c r="AR136" s="1123">
        <v>20</v>
      </c>
      <c r="AS136" s="1123">
        <f t="shared" si="10"/>
        <v>0.51652024522792594</v>
      </c>
      <c r="AT136" s="224">
        <f t="shared" si="6"/>
        <v>2644.2512213255382</v>
      </c>
    </row>
    <row r="137" spans="1:46">
      <c r="A137" s="1118">
        <v>2035</v>
      </c>
      <c r="D137" s="1107" t="s">
        <v>2004</v>
      </c>
      <c r="E137" s="224" t="s">
        <v>2059</v>
      </c>
      <c r="G137" s="224">
        <v>8056.6915386154906</v>
      </c>
      <c r="H137" s="224">
        <v>4055.8958750000002</v>
      </c>
      <c r="I137" s="224">
        <v>4.51044</v>
      </c>
      <c r="J137" s="224">
        <v>5.0454922148804301E-2</v>
      </c>
      <c r="K137" s="224">
        <v>5.3379226077392539E-2</v>
      </c>
      <c r="L137" s="224">
        <v>6.7000739414086116E-2</v>
      </c>
      <c r="M137" s="224">
        <v>0</v>
      </c>
      <c r="N137" s="224">
        <v>0</v>
      </c>
      <c r="O137" s="224">
        <v>0</v>
      </c>
      <c r="P137" s="224">
        <v>0</v>
      </c>
      <c r="Q137" s="224">
        <v>0</v>
      </c>
      <c r="R137" s="224">
        <v>0</v>
      </c>
      <c r="S137" s="224">
        <v>0</v>
      </c>
      <c r="T137" s="224">
        <v>0</v>
      </c>
      <c r="U137" s="224">
        <v>0</v>
      </c>
      <c r="V137" s="224">
        <v>136.947208375</v>
      </c>
      <c r="W137" s="224">
        <v>107.78469377499999</v>
      </c>
      <c r="X137" s="224">
        <v>85.238482532751064</v>
      </c>
      <c r="Y137" s="224">
        <v>4.51044</v>
      </c>
      <c r="Z137" s="224">
        <v>0</v>
      </c>
      <c r="AA137" s="224">
        <v>7.5682383223206458</v>
      </c>
      <c r="AB137" s="224">
        <v>8.006883911608881</v>
      </c>
      <c r="AC137" s="224">
        <v>10.050110912112917</v>
      </c>
      <c r="AD137" s="1120">
        <v>12.659036135157805</v>
      </c>
      <c r="AE137" s="224">
        <v>15351.602458180867</v>
      </c>
      <c r="AF137" s="224">
        <v>1219.8626729088001</v>
      </c>
      <c r="AG137" s="224">
        <v>1636.0400436681214</v>
      </c>
      <c r="AH137" s="224">
        <v>6639.12851107592</v>
      </c>
      <c r="AI137" s="224">
        <v>40800</v>
      </c>
      <c r="AJ137" s="224">
        <v>3431.2796019510192</v>
      </c>
      <c r="AK137" s="224">
        <v>3935.8667708711309</v>
      </c>
      <c r="AL137" s="224">
        <v>0</v>
      </c>
      <c r="AM137" s="224">
        <v>240</v>
      </c>
      <c r="AN137" s="1120">
        <v>73253.780058655859</v>
      </c>
      <c r="AO137" s="224">
        <f t="shared" si="5"/>
        <v>1.6679546011683923</v>
      </c>
      <c r="AP137" s="1123">
        <v>0.1</v>
      </c>
      <c r="AQ137" s="1123">
        <f t="shared" si="7"/>
        <v>3.5471403350446636E-2</v>
      </c>
      <c r="AR137" s="1123">
        <v>20</v>
      </c>
      <c r="AS137" s="1123">
        <f t="shared" si="10"/>
        <v>0.47774712344831549</v>
      </c>
      <c r="AT137" s="224">
        <f t="shared" si="6"/>
        <v>2598.4143794054862</v>
      </c>
    </row>
    <row r="138" spans="1:46">
      <c r="A138" s="1118">
        <v>2050</v>
      </c>
      <c r="D138" s="1107" t="s">
        <v>2004</v>
      </c>
      <c r="E138" s="224" t="s">
        <v>2059</v>
      </c>
      <c r="G138" s="224">
        <v>7952.7604660087854</v>
      </c>
      <c r="H138" s="224">
        <v>4104.9930750000003</v>
      </c>
      <c r="I138" s="224">
        <v>4.5025200000000005</v>
      </c>
      <c r="J138" s="224">
        <v>4.7016940308620095E-2</v>
      </c>
      <c r="K138" s="224">
        <v>4.9639372204092584E-2</v>
      </c>
      <c r="L138" s="224">
        <v>6.2247967080612608E-2</v>
      </c>
      <c r="M138" s="224">
        <v>0</v>
      </c>
      <c r="N138" s="224">
        <v>0</v>
      </c>
      <c r="O138" s="224">
        <v>0</v>
      </c>
      <c r="P138" s="224">
        <v>0</v>
      </c>
      <c r="Q138" s="224">
        <v>0</v>
      </c>
      <c r="R138" s="224">
        <v>0</v>
      </c>
      <c r="S138" s="224">
        <v>0</v>
      </c>
      <c r="T138" s="224">
        <v>0</v>
      </c>
      <c r="U138" s="224">
        <v>0</v>
      </c>
      <c r="V138" s="224">
        <v>133.95213972499999</v>
      </c>
      <c r="W138" s="224">
        <v>107.43005837500002</v>
      </c>
      <c r="X138" s="224">
        <v>85.08881004366809</v>
      </c>
      <c r="Y138" s="224">
        <v>4.5025200000000005</v>
      </c>
      <c r="Z138" s="224">
        <v>0</v>
      </c>
      <c r="AA138" s="224">
        <v>7.0525410462930136</v>
      </c>
      <c r="AB138" s="224">
        <v>7.4459058306138877</v>
      </c>
      <c r="AC138" s="224">
        <v>9.337195062091892</v>
      </c>
      <c r="AD138" s="1120">
        <v>11.64275768427796</v>
      </c>
      <c r="AE138" s="224">
        <v>15639.325321467129</v>
      </c>
      <c r="AF138" s="224">
        <v>726.81345026700001</v>
      </c>
      <c r="AG138" s="224">
        <v>1532.4966157205231</v>
      </c>
      <c r="AH138" s="224">
        <v>6549.5168080050462</v>
      </c>
      <c r="AI138" s="224">
        <v>40800</v>
      </c>
      <c r="AJ138" s="224">
        <v>4216.1246270287984</v>
      </c>
      <c r="AK138" s="224">
        <v>4842.5801991868502</v>
      </c>
      <c r="AL138" s="224">
        <v>0</v>
      </c>
      <c r="AM138" s="224">
        <v>240</v>
      </c>
      <c r="AN138" s="1120">
        <v>74546.857021675358</v>
      </c>
      <c r="AO138" s="224">
        <f t="shared" si="5"/>
        <v>1.5340497524804639</v>
      </c>
      <c r="AP138" s="1123">
        <v>0.1</v>
      </c>
      <c r="AQ138" s="1123">
        <f t="shared" si="7"/>
        <v>3.5471403350446636E-2</v>
      </c>
      <c r="AR138" s="1123">
        <v>20</v>
      </c>
      <c r="AS138" s="1123">
        <f t="shared" si="10"/>
        <v>0.43939316811186491</v>
      </c>
      <c r="AT138" s="224">
        <f t="shared" si="6"/>
        <v>2644.2816339239216</v>
      </c>
    </row>
    <row r="139" spans="1:46">
      <c r="A139" s="1118">
        <v>2017</v>
      </c>
      <c r="D139" s="1107" t="s">
        <v>2004</v>
      </c>
      <c r="E139" s="224" t="s">
        <v>2060</v>
      </c>
      <c r="G139" s="224">
        <v>9963.9864677145597</v>
      </c>
      <c r="H139" s="224">
        <v>3840.5</v>
      </c>
      <c r="I139" s="224">
        <v>150.74981250000002</v>
      </c>
      <c r="J139" s="224">
        <v>8.4137088915472252E-2</v>
      </c>
      <c r="K139" s="224">
        <v>0.10042871987630464</v>
      </c>
      <c r="L139" s="224">
        <v>0.12385807486318451</v>
      </c>
      <c r="M139" s="224">
        <v>2.8703531113817505E-2</v>
      </c>
      <c r="N139" s="224">
        <v>3.4930946431634885E-2</v>
      </c>
      <c r="O139" s="224">
        <v>4.2985247683351505E-2</v>
      </c>
      <c r="P139" s="224">
        <v>-42.386338414795411</v>
      </c>
      <c r="Q139" s="224">
        <v>-11.72009291688979</v>
      </c>
      <c r="R139" s="224">
        <v>-22.275855225202825</v>
      </c>
      <c r="S139" s="224">
        <v>1080.8627885400911</v>
      </c>
      <c r="T139" s="224">
        <v>1315.3629083728445</v>
      </c>
      <c r="U139" s="224">
        <v>1618.6564117453827</v>
      </c>
      <c r="V139" s="224">
        <v>170</v>
      </c>
      <c r="W139" s="224">
        <v>234.79864429999998</v>
      </c>
      <c r="X139" s="224">
        <v>352.19796644999997</v>
      </c>
      <c r="Y139" s="224">
        <v>150.37743749999998</v>
      </c>
      <c r="Z139" s="224">
        <v>0</v>
      </c>
      <c r="AA139" s="224">
        <v>5.6538681218861919</v>
      </c>
      <c r="AB139" s="224">
        <v>8.3270863016276451</v>
      </c>
      <c r="AC139" s="224">
        <v>11.821438025500743</v>
      </c>
      <c r="AD139" s="1120">
        <v>8.356942104514161</v>
      </c>
      <c r="AE139" s="224">
        <v>15922.439999999999</v>
      </c>
      <c r="AF139" s="224">
        <v>10932.81184047</v>
      </c>
      <c r="AG139" s="224">
        <v>85561.754388749992</v>
      </c>
      <c r="AH139" s="224">
        <v>0</v>
      </c>
      <c r="AI139" s="224">
        <v>40800</v>
      </c>
      <c r="AJ139" s="224">
        <v>0</v>
      </c>
      <c r="AK139" s="224">
        <v>745.98720000000003</v>
      </c>
      <c r="AL139" s="224">
        <v>0</v>
      </c>
      <c r="AM139" s="224">
        <v>436.00000000000006</v>
      </c>
      <c r="AN139" s="1120">
        <v>154398.99342921999</v>
      </c>
      <c r="AO139" s="224">
        <f t="shared" si="5"/>
        <v>1.1011106916907858</v>
      </c>
      <c r="AP139" s="1123">
        <v>0.1</v>
      </c>
      <c r="AQ139" s="1123">
        <f t="shared" si="7"/>
        <v>3.5471403350446636E-2</v>
      </c>
      <c r="AR139" s="1123">
        <v>20</v>
      </c>
      <c r="AS139" s="1123">
        <f t="shared" si="10"/>
        <v>0.3153877600655085</v>
      </c>
      <c r="AT139" s="224">
        <f t="shared" si="6"/>
        <v>5476.7489728308219</v>
      </c>
    </row>
    <row r="140" spans="1:46">
      <c r="A140" s="1121">
        <v>2020</v>
      </c>
      <c r="D140" s="1107" t="s">
        <v>2004</v>
      </c>
      <c r="E140" s="224" t="s">
        <v>2060</v>
      </c>
      <c r="G140" s="224">
        <v>9577.7770919686445</v>
      </c>
      <c r="H140" s="224">
        <v>3950.4837499999999</v>
      </c>
      <c r="I140" s="224">
        <v>140.5095</v>
      </c>
      <c r="J140" s="224">
        <v>7.6499849278710966E-2</v>
      </c>
      <c r="K140" s="224">
        <v>9.0613676951541558E-2</v>
      </c>
      <c r="L140" s="224">
        <v>0.11160670285087357</v>
      </c>
      <c r="M140" s="224">
        <v>2.6453867162826945E-2</v>
      </c>
      <c r="N140" s="224">
        <v>3.2157039093303141E-2</v>
      </c>
      <c r="O140" s="224">
        <v>3.9535049183986599E-2</v>
      </c>
      <c r="P140" s="224">
        <v>-33.710690106614919</v>
      </c>
      <c r="Q140" s="224">
        <v>-12.579292568675275</v>
      </c>
      <c r="R140" s="224">
        <v>-21.868565293694552</v>
      </c>
      <c r="S140" s="224">
        <v>996.14923738487278</v>
      </c>
      <c r="T140" s="224">
        <v>1210.9084003552657</v>
      </c>
      <c r="U140" s="224">
        <v>1488.7354220158227</v>
      </c>
      <c r="V140" s="224">
        <v>160</v>
      </c>
      <c r="W140" s="224">
        <v>222.16069160000001</v>
      </c>
      <c r="X140" s="224">
        <v>333.24103740000004</v>
      </c>
      <c r="Y140" s="224">
        <v>140.32331250000001</v>
      </c>
      <c r="Z140" s="224">
        <v>0</v>
      </c>
      <c r="AA140" s="224">
        <v>5.1186579674094954</v>
      </c>
      <c r="AB140" s="224">
        <v>7.4965852657687044</v>
      </c>
      <c r="AC140" s="224">
        <v>10.628787634443164</v>
      </c>
      <c r="AD140" s="1120">
        <v>7.3708585742218737</v>
      </c>
      <c r="AE140" s="224">
        <v>15674.462296645957</v>
      </c>
      <c r="AF140" s="224">
        <v>7919.0411765399995</v>
      </c>
      <c r="AG140" s="224">
        <v>74334.871563749999</v>
      </c>
      <c r="AH140" s="224">
        <v>0</v>
      </c>
      <c r="AI140" s="224">
        <v>40800</v>
      </c>
      <c r="AJ140" s="224">
        <v>1981.7906762525845</v>
      </c>
      <c r="AK140" s="224">
        <v>1214.2458237810094</v>
      </c>
      <c r="AL140" s="224">
        <v>0</v>
      </c>
      <c r="AM140" s="224">
        <v>436.00000000000006</v>
      </c>
      <c r="AN140" s="1120">
        <v>142360.41153696954</v>
      </c>
      <c r="AO140" s="224">
        <f t="shared" si="5"/>
        <v>0.971184325739474</v>
      </c>
      <c r="AP140" s="1123">
        <v>0.1</v>
      </c>
      <c r="AQ140" s="1123">
        <f t="shared" si="7"/>
        <v>3.5471403350446636E-2</v>
      </c>
      <c r="AR140" s="1123">
        <v>20</v>
      </c>
      <c r="AS140" s="1123">
        <f t="shared" si="10"/>
        <v>0.27817334934362714</v>
      </c>
      <c r="AT140" s="224">
        <f t="shared" si="6"/>
        <v>5049.7235787634227</v>
      </c>
    </row>
    <row r="141" spans="1:46">
      <c r="A141" s="1118">
        <v>2025</v>
      </c>
      <c r="D141" s="1107" t="s">
        <v>2004</v>
      </c>
      <c r="E141" s="224" t="s">
        <v>2060</v>
      </c>
      <c r="G141" s="224">
        <v>9166.2201468744643</v>
      </c>
      <c r="H141" s="224">
        <v>3981.9561999999996</v>
      </c>
      <c r="I141" s="224">
        <v>124.09396875000002</v>
      </c>
      <c r="J141" s="224">
        <v>6.464416213746467E-2</v>
      </c>
      <c r="K141" s="224">
        <v>7.3417908809366592E-2</v>
      </c>
      <c r="L141" s="224">
        <v>9.1151521286492815E-2</v>
      </c>
      <c r="M141" s="224">
        <v>2.3488630239005485E-2</v>
      </c>
      <c r="N141" s="224">
        <v>2.7596497896195889E-2</v>
      </c>
      <c r="O141" s="224">
        <v>3.3795623142702409E-2</v>
      </c>
      <c r="P141" s="224">
        <v>-20.953287884257634</v>
      </c>
      <c r="Q141" s="224">
        <v>3.4671777686257004</v>
      </c>
      <c r="R141" s="224">
        <v>-28.400097396990915</v>
      </c>
      <c r="S141" s="224">
        <v>884.49000502579713</v>
      </c>
      <c r="T141" s="224">
        <v>1039.1762446141765</v>
      </c>
      <c r="U141" s="224">
        <v>1272.611070938483</v>
      </c>
      <c r="V141" s="224">
        <v>137.5</v>
      </c>
      <c r="W141" s="224">
        <v>202.82823310000001</v>
      </c>
      <c r="X141" s="224">
        <v>304.24234964999999</v>
      </c>
      <c r="Y141" s="224">
        <v>123.65953125</v>
      </c>
      <c r="Z141" s="224">
        <v>0</v>
      </c>
      <c r="AA141" s="224">
        <v>4.5369707988876664</v>
      </c>
      <c r="AB141" s="224">
        <v>6.103814317154117</v>
      </c>
      <c r="AC141" s="224">
        <v>8.6535431022283511</v>
      </c>
      <c r="AD141" s="1120">
        <v>6.3800894788882481</v>
      </c>
      <c r="AE141" s="224">
        <v>14759.705905664594</v>
      </c>
      <c r="AF141" s="224">
        <v>3628.3676139025001</v>
      </c>
      <c r="AG141" s="224">
        <v>39767.639175000004</v>
      </c>
      <c r="AH141" s="224">
        <v>0</v>
      </c>
      <c r="AI141" s="224">
        <v>40800</v>
      </c>
      <c r="AJ141" s="224">
        <v>2363.0182694392256</v>
      </c>
      <c r="AK141" s="224">
        <v>2829.8971847014668</v>
      </c>
      <c r="AL141" s="224">
        <v>0</v>
      </c>
      <c r="AM141" s="224">
        <v>352.00000000000006</v>
      </c>
      <c r="AN141" s="1120">
        <v>104500.62814870779</v>
      </c>
      <c r="AO141" s="224">
        <f t="shared" si="5"/>
        <v>0.84064058973831546</v>
      </c>
      <c r="AP141" s="1123">
        <v>0.1</v>
      </c>
      <c r="AQ141" s="1123">
        <f t="shared" si="7"/>
        <v>3.5471403350446636E-2</v>
      </c>
      <c r="AR141" s="1123">
        <v>20</v>
      </c>
      <c r="AS141" s="1123">
        <f t="shared" si="10"/>
        <v>0.24078210721086038</v>
      </c>
      <c r="AT141" s="224">
        <f t="shared" si="6"/>
        <v>3706.7839314378516</v>
      </c>
    </row>
    <row r="142" spans="1:46">
      <c r="A142" s="1118">
        <v>2030</v>
      </c>
      <c r="D142" s="1107" t="s">
        <v>2004</v>
      </c>
      <c r="E142" s="224" t="s">
        <v>2060</v>
      </c>
      <c r="G142" s="224">
        <v>8940.0632791102962</v>
      </c>
      <c r="H142" s="224">
        <v>4019.5814499999997</v>
      </c>
      <c r="I142" s="224">
        <v>117.4843125</v>
      </c>
      <c r="J142" s="224">
        <v>5.968703552774355E-2</v>
      </c>
      <c r="K142" s="224">
        <v>6.7736409333635977E-2</v>
      </c>
      <c r="L142" s="224">
        <v>8.4162392804370767E-2</v>
      </c>
      <c r="M142" s="224">
        <v>2.1943110540730084E-2</v>
      </c>
      <c r="N142" s="224">
        <v>2.5892047386024131E-2</v>
      </c>
      <c r="O142" s="224">
        <v>3.1690865018071446E-2</v>
      </c>
      <c r="P142" s="224">
        <v>-23.864214779971071</v>
      </c>
      <c r="Q142" s="224">
        <v>4.8653992976155021</v>
      </c>
      <c r="R142" s="224">
        <v>-29.430058531782358</v>
      </c>
      <c r="S142" s="224">
        <v>826.2917741462021</v>
      </c>
      <c r="T142" s="224">
        <v>974.99330056984672</v>
      </c>
      <c r="U142" s="224">
        <v>1193.3541068120066</v>
      </c>
      <c r="V142" s="224">
        <v>130</v>
      </c>
      <c r="W142" s="224">
        <v>197.12646230000001</v>
      </c>
      <c r="X142" s="224">
        <v>295.68969344999999</v>
      </c>
      <c r="Y142" s="224">
        <v>117.17400000000001</v>
      </c>
      <c r="Z142" s="224">
        <v>0</v>
      </c>
      <c r="AA142" s="224">
        <v>4.1671057890599332</v>
      </c>
      <c r="AB142" s="224">
        <v>5.6317991986471529</v>
      </c>
      <c r="AC142" s="224">
        <v>7.9814339490089719</v>
      </c>
      <c r="AD142" s="1120">
        <v>5.9143194253262852</v>
      </c>
      <c r="AE142" s="224">
        <v>14492.24544136646</v>
      </c>
      <c r="AF142" s="224">
        <v>2617.0740006834153</v>
      </c>
      <c r="AG142" s="224">
        <v>26651.301395625</v>
      </c>
      <c r="AH142" s="224">
        <v>0</v>
      </c>
      <c r="AI142" s="224">
        <v>40800</v>
      </c>
      <c r="AJ142" s="224">
        <v>2851.055440532888</v>
      </c>
      <c r="AK142" s="224">
        <v>3508.029060192428</v>
      </c>
      <c r="AL142" s="224">
        <v>0</v>
      </c>
      <c r="AM142" s="224">
        <v>296</v>
      </c>
      <c r="AN142" s="1120">
        <v>91215.705338400177</v>
      </c>
      <c r="AO142" s="224">
        <f t="shared" ref="AO142:AO205" si="11">AD142*$C$4</f>
        <v>0.77927072748099124</v>
      </c>
      <c r="AP142" s="1123">
        <v>0.1</v>
      </c>
      <c r="AQ142" s="1123">
        <f t="shared" si="7"/>
        <v>3.5471403350446636E-2</v>
      </c>
      <c r="AR142" s="1123">
        <v>20</v>
      </c>
      <c r="AS142" s="1123">
        <f t="shared" si="10"/>
        <v>0.22320412568827097</v>
      </c>
      <c r="AT142" s="224">
        <f t="shared" ref="AT142:AT205" si="12">AN142*AQ142</f>
        <v>3235.5490759538811</v>
      </c>
    </row>
    <row r="143" spans="1:46">
      <c r="A143" s="1118">
        <v>2035</v>
      </c>
      <c r="D143" s="1107" t="s">
        <v>2004</v>
      </c>
      <c r="E143" s="224" t="s">
        <v>2060</v>
      </c>
      <c r="G143" s="224">
        <v>8809.8491529906714</v>
      </c>
      <c r="H143" s="224">
        <v>4055.8958750000002</v>
      </c>
      <c r="I143" s="224">
        <v>109.105875</v>
      </c>
      <c r="J143" s="224">
        <v>5.6397683167089069E-2</v>
      </c>
      <c r="K143" s="224">
        <v>6.4433386754991676E-2</v>
      </c>
      <c r="L143" s="224">
        <v>8.0112675039168899E-2</v>
      </c>
      <c r="M143" s="224">
        <v>2.096566509834235E-2</v>
      </c>
      <c r="N143" s="224">
        <v>2.4915672805124356E-2</v>
      </c>
      <c r="O143" s="224">
        <v>3.0510089907083999E-2</v>
      </c>
      <c r="P143" s="224">
        <v>-24.35069647399342</v>
      </c>
      <c r="Q143" s="224">
        <v>5.0874354253391827</v>
      </c>
      <c r="R143" s="224">
        <v>-27.680290170041495</v>
      </c>
      <c r="S143" s="224">
        <v>789.48499931714878</v>
      </c>
      <c r="T143" s="224">
        <v>938.22685019876417</v>
      </c>
      <c r="U143" s="224">
        <v>1148.8907314161393</v>
      </c>
      <c r="V143" s="224">
        <v>127.5</v>
      </c>
      <c r="W143" s="224">
        <v>193.46780687500001</v>
      </c>
      <c r="X143" s="224">
        <v>290.20171031249998</v>
      </c>
      <c r="Y143" s="224">
        <v>108.6714375</v>
      </c>
      <c r="Z143" s="224">
        <v>0</v>
      </c>
      <c r="AA143" s="224">
        <v>3.9143247940582011</v>
      </c>
      <c r="AB143" s="224">
        <v>5.3575913330268179</v>
      </c>
      <c r="AC143" s="224">
        <v>7.5976793853362858</v>
      </c>
      <c r="AD143" s="1120">
        <v>5.6199360667755975</v>
      </c>
      <c r="AE143" s="224">
        <v>14708.304906832294</v>
      </c>
      <c r="AF143" s="224">
        <v>2105.4431583671999</v>
      </c>
      <c r="AG143" s="224">
        <v>18407.859142499998</v>
      </c>
      <c r="AH143" s="224">
        <v>0</v>
      </c>
      <c r="AI143" s="224">
        <v>40800</v>
      </c>
      <c r="AJ143" s="224">
        <v>3431.2796019510192</v>
      </c>
      <c r="AK143" s="224">
        <v>3935.8667708711309</v>
      </c>
      <c r="AL143" s="224">
        <v>0</v>
      </c>
      <c r="AM143" s="224">
        <v>240</v>
      </c>
      <c r="AN143" s="1120">
        <v>83628.753580521632</v>
      </c>
      <c r="AO143" s="224">
        <f t="shared" si="11"/>
        <v>0.74048277615835267</v>
      </c>
      <c r="AP143" s="1123">
        <v>0.1</v>
      </c>
      <c r="AQ143" s="1123">
        <f t="shared" ref="AQ143:AQ206" si="13">AQ142</f>
        <v>3.5471403350446636E-2</v>
      </c>
      <c r="AR143" s="1123">
        <v>20</v>
      </c>
      <c r="AS143" s="1123">
        <f t="shared" si="10"/>
        <v>0.21209421169189294</v>
      </c>
      <c r="AT143" s="224">
        <f t="shared" si="12"/>
        <v>2966.429249949791</v>
      </c>
    </row>
    <row r="144" spans="1:46">
      <c r="A144" s="1118">
        <v>2050</v>
      </c>
      <c r="D144" s="1107" t="s">
        <v>2004</v>
      </c>
      <c r="E144" s="224" t="s">
        <v>2060</v>
      </c>
      <c r="G144" s="224">
        <v>8637.6327131716334</v>
      </c>
      <c r="H144" s="224">
        <v>4104.9930750000003</v>
      </c>
      <c r="I144" s="224">
        <v>103.8305625</v>
      </c>
      <c r="J144" s="224">
        <v>5.1968003043274848E-2</v>
      </c>
      <c r="K144" s="224">
        <v>5.9799913945344396E-2</v>
      </c>
      <c r="L144" s="224">
        <v>7.4250424676182314E-2</v>
      </c>
      <c r="M144" s="224">
        <v>1.9592762843330669E-2</v>
      </c>
      <c r="N144" s="224">
        <v>2.3464840270074741E-2</v>
      </c>
      <c r="O144" s="224">
        <v>2.8749554526415456E-2</v>
      </c>
      <c r="P144" s="224">
        <v>-26.816324784001665</v>
      </c>
      <c r="Q144" s="224">
        <v>-0.94608017182925996</v>
      </c>
      <c r="R144" s="224">
        <v>-29.817580842408319</v>
      </c>
      <c r="S144" s="224">
        <v>737.78686664278371</v>
      </c>
      <c r="T144" s="224">
        <v>883.5941677834802</v>
      </c>
      <c r="U144" s="224">
        <v>1082.5958503672753</v>
      </c>
      <c r="V144" s="224">
        <v>122.5</v>
      </c>
      <c r="W144" s="224">
        <v>188.30649265</v>
      </c>
      <c r="X144" s="224">
        <v>282.45973897500005</v>
      </c>
      <c r="Y144" s="224">
        <v>103.42715625</v>
      </c>
      <c r="Z144" s="224">
        <v>0</v>
      </c>
      <c r="AA144" s="224">
        <v>3.5784015266947877</v>
      </c>
      <c r="AB144" s="224">
        <v>4.9647896966960401</v>
      </c>
      <c r="AC144" s="224">
        <v>7.03859291202129</v>
      </c>
      <c r="AD144" s="1120">
        <v>5.2116061980814212</v>
      </c>
      <c r="AE144" s="224">
        <v>14801.050236024845</v>
      </c>
      <c r="AF144" s="224">
        <v>1239.7742302859999</v>
      </c>
      <c r="AG144" s="224">
        <v>14519.978158499998</v>
      </c>
      <c r="AH144" s="224">
        <v>0</v>
      </c>
      <c r="AI144" s="224">
        <v>40800</v>
      </c>
      <c r="AJ144" s="224">
        <v>4216.1246270287984</v>
      </c>
      <c r="AK144" s="224">
        <v>4842.5801991868502</v>
      </c>
      <c r="AL144" s="224">
        <v>0</v>
      </c>
      <c r="AM144" s="224">
        <v>240</v>
      </c>
      <c r="AN144" s="1120">
        <v>80659.507451026482</v>
      </c>
      <c r="AO144" s="224">
        <f t="shared" si="11"/>
        <v>0.686681232659208</v>
      </c>
      <c r="AP144" s="1123">
        <v>0.1</v>
      </c>
      <c r="AQ144" s="1123">
        <f t="shared" si="13"/>
        <v>3.5471403350446636E-2</v>
      </c>
      <c r="AR144" s="1123">
        <v>20</v>
      </c>
      <c r="AS144" s="1123">
        <f t="shared" si="10"/>
        <v>0.19668400051121054</v>
      </c>
      <c r="AT144" s="224">
        <f t="shared" si="12"/>
        <v>2861.1059228437161</v>
      </c>
    </row>
    <row r="145" spans="1:46">
      <c r="A145" s="1118">
        <v>2017</v>
      </c>
      <c r="D145" s="1107" t="s">
        <v>2004</v>
      </c>
      <c r="E145" s="224" t="s">
        <v>2061</v>
      </c>
      <c r="G145" s="224">
        <v>9469.985274704999</v>
      </c>
      <c r="H145" s="224">
        <v>3840.5</v>
      </c>
      <c r="I145" s="224">
        <v>293.18324999999999</v>
      </c>
      <c r="J145" s="224">
        <v>0</v>
      </c>
      <c r="K145" s="224">
        <v>0</v>
      </c>
      <c r="L145" s="224">
        <v>0</v>
      </c>
      <c r="M145" s="224">
        <v>0</v>
      </c>
      <c r="N145" s="224">
        <v>0</v>
      </c>
      <c r="O145" s="224">
        <v>0</v>
      </c>
      <c r="P145" s="224">
        <v>0</v>
      </c>
      <c r="Q145" s="224">
        <v>0</v>
      </c>
      <c r="R145" s="224">
        <v>0</v>
      </c>
      <c r="S145" s="224">
        <v>964.74156206640964</v>
      </c>
      <c r="T145" s="224">
        <v>1428.4438270669507</v>
      </c>
      <c r="U145" s="224">
        <v>1767.5797310780486</v>
      </c>
      <c r="V145" s="224">
        <v>0</v>
      </c>
      <c r="W145" s="224">
        <v>208.55620490000001</v>
      </c>
      <c r="X145" s="224">
        <v>312.83430735000002</v>
      </c>
      <c r="Y145" s="224">
        <v>293.18324999999999</v>
      </c>
      <c r="Z145" s="224">
        <v>0</v>
      </c>
      <c r="AA145" s="224">
        <v>3.8435918807426681</v>
      </c>
      <c r="AB145" s="224">
        <v>5.6910112632149437</v>
      </c>
      <c r="AC145" s="224">
        <v>7.0421503230201132</v>
      </c>
      <c r="AD145" s="1120">
        <v>8.2182058522427379</v>
      </c>
      <c r="AE145" s="224">
        <v>0</v>
      </c>
      <c r="AF145" s="224">
        <v>9807.0111902099998</v>
      </c>
      <c r="AG145" s="224">
        <v>166815.405585</v>
      </c>
      <c r="AH145" s="224">
        <v>0</v>
      </c>
      <c r="AI145" s="224">
        <v>40800</v>
      </c>
      <c r="AJ145" s="224">
        <v>0</v>
      </c>
      <c r="AK145" s="224">
        <v>745.98720000000003</v>
      </c>
      <c r="AL145" s="224">
        <v>0</v>
      </c>
      <c r="AM145" s="224">
        <v>0</v>
      </c>
      <c r="AN145" s="1120">
        <v>218168.40397520998</v>
      </c>
      <c r="AO145" s="224">
        <f t="shared" si="11"/>
        <v>1.082830803091503</v>
      </c>
      <c r="AP145" s="1123">
        <v>0.1</v>
      </c>
      <c r="AQ145" s="1123">
        <f t="shared" si="13"/>
        <v>3.5471403350446636E-2</v>
      </c>
      <c r="AR145" s="1123">
        <v>20</v>
      </c>
      <c r="AS145" s="1123">
        <f t="shared" si="10"/>
        <v>0.31015190760936523</v>
      </c>
      <c r="AT145" s="224">
        <f t="shared" si="12"/>
        <v>7738.7394557278585</v>
      </c>
    </row>
    <row r="146" spans="1:46">
      <c r="A146" s="1121">
        <v>2020</v>
      </c>
      <c r="D146" s="1107" t="s">
        <v>2004</v>
      </c>
      <c r="E146" s="224" t="s">
        <v>2061</v>
      </c>
      <c r="G146" s="224">
        <v>9041.7268638538226</v>
      </c>
      <c r="H146" s="224">
        <v>3950.4837499999999</v>
      </c>
      <c r="I146" s="224">
        <v>272.57849999999996</v>
      </c>
      <c r="J146" s="224">
        <v>0</v>
      </c>
      <c r="K146" s="224">
        <v>0</v>
      </c>
      <c r="L146" s="224">
        <v>0</v>
      </c>
      <c r="M146" s="224">
        <v>0</v>
      </c>
      <c r="N146" s="224">
        <v>0</v>
      </c>
      <c r="O146" s="224">
        <v>0</v>
      </c>
      <c r="P146" s="224">
        <v>0</v>
      </c>
      <c r="Q146" s="224">
        <v>0</v>
      </c>
      <c r="R146" s="224">
        <v>0</v>
      </c>
      <c r="S146" s="224">
        <v>879.98075009588058</v>
      </c>
      <c r="T146" s="224">
        <v>1312.130382225329</v>
      </c>
      <c r="U146" s="224">
        <v>1622.7666661792407</v>
      </c>
      <c r="V146" s="224">
        <v>0</v>
      </c>
      <c r="W146" s="224">
        <v>193.9043605</v>
      </c>
      <c r="X146" s="224">
        <v>290.85654075000002</v>
      </c>
      <c r="Y146" s="224">
        <v>272.57849999999996</v>
      </c>
      <c r="Z146" s="224">
        <v>0</v>
      </c>
      <c r="AA146" s="224">
        <v>3.5058994027724326</v>
      </c>
      <c r="AB146" s="224">
        <v>5.2276110845630628</v>
      </c>
      <c r="AC146" s="224">
        <v>6.4652058413515565</v>
      </c>
      <c r="AD146" s="1120">
        <v>7.2138322178681999</v>
      </c>
      <c r="AE146" s="224">
        <v>0</v>
      </c>
      <c r="AF146" s="224">
        <v>6982.3438005749995</v>
      </c>
      <c r="AG146" s="224">
        <v>144395.73458999998</v>
      </c>
      <c r="AH146" s="224">
        <v>0</v>
      </c>
      <c r="AI146" s="224">
        <v>40800</v>
      </c>
      <c r="AJ146" s="224">
        <v>1981.7906762525845</v>
      </c>
      <c r="AK146" s="224">
        <v>1214.2458237810094</v>
      </c>
      <c r="AL146" s="224">
        <v>0</v>
      </c>
      <c r="AM146" s="224">
        <v>0</v>
      </c>
      <c r="AN146" s="1120">
        <v>195374.11489060859</v>
      </c>
      <c r="AO146" s="224">
        <f t="shared" si="11"/>
        <v>0.95049453302631393</v>
      </c>
      <c r="AP146" s="1123">
        <v>0.1</v>
      </c>
      <c r="AQ146" s="1123">
        <f t="shared" si="13"/>
        <v>3.5471403350446636E-2</v>
      </c>
      <c r="AR146" s="1123">
        <v>20</v>
      </c>
      <c r="AS146" s="1123">
        <f t="shared" si="10"/>
        <v>0.27224723543948964</v>
      </c>
      <c r="AT146" s="224">
        <f t="shared" si="12"/>
        <v>6930.1940335212794</v>
      </c>
    </row>
    <row r="147" spans="1:46">
      <c r="A147" s="1118">
        <v>2025</v>
      </c>
      <c r="D147" s="1107" t="s">
        <v>2004</v>
      </c>
      <c r="E147" s="224" t="s">
        <v>2061</v>
      </c>
      <c r="G147" s="224">
        <v>8538.6294830421739</v>
      </c>
      <c r="H147" s="224">
        <v>3981.9561999999996</v>
      </c>
      <c r="I147" s="224">
        <v>237.79246875000001</v>
      </c>
      <c r="J147" s="224">
        <v>0</v>
      </c>
      <c r="K147" s="224">
        <v>0</v>
      </c>
      <c r="L147" s="224">
        <v>0</v>
      </c>
      <c r="M147" s="224">
        <v>0</v>
      </c>
      <c r="N147" s="224">
        <v>0</v>
      </c>
      <c r="O147" s="224">
        <v>0</v>
      </c>
      <c r="P147" s="224">
        <v>0</v>
      </c>
      <c r="Q147" s="224">
        <v>0</v>
      </c>
      <c r="R147" s="224">
        <v>0</v>
      </c>
      <c r="S147" s="224">
        <v>762.53371004646806</v>
      </c>
      <c r="T147" s="224">
        <v>1125.7399144745923</v>
      </c>
      <c r="U147" s="224">
        <v>1383.2743272161597</v>
      </c>
      <c r="V147" s="224">
        <v>0</v>
      </c>
      <c r="W147" s="224">
        <v>179.6913103</v>
      </c>
      <c r="X147" s="224">
        <v>269.53696545000003</v>
      </c>
      <c r="Y147" s="224">
        <v>237.79246875000001</v>
      </c>
      <c r="Z147" s="224">
        <v>0</v>
      </c>
      <c r="AA147" s="224">
        <v>3.0379829085516654</v>
      </c>
      <c r="AB147" s="224">
        <v>4.4850195795800483</v>
      </c>
      <c r="AC147" s="224">
        <v>5.5110530964787241</v>
      </c>
      <c r="AD147" s="1120">
        <v>6.1435557777046377</v>
      </c>
      <c r="AE147" s="224">
        <v>0</v>
      </c>
      <c r="AF147" s="224">
        <v>3228.0904389950001</v>
      </c>
      <c r="AG147" s="224">
        <v>76618.018124999988</v>
      </c>
      <c r="AH147" s="224">
        <v>0</v>
      </c>
      <c r="AI147" s="224">
        <v>40800</v>
      </c>
      <c r="AJ147" s="224">
        <v>2363.0182694392256</v>
      </c>
      <c r="AK147" s="224">
        <v>2829.8971847014668</v>
      </c>
      <c r="AL147" s="224">
        <v>0</v>
      </c>
      <c r="AM147" s="224">
        <v>0</v>
      </c>
      <c r="AN147" s="1120">
        <v>125839.02401813568</v>
      </c>
      <c r="AO147" s="224">
        <f t="shared" si="11"/>
        <v>0.80947490927036303</v>
      </c>
      <c r="AP147" s="1123">
        <v>0.1</v>
      </c>
      <c r="AQ147" s="1123">
        <f t="shared" si="13"/>
        <v>3.5471403350446636E-2</v>
      </c>
      <c r="AR147" s="1123">
        <v>20</v>
      </c>
      <c r="AS147" s="1123">
        <f t="shared" si="10"/>
        <v>0.23185541689000647</v>
      </c>
      <c r="AT147" s="224">
        <f t="shared" si="12"/>
        <v>4463.6867781738329</v>
      </c>
    </row>
    <row r="148" spans="1:46">
      <c r="A148" s="1118">
        <v>2030</v>
      </c>
      <c r="D148" s="1107" t="s">
        <v>2004</v>
      </c>
      <c r="E148" s="224" t="s">
        <v>2061</v>
      </c>
      <c r="G148" s="224">
        <v>8250.504081768886</v>
      </c>
      <c r="H148" s="224">
        <v>4019.5814499999997</v>
      </c>
      <c r="I148" s="224">
        <v>224.35593749999998</v>
      </c>
      <c r="J148" s="224">
        <v>0</v>
      </c>
      <c r="K148" s="224">
        <v>0</v>
      </c>
      <c r="L148" s="224">
        <v>0</v>
      </c>
      <c r="M148" s="224">
        <v>0</v>
      </c>
      <c r="N148" s="224">
        <v>0</v>
      </c>
      <c r="O148" s="224">
        <v>0</v>
      </c>
      <c r="P148" s="224">
        <v>0</v>
      </c>
      <c r="Q148" s="224">
        <v>0</v>
      </c>
      <c r="R148" s="224">
        <v>0</v>
      </c>
      <c r="S148" s="224">
        <v>704.36406852220443</v>
      </c>
      <c r="T148" s="224">
        <v>1053.8232606769102</v>
      </c>
      <c r="U148" s="224">
        <v>1294.3930749774875</v>
      </c>
      <c r="V148" s="224">
        <v>0</v>
      </c>
      <c r="W148" s="224">
        <v>172.72639079999999</v>
      </c>
      <c r="X148" s="224">
        <v>259.08958619999999</v>
      </c>
      <c r="Y148" s="224">
        <v>224.35593749999998</v>
      </c>
      <c r="Z148" s="224">
        <v>0</v>
      </c>
      <c r="AA148" s="224">
        <v>2.806231348694042</v>
      </c>
      <c r="AB148" s="224">
        <v>4.1984990465215546</v>
      </c>
      <c r="AC148" s="224">
        <v>5.1569445218226591</v>
      </c>
      <c r="AD148" s="1120">
        <v>5.658938138213859</v>
      </c>
      <c r="AE148" s="224">
        <v>0</v>
      </c>
      <c r="AF148" s="224">
        <v>2304.1672973937002</v>
      </c>
      <c r="AG148" s="224">
        <v>51168.341064374996</v>
      </c>
      <c r="AH148" s="224">
        <v>0</v>
      </c>
      <c r="AI148" s="224">
        <v>40800</v>
      </c>
      <c r="AJ148" s="224">
        <v>2851.055440532888</v>
      </c>
      <c r="AK148" s="224">
        <v>3508.029060192428</v>
      </c>
      <c r="AL148" s="224">
        <v>0</v>
      </c>
      <c r="AM148" s="224">
        <v>0</v>
      </c>
      <c r="AN148" s="1120">
        <v>100631.592862494</v>
      </c>
      <c r="AO148" s="224">
        <f t="shared" si="11"/>
        <v>0.74562168909105797</v>
      </c>
      <c r="AP148" s="1123">
        <v>0.1</v>
      </c>
      <c r="AQ148" s="1123">
        <f t="shared" si="13"/>
        <v>3.5471403350446636E-2</v>
      </c>
      <c r="AR148" s="1123">
        <v>20</v>
      </c>
      <c r="AS148" s="1123">
        <f t="shared" si="10"/>
        <v>0.21356613477033376</v>
      </c>
      <c r="AT148" s="224">
        <f t="shared" si="12"/>
        <v>3569.5438202234513</v>
      </c>
    </row>
    <row r="149" spans="1:46">
      <c r="A149" s="1118">
        <v>2035</v>
      </c>
      <c r="D149" s="1107" t="s">
        <v>2004</v>
      </c>
      <c r="E149" s="224" t="s">
        <v>2061</v>
      </c>
      <c r="G149" s="224">
        <v>8102.7628021793735</v>
      </c>
      <c r="H149" s="224">
        <v>4055.8958750000002</v>
      </c>
      <c r="I149" s="224">
        <v>207.97143749999998</v>
      </c>
      <c r="J149" s="224">
        <v>0</v>
      </c>
      <c r="K149" s="224">
        <v>0</v>
      </c>
      <c r="L149" s="224">
        <v>0</v>
      </c>
      <c r="M149" s="224">
        <v>0</v>
      </c>
      <c r="N149" s="224">
        <v>0</v>
      </c>
      <c r="O149" s="224">
        <v>0</v>
      </c>
      <c r="P149" s="224">
        <v>0</v>
      </c>
      <c r="Q149" s="224">
        <v>0</v>
      </c>
      <c r="R149" s="224">
        <v>0</v>
      </c>
      <c r="S149" s="224">
        <v>668.45210786745827</v>
      </c>
      <c r="T149" s="224">
        <v>1013.9695206254034</v>
      </c>
      <c r="U149" s="224">
        <v>1245.8687942082888</v>
      </c>
      <c r="V149" s="224">
        <v>0</v>
      </c>
      <c r="W149" s="224">
        <v>169.18931774999999</v>
      </c>
      <c r="X149" s="224">
        <v>253.78397662499995</v>
      </c>
      <c r="Y149" s="224">
        <v>207.97143749999998</v>
      </c>
      <c r="Z149" s="224">
        <v>0</v>
      </c>
      <c r="AA149" s="224">
        <v>2.6631558082368856</v>
      </c>
      <c r="AB149" s="224">
        <v>4.0397192056788986</v>
      </c>
      <c r="AC149" s="224">
        <v>4.9636206940569281</v>
      </c>
      <c r="AD149" s="1120">
        <v>5.362542978801649</v>
      </c>
      <c r="AE149" s="224">
        <v>0</v>
      </c>
      <c r="AF149" s="224">
        <v>1849.6124367024001</v>
      </c>
      <c r="AG149" s="224">
        <v>35315.30397375</v>
      </c>
      <c r="AH149" s="224">
        <v>0</v>
      </c>
      <c r="AI149" s="224">
        <v>40800</v>
      </c>
      <c r="AJ149" s="224">
        <v>3431.2796019510192</v>
      </c>
      <c r="AK149" s="224">
        <v>3935.8667708711309</v>
      </c>
      <c r="AL149" s="224">
        <v>0</v>
      </c>
      <c r="AM149" s="224">
        <v>0</v>
      </c>
      <c r="AN149" s="1120">
        <v>85332.062783274552</v>
      </c>
      <c r="AO149" s="224">
        <f t="shared" si="11"/>
        <v>0.70656866288690523</v>
      </c>
      <c r="AP149" s="1123">
        <v>0.1</v>
      </c>
      <c r="AQ149" s="1123">
        <f t="shared" si="13"/>
        <v>3.5471403350446636E-2</v>
      </c>
      <c r="AR149" s="1123">
        <v>20</v>
      </c>
      <c r="AS149" s="1123">
        <f t="shared" si="10"/>
        <v>0.20238029618820674</v>
      </c>
      <c r="AT149" s="224">
        <f t="shared" si="12"/>
        <v>3026.8480177111678</v>
      </c>
    </row>
    <row r="150" spans="1:46">
      <c r="A150" s="1118">
        <v>2050</v>
      </c>
      <c r="D150" s="1107" t="s">
        <v>2004</v>
      </c>
      <c r="E150" s="224" t="s">
        <v>2061</v>
      </c>
      <c r="G150" s="224">
        <v>7906.9582163836603</v>
      </c>
      <c r="H150" s="224">
        <v>4104.9930750000003</v>
      </c>
      <c r="I150" s="224">
        <v>197.01740624999999</v>
      </c>
      <c r="J150" s="224">
        <v>0</v>
      </c>
      <c r="K150" s="224">
        <v>0</v>
      </c>
      <c r="L150" s="224">
        <v>0</v>
      </c>
      <c r="M150" s="224">
        <v>0</v>
      </c>
      <c r="N150" s="224">
        <v>0</v>
      </c>
      <c r="O150" s="224">
        <v>0</v>
      </c>
      <c r="P150" s="224">
        <v>0</v>
      </c>
      <c r="Q150" s="224">
        <v>0</v>
      </c>
      <c r="R150" s="224">
        <v>0</v>
      </c>
      <c r="S150" s="224">
        <v>617.75285642534482</v>
      </c>
      <c r="T150" s="224">
        <v>955.77370341717699</v>
      </c>
      <c r="U150" s="224">
        <v>1174.184450005363</v>
      </c>
      <c r="V150" s="224">
        <v>0</v>
      </c>
      <c r="W150" s="224">
        <v>164.75334622500003</v>
      </c>
      <c r="X150" s="224">
        <v>247.13001933750002</v>
      </c>
      <c r="Y150" s="224">
        <v>197.01740624999999</v>
      </c>
      <c r="Z150" s="224">
        <v>0</v>
      </c>
      <c r="AA150" s="224">
        <v>2.4611667586667121</v>
      </c>
      <c r="AB150" s="224">
        <v>3.8078633602277971</v>
      </c>
      <c r="AC150" s="224">
        <v>4.6780256972325214</v>
      </c>
      <c r="AD150" s="1120">
        <v>4.9478524735744722</v>
      </c>
      <c r="AE150" s="224">
        <v>0</v>
      </c>
      <c r="AF150" s="224">
        <v>1086.632659677</v>
      </c>
      <c r="AG150" s="224">
        <v>27706.752530999995</v>
      </c>
      <c r="AH150" s="224">
        <v>0</v>
      </c>
      <c r="AI150" s="224">
        <v>40800</v>
      </c>
      <c r="AJ150" s="224">
        <v>4216.1246270287984</v>
      </c>
      <c r="AK150" s="224">
        <v>4842.5801991868502</v>
      </c>
      <c r="AL150" s="224">
        <v>0</v>
      </c>
      <c r="AM150" s="224">
        <v>0</v>
      </c>
      <c r="AN150" s="1120">
        <v>78652.090016892646</v>
      </c>
      <c r="AO150" s="224">
        <f t="shared" si="11"/>
        <v>0.65192904191817236</v>
      </c>
      <c r="AP150" s="1123">
        <v>0.1</v>
      </c>
      <c r="AQ150" s="1123">
        <f t="shared" si="13"/>
        <v>3.5471403350446636E-2</v>
      </c>
      <c r="AR150" s="1123">
        <v>20</v>
      </c>
      <c r="AS150" s="1123">
        <f t="shared" si="10"/>
        <v>0.18673003704696109</v>
      </c>
      <c r="AT150" s="224">
        <f t="shared" si="12"/>
        <v>2789.9000093448362</v>
      </c>
    </row>
    <row r="151" spans="1:46">
      <c r="A151" s="1118">
        <v>2017</v>
      </c>
      <c r="D151" s="1107" t="s">
        <v>2004</v>
      </c>
      <c r="E151" s="224" t="s">
        <v>2062</v>
      </c>
      <c r="G151" s="224">
        <v>8902.4774964455046</v>
      </c>
      <c r="H151" s="224">
        <v>3840.5</v>
      </c>
      <c r="I151" s="224">
        <v>5.3380800000000006</v>
      </c>
      <c r="J151" s="224">
        <v>5.3319345351968875E-2</v>
      </c>
      <c r="K151" s="224">
        <v>6.6876228231675064E-2</v>
      </c>
      <c r="L151" s="224">
        <v>8.5631534134206266E-2</v>
      </c>
      <c r="M151" s="224">
        <v>0</v>
      </c>
      <c r="N151" s="224">
        <v>0</v>
      </c>
      <c r="O151" s="224">
        <v>0</v>
      </c>
      <c r="P151" s="224">
        <v>0</v>
      </c>
      <c r="Q151" s="224">
        <v>0</v>
      </c>
      <c r="R151" s="224">
        <v>0</v>
      </c>
      <c r="S151" s="224">
        <v>0</v>
      </c>
      <c r="T151" s="224">
        <v>0</v>
      </c>
      <c r="U151" s="224">
        <v>0</v>
      </c>
      <c r="V151" s="224">
        <v>0</v>
      </c>
      <c r="W151" s="224">
        <v>276.87397129999999</v>
      </c>
      <c r="X151" s="224">
        <v>166.161961722488</v>
      </c>
      <c r="Y151" s="224">
        <v>5.3380799999999997</v>
      </c>
      <c r="Z151" s="224">
        <v>180.33283879999999</v>
      </c>
      <c r="AA151" s="224">
        <v>7.9979018027953312</v>
      </c>
      <c r="AB151" s="224">
        <v>10.031434234751259</v>
      </c>
      <c r="AC151" s="224">
        <v>12.84473012013094</v>
      </c>
      <c r="AD151" s="1120">
        <v>15.484209728100451</v>
      </c>
      <c r="AE151" s="224">
        <v>0</v>
      </c>
      <c r="AF151" s="224">
        <v>12737.843368770002</v>
      </c>
      <c r="AG151" s="224">
        <v>7244.661531100478</v>
      </c>
      <c r="AH151" s="224">
        <v>0</v>
      </c>
      <c r="AI151" s="224">
        <v>40800</v>
      </c>
      <c r="AJ151" s="224">
        <v>0</v>
      </c>
      <c r="AK151" s="224">
        <v>745.98720000000003</v>
      </c>
      <c r="AL151" s="224">
        <v>86487.140000000014</v>
      </c>
      <c r="AM151" s="224">
        <v>15390.821364000001</v>
      </c>
      <c r="AN151" s="1120">
        <v>163406.45346387048</v>
      </c>
      <c r="AO151" s="224">
        <f t="shared" si="11"/>
        <v>2.040199473774515</v>
      </c>
      <c r="AP151" s="1123">
        <v>0.1</v>
      </c>
      <c r="AQ151" s="1123">
        <f t="shared" si="13"/>
        <v>3.5471403350446636E-2</v>
      </c>
      <c r="AR151" s="1123">
        <v>20</v>
      </c>
      <c r="AS151" s="1123">
        <f t="shared" si="10"/>
        <v>0.58436808122581407</v>
      </c>
      <c r="AT151" s="224">
        <f t="shared" si="12"/>
        <v>5796.2562208829377</v>
      </c>
    </row>
    <row r="152" spans="1:46">
      <c r="A152" s="1121">
        <v>2020</v>
      </c>
      <c r="D152" s="1107" t="s">
        <v>2004</v>
      </c>
      <c r="E152" s="224" t="s">
        <v>2062</v>
      </c>
      <c r="G152" s="224">
        <v>8595.5006812879838</v>
      </c>
      <c r="H152" s="224">
        <v>3950.4837499999999</v>
      </c>
      <c r="I152" s="224">
        <v>5.2826400000000007</v>
      </c>
      <c r="J152" s="224">
        <v>4.7489967529884596E-2</v>
      </c>
      <c r="K152" s="224">
        <v>6.0742118236288306E-2</v>
      </c>
      <c r="L152" s="224">
        <v>7.9649244837321859E-2</v>
      </c>
      <c r="M152" s="224">
        <v>0</v>
      </c>
      <c r="N152" s="224">
        <v>0</v>
      </c>
      <c r="O152" s="224">
        <v>0</v>
      </c>
      <c r="P152" s="224">
        <v>0</v>
      </c>
      <c r="Q152" s="224">
        <v>0</v>
      </c>
      <c r="R152" s="224">
        <v>0</v>
      </c>
      <c r="S152" s="224">
        <v>0</v>
      </c>
      <c r="T152" s="224">
        <v>0</v>
      </c>
      <c r="U152" s="224">
        <v>0</v>
      </c>
      <c r="V152" s="224">
        <v>0</v>
      </c>
      <c r="W152" s="224">
        <v>229.0009766</v>
      </c>
      <c r="X152" s="224">
        <v>164.43624401913871</v>
      </c>
      <c r="Y152" s="224">
        <v>5.2826400000000007</v>
      </c>
      <c r="Z152" s="224">
        <v>149.22344744999998</v>
      </c>
      <c r="AA152" s="224">
        <v>7.1234951294826896</v>
      </c>
      <c r="AB152" s="224">
        <v>9.1113177354432455</v>
      </c>
      <c r="AC152" s="224">
        <v>11.947386725598278</v>
      </c>
      <c r="AD152" s="1120">
        <v>13.447335832300459</v>
      </c>
      <c r="AE152" s="224">
        <v>0</v>
      </c>
      <c r="AF152" s="224">
        <v>8145.7966242899993</v>
      </c>
      <c r="AG152" s="224">
        <v>7169.4202392344487</v>
      </c>
      <c r="AH152" s="224">
        <v>0</v>
      </c>
      <c r="AI152" s="224">
        <v>40800</v>
      </c>
      <c r="AJ152" s="224">
        <v>1981.7906762525845</v>
      </c>
      <c r="AK152" s="224">
        <v>1214.2458237810094</v>
      </c>
      <c r="AL152" s="224">
        <v>68189.31</v>
      </c>
      <c r="AM152" s="224">
        <v>14098.589907692309</v>
      </c>
      <c r="AN152" s="1120">
        <v>141599.15327125034</v>
      </c>
      <c r="AO152" s="224">
        <f t="shared" si="11"/>
        <v>1.7718209692639082</v>
      </c>
      <c r="AP152" s="1123">
        <v>0.1</v>
      </c>
      <c r="AQ152" s="1123">
        <f t="shared" si="13"/>
        <v>3.5471403350446636E-2</v>
      </c>
      <c r="AR152" s="1123">
        <v>20</v>
      </c>
      <c r="AS152" s="1123">
        <f t="shared" si="10"/>
        <v>0.50749724886893355</v>
      </c>
      <c r="AT152" s="224">
        <f t="shared" si="12"/>
        <v>5022.7206797662357</v>
      </c>
    </row>
    <row r="153" spans="1:46">
      <c r="A153" s="1118">
        <v>2025</v>
      </c>
      <c r="D153" s="1107" t="s">
        <v>2004</v>
      </c>
      <c r="E153" s="224" t="s">
        <v>2062</v>
      </c>
      <c r="G153" s="224">
        <v>8190.7282374108563</v>
      </c>
      <c r="H153" s="224">
        <v>3981.9561999999996</v>
      </c>
      <c r="I153" s="224">
        <v>5.0292000000000003</v>
      </c>
      <c r="J153" s="224">
        <v>4.110701675609664E-2</v>
      </c>
      <c r="K153" s="224">
        <v>5.0942797646613393E-2</v>
      </c>
      <c r="L153" s="224">
        <v>6.5587483132194813E-2</v>
      </c>
      <c r="M153" s="224">
        <v>0</v>
      </c>
      <c r="N153" s="224">
        <v>0</v>
      </c>
      <c r="O153" s="224">
        <v>0</v>
      </c>
      <c r="P153" s="224">
        <v>0</v>
      </c>
      <c r="Q153" s="224">
        <v>0</v>
      </c>
      <c r="R153" s="224">
        <v>0</v>
      </c>
      <c r="S153" s="224">
        <v>0</v>
      </c>
      <c r="T153" s="224">
        <v>0</v>
      </c>
      <c r="U153" s="224">
        <v>0</v>
      </c>
      <c r="V153" s="224">
        <v>0</v>
      </c>
      <c r="W153" s="224">
        <v>212.61465544999999</v>
      </c>
      <c r="X153" s="224">
        <v>142.28537909458962</v>
      </c>
      <c r="Y153" s="224">
        <v>5.0292000000000003</v>
      </c>
      <c r="Z153" s="224">
        <v>138.36138970000002</v>
      </c>
      <c r="AA153" s="224">
        <v>6.1660525134144963</v>
      </c>
      <c r="AB153" s="224">
        <v>7.6414196469920093</v>
      </c>
      <c r="AC153" s="224">
        <v>9.8381224698292211</v>
      </c>
      <c r="AD153" s="1120">
        <v>11.259306497192123</v>
      </c>
      <c r="AE153" s="224">
        <v>0</v>
      </c>
      <c r="AF153" s="224">
        <v>3766.2086625425004</v>
      </c>
      <c r="AG153" s="224">
        <v>4560.4059595141698</v>
      </c>
      <c r="AH153" s="224">
        <v>0</v>
      </c>
      <c r="AI153" s="224">
        <v>40800</v>
      </c>
      <c r="AJ153" s="224">
        <v>2363.0182694392256</v>
      </c>
      <c r="AK153" s="224">
        <v>2829.8971847014668</v>
      </c>
      <c r="AL153" s="224">
        <v>39923.840000000004</v>
      </c>
      <c r="AM153" s="224">
        <v>8596.9190830769239</v>
      </c>
      <c r="AN153" s="1120">
        <v>102840.28915927428</v>
      </c>
      <c r="AO153" s="224">
        <f t="shared" si="11"/>
        <v>1.483526224070034</v>
      </c>
      <c r="AP153" s="1123">
        <v>0.1</v>
      </c>
      <c r="AQ153" s="1123">
        <f t="shared" si="13"/>
        <v>3.5471403350446636E-2</v>
      </c>
      <c r="AR153" s="1123">
        <v>20</v>
      </c>
      <c r="AS153" s="1123">
        <f t="shared" si="10"/>
        <v>0.42492186874458354</v>
      </c>
      <c r="AT153" s="224">
        <f t="shared" si="12"/>
        <v>3647.8893774451826</v>
      </c>
    </row>
    <row r="154" spans="1:46">
      <c r="A154" s="1118">
        <v>2030</v>
      </c>
      <c r="D154" s="1107" t="s">
        <v>2004</v>
      </c>
      <c r="E154" s="224" t="s">
        <v>2062</v>
      </c>
      <c r="G154" s="224">
        <v>7973.0488068125051</v>
      </c>
      <c r="H154" s="224">
        <v>4019.5814500000006</v>
      </c>
      <c r="I154" s="224">
        <v>4.8747600000000002</v>
      </c>
      <c r="J154" s="224">
        <v>3.7592858409827151E-2</v>
      </c>
      <c r="K154" s="224">
        <v>4.6696983748648592E-2</v>
      </c>
      <c r="L154" s="224">
        <v>5.9964449636131914E-2</v>
      </c>
      <c r="M154" s="224">
        <v>0</v>
      </c>
      <c r="N154" s="224">
        <v>0</v>
      </c>
      <c r="O154" s="224">
        <v>0</v>
      </c>
      <c r="P154" s="224">
        <v>0</v>
      </c>
      <c r="Q154" s="224">
        <v>0</v>
      </c>
      <c r="R154" s="224">
        <v>0</v>
      </c>
      <c r="S154" s="224">
        <v>0</v>
      </c>
      <c r="T154" s="224">
        <v>0</v>
      </c>
      <c r="U154" s="224">
        <v>0</v>
      </c>
      <c r="V154" s="224">
        <v>0</v>
      </c>
      <c r="W154" s="224">
        <v>202.41843415</v>
      </c>
      <c r="X154" s="224">
        <v>108.13264879225576</v>
      </c>
      <c r="Y154" s="224">
        <v>4.8747600000000002</v>
      </c>
      <c r="Z154" s="224">
        <v>131.59047290000001</v>
      </c>
      <c r="AA154" s="224">
        <v>5.6389287614740731</v>
      </c>
      <c r="AB154" s="224">
        <v>7.0045475622972884</v>
      </c>
      <c r="AC154" s="224">
        <v>8.9946674454197861</v>
      </c>
      <c r="AD154" s="1120">
        <v>10.18394786854423</v>
      </c>
      <c r="AE154" s="224">
        <v>0</v>
      </c>
      <c r="AF154" s="224">
        <v>2668.3623985763252</v>
      </c>
      <c r="AG154" s="224">
        <v>2769.5553766146513</v>
      </c>
      <c r="AH154" s="224">
        <v>0</v>
      </c>
      <c r="AI154" s="224">
        <v>40800</v>
      </c>
      <c r="AJ154" s="224">
        <v>2851.055440532888</v>
      </c>
      <c r="AK154" s="224">
        <v>3508.029060192428</v>
      </c>
      <c r="AL154" s="224">
        <v>25178.5</v>
      </c>
      <c r="AM154" s="224">
        <v>6060.8553000000011</v>
      </c>
      <c r="AN154" s="1120">
        <v>83836.357575916292</v>
      </c>
      <c r="AO154" s="224">
        <f t="shared" si="11"/>
        <v>1.3418369711593876</v>
      </c>
      <c r="AP154" s="1123">
        <v>0.1</v>
      </c>
      <c r="AQ154" s="1123">
        <f t="shared" si="13"/>
        <v>3.5471403350446636E-2</v>
      </c>
      <c r="AR154" s="1123">
        <v>20</v>
      </c>
      <c r="AS154" s="1123">
        <f t="shared" si="10"/>
        <v>0.3843382503690087</v>
      </c>
      <c r="AT154" s="224">
        <f t="shared" si="12"/>
        <v>2973.7932550075993</v>
      </c>
    </row>
    <row r="155" spans="1:46">
      <c r="A155" s="1118">
        <v>2035</v>
      </c>
      <c r="D155" s="1107" t="s">
        <v>2004</v>
      </c>
      <c r="E155" s="224" t="s">
        <v>2062</v>
      </c>
      <c r="G155" s="224">
        <v>7829.3634985016051</v>
      </c>
      <c r="H155" s="224">
        <v>4055.8958750000002</v>
      </c>
      <c r="I155" s="224">
        <v>4.8074400000000006</v>
      </c>
      <c r="J155" s="224">
        <v>3.4511922287984456E-2</v>
      </c>
      <c r="K155" s="224">
        <v>4.3190164144053564E-2</v>
      </c>
      <c r="L155" s="224">
        <v>5.5485135526410323E-2</v>
      </c>
      <c r="M155" s="224">
        <v>0</v>
      </c>
      <c r="N155" s="224">
        <v>0</v>
      </c>
      <c r="O155" s="224">
        <v>0</v>
      </c>
      <c r="P155" s="224">
        <v>0</v>
      </c>
      <c r="Q155" s="224">
        <v>0</v>
      </c>
      <c r="R155" s="224">
        <v>0</v>
      </c>
      <c r="S155" s="224">
        <v>0</v>
      </c>
      <c r="T155" s="224">
        <v>0</v>
      </c>
      <c r="U155" s="224">
        <v>0</v>
      </c>
      <c r="V155" s="224">
        <v>0</v>
      </c>
      <c r="W155" s="224">
        <v>194.75161574999998</v>
      </c>
      <c r="X155" s="224">
        <v>90.851200873362416</v>
      </c>
      <c r="Y155" s="224">
        <v>4.8074400000000006</v>
      </c>
      <c r="Z155" s="224">
        <v>126.54537942500001</v>
      </c>
      <c r="AA155" s="224">
        <v>5.1767883431976678</v>
      </c>
      <c r="AB155" s="224">
        <v>6.4785246216080346</v>
      </c>
      <c r="AC155" s="224">
        <v>8.3227703289615498</v>
      </c>
      <c r="AD155" s="1120">
        <v>9.2822875314681834</v>
      </c>
      <c r="AE155" s="224">
        <v>0</v>
      </c>
      <c r="AF155" s="224">
        <v>2108.0899048439996</v>
      </c>
      <c r="AG155" s="224">
        <v>1746.139126637554</v>
      </c>
      <c r="AH155" s="224">
        <v>0</v>
      </c>
      <c r="AI155" s="224">
        <v>40800</v>
      </c>
      <c r="AJ155" s="224">
        <v>3431.2796019510192</v>
      </c>
      <c r="AK155" s="224">
        <v>3935.8667708711309</v>
      </c>
      <c r="AL155" s="224">
        <v>18945.599999999999</v>
      </c>
      <c r="AM155" s="224">
        <v>4433.6135549999999</v>
      </c>
      <c r="AN155" s="1120">
        <v>75400.588959303699</v>
      </c>
      <c r="AO155" s="224">
        <f t="shared" si="11"/>
        <v>1.2230342051462477</v>
      </c>
      <c r="AP155" s="1123">
        <v>0.1</v>
      </c>
      <c r="AQ155" s="1123">
        <f t="shared" si="13"/>
        <v>3.5471403350446636E-2</v>
      </c>
      <c r="AR155" s="1123">
        <v>20</v>
      </c>
      <c r="AS155" s="1123">
        <f t="shared" si="10"/>
        <v>0.3503099382790259</v>
      </c>
      <c r="AT155" s="224">
        <f t="shared" si="12"/>
        <v>2674.5647038366947</v>
      </c>
    </row>
    <row r="156" spans="1:46">
      <c r="A156" s="1118">
        <v>2050</v>
      </c>
      <c r="D156" s="1107" t="s">
        <v>2004</v>
      </c>
      <c r="E156" s="224" t="s">
        <v>2062</v>
      </c>
      <c r="G156" s="224">
        <v>7658.3883738301492</v>
      </c>
      <c r="H156" s="224">
        <v>4104.9930750000003</v>
      </c>
      <c r="I156" s="224">
        <v>4.7282400000000004</v>
      </c>
      <c r="J156" s="224">
        <v>3.1110905010397143E-2</v>
      </c>
      <c r="K156" s="224">
        <v>3.9171141796625716E-2</v>
      </c>
      <c r="L156" s="224">
        <v>5.0235415482404011E-2</v>
      </c>
      <c r="M156" s="224">
        <v>0</v>
      </c>
      <c r="N156" s="224">
        <v>0</v>
      </c>
      <c r="O156" s="224">
        <v>0</v>
      </c>
      <c r="P156" s="224">
        <v>0</v>
      </c>
      <c r="Q156" s="224">
        <v>0</v>
      </c>
      <c r="R156" s="224">
        <v>0</v>
      </c>
      <c r="S156" s="224">
        <v>0</v>
      </c>
      <c r="T156" s="224">
        <v>0</v>
      </c>
      <c r="U156" s="224">
        <v>0</v>
      </c>
      <c r="V156" s="224">
        <v>0</v>
      </c>
      <c r="W156" s="224">
        <v>186.5456796</v>
      </c>
      <c r="X156" s="224">
        <v>89.354475982532719</v>
      </c>
      <c r="Y156" s="224">
        <v>4.7282400000000004</v>
      </c>
      <c r="Z156" s="224">
        <v>121.0601765</v>
      </c>
      <c r="AA156" s="224">
        <v>4.6666357515595713</v>
      </c>
      <c r="AB156" s="224">
        <v>5.8756712694938571</v>
      </c>
      <c r="AC156" s="224">
        <v>7.5353123223606016</v>
      </c>
      <c r="AD156" s="1120">
        <v>8.2622102802967508</v>
      </c>
      <c r="AE156" s="224">
        <v>0</v>
      </c>
      <c r="AF156" s="224">
        <v>1226.8751599319999</v>
      </c>
      <c r="AG156" s="224">
        <v>1613.7687772925758</v>
      </c>
      <c r="AH156" s="224">
        <v>0</v>
      </c>
      <c r="AI156" s="224">
        <v>40800</v>
      </c>
      <c r="AJ156" s="224">
        <v>4216.1246270287984</v>
      </c>
      <c r="AK156" s="224">
        <v>4842.5801991868502</v>
      </c>
      <c r="AL156" s="224">
        <v>16313.999999999998</v>
      </c>
      <c r="AM156" s="224">
        <v>3736.76838</v>
      </c>
      <c r="AN156" s="1120">
        <v>72750.11714344022</v>
      </c>
      <c r="AO156" s="224">
        <f t="shared" si="11"/>
        <v>1.0886288265318997</v>
      </c>
      <c r="AP156" s="1123">
        <v>0.1</v>
      </c>
      <c r="AQ156" s="1123">
        <f t="shared" si="13"/>
        <v>3.5471403350446636E-2</v>
      </c>
      <c r="AR156" s="1123">
        <v>20</v>
      </c>
      <c r="AS156" s="1123">
        <f t="shared" si="10"/>
        <v>0.31181261769008034</v>
      </c>
      <c r="AT156" s="224">
        <f t="shared" si="12"/>
        <v>2580.5487489872107</v>
      </c>
    </row>
    <row r="157" spans="1:46">
      <c r="A157" s="1118">
        <v>2017</v>
      </c>
      <c r="B157" s="1119"/>
      <c r="C157" s="1119"/>
      <c r="D157" s="1119" t="s">
        <v>2006</v>
      </c>
      <c r="E157" s="1119" t="s">
        <v>2057</v>
      </c>
      <c r="F157" s="1119"/>
      <c r="G157" s="224">
        <v>16750.959743508531</v>
      </c>
      <c r="H157" s="224">
        <v>5954.45</v>
      </c>
      <c r="I157" s="224">
        <v>3.1680000000000001</v>
      </c>
      <c r="J157" s="224">
        <v>0.14339198294881172</v>
      </c>
      <c r="K157" s="224">
        <v>0.1185719913993335</v>
      </c>
      <c r="L157" s="224">
        <v>0.14076365912149619</v>
      </c>
      <c r="M157" s="224">
        <v>0</v>
      </c>
      <c r="N157" s="224">
        <v>0</v>
      </c>
      <c r="O157" s="224">
        <v>0</v>
      </c>
      <c r="P157" s="224">
        <v>0</v>
      </c>
      <c r="Q157" s="224">
        <v>0</v>
      </c>
      <c r="R157" s="224">
        <v>0</v>
      </c>
      <c r="S157" s="224">
        <v>0</v>
      </c>
      <c r="T157" s="224">
        <v>0</v>
      </c>
      <c r="U157" s="224">
        <v>0</v>
      </c>
      <c r="V157" s="224">
        <v>200.8402384</v>
      </c>
      <c r="W157" s="224">
        <v>0</v>
      </c>
      <c r="X157" s="224">
        <v>4.3509999999999991</v>
      </c>
      <c r="Y157" s="224">
        <v>3.1680000000000001</v>
      </c>
      <c r="Z157" s="224">
        <v>0</v>
      </c>
      <c r="AA157" s="224">
        <v>28.678396589762343</v>
      </c>
      <c r="AB157" s="224">
        <v>23.7143982798667</v>
      </c>
      <c r="AC157" s="224">
        <v>28.152731824299238</v>
      </c>
      <c r="AD157" s="1120">
        <v>21.448463328243193</v>
      </c>
      <c r="AE157" s="224">
        <v>18737.146477129143</v>
      </c>
      <c r="AF157" s="224">
        <v>0</v>
      </c>
      <c r="AG157" s="224">
        <v>261.60000000000002</v>
      </c>
      <c r="AH157" s="224">
        <v>6633.566939553104</v>
      </c>
      <c r="AI157" s="224">
        <v>66600</v>
      </c>
      <c r="AJ157" s="224">
        <v>0</v>
      </c>
      <c r="AK157" s="224">
        <v>745.98720000000003</v>
      </c>
      <c r="AL157" s="224">
        <v>0</v>
      </c>
      <c r="AM157" s="224">
        <v>436.00000000000006</v>
      </c>
      <c r="AN157" s="1120">
        <v>93414.300616682245</v>
      </c>
      <c r="AO157" s="224">
        <f t="shared" si="11"/>
        <v>2.8260495281293228</v>
      </c>
      <c r="AP157" s="1123">
        <v>0.1</v>
      </c>
      <c r="AQ157" s="1123">
        <f>AA157*$C$4*365/1000*0.1</f>
        <v>0.13792129201534861</v>
      </c>
      <c r="AR157" s="1123">
        <v>20</v>
      </c>
      <c r="AS157" s="1123">
        <f>AO157/$AO$157</f>
        <v>1</v>
      </c>
      <c r="AT157" s="224">
        <f t="shared" si="12"/>
        <v>12883.821033762992</v>
      </c>
    </row>
    <row r="158" spans="1:46">
      <c r="A158" s="1121">
        <v>2020</v>
      </c>
      <c r="B158" s="1107"/>
      <c r="C158" s="1107"/>
      <c r="D158" s="1107" t="s">
        <v>2006</v>
      </c>
      <c r="E158" s="1107" t="s">
        <v>2057</v>
      </c>
      <c r="F158" s="1107"/>
      <c r="G158" s="224">
        <v>16740.761161290822</v>
      </c>
      <c r="H158" s="224">
        <v>6002.5833000000002</v>
      </c>
      <c r="I158" s="224">
        <v>3.1680000000000001</v>
      </c>
      <c r="J158" s="224">
        <v>0.13865556768885756</v>
      </c>
      <c r="K158" s="224">
        <v>0.11073040198973361</v>
      </c>
      <c r="L158" s="224">
        <v>0.13180970201570488</v>
      </c>
      <c r="M158" s="224">
        <v>0</v>
      </c>
      <c r="N158" s="224">
        <v>0</v>
      </c>
      <c r="O158" s="224">
        <v>0</v>
      </c>
      <c r="P158" s="224">
        <v>0</v>
      </c>
      <c r="Q158" s="224">
        <v>0</v>
      </c>
      <c r="R158" s="224">
        <v>0</v>
      </c>
      <c r="S158" s="224">
        <v>0</v>
      </c>
      <c r="T158" s="224">
        <v>0</v>
      </c>
      <c r="U158" s="224">
        <v>0</v>
      </c>
      <c r="V158" s="224">
        <v>205.94425634999999</v>
      </c>
      <c r="W158" s="224">
        <v>0</v>
      </c>
      <c r="X158" s="224">
        <v>4.2881538461538478</v>
      </c>
      <c r="Y158" s="224">
        <v>3.1680000000000001</v>
      </c>
      <c r="Z158" s="224">
        <v>0</v>
      </c>
      <c r="AA158" s="224">
        <v>27.731113537771513</v>
      </c>
      <c r="AB158" s="224">
        <v>22.146080397946722</v>
      </c>
      <c r="AC158" s="224">
        <v>26.361940403140977</v>
      </c>
      <c r="AD158" s="1120">
        <v>20.227002953318696</v>
      </c>
      <c r="AE158" s="224">
        <v>19816.039265041538</v>
      </c>
      <c r="AF158" s="224">
        <v>0</v>
      </c>
      <c r="AG158" s="224">
        <v>261.60000000000002</v>
      </c>
      <c r="AH158" s="224">
        <v>6776.2330412865513</v>
      </c>
      <c r="AI158" s="224">
        <v>66600</v>
      </c>
      <c r="AJ158" s="224">
        <v>1226.5823159392048</v>
      </c>
      <c r="AK158" s="224">
        <v>1214.2458237810094</v>
      </c>
      <c r="AL158" s="224">
        <v>0</v>
      </c>
      <c r="AM158" s="224">
        <v>436.00000000000006</v>
      </c>
      <c r="AN158" s="1120">
        <v>96330.700446048286</v>
      </c>
      <c r="AO158" s="224">
        <f t="shared" si="11"/>
        <v>2.6651099091292711</v>
      </c>
      <c r="AP158" s="1123">
        <v>0.1</v>
      </c>
      <c r="AQ158" s="1123">
        <f t="shared" si="13"/>
        <v>0.13792129201534861</v>
      </c>
      <c r="AR158" s="1123">
        <v>20</v>
      </c>
      <c r="AS158" s="1123">
        <f t="shared" ref="AS158:AS192" si="14">AO158/$AO$157</f>
        <v>0.94305138059396143</v>
      </c>
      <c r="AT158" s="224">
        <f t="shared" si="12"/>
        <v>13286.054666262498</v>
      </c>
    </row>
    <row r="159" spans="1:46">
      <c r="A159" s="1118">
        <v>2025</v>
      </c>
      <c r="B159" s="1119"/>
      <c r="C159" s="1119"/>
      <c r="D159" s="1107" t="s">
        <v>2006</v>
      </c>
      <c r="E159" s="1119" t="s">
        <v>2057</v>
      </c>
      <c r="F159" s="1119"/>
      <c r="G159" s="224">
        <v>16679.197097341719</v>
      </c>
      <c r="H159" s="224">
        <v>6071.2999999999993</v>
      </c>
      <c r="I159" s="224">
        <v>3.1680000000000001</v>
      </c>
      <c r="J159" s="224">
        <v>0.12633223564676163</v>
      </c>
      <c r="K159" s="224">
        <v>9.3697408317021169E-2</v>
      </c>
      <c r="L159" s="224">
        <v>0.11019422829619994</v>
      </c>
      <c r="M159" s="224">
        <v>0</v>
      </c>
      <c r="N159" s="224">
        <v>0</v>
      </c>
      <c r="O159" s="224">
        <v>0</v>
      </c>
      <c r="P159" s="224">
        <v>0</v>
      </c>
      <c r="Q159" s="224">
        <v>0</v>
      </c>
      <c r="R159" s="224">
        <v>0</v>
      </c>
      <c r="S159" s="224">
        <v>0</v>
      </c>
      <c r="T159" s="224">
        <v>0</v>
      </c>
      <c r="U159" s="224">
        <v>0</v>
      </c>
      <c r="V159" s="224">
        <v>207.56771660000004</v>
      </c>
      <c r="W159" s="224">
        <v>0</v>
      </c>
      <c r="X159" s="224">
        <v>4.342294314381272</v>
      </c>
      <c r="Y159" s="224">
        <v>3.1680000000000001</v>
      </c>
      <c r="Z159" s="224">
        <v>0</v>
      </c>
      <c r="AA159" s="224">
        <v>25.266447129352322</v>
      </c>
      <c r="AB159" s="224">
        <v>18.739481663404234</v>
      </c>
      <c r="AC159" s="224">
        <v>22.038845659239989</v>
      </c>
      <c r="AD159" s="1120">
        <v>17.847189007633272</v>
      </c>
      <c r="AE159" s="224">
        <v>20960.494815896942</v>
      </c>
      <c r="AF159" s="224">
        <v>0</v>
      </c>
      <c r="AG159" s="224">
        <v>211.2</v>
      </c>
      <c r="AH159" s="224">
        <v>6821.611554343448</v>
      </c>
      <c r="AI159" s="224">
        <v>66600</v>
      </c>
      <c r="AJ159" s="224">
        <v>2761.8476565487535</v>
      </c>
      <c r="AK159" s="224">
        <v>2829.8971847014668</v>
      </c>
      <c r="AL159" s="224">
        <v>0</v>
      </c>
      <c r="AM159" s="224">
        <v>352.00000000000006</v>
      </c>
      <c r="AN159" s="1120">
        <v>100537.0512114906</v>
      </c>
      <c r="AO159" s="224">
        <f t="shared" si="11"/>
        <v>2.3515456236457597</v>
      </c>
      <c r="AP159" s="1123">
        <v>0.1</v>
      </c>
      <c r="AQ159" s="1123">
        <f t="shared" si="13"/>
        <v>0.13792129201534861</v>
      </c>
      <c r="AR159" s="1123">
        <v>20</v>
      </c>
      <c r="AS159" s="1123">
        <f t="shared" si="14"/>
        <v>0.83209639471617591</v>
      </c>
      <c r="AT159" s="224">
        <f t="shared" si="12"/>
        <v>13866.199998502054</v>
      </c>
    </row>
    <row r="160" spans="1:46">
      <c r="A160" s="1118">
        <v>2030</v>
      </c>
      <c r="B160" s="1107"/>
      <c r="C160" s="1107"/>
      <c r="D160" s="1107" t="s">
        <v>2006</v>
      </c>
      <c r="E160" s="1107" t="s">
        <v>2057</v>
      </c>
      <c r="F160" s="1107"/>
      <c r="G160" s="224">
        <v>16641.531928954882</v>
      </c>
      <c r="H160" s="224">
        <v>6149.2</v>
      </c>
      <c r="I160" s="224">
        <v>3.1680000000000001</v>
      </c>
      <c r="J160" s="224">
        <v>0.11918449447638098</v>
      </c>
      <c r="K160" s="224">
        <v>8.6852205726672363E-2</v>
      </c>
      <c r="L160" s="224">
        <v>0.10187250299508779</v>
      </c>
      <c r="M160" s="224">
        <v>0</v>
      </c>
      <c r="N160" s="224">
        <v>0</v>
      </c>
      <c r="O160" s="224">
        <v>0</v>
      </c>
      <c r="P160" s="224">
        <v>0</v>
      </c>
      <c r="Q160" s="224">
        <v>0</v>
      </c>
      <c r="R160" s="224">
        <v>0</v>
      </c>
      <c r="S160" s="224">
        <v>0</v>
      </c>
      <c r="T160" s="224">
        <v>0</v>
      </c>
      <c r="U160" s="224">
        <v>0</v>
      </c>
      <c r="V160" s="224">
        <v>205.24579465000002</v>
      </c>
      <c r="W160" s="224">
        <v>0</v>
      </c>
      <c r="X160" s="224">
        <v>4.3964347826086954</v>
      </c>
      <c r="Y160" s="224">
        <v>3.1680000000000001</v>
      </c>
      <c r="Z160" s="224">
        <v>0</v>
      </c>
      <c r="AA160" s="224">
        <v>23.8368988952762</v>
      </c>
      <c r="AB160" s="224">
        <v>17.370441145334471</v>
      </c>
      <c r="AC160" s="224">
        <v>20.374500599017558</v>
      </c>
      <c r="AD160" s="1120">
        <v>16.560246770487524</v>
      </c>
      <c r="AE160" s="224">
        <v>21185.281365700572</v>
      </c>
      <c r="AF160" s="224">
        <v>0</v>
      </c>
      <c r="AG160" s="224">
        <v>177.6</v>
      </c>
      <c r="AH160" s="224">
        <v>6756.7098325272409</v>
      </c>
      <c r="AI160" s="224">
        <v>66600</v>
      </c>
      <c r="AJ160" s="224">
        <v>4389.3477498749999</v>
      </c>
      <c r="AK160" s="224">
        <v>3508.029060192428</v>
      </c>
      <c r="AL160" s="224">
        <v>0</v>
      </c>
      <c r="AM160" s="224">
        <v>296</v>
      </c>
      <c r="AN160" s="1120">
        <v>102912.96800829525</v>
      </c>
      <c r="AO160" s="224">
        <f t="shared" si="11"/>
        <v>2.1819781144794361</v>
      </c>
      <c r="AP160" s="1123">
        <v>0.1</v>
      </c>
      <c r="AQ160" s="1123">
        <f t="shared" si="13"/>
        <v>0.13792129201534861</v>
      </c>
      <c r="AR160" s="1123">
        <v>20</v>
      </c>
      <c r="AS160" s="1123">
        <f t="shared" si="14"/>
        <v>0.77209478912557361</v>
      </c>
      <c r="AT160" s="224">
        <f t="shared" si="12"/>
        <v>14193.889512838319</v>
      </c>
    </row>
    <row r="161" spans="1:46">
      <c r="A161" s="1118">
        <v>2035</v>
      </c>
      <c r="B161" s="1119"/>
      <c r="C161" s="1119"/>
      <c r="D161" s="1107" t="s">
        <v>2006</v>
      </c>
      <c r="E161" s="1119" t="s">
        <v>2057</v>
      </c>
      <c r="F161" s="1119"/>
      <c r="G161" s="224">
        <v>16611.464463209824</v>
      </c>
      <c r="H161" s="224">
        <v>6227.1</v>
      </c>
      <c r="I161" s="224">
        <v>3.1680000000000001</v>
      </c>
      <c r="J161" s="224">
        <v>0.11513533369433264</v>
      </c>
      <c r="K161" s="224">
        <v>8.3150417501406601E-2</v>
      </c>
      <c r="L161" s="224">
        <v>9.6608756042704441E-2</v>
      </c>
      <c r="M161" s="224">
        <v>0</v>
      </c>
      <c r="N161" s="224">
        <v>0</v>
      </c>
      <c r="O161" s="224">
        <v>0</v>
      </c>
      <c r="P161" s="224">
        <v>0</v>
      </c>
      <c r="Q161" s="224">
        <v>0</v>
      </c>
      <c r="R161" s="224">
        <v>0</v>
      </c>
      <c r="S161" s="224">
        <v>0</v>
      </c>
      <c r="T161" s="224">
        <v>0</v>
      </c>
      <c r="U161" s="224">
        <v>0</v>
      </c>
      <c r="V161" s="224">
        <v>205.27754425000001</v>
      </c>
      <c r="W161" s="224">
        <v>0</v>
      </c>
      <c r="X161" s="224">
        <v>4.3964347826086954</v>
      </c>
      <c r="Y161" s="224">
        <v>3.1680000000000001</v>
      </c>
      <c r="Z161" s="224">
        <v>0</v>
      </c>
      <c r="AA161" s="224">
        <v>23.02706673886653</v>
      </c>
      <c r="AB161" s="224">
        <v>16.630083500281319</v>
      </c>
      <c r="AC161" s="224">
        <v>19.321751208540888</v>
      </c>
      <c r="AD161" s="1120">
        <v>15.772193188021884</v>
      </c>
      <c r="AE161" s="224">
        <v>21697.930634567951</v>
      </c>
      <c r="AF161" s="224">
        <v>0</v>
      </c>
      <c r="AG161" s="224">
        <v>144</v>
      </c>
      <c r="AH161" s="224">
        <v>6757.597288587931</v>
      </c>
      <c r="AI161" s="224">
        <v>66600</v>
      </c>
      <c r="AJ161" s="224">
        <v>6152.7344628750025</v>
      </c>
      <c r="AK161" s="224">
        <v>3935.8667708711309</v>
      </c>
      <c r="AL161" s="224">
        <v>0</v>
      </c>
      <c r="AM161" s="224">
        <v>240</v>
      </c>
      <c r="AN161" s="1120">
        <v>105528.12915690201</v>
      </c>
      <c r="AO161" s="224">
        <f t="shared" si="11"/>
        <v>2.0781441744537634</v>
      </c>
      <c r="AP161" s="1123">
        <v>0.1</v>
      </c>
      <c r="AQ161" s="1123">
        <f t="shared" si="13"/>
        <v>0.13792129201534861</v>
      </c>
      <c r="AR161" s="1123">
        <v>20</v>
      </c>
      <c r="AS161" s="1123">
        <f t="shared" si="14"/>
        <v>0.73535306220530805</v>
      </c>
      <c r="AT161" s="224">
        <f t="shared" si="12"/>
        <v>14554.575917282506</v>
      </c>
    </row>
    <row r="162" spans="1:46">
      <c r="A162" s="1118">
        <v>2050</v>
      </c>
      <c r="B162" s="1107"/>
      <c r="C162" s="1107"/>
      <c r="D162" s="1107" t="s">
        <v>2006</v>
      </c>
      <c r="E162" s="1107" t="s">
        <v>2057</v>
      </c>
      <c r="F162" s="1107"/>
      <c r="G162" s="224">
        <v>16426.520500564577</v>
      </c>
      <c r="H162" s="224">
        <v>6343.95</v>
      </c>
      <c r="I162" s="224">
        <v>3.1680000000000001</v>
      </c>
      <c r="J162" s="224">
        <v>0.10879481704785139</v>
      </c>
      <c r="K162" s="224">
        <v>7.7602427385699252E-2</v>
      </c>
      <c r="L162" s="224">
        <v>9.0566726577127887E-2</v>
      </c>
      <c r="M162" s="224">
        <v>0</v>
      </c>
      <c r="N162" s="224">
        <v>0</v>
      </c>
      <c r="O162" s="224">
        <v>0</v>
      </c>
      <c r="P162" s="224">
        <v>0</v>
      </c>
      <c r="Q162" s="224">
        <v>0</v>
      </c>
      <c r="R162" s="224">
        <v>0</v>
      </c>
      <c r="S162" s="224">
        <v>0</v>
      </c>
      <c r="T162" s="224">
        <v>0</v>
      </c>
      <c r="U162" s="224">
        <v>0</v>
      </c>
      <c r="V162" s="224">
        <v>201.11886957500002</v>
      </c>
      <c r="W162" s="224">
        <v>0</v>
      </c>
      <c r="X162" s="224">
        <v>4.3964347826086954</v>
      </c>
      <c r="Y162" s="224">
        <v>3.1680000000000001</v>
      </c>
      <c r="Z162" s="224">
        <v>0</v>
      </c>
      <c r="AA162" s="224">
        <v>21.758963409570278</v>
      </c>
      <c r="AB162" s="224">
        <v>15.52048547713985</v>
      </c>
      <c r="AC162" s="224">
        <v>18.11334531542558</v>
      </c>
      <c r="AD162" s="1120">
        <v>14.619561193940985</v>
      </c>
      <c r="AE162" s="224">
        <v>22029.768129670658</v>
      </c>
      <c r="AF162" s="224">
        <v>0</v>
      </c>
      <c r="AG162" s="224">
        <v>144</v>
      </c>
      <c r="AH162" s="224">
        <v>6641.3551612929305</v>
      </c>
      <c r="AI162" s="224">
        <v>66600</v>
      </c>
      <c r="AJ162" s="224">
        <v>8806.0084035</v>
      </c>
      <c r="AK162" s="224">
        <v>4842.5801991868502</v>
      </c>
      <c r="AL162" s="224">
        <v>0</v>
      </c>
      <c r="AM162" s="224">
        <v>240</v>
      </c>
      <c r="AN162" s="1120">
        <v>109303.71189365044</v>
      </c>
      <c r="AO162" s="224">
        <f t="shared" si="11"/>
        <v>1.926273382913664</v>
      </c>
      <c r="AP162" s="1123">
        <v>0.1</v>
      </c>
      <c r="AQ162" s="1123">
        <f t="shared" si="13"/>
        <v>0.13792129201534861</v>
      </c>
      <c r="AR162" s="1123">
        <v>20</v>
      </c>
      <c r="AS162" s="1123">
        <f t="shared" si="14"/>
        <v>0.68161345501568149</v>
      </c>
      <c r="AT162" s="224">
        <f t="shared" si="12"/>
        <v>15075.309166445695</v>
      </c>
    </row>
    <row r="163" spans="1:46">
      <c r="A163" s="1118">
        <v>2017</v>
      </c>
      <c r="B163" s="1119"/>
      <c r="C163" s="1119"/>
      <c r="D163" s="1107" t="s">
        <v>2006</v>
      </c>
      <c r="E163" s="1119" t="s">
        <v>2058</v>
      </c>
      <c r="F163" s="1119"/>
      <c r="G163" s="224">
        <v>18798.384696059831</v>
      </c>
      <c r="H163" s="224">
        <v>6818</v>
      </c>
      <c r="I163" s="224">
        <v>0.44999792640000003</v>
      </c>
      <c r="J163" s="224">
        <v>0.14742535318381755</v>
      </c>
      <c r="K163" s="224">
        <v>0.12437965984541513</v>
      </c>
      <c r="L163" s="224">
        <v>0.14916420188565793</v>
      </c>
      <c r="M163" s="224">
        <v>0</v>
      </c>
      <c r="N163" s="224">
        <v>0</v>
      </c>
      <c r="O163" s="224">
        <v>0</v>
      </c>
      <c r="P163" s="224">
        <v>0</v>
      </c>
      <c r="Q163" s="224">
        <v>0</v>
      </c>
      <c r="R163" s="224">
        <v>0</v>
      </c>
      <c r="S163" s="224">
        <v>0</v>
      </c>
      <c r="T163" s="224">
        <v>0</v>
      </c>
      <c r="U163" s="224">
        <v>0</v>
      </c>
      <c r="V163" s="224">
        <v>213.72181430000001</v>
      </c>
      <c r="W163" s="224">
        <v>5.4</v>
      </c>
      <c r="X163" s="224">
        <v>8.1</v>
      </c>
      <c r="Y163" s="224">
        <v>0.44999792640000003</v>
      </c>
      <c r="Z163" s="224">
        <v>0</v>
      </c>
      <c r="AA163" s="224">
        <v>29.48507063676351</v>
      </c>
      <c r="AB163" s="224">
        <v>24.875931969083027</v>
      </c>
      <c r="AC163" s="224">
        <v>29.832840377131586</v>
      </c>
      <c r="AD163" s="1120">
        <v>19.369342197683892</v>
      </c>
      <c r="AE163" s="224">
        <v>20050.849871972572</v>
      </c>
      <c r="AF163" s="224">
        <v>1073.0849999999998</v>
      </c>
      <c r="AG163" s="224">
        <v>610.72195742009569</v>
      </c>
      <c r="AH163" s="224">
        <v>6993.6291955717243</v>
      </c>
      <c r="AI163" s="224">
        <v>66000</v>
      </c>
      <c r="AJ163" s="224">
        <v>0</v>
      </c>
      <c r="AK163" s="224">
        <v>745.98720000000003</v>
      </c>
      <c r="AL163" s="224">
        <v>0</v>
      </c>
      <c r="AM163" s="224">
        <v>436.00000000000006</v>
      </c>
      <c r="AN163" s="1120">
        <v>95910.273224964403</v>
      </c>
      <c r="AO163" s="224">
        <f t="shared" si="11"/>
        <v>2.5521045279668293</v>
      </c>
      <c r="AP163" s="1123">
        <v>0.1</v>
      </c>
      <c r="AQ163" s="1123">
        <f t="shared" si="13"/>
        <v>0.13792129201534861</v>
      </c>
      <c r="AR163" s="1123">
        <v>20</v>
      </c>
      <c r="AS163" s="1123">
        <f t="shared" si="14"/>
        <v>0.90306433152152543</v>
      </c>
      <c r="AT163" s="224">
        <f t="shared" si="12"/>
        <v>13228.068800732186</v>
      </c>
    </row>
    <row r="164" spans="1:46">
      <c r="A164" s="1121">
        <v>2020</v>
      </c>
      <c r="D164" s="1107" t="s">
        <v>2006</v>
      </c>
      <c r="E164" s="224" t="s">
        <v>2058</v>
      </c>
      <c r="G164" s="224">
        <v>18687.478629358859</v>
      </c>
      <c r="H164" s="224">
        <v>6873.7332999999999</v>
      </c>
      <c r="I164" s="224">
        <v>0.39366835200000005</v>
      </c>
      <c r="J164" s="224">
        <v>0.14173352720124627</v>
      </c>
      <c r="K164" s="224">
        <v>0.11671386345831801</v>
      </c>
      <c r="L164" s="224">
        <v>0.1397340471792278</v>
      </c>
      <c r="M164" s="224">
        <v>0</v>
      </c>
      <c r="N164" s="224">
        <v>0</v>
      </c>
      <c r="O164" s="224">
        <v>0</v>
      </c>
      <c r="P164" s="224">
        <v>0</v>
      </c>
      <c r="Q164" s="224">
        <v>0</v>
      </c>
      <c r="R164" s="224">
        <v>0</v>
      </c>
      <c r="S164" s="224">
        <v>0</v>
      </c>
      <c r="T164" s="224">
        <v>0</v>
      </c>
      <c r="U164" s="224">
        <v>0</v>
      </c>
      <c r="V164" s="224">
        <v>214.5652584</v>
      </c>
      <c r="W164" s="224">
        <v>4.7240000000000002</v>
      </c>
      <c r="X164" s="224">
        <v>7.0860000000000003</v>
      </c>
      <c r="Y164" s="224">
        <v>0.39366835200000005</v>
      </c>
      <c r="Z164" s="224">
        <v>0</v>
      </c>
      <c r="AA164" s="224">
        <v>28.346705440249252</v>
      </c>
      <c r="AB164" s="224">
        <v>23.342772691663601</v>
      </c>
      <c r="AC164" s="224">
        <v>27.946809435845559</v>
      </c>
      <c r="AD164" s="1120">
        <v>18.434119738506393</v>
      </c>
      <c r="AE164" s="224">
        <v>20422.502622786284</v>
      </c>
      <c r="AF164" s="224">
        <v>699.73410000000001</v>
      </c>
      <c r="AG164" s="224">
        <v>534.27336528229648</v>
      </c>
      <c r="AH164" s="224">
        <v>7017.2049123806892</v>
      </c>
      <c r="AI164" s="224">
        <v>66000</v>
      </c>
      <c r="AJ164" s="224">
        <v>1420.2532079296063</v>
      </c>
      <c r="AK164" s="224">
        <v>1214.2458237810094</v>
      </c>
      <c r="AL164" s="224">
        <v>0</v>
      </c>
      <c r="AM164" s="224">
        <v>436.00000000000006</v>
      </c>
      <c r="AN164" s="1120">
        <v>97744.214032159871</v>
      </c>
      <c r="AO164" s="224">
        <f t="shared" si="11"/>
        <v>2.4288796167456019</v>
      </c>
      <c r="AP164" s="1123">
        <v>0.1</v>
      </c>
      <c r="AQ164" s="1123">
        <f t="shared" si="13"/>
        <v>0.13792129201534861</v>
      </c>
      <c r="AR164" s="1123">
        <v>20</v>
      </c>
      <c r="AS164" s="1123">
        <f t="shared" si="14"/>
        <v>0.85946109315124997</v>
      </c>
      <c r="AT164" s="224">
        <f t="shared" si="12"/>
        <v>13481.008286340257</v>
      </c>
    </row>
    <row r="165" spans="1:46">
      <c r="A165" s="1118">
        <v>2025</v>
      </c>
      <c r="D165" s="1107" t="s">
        <v>2006</v>
      </c>
      <c r="E165" s="224" t="s">
        <v>2058</v>
      </c>
      <c r="G165" s="224">
        <v>18516.29256177185</v>
      </c>
      <c r="H165" s="224">
        <v>6953.2999999999993</v>
      </c>
      <c r="I165" s="224">
        <v>0.30950092800000006</v>
      </c>
      <c r="J165" s="224">
        <v>0.1279743898012109</v>
      </c>
      <c r="K165" s="224">
        <v>9.8700262022000496E-2</v>
      </c>
      <c r="L165" s="224">
        <v>0.11688874250184333</v>
      </c>
      <c r="M165" s="224">
        <v>0</v>
      </c>
      <c r="N165" s="224">
        <v>0</v>
      </c>
      <c r="O165" s="224">
        <v>0</v>
      </c>
      <c r="P165" s="224">
        <v>0</v>
      </c>
      <c r="Q165" s="224">
        <v>0</v>
      </c>
      <c r="R165" s="224">
        <v>0</v>
      </c>
      <c r="S165" s="224">
        <v>0</v>
      </c>
      <c r="T165" s="224">
        <v>0</v>
      </c>
      <c r="U165" s="224">
        <v>0</v>
      </c>
      <c r="V165" s="224">
        <v>209.22387565000002</v>
      </c>
      <c r="W165" s="224">
        <v>3.7139999999999995</v>
      </c>
      <c r="X165" s="224">
        <v>5.5709999999999997</v>
      </c>
      <c r="Y165" s="224">
        <v>0.30950092800000006</v>
      </c>
      <c r="Z165" s="224">
        <v>0</v>
      </c>
      <c r="AA165" s="224">
        <v>25.594877960242179</v>
      </c>
      <c r="AB165" s="224">
        <v>19.7400524044001</v>
      </c>
      <c r="AC165" s="224">
        <v>23.377748500368668</v>
      </c>
      <c r="AD165" s="1120">
        <v>16.372604112162687</v>
      </c>
      <c r="AE165" s="224">
        <v>20755.157169494854</v>
      </c>
      <c r="AF165" s="224">
        <v>337.6241</v>
      </c>
      <c r="AG165" s="224">
        <v>285.71973567740895</v>
      </c>
      <c r="AH165" s="224">
        <v>6867.9040552375855</v>
      </c>
      <c r="AI165" s="224">
        <v>66000</v>
      </c>
      <c r="AJ165" s="224">
        <v>3197.9288654775046</v>
      </c>
      <c r="AK165" s="224">
        <v>2829.8971847014668</v>
      </c>
      <c r="AL165" s="224">
        <v>0</v>
      </c>
      <c r="AM165" s="224">
        <v>352.00000000000006</v>
      </c>
      <c r="AN165" s="1120">
        <v>100626.23111058879</v>
      </c>
      <c r="AO165" s="224">
        <f t="shared" si="11"/>
        <v>2.1572543178185555</v>
      </c>
      <c r="AP165" s="1123">
        <v>0.1</v>
      </c>
      <c r="AQ165" s="1123">
        <f t="shared" si="13"/>
        <v>0.13792129201534861</v>
      </c>
      <c r="AR165" s="1123">
        <v>20</v>
      </c>
      <c r="AS165" s="1123">
        <f t="shared" si="14"/>
        <v>0.76334625290397151</v>
      </c>
      <c r="AT165" s="224">
        <f t="shared" si="12"/>
        <v>13878.499805407475</v>
      </c>
    </row>
    <row r="166" spans="1:46">
      <c r="A166" s="1118">
        <v>2030</v>
      </c>
      <c r="D166" s="1107" t="s">
        <v>2006</v>
      </c>
      <c r="E166" s="224" t="s">
        <v>2058</v>
      </c>
      <c r="G166" s="224">
        <v>18328.833560944367</v>
      </c>
      <c r="H166" s="224">
        <v>7043.5</v>
      </c>
      <c r="I166" s="224">
        <v>0.25316628480000003</v>
      </c>
      <c r="J166" s="224">
        <v>0.12056233930744834</v>
      </c>
      <c r="K166" s="224">
        <v>9.1333109798253875E-2</v>
      </c>
      <c r="L166" s="224">
        <v>0.10697537755951439</v>
      </c>
      <c r="M166" s="224">
        <v>0</v>
      </c>
      <c r="N166" s="224">
        <v>0</v>
      </c>
      <c r="O166" s="224">
        <v>0</v>
      </c>
      <c r="P166" s="224">
        <v>0</v>
      </c>
      <c r="Q166" s="224">
        <v>0</v>
      </c>
      <c r="R166" s="224">
        <v>0</v>
      </c>
      <c r="S166" s="224">
        <v>0</v>
      </c>
      <c r="T166" s="224">
        <v>0</v>
      </c>
      <c r="U166" s="224">
        <v>0</v>
      </c>
      <c r="V166" s="224">
        <v>206.16662495000003</v>
      </c>
      <c r="W166" s="224">
        <v>3.0380000000000003</v>
      </c>
      <c r="X166" s="224">
        <v>4.5570000000000004</v>
      </c>
      <c r="Y166" s="224">
        <v>0.25316628480000003</v>
      </c>
      <c r="Z166" s="224">
        <v>0</v>
      </c>
      <c r="AA166" s="224">
        <v>24.112467861489666</v>
      </c>
      <c r="AB166" s="224">
        <v>18.266621959650777</v>
      </c>
      <c r="AC166" s="224">
        <v>21.395075511902874</v>
      </c>
      <c r="AD166" s="1120">
        <v>15.211225419764613</v>
      </c>
      <c r="AE166" s="224">
        <v>20908.000049238857</v>
      </c>
      <c r="AF166" s="224">
        <v>219.28627440000002</v>
      </c>
      <c r="AG166" s="224">
        <v>149.45854097639233</v>
      </c>
      <c r="AH166" s="224">
        <v>6782.4486270506895</v>
      </c>
      <c r="AI166" s="224">
        <v>66000</v>
      </c>
      <c r="AJ166" s="224">
        <v>5082.4026577499999</v>
      </c>
      <c r="AK166" s="224">
        <v>3508.029060192428</v>
      </c>
      <c r="AL166" s="224">
        <v>0</v>
      </c>
      <c r="AM166" s="224">
        <v>296</v>
      </c>
      <c r="AN166" s="1120">
        <v>102945.62520960838</v>
      </c>
      <c r="AO166" s="224">
        <f t="shared" si="11"/>
        <v>2.0042310613081851</v>
      </c>
      <c r="AP166" s="1123">
        <v>0.1</v>
      </c>
      <c r="AQ166" s="1123">
        <f t="shared" si="13"/>
        <v>0.13792129201534861</v>
      </c>
      <c r="AR166" s="1123">
        <v>20</v>
      </c>
      <c r="AS166" s="1123">
        <f t="shared" si="14"/>
        <v>0.70919884501630348</v>
      </c>
      <c r="AT166" s="224">
        <f t="shared" si="12"/>
        <v>14198.393636237031</v>
      </c>
    </row>
    <row r="167" spans="1:46">
      <c r="A167" s="1118">
        <v>2035</v>
      </c>
      <c r="D167" s="1107" t="s">
        <v>2006</v>
      </c>
      <c r="E167" s="224" t="s">
        <v>2058</v>
      </c>
      <c r="G167" s="224">
        <v>18149.439140349226</v>
      </c>
      <c r="H167" s="224">
        <v>7133.7000000000007</v>
      </c>
      <c r="I167" s="224">
        <v>0.22499896320000001</v>
      </c>
      <c r="J167" s="224">
        <v>0.11560965311445159</v>
      </c>
      <c r="K167" s="224">
        <v>8.686905423637778E-2</v>
      </c>
      <c r="L167" s="224">
        <v>0.10211400314267557</v>
      </c>
      <c r="M167" s="224">
        <v>0</v>
      </c>
      <c r="N167" s="224">
        <v>0</v>
      </c>
      <c r="O167" s="224">
        <v>0</v>
      </c>
      <c r="P167" s="224">
        <v>0</v>
      </c>
      <c r="Q167" s="224">
        <v>0</v>
      </c>
      <c r="R167" s="224">
        <v>0</v>
      </c>
      <c r="S167" s="224">
        <v>0</v>
      </c>
      <c r="T167" s="224">
        <v>0</v>
      </c>
      <c r="U167" s="224">
        <v>0</v>
      </c>
      <c r="V167" s="224">
        <v>206.7935162</v>
      </c>
      <c r="W167" s="224">
        <v>2.7</v>
      </c>
      <c r="X167" s="224">
        <v>4.0500000000000007</v>
      </c>
      <c r="Y167" s="224">
        <v>0.22499896320000001</v>
      </c>
      <c r="Z167" s="224">
        <v>0</v>
      </c>
      <c r="AA167" s="224">
        <v>23.121930622890318</v>
      </c>
      <c r="AB167" s="224">
        <v>17.373810847275557</v>
      </c>
      <c r="AC167" s="224">
        <v>20.422800628535114</v>
      </c>
      <c r="AD167" s="1120">
        <v>14.397020938376512</v>
      </c>
      <c r="AE167" s="224">
        <v>21433.494232895999</v>
      </c>
      <c r="AF167" s="224">
        <v>164.96928000000003</v>
      </c>
      <c r="AG167" s="224">
        <v>83.680188366812203</v>
      </c>
      <c r="AH167" s="224">
        <v>6799.9713183351732</v>
      </c>
      <c r="AI167" s="224">
        <v>66000</v>
      </c>
      <c r="AJ167" s="224">
        <v>7124.2188517500035</v>
      </c>
      <c r="AK167" s="224">
        <v>3935.8667708711309</v>
      </c>
      <c r="AL167" s="224">
        <v>0</v>
      </c>
      <c r="AM167" s="224">
        <v>240</v>
      </c>
      <c r="AN167" s="1120">
        <v>105782.2006422191</v>
      </c>
      <c r="AO167" s="224">
        <f t="shared" si="11"/>
        <v>1.8969514788404891</v>
      </c>
      <c r="AP167" s="1123">
        <v>0.1</v>
      </c>
      <c r="AQ167" s="1123">
        <f t="shared" si="13"/>
        <v>0.13792129201534861</v>
      </c>
      <c r="AR167" s="1123">
        <v>20</v>
      </c>
      <c r="AS167" s="1123">
        <f t="shared" si="14"/>
        <v>0.67123787462286921</v>
      </c>
      <c r="AT167" s="224">
        <f t="shared" si="12"/>
        <v>14589.617784801698</v>
      </c>
    </row>
    <row r="168" spans="1:46">
      <c r="A168" s="1118">
        <v>2050</v>
      </c>
      <c r="D168" s="1107" t="s">
        <v>2006</v>
      </c>
      <c r="E168" s="224" t="s">
        <v>2058</v>
      </c>
      <c r="G168" s="224">
        <v>17868.022161462686</v>
      </c>
      <c r="H168" s="224">
        <v>7269</v>
      </c>
      <c r="I168" s="224">
        <v>0.16883159040000001</v>
      </c>
      <c r="J168" s="224">
        <v>0.1083178412446518</v>
      </c>
      <c r="K168" s="224">
        <v>8.0186186170206064E-2</v>
      </c>
      <c r="L168" s="224">
        <v>9.4798361155768757E-2</v>
      </c>
      <c r="M168" s="224">
        <v>0</v>
      </c>
      <c r="N168" s="224">
        <v>0</v>
      </c>
      <c r="O168" s="224">
        <v>0</v>
      </c>
      <c r="P168" s="224">
        <v>0</v>
      </c>
      <c r="Q168" s="224">
        <v>0</v>
      </c>
      <c r="R168" s="224">
        <v>0</v>
      </c>
      <c r="S168" s="224">
        <v>0</v>
      </c>
      <c r="T168" s="224">
        <v>0</v>
      </c>
      <c r="U168" s="224">
        <v>0</v>
      </c>
      <c r="V168" s="224">
        <v>201.24281819999999</v>
      </c>
      <c r="W168" s="224">
        <v>2.0260000000000002</v>
      </c>
      <c r="X168" s="224">
        <v>3.0389999999999997</v>
      </c>
      <c r="Y168" s="224">
        <v>0.16883159040000001</v>
      </c>
      <c r="Z168" s="224">
        <v>0</v>
      </c>
      <c r="AA168" s="224">
        <v>21.66356824893036</v>
      </c>
      <c r="AB168" s="224">
        <v>16.037237234041214</v>
      </c>
      <c r="AC168" s="224">
        <v>18.959672231153753</v>
      </c>
      <c r="AD168" s="1120">
        <v>13.227412093934699</v>
      </c>
      <c r="AE168" s="224">
        <v>21896.590475913144</v>
      </c>
      <c r="AF168" s="224">
        <v>74.8416</v>
      </c>
      <c r="AG168" s="224">
        <v>59.978043416593863</v>
      </c>
      <c r="AH168" s="224">
        <v>6644.8197390662062</v>
      </c>
      <c r="AI168" s="224">
        <v>66000</v>
      </c>
      <c r="AJ168" s="224">
        <v>10196.430783</v>
      </c>
      <c r="AK168" s="224">
        <v>4842.5801991868502</v>
      </c>
      <c r="AL168" s="224">
        <v>0</v>
      </c>
      <c r="AM168" s="224">
        <v>240</v>
      </c>
      <c r="AN168" s="1120">
        <v>109955.24084058279</v>
      </c>
      <c r="AO168" s="224">
        <f t="shared" si="11"/>
        <v>1.7428438174968359</v>
      </c>
      <c r="AP168" s="1123">
        <v>0.1</v>
      </c>
      <c r="AQ168" s="1123">
        <f t="shared" si="13"/>
        <v>0.13792129201534861</v>
      </c>
      <c r="AR168" s="1123">
        <v>20</v>
      </c>
      <c r="AS168" s="1123">
        <f t="shared" si="14"/>
        <v>0.61670674917381763</v>
      </c>
      <c r="AT168" s="224">
        <f t="shared" si="12"/>
        <v>15165.168880592004</v>
      </c>
    </row>
    <row r="169" spans="1:46">
      <c r="A169" s="1118">
        <v>2017</v>
      </c>
      <c r="D169" s="1107" t="s">
        <v>2006</v>
      </c>
      <c r="E169" s="224" t="s">
        <v>2059</v>
      </c>
      <c r="G169" s="224">
        <v>19239.994338219658</v>
      </c>
      <c r="H169" s="224">
        <v>6818</v>
      </c>
      <c r="I169" s="224">
        <v>5.8449600000000013</v>
      </c>
      <c r="J169" s="224">
        <v>0.130834617875104</v>
      </c>
      <c r="K169" s="224">
        <v>0.13331150225488958</v>
      </c>
      <c r="L169" s="224">
        <v>0.15612812984352584</v>
      </c>
      <c r="M169" s="224">
        <v>0</v>
      </c>
      <c r="N169" s="224">
        <v>0</v>
      </c>
      <c r="O169" s="224">
        <v>0</v>
      </c>
      <c r="P169" s="224">
        <v>0</v>
      </c>
      <c r="Q169" s="224">
        <v>0</v>
      </c>
      <c r="R169" s="224">
        <v>0</v>
      </c>
      <c r="S169" s="224">
        <v>0</v>
      </c>
      <c r="T169" s="224">
        <v>0</v>
      </c>
      <c r="U169" s="224">
        <v>0</v>
      </c>
      <c r="V169" s="224">
        <v>206.32542040000001</v>
      </c>
      <c r="W169" s="224">
        <v>139.50473639999998</v>
      </c>
      <c r="X169" s="224">
        <v>181.93995215311</v>
      </c>
      <c r="Y169" s="224">
        <v>5.8449600000000013</v>
      </c>
      <c r="Z169" s="224">
        <v>0</v>
      </c>
      <c r="AA169" s="224">
        <v>26.1669235750208</v>
      </c>
      <c r="AB169" s="224">
        <v>26.662300450977916</v>
      </c>
      <c r="AC169" s="224">
        <v>31.225625968705167</v>
      </c>
      <c r="AD169" s="1120">
        <v>17.36446839445874</v>
      </c>
      <c r="AE169" s="224">
        <v>19265.990516260568</v>
      </c>
      <c r="AF169" s="224">
        <v>6826.1781915599995</v>
      </c>
      <c r="AG169" s="224">
        <v>7932.581913875596</v>
      </c>
      <c r="AH169" s="224">
        <v>9105.5857836882042</v>
      </c>
      <c r="AI169" s="224">
        <v>66000</v>
      </c>
      <c r="AJ169" s="224">
        <v>0</v>
      </c>
      <c r="AK169" s="224">
        <v>745.98720000000003</v>
      </c>
      <c r="AL169" s="224">
        <v>0</v>
      </c>
      <c r="AM169" s="224">
        <v>436.00000000000006</v>
      </c>
      <c r="AN169" s="1120">
        <v>110312.32360538437</v>
      </c>
      <c r="AO169" s="224">
        <f t="shared" si="11"/>
        <v>2.2879423556538834</v>
      </c>
      <c r="AP169" s="1123">
        <v>0.1</v>
      </c>
      <c r="AQ169" s="1123">
        <f t="shared" si="13"/>
        <v>0.13792129201534861</v>
      </c>
      <c r="AR169" s="1123">
        <v>20</v>
      </c>
      <c r="AS169" s="1123">
        <f t="shared" si="14"/>
        <v>0.80959032489723048</v>
      </c>
      <c r="AT169" s="224">
        <f t="shared" si="12"/>
        <v>15214.418196869852</v>
      </c>
    </row>
    <row r="170" spans="1:46">
      <c r="A170" s="1121">
        <v>2020</v>
      </c>
      <c r="D170" s="1107" t="s">
        <v>2006</v>
      </c>
      <c r="E170" s="224" t="s">
        <v>2059</v>
      </c>
      <c r="G170" s="224">
        <v>19123.793092296313</v>
      </c>
      <c r="H170" s="224">
        <v>6873.7332999999999</v>
      </c>
      <c r="I170" s="224">
        <v>5.8449600000000013</v>
      </c>
      <c r="J170" s="224">
        <v>0.12390509814611782</v>
      </c>
      <c r="K170" s="224">
        <v>0.12266001754903105</v>
      </c>
      <c r="L170" s="224">
        <v>0.13156565056574965</v>
      </c>
      <c r="M170" s="224">
        <v>0</v>
      </c>
      <c r="N170" s="224">
        <v>0</v>
      </c>
      <c r="O170" s="224">
        <v>0</v>
      </c>
      <c r="P170" s="224">
        <v>0</v>
      </c>
      <c r="Q170" s="224">
        <v>0</v>
      </c>
      <c r="R170" s="224">
        <v>0</v>
      </c>
      <c r="S170" s="224">
        <v>0</v>
      </c>
      <c r="T170" s="224">
        <v>0</v>
      </c>
      <c r="U170" s="224">
        <v>0</v>
      </c>
      <c r="V170" s="224">
        <v>203.8227172</v>
      </c>
      <c r="W170" s="224">
        <v>139.46305280000001</v>
      </c>
      <c r="X170" s="224">
        <v>181.93995215311</v>
      </c>
      <c r="Y170" s="224">
        <v>5.8449600000000013</v>
      </c>
      <c r="Z170" s="224">
        <v>0</v>
      </c>
      <c r="AA170" s="224">
        <v>24.781019629223564</v>
      </c>
      <c r="AB170" s="224">
        <v>24.532003509806209</v>
      </c>
      <c r="AC170" s="224">
        <v>26.313130113149931</v>
      </c>
      <c r="AD170" s="1120">
        <v>16.272771978128755</v>
      </c>
      <c r="AE170" s="224">
        <v>19315.58450303314</v>
      </c>
      <c r="AF170" s="224">
        <v>5166.3337003200013</v>
      </c>
      <c r="AG170" s="224">
        <v>7932.581913875596</v>
      </c>
      <c r="AH170" s="224">
        <v>9034.9380940175542</v>
      </c>
      <c r="AI170" s="224">
        <v>66000</v>
      </c>
      <c r="AJ170" s="224">
        <v>1420.2532079296063</v>
      </c>
      <c r="AK170" s="224">
        <v>1214.2458237810094</v>
      </c>
      <c r="AL170" s="224">
        <v>0</v>
      </c>
      <c r="AM170" s="224">
        <v>436.00000000000006</v>
      </c>
      <c r="AN170" s="1120">
        <v>110519.93724295689</v>
      </c>
      <c r="AO170" s="224">
        <f t="shared" si="11"/>
        <v>2.1441004358382445</v>
      </c>
      <c r="AP170" s="1123">
        <v>0.1</v>
      </c>
      <c r="AQ170" s="1123">
        <f t="shared" si="13"/>
        <v>0.13792129201534861</v>
      </c>
      <c r="AR170" s="1123">
        <v>20</v>
      </c>
      <c r="AS170" s="1123">
        <f t="shared" si="14"/>
        <v>0.75869174071323231</v>
      </c>
      <c r="AT170" s="224">
        <f t="shared" si="12"/>
        <v>15243.05253800386</v>
      </c>
    </row>
    <row r="171" spans="1:46">
      <c r="A171" s="1118">
        <v>2025</v>
      </c>
      <c r="D171" s="1107" t="s">
        <v>2006</v>
      </c>
      <c r="E171" s="224" t="s">
        <v>2059</v>
      </c>
      <c r="G171" s="224">
        <v>18678.148789960869</v>
      </c>
      <c r="H171" s="224">
        <v>6953.2999999999993</v>
      </c>
      <c r="I171" s="224">
        <v>5.8449600000000013</v>
      </c>
      <c r="J171" s="224">
        <v>0.10870407218882905</v>
      </c>
      <c r="K171" s="224">
        <v>0.10473349290397796</v>
      </c>
      <c r="L171" s="224">
        <v>0.11377958105629912</v>
      </c>
      <c r="M171" s="224">
        <v>0</v>
      </c>
      <c r="N171" s="224">
        <v>0</v>
      </c>
      <c r="O171" s="224">
        <v>0</v>
      </c>
      <c r="P171" s="224">
        <v>0</v>
      </c>
      <c r="Q171" s="224">
        <v>0</v>
      </c>
      <c r="R171" s="224">
        <v>0</v>
      </c>
      <c r="S171" s="224">
        <v>0</v>
      </c>
      <c r="T171" s="224">
        <v>0</v>
      </c>
      <c r="U171" s="224">
        <v>0</v>
      </c>
      <c r="V171" s="224">
        <v>196.47936924999999</v>
      </c>
      <c r="W171" s="224">
        <v>139.49817490000001</v>
      </c>
      <c r="X171" s="224">
        <v>165.28605999263891</v>
      </c>
      <c r="Y171" s="224">
        <v>5.8449600000000013</v>
      </c>
      <c r="Z171" s="224">
        <v>0</v>
      </c>
      <c r="AA171" s="224">
        <v>21.74081443776581</v>
      </c>
      <c r="AB171" s="224">
        <v>20.946698580795591</v>
      </c>
      <c r="AC171" s="224">
        <v>22.755916211259823</v>
      </c>
      <c r="AD171" s="1120">
        <v>14.055339851068783</v>
      </c>
      <c r="AE171" s="224">
        <v>19453.323618354283</v>
      </c>
      <c r="AF171" s="224">
        <v>2546.0345018975004</v>
      </c>
      <c r="AG171" s="224">
        <v>5294.8840809716594</v>
      </c>
      <c r="AH171" s="224">
        <v>8830.2626198589423</v>
      </c>
      <c r="AI171" s="224">
        <v>66000</v>
      </c>
      <c r="AJ171" s="224">
        <v>3197.9288654775046</v>
      </c>
      <c r="AK171" s="224">
        <v>2829.8971847014668</v>
      </c>
      <c r="AL171" s="224">
        <v>0</v>
      </c>
      <c r="AM171" s="224">
        <v>352.00000000000006</v>
      </c>
      <c r="AN171" s="1120">
        <v>108504.33087126134</v>
      </c>
      <c r="AO171" s="224">
        <f t="shared" si="11"/>
        <v>1.8519315787768227</v>
      </c>
      <c r="AP171" s="1123">
        <v>0.1</v>
      </c>
      <c r="AQ171" s="1123">
        <f t="shared" si="13"/>
        <v>0.13792129201534861</v>
      </c>
      <c r="AR171" s="1123">
        <v>20</v>
      </c>
      <c r="AS171" s="1123">
        <f t="shared" si="14"/>
        <v>0.65530754515922851</v>
      </c>
      <c r="AT171" s="224">
        <f t="shared" si="12"/>
        <v>14965.05750302524</v>
      </c>
    </row>
    <row r="172" spans="1:46">
      <c r="A172" s="1118">
        <v>2030</v>
      </c>
      <c r="D172" s="1107" t="s">
        <v>2006</v>
      </c>
      <c r="E172" s="224" t="s">
        <v>2059</v>
      </c>
      <c r="G172" s="224">
        <v>18393.494691689535</v>
      </c>
      <c r="H172" s="224">
        <v>7043.5</v>
      </c>
      <c r="I172" s="224">
        <v>6.2251200000000004</v>
      </c>
      <c r="J172" s="224">
        <v>0.1022295342490158</v>
      </c>
      <c r="K172" s="224">
        <v>9.770895050543521E-2</v>
      </c>
      <c r="L172" s="224">
        <v>0.10963510101563058</v>
      </c>
      <c r="M172" s="224">
        <v>0</v>
      </c>
      <c r="N172" s="224">
        <v>0</v>
      </c>
      <c r="O172" s="224">
        <v>0</v>
      </c>
      <c r="P172" s="224">
        <v>0</v>
      </c>
      <c r="Q172" s="224">
        <v>0</v>
      </c>
      <c r="R172" s="224">
        <v>0</v>
      </c>
      <c r="S172" s="224">
        <v>0</v>
      </c>
      <c r="T172" s="224">
        <v>0</v>
      </c>
      <c r="U172" s="224">
        <v>0</v>
      </c>
      <c r="V172" s="224">
        <v>191.71381680000002</v>
      </c>
      <c r="W172" s="224">
        <v>148.53042765000001</v>
      </c>
      <c r="X172" s="224">
        <v>136.72951186368215</v>
      </c>
      <c r="Y172" s="224">
        <v>6.2251200000000004</v>
      </c>
      <c r="Z172" s="224">
        <v>0</v>
      </c>
      <c r="AA172" s="224">
        <v>20.445906849803162</v>
      </c>
      <c r="AB172" s="224">
        <v>19.541790101087045</v>
      </c>
      <c r="AC172" s="224">
        <v>21.927020203126116</v>
      </c>
      <c r="AD172" s="1120">
        <v>12.970124572013233</v>
      </c>
      <c r="AE172" s="224">
        <v>19444.399540315429</v>
      </c>
      <c r="AF172" s="224">
        <v>1961.6124810250803</v>
      </c>
      <c r="AG172" s="224">
        <v>3475.3463801569605</v>
      </c>
      <c r="AH172" s="224">
        <v>8847.1816590457711</v>
      </c>
      <c r="AI172" s="224">
        <v>66000</v>
      </c>
      <c r="AJ172" s="224">
        <v>5082.4026577499999</v>
      </c>
      <c r="AK172" s="224">
        <v>3508.029060192428</v>
      </c>
      <c r="AL172" s="224">
        <v>0</v>
      </c>
      <c r="AM172" s="224">
        <v>296</v>
      </c>
      <c r="AN172" s="1120">
        <v>108614.97177848569</v>
      </c>
      <c r="AO172" s="224">
        <f t="shared" si="11"/>
        <v>1.7089436136084635</v>
      </c>
      <c r="AP172" s="1123">
        <v>0.1</v>
      </c>
      <c r="AQ172" s="1123">
        <f t="shared" si="13"/>
        <v>0.13792129201534861</v>
      </c>
      <c r="AR172" s="1123">
        <v>20</v>
      </c>
      <c r="AS172" s="1123">
        <f t="shared" si="14"/>
        <v>0.60471113354467032</v>
      </c>
      <c r="AT172" s="224">
        <f t="shared" si="12"/>
        <v>14980.317239899374</v>
      </c>
    </row>
    <row r="173" spans="1:46">
      <c r="A173" s="1118">
        <v>2035</v>
      </c>
      <c r="D173" s="1107" t="s">
        <v>2006</v>
      </c>
      <c r="E173" s="224" t="s">
        <v>2059</v>
      </c>
      <c r="G173" s="224">
        <v>18183.655990274128</v>
      </c>
      <c r="H173" s="224">
        <v>7133.7000000000007</v>
      </c>
      <c r="I173" s="224">
        <v>6.2251200000000004</v>
      </c>
      <c r="J173" s="224">
        <v>9.7909987415554248E-2</v>
      </c>
      <c r="K173" s="224">
        <v>9.3117149129384694E-2</v>
      </c>
      <c r="L173" s="224">
        <v>0.10586697305375084</v>
      </c>
      <c r="M173" s="224">
        <v>0</v>
      </c>
      <c r="N173" s="224">
        <v>0</v>
      </c>
      <c r="O173" s="224">
        <v>0</v>
      </c>
      <c r="P173" s="224">
        <v>0</v>
      </c>
      <c r="Q173" s="224">
        <v>0</v>
      </c>
      <c r="R173" s="224">
        <v>0</v>
      </c>
      <c r="S173" s="224">
        <v>0</v>
      </c>
      <c r="T173" s="224">
        <v>0</v>
      </c>
      <c r="U173" s="224">
        <v>0</v>
      </c>
      <c r="V173" s="224">
        <v>186.2290146</v>
      </c>
      <c r="W173" s="224">
        <v>148.60063474999998</v>
      </c>
      <c r="X173" s="224">
        <v>117.64257641921392</v>
      </c>
      <c r="Y173" s="224">
        <v>6.2251200000000004</v>
      </c>
      <c r="Z173" s="224">
        <v>0</v>
      </c>
      <c r="AA173" s="224">
        <v>19.581997483110847</v>
      </c>
      <c r="AB173" s="224">
        <v>18.62342982587694</v>
      </c>
      <c r="AC173" s="224">
        <v>21.173394610750169</v>
      </c>
      <c r="AD173" s="1120">
        <v>12.246972540634651</v>
      </c>
      <c r="AE173" s="224">
        <v>19364.932325110858</v>
      </c>
      <c r="AF173" s="224">
        <v>1605.9969413808001</v>
      </c>
      <c r="AG173" s="224">
        <v>2241.4951965065493</v>
      </c>
      <c r="AH173" s="224">
        <v>8695.0388883409832</v>
      </c>
      <c r="AI173" s="224">
        <v>66000</v>
      </c>
      <c r="AJ173" s="224">
        <v>7124.2188517500035</v>
      </c>
      <c r="AK173" s="224">
        <v>3935.8667708711309</v>
      </c>
      <c r="AL173" s="224">
        <v>0</v>
      </c>
      <c r="AM173" s="224">
        <v>240</v>
      </c>
      <c r="AN173" s="1120">
        <v>109207.54897396032</v>
      </c>
      <c r="AO173" s="224">
        <f t="shared" si="11"/>
        <v>1.6136611019540215</v>
      </c>
      <c r="AP173" s="1123">
        <v>0.1</v>
      </c>
      <c r="AQ173" s="1123">
        <f t="shared" si="13"/>
        <v>0.13792129201534861</v>
      </c>
      <c r="AR173" s="1123">
        <v>20</v>
      </c>
      <c r="AS173" s="1123">
        <f t="shared" si="14"/>
        <v>0.57099533673854941</v>
      </c>
      <c r="AT173" s="224">
        <f t="shared" si="12"/>
        <v>15062.046252318067</v>
      </c>
    </row>
    <row r="174" spans="1:46">
      <c r="A174" s="1118">
        <v>2050</v>
      </c>
      <c r="D174" s="1107" t="s">
        <v>2006</v>
      </c>
      <c r="E174" s="224" t="s">
        <v>2059</v>
      </c>
      <c r="G174" s="224">
        <v>17906.372617120549</v>
      </c>
      <c r="H174" s="224">
        <v>7269</v>
      </c>
      <c r="I174" s="224">
        <v>6.2251200000000004</v>
      </c>
      <c r="J174" s="224">
        <v>9.0558889208858032E-2</v>
      </c>
      <c r="K174" s="224">
        <v>8.5413645410935157E-2</v>
      </c>
      <c r="L174" s="224">
        <v>9.733575861349561E-2</v>
      </c>
      <c r="M174" s="224">
        <v>0</v>
      </c>
      <c r="N174" s="224">
        <v>0</v>
      </c>
      <c r="O174" s="224">
        <v>0</v>
      </c>
      <c r="P174" s="224">
        <v>0</v>
      </c>
      <c r="Q174" s="224">
        <v>0</v>
      </c>
      <c r="R174" s="224">
        <v>0</v>
      </c>
      <c r="S174" s="224">
        <v>0</v>
      </c>
      <c r="T174" s="224">
        <v>0</v>
      </c>
      <c r="U174" s="224">
        <v>0</v>
      </c>
      <c r="V174" s="224">
        <v>182.69435214999999</v>
      </c>
      <c r="W174" s="224">
        <v>148.56446505</v>
      </c>
      <c r="X174" s="224">
        <v>117.64257641921392</v>
      </c>
      <c r="Y174" s="224">
        <v>6.2251200000000004</v>
      </c>
      <c r="Z174" s="224">
        <v>0</v>
      </c>
      <c r="AA174" s="224">
        <v>18.111777841771605</v>
      </c>
      <c r="AB174" s="224">
        <v>17.082729082187029</v>
      </c>
      <c r="AC174" s="224">
        <v>19.467151722699121</v>
      </c>
      <c r="AD174" s="1120">
        <v>11.121875505781333</v>
      </c>
      <c r="AE174" s="224">
        <v>20059.238592443431</v>
      </c>
      <c r="AF174" s="224">
        <v>966.99292966199982</v>
      </c>
      <c r="AG174" s="224">
        <v>2100.3241048034929</v>
      </c>
      <c r="AH174" s="224">
        <v>8595.6378045422935</v>
      </c>
      <c r="AI174" s="224">
        <v>66000</v>
      </c>
      <c r="AJ174" s="224">
        <v>10196.430783</v>
      </c>
      <c r="AK174" s="224">
        <v>4842.5801991868502</v>
      </c>
      <c r="AL174" s="224">
        <v>0</v>
      </c>
      <c r="AM174" s="224">
        <v>240</v>
      </c>
      <c r="AN174" s="1120">
        <v>113001.20441363807</v>
      </c>
      <c r="AO174" s="224">
        <f t="shared" si="11"/>
        <v>1.4654183166417483</v>
      </c>
      <c r="AP174" s="1123">
        <v>0.1</v>
      </c>
      <c r="AQ174" s="1123">
        <f t="shared" si="13"/>
        <v>0.13792129201534861</v>
      </c>
      <c r="AR174" s="1123">
        <v>20</v>
      </c>
      <c r="AS174" s="1123">
        <f t="shared" si="14"/>
        <v>0.51853950260092163</v>
      </c>
      <c r="AT174" s="224">
        <f t="shared" si="12"/>
        <v>15585.272112019476</v>
      </c>
    </row>
    <row r="175" spans="1:46">
      <c r="A175" s="1118">
        <v>2017</v>
      </c>
      <c r="D175" s="1107" t="s">
        <v>2006</v>
      </c>
      <c r="E175" s="224" t="s">
        <v>2060</v>
      </c>
      <c r="G175" s="224">
        <v>21442.798532908047</v>
      </c>
      <c r="H175" s="224">
        <v>6818</v>
      </c>
      <c r="I175" s="224">
        <v>328.43475000000001</v>
      </c>
      <c r="J175" s="224">
        <v>0.13637680898780222</v>
      </c>
      <c r="K175" s="224">
        <v>0.16605844745726939</v>
      </c>
      <c r="L175" s="224">
        <v>0.19476127514474026</v>
      </c>
      <c r="M175" s="224">
        <v>5.0162437631331457E-2</v>
      </c>
      <c r="N175" s="224">
        <v>6.1851535894817566E-2</v>
      </c>
      <c r="O175" s="224">
        <v>7.5124617980359035E-2</v>
      </c>
      <c r="P175" s="224">
        <v>-56.235883975474685</v>
      </c>
      <c r="Q175" s="224">
        <v>-28.283745137283045</v>
      </c>
      <c r="R175" s="224">
        <v>123.99796400420324</v>
      </c>
      <c r="S175" s="224">
        <v>1888.9213317754179</v>
      </c>
      <c r="T175" s="224">
        <v>2329.0870833163058</v>
      </c>
      <c r="U175" s="224">
        <v>2828.899474294004</v>
      </c>
      <c r="V175" s="224">
        <v>230</v>
      </c>
      <c r="W175" s="224">
        <v>318.18448959999995</v>
      </c>
      <c r="X175" s="224">
        <v>477.27673439999995</v>
      </c>
      <c r="Y175" s="224">
        <v>327.44175000000001</v>
      </c>
      <c r="Z175" s="224">
        <v>0</v>
      </c>
      <c r="AA175" s="224">
        <v>13.826006298510123</v>
      </c>
      <c r="AB175" s="224">
        <v>20.027736272506395</v>
      </c>
      <c r="AC175" s="224">
        <v>26.49050046990784</v>
      </c>
      <c r="AD175" s="1120">
        <v>9.0836261979655113</v>
      </c>
      <c r="AE175" s="224">
        <v>21795.66857142857</v>
      </c>
      <c r="AF175" s="224">
        <v>14491.539603839999</v>
      </c>
      <c r="AG175" s="224">
        <v>186307.80691500002</v>
      </c>
      <c r="AH175" s="224">
        <v>0</v>
      </c>
      <c r="AI175" s="224">
        <v>66000</v>
      </c>
      <c r="AJ175" s="224">
        <v>0</v>
      </c>
      <c r="AK175" s="224">
        <v>745.98720000000003</v>
      </c>
      <c r="AL175" s="224">
        <v>0</v>
      </c>
      <c r="AM175" s="224">
        <v>436.00000000000006</v>
      </c>
      <c r="AN175" s="1120">
        <v>289777.0022902686</v>
      </c>
      <c r="AO175" s="224">
        <f t="shared" si="11"/>
        <v>1.1968585878439357</v>
      </c>
      <c r="AP175" s="1123">
        <v>0.1</v>
      </c>
      <c r="AQ175" s="1123">
        <f t="shared" si="13"/>
        <v>0.13792129201534861</v>
      </c>
      <c r="AR175" s="1123">
        <v>20</v>
      </c>
      <c r="AS175" s="1123">
        <f t="shared" si="14"/>
        <v>0.42350941691959132</v>
      </c>
      <c r="AT175" s="224">
        <f t="shared" si="12"/>
        <v>39966.418552208481</v>
      </c>
    </row>
    <row r="176" spans="1:46">
      <c r="A176" s="1121">
        <v>2020</v>
      </c>
      <c r="D176" s="1107" t="s">
        <v>2006</v>
      </c>
      <c r="E176" s="224" t="s">
        <v>2060</v>
      </c>
      <c r="G176" s="224">
        <v>21024.851143642729</v>
      </c>
      <c r="H176" s="224">
        <v>6873.7332999999999</v>
      </c>
      <c r="I176" s="224">
        <v>308.07825000000003</v>
      </c>
      <c r="J176" s="224">
        <v>0.12536652208676966</v>
      </c>
      <c r="K176" s="224">
        <v>0.15224669562628959</v>
      </c>
      <c r="L176" s="224">
        <v>0.17641779748226225</v>
      </c>
      <c r="M176" s="224">
        <v>4.6934046996331413E-2</v>
      </c>
      <c r="N176" s="224">
        <v>5.7620571094789907E-2</v>
      </c>
      <c r="O176" s="224">
        <v>6.9821384989158131E-2</v>
      </c>
      <c r="P176" s="224">
        <v>-55.247268621647677</v>
      </c>
      <c r="Q176" s="224">
        <v>-33.476898404361172</v>
      </c>
      <c r="R176" s="224">
        <v>149.29632089541943</v>
      </c>
      <c r="S176" s="224">
        <v>1767.3527592396481</v>
      </c>
      <c r="T176" s="224">
        <v>2169.7654864772526</v>
      </c>
      <c r="U176" s="224">
        <v>2629.2004485393682</v>
      </c>
      <c r="V176" s="224">
        <v>210</v>
      </c>
      <c r="W176" s="224">
        <v>311.01074610000001</v>
      </c>
      <c r="X176" s="224">
        <v>466.51611915000001</v>
      </c>
      <c r="Y176" s="224">
        <v>307.45762500000001</v>
      </c>
      <c r="Z176" s="224">
        <v>0</v>
      </c>
      <c r="AA176" s="224">
        <v>12.794434238316633</v>
      </c>
      <c r="AB176" s="224">
        <v>18.382785513245757</v>
      </c>
      <c r="AC176" s="224">
        <v>24.06594158997526</v>
      </c>
      <c r="AD176" s="1120">
        <v>8.3848377639502285</v>
      </c>
      <c r="AE176" s="224">
        <v>19948.919155485713</v>
      </c>
      <c r="AF176" s="224">
        <v>10853.139733214999</v>
      </c>
      <c r="AG176" s="224">
        <v>162872.60226750001</v>
      </c>
      <c r="AH176" s="224">
        <v>0</v>
      </c>
      <c r="AI176" s="224">
        <v>66000</v>
      </c>
      <c r="AJ176" s="224">
        <v>1420.2532079296063</v>
      </c>
      <c r="AK176" s="224">
        <v>1214.2458237810094</v>
      </c>
      <c r="AL176" s="224">
        <v>0</v>
      </c>
      <c r="AM176" s="224">
        <v>436.00000000000006</v>
      </c>
      <c r="AN176" s="1120">
        <v>262745.16018791136</v>
      </c>
      <c r="AO176" s="224">
        <f t="shared" si="11"/>
        <v>1.1047862237780821</v>
      </c>
      <c r="AP176" s="1123">
        <v>0.1</v>
      </c>
      <c r="AQ176" s="1123">
        <f t="shared" si="13"/>
        <v>0.13792129201534861</v>
      </c>
      <c r="AR176" s="1123">
        <v>20</v>
      </c>
      <c r="AS176" s="1123">
        <f t="shared" si="14"/>
        <v>0.39092953353488646</v>
      </c>
      <c r="AT176" s="224">
        <f t="shared" si="12"/>
        <v>36238.151963896467</v>
      </c>
    </row>
    <row r="177" spans="1:46">
      <c r="A177" s="1118">
        <v>2025</v>
      </c>
      <c r="D177" s="1107" t="s">
        <v>2006</v>
      </c>
      <c r="E177" s="224" t="s">
        <v>2060</v>
      </c>
      <c r="G177" s="224">
        <v>20221.865903274273</v>
      </c>
      <c r="H177" s="224">
        <v>6953.2999999999993</v>
      </c>
      <c r="I177" s="224">
        <v>271.70962500000002</v>
      </c>
      <c r="J177" s="224">
        <v>0.10464956373575834</v>
      </c>
      <c r="K177" s="224">
        <v>0.12567957629639384</v>
      </c>
      <c r="L177" s="224">
        <v>0.14013583660349763</v>
      </c>
      <c r="M177" s="224">
        <v>4.1718351737718817E-2</v>
      </c>
      <c r="N177" s="224">
        <v>4.9945745208648154E-2</v>
      </c>
      <c r="O177" s="224">
        <v>6.0125784985443534E-2</v>
      </c>
      <c r="P177" s="224">
        <v>-27.156857320125081</v>
      </c>
      <c r="Q177" s="224">
        <v>-52.935421447141294</v>
      </c>
      <c r="R177" s="224">
        <v>224.46288268560232</v>
      </c>
      <c r="S177" s="224">
        <v>1570.9500623364245</v>
      </c>
      <c r="T177" s="224">
        <v>1880.7615421206801</v>
      </c>
      <c r="U177" s="224">
        <v>2264.1020494946765</v>
      </c>
      <c r="V177" s="224">
        <v>175</v>
      </c>
      <c r="W177" s="224">
        <v>295.60341964999998</v>
      </c>
      <c r="X177" s="224">
        <v>443.40512947499997</v>
      </c>
      <c r="Y177" s="224">
        <v>271.58550000000002</v>
      </c>
      <c r="Z177" s="224">
        <v>0</v>
      </c>
      <c r="AA177" s="224">
        <v>11.132848340260427</v>
      </c>
      <c r="AB177" s="224">
        <v>15.29847749310669</v>
      </c>
      <c r="AC177" s="224">
        <v>19.398823659405156</v>
      </c>
      <c r="AD177" s="1120">
        <v>7.1798969628866747</v>
      </c>
      <c r="AE177" s="224">
        <v>17383.606995885712</v>
      </c>
      <c r="AF177" s="224">
        <v>5110.832482759999</v>
      </c>
      <c r="AG177" s="224">
        <v>87326.108099999998</v>
      </c>
      <c r="AH177" s="224">
        <v>0</v>
      </c>
      <c r="AI177" s="224">
        <v>66000</v>
      </c>
      <c r="AJ177" s="224">
        <v>3197.9288654775046</v>
      </c>
      <c r="AK177" s="224">
        <v>2829.8971847014668</v>
      </c>
      <c r="AL177" s="224">
        <v>0</v>
      </c>
      <c r="AM177" s="224">
        <v>352.00000000000006</v>
      </c>
      <c r="AN177" s="1120">
        <v>182200.37362882466</v>
      </c>
      <c r="AO177" s="224">
        <f t="shared" si="11"/>
        <v>0.94602322382994819</v>
      </c>
      <c r="AP177" s="1123">
        <v>0.1</v>
      </c>
      <c r="AQ177" s="1123">
        <f t="shared" si="13"/>
        <v>0.13792129201534861</v>
      </c>
      <c r="AR177" s="1123">
        <v>20</v>
      </c>
      <c r="AS177" s="1123">
        <f t="shared" si="14"/>
        <v>0.33475111260918328</v>
      </c>
      <c r="AT177" s="224">
        <f t="shared" si="12"/>
        <v>25129.310936566748</v>
      </c>
    </row>
    <row r="178" spans="1:46">
      <c r="A178" s="1118">
        <v>2030</v>
      </c>
      <c r="D178" s="1107" t="s">
        <v>2006</v>
      </c>
      <c r="E178" s="224" t="s">
        <v>2060</v>
      </c>
      <c r="G178" s="224">
        <v>19777.551534303493</v>
      </c>
      <c r="H178" s="224">
        <v>7043.5</v>
      </c>
      <c r="I178" s="224">
        <v>258.49031250000002</v>
      </c>
      <c r="J178" s="224">
        <v>9.5338918321506608E-2</v>
      </c>
      <c r="K178" s="224">
        <v>0.11407672086662826</v>
      </c>
      <c r="L178" s="224">
        <v>0.12911587157488816</v>
      </c>
      <c r="M178" s="224">
        <v>3.9133252573242724E-2</v>
      </c>
      <c r="N178" s="224">
        <v>4.7016277568690895E-2</v>
      </c>
      <c r="O178" s="224">
        <v>5.6524164462443419E-2</v>
      </c>
      <c r="P178" s="224">
        <v>-42.034688657105107</v>
      </c>
      <c r="Q178" s="224">
        <v>-50.776778139309727</v>
      </c>
      <c r="R178" s="224">
        <v>157.40748617459889</v>
      </c>
      <c r="S178" s="224">
        <v>1473.6053321536206</v>
      </c>
      <c r="T178" s="224">
        <v>1770.4492411808865</v>
      </c>
      <c r="U178" s="224">
        <v>2128.479098216771</v>
      </c>
      <c r="V178" s="224">
        <v>170</v>
      </c>
      <c r="W178" s="224">
        <v>287.56546094999999</v>
      </c>
      <c r="X178" s="224">
        <v>431.34819142499998</v>
      </c>
      <c r="Y178" s="224">
        <v>257.80762499999997</v>
      </c>
      <c r="Z178" s="224">
        <v>0</v>
      </c>
      <c r="AA178" s="224">
        <v>10.217282453883607</v>
      </c>
      <c r="AB178" s="224">
        <v>14.035678030554454</v>
      </c>
      <c r="AC178" s="224">
        <v>17.919118854186291</v>
      </c>
      <c r="AD178" s="1120">
        <v>6.6641501394333371</v>
      </c>
      <c r="AE178" s="224">
        <v>17369.774255999997</v>
      </c>
      <c r="AF178" s="224">
        <v>3699.9210460214099</v>
      </c>
      <c r="AG178" s="224">
        <v>58631.747062499999</v>
      </c>
      <c r="AH178" s="224">
        <v>0</v>
      </c>
      <c r="AI178" s="224">
        <v>66000</v>
      </c>
      <c r="AJ178" s="224">
        <v>5082.4026577499999</v>
      </c>
      <c r="AK178" s="224">
        <v>3508.029060192428</v>
      </c>
      <c r="AL178" s="224">
        <v>0</v>
      </c>
      <c r="AM178" s="224">
        <v>296</v>
      </c>
      <c r="AN178" s="1120">
        <v>154587.87408246385</v>
      </c>
      <c r="AO178" s="224">
        <f t="shared" si="11"/>
        <v>0.87806842237173643</v>
      </c>
      <c r="AP178" s="1123">
        <v>0.1</v>
      </c>
      <c r="AQ178" s="1123">
        <f t="shared" si="13"/>
        <v>0.13792129201534861</v>
      </c>
      <c r="AR178" s="1123">
        <v>20</v>
      </c>
      <c r="AS178" s="1123">
        <f t="shared" si="14"/>
        <v>0.31070524901697871</v>
      </c>
      <c r="AT178" s="224">
        <f t="shared" si="12"/>
        <v>21320.959323359439</v>
      </c>
    </row>
    <row r="179" spans="1:46">
      <c r="A179" s="1118">
        <v>2035</v>
      </c>
      <c r="D179" s="1107" t="s">
        <v>2006</v>
      </c>
      <c r="E179" s="224" t="s">
        <v>2060</v>
      </c>
      <c r="G179" s="224">
        <v>19465.594620876189</v>
      </c>
      <c r="H179" s="224">
        <v>7133.7000000000007</v>
      </c>
      <c r="I179" s="224">
        <v>239.74743749999999</v>
      </c>
      <c r="J179" s="224">
        <v>8.8308525555869655E-2</v>
      </c>
      <c r="K179" s="224">
        <v>0.10712670483970141</v>
      </c>
      <c r="L179" s="224">
        <v>0.11946695709840469</v>
      </c>
      <c r="M179" s="224">
        <v>3.7272136092448185E-2</v>
      </c>
      <c r="N179" s="224">
        <v>4.5240549162070195E-2</v>
      </c>
      <c r="O179" s="224">
        <v>5.4399065929141059E-2</v>
      </c>
      <c r="P179" s="224">
        <v>-38.060981126421197</v>
      </c>
      <c r="Q179" s="224">
        <v>-58.648593441615176</v>
      </c>
      <c r="R179" s="224">
        <v>197.63645134433062</v>
      </c>
      <c r="S179" s="224">
        <v>1403.5229600143562</v>
      </c>
      <c r="T179" s="224">
        <v>1703.5822501594939</v>
      </c>
      <c r="U179" s="224">
        <v>2048.4561938040824</v>
      </c>
      <c r="V179" s="224">
        <v>160</v>
      </c>
      <c r="W179" s="224">
        <v>283.15475255000001</v>
      </c>
      <c r="X179" s="224">
        <v>424.73212882500002</v>
      </c>
      <c r="Y179" s="224">
        <v>239.06475</v>
      </c>
      <c r="Z179" s="224">
        <v>0</v>
      </c>
      <c r="AA179" s="224">
        <v>9.4930248789490186</v>
      </c>
      <c r="AB179" s="224">
        <v>13.27173941647168</v>
      </c>
      <c r="AC179" s="224">
        <v>16.765196624075237</v>
      </c>
      <c r="AD179" s="1120">
        <v>6.3241250987439521</v>
      </c>
      <c r="AE179" s="224">
        <v>16907.771699428566</v>
      </c>
      <c r="AF179" s="224">
        <v>2993.7781017312</v>
      </c>
      <c r="AG179" s="224">
        <v>40503.310672500003</v>
      </c>
      <c r="AH179" s="224">
        <v>0</v>
      </c>
      <c r="AI179" s="224">
        <v>66000</v>
      </c>
      <c r="AJ179" s="224">
        <v>7124.2188517500035</v>
      </c>
      <c r="AK179" s="224">
        <v>3935.8667708711309</v>
      </c>
      <c r="AL179" s="224">
        <v>0</v>
      </c>
      <c r="AM179" s="224">
        <v>240</v>
      </c>
      <c r="AN179" s="1120">
        <v>137704.94609628088</v>
      </c>
      <c r="AO179" s="224">
        <f t="shared" si="11"/>
        <v>0.83326672301050309</v>
      </c>
      <c r="AP179" s="1123">
        <v>0.1</v>
      </c>
      <c r="AQ179" s="1123">
        <f t="shared" si="13"/>
        <v>0.13792129201534861</v>
      </c>
      <c r="AR179" s="1123">
        <v>20</v>
      </c>
      <c r="AS179" s="1123">
        <f t="shared" si="14"/>
        <v>0.29485213005522809</v>
      </c>
      <c r="AT179" s="224">
        <f t="shared" si="12"/>
        <v>18992.444082502996</v>
      </c>
    </row>
    <row r="180" spans="1:46">
      <c r="A180" s="1118">
        <v>2050</v>
      </c>
      <c r="D180" s="1107" t="s">
        <v>2006</v>
      </c>
      <c r="E180" s="224" t="s">
        <v>2060</v>
      </c>
      <c r="G180" s="224">
        <v>19061.456711624814</v>
      </c>
      <c r="H180" s="224">
        <v>7269</v>
      </c>
      <c r="I180" s="224">
        <v>228.82443749999999</v>
      </c>
      <c r="J180" s="224">
        <v>7.9536628329220233E-2</v>
      </c>
      <c r="K180" s="224">
        <v>9.7337920317146595E-2</v>
      </c>
      <c r="L180" s="224">
        <v>0.10983229970123273</v>
      </c>
      <c r="M180" s="224">
        <v>3.4814357174466966E-2</v>
      </c>
      <c r="N180" s="224">
        <v>4.2659554786354983E-2</v>
      </c>
      <c r="O180" s="224">
        <v>5.1290514298042843E-2</v>
      </c>
      <c r="P180" s="224">
        <v>-35.2867312737784</v>
      </c>
      <c r="Q180" s="224">
        <v>-56.286502957404828</v>
      </c>
      <c r="R180" s="224">
        <v>150.81087351635719</v>
      </c>
      <c r="S180" s="224">
        <v>1310.9726126591693</v>
      </c>
      <c r="T180" s="224">
        <v>1606.3920902770774</v>
      </c>
      <c r="U180" s="224">
        <v>1931.4002897417336</v>
      </c>
      <c r="V180" s="224">
        <v>155</v>
      </c>
      <c r="W180" s="224">
        <v>276.80785404999995</v>
      </c>
      <c r="X180" s="224">
        <v>415.21178107500003</v>
      </c>
      <c r="Y180" s="224">
        <v>227.45906250000002</v>
      </c>
      <c r="Z180" s="224">
        <v>0</v>
      </c>
      <c r="AA180" s="224">
        <v>8.6233804781861565</v>
      </c>
      <c r="AB180" s="224">
        <v>12.198074412433025</v>
      </c>
      <c r="AC180" s="224">
        <v>15.491691903803796</v>
      </c>
      <c r="AD180" s="1120">
        <v>5.8448202265105103</v>
      </c>
      <c r="AE180" s="224">
        <v>17490.397985142859</v>
      </c>
      <c r="AF180" s="224">
        <v>1779.6565801319998</v>
      </c>
      <c r="AG180" s="224">
        <v>31964.967899999996</v>
      </c>
      <c r="AH180" s="224">
        <v>0</v>
      </c>
      <c r="AI180" s="224">
        <v>66000</v>
      </c>
      <c r="AJ180" s="224">
        <v>10196.430783</v>
      </c>
      <c r="AK180" s="224">
        <v>4842.5801991868502</v>
      </c>
      <c r="AL180" s="224">
        <v>0</v>
      </c>
      <c r="AM180" s="224">
        <v>240</v>
      </c>
      <c r="AN180" s="1120">
        <v>132514.0334474617</v>
      </c>
      <c r="AO180" s="224">
        <f t="shared" si="11"/>
        <v>0.77011351304502473</v>
      </c>
      <c r="AP180" s="1123">
        <v>0.1</v>
      </c>
      <c r="AQ180" s="1123">
        <f t="shared" si="13"/>
        <v>0.13792129201534861</v>
      </c>
      <c r="AR180" s="1123">
        <v>20</v>
      </c>
      <c r="AS180" s="1123">
        <f t="shared" si="14"/>
        <v>0.27250531364706626</v>
      </c>
      <c r="AT180" s="224">
        <f t="shared" si="12"/>
        <v>18276.506703239036</v>
      </c>
    </row>
    <row r="181" spans="1:46">
      <c r="A181" s="1118">
        <v>2017</v>
      </c>
      <c r="D181" s="1107" t="s">
        <v>2006</v>
      </c>
      <c r="E181" s="224" t="s">
        <v>2061</v>
      </c>
      <c r="G181" s="224">
        <v>21557.102694159999</v>
      </c>
      <c r="H181" s="224">
        <v>6818</v>
      </c>
      <c r="I181" s="224">
        <v>625.59</v>
      </c>
      <c r="J181" s="224">
        <v>0</v>
      </c>
      <c r="K181" s="224">
        <v>0</v>
      </c>
      <c r="L181" s="224">
        <v>0</v>
      </c>
      <c r="M181" s="224">
        <v>0</v>
      </c>
      <c r="N181" s="224">
        <v>0</v>
      </c>
      <c r="O181" s="224">
        <v>0</v>
      </c>
      <c r="P181" s="224">
        <v>0</v>
      </c>
      <c r="Q181" s="224">
        <v>0</v>
      </c>
      <c r="R181" s="224">
        <v>0</v>
      </c>
      <c r="S181" s="224">
        <v>1896.0745460713624</v>
      </c>
      <c r="T181" s="224">
        <v>2572.126009487029</v>
      </c>
      <c r="U181" s="224">
        <v>3119.4761552366012</v>
      </c>
      <c r="V181" s="224">
        <v>0</v>
      </c>
      <c r="W181" s="224">
        <v>307.41920959999999</v>
      </c>
      <c r="X181" s="224">
        <v>461.12881440000001</v>
      </c>
      <c r="Y181" s="224">
        <v>625.59</v>
      </c>
      <c r="Z181" s="224">
        <v>0</v>
      </c>
      <c r="AA181" s="224">
        <v>10.072109142477357</v>
      </c>
      <c r="AB181" s="224">
        <v>13.663351976026714</v>
      </c>
      <c r="AC181" s="224">
        <v>16.57092247137637</v>
      </c>
      <c r="AD181" s="1120">
        <v>6.9532161209092616</v>
      </c>
      <c r="AE181" s="224">
        <v>0</v>
      </c>
      <c r="AF181" s="224">
        <v>14029.709091839999</v>
      </c>
      <c r="AG181" s="224">
        <v>355948.19820000004</v>
      </c>
      <c r="AH181" s="224">
        <v>0</v>
      </c>
      <c r="AI181" s="224">
        <v>66000</v>
      </c>
      <c r="AJ181" s="224">
        <v>0</v>
      </c>
      <c r="AK181" s="224">
        <v>745.98720000000003</v>
      </c>
      <c r="AL181" s="224">
        <v>0</v>
      </c>
      <c r="AM181" s="224">
        <v>0</v>
      </c>
      <c r="AN181" s="1120">
        <v>436723.89449184004</v>
      </c>
      <c r="AO181" s="224">
        <f t="shared" si="11"/>
        <v>0.91615575609100419</v>
      </c>
      <c r="AP181" s="1123">
        <v>0.1</v>
      </c>
      <c r="AQ181" s="1123">
        <f t="shared" si="13"/>
        <v>0.13792129201534861</v>
      </c>
      <c r="AR181" s="1123">
        <v>20</v>
      </c>
      <c r="AS181" s="1123">
        <f t="shared" si="14"/>
        <v>0.32418248405485128</v>
      </c>
      <c r="AT181" s="224">
        <f t="shared" si="12"/>
        <v>60233.523782289369</v>
      </c>
    </row>
    <row r="182" spans="1:46">
      <c r="A182" s="1121">
        <v>2020</v>
      </c>
      <c r="D182" s="1107" t="s">
        <v>2006</v>
      </c>
      <c r="E182" s="224" t="s">
        <v>2061</v>
      </c>
      <c r="G182" s="224">
        <v>21048.047906506472</v>
      </c>
      <c r="H182" s="224">
        <v>6873.7332999999999</v>
      </c>
      <c r="I182" s="224">
        <v>589.84199999999998</v>
      </c>
      <c r="J182" s="224">
        <v>0</v>
      </c>
      <c r="K182" s="224">
        <v>0</v>
      </c>
      <c r="L182" s="224">
        <v>0</v>
      </c>
      <c r="M182" s="224">
        <v>0</v>
      </c>
      <c r="N182" s="224">
        <v>0</v>
      </c>
      <c r="O182" s="224">
        <v>0</v>
      </c>
      <c r="P182" s="224">
        <v>0</v>
      </c>
      <c r="Q182" s="224">
        <v>0</v>
      </c>
      <c r="R182" s="224">
        <v>0</v>
      </c>
      <c r="S182" s="224">
        <v>1767.1124528685141</v>
      </c>
      <c r="T182" s="224">
        <v>2397.2389648208778</v>
      </c>
      <c r="U182" s="224">
        <v>2901.6882594579884</v>
      </c>
      <c r="V182" s="224">
        <v>0</v>
      </c>
      <c r="W182" s="224">
        <v>298.50401740000001</v>
      </c>
      <c r="X182" s="224">
        <v>447.75602610000004</v>
      </c>
      <c r="Y182" s="224">
        <v>589.84199999999998</v>
      </c>
      <c r="Z182" s="224">
        <v>0</v>
      </c>
      <c r="AA182" s="224">
        <v>9.3870515424622276</v>
      </c>
      <c r="AB182" s="224">
        <v>12.734337130522592</v>
      </c>
      <c r="AC182" s="224">
        <v>15.41401465847537</v>
      </c>
      <c r="AD182" s="1120">
        <v>6.4277677634517305</v>
      </c>
      <c r="AE182" s="224">
        <v>0</v>
      </c>
      <c r="AF182" s="224">
        <v>10438.54167681</v>
      </c>
      <c r="AG182" s="224">
        <v>312462.90107999998</v>
      </c>
      <c r="AH182" s="224">
        <v>0</v>
      </c>
      <c r="AI182" s="224">
        <v>66000</v>
      </c>
      <c r="AJ182" s="224">
        <v>1420.2532079296063</v>
      </c>
      <c r="AK182" s="224">
        <v>1214.2458237810094</v>
      </c>
      <c r="AL182" s="224">
        <v>0</v>
      </c>
      <c r="AM182" s="224">
        <v>0</v>
      </c>
      <c r="AN182" s="1120">
        <v>391535.94178852061</v>
      </c>
      <c r="AO182" s="224">
        <f t="shared" si="11"/>
        <v>0.84692268051239994</v>
      </c>
      <c r="AP182" s="1123">
        <v>0.1</v>
      </c>
      <c r="AQ182" s="1123">
        <f t="shared" si="13"/>
        <v>0.13792129201534861</v>
      </c>
      <c r="AR182" s="1123">
        <v>20</v>
      </c>
      <c r="AS182" s="1123">
        <f t="shared" si="14"/>
        <v>0.29968430209112878</v>
      </c>
      <c r="AT182" s="224">
        <f t="shared" si="12"/>
        <v>54001.142961919089</v>
      </c>
    </row>
    <row r="183" spans="1:46">
      <c r="A183" s="1118">
        <v>2025</v>
      </c>
      <c r="D183" s="1107" t="s">
        <v>2006</v>
      </c>
      <c r="E183" s="224" t="s">
        <v>2061</v>
      </c>
      <c r="G183" s="224">
        <v>19960.276358228042</v>
      </c>
      <c r="H183" s="224">
        <v>6953.2999999999993</v>
      </c>
      <c r="I183" s="224">
        <v>520.14581250000003</v>
      </c>
      <c r="J183" s="224">
        <v>0</v>
      </c>
      <c r="K183" s="224">
        <v>0</v>
      </c>
      <c r="L183" s="224">
        <v>0</v>
      </c>
      <c r="M183" s="224">
        <v>0</v>
      </c>
      <c r="N183" s="224">
        <v>0</v>
      </c>
      <c r="O183" s="224">
        <v>0</v>
      </c>
      <c r="P183" s="224">
        <v>0</v>
      </c>
      <c r="Q183" s="224">
        <v>0</v>
      </c>
      <c r="R183" s="224">
        <v>0</v>
      </c>
      <c r="S183" s="224">
        <v>1551.1638914094738</v>
      </c>
      <c r="T183" s="224">
        <v>2075.0177327809529</v>
      </c>
      <c r="U183" s="224">
        <v>2498.7971249475668</v>
      </c>
      <c r="V183" s="224">
        <v>0</v>
      </c>
      <c r="W183" s="224">
        <v>279.94560230000002</v>
      </c>
      <c r="X183" s="224">
        <v>419.91840345000003</v>
      </c>
      <c r="Y183" s="224">
        <v>520.14581250000003</v>
      </c>
      <c r="Z183" s="224">
        <v>0</v>
      </c>
      <c r="AA183" s="224">
        <v>8.2399144297980023</v>
      </c>
      <c r="AB183" s="224">
        <v>11.022670559261369</v>
      </c>
      <c r="AC183" s="224">
        <v>13.273822708884815</v>
      </c>
      <c r="AD183" s="1120">
        <v>5.5690096494678469</v>
      </c>
      <c r="AE183" s="224">
        <v>0</v>
      </c>
      <c r="AF183" s="224">
        <v>4858.4300010200004</v>
      </c>
      <c r="AG183" s="224">
        <v>167166.13814999998</v>
      </c>
      <c r="AH183" s="224">
        <v>0</v>
      </c>
      <c r="AI183" s="224">
        <v>66000</v>
      </c>
      <c r="AJ183" s="224">
        <v>3197.9288654775046</v>
      </c>
      <c r="AK183" s="224">
        <v>2829.8971847014668</v>
      </c>
      <c r="AL183" s="224">
        <v>0</v>
      </c>
      <c r="AM183" s="224">
        <v>0</v>
      </c>
      <c r="AN183" s="1120">
        <v>244052.39420119894</v>
      </c>
      <c r="AO183" s="224">
        <f t="shared" si="11"/>
        <v>0.73377271141388345</v>
      </c>
      <c r="AP183" s="1123">
        <v>0.1</v>
      </c>
      <c r="AQ183" s="1123">
        <f t="shared" si="13"/>
        <v>0.13792129201534861</v>
      </c>
      <c r="AR183" s="1123">
        <v>20</v>
      </c>
      <c r="AS183" s="1123">
        <f t="shared" si="14"/>
        <v>0.25964609045602871</v>
      </c>
      <c r="AT183" s="224">
        <f t="shared" si="12"/>
        <v>33660.021527668534</v>
      </c>
    </row>
    <row r="184" spans="1:46">
      <c r="A184" s="1118">
        <v>2030</v>
      </c>
      <c r="D184" s="1107" t="s">
        <v>2006</v>
      </c>
      <c r="E184" s="224" t="s">
        <v>2061</v>
      </c>
      <c r="G184" s="224">
        <v>19328.480411014512</v>
      </c>
      <c r="H184" s="224">
        <v>7043.5</v>
      </c>
      <c r="I184" s="224">
        <v>494.94843749999995</v>
      </c>
      <c r="J184" s="224">
        <v>0</v>
      </c>
      <c r="K184" s="224">
        <v>0</v>
      </c>
      <c r="L184" s="224">
        <v>0</v>
      </c>
      <c r="M184" s="224">
        <v>0</v>
      </c>
      <c r="N184" s="224">
        <v>0</v>
      </c>
      <c r="O184" s="224">
        <v>0</v>
      </c>
      <c r="P184" s="224">
        <v>0</v>
      </c>
      <c r="Q184" s="224">
        <v>0</v>
      </c>
      <c r="R184" s="224">
        <v>0</v>
      </c>
      <c r="S184" s="224">
        <v>1443.3868076820445</v>
      </c>
      <c r="T184" s="224">
        <v>1947.8869517511803</v>
      </c>
      <c r="U184" s="224">
        <v>2344.6235409211113</v>
      </c>
      <c r="V184" s="224">
        <v>0</v>
      </c>
      <c r="W184" s="224">
        <v>270.22816384999999</v>
      </c>
      <c r="X184" s="224">
        <v>405.34224577500004</v>
      </c>
      <c r="Y184" s="224">
        <v>494.94843749999995</v>
      </c>
      <c r="Z184" s="224">
        <v>0</v>
      </c>
      <c r="AA184" s="224">
        <v>7.6673934007014317</v>
      </c>
      <c r="AB184" s="224">
        <v>10.347341045158991</v>
      </c>
      <c r="AC184" s="224">
        <v>12.454839526805372</v>
      </c>
      <c r="AD184" s="1120">
        <v>5.1228741011479508</v>
      </c>
      <c r="AE184" s="224">
        <v>0</v>
      </c>
      <c r="AF184" s="224">
        <v>3493.5508413023408</v>
      </c>
      <c r="AG184" s="224">
        <v>112495.66048125</v>
      </c>
      <c r="AH184" s="224">
        <v>0</v>
      </c>
      <c r="AI184" s="224">
        <v>66000</v>
      </c>
      <c r="AJ184" s="224">
        <v>5082.4026577499999</v>
      </c>
      <c r="AK184" s="224">
        <v>3508.029060192428</v>
      </c>
      <c r="AL184" s="224">
        <v>0</v>
      </c>
      <c r="AM184" s="224">
        <v>0</v>
      </c>
      <c r="AN184" s="1120">
        <v>190579.64304049476</v>
      </c>
      <c r="AO184" s="224">
        <f t="shared" si="11"/>
        <v>0.67498989156725397</v>
      </c>
      <c r="AP184" s="1123">
        <v>0.1</v>
      </c>
      <c r="AQ184" s="1123">
        <f t="shared" si="13"/>
        <v>0.13792129201534861</v>
      </c>
      <c r="AR184" s="1123">
        <v>20</v>
      </c>
      <c r="AS184" s="1123">
        <f t="shared" si="14"/>
        <v>0.23884574026346145</v>
      </c>
      <c r="AT184" s="224">
        <f t="shared" si="12"/>
        <v>26284.99059996898</v>
      </c>
    </row>
    <row r="185" spans="1:46">
      <c r="A185" s="1118">
        <v>2035</v>
      </c>
      <c r="D185" s="1107" t="s">
        <v>2006</v>
      </c>
      <c r="E185" s="224" t="s">
        <v>2061</v>
      </c>
      <c r="G185" s="224">
        <v>18984.288476120004</v>
      </c>
      <c r="H185" s="224">
        <v>7133.7000000000007</v>
      </c>
      <c r="I185" s="224">
        <v>458.76600000000002</v>
      </c>
      <c r="J185" s="224">
        <v>0</v>
      </c>
      <c r="K185" s="224">
        <v>0</v>
      </c>
      <c r="L185" s="224">
        <v>0</v>
      </c>
      <c r="M185" s="224">
        <v>0</v>
      </c>
      <c r="N185" s="224">
        <v>0</v>
      </c>
      <c r="O185" s="224">
        <v>0</v>
      </c>
      <c r="P185" s="224">
        <v>0</v>
      </c>
      <c r="Q185" s="224">
        <v>0</v>
      </c>
      <c r="R185" s="224">
        <v>0</v>
      </c>
      <c r="S185" s="224">
        <v>1371.6439903096771</v>
      </c>
      <c r="T185" s="224">
        <v>1874.6624470550896</v>
      </c>
      <c r="U185" s="224">
        <v>2257.5537767339065</v>
      </c>
      <c r="V185" s="224">
        <v>0</v>
      </c>
      <c r="W185" s="224">
        <v>264.96900599999998</v>
      </c>
      <c r="X185" s="224">
        <v>397.453509</v>
      </c>
      <c r="Y185" s="224">
        <v>458.76600000000002</v>
      </c>
      <c r="Z185" s="224">
        <v>0</v>
      </c>
      <c r="AA185" s="224">
        <v>7.2862894571563199</v>
      </c>
      <c r="AB185" s="224">
        <v>9.9583662526166776</v>
      </c>
      <c r="AC185" s="224">
        <v>11.992317539091136</v>
      </c>
      <c r="AD185" s="1120">
        <v>4.8156706385010022</v>
      </c>
      <c r="AE185" s="224">
        <v>0</v>
      </c>
      <c r="AF185" s="224">
        <v>2813.7681087743995</v>
      </c>
      <c r="AG185" s="224">
        <v>77740.818119999996</v>
      </c>
      <c r="AH185" s="224">
        <v>0</v>
      </c>
      <c r="AI185" s="224">
        <v>66000</v>
      </c>
      <c r="AJ185" s="224">
        <v>7124.2188517500035</v>
      </c>
      <c r="AK185" s="224">
        <v>3935.8667708711309</v>
      </c>
      <c r="AL185" s="224">
        <v>0</v>
      </c>
      <c r="AM185" s="224">
        <v>0</v>
      </c>
      <c r="AN185" s="1120">
        <v>157614.67185139551</v>
      </c>
      <c r="AO185" s="224">
        <f t="shared" si="11"/>
        <v>0.63451276332889195</v>
      </c>
      <c r="AP185" s="1123">
        <v>0.1</v>
      </c>
      <c r="AQ185" s="1123">
        <f t="shared" si="13"/>
        <v>0.13792129201534861</v>
      </c>
      <c r="AR185" s="1123">
        <v>20</v>
      </c>
      <c r="AS185" s="1123">
        <f t="shared" si="14"/>
        <v>0.22452287442708119</v>
      </c>
      <c r="AT185" s="224">
        <f t="shared" si="12"/>
        <v>21738.419182319667</v>
      </c>
    </row>
    <row r="186" spans="1:46">
      <c r="A186" s="1118">
        <v>2050</v>
      </c>
      <c r="D186" s="1107" t="s">
        <v>2006</v>
      </c>
      <c r="E186" s="224" t="s">
        <v>2061</v>
      </c>
      <c r="G186" s="224">
        <v>18506.068513950715</v>
      </c>
      <c r="H186" s="224">
        <v>7269</v>
      </c>
      <c r="I186" s="224">
        <v>436.54762499999998</v>
      </c>
      <c r="J186" s="224">
        <v>0</v>
      </c>
      <c r="K186" s="224">
        <v>0</v>
      </c>
      <c r="L186" s="224">
        <v>0</v>
      </c>
      <c r="M186" s="224">
        <v>0</v>
      </c>
      <c r="N186" s="224">
        <v>0</v>
      </c>
      <c r="O186" s="224">
        <v>0</v>
      </c>
      <c r="P186" s="224">
        <v>0</v>
      </c>
      <c r="Q186" s="224">
        <v>0</v>
      </c>
      <c r="R186" s="224">
        <v>0</v>
      </c>
      <c r="S186" s="224">
        <v>1276.4702971527481</v>
      </c>
      <c r="T186" s="224">
        <v>1767.7825760397509</v>
      </c>
      <c r="U186" s="224">
        <v>2129.6935555471237</v>
      </c>
      <c r="V186" s="224">
        <v>0</v>
      </c>
      <c r="W186" s="224">
        <v>257.35262130000001</v>
      </c>
      <c r="X186" s="224">
        <v>386.02893195000001</v>
      </c>
      <c r="Y186" s="224">
        <v>436.54762499999998</v>
      </c>
      <c r="Z186" s="224">
        <v>0</v>
      </c>
      <c r="AA186" s="224">
        <v>6.7807187099747583</v>
      </c>
      <c r="AB186" s="224">
        <v>9.3906112937038557</v>
      </c>
      <c r="AC186" s="224">
        <v>11.313113176877151</v>
      </c>
      <c r="AD186" s="1120">
        <v>4.4068989916320103</v>
      </c>
      <c r="AE186" s="224">
        <v>0</v>
      </c>
      <c r="AF186" s="224">
        <v>1660.6092705239998</v>
      </c>
      <c r="AG186" s="224">
        <v>61369.098029999994</v>
      </c>
      <c r="AH186" s="224">
        <v>0</v>
      </c>
      <c r="AI186" s="224">
        <v>66000</v>
      </c>
      <c r="AJ186" s="224">
        <v>10196.430783</v>
      </c>
      <c r="AK186" s="224">
        <v>4842.5801991868502</v>
      </c>
      <c r="AL186" s="224">
        <v>0</v>
      </c>
      <c r="AM186" s="224">
        <v>0</v>
      </c>
      <c r="AN186" s="1120">
        <v>144068.71828271082</v>
      </c>
      <c r="AO186" s="224">
        <f t="shared" si="11"/>
        <v>0.58065301113743362</v>
      </c>
      <c r="AP186" s="1123">
        <v>0.1</v>
      </c>
      <c r="AQ186" s="1123">
        <f t="shared" si="13"/>
        <v>0.13792129201534861</v>
      </c>
      <c r="AR186" s="1123">
        <v>20</v>
      </c>
      <c r="AS186" s="1123">
        <f t="shared" si="14"/>
        <v>0.20546455586070053</v>
      </c>
      <c r="AT186" s="224">
        <f t="shared" si="12"/>
        <v>19870.143764546752</v>
      </c>
    </row>
    <row r="187" spans="1:46">
      <c r="A187" s="1118">
        <v>2017</v>
      </c>
      <c r="D187" s="1107" t="s">
        <v>2006</v>
      </c>
      <c r="E187" s="224" t="s">
        <v>2062</v>
      </c>
      <c r="G187" s="224">
        <v>19606.978433003693</v>
      </c>
      <c r="H187" s="224">
        <v>6818</v>
      </c>
      <c r="I187" s="224">
        <v>6.6528000000000009</v>
      </c>
      <c r="J187" s="224">
        <v>9.4657873641763493E-2</v>
      </c>
      <c r="K187" s="224">
        <v>0.12316018085685555</v>
      </c>
      <c r="L187" s="224">
        <v>0.15649256157745464</v>
      </c>
      <c r="M187" s="224">
        <v>0</v>
      </c>
      <c r="N187" s="224">
        <v>0</v>
      </c>
      <c r="O187" s="224">
        <v>0</v>
      </c>
      <c r="P187" s="224">
        <v>0</v>
      </c>
      <c r="Q187" s="224">
        <v>0</v>
      </c>
      <c r="R187" s="224">
        <v>0</v>
      </c>
      <c r="S187" s="224">
        <v>0</v>
      </c>
      <c r="T187" s="224">
        <v>0</v>
      </c>
      <c r="U187" s="224">
        <v>0</v>
      </c>
      <c r="V187" s="224">
        <v>0</v>
      </c>
      <c r="W187" s="224">
        <v>305.79246330000001</v>
      </c>
      <c r="X187" s="224">
        <v>207.08612440191385</v>
      </c>
      <c r="Y187" s="224">
        <v>6.6528000000000009</v>
      </c>
      <c r="Z187" s="224">
        <v>198.96140359999998</v>
      </c>
      <c r="AA187" s="224">
        <v>18.9315747283527</v>
      </c>
      <c r="AB187" s="224">
        <v>24.632036171371112</v>
      </c>
      <c r="AC187" s="224">
        <v>31.298512315490928</v>
      </c>
      <c r="AD187" s="1120">
        <v>12.583208593833213</v>
      </c>
      <c r="AE187" s="224">
        <v>0</v>
      </c>
      <c r="AF187" s="224">
        <v>13959.921675569998</v>
      </c>
      <c r="AG187" s="224">
        <v>9028.9550239234432</v>
      </c>
      <c r="AH187" s="224">
        <v>0</v>
      </c>
      <c r="AI187" s="224">
        <v>66000</v>
      </c>
      <c r="AJ187" s="224">
        <v>0</v>
      </c>
      <c r="AK187" s="224">
        <v>745.98720000000003</v>
      </c>
      <c r="AL187" s="224">
        <v>95422.96</v>
      </c>
      <c r="AM187" s="224">
        <v>29542.285695999999</v>
      </c>
      <c r="AN187" s="1120">
        <v>214700.10959549344</v>
      </c>
      <c r="AO187" s="224">
        <f t="shared" si="11"/>
        <v>1.657963564323464</v>
      </c>
      <c r="AP187" s="1123">
        <v>0.1</v>
      </c>
      <c r="AQ187" s="1123">
        <f t="shared" si="13"/>
        <v>0.13792129201534861</v>
      </c>
      <c r="AR187" s="1123">
        <v>20</v>
      </c>
      <c r="AS187" s="1123">
        <f t="shared" si="14"/>
        <v>0.58667180027129162</v>
      </c>
      <c r="AT187" s="224">
        <f t="shared" si="12"/>
        <v>29611.716511247403</v>
      </c>
    </row>
    <row r="188" spans="1:46">
      <c r="A188" s="1121">
        <v>2020</v>
      </c>
      <c r="D188" s="1107" t="s">
        <v>2006</v>
      </c>
      <c r="E188" s="224" t="s">
        <v>2062</v>
      </c>
      <c r="G188" s="224">
        <v>19460.294094325123</v>
      </c>
      <c r="H188" s="224">
        <v>6873.7332999999999</v>
      </c>
      <c r="I188" s="224">
        <v>6.7003199999999996</v>
      </c>
      <c r="J188" s="224">
        <v>8.8491829313362427E-2</v>
      </c>
      <c r="K188" s="224">
        <v>0.11300521430044612</v>
      </c>
      <c r="L188" s="224">
        <v>0.14641634791690061</v>
      </c>
      <c r="M188" s="224">
        <v>0</v>
      </c>
      <c r="N188" s="224">
        <v>0</v>
      </c>
      <c r="O188" s="224">
        <v>0</v>
      </c>
      <c r="P188" s="224">
        <v>0</v>
      </c>
      <c r="Q188" s="224">
        <v>0</v>
      </c>
      <c r="R188" s="224">
        <v>0</v>
      </c>
      <c r="S188" s="224">
        <v>0</v>
      </c>
      <c r="T188" s="224">
        <v>0</v>
      </c>
      <c r="U188" s="224">
        <v>0</v>
      </c>
      <c r="V188" s="224">
        <v>0</v>
      </c>
      <c r="W188" s="224">
        <v>298.94341989999998</v>
      </c>
      <c r="X188" s="224">
        <v>208.56531100478466</v>
      </c>
      <c r="Y188" s="224">
        <v>6.7003200000000005</v>
      </c>
      <c r="Z188" s="224">
        <v>194.35906219999998</v>
      </c>
      <c r="AA188" s="224">
        <v>17.698365862672485</v>
      </c>
      <c r="AB188" s="224">
        <v>22.601042860089223</v>
      </c>
      <c r="AC188" s="224">
        <v>29.283269583380122</v>
      </c>
      <c r="AD188" s="1120">
        <v>11.604297333809688</v>
      </c>
      <c r="AE188" s="224">
        <v>0</v>
      </c>
      <c r="AF188" s="224">
        <v>10453.107869684998</v>
      </c>
      <c r="AG188" s="224">
        <v>9093.4475598086101</v>
      </c>
      <c r="AH188" s="224">
        <v>0</v>
      </c>
      <c r="AI188" s="224">
        <v>66000</v>
      </c>
      <c r="AJ188" s="224">
        <v>1420.2532079296063</v>
      </c>
      <c r="AK188" s="224">
        <v>1214.2458237810094</v>
      </c>
      <c r="AL188" s="224">
        <v>88815.380000000019</v>
      </c>
      <c r="AM188" s="224">
        <v>27893.557464615387</v>
      </c>
      <c r="AN188" s="1120">
        <v>204889.99192581963</v>
      </c>
      <c r="AO188" s="224">
        <f t="shared" si="11"/>
        <v>1.5289822167027645</v>
      </c>
      <c r="AP188" s="1123">
        <v>0.1</v>
      </c>
      <c r="AQ188" s="1123">
        <f t="shared" si="13"/>
        <v>0.13792129201534861</v>
      </c>
      <c r="AR188" s="1123">
        <v>20</v>
      </c>
      <c r="AS188" s="1123">
        <f t="shared" si="14"/>
        <v>0.54103164204445486</v>
      </c>
      <c r="AT188" s="224">
        <f t="shared" si="12"/>
        <v>28258.69240742339</v>
      </c>
    </row>
    <row r="189" spans="1:46">
      <c r="A189" s="1118">
        <v>2025</v>
      </c>
      <c r="D189" s="1107" t="s">
        <v>2006</v>
      </c>
      <c r="E189" s="224" t="s">
        <v>2062</v>
      </c>
      <c r="G189" s="224">
        <v>18850.552920461443</v>
      </c>
      <c r="H189" s="224">
        <v>6953.2999999999993</v>
      </c>
      <c r="I189" s="224">
        <v>6.6765600000000003</v>
      </c>
      <c r="J189" s="224">
        <v>7.8087984536286431E-2</v>
      </c>
      <c r="K189" s="224">
        <v>9.5598029759206032E-2</v>
      </c>
      <c r="L189" s="224">
        <v>0.12573737143357708</v>
      </c>
      <c r="M189" s="224">
        <v>0</v>
      </c>
      <c r="N189" s="224">
        <v>0</v>
      </c>
      <c r="O189" s="224">
        <v>0</v>
      </c>
      <c r="P189" s="224">
        <v>0</v>
      </c>
      <c r="Q189" s="224">
        <v>0</v>
      </c>
      <c r="R189" s="224">
        <v>0</v>
      </c>
      <c r="S189" s="224">
        <v>0</v>
      </c>
      <c r="T189" s="224">
        <v>0</v>
      </c>
      <c r="U189" s="224">
        <v>0</v>
      </c>
      <c r="V189" s="224">
        <v>0</v>
      </c>
      <c r="W189" s="224">
        <v>284.51656609999998</v>
      </c>
      <c r="X189" s="224">
        <v>188.73467059256532</v>
      </c>
      <c r="Y189" s="224">
        <v>6.6765600000000003</v>
      </c>
      <c r="Z189" s="224">
        <v>184.77359974999999</v>
      </c>
      <c r="AA189" s="224">
        <v>15.617596907257287</v>
      </c>
      <c r="AB189" s="224">
        <v>19.119605951841205</v>
      </c>
      <c r="AC189" s="224">
        <v>25.147474286715415</v>
      </c>
      <c r="AD189" s="1120">
        <v>10.018771362154025</v>
      </c>
      <c r="AE189" s="224">
        <v>0</v>
      </c>
      <c r="AF189" s="224">
        <v>4922.9781415774996</v>
      </c>
      <c r="AG189" s="224">
        <v>6043.7114817813763</v>
      </c>
      <c r="AH189" s="224">
        <v>0</v>
      </c>
      <c r="AI189" s="224">
        <v>66000</v>
      </c>
      <c r="AJ189" s="224">
        <v>3197.9288654775046</v>
      </c>
      <c r="AK189" s="224">
        <v>2829.8971847014668</v>
      </c>
      <c r="AL189" s="224">
        <v>53180.160000000003</v>
      </c>
      <c r="AM189" s="224">
        <v>17372.183840000002</v>
      </c>
      <c r="AN189" s="1120">
        <v>153546.85951353784</v>
      </c>
      <c r="AO189" s="224">
        <f t="shared" si="11"/>
        <v>1.3200733146774142</v>
      </c>
      <c r="AP189" s="1123">
        <v>0.1</v>
      </c>
      <c r="AQ189" s="1123">
        <f t="shared" si="13"/>
        <v>0.13792129201534861</v>
      </c>
      <c r="AR189" s="1123">
        <v>20</v>
      </c>
      <c r="AS189" s="1123">
        <f t="shared" si="14"/>
        <v>0.46710905153570487</v>
      </c>
      <c r="AT189" s="224">
        <f t="shared" si="12"/>
        <v>21177.381249006361</v>
      </c>
    </row>
    <row r="190" spans="1:46">
      <c r="A190" s="1118">
        <v>2030</v>
      </c>
      <c r="D190" s="1107" t="s">
        <v>2006</v>
      </c>
      <c r="E190" s="224" t="s">
        <v>2062</v>
      </c>
      <c r="G190" s="224">
        <v>18465.928973242753</v>
      </c>
      <c r="H190" s="224">
        <v>7043.5</v>
      </c>
      <c r="I190" s="224">
        <v>6.6528000000000009</v>
      </c>
      <c r="J190" s="224">
        <v>7.2212141542293759E-2</v>
      </c>
      <c r="K190" s="224">
        <v>8.8007012750989266E-2</v>
      </c>
      <c r="L190" s="224">
        <v>0.11614075246722463</v>
      </c>
      <c r="M190" s="224">
        <v>0</v>
      </c>
      <c r="N190" s="224">
        <v>0</v>
      </c>
      <c r="O190" s="224">
        <v>0</v>
      </c>
      <c r="P190" s="224">
        <v>0</v>
      </c>
      <c r="Q190" s="224">
        <v>0</v>
      </c>
      <c r="R190" s="224">
        <v>0</v>
      </c>
      <c r="S190" s="224">
        <v>0</v>
      </c>
      <c r="T190" s="224">
        <v>0</v>
      </c>
      <c r="U190" s="224">
        <v>0</v>
      </c>
      <c r="V190" s="224">
        <v>0</v>
      </c>
      <c r="W190" s="224">
        <v>277.27313500000002</v>
      </c>
      <c r="X190" s="224">
        <v>147.44985800225973</v>
      </c>
      <c r="Y190" s="224">
        <v>6.6528000000000009</v>
      </c>
      <c r="Z190" s="224">
        <v>179.91648594999998</v>
      </c>
      <c r="AA190" s="224">
        <v>14.442428308458751</v>
      </c>
      <c r="AB190" s="224">
        <v>17.601402550197854</v>
      </c>
      <c r="AC190" s="224">
        <v>23.228150493444929</v>
      </c>
      <c r="AD190" s="1120">
        <v>9.1161890039719342</v>
      </c>
      <c r="AE190" s="224">
        <v>0</v>
      </c>
      <c r="AF190" s="224">
        <v>3561.3534865881002</v>
      </c>
      <c r="AG190" s="224">
        <v>3774.1443301676486</v>
      </c>
      <c r="AH190" s="224">
        <v>0</v>
      </c>
      <c r="AI190" s="224">
        <v>66000</v>
      </c>
      <c r="AJ190" s="224">
        <v>5082.4026577499999</v>
      </c>
      <c r="AK190" s="224">
        <v>3508.029060192428</v>
      </c>
      <c r="AL190" s="224">
        <v>34077</v>
      </c>
      <c r="AM190" s="224">
        <v>12297.904600000002</v>
      </c>
      <c r="AN190" s="1120">
        <v>128300.83413469818</v>
      </c>
      <c r="AO190" s="224">
        <f t="shared" si="11"/>
        <v>1.2011490631633419</v>
      </c>
      <c r="AP190" s="1123">
        <v>0.1</v>
      </c>
      <c r="AQ190" s="1123">
        <f t="shared" si="13"/>
        <v>0.13792129201534861</v>
      </c>
      <c r="AR190" s="1123">
        <v>20</v>
      </c>
      <c r="AS190" s="1123">
        <f t="shared" si="14"/>
        <v>0.42502760521625799</v>
      </c>
      <c r="AT190" s="224">
        <f t="shared" si="12"/>
        <v>17695.416810504514</v>
      </c>
    </row>
    <row r="191" spans="1:46">
      <c r="A191" s="1118">
        <v>2035</v>
      </c>
      <c r="D191" s="1107" t="s">
        <v>2006</v>
      </c>
      <c r="E191" s="224" t="s">
        <v>2062</v>
      </c>
      <c r="G191" s="224">
        <v>18176.405880584774</v>
      </c>
      <c r="H191" s="224">
        <v>7133.7000000000007</v>
      </c>
      <c r="I191" s="224">
        <v>6.6528000000000009</v>
      </c>
      <c r="J191" s="224">
        <v>6.6717317489780867E-2</v>
      </c>
      <c r="K191" s="224">
        <v>8.1474665309264407E-2</v>
      </c>
      <c r="L191" s="224">
        <v>0.10751723488398779</v>
      </c>
      <c r="M191" s="224">
        <v>0</v>
      </c>
      <c r="N191" s="224">
        <v>0</v>
      </c>
      <c r="O191" s="224">
        <v>0</v>
      </c>
      <c r="P191" s="224">
        <v>0</v>
      </c>
      <c r="Q191" s="224">
        <v>0</v>
      </c>
      <c r="R191" s="224">
        <v>0</v>
      </c>
      <c r="S191" s="224">
        <v>0</v>
      </c>
      <c r="T191" s="224">
        <v>0</v>
      </c>
      <c r="U191" s="224">
        <v>0</v>
      </c>
      <c r="V191" s="224">
        <v>0</v>
      </c>
      <c r="W191" s="224">
        <v>274.08423310000001</v>
      </c>
      <c r="X191" s="224">
        <v>125.72489082969429</v>
      </c>
      <c r="Y191" s="224">
        <v>6.6528000000000009</v>
      </c>
      <c r="Z191" s="224">
        <v>177.76752440000001</v>
      </c>
      <c r="AA191" s="224">
        <v>13.343463497956174</v>
      </c>
      <c r="AB191" s="224">
        <v>16.29493306185288</v>
      </c>
      <c r="AC191" s="224">
        <v>21.503446976797555</v>
      </c>
      <c r="AD191" s="1120">
        <v>8.2880594513037753</v>
      </c>
      <c r="AE191" s="224">
        <v>0</v>
      </c>
      <c r="AF191" s="224">
        <v>2901.0652419648</v>
      </c>
      <c r="AG191" s="224">
        <v>2413.9179039301303</v>
      </c>
      <c r="AH191" s="224">
        <v>0</v>
      </c>
      <c r="AI191" s="224">
        <v>66000</v>
      </c>
      <c r="AJ191" s="224">
        <v>7124.2188517500035</v>
      </c>
      <c r="AK191" s="224">
        <v>3935.8667708711309</v>
      </c>
      <c r="AL191" s="224">
        <v>26508.6</v>
      </c>
      <c r="AM191" s="224">
        <v>8996.9115299999994</v>
      </c>
      <c r="AN191" s="1120">
        <v>117880.58029851606</v>
      </c>
      <c r="AO191" s="224">
        <f t="shared" si="11"/>
        <v>1.0920347133037853</v>
      </c>
      <c r="AP191" s="1123">
        <v>0.1</v>
      </c>
      <c r="AQ191" s="1123">
        <f t="shared" si="13"/>
        <v>0.13792129201534861</v>
      </c>
      <c r="AR191" s="1123">
        <v>20</v>
      </c>
      <c r="AS191" s="1123">
        <f t="shared" si="14"/>
        <v>0.38641740083962633</v>
      </c>
      <c r="AT191" s="224">
        <f t="shared" si="12"/>
        <v>16258.241938290383</v>
      </c>
    </row>
    <row r="192" spans="1:46">
      <c r="A192" s="1118">
        <v>2050</v>
      </c>
      <c r="D192" s="1107" t="s">
        <v>2006</v>
      </c>
      <c r="E192" s="224" t="s">
        <v>2062</v>
      </c>
      <c r="G192" s="224">
        <v>17776.715214781463</v>
      </c>
      <c r="H192" s="224">
        <v>7269</v>
      </c>
      <c r="I192" s="224">
        <v>6.6290400000000007</v>
      </c>
      <c r="J192" s="224">
        <v>6.0643449174750085E-2</v>
      </c>
      <c r="K192" s="224">
        <v>7.3935172392706056E-2</v>
      </c>
      <c r="L192" s="224">
        <v>9.7049659858491247E-2</v>
      </c>
      <c r="M192" s="224">
        <v>0</v>
      </c>
      <c r="N192" s="224">
        <v>0</v>
      </c>
      <c r="O192" s="224">
        <v>0</v>
      </c>
      <c r="P192" s="224">
        <v>0</v>
      </c>
      <c r="Q192" s="224">
        <v>0</v>
      </c>
      <c r="R192" s="224">
        <v>0</v>
      </c>
      <c r="S192" s="224">
        <v>0</v>
      </c>
      <c r="T192" s="224">
        <v>0</v>
      </c>
      <c r="U192" s="224">
        <v>0</v>
      </c>
      <c r="V192" s="224">
        <v>0</v>
      </c>
      <c r="W192" s="224">
        <v>266.16780510000001</v>
      </c>
      <c r="X192" s="224">
        <v>125.27587336244537</v>
      </c>
      <c r="Y192" s="224">
        <v>6.6290400000000007</v>
      </c>
      <c r="Z192" s="224">
        <v>172.47618445000001</v>
      </c>
      <c r="AA192" s="224">
        <v>12.128689834950016</v>
      </c>
      <c r="AB192" s="224">
        <v>14.787034478541209</v>
      </c>
      <c r="AC192" s="224">
        <v>19.409931971698249</v>
      </c>
      <c r="AD192" s="1120">
        <v>7.3556439557929512</v>
      </c>
      <c r="AE192" s="224">
        <v>0</v>
      </c>
      <c r="AF192" s="224">
        <v>1715.7119713739999</v>
      </c>
      <c r="AG192" s="224">
        <v>2256.043362445414</v>
      </c>
      <c r="AH192" s="224">
        <v>0</v>
      </c>
      <c r="AI192" s="224">
        <v>66000</v>
      </c>
      <c r="AJ192" s="224">
        <v>10196.430783</v>
      </c>
      <c r="AK192" s="224">
        <v>4842.5801991868502</v>
      </c>
      <c r="AL192" s="224">
        <v>23041.799999999996</v>
      </c>
      <c r="AM192" s="224">
        <v>7577.2243199999994</v>
      </c>
      <c r="AN192" s="1120">
        <v>115629.79063600626</v>
      </c>
      <c r="AO192" s="224">
        <f t="shared" si="11"/>
        <v>0.96917964761527919</v>
      </c>
      <c r="AP192" s="1123">
        <v>0.1</v>
      </c>
      <c r="AQ192" s="1123">
        <f t="shared" si="13"/>
        <v>0.13792129201534861</v>
      </c>
      <c r="AR192" s="1123">
        <v>20</v>
      </c>
      <c r="AS192" s="1123">
        <f t="shared" si="14"/>
        <v>0.34294503262185172</v>
      </c>
      <c r="AT192" s="224">
        <f t="shared" si="12"/>
        <v>15947.810119982243</v>
      </c>
    </row>
    <row r="193" spans="1:46">
      <c r="A193" s="1118">
        <v>2017</v>
      </c>
      <c r="B193" s="1119"/>
      <c r="C193" s="1119"/>
      <c r="D193" s="1119" t="s">
        <v>2008</v>
      </c>
      <c r="E193" s="1119" t="s">
        <v>2057</v>
      </c>
      <c r="F193" s="1119"/>
      <c r="G193" s="224">
        <v>24989.884255070989</v>
      </c>
      <c r="H193" s="224">
        <v>9364</v>
      </c>
      <c r="I193" s="224">
        <v>2.3759999999999999</v>
      </c>
      <c r="J193" s="224">
        <v>0.16950749573681748</v>
      </c>
      <c r="K193" s="224">
        <v>0.10886097846829028</v>
      </c>
      <c r="L193" s="224">
        <v>0.12220511235236636</v>
      </c>
      <c r="M193" s="224">
        <v>0</v>
      </c>
      <c r="N193" s="224">
        <v>0</v>
      </c>
      <c r="O193" s="224">
        <v>0</v>
      </c>
      <c r="P193" s="224">
        <v>0</v>
      </c>
      <c r="Q193" s="224">
        <v>0</v>
      </c>
      <c r="R193" s="224">
        <v>0</v>
      </c>
      <c r="S193" s="224">
        <v>0</v>
      </c>
      <c r="T193" s="224">
        <v>0</v>
      </c>
      <c r="U193" s="224">
        <v>0</v>
      </c>
      <c r="V193" s="224">
        <v>304.51632640000003</v>
      </c>
      <c r="W193" s="224">
        <v>0</v>
      </c>
      <c r="X193" s="224">
        <v>3.2632499999999989</v>
      </c>
      <c r="Y193" s="224">
        <v>2.3759999999999999</v>
      </c>
      <c r="Z193" s="224">
        <v>0</v>
      </c>
      <c r="AA193" s="224">
        <v>84.753747868408738</v>
      </c>
      <c r="AB193" s="224">
        <v>54.430489234145142</v>
      </c>
      <c r="AC193" s="224">
        <v>61.102556176183178</v>
      </c>
      <c r="AD193" s="1120">
        <v>11.975722271073153</v>
      </c>
      <c r="AE193" s="224">
        <v>30789.827542454852</v>
      </c>
      <c r="AF193" s="224">
        <v>0</v>
      </c>
      <c r="AG193" s="224">
        <v>261.60000000000002</v>
      </c>
      <c r="AH193" s="224">
        <v>12689.115239486457</v>
      </c>
      <c r="AI193" s="224">
        <v>90000</v>
      </c>
      <c r="AJ193" s="224">
        <v>0</v>
      </c>
      <c r="AK193" s="224">
        <v>745.98720000000003</v>
      </c>
      <c r="AL193" s="224">
        <v>0</v>
      </c>
      <c r="AM193" s="224">
        <v>436.00000000000006</v>
      </c>
      <c r="AN193" s="1120">
        <v>134922.5299819413</v>
      </c>
      <c r="AO193" s="224">
        <f t="shared" si="11"/>
        <v>1.5779211664365984</v>
      </c>
      <c r="AP193" s="1123">
        <v>0.1</v>
      </c>
      <c r="AQ193" s="1123">
        <f>AA193*$C$4*365/1000*0.1</f>
        <v>0.40760111439866603</v>
      </c>
      <c r="AR193" s="1123">
        <v>20</v>
      </c>
      <c r="AS193" s="1123">
        <f>AO193/$AO$193</f>
        <v>1</v>
      </c>
      <c r="AT193" s="224">
        <f t="shared" si="12"/>
        <v>54994.573578126707</v>
      </c>
    </row>
    <row r="194" spans="1:46">
      <c r="A194" s="1121">
        <v>2020</v>
      </c>
      <c r="B194" s="1107"/>
      <c r="C194" s="1107"/>
      <c r="D194" s="1107" t="s">
        <v>2008</v>
      </c>
      <c r="E194" s="1107" t="s">
        <v>2057</v>
      </c>
      <c r="F194" s="1107"/>
      <c r="G194" s="224" t="e">
        <v>#DIV/0!</v>
      </c>
      <c r="H194" s="224" t="e">
        <v>#DIV/0!</v>
      </c>
      <c r="I194" s="224" t="e">
        <v>#DIV/0!</v>
      </c>
      <c r="J194" s="224" t="e">
        <v>#DIV/0!</v>
      </c>
      <c r="K194" s="224" t="e">
        <v>#DIV/0!</v>
      </c>
      <c r="L194" s="224" t="e">
        <v>#DIV/0!</v>
      </c>
      <c r="M194" s="224" t="e">
        <v>#DIV/0!</v>
      </c>
      <c r="N194" s="224" t="e">
        <v>#DIV/0!</v>
      </c>
      <c r="O194" s="224" t="e">
        <v>#DIV/0!</v>
      </c>
      <c r="P194" s="224" t="e">
        <v>#DIV/0!</v>
      </c>
      <c r="Q194" s="224" t="e">
        <v>#DIV/0!</v>
      </c>
      <c r="R194" s="224" t="e">
        <v>#DIV/0!</v>
      </c>
      <c r="S194" s="224" t="e">
        <v>#DIV/0!</v>
      </c>
      <c r="T194" s="224" t="e">
        <v>#DIV/0!</v>
      </c>
      <c r="U194" s="224" t="e">
        <v>#DIV/0!</v>
      </c>
      <c r="V194" s="224" t="e">
        <v>#DIV/0!</v>
      </c>
      <c r="W194" s="224" t="e">
        <v>#DIV/0!</v>
      </c>
      <c r="X194" s="224" t="e">
        <v>#DIV/0!</v>
      </c>
      <c r="Y194" s="224" t="e">
        <v>#DIV/0!</v>
      </c>
      <c r="Z194" s="224" t="e">
        <v>#DIV/0!</v>
      </c>
      <c r="AA194" s="224" t="e">
        <v>#DIV/0!</v>
      </c>
      <c r="AB194" s="224" t="e">
        <v>#DIV/0!</v>
      </c>
      <c r="AC194" s="224" t="e">
        <v>#DIV/0!</v>
      </c>
      <c r="AD194" s="1120" t="e">
        <v>#DIV/0!</v>
      </c>
      <c r="AE194" s="224" t="e">
        <v>#DIV/0!</v>
      </c>
      <c r="AF194" s="224" t="e">
        <v>#DIV/0!</v>
      </c>
      <c r="AG194" s="224" t="e">
        <v>#DIV/0!</v>
      </c>
      <c r="AH194" s="224" t="e">
        <v>#DIV/0!</v>
      </c>
      <c r="AI194" s="224" t="e">
        <v>#DIV/0!</v>
      </c>
      <c r="AJ194" s="224" t="e">
        <v>#DIV/0!</v>
      </c>
      <c r="AK194" s="224" t="e">
        <v>#DIV/0!</v>
      </c>
      <c r="AL194" s="224" t="e">
        <v>#DIV/0!</v>
      </c>
      <c r="AM194" s="224" t="e">
        <v>#DIV/0!</v>
      </c>
      <c r="AN194" s="1120" t="e">
        <v>#DIV/0!</v>
      </c>
      <c r="AO194" s="224" t="e">
        <f t="shared" si="11"/>
        <v>#DIV/0!</v>
      </c>
      <c r="AP194" s="1123">
        <v>0.1</v>
      </c>
      <c r="AQ194" s="1123">
        <f t="shared" si="13"/>
        <v>0.40760111439866603</v>
      </c>
      <c r="AR194" s="1123">
        <v>20</v>
      </c>
      <c r="AS194" s="1123" t="e">
        <f t="shared" ref="AS194:AS228" si="15">AO194/$AO$193</f>
        <v>#DIV/0!</v>
      </c>
      <c r="AT194" s="224" t="e">
        <f t="shared" si="12"/>
        <v>#DIV/0!</v>
      </c>
    </row>
    <row r="195" spans="1:46">
      <c r="A195" s="1118">
        <v>2025</v>
      </c>
      <c r="B195" s="1119"/>
      <c r="C195" s="1119"/>
      <c r="D195" s="1107" t="s">
        <v>2008</v>
      </c>
      <c r="E195" s="1119" t="s">
        <v>2057</v>
      </c>
      <c r="F195" s="1119"/>
      <c r="G195" s="224" t="e">
        <v>#DIV/0!</v>
      </c>
      <c r="H195" s="224" t="e">
        <v>#DIV/0!</v>
      </c>
      <c r="I195" s="224" t="e">
        <v>#DIV/0!</v>
      </c>
      <c r="J195" s="224" t="e">
        <v>#DIV/0!</v>
      </c>
      <c r="K195" s="224" t="e">
        <v>#DIV/0!</v>
      </c>
      <c r="L195" s="224" t="e">
        <v>#DIV/0!</v>
      </c>
      <c r="M195" s="224" t="e">
        <v>#DIV/0!</v>
      </c>
      <c r="N195" s="224" t="e">
        <v>#DIV/0!</v>
      </c>
      <c r="O195" s="224" t="e">
        <v>#DIV/0!</v>
      </c>
      <c r="P195" s="224" t="e">
        <v>#DIV/0!</v>
      </c>
      <c r="Q195" s="224" t="e">
        <v>#DIV/0!</v>
      </c>
      <c r="R195" s="224" t="e">
        <v>#DIV/0!</v>
      </c>
      <c r="S195" s="224" t="e">
        <v>#DIV/0!</v>
      </c>
      <c r="T195" s="224" t="e">
        <v>#DIV/0!</v>
      </c>
      <c r="U195" s="224" t="e">
        <v>#DIV/0!</v>
      </c>
      <c r="V195" s="224" t="e">
        <v>#DIV/0!</v>
      </c>
      <c r="W195" s="224" t="e">
        <v>#DIV/0!</v>
      </c>
      <c r="X195" s="224" t="e">
        <v>#DIV/0!</v>
      </c>
      <c r="Y195" s="224" t="e">
        <v>#DIV/0!</v>
      </c>
      <c r="Z195" s="224" t="e">
        <v>#DIV/0!</v>
      </c>
      <c r="AA195" s="224" t="e">
        <v>#DIV/0!</v>
      </c>
      <c r="AB195" s="224" t="e">
        <v>#DIV/0!</v>
      </c>
      <c r="AC195" s="224" t="e">
        <v>#DIV/0!</v>
      </c>
      <c r="AD195" s="1120" t="e">
        <v>#DIV/0!</v>
      </c>
      <c r="AE195" s="224" t="e">
        <v>#DIV/0!</v>
      </c>
      <c r="AF195" s="224" t="e">
        <v>#DIV/0!</v>
      </c>
      <c r="AG195" s="224" t="e">
        <v>#DIV/0!</v>
      </c>
      <c r="AH195" s="224" t="e">
        <v>#DIV/0!</v>
      </c>
      <c r="AI195" s="224" t="e">
        <v>#DIV/0!</v>
      </c>
      <c r="AJ195" s="224" t="e">
        <v>#DIV/0!</v>
      </c>
      <c r="AK195" s="224" t="e">
        <v>#DIV/0!</v>
      </c>
      <c r="AL195" s="224" t="e">
        <v>#DIV/0!</v>
      </c>
      <c r="AM195" s="224" t="e">
        <v>#DIV/0!</v>
      </c>
      <c r="AN195" s="1120" t="e">
        <v>#DIV/0!</v>
      </c>
      <c r="AO195" s="224" t="e">
        <f t="shared" si="11"/>
        <v>#DIV/0!</v>
      </c>
      <c r="AP195" s="1123">
        <v>0.1</v>
      </c>
      <c r="AQ195" s="1123">
        <f t="shared" si="13"/>
        <v>0.40760111439866603</v>
      </c>
      <c r="AR195" s="1123">
        <v>20</v>
      </c>
      <c r="AS195" s="1123" t="e">
        <f t="shared" si="15"/>
        <v>#DIV/0!</v>
      </c>
      <c r="AT195" s="224" t="e">
        <f t="shared" si="12"/>
        <v>#DIV/0!</v>
      </c>
    </row>
    <row r="196" spans="1:46">
      <c r="A196" s="1118">
        <v>2030</v>
      </c>
      <c r="B196" s="1107"/>
      <c r="C196" s="1107"/>
      <c r="D196" s="1107" t="s">
        <v>2008</v>
      </c>
      <c r="E196" s="1107" t="s">
        <v>2057</v>
      </c>
      <c r="F196" s="1107"/>
      <c r="G196" s="224">
        <v>22576.914856884745</v>
      </c>
      <c r="H196" s="224">
        <v>9364</v>
      </c>
      <c r="I196" s="224">
        <v>2.3759999999999999</v>
      </c>
      <c r="J196" s="224">
        <v>0.12715167281672726</v>
      </c>
      <c r="K196" s="224">
        <v>7.6144552277835051E-2</v>
      </c>
      <c r="L196" s="224">
        <v>8.3863058368518345E-2</v>
      </c>
      <c r="M196" s="224">
        <v>0</v>
      </c>
      <c r="N196" s="224">
        <v>0</v>
      </c>
      <c r="O196" s="224">
        <v>0</v>
      </c>
      <c r="P196" s="224">
        <v>0</v>
      </c>
      <c r="Q196" s="224">
        <v>0</v>
      </c>
      <c r="R196" s="224">
        <v>0</v>
      </c>
      <c r="S196" s="224">
        <v>0</v>
      </c>
      <c r="T196" s="224">
        <v>0</v>
      </c>
      <c r="U196" s="224">
        <v>0</v>
      </c>
      <c r="V196" s="224">
        <v>267.6789569</v>
      </c>
      <c r="W196" s="224">
        <v>0</v>
      </c>
      <c r="X196" s="224">
        <v>3.2973260869565211</v>
      </c>
      <c r="Y196" s="224">
        <v>2.3759999999999999</v>
      </c>
      <c r="Z196" s="224">
        <v>0</v>
      </c>
      <c r="AA196" s="224">
        <v>63.575836408363628</v>
      </c>
      <c r="AB196" s="224">
        <v>38.072276138917523</v>
      </c>
      <c r="AC196" s="224">
        <v>41.931529184259169</v>
      </c>
      <c r="AD196" s="1120">
        <v>8.2797608146575641</v>
      </c>
      <c r="AE196" s="224">
        <v>26148.558274751998</v>
      </c>
      <c r="AF196" s="224">
        <v>0</v>
      </c>
      <c r="AG196" s="224">
        <v>177.6</v>
      </c>
      <c r="AH196" s="224">
        <v>11277.469302591977</v>
      </c>
      <c r="AI196" s="224">
        <v>90000</v>
      </c>
      <c r="AJ196" s="224">
        <v>0</v>
      </c>
      <c r="AK196" s="224">
        <v>658.22399999999993</v>
      </c>
      <c r="AL196" s="224">
        <v>0</v>
      </c>
      <c r="AM196" s="224">
        <v>296</v>
      </c>
      <c r="AN196" s="1120">
        <v>128557.85157734397</v>
      </c>
      <c r="AO196" s="224">
        <f t="shared" si="11"/>
        <v>1.0909412849392806</v>
      </c>
      <c r="AP196" s="1123">
        <v>0.1</v>
      </c>
      <c r="AQ196" s="1123">
        <f t="shared" si="13"/>
        <v>0.40760111439866603</v>
      </c>
      <c r="AR196" s="1123">
        <v>20</v>
      </c>
      <c r="AS196" s="1123">
        <f t="shared" si="15"/>
        <v>0.69137882686683327</v>
      </c>
      <c r="AT196" s="224">
        <f t="shared" si="12"/>
        <v>52400.323567623709</v>
      </c>
    </row>
    <row r="197" spans="1:46">
      <c r="A197" s="1118">
        <v>2035</v>
      </c>
      <c r="B197" s="1119"/>
      <c r="C197" s="1119"/>
      <c r="D197" s="1107" t="s">
        <v>2008</v>
      </c>
      <c r="E197" s="1119" t="s">
        <v>2057</v>
      </c>
      <c r="F197" s="1119"/>
      <c r="G197" s="224" t="e">
        <v>#DIV/0!</v>
      </c>
      <c r="H197" s="224" t="e">
        <v>#DIV/0!</v>
      </c>
      <c r="I197" s="224" t="e">
        <v>#DIV/0!</v>
      </c>
      <c r="J197" s="224" t="e">
        <v>#DIV/0!</v>
      </c>
      <c r="K197" s="224" t="e">
        <v>#DIV/0!</v>
      </c>
      <c r="L197" s="224" t="e">
        <v>#DIV/0!</v>
      </c>
      <c r="M197" s="224" t="e">
        <v>#DIV/0!</v>
      </c>
      <c r="N197" s="224" t="e">
        <v>#DIV/0!</v>
      </c>
      <c r="O197" s="224" t="e">
        <v>#DIV/0!</v>
      </c>
      <c r="P197" s="224" t="e">
        <v>#DIV/0!</v>
      </c>
      <c r="Q197" s="224" t="e">
        <v>#DIV/0!</v>
      </c>
      <c r="R197" s="224" t="e">
        <v>#DIV/0!</v>
      </c>
      <c r="S197" s="224" t="e">
        <v>#DIV/0!</v>
      </c>
      <c r="T197" s="224" t="e">
        <v>#DIV/0!</v>
      </c>
      <c r="U197" s="224" t="e">
        <v>#DIV/0!</v>
      </c>
      <c r="V197" s="224" t="e">
        <v>#DIV/0!</v>
      </c>
      <c r="W197" s="224" t="e">
        <v>#DIV/0!</v>
      </c>
      <c r="X197" s="224" t="e">
        <v>#DIV/0!</v>
      </c>
      <c r="Y197" s="224" t="e">
        <v>#DIV/0!</v>
      </c>
      <c r="Z197" s="224" t="e">
        <v>#DIV/0!</v>
      </c>
      <c r="AA197" s="224" t="e">
        <v>#DIV/0!</v>
      </c>
      <c r="AB197" s="224" t="e">
        <v>#DIV/0!</v>
      </c>
      <c r="AC197" s="224" t="e">
        <v>#DIV/0!</v>
      </c>
      <c r="AD197" s="1120" t="e">
        <v>#DIV/0!</v>
      </c>
      <c r="AE197" s="224" t="e">
        <v>#DIV/0!</v>
      </c>
      <c r="AF197" s="224" t="e">
        <v>#DIV/0!</v>
      </c>
      <c r="AG197" s="224" t="e">
        <v>#DIV/0!</v>
      </c>
      <c r="AH197" s="224" t="e">
        <v>#DIV/0!</v>
      </c>
      <c r="AI197" s="224" t="e">
        <v>#DIV/0!</v>
      </c>
      <c r="AJ197" s="224" t="e">
        <v>#DIV/0!</v>
      </c>
      <c r="AK197" s="224" t="e">
        <v>#DIV/0!</v>
      </c>
      <c r="AL197" s="224" t="e">
        <v>#DIV/0!</v>
      </c>
      <c r="AM197" s="224" t="e">
        <v>#DIV/0!</v>
      </c>
      <c r="AN197" s="1120" t="e">
        <v>#DIV/0!</v>
      </c>
      <c r="AO197" s="224" t="e">
        <f t="shared" si="11"/>
        <v>#DIV/0!</v>
      </c>
      <c r="AP197" s="1123">
        <v>0.1</v>
      </c>
      <c r="AQ197" s="1123">
        <f t="shared" si="13"/>
        <v>0.40760111439866603</v>
      </c>
      <c r="AR197" s="1123">
        <v>20</v>
      </c>
      <c r="AS197" s="1123" t="e">
        <f t="shared" si="15"/>
        <v>#DIV/0!</v>
      </c>
      <c r="AT197" s="224" t="e">
        <f t="shared" si="12"/>
        <v>#DIV/0!</v>
      </c>
    </row>
    <row r="198" spans="1:46">
      <c r="A198" s="1118">
        <v>2050</v>
      </c>
      <c r="B198" s="1107"/>
      <c r="C198" s="1107"/>
      <c r="D198" s="1107" t="s">
        <v>2008</v>
      </c>
      <c r="E198" s="1107" t="s">
        <v>2057</v>
      </c>
      <c r="F198" s="1107"/>
      <c r="G198" s="224">
        <v>21132.204102031774</v>
      </c>
      <c r="H198" s="224">
        <v>9364</v>
      </c>
      <c r="I198" s="224">
        <v>2.3759999999999999</v>
      </c>
      <c r="J198" s="224">
        <v>0.10816003000012898</v>
      </c>
      <c r="K198" s="224">
        <v>6.3423850478708479E-2</v>
      </c>
      <c r="L198" s="224">
        <v>7.0027103434465304E-2</v>
      </c>
      <c r="M198" s="224">
        <v>0</v>
      </c>
      <c r="N198" s="224">
        <v>0</v>
      </c>
      <c r="O198" s="224">
        <v>0</v>
      </c>
      <c r="P198" s="224">
        <v>0</v>
      </c>
      <c r="Q198" s="224">
        <v>0</v>
      </c>
      <c r="R198" s="224">
        <v>0</v>
      </c>
      <c r="S198" s="224">
        <v>0</v>
      </c>
      <c r="T198" s="224">
        <v>0</v>
      </c>
      <c r="U198" s="224">
        <v>0</v>
      </c>
      <c r="V198" s="224">
        <v>246.38190019999999</v>
      </c>
      <c r="W198" s="224">
        <v>0</v>
      </c>
      <c r="X198" s="224">
        <v>3.2973260869565211</v>
      </c>
      <c r="Y198" s="224">
        <v>2.3759999999999999</v>
      </c>
      <c r="Z198" s="224">
        <v>0</v>
      </c>
      <c r="AA198" s="224">
        <v>54.080015000064492</v>
      </c>
      <c r="AB198" s="224">
        <v>31.71192523935424</v>
      </c>
      <c r="AC198" s="224">
        <v>35.013551717232652</v>
      </c>
      <c r="AD198" s="1120">
        <v>6.9224005701607405</v>
      </c>
      <c r="AE198" s="224">
        <v>23650.658756187426</v>
      </c>
      <c r="AF198" s="224">
        <v>0</v>
      </c>
      <c r="AG198" s="224">
        <v>144</v>
      </c>
      <c r="AH198" s="224">
        <v>10461.344156675514</v>
      </c>
      <c r="AI198" s="224">
        <v>90000</v>
      </c>
      <c r="AJ198" s="224">
        <v>0</v>
      </c>
      <c r="AK198" s="224">
        <v>658.22399999999993</v>
      </c>
      <c r="AL198" s="224">
        <v>0</v>
      </c>
      <c r="AM198" s="224">
        <v>240</v>
      </c>
      <c r="AN198" s="1120">
        <v>125154.22691286294</v>
      </c>
      <c r="AO198" s="224">
        <f t="shared" si="11"/>
        <v>0.91209549912437904</v>
      </c>
      <c r="AP198" s="1123">
        <v>0.1</v>
      </c>
      <c r="AQ198" s="1123">
        <f t="shared" si="13"/>
        <v>0.40760111439866603</v>
      </c>
      <c r="AR198" s="1123">
        <v>20</v>
      </c>
      <c r="AS198" s="1123">
        <f t="shared" si="15"/>
        <v>0.5780361646229476</v>
      </c>
      <c r="AT198" s="224">
        <f t="shared" si="12"/>
        <v>51013.002361386454</v>
      </c>
    </row>
    <row r="199" spans="1:46">
      <c r="A199" s="1118">
        <v>2017</v>
      </c>
      <c r="B199" s="1119"/>
      <c r="C199" s="1119"/>
      <c r="D199" s="1107" t="s">
        <v>2008</v>
      </c>
      <c r="E199" s="1119" t="s">
        <v>2058</v>
      </c>
      <c r="F199" s="1119"/>
      <c r="G199" s="224">
        <v>24972.322295949962</v>
      </c>
      <c r="H199" s="224">
        <v>9364</v>
      </c>
      <c r="I199" s="224">
        <v>0.10666782720000001</v>
      </c>
      <c r="J199" s="224">
        <v>0.17221090405746176</v>
      </c>
      <c r="K199" s="224">
        <v>0.10782294043001833</v>
      </c>
      <c r="L199" s="224">
        <v>0.12295243011306108</v>
      </c>
      <c r="M199" s="224">
        <v>0</v>
      </c>
      <c r="N199" s="224">
        <v>0</v>
      </c>
      <c r="O199" s="224">
        <v>0</v>
      </c>
      <c r="P199" s="224">
        <v>0</v>
      </c>
      <c r="Q199" s="224">
        <v>0</v>
      </c>
      <c r="R199" s="224">
        <v>0</v>
      </c>
      <c r="S199" s="224">
        <v>0</v>
      </c>
      <c r="T199" s="224">
        <v>0</v>
      </c>
      <c r="U199" s="224">
        <v>0</v>
      </c>
      <c r="V199" s="224">
        <v>304.51632640000003</v>
      </c>
      <c r="W199" s="224">
        <v>2</v>
      </c>
      <c r="X199" s="224">
        <v>3</v>
      </c>
      <c r="Y199" s="224">
        <v>0.10666782720000001</v>
      </c>
      <c r="Z199" s="224">
        <v>0</v>
      </c>
      <c r="AA199" s="224">
        <v>86.10545202873088</v>
      </c>
      <c r="AB199" s="224">
        <v>53.911470215009167</v>
      </c>
      <c r="AC199" s="224">
        <v>61.476215056530535</v>
      </c>
      <c r="AD199" s="1120">
        <v>12.041723372227729</v>
      </c>
      <c r="AE199" s="224">
        <v>30789.827542454852</v>
      </c>
      <c r="AF199" s="224">
        <v>612.29999999999995</v>
      </c>
      <c r="AG199" s="224">
        <v>144.76596535119614</v>
      </c>
      <c r="AH199" s="224">
        <v>12689.115239486457</v>
      </c>
      <c r="AI199" s="224">
        <v>90000</v>
      </c>
      <c r="AJ199" s="224">
        <v>0</v>
      </c>
      <c r="AK199" s="224">
        <v>745.98720000000003</v>
      </c>
      <c r="AL199" s="224">
        <v>0</v>
      </c>
      <c r="AM199" s="224">
        <v>436.00000000000006</v>
      </c>
      <c r="AN199" s="1120">
        <v>135417.99594729248</v>
      </c>
      <c r="AO199" s="224">
        <f t="shared" si="11"/>
        <v>1.5866174715247254</v>
      </c>
      <c r="AP199" s="1123">
        <v>0.1</v>
      </c>
      <c r="AQ199" s="1123">
        <f t="shared" si="13"/>
        <v>0.40760111439866603</v>
      </c>
      <c r="AR199" s="1123">
        <v>20</v>
      </c>
      <c r="AS199" s="1123">
        <f t="shared" si="15"/>
        <v>1.0055112417990855</v>
      </c>
      <c r="AT199" s="224">
        <f t="shared" si="12"/>
        <v>55196.52605775046</v>
      </c>
    </row>
    <row r="200" spans="1:46">
      <c r="A200" s="1121">
        <v>2020</v>
      </c>
      <c r="D200" s="1107" t="s">
        <v>2008</v>
      </c>
      <c r="E200" s="224" t="s">
        <v>2058</v>
      </c>
      <c r="G200" s="224" t="e">
        <v>#DIV/0!</v>
      </c>
      <c r="H200" s="224" t="e">
        <v>#DIV/0!</v>
      </c>
      <c r="I200" s="224" t="e">
        <v>#DIV/0!</v>
      </c>
      <c r="J200" s="224" t="e">
        <v>#DIV/0!</v>
      </c>
      <c r="K200" s="224" t="e">
        <v>#DIV/0!</v>
      </c>
      <c r="L200" s="224" t="e">
        <v>#DIV/0!</v>
      </c>
      <c r="M200" s="224" t="e">
        <v>#DIV/0!</v>
      </c>
      <c r="N200" s="224" t="e">
        <v>#DIV/0!</v>
      </c>
      <c r="O200" s="224" t="e">
        <v>#DIV/0!</v>
      </c>
      <c r="P200" s="224" t="e">
        <v>#DIV/0!</v>
      </c>
      <c r="Q200" s="224" t="e">
        <v>#DIV/0!</v>
      </c>
      <c r="R200" s="224" t="e">
        <v>#DIV/0!</v>
      </c>
      <c r="S200" s="224" t="e">
        <v>#DIV/0!</v>
      </c>
      <c r="T200" s="224" t="e">
        <v>#DIV/0!</v>
      </c>
      <c r="U200" s="224" t="e">
        <v>#DIV/0!</v>
      </c>
      <c r="V200" s="224" t="e">
        <v>#DIV/0!</v>
      </c>
      <c r="W200" s="224" t="e">
        <v>#DIV/0!</v>
      </c>
      <c r="X200" s="224" t="e">
        <v>#DIV/0!</v>
      </c>
      <c r="Y200" s="224" t="e">
        <v>#DIV/0!</v>
      </c>
      <c r="Z200" s="224" t="e">
        <v>#DIV/0!</v>
      </c>
      <c r="AA200" s="224" t="e">
        <v>#DIV/0!</v>
      </c>
      <c r="AB200" s="224" t="e">
        <v>#DIV/0!</v>
      </c>
      <c r="AC200" s="224" t="e">
        <v>#DIV/0!</v>
      </c>
      <c r="AD200" s="1120" t="e">
        <v>#DIV/0!</v>
      </c>
      <c r="AE200" s="224" t="e">
        <v>#DIV/0!</v>
      </c>
      <c r="AF200" s="224" t="e">
        <v>#DIV/0!</v>
      </c>
      <c r="AG200" s="224" t="e">
        <v>#DIV/0!</v>
      </c>
      <c r="AH200" s="224" t="e">
        <v>#DIV/0!</v>
      </c>
      <c r="AI200" s="224" t="e">
        <v>#DIV/0!</v>
      </c>
      <c r="AJ200" s="224" t="e">
        <v>#DIV/0!</v>
      </c>
      <c r="AK200" s="224" t="e">
        <v>#DIV/0!</v>
      </c>
      <c r="AL200" s="224" t="e">
        <v>#DIV/0!</v>
      </c>
      <c r="AM200" s="224" t="e">
        <v>#DIV/0!</v>
      </c>
      <c r="AN200" s="1120" t="e">
        <v>#DIV/0!</v>
      </c>
      <c r="AO200" s="224" t="e">
        <f t="shared" si="11"/>
        <v>#DIV/0!</v>
      </c>
      <c r="AP200" s="1123">
        <v>0.1</v>
      </c>
      <c r="AQ200" s="1123">
        <f t="shared" si="13"/>
        <v>0.40760111439866603</v>
      </c>
      <c r="AR200" s="1123">
        <v>20</v>
      </c>
      <c r="AS200" s="1123" t="e">
        <f t="shared" si="15"/>
        <v>#DIV/0!</v>
      </c>
      <c r="AT200" s="224" t="e">
        <f t="shared" si="12"/>
        <v>#DIV/0!</v>
      </c>
    </row>
    <row r="201" spans="1:46">
      <c r="A201" s="1118">
        <v>2025</v>
      </c>
      <c r="D201" s="1107" t="s">
        <v>2008</v>
      </c>
      <c r="E201" s="224" t="s">
        <v>2058</v>
      </c>
      <c r="G201" s="224" t="e">
        <v>#DIV/0!</v>
      </c>
      <c r="H201" s="224" t="e">
        <v>#DIV/0!</v>
      </c>
      <c r="I201" s="224" t="e">
        <v>#DIV/0!</v>
      </c>
      <c r="J201" s="224" t="e">
        <v>#DIV/0!</v>
      </c>
      <c r="K201" s="224" t="e">
        <v>#DIV/0!</v>
      </c>
      <c r="L201" s="224" t="e">
        <v>#DIV/0!</v>
      </c>
      <c r="M201" s="224" t="e">
        <v>#DIV/0!</v>
      </c>
      <c r="N201" s="224" t="e">
        <v>#DIV/0!</v>
      </c>
      <c r="O201" s="224" t="e">
        <v>#DIV/0!</v>
      </c>
      <c r="P201" s="224" t="e">
        <v>#DIV/0!</v>
      </c>
      <c r="Q201" s="224" t="e">
        <v>#DIV/0!</v>
      </c>
      <c r="R201" s="224" t="e">
        <v>#DIV/0!</v>
      </c>
      <c r="S201" s="224" t="e">
        <v>#DIV/0!</v>
      </c>
      <c r="T201" s="224" t="e">
        <v>#DIV/0!</v>
      </c>
      <c r="U201" s="224" t="e">
        <v>#DIV/0!</v>
      </c>
      <c r="V201" s="224" t="e">
        <v>#DIV/0!</v>
      </c>
      <c r="W201" s="224" t="e">
        <v>#DIV/0!</v>
      </c>
      <c r="X201" s="224" t="e">
        <v>#DIV/0!</v>
      </c>
      <c r="Y201" s="224" t="e">
        <v>#DIV/0!</v>
      </c>
      <c r="Z201" s="224" t="e">
        <v>#DIV/0!</v>
      </c>
      <c r="AA201" s="224" t="e">
        <v>#DIV/0!</v>
      </c>
      <c r="AB201" s="224" t="e">
        <v>#DIV/0!</v>
      </c>
      <c r="AC201" s="224" t="e">
        <v>#DIV/0!</v>
      </c>
      <c r="AD201" s="1120" t="e">
        <v>#DIV/0!</v>
      </c>
      <c r="AE201" s="224" t="e">
        <v>#DIV/0!</v>
      </c>
      <c r="AF201" s="224" t="e">
        <v>#DIV/0!</v>
      </c>
      <c r="AG201" s="224" t="e">
        <v>#DIV/0!</v>
      </c>
      <c r="AH201" s="224" t="e">
        <v>#DIV/0!</v>
      </c>
      <c r="AI201" s="224" t="e">
        <v>#DIV/0!</v>
      </c>
      <c r="AJ201" s="224" t="e">
        <v>#DIV/0!</v>
      </c>
      <c r="AK201" s="224" t="e">
        <v>#DIV/0!</v>
      </c>
      <c r="AL201" s="224" t="e">
        <v>#DIV/0!</v>
      </c>
      <c r="AM201" s="224" t="e">
        <v>#DIV/0!</v>
      </c>
      <c r="AN201" s="1120" t="e">
        <v>#DIV/0!</v>
      </c>
      <c r="AO201" s="224" t="e">
        <f t="shared" si="11"/>
        <v>#DIV/0!</v>
      </c>
      <c r="AP201" s="1123">
        <v>0.1</v>
      </c>
      <c r="AQ201" s="1123">
        <f t="shared" si="13"/>
        <v>0.40760111439866603</v>
      </c>
      <c r="AR201" s="1123">
        <v>20</v>
      </c>
      <c r="AS201" s="1123" t="e">
        <f t="shared" si="15"/>
        <v>#DIV/0!</v>
      </c>
      <c r="AT201" s="224" t="e">
        <f t="shared" si="12"/>
        <v>#DIV/0!</v>
      </c>
    </row>
    <row r="202" spans="1:46">
      <c r="A202" s="1118">
        <v>2030</v>
      </c>
      <c r="D202" s="1107" t="s">
        <v>2008</v>
      </c>
      <c r="E202" s="224" t="s">
        <v>2058</v>
      </c>
      <c r="G202" s="224" t="e">
        <v>#DIV/0!</v>
      </c>
      <c r="H202" s="224" t="e">
        <v>#DIV/0!</v>
      </c>
      <c r="I202" s="224" t="e">
        <v>#DIV/0!</v>
      </c>
      <c r="J202" s="224" t="e">
        <v>#DIV/0!</v>
      </c>
      <c r="K202" s="224" t="e">
        <v>#DIV/0!</v>
      </c>
      <c r="L202" s="224" t="e">
        <v>#DIV/0!</v>
      </c>
      <c r="M202" s="224" t="e">
        <v>#DIV/0!</v>
      </c>
      <c r="N202" s="224" t="e">
        <v>#DIV/0!</v>
      </c>
      <c r="O202" s="224" t="e">
        <v>#DIV/0!</v>
      </c>
      <c r="P202" s="224" t="e">
        <v>#DIV/0!</v>
      </c>
      <c r="Q202" s="224" t="e">
        <v>#DIV/0!</v>
      </c>
      <c r="R202" s="224" t="e">
        <v>#DIV/0!</v>
      </c>
      <c r="S202" s="224" t="e">
        <v>#DIV/0!</v>
      </c>
      <c r="T202" s="224" t="e">
        <v>#DIV/0!</v>
      </c>
      <c r="U202" s="224" t="e">
        <v>#DIV/0!</v>
      </c>
      <c r="V202" s="224" t="e">
        <v>#DIV/0!</v>
      </c>
      <c r="W202" s="224" t="e">
        <v>#DIV/0!</v>
      </c>
      <c r="X202" s="224" t="e">
        <v>#DIV/0!</v>
      </c>
      <c r="Y202" s="224" t="e">
        <v>#DIV/0!</v>
      </c>
      <c r="Z202" s="224" t="e">
        <v>#DIV/0!</v>
      </c>
      <c r="AA202" s="224" t="e">
        <v>#DIV/0!</v>
      </c>
      <c r="AB202" s="224" t="e">
        <v>#DIV/0!</v>
      </c>
      <c r="AC202" s="224" t="e">
        <v>#DIV/0!</v>
      </c>
      <c r="AD202" s="1120" t="e">
        <v>#DIV/0!</v>
      </c>
      <c r="AE202" s="224" t="e">
        <v>#DIV/0!</v>
      </c>
      <c r="AF202" s="224" t="e">
        <v>#DIV/0!</v>
      </c>
      <c r="AG202" s="224" t="e">
        <v>#DIV/0!</v>
      </c>
      <c r="AH202" s="224" t="e">
        <v>#DIV/0!</v>
      </c>
      <c r="AI202" s="224" t="e">
        <v>#DIV/0!</v>
      </c>
      <c r="AJ202" s="224" t="e">
        <v>#DIV/0!</v>
      </c>
      <c r="AK202" s="224" t="e">
        <v>#DIV/0!</v>
      </c>
      <c r="AL202" s="224" t="e">
        <v>#DIV/0!</v>
      </c>
      <c r="AM202" s="224" t="e">
        <v>#DIV/0!</v>
      </c>
      <c r="AN202" s="1120" t="e">
        <v>#DIV/0!</v>
      </c>
      <c r="AO202" s="224" t="e">
        <f t="shared" si="11"/>
        <v>#DIV/0!</v>
      </c>
      <c r="AP202" s="1123">
        <v>0.1</v>
      </c>
      <c r="AQ202" s="1123">
        <f t="shared" si="13"/>
        <v>0.40760111439866603</v>
      </c>
      <c r="AR202" s="1123">
        <v>20</v>
      </c>
      <c r="AS202" s="1123" t="e">
        <f t="shared" si="15"/>
        <v>#DIV/0!</v>
      </c>
      <c r="AT202" s="224" t="e">
        <f t="shared" si="12"/>
        <v>#DIV/0!</v>
      </c>
    </row>
    <row r="203" spans="1:46">
      <c r="A203" s="1118">
        <v>2035</v>
      </c>
      <c r="D203" s="1107" t="s">
        <v>2008</v>
      </c>
      <c r="E203" s="224" t="s">
        <v>2058</v>
      </c>
      <c r="G203" s="224" t="e">
        <v>#DIV/0!</v>
      </c>
      <c r="H203" s="224" t="e">
        <v>#DIV/0!</v>
      </c>
      <c r="I203" s="224" t="e">
        <v>#DIV/0!</v>
      </c>
      <c r="J203" s="224" t="e">
        <v>#DIV/0!</v>
      </c>
      <c r="K203" s="224" t="e">
        <v>#DIV/0!</v>
      </c>
      <c r="L203" s="224" t="e">
        <v>#DIV/0!</v>
      </c>
      <c r="M203" s="224" t="e">
        <v>#DIV/0!</v>
      </c>
      <c r="N203" s="224" t="e">
        <v>#DIV/0!</v>
      </c>
      <c r="O203" s="224" t="e">
        <v>#DIV/0!</v>
      </c>
      <c r="P203" s="224" t="e">
        <v>#DIV/0!</v>
      </c>
      <c r="Q203" s="224" t="e">
        <v>#DIV/0!</v>
      </c>
      <c r="R203" s="224" t="e">
        <v>#DIV/0!</v>
      </c>
      <c r="S203" s="224" t="e">
        <v>#DIV/0!</v>
      </c>
      <c r="T203" s="224" t="e">
        <v>#DIV/0!</v>
      </c>
      <c r="U203" s="224" t="e">
        <v>#DIV/0!</v>
      </c>
      <c r="V203" s="224" t="e">
        <v>#DIV/0!</v>
      </c>
      <c r="W203" s="224" t="e">
        <v>#DIV/0!</v>
      </c>
      <c r="X203" s="224" t="e">
        <v>#DIV/0!</v>
      </c>
      <c r="Y203" s="224" t="e">
        <v>#DIV/0!</v>
      </c>
      <c r="Z203" s="224" t="e">
        <v>#DIV/0!</v>
      </c>
      <c r="AA203" s="224" t="e">
        <v>#DIV/0!</v>
      </c>
      <c r="AB203" s="224" t="e">
        <v>#DIV/0!</v>
      </c>
      <c r="AC203" s="224" t="e">
        <v>#DIV/0!</v>
      </c>
      <c r="AD203" s="1120" t="e">
        <v>#DIV/0!</v>
      </c>
      <c r="AE203" s="224" t="e">
        <v>#DIV/0!</v>
      </c>
      <c r="AF203" s="224" t="e">
        <v>#DIV/0!</v>
      </c>
      <c r="AG203" s="224" t="e">
        <v>#DIV/0!</v>
      </c>
      <c r="AH203" s="224" t="e">
        <v>#DIV/0!</v>
      </c>
      <c r="AI203" s="224" t="e">
        <v>#DIV/0!</v>
      </c>
      <c r="AJ203" s="224" t="e">
        <v>#DIV/0!</v>
      </c>
      <c r="AK203" s="224" t="e">
        <v>#DIV/0!</v>
      </c>
      <c r="AL203" s="224" t="e">
        <v>#DIV/0!</v>
      </c>
      <c r="AM203" s="224" t="e">
        <v>#DIV/0!</v>
      </c>
      <c r="AN203" s="1120" t="e">
        <v>#DIV/0!</v>
      </c>
      <c r="AO203" s="224" t="e">
        <f t="shared" si="11"/>
        <v>#DIV/0!</v>
      </c>
      <c r="AP203" s="1123">
        <v>0.1</v>
      </c>
      <c r="AQ203" s="1123">
        <f t="shared" si="13"/>
        <v>0.40760111439866603</v>
      </c>
      <c r="AR203" s="1123">
        <v>20</v>
      </c>
      <c r="AS203" s="1123" t="e">
        <f t="shared" si="15"/>
        <v>#DIV/0!</v>
      </c>
      <c r="AT203" s="224" t="e">
        <f t="shared" si="12"/>
        <v>#DIV/0!</v>
      </c>
    </row>
    <row r="204" spans="1:46">
      <c r="A204" s="1118">
        <v>2050</v>
      </c>
      <c r="D204" s="1107" t="s">
        <v>2008</v>
      </c>
      <c r="E204" s="224" t="s">
        <v>2058</v>
      </c>
      <c r="G204" s="224" t="e">
        <v>#DIV/0!</v>
      </c>
      <c r="H204" s="224" t="e">
        <v>#DIV/0!</v>
      </c>
      <c r="I204" s="224" t="e">
        <v>#DIV/0!</v>
      </c>
      <c r="J204" s="224" t="e">
        <v>#DIV/0!</v>
      </c>
      <c r="K204" s="224" t="e">
        <v>#DIV/0!</v>
      </c>
      <c r="L204" s="224" t="e">
        <v>#DIV/0!</v>
      </c>
      <c r="M204" s="224" t="e">
        <v>#DIV/0!</v>
      </c>
      <c r="N204" s="224" t="e">
        <v>#DIV/0!</v>
      </c>
      <c r="O204" s="224" t="e">
        <v>#DIV/0!</v>
      </c>
      <c r="P204" s="224" t="e">
        <v>#DIV/0!</v>
      </c>
      <c r="Q204" s="224" t="e">
        <v>#DIV/0!</v>
      </c>
      <c r="R204" s="224" t="e">
        <v>#DIV/0!</v>
      </c>
      <c r="S204" s="224" t="e">
        <v>#DIV/0!</v>
      </c>
      <c r="T204" s="224" t="e">
        <v>#DIV/0!</v>
      </c>
      <c r="U204" s="224" t="e">
        <v>#DIV/0!</v>
      </c>
      <c r="V204" s="224" t="e">
        <v>#DIV/0!</v>
      </c>
      <c r="W204" s="224" t="e">
        <v>#DIV/0!</v>
      </c>
      <c r="X204" s="224" t="e">
        <v>#DIV/0!</v>
      </c>
      <c r="Y204" s="224" t="e">
        <v>#DIV/0!</v>
      </c>
      <c r="Z204" s="224" t="e">
        <v>#DIV/0!</v>
      </c>
      <c r="AA204" s="224" t="e">
        <v>#DIV/0!</v>
      </c>
      <c r="AB204" s="224" t="e">
        <v>#DIV/0!</v>
      </c>
      <c r="AC204" s="224" t="e">
        <v>#DIV/0!</v>
      </c>
      <c r="AD204" s="1120" t="e">
        <v>#DIV/0!</v>
      </c>
      <c r="AE204" s="224" t="e">
        <v>#DIV/0!</v>
      </c>
      <c r="AF204" s="224" t="e">
        <v>#DIV/0!</v>
      </c>
      <c r="AG204" s="224" t="e">
        <v>#DIV/0!</v>
      </c>
      <c r="AH204" s="224" t="e">
        <v>#DIV/0!</v>
      </c>
      <c r="AI204" s="224" t="e">
        <v>#DIV/0!</v>
      </c>
      <c r="AJ204" s="224" t="e">
        <v>#DIV/0!</v>
      </c>
      <c r="AK204" s="224" t="e">
        <v>#DIV/0!</v>
      </c>
      <c r="AL204" s="224" t="e">
        <v>#DIV/0!</v>
      </c>
      <c r="AM204" s="224" t="e">
        <v>#DIV/0!</v>
      </c>
      <c r="AN204" s="1120" t="e">
        <v>#DIV/0!</v>
      </c>
      <c r="AO204" s="224" t="e">
        <f t="shared" si="11"/>
        <v>#DIV/0!</v>
      </c>
      <c r="AP204" s="1123">
        <v>0.1</v>
      </c>
      <c r="AQ204" s="1123">
        <f t="shared" si="13"/>
        <v>0.40760111439866603</v>
      </c>
      <c r="AR204" s="1123">
        <v>20</v>
      </c>
      <c r="AS204" s="1123" t="e">
        <f t="shared" si="15"/>
        <v>#DIV/0!</v>
      </c>
      <c r="AT204" s="224" t="e">
        <f t="shared" si="12"/>
        <v>#DIV/0!</v>
      </c>
    </row>
    <row r="205" spans="1:46">
      <c r="A205" s="1118">
        <v>2017</v>
      </c>
      <c r="D205" s="1107" t="s">
        <v>2008</v>
      </c>
      <c r="E205" s="224" t="s">
        <v>2059</v>
      </c>
      <c r="G205" s="224">
        <v>25089.675453402142</v>
      </c>
      <c r="H205" s="224">
        <v>9364</v>
      </c>
      <c r="I205" s="224">
        <v>3.1046400000000003</v>
      </c>
      <c r="J205" s="224">
        <v>0.15153580584049722</v>
      </c>
      <c r="K205" s="224">
        <v>0.10467547106226353</v>
      </c>
      <c r="L205" s="224">
        <v>0.12482378882670668</v>
      </c>
      <c r="M205" s="224">
        <v>0</v>
      </c>
      <c r="N205" s="224">
        <v>0</v>
      </c>
      <c r="O205" s="224">
        <v>0</v>
      </c>
      <c r="P205" s="224">
        <v>0</v>
      </c>
      <c r="Q205" s="224">
        <v>0</v>
      </c>
      <c r="R205" s="224">
        <v>0</v>
      </c>
      <c r="S205" s="224">
        <v>0</v>
      </c>
      <c r="T205" s="224">
        <v>0</v>
      </c>
      <c r="U205" s="224">
        <v>0</v>
      </c>
      <c r="V205" s="224">
        <v>267.71743819999995</v>
      </c>
      <c r="W205" s="224">
        <v>74.079214399999998</v>
      </c>
      <c r="X205" s="224">
        <v>96.640191387559796</v>
      </c>
      <c r="Y205" s="224">
        <v>3.1046400000000003</v>
      </c>
      <c r="Z205" s="224">
        <v>0</v>
      </c>
      <c r="AA205" s="224">
        <v>75.767902920248616</v>
      </c>
      <c r="AB205" s="224">
        <v>52.33773553113177</v>
      </c>
      <c r="AC205" s="224">
        <v>62.411894413353338</v>
      </c>
      <c r="AD205" s="1120">
        <v>12.004259970206405</v>
      </c>
      <c r="AE205" s="224">
        <v>26149.363963227428</v>
      </c>
      <c r="AF205" s="224">
        <v>3704.4982977599998</v>
      </c>
      <c r="AG205" s="224">
        <v>4213.512344497608</v>
      </c>
      <c r="AH205" s="224">
        <v>12510.209431304665</v>
      </c>
      <c r="AI205" s="224">
        <v>90000</v>
      </c>
      <c r="AJ205" s="224">
        <v>0</v>
      </c>
      <c r="AK205" s="224">
        <v>745.98720000000003</v>
      </c>
      <c r="AL205" s="224">
        <v>0</v>
      </c>
      <c r="AM205" s="224">
        <v>436.00000000000006</v>
      </c>
      <c r="AN205" s="1120">
        <v>137759.57123678969</v>
      </c>
      <c r="AO205" s="224">
        <f t="shared" si="11"/>
        <v>1.5816812936743958</v>
      </c>
      <c r="AP205" s="1123">
        <v>0.1</v>
      </c>
      <c r="AQ205" s="1123">
        <f t="shared" si="13"/>
        <v>0.40760111439866603</v>
      </c>
      <c r="AR205" s="1123">
        <v>20</v>
      </c>
      <c r="AS205" s="1123">
        <f t="shared" si="15"/>
        <v>1.0023829626712524</v>
      </c>
      <c r="AT205" s="224">
        <f t="shared" si="12"/>
        <v>56150.954755197898</v>
      </c>
    </row>
    <row r="206" spans="1:46">
      <c r="A206" s="1121">
        <v>2020</v>
      </c>
      <c r="D206" s="1107" t="s">
        <v>2008</v>
      </c>
      <c r="E206" s="224" t="s">
        <v>2059</v>
      </c>
      <c r="G206" s="224" t="e">
        <v>#DIV/0!</v>
      </c>
      <c r="H206" s="224" t="e">
        <v>#DIV/0!</v>
      </c>
      <c r="I206" s="224" t="e">
        <v>#DIV/0!</v>
      </c>
      <c r="J206" s="224" t="e">
        <v>#DIV/0!</v>
      </c>
      <c r="K206" s="224" t="e">
        <v>#DIV/0!</v>
      </c>
      <c r="L206" s="224" t="e">
        <v>#DIV/0!</v>
      </c>
      <c r="M206" s="224" t="e">
        <v>#DIV/0!</v>
      </c>
      <c r="N206" s="224" t="e">
        <v>#DIV/0!</v>
      </c>
      <c r="O206" s="224" t="e">
        <v>#DIV/0!</v>
      </c>
      <c r="P206" s="224" t="e">
        <v>#DIV/0!</v>
      </c>
      <c r="Q206" s="224" t="e">
        <v>#DIV/0!</v>
      </c>
      <c r="R206" s="224" t="e">
        <v>#DIV/0!</v>
      </c>
      <c r="S206" s="224" t="e">
        <v>#DIV/0!</v>
      </c>
      <c r="T206" s="224" t="e">
        <v>#DIV/0!</v>
      </c>
      <c r="U206" s="224" t="e">
        <v>#DIV/0!</v>
      </c>
      <c r="V206" s="224" t="e">
        <v>#DIV/0!</v>
      </c>
      <c r="W206" s="224" t="e">
        <v>#DIV/0!</v>
      </c>
      <c r="X206" s="224" t="e">
        <v>#DIV/0!</v>
      </c>
      <c r="Y206" s="224" t="e">
        <v>#DIV/0!</v>
      </c>
      <c r="Z206" s="224" t="e">
        <v>#DIV/0!</v>
      </c>
      <c r="AA206" s="224" t="e">
        <v>#DIV/0!</v>
      </c>
      <c r="AB206" s="224" t="e">
        <v>#DIV/0!</v>
      </c>
      <c r="AC206" s="224" t="e">
        <v>#DIV/0!</v>
      </c>
      <c r="AD206" s="1120" t="e">
        <v>#DIV/0!</v>
      </c>
      <c r="AE206" s="224" t="e">
        <v>#DIV/0!</v>
      </c>
      <c r="AF206" s="224" t="e">
        <v>#DIV/0!</v>
      </c>
      <c r="AG206" s="224" t="e">
        <v>#DIV/0!</v>
      </c>
      <c r="AH206" s="224" t="e">
        <v>#DIV/0!</v>
      </c>
      <c r="AI206" s="224" t="e">
        <v>#DIV/0!</v>
      </c>
      <c r="AJ206" s="224" t="e">
        <v>#DIV/0!</v>
      </c>
      <c r="AK206" s="224" t="e">
        <v>#DIV/0!</v>
      </c>
      <c r="AL206" s="224" t="e">
        <v>#DIV/0!</v>
      </c>
      <c r="AM206" s="224" t="e">
        <v>#DIV/0!</v>
      </c>
      <c r="AN206" s="1120" t="e">
        <v>#DIV/0!</v>
      </c>
      <c r="AO206" s="224" t="e">
        <f t="shared" ref="AO206:AO264" si="16">AD206*$C$4</f>
        <v>#DIV/0!</v>
      </c>
      <c r="AP206" s="1123">
        <v>0.1</v>
      </c>
      <c r="AQ206" s="1123">
        <f t="shared" si="13"/>
        <v>0.40760111439866603</v>
      </c>
      <c r="AR206" s="1123">
        <v>20</v>
      </c>
      <c r="AS206" s="1123" t="e">
        <f t="shared" si="15"/>
        <v>#DIV/0!</v>
      </c>
      <c r="AT206" s="224" t="e">
        <f t="shared" ref="AT206:AT264" si="17">AN206*AQ206</f>
        <v>#DIV/0!</v>
      </c>
    </row>
    <row r="207" spans="1:46">
      <c r="A207" s="1118">
        <v>2025</v>
      </c>
      <c r="D207" s="1107" t="s">
        <v>2008</v>
      </c>
      <c r="E207" s="224" t="s">
        <v>2059</v>
      </c>
      <c r="G207" s="224" t="e">
        <v>#DIV/0!</v>
      </c>
      <c r="H207" s="224" t="e">
        <v>#DIV/0!</v>
      </c>
      <c r="I207" s="224" t="e">
        <v>#DIV/0!</v>
      </c>
      <c r="J207" s="224" t="e">
        <v>#DIV/0!</v>
      </c>
      <c r="K207" s="224" t="e">
        <v>#DIV/0!</v>
      </c>
      <c r="L207" s="224" t="e">
        <v>#DIV/0!</v>
      </c>
      <c r="M207" s="224" t="e">
        <v>#DIV/0!</v>
      </c>
      <c r="N207" s="224" t="e">
        <v>#DIV/0!</v>
      </c>
      <c r="O207" s="224" t="e">
        <v>#DIV/0!</v>
      </c>
      <c r="P207" s="224" t="e">
        <v>#DIV/0!</v>
      </c>
      <c r="Q207" s="224" t="e">
        <v>#DIV/0!</v>
      </c>
      <c r="R207" s="224" t="e">
        <v>#DIV/0!</v>
      </c>
      <c r="S207" s="224" t="e">
        <v>#DIV/0!</v>
      </c>
      <c r="T207" s="224" t="e">
        <v>#DIV/0!</v>
      </c>
      <c r="U207" s="224" t="e">
        <v>#DIV/0!</v>
      </c>
      <c r="V207" s="224" t="e">
        <v>#DIV/0!</v>
      </c>
      <c r="W207" s="224" t="e">
        <v>#DIV/0!</v>
      </c>
      <c r="X207" s="224" t="e">
        <v>#DIV/0!</v>
      </c>
      <c r="Y207" s="224" t="e">
        <v>#DIV/0!</v>
      </c>
      <c r="Z207" s="224" t="e">
        <v>#DIV/0!</v>
      </c>
      <c r="AA207" s="224" t="e">
        <v>#DIV/0!</v>
      </c>
      <c r="AB207" s="224" t="e">
        <v>#DIV/0!</v>
      </c>
      <c r="AC207" s="224" t="e">
        <v>#DIV/0!</v>
      </c>
      <c r="AD207" s="1120" t="e">
        <v>#DIV/0!</v>
      </c>
      <c r="AE207" s="224" t="e">
        <v>#DIV/0!</v>
      </c>
      <c r="AF207" s="224" t="e">
        <v>#DIV/0!</v>
      </c>
      <c r="AG207" s="224" t="e">
        <v>#DIV/0!</v>
      </c>
      <c r="AH207" s="224" t="e">
        <v>#DIV/0!</v>
      </c>
      <c r="AI207" s="224" t="e">
        <v>#DIV/0!</v>
      </c>
      <c r="AJ207" s="224" t="e">
        <v>#DIV/0!</v>
      </c>
      <c r="AK207" s="224" t="e">
        <v>#DIV/0!</v>
      </c>
      <c r="AL207" s="224" t="e">
        <v>#DIV/0!</v>
      </c>
      <c r="AM207" s="224" t="e">
        <v>#DIV/0!</v>
      </c>
      <c r="AN207" s="1120" t="e">
        <v>#DIV/0!</v>
      </c>
      <c r="AO207" s="224" t="e">
        <f t="shared" si="16"/>
        <v>#DIV/0!</v>
      </c>
      <c r="AP207" s="1123">
        <v>0.1</v>
      </c>
      <c r="AQ207" s="1123">
        <f t="shared" ref="AQ207:AQ264" si="18">AQ206</f>
        <v>0.40760111439866603</v>
      </c>
      <c r="AR207" s="1123">
        <v>20</v>
      </c>
      <c r="AS207" s="1123" t="e">
        <f t="shared" si="15"/>
        <v>#DIV/0!</v>
      </c>
      <c r="AT207" s="224" t="e">
        <f t="shared" si="17"/>
        <v>#DIV/0!</v>
      </c>
    </row>
    <row r="208" spans="1:46">
      <c r="A208" s="1118">
        <v>2030</v>
      </c>
      <c r="D208" s="1107" t="s">
        <v>2008</v>
      </c>
      <c r="E208" s="224" t="s">
        <v>2059</v>
      </c>
      <c r="G208" s="224" t="e">
        <v>#DIV/0!</v>
      </c>
      <c r="H208" s="224" t="e">
        <v>#DIV/0!</v>
      </c>
      <c r="I208" s="224" t="e">
        <v>#DIV/0!</v>
      </c>
      <c r="J208" s="224" t="e">
        <v>#DIV/0!</v>
      </c>
      <c r="K208" s="224" t="e">
        <v>#DIV/0!</v>
      </c>
      <c r="L208" s="224" t="e">
        <v>#DIV/0!</v>
      </c>
      <c r="M208" s="224" t="e">
        <v>#DIV/0!</v>
      </c>
      <c r="N208" s="224" t="e">
        <v>#DIV/0!</v>
      </c>
      <c r="O208" s="224" t="e">
        <v>#DIV/0!</v>
      </c>
      <c r="P208" s="224" t="e">
        <v>#DIV/0!</v>
      </c>
      <c r="Q208" s="224" t="e">
        <v>#DIV/0!</v>
      </c>
      <c r="R208" s="224" t="e">
        <v>#DIV/0!</v>
      </c>
      <c r="S208" s="224" t="e">
        <v>#DIV/0!</v>
      </c>
      <c r="T208" s="224" t="e">
        <v>#DIV/0!</v>
      </c>
      <c r="U208" s="224" t="e">
        <v>#DIV/0!</v>
      </c>
      <c r="V208" s="224" t="e">
        <v>#DIV/0!</v>
      </c>
      <c r="W208" s="224" t="e">
        <v>#DIV/0!</v>
      </c>
      <c r="X208" s="224" t="e">
        <v>#DIV/0!</v>
      </c>
      <c r="Y208" s="224" t="e">
        <v>#DIV/0!</v>
      </c>
      <c r="Z208" s="224" t="e">
        <v>#DIV/0!</v>
      </c>
      <c r="AA208" s="224" t="e">
        <v>#DIV/0!</v>
      </c>
      <c r="AB208" s="224" t="e">
        <v>#DIV/0!</v>
      </c>
      <c r="AC208" s="224" t="e">
        <v>#DIV/0!</v>
      </c>
      <c r="AD208" s="1120" t="e">
        <v>#DIV/0!</v>
      </c>
      <c r="AE208" s="224" t="e">
        <v>#DIV/0!</v>
      </c>
      <c r="AF208" s="224" t="e">
        <v>#DIV/0!</v>
      </c>
      <c r="AG208" s="224" t="e">
        <v>#DIV/0!</v>
      </c>
      <c r="AH208" s="224" t="e">
        <v>#DIV/0!</v>
      </c>
      <c r="AI208" s="224" t="e">
        <v>#DIV/0!</v>
      </c>
      <c r="AJ208" s="224" t="e">
        <v>#DIV/0!</v>
      </c>
      <c r="AK208" s="224" t="e">
        <v>#DIV/0!</v>
      </c>
      <c r="AL208" s="224" t="e">
        <v>#DIV/0!</v>
      </c>
      <c r="AM208" s="224" t="e">
        <v>#DIV/0!</v>
      </c>
      <c r="AN208" s="1120" t="e">
        <v>#DIV/0!</v>
      </c>
      <c r="AO208" s="224" t="e">
        <f t="shared" si="16"/>
        <v>#DIV/0!</v>
      </c>
      <c r="AP208" s="1123">
        <v>0.1</v>
      </c>
      <c r="AQ208" s="1123">
        <f t="shared" si="18"/>
        <v>0.40760111439866603</v>
      </c>
      <c r="AR208" s="1123">
        <v>20</v>
      </c>
      <c r="AS208" s="1123" t="e">
        <f t="shared" si="15"/>
        <v>#DIV/0!</v>
      </c>
      <c r="AT208" s="224" t="e">
        <f t="shared" si="17"/>
        <v>#DIV/0!</v>
      </c>
    </row>
    <row r="209" spans="1:46">
      <c r="A209" s="1118">
        <v>2035</v>
      </c>
      <c r="D209" s="1107" t="s">
        <v>2008</v>
      </c>
      <c r="E209" s="224" t="s">
        <v>2059</v>
      </c>
      <c r="G209" s="224" t="e">
        <v>#DIV/0!</v>
      </c>
      <c r="H209" s="224" t="e">
        <v>#DIV/0!</v>
      </c>
      <c r="I209" s="224" t="e">
        <v>#DIV/0!</v>
      </c>
      <c r="J209" s="224" t="e">
        <v>#DIV/0!</v>
      </c>
      <c r="K209" s="224" t="e">
        <v>#DIV/0!</v>
      </c>
      <c r="L209" s="224" t="e">
        <v>#DIV/0!</v>
      </c>
      <c r="M209" s="224" t="e">
        <v>#DIV/0!</v>
      </c>
      <c r="N209" s="224" t="e">
        <v>#DIV/0!</v>
      </c>
      <c r="O209" s="224" t="e">
        <v>#DIV/0!</v>
      </c>
      <c r="P209" s="224" t="e">
        <v>#DIV/0!</v>
      </c>
      <c r="Q209" s="224" t="e">
        <v>#DIV/0!</v>
      </c>
      <c r="R209" s="224" t="e">
        <v>#DIV/0!</v>
      </c>
      <c r="S209" s="224" t="e">
        <v>#DIV/0!</v>
      </c>
      <c r="T209" s="224" t="e">
        <v>#DIV/0!</v>
      </c>
      <c r="U209" s="224" t="e">
        <v>#DIV/0!</v>
      </c>
      <c r="V209" s="224" t="e">
        <v>#DIV/0!</v>
      </c>
      <c r="W209" s="224" t="e">
        <v>#DIV/0!</v>
      </c>
      <c r="X209" s="224" t="e">
        <v>#DIV/0!</v>
      </c>
      <c r="Y209" s="224" t="e">
        <v>#DIV/0!</v>
      </c>
      <c r="Z209" s="224" t="e">
        <v>#DIV/0!</v>
      </c>
      <c r="AA209" s="224" t="e">
        <v>#DIV/0!</v>
      </c>
      <c r="AB209" s="224" t="e">
        <v>#DIV/0!</v>
      </c>
      <c r="AC209" s="224" t="e">
        <v>#DIV/0!</v>
      </c>
      <c r="AD209" s="1120" t="e">
        <v>#DIV/0!</v>
      </c>
      <c r="AE209" s="224" t="e">
        <v>#DIV/0!</v>
      </c>
      <c r="AF209" s="224" t="e">
        <v>#DIV/0!</v>
      </c>
      <c r="AG209" s="224" t="e">
        <v>#DIV/0!</v>
      </c>
      <c r="AH209" s="224" t="e">
        <v>#DIV/0!</v>
      </c>
      <c r="AI209" s="224" t="e">
        <v>#DIV/0!</v>
      </c>
      <c r="AJ209" s="224" t="e">
        <v>#DIV/0!</v>
      </c>
      <c r="AK209" s="224" t="e">
        <v>#DIV/0!</v>
      </c>
      <c r="AL209" s="224" t="e">
        <v>#DIV/0!</v>
      </c>
      <c r="AM209" s="224" t="e">
        <v>#DIV/0!</v>
      </c>
      <c r="AN209" s="1120" t="e">
        <v>#DIV/0!</v>
      </c>
      <c r="AO209" s="224" t="e">
        <f t="shared" si="16"/>
        <v>#DIV/0!</v>
      </c>
      <c r="AP209" s="1123">
        <v>0.1</v>
      </c>
      <c r="AQ209" s="1123">
        <f t="shared" si="18"/>
        <v>0.40760111439866603</v>
      </c>
      <c r="AR209" s="1123">
        <v>20</v>
      </c>
      <c r="AS209" s="1123" t="e">
        <f t="shared" si="15"/>
        <v>#DIV/0!</v>
      </c>
      <c r="AT209" s="224" t="e">
        <f t="shared" si="17"/>
        <v>#DIV/0!</v>
      </c>
    </row>
    <row r="210" spans="1:46">
      <c r="A210" s="1118">
        <v>2050</v>
      </c>
      <c r="D210" s="1107" t="s">
        <v>2008</v>
      </c>
      <c r="E210" s="224" t="s">
        <v>2059</v>
      </c>
      <c r="G210" s="224" t="e">
        <v>#DIV/0!</v>
      </c>
      <c r="H210" s="224" t="e">
        <v>#DIV/0!</v>
      </c>
      <c r="I210" s="224" t="e">
        <v>#DIV/0!</v>
      </c>
      <c r="J210" s="224" t="e">
        <v>#DIV/0!</v>
      </c>
      <c r="K210" s="224" t="e">
        <v>#DIV/0!</v>
      </c>
      <c r="L210" s="224" t="e">
        <v>#DIV/0!</v>
      </c>
      <c r="M210" s="224" t="e">
        <v>#DIV/0!</v>
      </c>
      <c r="N210" s="224" t="e">
        <v>#DIV/0!</v>
      </c>
      <c r="O210" s="224" t="e">
        <v>#DIV/0!</v>
      </c>
      <c r="P210" s="224" t="e">
        <v>#DIV/0!</v>
      </c>
      <c r="Q210" s="224" t="e">
        <v>#DIV/0!</v>
      </c>
      <c r="R210" s="224" t="e">
        <v>#DIV/0!</v>
      </c>
      <c r="S210" s="224" t="e">
        <v>#DIV/0!</v>
      </c>
      <c r="T210" s="224" t="e">
        <v>#DIV/0!</v>
      </c>
      <c r="U210" s="224" t="e">
        <v>#DIV/0!</v>
      </c>
      <c r="V210" s="224" t="e">
        <v>#DIV/0!</v>
      </c>
      <c r="W210" s="224" t="e">
        <v>#DIV/0!</v>
      </c>
      <c r="X210" s="224" t="e">
        <v>#DIV/0!</v>
      </c>
      <c r="Y210" s="224" t="e">
        <v>#DIV/0!</v>
      </c>
      <c r="Z210" s="224" t="e">
        <v>#DIV/0!</v>
      </c>
      <c r="AA210" s="224" t="e">
        <v>#DIV/0!</v>
      </c>
      <c r="AB210" s="224" t="e">
        <v>#DIV/0!</v>
      </c>
      <c r="AC210" s="224" t="e">
        <v>#DIV/0!</v>
      </c>
      <c r="AD210" s="1120" t="e">
        <v>#DIV/0!</v>
      </c>
      <c r="AE210" s="224" t="e">
        <v>#DIV/0!</v>
      </c>
      <c r="AF210" s="224" t="e">
        <v>#DIV/0!</v>
      </c>
      <c r="AG210" s="224" t="e">
        <v>#DIV/0!</v>
      </c>
      <c r="AH210" s="224" t="e">
        <v>#DIV/0!</v>
      </c>
      <c r="AI210" s="224" t="e">
        <v>#DIV/0!</v>
      </c>
      <c r="AJ210" s="224" t="e">
        <v>#DIV/0!</v>
      </c>
      <c r="AK210" s="224" t="e">
        <v>#DIV/0!</v>
      </c>
      <c r="AL210" s="224" t="e">
        <v>#DIV/0!</v>
      </c>
      <c r="AM210" s="224" t="e">
        <v>#DIV/0!</v>
      </c>
      <c r="AN210" s="1120" t="e">
        <v>#DIV/0!</v>
      </c>
      <c r="AO210" s="224" t="e">
        <f t="shared" si="16"/>
        <v>#DIV/0!</v>
      </c>
      <c r="AP210" s="1123">
        <v>0.1</v>
      </c>
      <c r="AQ210" s="1123">
        <f t="shared" si="18"/>
        <v>0.40760111439866603</v>
      </c>
      <c r="AR210" s="1123">
        <v>20</v>
      </c>
      <c r="AS210" s="1123" t="e">
        <f t="shared" si="15"/>
        <v>#DIV/0!</v>
      </c>
      <c r="AT210" s="224" t="e">
        <f t="shared" si="17"/>
        <v>#DIV/0!</v>
      </c>
    </row>
    <row r="211" spans="1:46">
      <c r="A211" s="1118">
        <v>2017</v>
      </c>
      <c r="D211" s="1107" t="s">
        <v>2008</v>
      </c>
      <c r="E211" s="224" t="s">
        <v>2060</v>
      </c>
      <c r="G211" s="224">
        <v>28578.54367849847</v>
      </c>
      <c r="H211" s="224">
        <v>9364</v>
      </c>
      <c r="I211" s="224">
        <v>679.21199999999999</v>
      </c>
      <c r="J211" s="224">
        <v>0.16809308825632943</v>
      </c>
      <c r="K211" s="224">
        <v>0.1447217683375126</v>
      </c>
      <c r="L211" s="224">
        <v>0.14620730438261273</v>
      </c>
      <c r="M211" s="224">
        <v>6.3612026016272569E-2</v>
      </c>
      <c r="N211" s="224">
        <v>5.2831206270658723E-2</v>
      </c>
      <c r="O211" s="224">
        <v>6.1322905704347903E-2</v>
      </c>
      <c r="P211" s="224">
        <v>25.697652058729066</v>
      </c>
      <c r="Q211" s="224">
        <v>-102.39553130684378</v>
      </c>
      <c r="R211" s="224">
        <v>375.86090135473563</v>
      </c>
      <c r="S211" s="224">
        <v>2395.3802600800918</v>
      </c>
      <c r="T211" s="224">
        <v>1989.4167273430744</v>
      </c>
      <c r="U211" s="224">
        <v>2309.1809365947806</v>
      </c>
      <c r="V211" s="224">
        <v>180</v>
      </c>
      <c r="W211" s="224">
        <v>457.05737329999999</v>
      </c>
      <c r="X211" s="224">
        <v>685.58605994999994</v>
      </c>
      <c r="Y211" s="224">
        <v>678.83962499999996</v>
      </c>
      <c r="Z211" s="224">
        <v>0</v>
      </c>
      <c r="AA211" s="224">
        <v>57.400666677169426</v>
      </c>
      <c r="AB211" s="224">
        <v>44.143650270790715</v>
      </c>
      <c r="AC211" s="224">
        <v>50.64783604622086</v>
      </c>
      <c r="AD211" s="1120">
        <v>5.8903643325416581</v>
      </c>
      <c r="AE211" s="224">
        <v>16644.811428571425</v>
      </c>
      <c r="AF211" s="224">
        <v>20134.261314570002</v>
      </c>
      <c r="AG211" s="224">
        <v>386246.16983250005</v>
      </c>
      <c r="AH211" s="224">
        <v>0</v>
      </c>
      <c r="AI211" s="224">
        <v>90000</v>
      </c>
      <c r="AJ211" s="224">
        <v>0</v>
      </c>
      <c r="AK211" s="224">
        <v>745.98720000000003</v>
      </c>
      <c r="AL211" s="224">
        <v>0</v>
      </c>
      <c r="AM211" s="224">
        <v>436.00000000000006</v>
      </c>
      <c r="AN211" s="1120">
        <v>514207.22977564146</v>
      </c>
      <c r="AO211" s="224">
        <f t="shared" si="16"/>
        <v>0.7761144044556888</v>
      </c>
      <c r="AP211" s="1123">
        <v>0.1</v>
      </c>
      <c r="AQ211" s="1123">
        <f t="shared" si="18"/>
        <v>0.40760111439866603</v>
      </c>
      <c r="AR211" s="1123">
        <v>20</v>
      </c>
      <c r="AS211" s="1123">
        <f t="shared" si="15"/>
        <v>0.49185879558760165</v>
      </c>
      <c r="AT211" s="224">
        <f t="shared" si="17"/>
        <v>209591.43988840238</v>
      </c>
    </row>
    <row r="212" spans="1:46">
      <c r="A212" s="1121">
        <v>2020</v>
      </c>
      <c r="D212" s="1107" t="s">
        <v>2008</v>
      </c>
      <c r="E212" s="224" t="s">
        <v>2060</v>
      </c>
      <c r="G212" s="224" t="e">
        <v>#DIV/0!</v>
      </c>
      <c r="H212" s="224" t="e">
        <v>#DIV/0!</v>
      </c>
      <c r="I212" s="224" t="e">
        <v>#DIV/0!</v>
      </c>
      <c r="J212" s="224" t="e">
        <v>#DIV/0!</v>
      </c>
      <c r="K212" s="224" t="e">
        <v>#DIV/0!</v>
      </c>
      <c r="L212" s="224" t="e">
        <v>#DIV/0!</v>
      </c>
      <c r="M212" s="224" t="e">
        <v>#DIV/0!</v>
      </c>
      <c r="N212" s="224" t="e">
        <v>#DIV/0!</v>
      </c>
      <c r="O212" s="224" t="e">
        <v>#DIV/0!</v>
      </c>
      <c r="P212" s="224" t="e">
        <v>#DIV/0!</v>
      </c>
      <c r="Q212" s="224" t="e">
        <v>#DIV/0!</v>
      </c>
      <c r="R212" s="224" t="e">
        <v>#DIV/0!</v>
      </c>
      <c r="S212" s="224" t="e">
        <v>#DIV/0!</v>
      </c>
      <c r="T212" s="224" t="e">
        <v>#DIV/0!</v>
      </c>
      <c r="U212" s="224" t="e">
        <v>#DIV/0!</v>
      </c>
      <c r="V212" s="224" t="e">
        <v>#DIV/0!</v>
      </c>
      <c r="W212" s="224" t="e">
        <v>#DIV/0!</v>
      </c>
      <c r="X212" s="224" t="e">
        <v>#DIV/0!</v>
      </c>
      <c r="Y212" s="224" t="e">
        <v>#DIV/0!</v>
      </c>
      <c r="Z212" s="224" t="e">
        <v>#DIV/0!</v>
      </c>
      <c r="AA212" s="224" t="e">
        <v>#DIV/0!</v>
      </c>
      <c r="AB212" s="224" t="e">
        <v>#DIV/0!</v>
      </c>
      <c r="AC212" s="224" t="e">
        <v>#DIV/0!</v>
      </c>
      <c r="AD212" s="1120" t="e">
        <v>#DIV/0!</v>
      </c>
      <c r="AE212" s="224" t="e">
        <v>#DIV/0!</v>
      </c>
      <c r="AF212" s="224" t="e">
        <v>#DIV/0!</v>
      </c>
      <c r="AG212" s="224" t="e">
        <v>#DIV/0!</v>
      </c>
      <c r="AH212" s="224" t="e">
        <v>#DIV/0!</v>
      </c>
      <c r="AI212" s="224" t="e">
        <v>#DIV/0!</v>
      </c>
      <c r="AJ212" s="224" t="e">
        <v>#DIV/0!</v>
      </c>
      <c r="AK212" s="224" t="e">
        <v>#DIV/0!</v>
      </c>
      <c r="AL212" s="224" t="e">
        <v>#DIV/0!</v>
      </c>
      <c r="AM212" s="224" t="e">
        <v>#DIV/0!</v>
      </c>
      <c r="AN212" s="1120" t="e">
        <v>#DIV/0!</v>
      </c>
      <c r="AO212" s="224" t="e">
        <f t="shared" si="16"/>
        <v>#DIV/0!</v>
      </c>
      <c r="AP212" s="1123">
        <v>0.1</v>
      </c>
      <c r="AQ212" s="1123">
        <f t="shared" si="18"/>
        <v>0.40760111439866603</v>
      </c>
      <c r="AR212" s="1123">
        <v>20</v>
      </c>
      <c r="AS212" s="1123" t="e">
        <f t="shared" si="15"/>
        <v>#DIV/0!</v>
      </c>
      <c r="AT212" s="224" t="e">
        <f t="shared" si="17"/>
        <v>#DIV/0!</v>
      </c>
    </row>
    <row r="213" spans="1:46">
      <c r="A213" s="1118">
        <v>2025</v>
      </c>
      <c r="D213" s="1107" t="s">
        <v>2008</v>
      </c>
      <c r="E213" s="224" t="s">
        <v>2060</v>
      </c>
      <c r="G213" s="224" t="e">
        <v>#DIV/0!</v>
      </c>
      <c r="H213" s="224" t="e">
        <v>#DIV/0!</v>
      </c>
      <c r="I213" s="224" t="e">
        <v>#DIV/0!</v>
      </c>
      <c r="J213" s="224" t="e">
        <v>#DIV/0!</v>
      </c>
      <c r="K213" s="224" t="e">
        <v>#DIV/0!</v>
      </c>
      <c r="L213" s="224" t="e">
        <v>#DIV/0!</v>
      </c>
      <c r="M213" s="224" t="e">
        <v>#DIV/0!</v>
      </c>
      <c r="N213" s="224" t="e">
        <v>#DIV/0!</v>
      </c>
      <c r="O213" s="224" t="e">
        <v>#DIV/0!</v>
      </c>
      <c r="P213" s="224" t="e">
        <v>#DIV/0!</v>
      </c>
      <c r="Q213" s="224" t="e">
        <v>#DIV/0!</v>
      </c>
      <c r="R213" s="224" t="e">
        <v>#DIV/0!</v>
      </c>
      <c r="S213" s="224" t="e">
        <v>#DIV/0!</v>
      </c>
      <c r="T213" s="224" t="e">
        <v>#DIV/0!</v>
      </c>
      <c r="U213" s="224" t="e">
        <v>#DIV/0!</v>
      </c>
      <c r="V213" s="224" t="e">
        <v>#DIV/0!</v>
      </c>
      <c r="W213" s="224" t="e">
        <v>#DIV/0!</v>
      </c>
      <c r="X213" s="224" t="e">
        <v>#DIV/0!</v>
      </c>
      <c r="Y213" s="224" t="e">
        <v>#DIV/0!</v>
      </c>
      <c r="Z213" s="224" t="e">
        <v>#DIV/0!</v>
      </c>
      <c r="AA213" s="224" t="e">
        <v>#DIV/0!</v>
      </c>
      <c r="AB213" s="224" t="e">
        <v>#DIV/0!</v>
      </c>
      <c r="AC213" s="224" t="e">
        <v>#DIV/0!</v>
      </c>
      <c r="AD213" s="1120" t="e">
        <v>#DIV/0!</v>
      </c>
      <c r="AE213" s="224" t="e">
        <v>#DIV/0!</v>
      </c>
      <c r="AF213" s="224" t="e">
        <v>#DIV/0!</v>
      </c>
      <c r="AG213" s="224" t="e">
        <v>#DIV/0!</v>
      </c>
      <c r="AH213" s="224" t="e">
        <v>#DIV/0!</v>
      </c>
      <c r="AI213" s="224" t="e">
        <v>#DIV/0!</v>
      </c>
      <c r="AJ213" s="224" t="e">
        <v>#DIV/0!</v>
      </c>
      <c r="AK213" s="224" t="e">
        <v>#DIV/0!</v>
      </c>
      <c r="AL213" s="224" t="e">
        <v>#DIV/0!</v>
      </c>
      <c r="AM213" s="224" t="e">
        <v>#DIV/0!</v>
      </c>
      <c r="AN213" s="1120" t="e">
        <v>#DIV/0!</v>
      </c>
      <c r="AO213" s="224" t="e">
        <f t="shared" si="16"/>
        <v>#DIV/0!</v>
      </c>
      <c r="AP213" s="1123">
        <v>0.1</v>
      </c>
      <c r="AQ213" s="1123">
        <f t="shared" si="18"/>
        <v>0.40760111439866603</v>
      </c>
      <c r="AR213" s="1123">
        <v>20</v>
      </c>
      <c r="AS213" s="1123" t="e">
        <f t="shared" si="15"/>
        <v>#DIV/0!</v>
      </c>
      <c r="AT213" s="224" t="e">
        <f t="shared" si="17"/>
        <v>#DIV/0!</v>
      </c>
    </row>
    <row r="214" spans="1:46">
      <c r="A214" s="1118">
        <v>2030</v>
      </c>
      <c r="D214" s="1107" t="s">
        <v>2008</v>
      </c>
      <c r="E214" s="224" t="s">
        <v>2060</v>
      </c>
      <c r="G214" s="224" t="e">
        <v>#DIV/0!</v>
      </c>
      <c r="H214" s="224" t="e">
        <v>#DIV/0!</v>
      </c>
      <c r="I214" s="224" t="e">
        <v>#DIV/0!</v>
      </c>
      <c r="J214" s="224" t="e">
        <v>#DIV/0!</v>
      </c>
      <c r="K214" s="224" t="e">
        <v>#DIV/0!</v>
      </c>
      <c r="L214" s="224" t="e">
        <v>#DIV/0!</v>
      </c>
      <c r="M214" s="224" t="e">
        <v>#DIV/0!</v>
      </c>
      <c r="N214" s="224" t="e">
        <v>#DIV/0!</v>
      </c>
      <c r="O214" s="224" t="e">
        <v>#DIV/0!</v>
      </c>
      <c r="P214" s="224" t="e">
        <v>#DIV/0!</v>
      </c>
      <c r="Q214" s="224" t="e">
        <v>#DIV/0!</v>
      </c>
      <c r="R214" s="224" t="e">
        <v>#DIV/0!</v>
      </c>
      <c r="S214" s="224" t="e">
        <v>#DIV/0!</v>
      </c>
      <c r="T214" s="224" t="e">
        <v>#DIV/0!</v>
      </c>
      <c r="U214" s="224" t="e">
        <v>#DIV/0!</v>
      </c>
      <c r="V214" s="224" t="e">
        <v>#DIV/0!</v>
      </c>
      <c r="W214" s="224" t="e">
        <v>#DIV/0!</v>
      </c>
      <c r="X214" s="224" t="e">
        <v>#DIV/0!</v>
      </c>
      <c r="Y214" s="224" t="e">
        <v>#DIV/0!</v>
      </c>
      <c r="Z214" s="224" t="e">
        <v>#DIV/0!</v>
      </c>
      <c r="AA214" s="224" t="e">
        <v>#DIV/0!</v>
      </c>
      <c r="AB214" s="224" t="e">
        <v>#DIV/0!</v>
      </c>
      <c r="AC214" s="224" t="e">
        <v>#DIV/0!</v>
      </c>
      <c r="AD214" s="1120" t="e">
        <v>#DIV/0!</v>
      </c>
      <c r="AE214" s="224" t="e">
        <v>#DIV/0!</v>
      </c>
      <c r="AF214" s="224" t="e">
        <v>#DIV/0!</v>
      </c>
      <c r="AG214" s="224" t="e">
        <v>#DIV/0!</v>
      </c>
      <c r="AH214" s="224" t="e">
        <v>#DIV/0!</v>
      </c>
      <c r="AI214" s="224" t="e">
        <v>#DIV/0!</v>
      </c>
      <c r="AJ214" s="224" t="e">
        <v>#DIV/0!</v>
      </c>
      <c r="AK214" s="224" t="e">
        <v>#DIV/0!</v>
      </c>
      <c r="AL214" s="224" t="e">
        <v>#DIV/0!</v>
      </c>
      <c r="AM214" s="224" t="e">
        <v>#DIV/0!</v>
      </c>
      <c r="AN214" s="1120" t="e">
        <v>#DIV/0!</v>
      </c>
      <c r="AO214" s="224" t="e">
        <f t="shared" si="16"/>
        <v>#DIV/0!</v>
      </c>
      <c r="AP214" s="1123">
        <v>0.1</v>
      </c>
      <c r="AQ214" s="1123">
        <f t="shared" si="18"/>
        <v>0.40760111439866603</v>
      </c>
      <c r="AR214" s="1123">
        <v>20</v>
      </c>
      <c r="AS214" s="1123" t="e">
        <f t="shared" si="15"/>
        <v>#DIV/0!</v>
      </c>
      <c r="AT214" s="224" t="e">
        <f t="shared" si="17"/>
        <v>#DIV/0!</v>
      </c>
    </row>
    <row r="215" spans="1:46">
      <c r="A215" s="1118">
        <v>2035</v>
      </c>
      <c r="D215" s="1107" t="s">
        <v>2008</v>
      </c>
      <c r="E215" s="224" t="s">
        <v>2060</v>
      </c>
      <c r="G215" s="224" t="e">
        <v>#DIV/0!</v>
      </c>
      <c r="H215" s="224" t="e">
        <v>#DIV/0!</v>
      </c>
      <c r="I215" s="224" t="e">
        <v>#DIV/0!</v>
      </c>
      <c r="J215" s="224" t="e">
        <v>#DIV/0!</v>
      </c>
      <c r="K215" s="224" t="e">
        <v>#DIV/0!</v>
      </c>
      <c r="L215" s="224" t="e">
        <v>#DIV/0!</v>
      </c>
      <c r="M215" s="224" t="e">
        <v>#DIV/0!</v>
      </c>
      <c r="N215" s="224" t="e">
        <v>#DIV/0!</v>
      </c>
      <c r="O215" s="224" t="e">
        <v>#DIV/0!</v>
      </c>
      <c r="P215" s="224" t="e">
        <v>#DIV/0!</v>
      </c>
      <c r="Q215" s="224" t="e">
        <v>#DIV/0!</v>
      </c>
      <c r="R215" s="224" t="e">
        <v>#DIV/0!</v>
      </c>
      <c r="S215" s="224" t="e">
        <v>#DIV/0!</v>
      </c>
      <c r="T215" s="224" t="e">
        <v>#DIV/0!</v>
      </c>
      <c r="U215" s="224" t="e">
        <v>#DIV/0!</v>
      </c>
      <c r="V215" s="224" t="e">
        <v>#DIV/0!</v>
      </c>
      <c r="W215" s="224" t="e">
        <v>#DIV/0!</v>
      </c>
      <c r="X215" s="224" t="e">
        <v>#DIV/0!</v>
      </c>
      <c r="Y215" s="224" t="e">
        <v>#DIV/0!</v>
      </c>
      <c r="Z215" s="224" t="e">
        <v>#DIV/0!</v>
      </c>
      <c r="AA215" s="224" t="e">
        <v>#DIV/0!</v>
      </c>
      <c r="AB215" s="224" t="e">
        <v>#DIV/0!</v>
      </c>
      <c r="AC215" s="224" t="e">
        <v>#DIV/0!</v>
      </c>
      <c r="AD215" s="1120" t="e">
        <v>#DIV/0!</v>
      </c>
      <c r="AE215" s="224" t="e">
        <v>#DIV/0!</v>
      </c>
      <c r="AF215" s="224" t="e">
        <v>#DIV/0!</v>
      </c>
      <c r="AG215" s="224" t="e">
        <v>#DIV/0!</v>
      </c>
      <c r="AH215" s="224" t="e">
        <v>#DIV/0!</v>
      </c>
      <c r="AI215" s="224" t="e">
        <v>#DIV/0!</v>
      </c>
      <c r="AJ215" s="224" t="e">
        <v>#DIV/0!</v>
      </c>
      <c r="AK215" s="224" t="e">
        <v>#DIV/0!</v>
      </c>
      <c r="AL215" s="224" t="e">
        <v>#DIV/0!</v>
      </c>
      <c r="AM215" s="224" t="e">
        <v>#DIV/0!</v>
      </c>
      <c r="AN215" s="1120" t="e">
        <v>#DIV/0!</v>
      </c>
      <c r="AO215" s="224" t="e">
        <f t="shared" si="16"/>
        <v>#DIV/0!</v>
      </c>
      <c r="AP215" s="1123">
        <v>0.1</v>
      </c>
      <c r="AQ215" s="1123">
        <f t="shared" si="18"/>
        <v>0.40760111439866603</v>
      </c>
      <c r="AR215" s="1123">
        <v>20</v>
      </c>
      <c r="AS215" s="1123" t="e">
        <f t="shared" si="15"/>
        <v>#DIV/0!</v>
      </c>
      <c r="AT215" s="224" t="e">
        <f t="shared" si="17"/>
        <v>#DIV/0!</v>
      </c>
    </row>
    <row r="216" spans="1:46">
      <c r="A216" s="1118">
        <v>2050</v>
      </c>
      <c r="D216" s="1107" t="s">
        <v>2008</v>
      </c>
      <c r="E216" s="224" t="s">
        <v>2060</v>
      </c>
      <c r="G216" s="224" t="e">
        <v>#DIV/0!</v>
      </c>
      <c r="H216" s="224" t="e">
        <v>#DIV/0!</v>
      </c>
      <c r="I216" s="224" t="e">
        <v>#DIV/0!</v>
      </c>
      <c r="J216" s="224" t="e">
        <v>#DIV/0!</v>
      </c>
      <c r="K216" s="224" t="e">
        <v>#DIV/0!</v>
      </c>
      <c r="L216" s="224" t="e">
        <v>#DIV/0!</v>
      </c>
      <c r="M216" s="224" t="e">
        <v>#DIV/0!</v>
      </c>
      <c r="N216" s="224" t="e">
        <v>#DIV/0!</v>
      </c>
      <c r="O216" s="224" t="e">
        <v>#DIV/0!</v>
      </c>
      <c r="P216" s="224" t="e">
        <v>#DIV/0!</v>
      </c>
      <c r="Q216" s="224" t="e">
        <v>#DIV/0!</v>
      </c>
      <c r="R216" s="224" t="e">
        <v>#DIV/0!</v>
      </c>
      <c r="S216" s="224" t="e">
        <v>#DIV/0!</v>
      </c>
      <c r="T216" s="224" t="e">
        <v>#DIV/0!</v>
      </c>
      <c r="U216" s="224" t="e">
        <v>#DIV/0!</v>
      </c>
      <c r="V216" s="224" t="e">
        <v>#DIV/0!</v>
      </c>
      <c r="W216" s="224" t="e">
        <v>#DIV/0!</v>
      </c>
      <c r="X216" s="224" t="e">
        <v>#DIV/0!</v>
      </c>
      <c r="Y216" s="224" t="e">
        <v>#DIV/0!</v>
      </c>
      <c r="Z216" s="224" t="e">
        <v>#DIV/0!</v>
      </c>
      <c r="AA216" s="224" t="e">
        <v>#DIV/0!</v>
      </c>
      <c r="AB216" s="224" t="e">
        <v>#DIV/0!</v>
      </c>
      <c r="AC216" s="224" t="e">
        <v>#DIV/0!</v>
      </c>
      <c r="AD216" s="1120" t="e">
        <v>#DIV/0!</v>
      </c>
      <c r="AE216" s="224" t="e">
        <v>#DIV/0!</v>
      </c>
      <c r="AF216" s="224" t="e">
        <v>#DIV/0!</v>
      </c>
      <c r="AG216" s="224" t="e">
        <v>#DIV/0!</v>
      </c>
      <c r="AH216" s="224" t="e">
        <v>#DIV/0!</v>
      </c>
      <c r="AI216" s="224" t="e">
        <v>#DIV/0!</v>
      </c>
      <c r="AJ216" s="224" t="e">
        <v>#DIV/0!</v>
      </c>
      <c r="AK216" s="224" t="e">
        <v>#DIV/0!</v>
      </c>
      <c r="AL216" s="224" t="e">
        <v>#DIV/0!</v>
      </c>
      <c r="AM216" s="224" t="e">
        <v>#DIV/0!</v>
      </c>
      <c r="AN216" s="1120" t="e">
        <v>#DIV/0!</v>
      </c>
      <c r="AO216" s="224" t="e">
        <f t="shared" si="16"/>
        <v>#DIV/0!</v>
      </c>
      <c r="AP216" s="1123">
        <v>0.1</v>
      </c>
      <c r="AQ216" s="1123">
        <f t="shared" si="18"/>
        <v>0.40760111439866603</v>
      </c>
      <c r="AR216" s="1123">
        <v>20</v>
      </c>
      <c r="AS216" s="1123" t="e">
        <f t="shared" si="15"/>
        <v>#DIV/0!</v>
      </c>
      <c r="AT216" s="224" t="e">
        <f t="shared" si="17"/>
        <v>#DIV/0!</v>
      </c>
    </row>
    <row r="217" spans="1:46">
      <c r="A217" s="1118">
        <v>2017</v>
      </c>
      <c r="D217" s="1107" t="s">
        <v>2008</v>
      </c>
      <c r="E217" s="224" t="s">
        <v>2061</v>
      </c>
      <c r="G217" s="224">
        <v>30691.178976530005</v>
      </c>
      <c r="H217" s="224">
        <v>9364</v>
      </c>
      <c r="I217" s="224">
        <v>1304.8019999999999</v>
      </c>
      <c r="J217" s="224">
        <v>0</v>
      </c>
      <c r="K217" s="224">
        <v>0</v>
      </c>
      <c r="L217" s="224">
        <v>0</v>
      </c>
      <c r="M217" s="224">
        <v>0</v>
      </c>
      <c r="N217" s="224">
        <v>0</v>
      </c>
      <c r="O217" s="224">
        <v>0</v>
      </c>
      <c r="P217" s="224">
        <v>0</v>
      </c>
      <c r="Q217" s="224">
        <v>0</v>
      </c>
      <c r="R217" s="224">
        <v>0</v>
      </c>
      <c r="S217" s="224">
        <v>2553.601292560098</v>
      </c>
      <c r="T217" s="224">
        <v>2328.6629084223073</v>
      </c>
      <c r="U217" s="224">
        <v>2663.2837217045339</v>
      </c>
      <c r="V217" s="224">
        <v>0</v>
      </c>
      <c r="W217" s="224">
        <v>485.91511020000002</v>
      </c>
      <c r="X217" s="224">
        <v>728.87266529999999</v>
      </c>
      <c r="Y217" s="224">
        <v>1304.8019999999999</v>
      </c>
      <c r="Z217" s="224">
        <v>0</v>
      </c>
      <c r="AA217" s="224">
        <v>33.912367763082315</v>
      </c>
      <c r="AB217" s="224">
        <v>30.925138226059854</v>
      </c>
      <c r="AC217" s="224">
        <v>35.368973727815856</v>
      </c>
      <c r="AD217" s="1120">
        <v>6.7746016405599576</v>
      </c>
      <c r="AE217" s="224">
        <v>0</v>
      </c>
      <c r="AF217" s="224">
        <v>21372.258227579998</v>
      </c>
      <c r="AG217" s="224">
        <v>742406.2419599999</v>
      </c>
      <c r="AH217" s="224">
        <v>0</v>
      </c>
      <c r="AI217" s="224">
        <v>90000</v>
      </c>
      <c r="AJ217" s="224">
        <v>0</v>
      </c>
      <c r="AK217" s="224">
        <v>745.98720000000003</v>
      </c>
      <c r="AL217" s="224">
        <v>0</v>
      </c>
      <c r="AM217" s="224">
        <v>0</v>
      </c>
      <c r="AN217" s="1120">
        <v>854524.48738757998</v>
      </c>
      <c r="AO217" s="224">
        <f t="shared" si="16"/>
        <v>0.89262151216017993</v>
      </c>
      <c r="AP217" s="1123">
        <v>0.1</v>
      </c>
      <c r="AQ217" s="1123">
        <f t="shared" si="18"/>
        <v>0.40760111439866603</v>
      </c>
      <c r="AR217" s="1123">
        <v>20</v>
      </c>
      <c r="AS217" s="1123">
        <f t="shared" si="15"/>
        <v>0.56569461843013169</v>
      </c>
      <c r="AT217" s="224">
        <f t="shared" si="17"/>
        <v>348305.13334012643</v>
      </c>
    </row>
    <row r="218" spans="1:46">
      <c r="A218" s="1121">
        <v>2020</v>
      </c>
      <c r="D218" s="1107" t="s">
        <v>2008</v>
      </c>
      <c r="E218" s="224" t="s">
        <v>2061</v>
      </c>
      <c r="G218" s="224" t="e">
        <v>#DIV/0!</v>
      </c>
      <c r="H218" s="224" t="e">
        <v>#DIV/0!</v>
      </c>
      <c r="I218" s="224" t="e">
        <v>#DIV/0!</v>
      </c>
      <c r="J218" s="224" t="e">
        <v>#DIV/0!</v>
      </c>
      <c r="K218" s="224" t="e">
        <v>#DIV/0!</v>
      </c>
      <c r="L218" s="224" t="e">
        <v>#DIV/0!</v>
      </c>
      <c r="M218" s="224" t="e">
        <v>#DIV/0!</v>
      </c>
      <c r="N218" s="224" t="e">
        <v>#DIV/0!</v>
      </c>
      <c r="O218" s="224" t="e">
        <v>#DIV/0!</v>
      </c>
      <c r="P218" s="224" t="e">
        <v>#DIV/0!</v>
      </c>
      <c r="Q218" s="224" t="e">
        <v>#DIV/0!</v>
      </c>
      <c r="R218" s="224" t="e">
        <v>#DIV/0!</v>
      </c>
      <c r="S218" s="224" t="e">
        <v>#DIV/0!</v>
      </c>
      <c r="T218" s="224" t="e">
        <v>#DIV/0!</v>
      </c>
      <c r="U218" s="224" t="e">
        <v>#DIV/0!</v>
      </c>
      <c r="V218" s="224" t="e">
        <v>#DIV/0!</v>
      </c>
      <c r="W218" s="224" t="e">
        <v>#DIV/0!</v>
      </c>
      <c r="X218" s="224" t="e">
        <v>#DIV/0!</v>
      </c>
      <c r="Y218" s="224" t="e">
        <v>#DIV/0!</v>
      </c>
      <c r="Z218" s="224" t="e">
        <v>#DIV/0!</v>
      </c>
      <c r="AA218" s="224" t="e">
        <v>#DIV/0!</v>
      </c>
      <c r="AB218" s="224" t="e">
        <v>#DIV/0!</v>
      </c>
      <c r="AC218" s="224" t="e">
        <v>#DIV/0!</v>
      </c>
      <c r="AD218" s="1120" t="e">
        <v>#DIV/0!</v>
      </c>
      <c r="AE218" s="224" t="e">
        <v>#DIV/0!</v>
      </c>
      <c r="AF218" s="224" t="e">
        <v>#DIV/0!</v>
      </c>
      <c r="AG218" s="224" t="e">
        <v>#DIV/0!</v>
      </c>
      <c r="AH218" s="224" t="e">
        <v>#DIV/0!</v>
      </c>
      <c r="AI218" s="224" t="e">
        <v>#DIV/0!</v>
      </c>
      <c r="AJ218" s="224" t="e">
        <v>#DIV/0!</v>
      </c>
      <c r="AK218" s="224" t="e">
        <v>#DIV/0!</v>
      </c>
      <c r="AL218" s="224" t="e">
        <v>#DIV/0!</v>
      </c>
      <c r="AM218" s="224" t="e">
        <v>#DIV/0!</v>
      </c>
      <c r="AN218" s="1120" t="e">
        <v>#DIV/0!</v>
      </c>
      <c r="AO218" s="224" t="e">
        <f t="shared" si="16"/>
        <v>#DIV/0!</v>
      </c>
      <c r="AP218" s="1123">
        <v>0.1</v>
      </c>
      <c r="AQ218" s="1123">
        <f t="shared" si="18"/>
        <v>0.40760111439866603</v>
      </c>
      <c r="AR218" s="1123">
        <v>20</v>
      </c>
      <c r="AS218" s="1123" t="e">
        <f t="shared" si="15"/>
        <v>#DIV/0!</v>
      </c>
      <c r="AT218" s="224" t="e">
        <f t="shared" si="17"/>
        <v>#DIV/0!</v>
      </c>
    </row>
    <row r="219" spans="1:46">
      <c r="A219" s="1118">
        <v>2025</v>
      </c>
      <c r="D219" s="1107" t="s">
        <v>2008</v>
      </c>
      <c r="E219" s="224" t="s">
        <v>2061</v>
      </c>
      <c r="G219" s="224" t="e">
        <v>#DIV/0!</v>
      </c>
      <c r="H219" s="224" t="e">
        <v>#DIV/0!</v>
      </c>
      <c r="I219" s="224" t="e">
        <v>#DIV/0!</v>
      </c>
      <c r="J219" s="224" t="e">
        <v>#DIV/0!</v>
      </c>
      <c r="K219" s="224" t="e">
        <v>#DIV/0!</v>
      </c>
      <c r="L219" s="224" t="e">
        <v>#DIV/0!</v>
      </c>
      <c r="M219" s="224" t="e">
        <v>#DIV/0!</v>
      </c>
      <c r="N219" s="224" t="e">
        <v>#DIV/0!</v>
      </c>
      <c r="O219" s="224" t="e">
        <v>#DIV/0!</v>
      </c>
      <c r="P219" s="224" t="e">
        <v>#DIV/0!</v>
      </c>
      <c r="Q219" s="224" t="e">
        <v>#DIV/0!</v>
      </c>
      <c r="R219" s="224" t="e">
        <v>#DIV/0!</v>
      </c>
      <c r="S219" s="224" t="e">
        <v>#DIV/0!</v>
      </c>
      <c r="T219" s="224" t="e">
        <v>#DIV/0!</v>
      </c>
      <c r="U219" s="224" t="e">
        <v>#DIV/0!</v>
      </c>
      <c r="V219" s="224" t="e">
        <v>#DIV/0!</v>
      </c>
      <c r="W219" s="224" t="e">
        <v>#DIV/0!</v>
      </c>
      <c r="X219" s="224" t="e">
        <v>#DIV/0!</v>
      </c>
      <c r="Y219" s="224" t="e">
        <v>#DIV/0!</v>
      </c>
      <c r="Z219" s="224" t="e">
        <v>#DIV/0!</v>
      </c>
      <c r="AA219" s="224" t="e">
        <v>#DIV/0!</v>
      </c>
      <c r="AB219" s="224" t="e">
        <v>#DIV/0!</v>
      </c>
      <c r="AC219" s="224" t="e">
        <v>#DIV/0!</v>
      </c>
      <c r="AD219" s="1120" t="e">
        <v>#DIV/0!</v>
      </c>
      <c r="AE219" s="224" t="e">
        <v>#DIV/0!</v>
      </c>
      <c r="AF219" s="224" t="e">
        <v>#DIV/0!</v>
      </c>
      <c r="AG219" s="224" t="e">
        <v>#DIV/0!</v>
      </c>
      <c r="AH219" s="224" t="e">
        <v>#DIV/0!</v>
      </c>
      <c r="AI219" s="224" t="e">
        <v>#DIV/0!</v>
      </c>
      <c r="AJ219" s="224" t="e">
        <v>#DIV/0!</v>
      </c>
      <c r="AK219" s="224" t="e">
        <v>#DIV/0!</v>
      </c>
      <c r="AL219" s="224" t="e">
        <v>#DIV/0!</v>
      </c>
      <c r="AM219" s="224" t="e">
        <v>#DIV/0!</v>
      </c>
      <c r="AN219" s="1120" t="e">
        <v>#DIV/0!</v>
      </c>
      <c r="AO219" s="224" t="e">
        <f t="shared" si="16"/>
        <v>#DIV/0!</v>
      </c>
      <c r="AP219" s="1123">
        <v>0.1</v>
      </c>
      <c r="AQ219" s="1123">
        <f t="shared" si="18"/>
        <v>0.40760111439866603</v>
      </c>
      <c r="AR219" s="1123">
        <v>20</v>
      </c>
      <c r="AS219" s="1123" t="e">
        <f t="shared" si="15"/>
        <v>#DIV/0!</v>
      </c>
      <c r="AT219" s="224" t="e">
        <f t="shared" si="17"/>
        <v>#DIV/0!</v>
      </c>
    </row>
    <row r="220" spans="1:46">
      <c r="A220" s="1118">
        <v>2030</v>
      </c>
      <c r="D220" s="1107" t="s">
        <v>2008</v>
      </c>
      <c r="E220" s="224" t="s">
        <v>2061</v>
      </c>
      <c r="G220" s="224" t="e">
        <v>#DIV/0!</v>
      </c>
      <c r="H220" s="224" t="e">
        <v>#DIV/0!</v>
      </c>
      <c r="I220" s="224" t="e">
        <v>#DIV/0!</v>
      </c>
      <c r="J220" s="224" t="e">
        <v>#DIV/0!</v>
      </c>
      <c r="K220" s="224" t="e">
        <v>#DIV/0!</v>
      </c>
      <c r="L220" s="224" t="e">
        <v>#DIV/0!</v>
      </c>
      <c r="M220" s="224" t="e">
        <v>#DIV/0!</v>
      </c>
      <c r="N220" s="224" t="e">
        <v>#DIV/0!</v>
      </c>
      <c r="O220" s="224" t="e">
        <v>#DIV/0!</v>
      </c>
      <c r="P220" s="224" t="e">
        <v>#DIV/0!</v>
      </c>
      <c r="Q220" s="224" t="e">
        <v>#DIV/0!</v>
      </c>
      <c r="R220" s="224" t="e">
        <v>#DIV/0!</v>
      </c>
      <c r="S220" s="224" t="e">
        <v>#DIV/0!</v>
      </c>
      <c r="T220" s="224" t="e">
        <v>#DIV/0!</v>
      </c>
      <c r="U220" s="224" t="e">
        <v>#DIV/0!</v>
      </c>
      <c r="V220" s="224" t="e">
        <v>#DIV/0!</v>
      </c>
      <c r="W220" s="224" t="e">
        <v>#DIV/0!</v>
      </c>
      <c r="X220" s="224" t="e">
        <v>#DIV/0!</v>
      </c>
      <c r="Y220" s="224" t="e">
        <v>#DIV/0!</v>
      </c>
      <c r="Z220" s="224" t="e">
        <v>#DIV/0!</v>
      </c>
      <c r="AA220" s="224" t="e">
        <v>#DIV/0!</v>
      </c>
      <c r="AB220" s="224" t="e">
        <v>#DIV/0!</v>
      </c>
      <c r="AC220" s="224" t="e">
        <v>#DIV/0!</v>
      </c>
      <c r="AD220" s="1120" t="e">
        <v>#DIV/0!</v>
      </c>
      <c r="AE220" s="224" t="e">
        <v>#DIV/0!</v>
      </c>
      <c r="AF220" s="224" t="e">
        <v>#DIV/0!</v>
      </c>
      <c r="AG220" s="224" t="e">
        <v>#DIV/0!</v>
      </c>
      <c r="AH220" s="224" t="e">
        <v>#DIV/0!</v>
      </c>
      <c r="AI220" s="224" t="e">
        <v>#DIV/0!</v>
      </c>
      <c r="AJ220" s="224" t="e">
        <v>#DIV/0!</v>
      </c>
      <c r="AK220" s="224" t="e">
        <v>#DIV/0!</v>
      </c>
      <c r="AL220" s="224" t="e">
        <v>#DIV/0!</v>
      </c>
      <c r="AM220" s="224" t="e">
        <v>#DIV/0!</v>
      </c>
      <c r="AN220" s="1120" t="e">
        <v>#DIV/0!</v>
      </c>
      <c r="AO220" s="224" t="e">
        <f t="shared" si="16"/>
        <v>#DIV/0!</v>
      </c>
      <c r="AP220" s="1123">
        <v>0.1</v>
      </c>
      <c r="AQ220" s="1123">
        <f t="shared" si="18"/>
        <v>0.40760111439866603</v>
      </c>
      <c r="AR220" s="1123">
        <v>20</v>
      </c>
      <c r="AS220" s="1123" t="e">
        <f t="shared" si="15"/>
        <v>#DIV/0!</v>
      </c>
      <c r="AT220" s="224" t="e">
        <f t="shared" si="17"/>
        <v>#DIV/0!</v>
      </c>
    </row>
    <row r="221" spans="1:46">
      <c r="A221" s="1118">
        <v>2035</v>
      </c>
      <c r="D221" s="1107" t="s">
        <v>2008</v>
      </c>
      <c r="E221" s="224" t="s">
        <v>2061</v>
      </c>
      <c r="G221" s="224" t="e">
        <v>#DIV/0!</v>
      </c>
      <c r="H221" s="224" t="e">
        <v>#DIV/0!</v>
      </c>
      <c r="I221" s="224" t="e">
        <v>#DIV/0!</v>
      </c>
      <c r="J221" s="224" t="e">
        <v>#DIV/0!</v>
      </c>
      <c r="K221" s="224" t="e">
        <v>#DIV/0!</v>
      </c>
      <c r="L221" s="224" t="e">
        <v>#DIV/0!</v>
      </c>
      <c r="M221" s="224" t="e">
        <v>#DIV/0!</v>
      </c>
      <c r="N221" s="224" t="e">
        <v>#DIV/0!</v>
      </c>
      <c r="O221" s="224" t="e">
        <v>#DIV/0!</v>
      </c>
      <c r="P221" s="224" t="e">
        <v>#DIV/0!</v>
      </c>
      <c r="Q221" s="224" t="e">
        <v>#DIV/0!</v>
      </c>
      <c r="R221" s="224" t="e">
        <v>#DIV/0!</v>
      </c>
      <c r="S221" s="224" t="e">
        <v>#DIV/0!</v>
      </c>
      <c r="T221" s="224" t="e">
        <v>#DIV/0!</v>
      </c>
      <c r="U221" s="224" t="e">
        <v>#DIV/0!</v>
      </c>
      <c r="V221" s="224" t="e">
        <v>#DIV/0!</v>
      </c>
      <c r="W221" s="224" t="e">
        <v>#DIV/0!</v>
      </c>
      <c r="X221" s="224" t="e">
        <v>#DIV/0!</v>
      </c>
      <c r="Y221" s="224" t="e">
        <v>#DIV/0!</v>
      </c>
      <c r="Z221" s="224" t="e">
        <v>#DIV/0!</v>
      </c>
      <c r="AA221" s="224" t="e">
        <v>#DIV/0!</v>
      </c>
      <c r="AB221" s="224" t="e">
        <v>#DIV/0!</v>
      </c>
      <c r="AC221" s="224" t="e">
        <v>#DIV/0!</v>
      </c>
      <c r="AD221" s="1120" t="e">
        <v>#DIV/0!</v>
      </c>
      <c r="AE221" s="224" t="e">
        <v>#DIV/0!</v>
      </c>
      <c r="AF221" s="224" t="e">
        <v>#DIV/0!</v>
      </c>
      <c r="AG221" s="224" t="e">
        <v>#DIV/0!</v>
      </c>
      <c r="AH221" s="224" t="e">
        <v>#DIV/0!</v>
      </c>
      <c r="AI221" s="224" t="e">
        <v>#DIV/0!</v>
      </c>
      <c r="AJ221" s="224" t="e">
        <v>#DIV/0!</v>
      </c>
      <c r="AK221" s="224" t="e">
        <v>#DIV/0!</v>
      </c>
      <c r="AL221" s="224" t="e">
        <v>#DIV/0!</v>
      </c>
      <c r="AM221" s="224" t="e">
        <v>#DIV/0!</v>
      </c>
      <c r="AN221" s="1120" t="e">
        <v>#DIV/0!</v>
      </c>
      <c r="AO221" s="224" t="e">
        <f t="shared" si="16"/>
        <v>#DIV/0!</v>
      </c>
      <c r="AP221" s="1123">
        <v>0.1</v>
      </c>
      <c r="AQ221" s="1123">
        <f t="shared" si="18"/>
        <v>0.40760111439866603</v>
      </c>
      <c r="AR221" s="1123">
        <v>20</v>
      </c>
      <c r="AS221" s="1123" t="e">
        <f t="shared" si="15"/>
        <v>#DIV/0!</v>
      </c>
      <c r="AT221" s="224" t="e">
        <f t="shared" si="17"/>
        <v>#DIV/0!</v>
      </c>
    </row>
    <row r="222" spans="1:46">
      <c r="A222" s="1118">
        <v>2050</v>
      </c>
      <c r="D222" s="1107" t="s">
        <v>2008</v>
      </c>
      <c r="E222" s="224" t="s">
        <v>2061</v>
      </c>
      <c r="G222" s="224" t="e">
        <v>#DIV/0!</v>
      </c>
      <c r="H222" s="224" t="e">
        <v>#DIV/0!</v>
      </c>
      <c r="I222" s="224" t="e">
        <v>#DIV/0!</v>
      </c>
      <c r="J222" s="224" t="e">
        <v>#DIV/0!</v>
      </c>
      <c r="K222" s="224" t="e">
        <v>#DIV/0!</v>
      </c>
      <c r="L222" s="224" t="e">
        <v>#DIV/0!</v>
      </c>
      <c r="M222" s="224" t="e">
        <v>#DIV/0!</v>
      </c>
      <c r="N222" s="224" t="e">
        <v>#DIV/0!</v>
      </c>
      <c r="O222" s="224" t="e">
        <v>#DIV/0!</v>
      </c>
      <c r="P222" s="224" t="e">
        <v>#DIV/0!</v>
      </c>
      <c r="Q222" s="224" t="e">
        <v>#DIV/0!</v>
      </c>
      <c r="R222" s="224" t="e">
        <v>#DIV/0!</v>
      </c>
      <c r="S222" s="224" t="e">
        <v>#DIV/0!</v>
      </c>
      <c r="T222" s="224" t="e">
        <v>#DIV/0!</v>
      </c>
      <c r="U222" s="224" t="e">
        <v>#DIV/0!</v>
      </c>
      <c r="V222" s="224" t="e">
        <v>#DIV/0!</v>
      </c>
      <c r="W222" s="224" t="e">
        <v>#DIV/0!</v>
      </c>
      <c r="X222" s="224" t="e">
        <v>#DIV/0!</v>
      </c>
      <c r="Y222" s="224" t="e">
        <v>#DIV/0!</v>
      </c>
      <c r="Z222" s="224" t="e">
        <v>#DIV/0!</v>
      </c>
      <c r="AA222" s="224" t="e">
        <v>#DIV/0!</v>
      </c>
      <c r="AB222" s="224" t="e">
        <v>#DIV/0!</v>
      </c>
      <c r="AC222" s="224" t="e">
        <v>#DIV/0!</v>
      </c>
      <c r="AD222" s="1120" t="e">
        <v>#DIV/0!</v>
      </c>
      <c r="AE222" s="224" t="e">
        <v>#DIV/0!</v>
      </c>
      <c r="AF222" s="224" t="e">
        <v>#DIV/0!</v>
      </c>
      <c r="AG222" s="224" t="e">
        <v>#DIV/0!</v>
      </c>
      <c r="AH222" s="224" t="e">
        <v>#DIV/0!</v>
      </c>
      <c r="AI222" s="224" t="e">
        <v>#DIV/0!</v>
      </c>
      <c r="AJ222" s="224" t="e">
        <v>#DIV/0!</v>
      </c>
      <c r="AK222" s="224" t="e">
        <v>#DIV/0!</v>
      </c>
      <c r="AL222" s="224" t="e">
        <v>#DIV/0!</v>
      </c>
      <c r="AM222" s="224" t="e">
        <v>#DIV/0!</v>
      </c>
      <c r="AN222" s="1120" t="e">
        <v>#DIV/0!</v>
      </c>
      <c r="AO222" s="224" t="e">
        <f t="shared" si="16"/>
        <v>#DIV/0!</v>
      </c>
      <c r="AP222" s="1123">
        <v>0.1</v>
      </c>
      <c r="AQ222" s="1123">
        <f t="shared" si="18"/>
        <v>0.40760111439866603</v>
      </c>
      <c r="AR222" s="1123">
        <v>20</v>
      </c>
      <c r="AS222" s="1123" t="e">
        <f t="shared" si="15"/>
        <v>#DIV/0!</v>
      </c>
      <c r="AT222" s="224" t="e">
        <f t="shared" si="17"/>
        <v>#DIV/0!</v>
      </c>
    </row>
    <row r="223" spans="1:46">
      <c r="A223" s="1118">
        <v>2017</v>
      </c>
      <c r="D223" s="1107" t="s">
        <v>2008</v>
      </c>
      <c r="E223" s="224" t="s">
        <v>2062</v>
      </c>
      <c r="G223" s="224">
        <v>25534.86775654148</v>
      </c>
      <c r="H223" s="224">
        <v>9364</v>
      </c>
      <c r="I223" s="224">
        <v>2.5660800000000004</v>
      </c>
      <c r="J223" s="224">
        <v>0.1302780109415648</v>
      </c>
      <c r="K223" s="224">
        <v>9.9214558371791869E-2</v>
      </c>
      <c r="L223" s="224">
        <v>0.11887603990438811</v>
      </c>
      <c r="M223" s="224">
        <v>0</v>
      </c>
      <c r="N223" s="224">
        <v>0</v>
      </c>
      <c r="O223" s="224">
        <v>0</v>
      </c>
      <c r="P223" s="224">
        <v>0</v>
      </c>
      <c r="Q223" s="224">
        <v>0</v>
      </c>
      <c r="R223" s="224">
        <v>0</v>
      </c>
      <c r="S223" s="224">
        <v>0</v>
      </c>
      <c r="T223" s="224">
        <v>0</v>
      </c>
      <c r="U223" s="224">
        <v>0</v>
      </c>
      <c r="V223" s="224">
        <v>0</v>
      </c>
      <c r="W223" s="224">
        <v>475.59541869999998</v>
      </c>
      <c r="X223" s="224">
        <v>79.876076555023914</v>
      </c>
      <c r="Y223" s="224">
        <v>2.5660800000000004</v>
      </c>
      <c r="Z223" s="224">
        <v>307.75849840000001</v>
      </c>
      <c r="AA223" s="224">
        <v>65.139005470782394</v>
      </c>
      <c r="AB223" s="224">
        <v>49.607279185895933</v>
      </c>
      <c r="AC223" s="224">
        <v>59.438019952194054</v>
      </c>
      <c r="AD223" s="1120">
        <v>11.352815462075323</v>
      </c>
      <c r="AE223" s="224">
        <v>0</v>
      </c>
      <c r="AF223" s="224">
        <v>20929.543462230002</v>
      </c>
      <c r="AG223" s="224">
        <v>3482.5969377990432</v>
      </c>
      <c r="AH223" s="224">
        <v>0</v>
      </c>
      <c r="AI223" s="224">
        <v>90000</v>
      </c>
      <c r="AJ223" s="224">
        <v>0</v>
      </c>
      <c r="AK223" s="224">
        <v>745.98720000000003</v>
      </c>
      <c r="AL223" s="224">
        <v>147601.26</v>
      </c>
      <c r="AM223" s="224">
        <v>58917.277320000001</v>
      </c>
      <c r="AN223" s="1120">
        <v>321676.66492002906</v>
      </c>
      <c r="AO223" s="224">
        <f t="shared" si="16"/>
        <v>1.4958469652830444</v>
      </c>
      <c r="AP223" s="1123">
        <v>0.1</v>
      </c>
      <c r="AQ223" s="1123">
        <f t="shared" si="18"/>
        <v>0.40760111439866603</v>
      </c>
      <c r="AR223" s="1123">
        <v>20</v>
      </c>
      <c r="AS223" s="1123">
        <f t="shared" si="15"/>
        <v>0.94798586716540389</v>
      </c>
      <c r="AT223" s="224">
        <f t="shared" si="17"/>
        <v>131115.76709745012</v>
      </c>
    </row>
    <row r="224" spans="1:46">
      <c r="A224" s="1121">
        <v>2020</v>
      </c>
      <c r="D224" s="1107" t="s">
        <v>2008</v>
      </c>
      <c r="E224" s="224" t="s">
        <v>2062</v>
      </c>
      <c r="G224" s="224" t="e">
        <v>#DIV/0!</v>
      </c>
      <c r="H224" s="224" t="e">
        <v>#DIV/0!</v>
      </c>
      <c r="I224" s="224" t="e">
        <v>#DIV/0!</v>
      </c>
      <c r="J224" s="224" t="e">
        <v>#DIV/0!</v>
      </c>
      <c r="K224" s="224" t="e">
        <v>#DIV/0!</v>
      </c>
      <c r="L224" s="224" t="e">
        <v>#DIV/0!</v>
      </c>
      <c r="M224" s="224" t="e">
        <v>#DIV/0!</v>
      </c>
      <c r="N224" s="224" t="e">
        <v>#DIV/0!</v>
      </c>
      <c r="O224" s="224" t="e">
        <v>#DIV/0!</v>
      </c>
      <c r="P224" s="224" t="e">
        <v>#DIV/0!</v>
      </c>
      <c r="Q224" s="224" t="e">
        <v>#DIV/0!</v>
      </c>
      <c r="R224" s="224" t="e">
        <v>#DIV/0!</v>
      </c>
      <c r="S224" s="224" t="e">
        <v>#DIV/0!</v>
      </c>
      <c r="T224" s="224" t="e">
        <v>#DIV/0!</v>
      </c>
      <c r="U224" s="224" t="e">
        <v>#DIV/0!</v>
      </c>
      <c r="V224" s="224" t="e">
        <v>#DIV/0!</v>
      </c>
      <c r="W224" s="224" t="e">
        <v>#DIV/0!</v>
      </c>
      <c r="X224" s="224" t="e">
        <v>#DIV/0!</v>
      </c>
      <c r="Y224" s="224" t="e">
        <v>#DIV/0!</v>
      </c>
      <c r="Z224" s="224" t="e">
        <v>#DIV/0!</v>
      </c>
      <c r="AA224" s="224" t="e">
        <v>#DIV/0!</v>
      </c>
      <c r="AB224" s="224" t="e">
        <v>#DIV/0!</v>
      </c>
      <c r="AC224" s="224" t="e">
        <v>#DIV/0!</v>
      </c>
      <c r="AD224" s="1120" t="e">
        <v>#DIV/0!</v>
      </c>
      <c r="AE224" s="224" t="e">
        <v>#DIV/0!</v>
      </c>
      <c r="AF224" s="224" t="e">
        <v>#DIV/0!</v>
      </c>
      <c r="AG224" s="224" t="e">
        <v>#DIV/0!</v>
      </c>
      <c r="AH224" s="224" t="e">
        <v>#DIV/0!</v>
      </c>
      <c r="AI224" s="224" t="e">
        <v>#DIV/0!</v>
      </c>
      <c r="AJ224" s="224" t="e">
        <v>#DIV/0!</v>
      </c>
      <c r="AK224" s="224" t="e">
        <v>#DIV/0!</v>
      </c>
      <c r="AL224" s="224" t="e">
        <v>#DIV/0!</v>
      </c>
      <c r="AM224" s="224" t="e">
        <v>#DIV/0!</v>
      </c>
      <c r="AN224" s="1120" t="e">
        <v>#DIV/0!</v>
      </c>
      <c r="AO224" s="224" t="e">
        <f t="shared" si="16"/>
        <v>#DIV/0!</v>
      </c>
      <c r="AP224" s="1123">
        <v>0.1</v>
      </c>
      <c r="AQ224" s="1123">
        <f t="shared" si="18"/>
        <v>0.40760111439866603</v>
      </c>
      <c r="AR224" s="1123">
        <v>20</v>
      </c>
      <c r="AS224" s="1123" t="e">
        <f t="shared" si="15"/>
        <v>#DIV/0!</v>
      </c>
      <c r="AT224" s="224" t="e">
        <f t="shared" si="17"/>
        <v>#DIV/0!</v>
      </c>
    </row>
    <row r="225" spans="1:46">
      <c r="A225" s="1118">
        <v>2025</v>
      </c>
      <c r="D225" s="1107" t="s">
        <v>2008</v>
      </c>
      <c r="E225" s="224" t="s">
        <v>2062</v>
      </c>
      <c r="G225" s="224" t="e">
        <v>#DIV/0!</v>
      </c>
      <c r="H225" s="224" t="e">
        <v>#DIV/0!</v>
      </c>
      <c r="I225" s="224" t="e">
        <v>#DIV/0!</v>
      </c>
      <c r="J225" s="224" t="e">
        <v>#DIV/0!</v>
      </c>
      <c r="K225" s="224" t="e">
        <v>#DIV/0!</v>
      </c>
      <c r="L225" s="224" t="e">
        <v>#DIV/0!</v>
      </c>
      <c r="M225" s="224" t="e">
        <v>#DIV/0!</v>
      </c>
      <c r="N225" s="224" t="e">
        <v>#DIV/0!</v>
      </c>
      <c r="O225" s="224" t="e">
        <v>#DIV/0!</v>
      </c>
      <c r="P225" s="224" t="e">
        <v>#DIV/0!</v>
      </c>
      <c r="Q225" s="224" t="e">
        <v>#DIV/0!</v>
      </c>
      <c r="R225" s="224" t="e">
        <v>#DIV/0!</v>
      </c>
      <c r="S225" s="224" t="e">
        <v>#DIV/0!</v>
      </c>
      <c r="T225" s="224" t="e">
        <v>#DIV/0!</v>
      </c>
      <c r="U225" s="224" t="e">
        <v>#DIV/0!</v>
      </c>
      <c r="V225" s="224" t="e">
        <v>#DIV/0!</v>
      </c>
      <c r="W225" s="224" t="e">
        <v>#DIV/0!</v>
      </c>
      <c r="X225" s="224" t="e">
        <v>#DIV/0!</v>
      </c>
      <c r="Y225" s="224" t="e">
        <v>#DIV/0!</v>
      </c>
      <c r="Z225" s="224" t="e">
        <v>#DIV/0!</v>
      </c>
      <c r="AA225" s="224" t="e">
        <v>#DIV/0!</v>
      </c>
      <c r="AB225" s="224" t="e">
        <v>#DIV/0!</v>
      </c>
      <c r="AC225" s="224" t="e">
        <v>#DIV/0!</v>
      </c>
      <c r="AD225" s="1120" t="e">
        <v>#DIV/0!</v>
      </c>
      <c r="AE225" s="224" t="e">
        <v>#DIV/0!</v>
      </c>
      <c r="AF225" s="224" t="e">
        <v>#DIV/0!</v>
      </c>
      <c r="AG225" s="224" t="e">
        <v>#DIV/0!</v>
      </c>
      <c r="AH225" s="224" t="e">
        <v>#DIV/0!</v>
      </c>
      <c r="AI225" s="224" t="e">
        <v>#DIV/0!</v>
      </c>
      <c r="AJ225" s="224" t="e">
        <v>#DIV/0!</v>
      </c>
      <c r="AK225" s="224" t="e">
        <v>#DIV/0!</v>
      </c>
      <c r="AL225" s="224" t="e">
        <v>#DIV/0!</v>
      </c>
      <c r="AM225" s="224" t="e">
        <v>#DIV/0!</v>
      </c>
      <c r="AN225" s="1120" t="e">
        <v>#DIV/0!</v>
      </c>
      <c r="AO225" s="224" t="e">
        <f t="shared" si="16"/>
        <v>#DIV/0!</v>
      </c>
      <c r="AP225" s="1123">
        <v>0.1</v>
      </c>
      <c r="AQ225" s="1123">
        <f t="shared" si="18"/>
        <v>0.40760111439866603</v>
      </c>
      <c r="AR225" s="1123">
        <v>20</v>
      </c>
      <c r="AS225" s="1123" t="e">
        <f t="shared" si="15"/>
        <v>#DIV/0!</v>
      </c>
      <c r="AT225" s="224" t="e">
        <f t="shared" si="17"/>
        <v>#DIV/0!</v>
      </c>
    </row>
    <row r="226" spans="1:46">
      <c r="A226" s="1118">
        <v>2030</v>
      </c>
      <c r="D226" s="1107" t="s">
        <v>2008</v>
      </c>
      <c r="E226" s="224" t="s">
        <v>2062</v>
      </c>
      <c r="G226" s="224">
        <v>22352.31373488313</v>
      </c>
      <c r="H226" s="224">
        <v>9364</v>
      </c>
      <c r="I226" s="224">
        <v>5.8924800000000017</v>
      </c>
      <c r="J226" s="224">
        <v>9.3763641137222992E-2</v>
      </c>
      <c r="K226" s="224">
        <v>7.2331496825707303E-2</v>
      </c>
      <c r="L226" s="224">
        <v>8.5505412702411368E-2</v>
      </c>
      <c r="M226" s="224">
        <v>0</v>
      </c>
      <c r="N226" s="224">
        <v>0</v>
      </c>
      <c r="O226" s="224">
        <v>0</v>
      </c>
      <c r="P226" s="224">
        <v>0</v>
      </c>
      <c r="Q226" s="224">
        <v>0</v>
      </c>
      <c r="R226" s="224">
        <v>0</v>
      </c>
      <c r="S226" s="224">
        <v>0</v>
      </c>
      <c r="T226" s="224">
        <v>0</v>
      </c>
      <c r="U226" s="224">
        <v>0</v>
      </c>
      <c r="V226" s="224">
        <v>0</v>
      </c>
      <c r="W226" s="224">
        <v>418.3983715</v>
      </c>
      <c r="X226" s="224">
        <v>111.35633187772922</v>
      </c>
      <c r="Y226" s="224">
        <v>5.8924800000000008</v>
      </c>
      <c r="Z226" s="224">
        <v>270.70423839999995</v>
      </c>
      <c r="AA226" s="224">
        <v>46.881820568611495</v>
      </c>
      <c r="AB226" s="224">
        <v>36.165748412853652</v>
      </c>
      <c r="AC226" s="224">
        <v>42.752706351205681</v>
      </c>
      <c r="AD226" s="1120">
        <v>8.1772957224046934</v>
      </c>
      <c r="AE226" s="224">
        <v>0</v>
      </c>
      <c r="AF226" s="224">
        <v>3987.323274492001</v>
      </c>
      <c r="AG226" s="224">
        <v>2472.1105676855886</v>
      </c>
      <c r="AH226" s="224">
        <v>0</v>
      </c>
      <c r="AI226" s="224">
        <v>90000</v>
      </c>
      <c r="AJ226" s="224">
        <v>0</v>
      </c>
      <c r="AK226" s="224">
        <v>658.22399999999993</v>
      </c>
      <c r="AL226" s="224">
        <v>32050.880000000001</v>
      </c>
      <c r="AM226" s="224">
        <v>21032.679599999999</v>
      </c>
      <c r="AN226" s="1120">
        <v>150201.21744217759</v>
      </c>
      <c r="AO226" s="224">
        <f t="shared" si="16"/>
        <v>1.0774404843840424</v>
      </c>
      <c r="AP226" s="1123">
        <v>0.1</v>
      </c>
      <c r="AQ226" s="1123">
        <f t="shared" si="18"/>
        <v>0.40760111439866603</v>
      </c>
      <c r="AR226" s="1123">
        <v>20</v>
      </c>
      <c r="AS226" s="1123">
        <f t="shared" si="15"/>
        <v>0.68282275902110756</v>
      </c>
      <c r="AT226" s="224">
        <f t="shared" si="17"/>
        <v>61222.18361346794</v>
      </c>
    </row>
    <row r="227" spans="1:46">
      <c r="A227" s="1118">
        <v>2035</v>
      </c>
      <c r="D227" s="1107" t="s">
        <v>2008</v>
      </c>
      <c r="E227" s="224" t="s">
        <v>2062</v>
      </c>
      <c r="G227" s="224" t="e">
        <v>#DIV/0!</v>
      </c>
      <c r="H227" s="224" t="e">
        <v>#DIV/0!</v>
      </c>
      <c r="I227" s="224" t="e">
        <v>#DIV/0!</v>
      </c>
      <c r="J227" s="224" t="e">
        <v>#DIV/0!</v>
      </c>
      <c r="K227" s="224" t="e">
        <v>#DIV/0!</v>
      </c>
      <c r="L227" s="224" t="e">
        <v>#DIV/0!</v>
      </c>
      <c r="M227" s="224" t="e">
        <v>#DIV/0!</v>
      </c>
      <c r="N227" s="224" t="e">
        <v>#DIV/0!</v>
      </c>
      <c r="O227" s="224" t="e">
        <v>#DIV/0!</v>
      </c>
      <c r="P227" s="224" t="e">
        <v>#DIV/0!</v>
      </c>
      <c r="Q227" s="224" t="e">
        <v>#DIV/0!</v>
      </c>
      <c r="R227" s="224" t="e">
        <v>#DIV/0!</v>
      </c>
      <c r="S227" s="224" t="e">
        <v>#DIV/0!</v>
      </c>
      <c r="T227" s="224" t="e">
        <v>#DIV/0!</v>
      </c>
      <c r="U227" s="224" t="e">
        <v>#DIV/0!</v>
      </c>
      <c r="V227" s="224" t="e">
        <v>#DIV/0!</v>
      </c>
      <c r="W227" s="224" t="e">
        <v>#DIV/0!</v>
      </c>
      <c r="X227" s="224" t="e">
        <v>#DIV/0!</v>
      </c>
      <c r="Y227" s="224" t="e">
        <v>#DIV/0!</v>
      </c>
      <c r="Z227" s="224" t="e">
        <v>#DIV/0!</v>
      </c>
      <c r="AA227" s="224" t="e">
        <v>#DIV/0!</v>
      </c>
      <c r="AB227" s="224" t="e">
        <v>#DIV/0!</v>
      </c>
      <c r="AC227" s="224" t="e">
        <v>#DIV/0!</v>
      </c>
      <c r="AD227" s="1120" t="e">
        <v>#DIV/0!</v>
      </c>
      <c r="AE227" s="224" t="e">
        <v>#DIV/0!</v>
      </c>
      <c r="AF227" s="224" t="e">
        <v>#DIV/0!</v>
      </c>
      <c r="AG227" s="224" t="e">
        <v>#DIV/0!</v>
      </c>
      <c r="AH227" s="224" t="e">
        <v>#DIV/0!</v>
      </c>
      <c r="AI227" s="224" t="e">
        <v>#DIV/0!</v>
      </c>
      <c r="AJ227" s="224" t="e">
        <v>#DIV/0!</v>
      </c>
      <c r="AK227" s="224" t="e">
        <v>#DIV/0!</v>
      </c>
      <c r="AL227" s="224" t="e">
        <v>#DIV/0!</v>
      </c>
      <c r="AM227" s="224" t="e">
        <v>#DIV/0!</v>
      </c>
      <c r="AN227" s="1120" t="e">
        <v>#DIV/0!</v>
      </c>
      <c r="AO227" s="224" t="e">
        <f t="shared" si="16"/>
        <v>#DIV/0!</v>
      </c>
      <c r="AP227" s="1123">
        <v>0.1</v>
      </c>
      <c r="AQ227" s="1123">
        <f t="shared" si="18"/>
        <v>0.40760111439866603</v>
      </c>
      <c r="AR227" s="1123">
        <v>20</v>
      </c>
      <c r="AS227" s="1123" t="e">
        <f t="shared" si="15"/>
        <v>#DIV/0!</v>
      </c>
      <c r="AT227" s="224" t="e">
        <f t="shared" si="17"/>
        <v>#DIV/0!</v>
      </c>
    </row>
    <row r="228" spans="1:46">
      <c r="A228" s="1118">
        <v>2050</v>
      </c>
      <c r="D228" s="1107" t="s">
        <v>2008</v>
      </c>
      <c r="E228" s="224" t="s">
        <v>2062</v>
      </c>
      <c r="G228" s="224">
        <v>20226.52146037616</v>
      </c>
      <c r="H228" s="224">
        <v>9364</v>
      </c>
      <c r="I228" s="224">
        <v>6.3201600000000004</v>
      </c>
      <c r="J228" s="224">
        <v>7.5378415413228386E-2</v>
      </c>
      <c r="K228" s="224">
        <v>5.8415325261279738E-2</v>
      </c>
      <c r="L228" s="224">
        <v>6.9533082861795742E-2</v>
      </c>
      <c r="M228" s="224">
        <v>0</v>
      </c>
      <c r="N228" s="224">
        <v>0</v>
      </c>
      <c r="O228" s="224">
        <v>0</v>
      </c>
      <c r="P228" s="224">
        <v>0</v>
      </c>
      <c r="Q228" s="224">
        <v>0</v>
      </c>
      <c r="R228" s="224">
        <v>0</v>
      </c>
      <c r="S228" s="224">
        <v>0</v>
      </c>
      <c r="T228" s="224">
        <v>0</v>
      </c>
      <c r="U228" s="224">
        <v>0</v>
      </c>
      <c r="V228" s="224">
        <v>0</v>
      </c>
      <c r="W228" s="224">
        <v>371.73317680000002</v>
      </c>
      <c r="X228" s="224">
        <v>119.43864628820957</v>
      </c>
      <c r="Y228" s="224">
        <v>6.3201600000000004</v>
      </c>
      <c r="Z228" s="224">
        <v>240.45350060000001</v>
      </c>
      <c r="AA228" s="224">
        <v>37.689207706614191</v>
      </c>
      <c r="AB228" s="224">
        <v>29.20766263063987</v>
      </c>
      <c r="AC228" s="224">
        <v>34.766541430897874</v>
      </c>
      <c r="AD228" s="1120">
        <v>6.6411223724235882</v>
      </c>
      <c r="AE228" s="224">
        <v>0</v>
      </c>
      <c r="AF228" s="224">
        <v>1818.87924864</v>
      </c>
      <c r="AG228" s="224">
        <v>1863.242882096069</v>
      </c>
      <c r="AH228" s="224">
        <v>0</v>
      </c>
      <c r="AI228" s="224">
        <v>90000</v>
      </c>
      <c r="AJ228" s="224">
        <v>0</v>
      </c>
      <c r="AK228" s="224">
        <v>658.22399999999993</v>
      </c>
      <c r="AL228" s="224">
        <v>17312.399999999998</v>
      </c>
      <c r="AM228" s="224">
        <v>12378.86328</v>
      </c>
      <c r="AN228" s="1120">
        <v>124031.60941073607</v>
      </c>
      <c r="AO228" s="224">
        <f t="shared" si="16"/>
        <v>0.87503428379053194</v>
      </c>
      <c r="AP228" s="1123">
        <v>0.1</v>
      </c>
      <c r="AQ228" s="1123">
        <f t="shared" si="18"/>
        <v>0.40760111439866603</v>
      </c>
      <c r="AR228" s="1123">
        <v>20</v>
      </c>
      <c r="AS228" s="1123">
        <f t="shared" si="15"/>
        <v>0.55454879648177358</v>
      </c>
      <c r="AT228" s="224">
        <f t="shared" si="17"/>
        <v>50555.422216476094</v>
      </c>
    </row>
    <row r="229" spans="1:46">
      <c r="A229" s="1118">
        <v>2017</v>
      </c>
      <c r="B229" s="1119"/>
      <c r="C229" s="1119"/>
      <c r="D229" s="1119" t="s">
        <v>2064</v>
      </c>
      <c r="E229" s="1119" t="s">
        <v>2057</v>
      </c>
      <c r="F229" s="1119"/>
      <c r="G229" s="224">
        <v>7715.1847696842215</v>
      </c>
      <c r="H229" s="224">
        <v>4500</v>
      </c>
      <c r="I229" s="224">
        <v>3.1680000000000001</v>
      </c>
      <c r="J229" s="224">
        <v>9.1708277887815326E-2</v>
      </c>
      <c r="K229" s="224">
        <v>6.3074259889277465E-2</v>
      </c>
      <c r="L229" s="224">
        <v>7.603189212238233E-2</v>
      </c>
      <c r="M229" s="224">
        <v>0</v>
      </c>
      <c r="N229" s="224">
        <v>0</v>
      </c>
      <c r="O229" s="224">
        <v>0</v>
      </c>
      <c r="P229" s="224">
        <v>0</v>
      </c>
      <c r="Q229" s="224">
        <v>0</v>
      </c>
      <c r="R229" s="224">
        <v>0</v>
      </c>
      <c r="S229" s="224">
        <v>0</v>
      </c>
      <c r="T229" s="224">
        <v>0</v>
      </c>
      <c r="U229" s="224">
        <v>0</v>
      </c>
      <c r="V229" s="224">
        <v>231.5721681</v>
      </c>
      <c r="W229" s="224">
        <v>0</v>
      </c>
      <c r="X229" s="224">
        <v>4.3509999999999991</v>
      </c>
      <c r="Y229" s="224">
        <v>3.1680000000000001</v>
      </c>
      <c r="Z229" s="224">
        <v>0</v>
      </c>
      <c r="AA229" s="224">
        <v>13.756241683172298</v>
      </c>
      <c r="AB229" s="224">
        <v>9.4611389833916189</v>
      </c>
      <c r="AC229" s="224">
        <v>11.40478381835735</v>
      </c>
      <c r="AD229" s="1120">
        <v>16.465157139568362</v>
      </c>
      <c r="AE229" s="224">
        <v>21972.585279533716</v>
      </c>
      <c r="AF229" s="224">
        <v>0</v>
      </c>
      <c r="AG229" s="224">
        <v>261.60000000000002</v>
      </c>
      <c r="AH229" s="224">
        <v>7492.577360753794</v>
      </c>
      <c r="AI229" s="224">
        <v>40800</v>
      </c>
      <c r="AJ229" s="224">
        <v>0</v>
      </c>
      <c r="AK229" s="224">
        <v>745.98720000000003</v>
      </c>
      <c r="AL229" s="224">
        <v>0</v>
      </c>
      <c r="AM229" s="224">
        <v>436.00000000000006</v>
      </c>
      <c r="AN229" s="1120">
        <v>71708.749840287506</v>
      </c>
      <c r="AO229" s="224">
        <f t="shared" si="16"/>
        <v>2.169449104709527</v>
      </c>
      <c r="AP229" s="1123">
        <v>0.1</v>
      </c>
      <c r="AQ229" s="1123">
        <f>AA229*$C$4*365/1000*0.1</f>
        <v>6.6157067752379534E-2</v>
      </c>
      <c r="AR229" s="1123">
        <v>20</v>
      </c>
      <c r="AS229" s="1123">
        <f>AO229/$AO$229</f>
        <v>1</v>
      </c>
      <c r="AT229" s="224">
        <f t="shared" si="17"/>
        <v>4744.0406216223355</v>
      </c>
    </row>
    <row r="230" spans="1:46">
      <c r="A230" s="1121">
        <v>2020</v>
      </c>
      <c r="B230" s="1107"/>
      <c r="C230" s="1107"/>
      <c r="D230" s="1107" t="s">
        <v>2064</v>
      </c>
      <c r="E230" s="1107" t="s">
        <v>2057</v>
      </c>
      <c r="F230" s="1107"/>
      <c r="G230" s="224" t="e">
        <v>#DIV/0!</v>
      </c>
      <c r="H230" s="224" t="e">
        <v>#DIV/0!</v>
      </c>
      <c r="I230" s="224" t="e">
        <v>#DIV/0!</v>
      </c>
      <c r="J230" s="224" t="e">
        <v>#DIV/0!</v>
      </c>
      <c r="K230" s="224" t="e">
        <v>#DIV/0!</v>
      </c>
      <c r="L230" s="224" t="e">
        <v>#DIV/0!</v>
      </c>
      <c r="M230" s="224" t="e">
        <v>#DIV/0!</v>
      </c>
      <c r="N230" s="224" t="e">
        <v>#DIV/0!</v>
      </c>
      <c r="O230" s="224" t="e">
        <v>#DIV/0!</v>
      </c>
      <c r="P230" s="224" t="e">
        <v>#DIV/0!</v>
      </c>
      <c r="Q230" s="224" t="e">
        <v>#DIV/0!</v>
      </c>
      <c r="R230" s="224" t="e">
        <v>#DIV/0!</v>
      </c>
      <c r="S230" s="224" t="e">
        <v>#DIV/0!</v>
      </c>
      <c r="T230" s="224" t="e">
        <v>#DIV/0!</v>
      </c>
      <c r="U230" s="224" t="e">
        <v>#DIV/0!</v>
      </c>
      <c r="V230" s="224" t="e">
        <v>#DIV/0!</v>
      </c>
      <c r="W230" s="224" t="e">
        <v>#DIV/0!</v>
      </c>
      <c r="X230" s="224" t="e">
        <v>#DIV/0!</v>
      </c>
      <c r="Y230" s="224" t="e">
        <v>#DIV/0!</v>
      </c>
      <c r="Z230" s="224" t="e">
        <v>#DIV/0!</v>
      </c>
      <c r="AA230" s="224" t="e">
        <v>#DIV/0!</v>
      </c>
      <c r="AB230" s="224" t="e">
        <v>#DIV/0!</v>
      </c>
      <c r="AC230" s="224" t="e">
        <v>#DIV/0!</v>
      </c>
      <c r="AD230" s="1120" t="e">
        <v>#DIV/0!</v>
      </c>
      <c r="AE230" s="224" t="e">
        <v>#DIV/0!</v>
      </c>
      <c r="AF230" s="224" t="e">
        <v>#DIV/0!</v>
      </c>
      <c r="AG230" s="224" t="e">
        <v>#DIV/0!</v>
      </c>
      <c r="AH230" s="224" t="e">
        <v>#DIV/0!</v>
      </c>
      <c r="AI230" s="224" t="e">
        <v>#DIV/0!</v>
      </c>
      <c r="AJ230" s="224" t="e">
        <v>#DIV/0!</v>
      </c>
      <c r="AK230" s="224" t="e">
        <v>#DIV/0!</v>
      </c>
      <c r="AL230" s="224" t="e">
        <v>#DIV/0!</v>
      </c>
      <c r="AM230" s="224" t="e">
        <v>#DIV/0!</v>
      </c>
      <c r="AN230" s="1120" t="e">
        <v>#DIV/0!</v>
      </c>
      <c r="AO230" s="224" t="e">
        <f t="shared" si="16"/>
        <v>#DIV/0!</v>
      </c>
      <c r="AP230" s="1123">
        <v>0.1</v>
      </c>
      <c r="AQ230" s="1123">
        <f t="shared" si="18"/>
        <v>6.6157067752379534E-2</v>
      </c>
      <c r="AR230" s="1123">
        <v>20</v>
      </c>
      <c r="AS230" s="1123" t="e">
        <f t="shared" ref="AS230:AS264" si="19">AO230/$AO$229</f>
        <v>#DIV/0!</v>
      </c>
      <c r="AT230" s="224" t="e">
        <f t="shared" si="17"/>
        <v>#DIV/0!</v>
      </c>
    </row>
    <row r="231" spans="1:46">
      <c r="A231" s="1118">
        <v>2025</v>
      </c>
      <c r="B231" s="1119"/>
      <c r="C231" s="1119"/>
      <c r="D231" s="1107" t="s">
        <v>2064</v>
      </c>
      <c r="E231" s="1119" t="s">
        <v>2057</v>
      </c>
      <c r="F231" s="1119"/>
      <c r="G231" s="224" t="e">
        <v>#DIV/0!</v>
      </c>
      <c r="H231" s="224" t="e">
        <v>#DIV/0!</v>
      </c>
      <c r="I231" s="224" t="e">
        <v>#DIV/0!</v>
      </c>
      <c r="J231" s="224" t="e">
        <v>#DIV/0!</v>
      </c>
      <c r="K231" s="224" t="e">
        <v>#DIV/0!</v>
      </c>
      <c r="L231" s="224" t="e">
        <v>#DIV/0!</v>
      </c>
      <c r="M231" s="224" t="e">
        <v>#DIV/0!</v>
      </c>
      <c r="N231" s="224" t="e">
        <v>#DIV/0!</v>
      </c>
      <c r="O231" s="224" t="e">
        <v>#DIV/0!</v>
      </c>
      <c r="P231" s="224" t="e">
        <v>#DIV/0!</v>
      </c>
      <c r="Q231" s="224" t="e">
        <v>#DIV/0!</v>
      </c>
      <c r="R231" s="224" t="e">
        <v>#DIV/0!</v>
      </c>
      <c r="S231" s="224" t="e">
        <v>#DIV/0!</v>
      </c>
      <c r="T231" s="224" t="e">
        <v>#DIV/0!</v>
      </c>
      <c r="U231" s="224" t="e">
        <v>#DIV/0!</v>
      </c>
      <c r="V231" s="224" t="e">
        <v>#DIV/0!</v>
      </c>
      <c r="W231" s="224" t="e">
        <v>#DIV/0!</v>
      </c>
      <c r="X231" s="224" t="e">
        <v>#DIV/0!</v>
      </c>
      <c r="Y231" s="224" t="e">
        <v>#DIV/0!</v>
      </c>
      <c r="Z231" s="224" t="e">
        <v>#DIV/0!</v>
      </c>
      <c r="AA231" s="224" t="e">
        <v>#DIV/0!</v>
      </c>
      <c r="AB231" s="224" t="e">
        <v>#DIV/0!</v>
      </c>
      <c r="AC231" s="224" t="e">
        <v>#DIV/0!</v>
      </c>
      <c r="AD231" s="1120" t="e">
        <v>#DIV/0!</v>
      </c>
      <c r="AE231" s="224" t="e">
        <v>#DIV/0!</v>
      </c>
      <c r="AF231" s="224" t="e">
        <v>#DIV/0!</v>
      </c>
      <c r="AG231" s="224" t="e">
        <v>#DIV/0!</v>
      </c>
      <c r="AH231" s="224" t="e">
        <v>#DIV/0!</v>
      </c>
      <c r="AI231" s="224" t="e">
        <v>#DIV/0!</v>
      </c>
      <c r="AJ231" s="224" t="e">
        <v>#DIV/0!</v>
      </c>
      <c r="AK231" s="224" t="e">
        <v>#DIV/0!</v>
      </c>
      <c r="AL231" s="224" t="e">
        <v>#DIV/0!</v>
      </c>
      <c r="AM231" s="224" t="e">
        <v>#DIV/0!</v>
      </c>
      <c r="AN231" s="1120" t="e">
        <v>#DIV/0!</v>
      </c>
      <c r="AO231" s="224" t="e">
        <f t="shared" si="16"/>
        <v>#DIV/0!</v>
      </c>
      <c r="AP231" s="1123">
        <v>0.1</v>
      </c>
      <c r="AQ231" s="1123">
        <f t="shared" si="18"/>
        <v>6.6157067752379534E-2</v>
      </c>
      <c r="AR231" s="1123">
        <v>20</v>
      </c>
      <c r="AS231" s="1123" t="e">
        <f t="shared" si="19"/>
        <v>#DIV/0!</v>
      </c>
      <c r="AT231" s="224" t="e">
        <f t="shared" si="17"/>
        <v>#DIV/0!</v>
      </c>
    </row>
    <row r="232" spans="1:46">
      <c r="A232" s="1118">
        <v>2030</v>
      </c>
      <c r="B232" s="1107"/>
      <c r="C232" s="1107"/>
      <c r="D232" s="1107" t="s">
        <v>2064</v>
      </c>
      <c r="E232" s="1107" t="s">
        <v>2057</v>
      </c>
      <c r="F232" s="1107"/>
      <c r="G232" s="224">
        <v>7769.0109925377456</v>
      </c>
      <c r="H232" s="224">
        <v>4581</v>
      </c>
      <c r="I232" s="224">
        <v>3.1680000000000001</v>
      </c>
      <c r="J232" s="224">
        <v>6.6869126036282547E-2</v>
      </c>
      <c r="K232" s="224">
        <v>4.1798887165477104E-2</v>
      </c>
      <c r="L232" s="224">
        <v>4.9869941621400779E-2</v>
      </c>
      <c r="M232" s="224">
        <v>0</v>
      </c>
      <c r="N232" s="224">
        <v>0</v>
      </c>
      <c r="O232" s="224">
        <v>0</v>
      </c>
      <c r="P232" s="224">
        <v>0</v>
      </c>
      <c r="Q232" s="224">
        <v>0</v>
      </c>
      <c r="R232" s="224">
        <v>0</v>
      </c>
      <c r="S232" s="224">
        <v>0</v>
      </c>
      <c r="T232" s="224">
        <v>0</v>
      </c>
      <c r="U232" s="224">
        <v>0</v>
      </c>
      <c r="V232" s="224">
        <v>203.2395961</v>
      </c>
      <c r="W232" s="224">
        <v>0</v>
      </c>
      <c r="X232" s="224">
        <v>4.3964347826086954</v>
      </c>
      <c r="Y232" s="224">
        <v>3.1680000000000001</v>
      </c>
      <c r="Z232" s="224">
        <v>0</v>
      </c>
      <c r="AA232" s="224">
        <v>10.030368905442382</v>
      </c>
      <c r="AB232" s="224">
        <v>6.269833074821566</v>
      </c>
      <c r="AC232" s="224">
        <v>7.4804912432101167</v>
      </c>
      <c r="AD232" s="1120">
        <v>11.293667743221315</v>
      </c>
      <c r="AE232" s="224">
        <v>18949.382172059428</v>
      </c>
      <c r="AF232" s="224">
        <v>0</v>
      </c>
      <c r="AG232" s="224">
        <v>177.6</v>
      </c>
      <c r="AH232" s="224">
        <v>6700.6331240917234</v>
      </c>
      <c r="AI232" s="224">
        <v>40800</v>
      </c>
      <c r="AJ232" s="224">
        <v>1426.4912628</v>
      </c>
      <c r="AK232" s="224">
        <v>5614.4184944067338</v>
      </c>
      <c r="AL232" s="224">
        <v>0</v>
      </c>
      <c r="AM232" s="224">
        <v>296</v>
      </c>
      <c r="AN232" s="1120">
        <v>73964.52505335788</v>
      </c>
      <c r="AO232" s="224">
        <f t="shared" si="16"/>
        <v>1.4880536618468403</v>
      </c>
      <c r="AP232" s="1123">
        <v>0.1</v>
      </c>
      <c r="AQ232" s="1123">
        <f t="shared" si="18"/>
        <v>6.6157067752379534E-2</v>
      </c>
      <c r="AR232" s="1123">
        <v>20</v>
      </c>
      <c r="AS232" s="1123">
        <f t="shared" si="19"/>
        <v>0.68591314662165326</v>
      </c>
      <c r="AT232" s="224">
        <f t="shared" si="17"/>
        <v>4893.2760952275703</v>
      </c>
    </row>
    <row r="233" spans="1:46">
      <c r="A233" s="1118">
        <v>2035</v>
      </c>
      <c r="B233" s="1119"/>
      <c r="C233" s="1119"/>
      <c r="D233" s="1107" t="s">
        <v>2064</v>
      </c>
      <c r="E233" s="1119" t="s">
        <v>2057</v>
      </c>
      <c r="F233" s="1119"/>
      <c r="G233" s="224" t="e">
        <v>#DIV/0!</v>
      </c>
      <c r="H233" s="224" t="e">
        <v>#DIV/0!</v>
      </c>
      <c r="I233" s="224" t="e">
        <v>#DIV/0!</v>
      </c>
      <c r="J233" s="224" t="e">
        <v>#DIV/0!</v>
      </c>
      <c r="K233" s="224" t="e">
        <v>#DIV/0!</v>
      </c>
      <c r="L233" s="224" t="e">
        <v>#DIV/0!</v>
      </c>
      <c r="M233" s="224" t="e">
        <v>#DIV/0!</v>
      </c>
      <c r="N233" s="224" t="e">
        <v>#DIV/0!</v>
      </c>
      <c r="O233" s="224" t="e">
        <v>#DIV/0!</v>
      </c>
      <c r="P233" s="224" t="e">
        <v>#DIV/0!</v>
      </c>
      <c r="Q233" s="224" t="e">
        <v>#DIV/0!</v>
      </c>
      <c r="R233" s="224" t="e">
        <v>#DIV/0!</v>
      </c>
      <c r="S233" s="224" t="e">
        <v>#DIV/0!</v>
      </c>
      <c r="T233" s="224" t="e">
        <v>#DIV/0!</v>
      </c>
      <c r="U233" s="224" t="e">
        <v>#DIV/0!</v>
      </c>
      <c r="V233" s="224" t="e">
        <v>#DIV/0!</v>
      </c>
      <c r="W233" s="224" t="e">
        <v>#DIV/0!</v>
      </c>
      <c r="X233" s="224" t="e">
        <v>#DIV/0!</v>
      </c>
      <c r="Y233" s="224" t="e">
        <v>#DIV/0!</v>
      </c>
      <c r="Z233" s="224" t="e">
        <v>#DIV/0!</v>
      </c>
      <c r="AA233" s="224" t="e">
        <v>#DIV/0!</v>
      </c>
      <c r="AB233" s="224" t="e">
        <v>#DIV/0!</v>
      </c>
      <c r="AC233" s="224" t="e">
        <v>#DIV/0!</v>
      </c>
      <c r="AD233" s="1120" t="e">
        <v>#DIV/0!</v>
      </c>
      <c r="AE233" s="224" t="e">
        <v>#DIV/0!</v>
      </c>
      <c r="AF233" s="224" t="e">
        <v>#DIV/0!</v>
      </c>
      <c r="AG233" s="224" t="e">
        <v>#DIV/0!</v>
      </c>
      <c r="AH233" s="224" t="e">
        <v>#DIV/0!</v>
      </c>
      <c r="AI233" s="224" t="e">
        <v>#DIV/0!</v>
      </c>
      <c r="AJ233" s="224" t="e">
        <v>#DIV/0!</v>
      </c>
      <c r="AK233" s="224" t="e">
        <v>#DIV/0!</v>
      </c>
      <c r="AL233" s="224" t="e">
        <v>#DIV/0!</v>
      </c>
      <c r="AM233" s="224" t="e">
        <v>#DIV/0!</v>
      </c>
      <c r="AN233" s="1120" t="e">
        <v>#DIV/0!</v>
      </c>
      <c r="AO233" s="224" t="e">
        <f t="shared" si="16"/>
        <v>#DIV/0!</v>
      </c>
      <c r="AP233" s="1123">
        <v>0.1</v>
      </c>
      <c r="AQ233" s="1123">
        <f t="shared" si="18"/>
        <v>6.6157067752379534E-2</v>
      </c>
      <c r="AR233" s="1123">
        <v>20</v>
      </c>
      <c r="AS233" s="1123" t="e">
        <f t="shared" si="19"/>
        <v>#DIV/0!</v>
      </c>
      <c r="AT233" s="224" t="e">
        <f t="shared" si="17"/>
        <v>#DIV/0!</v>
      </c>
    </row>
    <row r="234" spans="1:46">
      <c r="A234" s="1118">
        <v>2050</v>
      </c>
      <c r="B234" s="1107"/>
      <c r="C234" s="1107"/>
      <c r="D234" s="1107" t="s">
        <v>2064</v>
      </c>
      <c r="E234" s="1107" t="s">
        <v>2057</v>
      </c>
      <c r="F234" s="1107"/>
      <c r="G234" s="224">
        <v>7672.0810096492369</v>
      </c>
      <c r="H234" s="224">
        <v>4699</v>
      </c>
      <c r="I234" s="224">
        <v>3.1680000000000001</v>
      </c>
      <c r="J234" s="224">
        <v>6.1814367038089298E-2</v>
      </c>
      <c r="K234" s="224">
        <v>3.8686455628347965E-2</v>
      </c>
      <c r="L234" s="224">
        <v>4.6348312829270107E-2</v>
      </c>
      <c r="M234" s="224">
        <v>0</v>
      </c>
      <c r="N234" s="224">
        <v>0</v>
      </c>
      <c r="O234" s="224">
        <v>0</v>
      </c>
      <c r="P234" s="224">
        <v>0</v>
      </c>
      <c r="Q234" s="224">
        <v>0</v>
      </c>
      <c r="R234" s="224">
        <v>0</v>
      </c>
      <c r="S234" s="224">
        <v>0</v>
      </c>
      <c r="T234" s="224">
        <v>0</v>
      </c>
      <c r="U234" s="224">
        <v>0</v>
      </c>
      <c r="V234" s="224">
        <v>199.208101</v>
      </c>
      <c r="W234" s="224">
        <v>0</v>
      </c>
      <c r="X234" s="224">
        <v>4.3964347826086954</v>
      </c>
      <c r="Y234" s="224">
        <v>3.1680000000000001</v>
      </c>
      <c r="Z234" s="224">
        <v>0</v>
      </c>
      <c r="AA234" s="224">
        <v>9.2721550557133945</v>
      </c>
      <c r="AB234" s="224">
        <v>5.8029683442521947</v>
      </c>
      <c r="AC234" s="224">
        <v>6.9522469243905158</v>
      </c>
      <c r="AD234" s="1120">
        <v>10.212914723832165</v>
      </c>
      <c r="AE234" s="224">
        <v>18540.974183222857</v>
      </c>
      <c r="AF234" s="224">
        <v>0</v>
      </c>
      <c r="AG234" s="224">
        <v>144</v>
      </c>
      <c r="AH234" s="224">
        <v>6587.945885193104</v>
      </c>
      <c r="AI234" s="224">
        <v>40800</v>
      </c>
      <c r="AJ234" s="224">
        <v>2092.7190328799998</v>
      </c>
      <c r="AK234" s="224">
        <v>6393.2965024452897</v>
      </c>
      <c r="AL234" s="224">
        <v>0</v>
      </c>
      <c r="AM234" s="224">
        <v>240</v>
      </c>
      <c r="AN234" s="1120">
        <v>74798.935603741251</v>
      </c>
      <c r="AO234" s="224">
        <f t="shared" si="16"/>
        <v>1.3456536440121261</v>
      </c>
      <c r="AP234" s="1123">
        <v>0.1</v>
      </c>
      <c r="AQ234" s="1123">
        <f t="shared" si="18"/>
        <v>6.6157067752379534E-2</v>
      </c>
      <c r="AR234" s="1123">
        <v>20</v>
      </c>
      <c r="AS234" s="1123">
        <f t="shared" si="19"/>
        <v>0.62027435494611383</v>
      </c>
      <c r="AT234" s="224">
        <f t="shared" si="17"/>
        <v>4948.4782505425837</v>
      </c>
    </row>
    <row r="235" spans="1:46">
      <c r="A235" s="1118">
        <v>2017</v>
      </c>
      <c r="B235" s="1119"/>
      <c r="C235" s="1119"/>
      <c r="D235" s="1107" t="s">
        <v>2064</v>
      </c>
      <c r="E235" s="1119" t="s">
        <v>2058</v>
      </c>
      <c r="F235" s="1119"/>
      <c r="G235" s="224">
        <v>7711.0655516680272</v>
      </c>
      <c r="H235" s="224">
        <v>4500</v>
      </c>
      <c r="I235" s="224">
        <v>0.21333565440000002</v>
      </c>
      <c r="J235" s="224">
        <v>8.7146044233268702E-2</v>
      </c>
      <c r="K235" s="224">
        <v>6.072652113568186E-2</v>
      </c>
      <c r="L235" s="224">
        <v>7.3609250049487374E-2</v>
      </c>
      <c r="M235" s="224">
        <v>0</v>
      </c>
      <c r="N235" s="224">
        <v>0</v>
      </c>
      <c r="O235" s="224">
        <v>0</v>
      </c>
      <c r="P235" s="224">
        <v>0</v>
      </c>
      <c r="Q235" s="224">
        <v>0</v>
      </c>
      <c r="R235" s="224">
        <v>0</v>
      </c>
      <c r="S235" s="224">
        <v>0</v>
      </c>
      <c r="T235" s="224">
        <v>0</v>
      </c>
      <c r="U235" s="224">
        <v>0</v>
      </c>
      <c r="V235" s="224">
        <v>231.5721681</v>
      </c>
      <c r="W235" s="224">
        <v>4</v>
      </c>
      <c r="X235" s="224">
        <v>6</v>
      </c>
      <c r="Y235" s="224">
        <v>0.21333565440000002</v>
      </c>
      <c r="Z235" s="224">
        <v>0</v>
      </c>
      <c r="AA235" s="224">
        <v>13.071906634990306</v>
      </c>
      <c r="AB235" s="224">
        <v>9.1089781703522785</v>
      </c>
      <c r="AC235" s="224">
        <v>11.041387507423106</v>
      </c>
      <c r="AD235" s="1120">
        <v>15.743322897722262</v>
      </c>
      <c r="AE235" s="224">
        <v>21972.585279533716</v>
      </c>
      <c r="AF235" s="224">
        <v>883.35</v>
      </c>
      <c r="AG235" s="224">
        <v>289.53193070239229</v>
      </c>
      <c r="AH235" s="224">
        <v>7492.577360753794</v>
      </c>
      <c r="AI235" s="224">
        <v>40800</v>
      </c>
      <c r="AJ235" s="224">
        <v>0</v>
      </c>
      <c r="AK235" s="224">
        <v>745.98720000000003</v>
      </c>
      <c r="AL235" s="224">
        <v>0</v>
      </c>
      <c r="AM235" s="224">
        <v>436.00000000000006</v>
      </c>
      <c r="AN235" s="1120">
        <v>72620.03177098991</v>
      </c>
      <c r="AO235" s="224">
        <f t="shared" si="16"/>
        <v>2.0743402250038852</v>
      </c>
      <c r="AP235" s="1123">
        <v>0.1</v>
      </c>
      <c r="AQ235" s="1123">
        <f t="shared" si="18"/>
        <v>6.6157067752379534E-2</v>
      </c>
      <c r="AR235" s="1123">
        <v>20</v>
      </c>
      <c r="AS235" s="1123">
        <f t="shared" si="19"/>
        <v>0.95615989354201691</v>
      </c>
      <c r="AT235" s="224">
        <f t="shared" si="17"/>
        <v>4804.3283620533339</v>
      </c>
    </row>
    <row r="236" spans="1:46">
      <c r="A236" s="1121">
        <v>2020</v>
      </c>
      <c r="D236" s="1107" t="s">
        <v>2064</v>
      </c>
      <c r="E236" s="224" t="s">
        <v>2058</v>
      </c>
      <c r="G236" s="224" t="e">
        <v>#DIV/0!</v>
      </c>
      <c r="H236" s="224" t="e">
        <v>#DIV/0!</v>
      </c>
      <c r="I236" s="224" t="e">
        <v>#DIV/0!</v>
      </c>
      <c r="J236" s="224" t="e">
        <v>#DIV/0!</v>
      </c>
      <c r="K236" s="224" t="e">
        <v>#DIV/0!</v>
      </c>
      <c r="L236" s="224" t="e">
        <v>#DIV/0!</v>
      </c>
      <c r="M236" s="224" t="e">
        <v>#DIV/0!</v>
      </c>
      <c r="N236" s="224" t="e">
        <v>#DIV/0!</v>
      </c>
      <c r="O236" s="224" t="e">
        <v>#DIV/0!</v>
      </c>
      <c r="P236" s="224" t="e">
        <v>#DIV/0!</v>
      </c>
      <c r="Q236" s="224" t="e">
        <v>#DIV/0!</v>
      </c>
      <c r="R236" s="224" t="e">
        <v>#DIV/0!</v>
      </c>
      <c r="S236" s="224" t="e">
        <v>#DIV/0!</v>
      </c>
      <c r="T236" s="224" t="e">
        <v>#DIV/0!</v>
      </c>
      <c r="U236" s="224" t="e">
        <v>#DIV/0!</v>
      </c>
      <c r="V236" s="224" t="e">
        <v>#DIV/0!</v>
      </c>
      <c r="W236" s="224" t="e">
        <v>#DIV/0!</v>
      </c>
      <c r="X236" s="224" t="e">
        <v>#DIV/0!</v>
      </c>
      <c r="Y236" s="224" t="e">
        <v>#DIV/0!</v>
      </c>
      <c r="Z236" s="224" t="e">
        <v>#DIV/0!</v>
      </c>
      <c r="AA236" s="224" t="e">
        <v>#DIV/0!</v>
      </c>
      <c r="AB236" s="224" t="e">
        <v>#DIV/0!</v>
      </c>
      <c r="AC236" s="224" t="e">
        <v>#DIV/0!</v>
      </c>
      <c r="AD236" s="1120" t="e">
        <v>#DIV/0!</v>
      </c>
      <c r="AE236" s="224" t="e">
        <v>#DIV/0!</v>
      </c>
      <c r="AF236" s="224" t="e">
        <v>#DIV/0!</v>
      </c>
      <c r="AG236" s="224" t="e">
        <v>#DIV/0!</v>
      </c>
      <c r="AH236" s="224" t="e">
        <v>#DIV/0!</v>
      </c>
      <c r="AI236" s="224" t="e">
        <v>#DIV/0!</v>
      </c>
      <c r="AJ236" s="224" t="e">
        <v>#DIV/0!</v>
      </c>
      <c r="AK236" s="224" t="e">
        <v>#DIV/0!</v>
      </c>
      <c r="AL236" s="224" t="e">
        <v>#DIV/0!</v>
      </c>
      <c r="AM236" s="224" t="e">
        <v>#DIV/0!</v>
      </c>
      <c r="AN236" s="1120" t="e">
        <v>#DIV/0!</v>
      </c>
      <c r="AO236" s="224" t="e">
        <f t="shared" si="16"/>
        <v>#DIV/0!</v>
      </c>
      <c r="AP236" s="1123">
        <v>0.1</v>
      </c>
      <c r="AQ236" s="1123">
        <f t="shared" si="18"/>
        <v>6.6157067752379534E-2</v>
      </c>
      <c r="AR236" s="1123">
        <v>20</v>
      </c>
      <c r="AS236" s="1123" t="e">
        <f t="shared" si="19"/>
        <v>#DIV/0!</v>
      </c>
      <c r="AT236" s="224" t="e">
        <f t="shared" si="17"/>
        <v>#DIV/0!</v>
      </c>
    </row>
    <row r="237" spans="1:46">
      <c r="A237" s="1118">
        <v>2025</v>
      </c>
      <c r="D237" s="1107" t="s">
        <v>2064</v>
      </c>
      <c r="E237" s="224" t="s">
        <v>2058</v>
      </c>
      <c r="G237" s="224" t="e">
        <v>#DIV/0!</v>
      </c>
      <c r="H237" s="224" t="e">
        <v>#DIV/0!</v>
      </c>
      <c r="I237" s="224" t="e">
        <v>#DIV/0!</v>
      </c>
      <c r="J237" s="224" t="e">
        <v>#DIV/0!</v>
      </c>
      <c r="K237" s="224" t="e">
        <v>#DIV/0!</v>
      </c>
      <c r="L237" s="224" t="e">
        <v>#DIV/0!</v>
      </c>
      <c r="M237" s="224" t="e">
        <v>#DIV/0!</v>
      </c>
      <c r="N237" s="224" t="e">
        <v>#DIV/0!</v>
      </c>
      <c r="O237" s="224" t="e">
        <v>#DIV/0!</v>
      </c>
      <c r="P237" s="224" t="e">
        <v>#DIV/0!</v>
      </c>
      <c r="Q237" s="224" t="e">
        <v>#DIV/0!</v>
      </c>
      <c r="R237" s="224" t="e">
        <v>#DIV/0!</v>
      </c>
      <c r="S237" s="224" t="e">
        <v>#DIV/0!</v>
      </c>
      <c r="T237" s="224" t="e">
        <v>#DIV/0!</v>
      </c>
      <c r="U237" s="224" t="e">
        <v>#DIV/0!</v>
      </c>
      <c r="V237" s="224" t="e">
        <v>#DIV/0!</v>
      </c>
      <c r="W237" s="224" t="e">
        <v>#DIV/0!</v>
      </c>
      <c r="X237" s="224" t="e">
        <v>#DIV/0!</v>
      </c>
      <c r="Y237" s="224" t="e">
        <v>#DIV/0!</v>
      </c>
      <c r="Z237" s="224" t="e">
        <v>#DIV/0!</v>
      </c>
      <c r="AA237" s="224" t="e">
        <v>#DIV/0!</v>
      </c>
      <c r="AB237" s="224" t="e">
        <v>#DIV/0!</v>
      </c>
      <c r="AC237" s="224" t="e">
        <v>#DIV/0!</v>
      </c>
      <c r="AD237" s="1120" t="e">
        <v>#DIV/0!</v>
      </c>
      <c r="AE237" s="224" t="e">
        <v>#DIV/0!</v>
      </c>
      <c r="AF237" s="224" t="e">
        <v>#DIV/0!</v>
      </c>
      <c r="AG237" s="224" t="e">
        <v>#DIV/0!</v>
      </c>
      <c r="AH237" s="224" t="e">
        <v>#DIV/0!</v>
      </c>
      <c r="AI237" s="224" t="e">
        <v>#DIV/0!</v>
      </c>
      <c r="AJ237" s="224" t="e">
        <v>#DIV/0!</v>
      </c>
      <c r="AK237" s="224" t="e">
        <v>#DIV/0!</v>
      </c>
      <c r="AL237" s="224" t="e">
        <v>#DIV/0!</v>
      </c>
      <c r="AM237" s="224" t="e">
        <v>#DIV/0!</v>
      </c>
      <c r="AN237" s="1120" t="e">
        <v>#DIV/0!</v>
      </c>
      <c r="AO237" s="224" t="e">
        <f t="shared" si="16"/>
        <v>#DIV/0!</v>
      </c>
      <c r="AP237" s="1123">
        <v>0.1</v>
      </c>
      <c r="AQ237" s="1123">
        <f t="shared" si="18"/>
        <v>6.6157067752379534E-2</v>
      </c>
      <c r="AR237" s="1123">
        <v>20</v>
      </c>
      <c r="AS237" s="1123" t="e">
        <f t="shared" si="19"/>
        <v>#DIV/0!</v>
      </c>
      <c r="AT237" s="224" t="e">
        <f t="shared" si="17"/>
        <v>#DIV/0!</v>
      </c>
    </row>
    <row r="238" spans="1:46">
      <c r="A238" s="1118">
        <v>2030</v>
      </c>
      <c r="D238" s="1107" t="s">
        <v>2064</v>
      </c>
      <c r="E238" s="224" t="s">
        <v>2058</v>
      </c>
      <c r="G238" s="224" t="e">
        <v>#DIV/0!</v>
      </c>
      <c r="H238" s="224" t="e">
        <v>#DIV/0!</v>
      </c>
      <c r="I238" s="224" t="e">
        <v>#DIV/0!</v>
      </c>
      <c r="J238" s="224" t="e">
        <v>#DIV/0!</v>
      </c>
      <c r="K238" s="224" t="e">
        <v>#DIV/0!</v>
      </c>
      <c r="L238" s="224" t="e">
        <v>#DIV/0!</v>
      </c>
      <c r="M238" s="224" t="e">
        <v>#DIV/0!</v>
      </c>
      <c r="N238" s="224" t="e">
        <v>#DIV/0!</v>
      </c>
      <c r="O238" s="224" t="e">
        <v>#DIV/0!</v>
      </c>
      <c r="P238" s="224" t="e">
        <v>#DIV/0!</v>
      </c>
      <c r="Q238" s="224" t="e">
        <v>#DIV/0!</v>
      </c>
      <c r="R238" s="224" t="e">
        <v>#DIV/0!</v>
      </c>
      <c r="S238" s="224" t="e">
        <v>#DIV/0!</v>
      </c>
      <c r="T238" s="224" t="e">
        <v>#DIV/0!</v>
      </c>
      <c r="U238" s="224" t="e">
        <v>#DIV/0!</v>
      </c>
      <c r="V238" s="224" t="e">
        <v>#DIV/0!</v>
      </c>
      <c r="W238" s="224" t="e">
        <v>#DIV/0!</v>
      </c>
      <c r="X238" s="224" t="e">
        <v>#DIV/0!</v>
      </c>
      <c r="Y238" s="224" t="e">
        <v>#DIV/0!</v>
      </c>
      <c r="Z238" s="224" t="e">
        <v>#DIV/0!</v>
      </c>
      <c r="AA238" s="224" t="e">
        <v>#DIV/0!</v>
      </c>
      <c r="AB238" s="224" t="e">
        <v>#DIV/0!</v>
      </c>
      <c r="AC238" s="224" t="e">
        <v>#DIV/0!</v>
      </c>
      <c r="AD238" s="1120" t="e">
        <v>#DIV/0!</v>
      </c>
      <c r="AE238" s="224" t="e">
        <v>#DIV/0!</v>
      </c>
      <c r="AF238" s="224" t="e">
        <v>#DIV/0!</v>
      </c>
      <c r="AG238" s="224" t="e">
        <v>#DIV/0!</v>
      </c>
      <c r="AH238" s="224" t="e">
        <v>#DIV/0!</v>
      </c>
      <c r="AI238" s="224" t="e">
        <v>#DIV/0!</v>
      </c>
      <c r="AJ238" s="224" t="e">
        <v>#DIV/0!</v>
      </c>
      <c r="AK238" s="224" t="e">
        <v>#DIV/0!</v>
      </c>
      <c r="AL238" s="224" t="e">
        <v>#DIV/0!</v>
      </c>
      <c r="AM238" s="224" t="e">
        <v>#DIV/0!</v>
      </c>
      <c r="AN238" s="1120" t="e">
        <v>#DIV/0!</v>
      </c>
      <c r="AO238" s="224" t="e">
        <f t="shared" si="16"/>
        <v>#DIV/0!</v>
      </c>
      <c r="AP238" s="1123">
        <v>0.1</v>
      </c>
      <c r="AQ238" s="1123">
        <f t="shared" si="18"/>
        <v>6.6157067752379534E-2</v>
      </c>
      <c r="AR238" s="1123">
        <v>20</v>
      </c>
      <c r="AS238" s="1123" t="e">
        <f t="shared" si="19"/>
        <v>#DIV/0!</v>
      </c>
      <c r="AT238" s="224" t="e">
        <f t="shared" si="17"/>
        <v>#DIV/0!</v>
      </c>
    </row>
    <row r="239" spans="1:46">
      <c r="A239" s="1118">
        <v>2035</v>
      </c>
      <c r="D239" s="1107" t="s">
        <v>2064</v>
      </c>
      <c r="E239" s="224" t="s">
        <v>2058</v>
      </c>
      <c r="G239" s="224" t="e">
        <v>#DIV/0!</v>
      </c>
      <c r="H239" s="224" t="e">
        <v>#DIV/0!</v>
      </c>
      <c r="I239" s="224" t="e">
        <v>#DIV/0!</v>
      </c>
      <c r="J239" s="224" t="e">
        <v>#DIV/0!</v>
      </c>
      <c r="K239" s="224" t="e">
        <v>#DIV/0!</v>
      </c>
      <c r="L239" s="224" t="e">
        <v>#DIV/0!</v>
      </c>
      <c r="M239" s="224" t="e">
        <v>#DIV/0!</v>
      </c>
      <c r="N239" s="224" t="e">
        <v>#DIV/0!</v>
      </c>
      <c r="O239" s="224" t="e">
        <v>#DIV/0!</v>
      </c>
      <c r="P239" s="224" t="e">
        <v>#DIV/0!</v>
      </c>
      <c r="Q239" s="224" t="e">
        <v>#DIV/0!</v>
      </c>
      <c r="R239" s="224" t="e">
        <v>#DIV/0!</v>
      </c>
      <c r="S239" s="224" t="e">
        <v>#DIV/0!</v>
      </c>
      <c r="T239" s="224" t="e">
        <v>#DIV/0!</v>
      </c>
      <c r="U239" s="224" t="e">
        <v>#DIV/0!</v>
      </c>
      <c r="V239" s="224" t="e">
        <v>#DIV/0!</v>
      </c>
      <c r="W239" s="224" t="e">
        <v>#DIV/0!</v>
      </c>
      <c r="X239" s="224" t="e">
        <v>#DIV/0!</v>
      </c>
      <c r="Y239" s="224" t="e">
        <v>#DIV/0!</v>
      </c>
      <c r="Z239" s="224" t="e">
        <v>#DIV/0!</v>
      </c>
      <c r="AA239" s="224" t="e">
        <v>#DIV/0!</v>
      </c>
      <c r="AB239" s="224" t="e">
        <v>#DIV/0!</v>
      </c>
      <c r="AC239" s="224" t="e">
        <v>#DIV/0!</v>
      </c>
      <c r="AD239" s="1120" t="e">
        <v>#DIV/0!</v>
      </c>
      <c r="AE239" s="224" t="e">
        <v>#DIV/0!</v>
      </c>
      <c r="AF239" s="224" t="e">
        <v>#DIV/0!</v>
      </c>
      <c r="AG239" s="224" t="e">
        <v>#DIV/0!</v>
      </c>
      <c r="AH239" s="224" t="e">
        <v>#DIV/0!</v>
      </c>
      <c r="AI239" s="224" t="e">
        <v>#DIV/0!</v>
      </c>
      <c r="AJ239" s="224" t="e">
        <v>#DIV/0!</v>
      </c>
      <c r="AK239" s="224" t="e">
        <v>#DIV/0!</v>
      </c>
      <c r="AL239" s="224" t="e">
        <v>#DIV/0!</v>
      </c>
      <c r="AM239" s="224" t="e">
        <v>#DIV/0!</v>
      </c>
      <c r="AN239" s="1120" t="e">
        <v>#DIV/0!</v>
      </c>
      <c r="AO239" s="224" t="e">
        <f t="shared" si="16"/>
        <v>#DIV/0!</v>
      </c>
      <c r="AP239" s="1123">
        <v>0.1</v>
      </c>
      <c r="AQ239" s="1123">
        <f t="shared" si="18"/>
        <v>6.6157067752379534E-2</v>
      </c>
      <c r="AR239" s="1123">
        <v>20</v>
      </c>
      <c r="AS239" s="1123" t="e">
        <f t="shared" si="19"/>
        <v>#DIV/0!</v>
      </c>
      <c r="AT239" s="224" t="e">
        <f t="shared" si="17"/>
        <v>#DIV/0!</v>
      </c>
    </row>
    <row r="240" spans="1:46">
      <c r="A240" s="1118">
        <v>2050</v>
      </c>
      <c r="D240" s="1107" t="s">
        <v>2064</v>
      </c>
      <c r="E240" s="224" t="s">
        <v>2058</v>
      </c>
      <c r="G240" s="224" t="e">
        <v>#DIV/0!</v>
      </c>
      <c r="H240" s="224" t="e">
        <v>#DIV/0!</v>
      </c>
      <c r="I240" s="224" t="e">
        <v>#DIV/0!</v>
      </c>
      <c r="J240" s="224" t="e">
        <v>#DIV/0!</v>
      </c>
      <c r="K240" s="224" t="e">
        <v>#DIV/0!</v>
      </c>
      <c r="L240" s="224" t="e">
        <v>#DIV/0!</v>
      </c>
      <c r="M240" s="224" t="e">
        <v>#DIV/0!</v>
      </c>
      <c r="N240" s="224" t="e">
        <v>#DIV/0!</v>
      </c>
      <c r="O240" s="224" t="e">
        <v>#DIV/0!</v>
      </c>
      <c r="P240" s="224" t="e">
        <v>#DIV/0!</v>
      </c>
      <c r="Q240" s="224" t="e">
        <v>#DIV/0!</v>
      </c>
      <c r="R240" s="224" t="e">
        <v>#DIV/0!</v>
      </c>
      <c r="S240" s="224" t="e">
        <v>#DIV/0!</v>
      </c>
      <c r="T240" s="224" t="e">
        <v>#DIV/0!</v>
      </c>
      <c r="U240" s="224" t="e">
        <v>#DIV/0!</v>
      </c>
      <c r="V240" s="224" t="e">
        <v>#DIV/0!</v>
      </c>
      <c r="W240" s="224" t="e">
        <v>#DIV/0!</v>
      </c>
      <c r="X240" s="224" t="e">
        <v>#DIV/0!</v>
      </c>
      <c r="Y240" s="224" t="e">
        <v>#DIV/0!</v>
      </c>
      <c r="Z240" s="224" t="e">
        <v>#DIV/0!</v>
      </c>
      <c r="AA240" s="224" t="e">
        <v>#DIV/0!</v>
      </c>
      <c r="AB240" s="224" t="e">
        <v>#DIV/0!</v>
      </c>
      <c r="AC240" s="224" t="e">
        <v>#DIV/0!</v>
      </c>
      <c r="AD240" s="1120" t="e">
        <v>#DIV/0!</v>
      </c>
      <c r="AE240" s="224" t="e">
        <v>#DIV/0!</v>
      </c>
      <c r="AF240" s="224" t="e">
        <v>#DIV/0!</v>
      </c>
      <c r="AG240" s="224" t="e">
        <v>#DIV/0!</v>
      </c>
      <c r="AH240" s="224" t="e">
        <v>#DIV/0!</v>
      </c>
      <c r="AI240" s="224" t="e">
        <v>#DIV/0!</v>
      </c>
      <c r="AJ240" s="224" t="e">
        <v>#DIV/0!</v>
      </c>
      <c r="AK240" s="224" t="e">
        <v>#DIV/0!</v>
      </c>
      <c r="AL240" s="224" t="e">
        <v>#DIV/0!</v>
      </c>
      <c r="AM240" s="224" t="e">
        <v>#DIV/0!</v>
      </c>
      <c r="AN240" s="1120" t="e">
        <v>#DIV/0!</v>
      </c>
      <c r="AO240" s="224" t="e">
        <f t="shared" si="16"/>
        <v>#DIV/0!</v>
      </c>
      <c r="AP240" s="1123">
        <v>0.1</v>
      </c>
      <c r="AQ240" s="1123">
        <f t="shared" si="18"/>
        <v>6.6157067752379534E-2</v>
      </c>
      <c r="AR240" s="1123">
        <v>20</v>
      </c>
      <c r="AS240" s="1123" t="e">
        <f t="shared" si="19"/>
        <v>#DIV/0!</v>
      </c>
      <c r="AT240" s="224" t="e">
        <f t="shared" si="17"/>
        <v>#DIV/0!</v>
      </c>
    </row>
    <row r="241" spans="1:46">
      <c r="A241" s="1118">
        <v>2017</v>
      </c>
      <c r="D241" s="1107" t="s">
        <v>2064</v>
      </c>
      <c r="E241" s="224" t="s">
        <v>2059</v>
      </c>
      <c r="G241" s="224">
        <v>8074.9597203803824</v>
      </c>
      <c r="H241" s="224">
        <v>4500</v>
      </c>
      <c r="I241" s="224">
        <v>4.7520000000000007</v>
      </c>
      <c r="J241" s="224">
        <v>6.7710210487715347E-2</v>
      </c>
      <c r="K241" s="224">
        <v>6.0540850222056991E-2</v>
      </c>
      <c r="L241" s="224">
        <v>7.3822967772974077E-2</v>
      </c>
      <c r="M241" s="224">
        <v>0</v>
      </c>
      <c r="N241" s="224">
        <v>0</v>
      </c>
      <c r="O241" s="224">
        <v>0</v>
      </c>
      <c r="P241" s="224">
        <v>0</v>
      </c>
      <c r="Q241" s="224">
        <v>0</v>
      </c>
      <c r="R241" s="224">
        <v>0</v>
      </c>
      <c r="S241" s="224">
        <v>0</v>
      </c>
      <c r="T241" s="224">
        <v>0</v>
      </c>
      <c r="U241" s="224">
        <v>0</v>
      </c>
      <c r="V241" s="224">
        <v>231.5059072</v>
      </c>
      <c r="W241" s="224">
        <v>113.6112368</v>
      </c>
      <c r="X241" s="224">
        <v>147.91866028708131</v>
      </c>
      <c r="Y241" s="224">
        <v>4.7520000000000007</v>
      </c>
      <c r="Z241" s="224">
        <v>0</v>
      </c>
      <c r="AA241" s="224">
        <v>10.156531573157302</v>
      </c>
      <c r="AB241" s="224">
        <v>9.0811275333085479</v>
      </c>
      <c r="AC241" s="224">
        <v>11.073445165946112</v>
      </c>
      <c r="AD241" s="1120">
        <v>13.536109626683087</v>
      </c>
      <c r="AE241" s="224">
        <v>21971.19796560457</v>
      </c>
      <c r="AF241" s="224">
        <v>5585.6720587199998</v>
      </c>
      <c r="AG241" s="224">
        <v>6449.2535885167463</v>
      </c>
      <c r="AH241" s="224">
        <v>9379.0497430624619</v>
      </c>
      <c r="AI241" s="224">
        <v>40800</v>
      </c>
      <c r="AJ241" s="224">
        <v>0</v>
      </c>
      <c r="AK241" s="224">
        <v>745.98720000000003</v>
      </c>
      <c r="AL241" s="224">
        <v>0</v>
      </c>
      <c r="AM241" s="224">
        <v>436.00000000000006</v>
      </c>
      <c r="AN241" s="1120">
        <v>85367.160555903785</v>
      </c>
      <c r="AO241" s="224">
        <f t="shared" si="16"/>
        <v>1.7835178044117634</v>
      </c>
      <c r="AP241" s="1123">
        <v>0.1</v>
      </c>
      <c r="AQ241" s="1123">
        <f t="shared" si="18"/>
        <v>6.6157067752379534E-2</v>
      </c>
      <c r="AR241" s="1123">
        <v>20</v>
      </c>
      <c r="AS241" s="1123">
        <f t="shared" si="19"/>
        <v>0.8221063128607311</v>
      </c>
      <c r="AT241" s="224">
        <f t="shared" si="17"/>
        <v>5647.6410247251888</v>
      </c>
    </row>
    <row r="242" spans="1:46">
      <c r="A242" s="1121">
        <v>2020</v>
      </c>
      <c r="D242" s="1107" t="s">
        <v>2064</v>
      </c>
      <c r="E242" s="224" t="s">
        <v>2059</v>
      </c>
      <c r="G242" s="224" t="e">
        <v>#DIV/0!</v>
      </c>
      <c r="H242" s="224" t="e">
        <v>#DIV/0!</v>
      </c>
      <c r="I242" s="224" t="e">
        <v>#DIV/0!</v>
      </c>
      <c r="J242" s="224" t="e">
        <v>#DIV/0!</v>
      </c>
      <c r="K242" s="224" t="e">
        <v>#DIV/0!</v>
      </c>
      <c r="L242" s="224" t="e">
        <v>#DIV/0!</v>
      </c>
      <c r="M242" s="224" t="e">
        <v>#DIV/0!</v>
      </c>
      <c r="N242" s="224" t="e">
        <v>#DIV/0!</v>
      </c>
      <c r="O242" s="224" t="e">
        <v>#DIV/0!</v>
      </c>
      <c r="P242" s="224" t="e">
        <v>#DIV/0!</v>
      </c>
      <c r="Q242" s="224" t="e">
        <v>#DIV/0!</v>
      </c>
      <c r="R242" s="224" t="e">
        <v>#DIV/0!</v>
      </c>
      <c r="S242" s="224" t="e">
        <v>#DIV/0!</v>
      </c>
      <c r="T242" s="224" t="e">
        <v>#DIV/0!</v>
      </c>
      <c r="U242" s="224" t="e">
        <v>#DIV/0!</v>
      </c>
      <c r="V242" s="224" t="e">
        <v>#DIV/0!</v>
      </c>
      <c r="W242" s="224" t="e">
        <v>#DIV/0!</v>
      </c>
      <c r="X242" s="224" t="e">
        <v>#DIV/0!</v>
      </c>
      <c r="Y242" s="224" t="e">
        <v>#DIV/0!</v>
      </c>
      <c r="Z242" s="224" t="e">
        <v>#DIV/0!</v>
      </c>
      <c r="AA242" s="224" t="e">
        <v>#DIV/0!</v>
      </c>
      <c r="AB242" s="224" t="e">
        <v>#DIV/0!</v>
      </c>
      <c r="AC242" s="224" t="e">
        <v>#DIV/0!</v>
      </c>
      <c r="AD242" s="1120" t="e">
        <v>#DIV/0!</v>
      </c>
      <c r="AE242" s="224" t="e">
        <v>#DIV/0!</v>
      </c>
      <c r="AF242" s="224" t="e">
        <v>#DIV/0!</v>
      </c>
      <c r="AG242" s="224" t="e">
        <v>#DIV/0!</v>
      </c>
      <c r="AH242" s="224" t="e">
        <v>#DIV/0!</v>
      </c>
      <c r="AI242" s="224" t="e">
        <v>#DIV/0!</v>
      </c>
      <c r="AJ242" s="224" t="e">
        <v>#DIV/0!</v>
      </c>
      <c r="AK242" s="224" t="e">
        <v>#DIV/0!</v>
      </c>
      <c r="AL242" s="224" t="e">
        <v>#DIV/0!</v>
      </c>
      <c r="AM242" s="224" t="e">
        <v>#DIV/0!</v>
      </c>
      <c r="AN242" s="1120" t="e">
        <v>#DIV/0!</v>
      </c>
      <c r="AO242" s="224" t="e">
        <f t="shared" si="16"/>
        <v>#DIV/0!</v>
      </c>
      <c r="AP242" s="1123">
        <v>0.1</v>
      </c>
      <c r="AQ242" s="1123">
        <f t="shared" si="18"/>
        <v>6.6157067752379534E-2</v>
      </c>
      <c r="AR242" s="1123">
        <v>20</v>
      </c>
      <c r="AS242" s="1123" t="e">
        <f t="shared" si="19"/>
        <v>#DIV/0!</v>
      </c>
      <c r="AT242" s="224" t="e">
        <f t="shared" si="17"/>
        <v>#DIV/0!</v>
      </c>
    </row>
    <row r="243" spans="1:46">
      <c r="A243" s="1118">
        <v>2025</v>
      </c>
      <c r="D243" s="1107" t="s">
        <v>2064</v>
      </c>
      <c r="E243" s="224" t="s">
        <v>2059</v>
      </c>
      <c r="G243" s="224" t="e">
        <v>#DIV/0!</v>
      </c>
      <c r="H243" s="224" t="e">
        <v>#DIV/0!</v>
      </c>
      <c r="I243" s="224" t="e">
        <v>#DIV/0!</v>
      </c>
      <c r="J243" s="224" t="e">
        <v>#DIV/0!</v>
      </c>
      <c r="K243" s="224" t="e">
        <v>#DIV/0!</v>
      </c>
      <c r="L243" s="224" t="e">
        <v>#DIV/0!</v>
      </c>
      <c r="M243" s="224" t="e">
        <v>#DIV/0!</v>
      </c>
      <c r="N243" s="224" t="e">
        <v>#DIV/0!</v>
      </c>
      <c r="O243" s="224" t="e">
        <v>#DIV/0!</v>
      </c>
      <c r="P243" s="224" t="e">
        <v>#DIV/0!</v>
      </c>
      <c r="Q243" s="224" t="e">
        <v>#DIV/0!</v>
      </c>
      <c r="R243" s="224" t="e">
        <v>#DIV/0!</v>
      </c>
      <c r="S243" s="224" t="e">
        <v>#DIV/0!</v>
      </c>
      <c r="T243" s="224" t="e">
        <v>#DIV/0!</v>
      </c>
      <c r="U243" s="224" t="e">
        <v>#DIV/0!</v>
      </c>
      <c r="V243" s="224" t="e">
        <v>#DIV/0!</v>
      </c>
      <c r="W243" s="224" t="e">
        <v>#DIV/0!</v>
      </c>
      <c r="X243" s="224" t="e">
        <v>#DIV/0!</v>
      </c>
      <c r="Y243" s="224" t="e">
        <v>#DIV/0!</v>
      </c>
      <c r="Z243" s="224" t="e">
        <v>#DIV/0!</v>
      </c>
      <c r="AA243" s="224" t="e">
        <v>#DIV/0!</v>
      </c>
      <c r="AB243" s="224" t="e">
        <v>#DIV/0!</v>
      </c>
      <c r="AC243" s="224" t="e">
        <v>#DIV/0!</v>
      </c>
      <c r="AD243" s="1120" t="e">
        <v>#DIV/0!</v>
      </c>
      <c r="AE243" s="224" t="e">
        <v>#DIV/0!</v>
      </c>
      <c r="AF243" s="224" t="e">
        <v>#DIV/0!</v>
      </c>
      <c r="AG243" s="224" t="e">
        <v>#DIV/0!</v>
      </c>
      <c r="AH243" s="224" t="e">
        <v>#DIV/0!</v>
      </c>
      <c r="AI243" s="224" t="e">
        <v>#DIV/0!</v>
      </c>
      <c r="AJ243" s="224" t="e">
        <v>#DIV/0!</v>
      </c>
      <c r="AK243" s="224" t="e">
        <v>#DIV/0!</v>
      </c>
      <c r="AL243" s="224" t="e">
        <v>#DIV/0!</v>
      </c>
      <c r="AM243" s="224" t="e">
        <v>#DIV/0!</v>
      </c>
      <c r="AN243" s="1120" t="e">
        <v>#DIV/0!</v>
      </c>
      <c r="AO243" s="224" t="e">
        <f t="shared" si="16"/>
        <v>#DIV/0!</v>
      </c>
      <c r="AP243" s="1123">
        <v>0.1</v>
      </c>
      <c r="AQ243" s="1123">
        <f t="shared" si="18"/>
        <v>6.6157067752379534E-2</v>
      </c>
      <c r="AR243" s="1123">
        <v>20</v>
      </c>
      <c r="AS243" s="1123" t="e">
        <f t="shared" si="19"/>
        <v>#DIV/0!</v>
      </c>
      <c r="AT243" s="224" t="e">
        <f t="shared" si="17"/>
        <v>#DIV/0!</v>
      </c>
    </row>
    <row r="244" spans="1:46">
      <c r="A244" s="1118">
        <v>2030</v>
      </c>
      <c r="D244" s="1107" t="s">
        <v>2064</v>
      </c>
      <c r="E244" s="71" t="s">
        <v>2059</v>
      </c>
      <c r="G244" s="224">
        <v>8074.9597203803824</v>
      </c>
      <c r="H244" s="224">
        <v>4500</v>
      </c>
      <c r="I244" s="224">
        <v>4.7520000000000007</v>
      </c>
      <c r="J244" s="224">
        <v>6.7710210487715347E-2</v>
      </c>
      <c r="K244" s="224">
        <v>6.0540850222056991E-2</v>
      </c>
      <c r="L244" s="224">
        <v>7.3822967772974077E-2</v>
      </c>
      <c r="M244" s="224">
        <v>0</v>
      </c>
      <c r="N244" s="224">
        <v>0</v>
      </c>
      <c r="O244" s="224">
        <v>0</v>
      </c>
      <c r="P244" s="224">
        <v>0</v>
      </c>
      <c r="Q244" s="224">
        <v>0</v>
      </c>
      <c r="R244" s="224">
        <v>0</v>
      </c>
      <c r="S244" s="224">
        <v>0</v>
      </c>
      <c r="T244" s="224">
        <v>0</v>
      </c>
      <c r="U244" s="224">
        <v>0</v>
      </c>
      <c r="V244" s="224">
        <v>231.5059072</v>
      </c>
      <c r="W244" s="224">
        <v>113.6112368</v>
      </c>
      <c r="X244" s="224">
        <v>147.91866028708131</v>
      </c>
      <c r="Y244" s="224">
        <v>4.7520000000000007</v>
      </c>
      <c r="Z244" s="224">
        <v>0</v>
      </c>
      <c r="AA244" s="224">
        <v>10.156531573157302</v>
      </c>
      <c r="AB244" s="224">
        <v>9.0811275333085479</v>
      </c>
      <c r="AC244" s="224">
        <v>11.073445165946112</v>
      </c>
      <c r="AD244" s="224">
        <v>13.536109626683087</v>
      </c>
      <c r="AE244" s="224">
        <v>22174.658046364562</v>
      </c>
      <c r="AF244" s="224">
        <v>1605.1330214094808</v>
      </c>
      <c r="AG244" s="224">
        <v>2825.484861916229</v>
      </c>
      <c r="AH244" s="224">
        <v>9112.8850836535621</v>
      </c>
      <c r="AI244" s="224">
        <v>40800</v>
      </c>
      <c r="AJ244" s="224">
        <v>0</v>
      </c>
      <c r="AK244" s="224">
        <v>3508.0290601924276</v>
      </c>
      <c r="AL244" s="224">
        <v>0</v>
      </c>
      <c r="AM244" s="224">
        <v>296</v>
      </c>
      <c r="AN244" s="1120">
        <v>80322.190073536258</v>
      </c>
      <c r="AO244" s="224">
        <f t="shared" si="16"/>
        <v>1.7835178044117634</v>
      </c>
      <c r="AP244" s="1123">
        <v>0.1</v>
      </c>
      <c r="AQ244" s="1123">
        <f t="shared" si="18"/>
        <v>6.6157067752379534E-2</v>
      </c>
      <c r="AR244" s="1123">
        <v>20</v>
      </c>
      <c r="AS244" s="1123">
        <f t="shared" si="19"/>
        <v>0.8221063128607311</v>
      </c>
      <c r="AT244" s="224">
        <f t="shared" si="17"/>
        <v>5313.8805707144447</v>
      </c>
    </row>
    <row r="245" spans="1:46">
      <c r="A245" s="1118">
        <v>2035</v>
      </c>
      <c r="D245" s="1107" t="s">
        <v>2064</v>
      </c>
      <c r="E245" s="224" t="s">
        <v>2059</v>
      </c>
      <c r="G245" s="224" t="e">
        <v>#DIV/0!</v>
      </c>
      <c r="H245" s="224" t="e">
        <v>#DIV/0!</v>
      </c>
      <c r="I245" s="224" t="e">
        <v>#DIV/0!</v>
      </c>
      <c r="J245" s="224" t="e">
        <v>#DIV/0!</v>
      </c>
      <c r="K245" s="224" t="e">
        <v>#DIV/0!</v>
      </c>
      <c r="L245" s="224" t="e">
        <v>#DIV/0!</v>
      </c>
      <c r="M245" s="224" t="e">
        <v>#DIV/0!</v>
      </c>
      <c r="N245" s="224" t="e">
        <v>#DIV/0!</v>
      </c>
      <c r="O245" s="224" t="e">
        <v>#DIV/0!</v>
      </c>
      <c r="P245" s="224" t="e">
        <v>#DIV/0!</v>
      </c>
      <c r="Q245" s="224" t="e">
        <v>#DIV/0!</v>
      </c>
      <c r="R245" s="224" t="e">
        <v>#DIV/0!</v>
      </c>
      <c r="S245" s="224" t="e">
        <v>#DIV/0!</v>
      </c>
      <c r="T245" s="224" t="e">
        <v>#DIV/0!</v>
      </c>
      <c r="U245" s="224" t="e">
        <v>#DIV/0!</v>
      </c>
      <c r="V245" s="224" t="e">
        <v>#DIV/0!</v>
      </c>
      <c r="W245" s="224" t="e">
        <v>#DIV/0!</v>
      </c>
      <c r="X245" s="224" t="e">
        <v>#DIV/0!</v>
      </c>
      <c r="Y245" s="224" t="e">
        <v>#DIV/0!</v>
      </c>
      <c r="Z245" s="224" t="e">
        <v>#DIV/0!</v>
      </c>
      <c r="AA245" s="224" t="e">
        <v>#DIV/0!</v>
      </c>
      <c r="AB245" s="224" t="e">
        <v>#DIV/0!</v>
      </c>
      <c r="AC245" s="224" t="e">
        <v>#DIV/0!</v>
      </c>
      <c r="AD245" s="224" t="e">
        <v>#DIV/0!</v>
      </c>
      <c r="AE245" s="224" t="e">
        <v>#DIV/0!</v>
      </c>
      <c r="AF245" s="224" t="e">
        <v>#DIV/0!</v>
      </c>
      <c r="AG245" s="224" t="e">
        <v>#DIV/0!</v>
      </c>
      <c r="AH245" s="224" t="e">
        <v>#DIV/0!</v>
      </c>
      <c r="AI245" s="224" t="e">
        <v>#DIV/0!</v>
      </c>
      <c r="AJ245" s="224" t="e">
        <v>#DIV/0!</v>
      </c>
      <c r="AK245" s="224" t="e">
        <v>#DIV/0!</v>
      </c>
      <c r="AL245" s="224" t="e">
        <v>#DIV/0!</v>
      </c>
      <c r="AM245" s="224" t="e">
        <v>#DIV/0!</v>
      </c>
      <c r="AN245" s="1120" t="e">
        <v>#DIV/0!</v>
      </c>
      <c r="AO245" s="224" t="e">
        <f t="shared" si="16"/>
        <v>#DIV/0!</v>
      </c>
      <c r="AP245" s="1123">
        <v>0.1</v>
      </c>
      <c r="AQ245" s="1123">
        <f t="shared" si="18"/>
        <v>6.6157067752379534E-2</v>
      </c>
      <c r="AR245" s="1123">
        <v>20</v>
      </c>
      <c r="AS245" s="1123" t="e">
        <f t="shared" si="19"/>
        <v>#DIV/0!</v>
      </c>
      <c r="AT245" s="224" t="e">
        <f t="shared" si="17"/>
        <v>#DIV/0!</v>
      </c>
    </row>
    <row r="246" spans="1:46">
      <c r="A246" s="1118">
        <v>2050</v>
      </c>
      <c r="D246" s="1107" t="s">
        <v>2064</v>
      </c>
      <c r="E246" s="71" t="s">
        <v>2059</v>
      </c>
      <c r="G246" s="224">
        <v>8074.9597203803824</v>
      </c>
      <c r="H246" s="224">
        <v>4500</v>
      </c>
      <c r="I246" s="224">
        <v>4.7520000000000007</v>
      </c>
      <c r="J246" s="224">
        <v>6.7710210487715347E-2</v>
      </c>
      <c r="K246" s="224">
        <v>6.0540850222056991E-2</v>
      </c>
      <c r="L246" s="224">
        <v>7.3822967772974077E-2</v>
      </c>
      <c r="M246" s="224">
        <v>0</v>
      </c>
      <c r="N246" s="224">
        <v>0</v>
      </c>
      <c r="O246" s="224">
        <v>0</v>
      </c>
      <c r="P246" s="224">
        <v>0</v>
      </c>
      <c r="Q246" s="224">
        <v>0</v>
      </c>
      <c r="R246" s="224">
        <v>0</v>
      </c>
      <c r="S246" s="224">
        <v>0</v>
      </c>
      <c r="T246" s="224">
        <v>0</v>
      </c>
      <c r="U246" s="224">
        <v>0</v>
      </c>
      <c r="V246" s="224">
        <v>231.5059072</v>
      </c>
      <c r="W246" s="224">
        <v>113.6112368</v>
      </c>
      <c r="X246" s="224">
        <v>147.91866028708131</v>
      </c>
      <c r="Y246" s="224">
        <v>4.7520000000000007</v>
      </c>
      <c r="Z246" s="224">
        <v>0</v>
      </c>
      <c r="AA246" s="224">
        <v>10.156531573157302</v>
      </c>
      <c r="AB246" s="224">
        <v>9.0811275333085479</v>
      </c>
      <c r="AC246" s="224">
        <v>11.073445165946112</v>
      </c>
      <c r="AD246" s="224">
        <v>13.536109626683087</v>
      </c>
      <c r="AE246" s="224">
        <v>22875.828874819377</v>
      </c>
      <c r="AF246" s="224">
        <v>791.26346201613819</v>
      </c>
      <c r="AG246" s="224">
        <v>1707.5805730109701</v>
      </c>
      <c r="AH246" s="224">
        <v>8853.7867257888593</v>
      </c>
      <c r="AI246" s="224">
        <v>40800</v>
      </c>
      <c r="AJ246" s="224">
        <v>0</v>
      </c>
      <c r="AK246" s="224">
        <v>4842.5801991868502</v>
      </c>
      <c r="AL246" s="224">
        <v>0</v>
      </c>
      <c r="AM246" s="224">
        <v>240</v>
      </c>
      <c r="AN246" s="1120">
        <v>80111.039834822193</v>
      </c>
      <c r="AO246" s="224">
        <f t="shared" si="16"/>
        <v>1.7835178044117634</v>
      </c>
      <c r="AP246" s="1123">
        <v>0.1</v>
      </c>
      <c r="AQ246" s="1123">
        <f t="shared" si="18"/>
        <v>6.6157067752379534E-2</v>
      </c>
      <c r="AR246" s="1123">
        <v>20</v>
      </c>
      <c r="AS246" s="1123">
        <f t="shared" si="19"/>
        <v>0.8221063128607311</v>
      </c>
      <c r="AT246" s="224">
        <f t="shared" si="17"/>
        <v>5299.9114900659079</v>
      </c>
    </row>
    <row r="247" spans="1:46">
      <c r="A247" s="1118">
        <v>2017</v>
      </c>
      <c r="D247" s="1107" t="s">
        <v>2064</v>
      </c>
      <c r="E247" s="224" t="s">
        <v>2060</v>
      </c>
      <c r="G247" s="224">
        <v>8535.8837748748629</v>
      </c>
      <c r="H247" s="224">
        <v>4500</v>
      </c>
      <c r="I247" s="224">
        <v>107.98875</v>
      </c>
      <c r="J247" s="224">
        <v>6.25136907746566E-2</v>
      </c>
      <c r="K247" s="224">
        <v>7.2210247963338511E-2</v>
      </c>
      <c r="L247" s="224">
        <v>8.7750578230701426E-2</v>
      </c>
      <c r="M247" s="224">
        <v>2.0976099809536165E-2</v>
      </c>
      <c r="N247" s="224">
        <v>2.4864927210847324E-2</v>
      </c>
      <c r="O247" s="224">
        <v>2.9333478491419988E-2</v>
      </c>
      <c r="P247" s="224">
        <v>-15.910871775069657</v>
      </c>
      <c r="Q247" s="224">
        <v>-7.1516626140394446E-2</v>
      </c>
      <c r="R247" s="224">
        <v>-54.104516016274395</v>
      </c>
      <c r="S247" s="224">
        <v>789.87792975465629</v>
      </c>
      <c r="T247" s="224">
        <v>936.3159694670901</v>
      </c>
      <c r="U247" s="224">
        <v>1104.5841445115577</v>
      </c>
      <c r="V247" s="224">
        <v>110</v>
      </c>
      <c r="W247" s="224">
        <v>280.08470490000002</v>
      </c>
      <c r="X247" s="224">
        <v>420.12705735000003</v>
      </c>
      <c r="Y247" s="224">
        <v>107.36812500000001</v>
      </c>
      <c r="Z247" s="224">
        <v>0</v>
      </c>
      <c r="AA247" s="224">
        <v>4.2958836702726426</v>
      </c>
      <c r="AB247" s="224">
        <v>5.9457380606827392</v>
      </c>
      <c r="AC247" s="224">
        <v>8.0525528312865138</v>
      </c>
      <c r="AD247" s="1120">
        <v>4.8066115573072752</v>
      </c>
      <c r="AE247" s="224">
        <v>10607.211428571429</v>
      </c>
      <c r="AF247" s="224">
        <v>12727.383840209999</v>
      </c>
      <c r="AG247" s="224">
        <v>61090.315762499988</v>
      </c>
      <c r="AH247" s="224">
        <v>0</v>
      </c>
      <c r="AI247" s="224">
        <v>40800</v>
      </c>
      <c r="AJ247" s="224">
        <v>0</v>
      </c>
      <c r="AK247" s="224">
        <v>745.98720000000003</v>
      </c>
      <c r="AL247" s="224">
        <v>0</v>
      </c>
      <c r="AM247" s="224">
        <v>436.00000000000006</v>
      </c>
      <c r="AN247" s="1120">
        <v>126406.89823128143</v>
      </c>
      <c r="AO247" s="224">
        <f t="shared" si="16"/>
        <v>0.63331913879080648</v>
      </c>
      <c r="AP247" s="1123">
        <v>0.1</v>
      </c>
      <c r="AQ247" s="1123">
        <f t="shared" si="18"/>
        <v>6.6157067752379534E-2</v>
      </c>
      <c r="AR247" s="1123">
        <v>20</v>
      </c>
      <c r="AS247" s="1123">
        <f t="shared" si="19"/>
        <v>0.29192624865730749</v>
      </c>
      <c r="AT247" s="224">
        <f t="shared" si="17"/>
        <v>8362.7097306550313</v>
      </c>
    </row>
    <row r="248" spans="1:46">
      <c r="A248" s="1121">
        <v>2020</v>
      </c>
      <c r="D248" s="1107" t="s">
        <v>2064</v>
      </c>
      <c r="E248" s="224" t="s">
        <v>2060</v>
      </c>
      <c r="G248" s="224" t="e">
        <v>#DIV/0!</v>
      </c>
      <c r="H248" s="224" t="e">
        <v>#DIV/0!</v>
      </c>
      <c r="I248" s="224" t="e">
        <v>#DIV/0!</v>
      </c>
      <c r="J248" s="224" t="e">
        <v>#DIV/0!</v>
      </c>
      <c r="K248" s="224" t="e">
        <v>#DIV/0!</v>
      </c>
      <c r="L248" s="224" t="e">
        <v>#DIV/0!</v>
      </c>
      <c r="M248" s="224" t="e">
        <v>#DIV/0!</v>
      </c>
      <c r="N248" s="224" t="e">
        <v>#DIV/0!</v>
      </c>
      <c r="O248" s="224" t="e">
        <v>#DIV/0!</v>
      </c>
      <c r="P248" s="224" t="e">
        <v>#DIV/0!</v>
      </c>
      <c r="Q248" s="224" t="e">
        <v>#DIV/0!</v>
      </c>
      <c r="R248" s="224" t="e">
        <v>#DIV/0!</v>
      </c>
      <c r="S248" s="224" t="e">
        <v>#DIV/0!</v>
      </c>
      <c r="T248" s="224" t="e">
        <v>#DIV/0!</v>
      </c>
      <c r="U248" s="224" t="e">
        <v>#DIV/0!</v>
      </c>
      <c r="V248" s="224" t="e">
        <v>#DIV/0!</v>
      </c>
      <c r="W248" s="224" t="e">
        <v>#DIV/0!</v>
      </c>
      <c r="X248" s="224" t="e">
        <v>#DIV/0!</v>
      </c>
      <c r="Y248" s="224" t="e">
        <v>#DIV/0!</v>
      </c>
      <c r="Z248" s="224" t="e">
        <v>#DIV/0!</v>
      </c>
      <c r="AA248" s="224" t="e">
        <v>#DIV/0!</v>
      </c>
      <c r="AB248" s="224" t="e">
        <v>#DIV/0!</v>
      </c>
      <c r="AC248" s="224" t="e">
        <v>#DIV/0!</v>
      </c>
      <c r="AD248" s="1120" t="e">
        <v>#DIV/0!</v>
      </c>
      <c r="AE248" s="224" t="e">
        <v>#DIV/0!</v>
      </c>
      <c r="AF248" s="224" t="e">
        <v>#DIV/0!</v>
      </c>
      <c r="AG248" s="224" t="e">
        <v>#DIV/0!</v>
      </c>
      <c r="AH248" s="224" t="e">
        <v>#DIV/0!</v>
      </c>
      <c r="AI248" s="224" t="e">
        <v>#DIV/0!</v>
      </c>
      <c r="AJ248" s="224" t="e">
        <v>#DIV/0!</v>
      </c>
      <c r="AK248" s="224" t="e">
        <v>#DIV/0!</v>
      </c>
      <c r="AL248" s="224" t="e">
        <v>#DIV/0!</v>
      </c>
      <c r="AM248" s="224" t="e">
        <v>#DIV/0!</v>
      </c>
      <c r="AN248" s="1120" t="e">
        <v>#DIV/0!</v>
      </c>
      <c r="AO248" s="224" t="e">
        <f t="shared" si="16"/>
        <v>#DIV/0!</v>
      </c>
      <c r="AP248" s="1123">
        <v>0.1</v>
      </c>
      <c r="AQ248" s="1123">
        <f t="shared" si="18"/>
        <v>6.6157067752379534E-2</v>
      </c>
      <c r="AR248" s="1123">
        <v>20</v>
      </c>
      <c r="AS248" s="1123" t="e">
        <f t="shared" si="19"/>
        <v>#DIV/0!</v>
      </c>
      <c r="AT248" s="224" t="e">
        <f t="shared" si="17"/>
        <v>#DIV/0!</v>
      </c>
    </row>
    <row r="249" spans="1:46">
      <c r="A249" s="1118">
        <v>2025</v>
      </c>
      <c r="D249" s="1107" t="s">
        <v>2064</v>
      </c>
      <c r="E249" s="224" t="s">
        <v>2060</v>
      </c>
      <c r="G249" s="224" t="e">
        <v>#DIV/0!</v>
      </c>
      <c r="H249" s="224" t="e">
        <v>#DIV/0!</v>
      </c>
      <c r="I249" s="224" t="e">
        <v>#DIV/0!</v>
      </c>
      <c r="J249" s="224" t="e">
        <v>#DIV/0!</v>
      </c>
      <c r="K249" s="224" t="e">
        <v>#DIV/0!</v>
      </c>
      <c r="L249" s="224" t="e">
        <v>#DIV/0!</v>
      </c>
      <c r="M249" s="224" t="e">
        <v>#DIV/0!</v>
      </c>
      <c r="N249" s="224" t="e">
        <v>#DIV/0!</v>
      </c>
      <c r="O249" s="224" t="e">
        <v>#DIV/0!</v>
      </c>
      <c r="P249" s="224" t="e">
        <v>#DIV/0!</v>
      </c>
      <c r="Q249" s="224" t="e">
        <v>#DIV/0!</v>
      </c>
      <c r="R249" s="224" t="e">
        <v>#DIV/0!</v>
      </c>
      <c r="S249" s="224" t="e">
        <v>#DIV/0!</v>
      </c>
      <c r="T249" s="224" t="e">
        <v>#DIV/0!</v>
      </c>
      <c r="U249" s="224" t="e">
        <v>#DIV/0!</v>
      </c>
      <c r="V249" s="224" t="e">
        <v>#DIV/0!</v>
      </c>
      <c r="W249" s="224" t="e">
        <v>#DIV/0!</v>
      </c>
      <c r="X249" s="224" t="e">
        <v>#DIV/0!</v>
      </c>
      <c r="Y249" s="224" t="e">
        <v>#DIV/0!</v>
      </c>
      <c r="Z249" s="224" t="e">
        <v>#DIV/0!</v>
      </c>
      <c r="AA249" s="224" t="e">
        <v>#DIV/0!</v>
      </c>
      <c r="AB249" s="224" t="e">
        <v>#DIV/0!</v>
      </c>
      <c r="AC249" s="224" t="e">
        <v>#DIV/0!</v>
      </c>
      <c r="AD249" s="1120" t="e">
        <v>#DIV/0!</v>
      </c>
      <c r="AE249" s="224" t="e">
        <v>#DIV/0!</v>
      </c>
      <c r="AF249" s="224" t="e">
        <v>#DIV/0!</v>
      </c>
      <c r="AG249" s="224" t="e">
        <v>#DIV/0!</v>
      </c>
      <c r="AH249" s="224" t="e">
        <v>#DIV/0!</v>
      </c>
      <c r="AI249" s="224" t="e">
        <v>#DIV/0!</v>
      </c>
      <c r="AJ249" s="224" t="e">
        <v>#DIV/0!</v>
      </c>
      <c r="AK249" s="224" t="e">
        <v>#DIV/0!</v>
      </c>
      <c r="AL249" s="224" t="e">
        <v>#DIV/0!</v>
      </c>
      <c r="AM249" s="224" t="e">
        <v>#DIV/0!</v>
      </c>
      <c r="AN249" s="1120" t="e">
        <v>#DIV/0!</v>
      </c>
      <c r="AO249" s="224" t="e">
        <f t="shared" si="16"/>
        <v>#DIV/0!</v>
      </c>
      <c r="AP249" s="1123">
        <v>0.1</v>
      </c>
      <c r="AQ249" s="1123">
        <f t="shared" si="18"/>
        <v>6.6157067752379534E-2</v>
      </c>
      <c r="AR249" s="1123">
        <v>20</v>
      </c>
      <c r="AS249" s="1123" t="e">
        <f t="shared" si="19"/>
        <v>#DIV/0!</v>
      </c>
      <c r="AT249" s="224" t="e">
        <f t="shared" si="17"/>
        <v>#DIV/0!</v>
      </c>
    </row>
    <row r="250" spans="1:46">
      <c r="A250" s="1118">
        <v>2030</v>
      </c>
      <c r="D250" s="1107" t="s">
        <v>2064</v>
      </c>
      <c r="E250" s="71" t="s">
        <v>2060</v>
      </c>
      <c r="G250" s="224">
        <v>8535.8837748748629</v>
      </c>
      <c r="H250" s="224">
        <v>4500</v>
      </c>
      <c r="I250" s="224">
        <v>107.98875</v>
      </c>
      <c r="J250" s="224">
        <v>6.25136907746566E-2</v>
      </c>
      <c r="K250" s="224">
        <v>7.2210247963338511E-2</v>
      </c>
      <c r="L250" s="224">
        <v>8.7750578230701426E-2</v>
      </c>
      <c r="M250" s="224">
        <v>2.0976099809536165E-2</v>
      </c>
      <c r="N250" s="224">
        <v>2.4864927210847324E-2</v>
      </c>
      <c r="O250" s="224">
        <v>2.9333478491419988E-2</v>
      </c>
      <c r="P250" s="224">
        <v>-15.910871775069657</v>
      </c>
      <c r="Q250" s="224">
        <v>-7.1516626140394446E-2</v>
      </c>
      <c r="R250" s="224">
        <v>-54.104516016274395</v>
      </c>
      <c r="S250" s="224">
        <v>789.87792975465629</v>
      </c>
      <c r="T250" s="224">
        <v>936.3159694670901</v>
      </c>
      <c r="U250" s="224">
        <v>1104.5841445115577</v>
      </c>
      <c r="V250" s="224">
        <v>110</v>
      </c>
      <c r="W250" s="224">
        <v>280.08470490000002</v>
      </c>
      <c r="X250" s="224">
        <v>420.12705735000003</v>
      </c>
      <c r="Y250" s="224">
        <v>107.36812500000001</v>
      </c>
      <c r="Z250" s="224">
        <v>0</v>
      </c>
      <c r="AA250" s="224">
        <v>4.2958836702726426</v>
      </c>
      <c r="AB250" s="224">
        <v>5.9457380606827392</v>
      </c>
      <c r="AC250" s="224">
        <v>8.0525528312865138</v>
      </c>
      <c r="AD250" s="224">
        <v>4.8066115573072752</v>
      </c>
      <c r="AE250" s="224">
        <v>8453.2790263415554</v>
      </c>
      <c r="AF250" s="224">
        <v>3249.5039601387612</v>
      </c>
      <c r="AG250" s="224">
        <v>19225.345416627173</v>
      </c>
      <c r="AH250" s="224">
        <v>0</v>
      </c>
      <c r="AI250" s="224">
        <v>40800</v>
      </c>
      <c r="AJ250" s="224">
        <v>0</v>
      </c>
      <c r="AK250" s="224">
        <v>3508.0290601924276</v>
      </c>
      <c r="AL250" s="224">
        <v>0</v>
      </c>
      <c r="AM250" s="224">
        <v>296</v>
      </c>
      <c r="AN250" s="1120">
        <v>75532.157463299911</v>
      </c>
      <c r="AO250" s="224">
        <f t="shared" si="16"/>
        <v>0.63331913879080648</v>
      </c>
      <c r="AP250" s="1123">
        <v>0.1</v>
      </c>
      <c r="AQ250" s="1123">
        <f t="shared" si="18"/>
        <v>6.6157067752379534E-2</v>
      </c>
      <c r="AR250" s="1123">
        <v>20</v>
      </c>
      <c r="AS250" s="1123">
        <f t="shared" si="19"/>
        <v>0.29192624865730749</v>
      </c>
      <c r="AT250" s="224">
        <f t="shared" si="17"/>
        <v>4996.9860587829317</v>
      </c>
    </row>
    <row r="251" spans="1:46">
      <c r="A251" s="1118">
        <v>2035</v>
      </c>
      <c r="D251" s="1107" t="s">
        <v>2064</v>
      </c>
      <c r="E251" s="224" t="s">
        <v>2060</v>
      </c>
      <c r="G251" s="224" t="e">
        <v>#DIV/0!</v>
      </c>
      <c r="H251" s="224" t="e">
        <v>#DIV/0!</v>
      </c>
      <c r="I251" s="224" t="e">
        <v>#DIV/0!</v>
      </c>
      <c r="J251" s="224" t="e">
        <v>#DIV/0!</v>
      </c>
      <c r="K251" s="224" t="e">
        <v>#DIV/0!</v>
      </c>
      <c r="L251" s="224" t="e">
        <v>#DIV/0!</v>
      </c>
      <c r="M251" s="224" t="e">
        <v>#DIV/0!</v>
      </c>
      <c r="N251" s="224" t="e">
        <v>#DIV/0!</v>
      </c>
      <c r="O251" s="224" t="e">
        <v>#DIV/0!</v>
      </c>
      <c r="P251" s="224" t="e">
        <v>#DIV/0!</v>
      </c>
      <c r="Q251" s="224" t="e">
        <v>#DIV/0!</v>
      </c>
      <c r="R251" s="224" t="e">
        <v>#DIV/0!</v>
      </c>
      <c r="S251" s="224" t="e">
        <v>#DIV/0!</v>
      </c>
      <c r="T251" s="224" t="e">
        <v>#DIV/0!</v>
      </c>
      <c r="U251" s="224" t="e">
        <v>#DIV/0!</v>
      </c>
      <c r="V251" s="224" t="e">
        <v>#DIV/0!</v>
      </c>
      <c r="W251" s="224" t="e">
        <v>#DIV/0!</v>
      </c>
      <c r="X251" s="224" t="e">
        <v>#DIV/0!</v>
      </c>
      <c r="Y251" s="224" t="e">
        <v>#DIV/0!</v>
      </c>
      <c r="Z251" s="224" t="e">
        <v>#DIV/0!</v>
      </c>
      <c r="AA251" s="224" t="e">
        <v>#DIV/0!</v>
      </c>
      <c r="AB251" s="224" t="e">
        <v>#DIV/0!</v>
      </c>
      <c r="AC251" s="224" t="e">
        <v>#DIV/0!</v>
      </c>
      <c r="AD251" s="224" t="e">
        <v>#DIV/0!</v>
      </c>
      <c r="AE251" s="224" t="e">
        <v>#DIV/0!</v>
      </c>
      <c r="AF251" s="224" t="e">
        <v>#DIV/0!</v>
      </c>
      <c r="AG251" s="224" t="e">
        <v>#DIV/0!</v>
      </c>
      <c r="AH251" s="224" t="e">
        <v>#DIV/0!</v>
      </c>
      <c r="AI251" s="224" t="e">
        <v>#DIV/0!</v>
      </c>
      <c r="AJ251" s="224" t="e">
        <v>#DIV/0!</v>
      </c>
      <c r="AK251" s="224" t="e">
        <v>#DIV/0!</v>
      </c>
      <c r="AL251" s="224" t="e">
        <v>#DIV/0!</v>
      </c>
      <c r="AM251" s="224" t="e">
        <v>#DIV/0!</v>
      </c>
      <c r="AN251" s="1120" t="e">
        <v>#DIV/0!</v>
      </c>
      <c r="AO251" s="224" t="e">
        <f t="shared" si="16"/>
        <v>#DIV/0!</v>
      </c>
      <c r="AP251" s="1123">
        <v>0.1</v>
      </c>
      <c r="AQ251" s="1123">
        <f t="shared" si="18"/>
        <v>6.6157067752379534E-2</v>
      </c>
      <c r="AR251" s="1123">
        <v>20</v>
      </c>
      <c r="AS251" s="1123" t="e">
        <f t="shared" si="19"/>
        <v>#DIV/0!</v>
      </c>
      <c r="AT251" s="224" t="e">
        <f t="shared" si="17"/>
        <v>#DIV/0!</v>
      </c>
    </row>
    <row r="252" spans="1:46">
      <c r="A252" s="1118">
        <v>2050</v>
      </c>
      <c r="D252" s="1107" t="s">
        <v>2064</v>
      </c>
      <c r="E252" s="71" t="s">
        <v>2060</v>
      </c>
      <c r="G252" s="224">
        <v>8535.8837748748629</v>
      </c>
      <c r="H252" s="224">
        <v>4500</v>
      </c>
      <c r="I252" s="224">
        <v>107.98875</v>
      </c>
      <c r="J252" s="224">
        <v>6.25136907746566E-2</v>
      </c>
      <c r="K252" s="224">
        <v>7.2210247963338511E-2</v>
      </c>
      <c r="L252" s="224">
        <v>8.7750578230701426E-2</v>
      </c>
      <c r="M252" s="224">
        <v>2.0976099809536165E-2</v>
      </c>
      <c r="N252" s="224">
        <v>2.4864927210847324E-2</v>
      </c>
      <c r="O252" s="224">
        <v>2.9333478491419988E-2</v>
      </c>
      <c r="P252" s="224">
        <v>-15.910871775069657</v>
      </c>
      <c r="Q252" s="224">
        <v>-7.1516626140394446E-2</v>
      </c>
      <c r="R252" s="224">
        <v>-54.104516016274395</v>
      </c>
      <c r="S252" s="224">
        <v>789.87792975465629</v>
      </c>
      <c r="T252" s="224">
        <v>936.3159694670901</v>
      </c>
      <c r="U252" s="224">
        <v>1104.5841445115577</v>
      </c>
      <c r="V252" s="224">
        <v>110</v>
      </c>
      <c r="W252" s="224">
        <v>280.08470490000002</v>
      </c>
      <c r="X252" s="224">
        <v>420.12705735000003</v>
      </c>
      <c r="Y252" s="224">
        <v>107.36812500000001</v>
      </c>
      <c r="Z252" s="224">
        <v>0</v>
      </c>
      <c r="AA252" s="224">
        <v>4.2958836702726426</v>
      </c>
      <c r="AB252" s="224">
        <v>5.9457380606827392</v>
      </c>
      <c r="AC252" s="224">
        <v>8.0525528312865138</v>
      </c>
      <c r="AD252" s="224">
        <v>4.8066115573072752</v>
      </c>
      <c r="AE252" s="224">
        <v>8511.9824973604864</v>
      </c>
      <c r="AF252" s="224">
        <v>1563.0066244371621</v>
      </c>
      <c r="AG252" s="224">
        <v>10481.31055098559</v>
      </c>
      <c r="AH252" s="224">
        <v>0</v>
      </c>
      <c r="AI252" s="224">
        <v>40800</v>
      </c>
      <c r="AJ252" s="224">
        <v>0</v>
      </c>
      <c r="AK252" s="224">
        <v>4842.5801991868502</v>
      </c>
      <c r="AL252" s="224">
        <v>0</v>
      </c>
      <c r="AM252" s="224">
        <v>240</v>
      </c>
      <c r="AN252" s="1120">
        <v>66438.879871970086</v>
      </c>
      <c r="AO252" s="224">
        <f t="shared" si="16"/>
        <v>0.63331913879080648</v>
      </c>
      <c r="AP252" s="1123">
        <v>0.1</v>
      </c>
      <c r="AQ252" s="1123">
        <f t="shared" si="18"/>
        <v>6.6157067752379534E-2</v>
      </c>
      <c r="AR252" s="1123">
        <v>20</v>
      </c>
      <c r="AS252" s="1123">
        <f t="shared" si="19"/>
        <v>0.29192624865730749</v>
      </c>
      <c r="AT252" s="224">
        <f t="shared" si="17"/>
        <v>4395.4014770821295</v>
      </c>
    </row>
    <row r="253" spans="1:46">
      <c r="A253" s="1118">
        <v>2017</v>
      </c>
      <c r="D253" s="1107" t="s">
        <v>2064</v>
      </c>
      <c r="E253" s="224" t="s">
        <v>2061</v>
      </c>
      <c r="G253" s="224">
        <v>8046.2394769900002</v>
      </c>
      <c r="H253" s="224">
        <v>4500</v>
      </c>
      <c r="I253" s="224">
        <v>200.71012500000001</v>
      </c>
      <c r="J253" s="224">
        <v>0</v>
      </c>
      <c r="K253" s="224">
        <v>0</v>
      </c>
      <c r="L253" s="224">
        <v>0</v>
      </c>
      <c r="M253" s="224">
        <v>0</v>
      </c>
      <c r="N253" s="224">
        <v>0</v>
      </c>
      <c r="O253" s="224">
        <v>0</v>
      </c>
      <c r="P253" s="224">
        <v>0</v>
      </c>
      <c r="Q253" s="224">
        <v>0</v>
      </c>
      <c r="R253" s="224">
        <v>0</v>
      </c>
      <c r="S253" s="224">
        <v>776.86862174944338</v>
      </c>
      <c r="T253" s="224">
        <v>1031.7341707930466</v>
      </c>
      <c r="U253" s="224">
        <v>1188.8652973642702</v>
      </c>
      <c r="V253" s="224">
        <v>0</v>
      </c>
      <c r="W253" s="224">
        <v>287.99307429999999</v>
      </c>
      <c r="X253" s="224">
        <v>431.98961144999998</v>
      </c>
      <c r="Y253" s="224">
        <v>200.71012500000001</v>
      </c>
      <c r="Z253" s="224">
        <v>0</v>
      </c>
      <c r="AA253" s="224">
        <v>3.0950941105555514</v>
      </c>
      <c r="AB253" s="224">
        <v>4.1104947043547675</v>
      </c>
      <c r="AC253" s="224">
        <v>4.7365151289413161</v>
      </c>
      <c r="AD253" s="1120">
        <v>4.9906580019543947</v>
      </c>
      <c r="AE253" s="224">
        <v>0</v>
      </c>
      <c r="AF253" s="224">
        <v>13066.65288747</v>
      </c>
      <c r="AG253" s="224">
        <v>114200.0469225</v>
      </c>
      <c r="AH253" s="224">
        <v>0</v>
      </c>
      <c r="AI253" s="224">
        <v>40800</v>
      </c>
      <c r="AJ253" s="224">
        <v>0</v>
      </c>
      <c r="AK253" s="224">
        <v>745.98720000000003</v>
      </c>
      <c r="AL253" s="224">
        <v>0</v>
      </c>
      <c r="AM253" s="224">
        <v>0</v>
      </c>
      <c r="AN253" s="1120">
        <v>168812.68700997002</v>
      </c>
      <c r="AO253" s="224">
        <f t="shared" si="16"/>
        <v>0.65756909833751098</v>
      </c>
      <c r="AP253" s="1123">
        <v>0.1</v>
      </c>
      <c r="AQ253" s="1123">
        <f t="shared" si="18"/>
        <v>6.6157067752379534E-2</v>
      </c>
      <c r="AR253" s="1123">
        <v>20</v>
      </c>
      <c r="AS253" s="1123">
        <f t="shared" si="19"/>
        <v>0.30310418295134633</v>
      </c>
      <c r="AT253" s="224">
        <f t="shared" si="17"/>
        <v>11168.152371979826</v>
      </c>
    </row>
    <row r="254" spans="1:46">
      <c r="A254" s="1121">
        <v>2020</v>
      </c>
      <c r="D254" s="1107" t="s">
        <v>2064</v>
      </c>
      <c r="E254" s="224" t="s">
        <v>2061</v>
      </c>
      <c r="G254" s="224" t="e">
        <v>#DIV/0!</v>
      </c>
      <c r="H254" s="224" t="e">
        <v>#DIV/0!</v>
      </c>
      <c r="I254" s="224" t="e">
        <v>#DIV/0!</v>
      </c>
      <c r="J254" s="224" t="e">
        <v>#DIV/0!</v>
      </c>
      <c r="K254" s="224" t="e">
        <v>#DIV/0!</v>
      </c>
      <c r="L254" s="224" t="e">
        <v>#DIV/0!</v>
      </c>
      <c r="M254" s="224" t="e">
        <v>#DIV/0!</v>
      </c>
      <c r="N254" s="224" t="e">
        <v>#DIV/0!</v>
      </c>
      <c r="O254" s="224" t="e">
        <v>#DIV/0!</v>
      </c>
      <c r="P254" s="224" t="e">
        <v>#DIV/0!</v>
      </c>
      <c r="Q254" s="224" t="e">
        <v>#DIV/0!</v>
      </c>
      <c r="R254" s="224" t="e">
        <v>#DIV/0!</v>
      </c>
      <c r="S254" s="224" t="e">
        <v>#DIV/0!</v>
      </c>
      <c r="T254" s="224" t="e">
        <v>#DIV/0!</v>
      </c>
      <c r="U254" s="224" t="e">
        <v>#DIV/0!</v>
      </c>
      <c r="V254" s="224" t="e">
        <v>#DIV/0!</v>
      </c>
      <c r="W254" s="224" t="e">
        <v>#DIV/0!</v>
      </c>
      <c r="X254" s="224" t="e">
        <v>#DIV/0!</v>
      </c>
      <c r="Y254" s="224" t="e">
        <v>#DIV/0!</v>
      </c>
      <c r="Z254" s="224" t="e">
        <v>#DIV/0!</v>
      </c>
      <c r="AA254" s="224" t="e">
        <v>#DIV/0!</v>
      </c>
      <c r="AB254" s="224" t="e">
        <v>#DIV/0!</v>
      </c>
      <c r="AC254" s="224" t="e">
        <v>#DIV/0!</v>
      </c>
      <c r="AD254" s="1120" t="e">
        <v>#DIV/0!</v>
      </c>
      <c r="AE254" s="224" t="e">
        <v>#DIV/0!</v>
      </c>
      <c r="AF254" s="224" t="e">
        <v>#DIV/0!</v>
      </c>
      <c r="AG254" s="224" t="e">
        <v>#DIV/0!</v>
      </c>
      <c r="AH254" s="224" t="e">
        <v>#DIV/0!</v>
      </c>
      <c r="AI254" s="224" t="e">
        <v>#DIV/0!</v>
      </c>
      <c r="AJ254" s="224" t="e">
        <v>#DIV/0!</v>
      </c>
      <c r="AK254" s="224" t="e">
        <v>#DIV/0!</v>
      </c>
      <c r="AL254" s="224" t="e">
        <v>#DIV/0!</v>
      </c>
      <c r="AM254" s="224" t="e">
        <v>#DIV/0!</v>
      </c>
      <c r="AN254" s="1120" t="e">
        <v>#DIV/0!</v>
      </c>
      <c r="AO254" s="224" t="e">
        <f t="shared" si="16"/>
        <v>#DIV/0!</v>
      </c>
      <c r="AP254" s="1123">
        <v>0.1</v>
      </c>
      <c r="AQ254" s="1123">
        <f t="shared" si="18"/>
        <v>6.6157067752379534E-2</v>
      </c>
      <c r="AR254" s="1123">
        <v>20</v>
      </c>
      <c r="AS254" s="1123" t="e">
        <f t="shared" si="19"/>
        <v>#DIV/0!</v>
      </c>
      <c r="AT254" s="224" t="e">
        <f t="shared" si="17"/>
        <v>#DIV/0!</v>
      </c>
    </row>
    <row r="255" spans="1:46">
      <c r="A255" s="1118">
        <v>2025</v>
      </c>
      <c r="D255" s="1107" t="s">
        <v>2064</v>
      </c>
      <c r="E255" s="224" t="s">
        <v>2061</v>
      </c>
      <c r="G255" s="224" t="e">
        <v>#DIV/0!</v>
      </c>
      <c r="H255" s="224" t="e">
        <v>#DIV/0!</v>
      </c>
      <c r="I255" s="224" t="e">
        <v>#DIV/0!</v>
      </c>
      <c r="J255" s="224" t="e">
        <v>#DIV/0!</v>
      </c>
      <c r="K255" s="224" t="e">
        <v>#DIV/0!</v>
      </c>
      <c r="L255" s="224" t="e">
        <v>#DIV/0!</v>
      </c>
      <c r="M255" s="224" t="e">
        <v>#DIV/0!</v>
      </c>
      <c r="N255" s="224" t="e">
        <v>#DIV/0!</v>
      </c>
      <c r="O255" s="224" t="e">
        <v>#DIV/0!</v>
      </c>
      <c r="P255" s="224" t="e">
        <v>#DIV/0!</v>
      </c>
      <c r="Q255" s="224" t="e">
        <v>#DIV/0!</v>
      </c>
      <c r="R255" s="224" t="e">
        <v>#DIV/0!</v>
      </c>
      <c r="S255" s="224" t="e">
        <v>#DIV/0!</v>
      </c>
      <c r="T255" s="224" t="e">
        <v>#DIV/0!</v>
      </c>
      <c r="U255" s="224" t="e">
        <v>#DIV/0!</v>
      </c>
      <c r="V255" s="224" t="e">
        <v>#DIV/0!</v>
      </c>
      <c r="W255" s="224" t="e">
        <v>#DIV/0!</v>
      </c>
      <c r="X255" s="224" t="e">
        <v>#DIV/0!</v>
      </c>
      <c r="Y255" s="224" t="e">
        <v>#DIV/0!</v>
      </c>
      <c r="Z255" s="224" t="e">
        <v>#DIV/0!</v>
      </c>
      <c r="AA255" s="224" t="e">
        <v>#DIV/0!</v>
      </c>
      <c r="AB255" s="224" t="e">
        <v>#DIV/0!</v>
      </c>
      <c r="AC255" s="224" t="e">
        <v>#DIV/0!</v>
      </c>
      <c r="AD255" s="1120" t="e">
        <v>#DIV/0!</v>
      </c>
      <c r="AE255" s="224" t="e">
        <v>#DIV/0!</v>
      </c>
      <c r="AF255" s="224" t="e">
        <v>#DIV/0!</v>
      </c>
      <c r="AG255" s="224" t="e">
        <v>#DIV/0!</v>
      </c>
      <c r="AH255" s="224" t="e">
        <v>#DIV/0!</v>
      </c>
      <c r="AI255" s="224" t="e">
        <v>#DIV/0!</v>
      </c>
      <c r="AJ255" s="224" t="e">
        <v>#DIV/0!</v>
      </c>
      <c r="AK255" s="224" t="e">
        <v>#DIV/0!</v>
      </c>
      <c r="AL255" s="224" t="e">
        <v>#DIV/0!</v>
      </c>
      <c r="AM255" s="224" t="e">
        <v>#DIV/0!</v>
      </c>
      <c r="AN255" s="1120" t="e">
        <v>#DIV/0!</v>
      </c>
      <c r="AO255" s="224" t="e">
        <f t="shared" si="16"/>
        <v>#DIV/0!</v>
      </c>
      <c r="AP255" s="1123">
        <v>0.1</v>
      </c>
      <c r="AQ255" s="1123">
        <f t="shared" si="18"/>
        <v>6.6157067752379534E-2</v>
      </c>
      <c r="AR255" s="1123">
        <v>20</v>
      </c>
      <c r="AS255" s="1123" t="e">
        <f t="shared" si="19"/>
        <v>#DIV/0!</v>
      </c>
      <c r="AT255" s="224" t="e">
        <f t="shared" si="17"/>
        <v>#DIV/0!</v>
      </c>
    </row>
    <row r="256" spans="1:46">
      <c r="A256" s="1118">
        <v>2030</v>
      </c>
      <c r="D256" s="1107" t="s">
        <v>2064</v>
      </c>
      <c r="E256" s="71" t="s">
        <v>2061</v>
      </c>
      <c r="G256" s="224">
        <v>8046.2394769900002</v>
      </c>
      <c r="H256" s="224">
        <v>4500</v>
      </c>
      <c r="I256" s="224">
        <v>200.71012500000001</v>
      </c>
      <c r="J256" s="224">
        <v>0</v>
      </c>
      <c r="K256" s="224">
        <v>0</v>
      </c>
      <c r="L256" s="224">
        <v>0</v>
      </c>
      <c r="M256" s="224">
        <v>0</v>
      </c>
      <c r="N256" s="224">
        <v>0</v>
      </c>
      <c r="O256" s="224">
        <v>0</v>
      </c>
      <c r="P256" s="224">
        <v>0</v>
      </c>
      <c r="Q256" s="224">
        <v>0</v>
      </c>
      <c r="R256" s="224">
        <v>0</v>
      </c>
      <c r="S256" s="224">
        <v>776.86862174944338</v>
      </c>
      <c r="T256" s="224">
        <v>1031.7341707930466</v>
      </c>
      <c r="U256" s="224">
        <v>1188.8652973642702</v>
      </c>
      <c r="V256" s="224">
        <v>0</v>
      </c>
      <c r="W256" s="224">
        <v>287.99307429999999</v>
      </c>
      <c r="X256" s="224">
        <v>431.98961144999998</v>
      </c>
      <c r="Y256" s="224">
        <v>200.71012500000001</v>
      </c>
      <c r="Z256" s="224">
        <v>0</v>
      </c>
      <c r="AA256" s="224">
        <v>3.0950941105555514</v>
      </c>
      <c r="AB256" s="224">
        <v>4.1104947043547675</v>
      </c>
      <c r="AC256" s="224">
        <v>4.7365151289413161</v>
      </c>
      <c r="AD256" s="224">
        <v>4.9906580019543947</v>
      </c>
      <c r="AE256" s="224">
        <v>0</v>
      </c>
      <c r="AF256" s="224">
        <v>3253.7393248286949</v>
      </c>
      <c r="AG256" s="224">
        <v>36092.357737734375</v>
      </c>
      <c r="AH256" s="224">
        <v>0</v>
      </c>
      <c r="AI256" s="224">
        <v>40800</v>
      </c>
      <c r="AJ256" s="224">
        <v>0</v>
      </c>
      <c r="AK256" s="224">
        <v>3508.0290601924276</v>
      </c>
      <c r="AL256" s="224">
        <v>0</v>
      </c>
      <c r="AM256" s="224">
        <v>0</v>
      </c>
      <c r="AN256" s="1120">
        <v>83654.126122755493</v>
      </c>
      <c r="AO256" s="224">
        <f t="shared" si="16"/>
        <v>0.65756909833751098</v>
      </c>
      <c r="AP256" s="1123">
        <v>0.1</v>
      </c>
      <c r="AQ256" s="1123">
        <f t="shared" si="18"/>
        <v>6.6157067752379534E-2</v>
      </c>
      <c r="AR256" s="1123">
        <v>20</v>
      </c>
      <c r="AS256" s="1123">
        <f t="shared" si="19"/>
        <v>0.30310418295134633</v>
      </c>
      <c r="AT256" s="224">
        <f t="shared" si="17"/>
        <v>5534.3116896692381</v>
      </c>
    </row>
    <row r="257" spans="1:46">
      <c r="A257" s="1118">
        <v>2035</v>
      </c>
      <c r="D257" s="1107" t="s">
        <v>2064</v>
      </c>
      <c r="E257" s="224" t="s">
        <v>2061</v>
      </c>
      <c r="G257" s="224" t="e">
        <v>#DIV/0!</v>
      </c>
      <c r="H257" s="224" t="e">
        <v>#DIV/0!</v>
      </c>
      <c r="I257" s="224" t="e">
        <v>#DIV/0!</v>
      </c>
      <c r="J257" s="224" t="e">
        <v>#DIV/0!</v>
      </c>
      <c r="K257" s="224" t="e">
        <v>#DIV/0!</v>
      </c>
      <c r="L257" s="224" t="e">
        <v>#DIV/0!</v>
      </c>
      <c r="M257" s="224" t="e">
        <v>#DIV/0!</v>
      </c>
      <c r="N257" s="224" t="e">
        <v>#DIV/0!</v>
      </c>
      <c r="O257" s="224" t="e">
        <v>#DIV/0!</v>
      </c>
      <c r="P257" s="224" t="e">
        <v>#DIV/0!</v>
      </c>
      <c r="Q257" s="224" t="e">
        <v>#DIV/0!</v>
      </c>
      <c r="R257" s="224" t="e">
        <v>#DIV/0!</v>
      </c>
      <c r="S257" s="224" t="e">
        <v>#DIV/0!</v>
      </c>
      <c r="T257" s="224" t="e">
        <v>#DIV/0!</v>
      </c>
      <c r="U257" s="224" t="e">
        <v>#DIV/0!</v>
      </c>
      <c r="V257" s="224" t="e">
        <v>#DIV/0!</v>
      </c>
      <c r="W257" s="224" t="e">
        <v>#DIV/0!</v>
      </c>
      <c r="X257" s="224" t="e">
        <v>#DIV/0!</v>
      </c>
      <c r="Y257" s="224" t="e">
        <v>#DIV/0!</v>
      </c>
      <c r="Z257" s="224" t="e">
        <v>#DIV/0!</v>
      </c>
      <c r="AA257" s="224" t="e">
        <v>#DIV/0!</v>
      </c>
      <c r="AB257" s="224" t="e">
        <v>#DIV/0!</v>
      </c>
      <c r="AC257" s="224" t="e">
        <v>#DIV/0!</v>
      </c>
      <c r="AD257" s="224" t="e">
        <v>#DIV/0!</v>
      </c>
      <c r="AE257" s="224" t="e">
        <v>#DIV/0!</v>
      </c>
      <c r="AF257" s="224" t="e">
        <v>#DIV/0!</v>
      </c>
      <c r="AG257" s="224" t="e">
        <v>#DIV/0!</v>
      </c>
      <c r="AH257" s="224" t="e">
        <v>#DIV/0!</v>
      </c>
      <c r="AI257" s="224" t="e">
        <v>#DIV/0!</v>
      </c>
      <c r="AJ257" s="224" t="e">
        <v>#DIV/0!</v>
      </c>
      <c r="AK257" s="224" t="e">
        <v>#DIV/0!</v>
      </c>
      <c r="AL257" s="224" t="e">
        <v>#DIV/0!</v>
      </c>
      <c r="AM257" s="224" t="e">
        <v>#DIV/0!</v>
      </c>
      <c r="AN257" s="1120" t="e">
        <v>#DIV/0!</v>
      </c>
      <c r="AO257" s="224" t="e">
        <f t="shared" si="16"/>
        <v>#DIV/0!</v>
      </c>
      <c r="AP257" s="1123">
        <v>0.1</v>
      </c>
      <c r="AQ257" s="1123">
        <f t="shared" si="18"/>
        <v>6.6157067752379534E-2</v>
      </c>
      <c r="AR257" s="1123">
        <v>20</v>
      </c>
      <c r="AS257" s="1123" t="e">
        <f t="shared" si="19"/>
        <v>#DIV/0!</v>
      </c>
      <c r="AT257" s="224" t="e">
        <f t="shared" si="17"/>
        <v>#DIV/0!</v>
      </c>
    </row>
    <row r="258" spans="1:46">
      <c r="A258" s="1118">
        <v>2050</v>
      </c>
      <c r="D258" s="1107" t="s">
        <v>2064</v>
      </c>
      <c r="E258" s="71" t="s">
        <v>2061</v>
      </c>
      <c r="G258" s="224">
        <v>8046.2394769900002</v>
      </c>
      <c r="H258" s="224">
        <v>4500</v>
      </c>
      <c r="I258" s="224">
        <v>200.71012500000001</v>
      </c>
      <c r="J258" s="224">
        <v>0</v>
      </c>
      <c r="K258" s="224">
        <v>0</v>
      </c>
      <c r="L258" s="224">
        <v>0</v>
      </c>
      <c r="M258" s="224">
        <v>0</v>
      </c>
      <c r="N258" s="224">
        <v>0</v>
      </c>
      <c r="O258" s="224">
        <v>0</v>
      </c>
      <c r="P258" s="224">
        <v>0</v>
      </c>
      <c r="Q258" s="224">
        <v>0</v>
      </c>
      <c r="R258" s="224">
        <v>0</v>
      </c>
      <c r="S258" s="224">
        <v>776.86862174944338</v>
      </c>
      <c r="T258" s="224">
        <v>1031.7341707930466</v>
      </c>
      <c r="U258" s="224">
        <v>1188.8652973642702</v>
      </c>
      <c r="V258" s="224">
        <v>0</v>
      </c>
      <c r="W258" s="224">
        <v>287.99307429999999</v>
      </c>
      <c r="X258" s="224">
        <v>431.98961144999998</v>
      </c>
      <c r="Y258" s="224">
        <v>200.71012500000001</v>
      </c>
      <c r="Z258" s="224">
        <v>0</v>
      </c>
      <c r="AA258" s="224">
        <v>3.0950941105555514</v>
      </c>
      <c r="AB258" s="224">
        <v>4.1104947043547675</v>
      </c>
      <c r="AC258" s="224">
        <v>4.7365151289413161</v>
      </c>
      <c r="AD258" s="224">
        <v>4.9906580019543947</v>
      </c>
      <c r="AE258" s="224">
        <v>0</v>
      </c>
      <c r="AF258" s="224">
        <v>1546.6183067382544</v>
      </c>
      <c r="AG258" s="224">
        <v>19689.252284624996</v>
      </c>
      <c r="AH258" s="224">
        <v>0</v>
      </c>
      <c r="AI258" s="224">
        <v>40800</v>
      </c>
      <c r="AJ258" s="224">
        <v>0</v>
      </c>
      <c r="AK258" s="224">
        <v>4842.5801991868502</v>
      </c>
      <c r="AL258" s="224">
        <v>0</v>
      </c>
      <c r="AM258" s="224">
        <v>0</v>
      </c>
      <c r="AN258" s="1120">
        <v>66878.450790550094</v>
      </c>
      <c r="AO258" s="224">
        <f t="shared" si="16"/>
        <v>0.65756909833751098</v>
      </c>
      <c r="AP258" s="1123">
        <v>0.1</v>
      </c>
      <c r="AQ258" s="1123">
        <f t="shared" si="18"/>
        <v>6.6157067752379534E-2</v>
      </c>
      <c r="AR258" s="1123">
        <v>20</v>
      </c>
      <c r="AS258" s="1123">
        <f t="shared" si="19"/>
        <v>0.30310418295134633</v>
      </c>
      <c r="AT258" s="224">
        <f t="shared" si="17"/>
        <v>4424.482200124603</v>
      </c>
    </row>
    <row r="259" spans="1:46">
      <c r="A259" s="1118">
        <v>2017</v>
      </c>
      <c r="D259" s="1107" t="s">
        <v>2064</v>
      </c>
      <c r="E259" s="224" t="s">
        <v>2062</v>
      </c>
      <c r="G259" s="224">
        <v>7952.1925725600022</v>
      </c>
      <c r="H259" s="224">
        <v>4500</v>
      </c>
      <c r="I259" s="224">
        <v>5.3697600000000003</v>
      </c>
      <c r="J259" s="224">
        <v>4.9205156496759085E-2</v>
      </c>
      <c r="K259" s="224">
        <v>4.9492795596186377E-2</v>
      </c>
      <c r="L259" s="224">
        <v>5.738214250235537E-2</v>
      </c>
      <c r="M259" s="224">
        <v>0</v>
      </c>
      <c r="N259" s="224">
        <v>0</v>
      </c>
      <c r="O259" s="224">
        <v>0</v>
      </c>
      <c r="P259" s="224">
        <v>0</v>
      </c>
      <c r="Q259" s="224">
        <v>0</v>
      </c>
      <c r="R259" s="224">
        <v>0</v>
      </c>
      <c r="S259" s="224">
        <v>0</v>
      </c>
      <c r="T259" s="224">
        <v>0</v>
      </c>
      <c r="U259" s="224">
        <v>0</v>
      </c>
      <c r="V259" s="224">
        <v>0</v>
      </c>
      <c r="W259" s="224">
        <v>370.01442309999999</v>
      </c>
      <c r="X259" s="224">
        <v>167.14808612440189</v>
      </c>
      <c r="Y259" s="224">
        <v>5.3697600000000003</v>
      </c>
      <c r="Z259" s="224">
        <v>240.08003669999999</v>
      </c>
      <c r="AA259" s="224">
        <v>7.3807734745138625</v>
      </c>
      <c r="AB259" s="224">
        <v>7.4239193394279566</v>
      </c>
      <c r="AC259" s="224">
        <v>8.6073213753533047</v>
      </c>
      <c r="AD259" s="1120">
        <v>10.162476287272719</v>
      </c>
      <c r="AE259" s="224">
        <v>0</v>
      </c>
      <c r="AF259" s="224">
        <v>16585.368750989997</v>
      </c>
      <c r="AG259" s="224">
        <v>7287.6565550239238</v>
      </c>
      <c r="AH259" s="224">
        <v>0</v>
      </c>
      <c r="AI259" s="224">
        <v>40800</v>
      </c>
      <c r="AJ259" s="224">
        <v>0</v>
      </c>
      <c r="AK259" s="224">
        <v>745.98720000000003</v>
      </c>
      <c r="AL259" s="224">
        <v>115143.24</v>
      </c>
      <c r="AM259" s="224">
        <v>9755.5863280000012</v>
      </c>
      <c r="AN259" s="1120">
        <v>190317.83883401394</v>
      </c>
      <c r="AO259" s="224">
        <f t="shared" si="16"/>
        <v>1.3390078756110533</v>
      </c>
      <c r="AP259" s="1123">
        <v>0.1</v>
      </c>
      <c r="AQ259" s="1123">
        <f t="shared" si="18"/>
        <v>6.6157067752379534E-2</v>
      </c>
      <c r="AR259" s="1123">
        <v>20</v>
      </c>
      <c r="AS259" s="1123">
        <f t="shared" si="19"/>
        <v>0.61721101117527088</v>
      </c>
      <c r="AT259" s="224">
        <f t="shared" si="17"/>
        <v>12590.870158228308</v>
      </c>
    </row>
    <row r="260" spans="1:46">
      <c r="A260" s="1121">
        <v>2020</v>
      </c>
      <c r="D260" s="1107" t="s">
        <v>2064</v>
      </c>
      <c r="E260" s="224" t="s">
        <v>2062</v>
      </c>
      <c r="G260" s="224" t="e">
        <v>#DIV/0!</v>
      </c>
      <c r="H260" s="224" t="e">
        <v>#DIV/0!</v>
      </c>
      <c r="I260" s="224" t="e">
        <v>#DIV/0!</v>
      </c>
      <c r="J260" s="224" t="e">
        <v>#DIV/0!</v>
      </c>
      <c r="K260" s="224" t="e">
        <v>#DIV/0!</v>
      </c>
      <c r="L260" s="224" t="e">
        <v>#DIV/0!</v>
      </c>
      <c r="M260" s="224" t="e">
        <v>#DIV/0!</v>
      </c>
      <c r="N260" s="224" t="e">
        <v>#DIV/0!</v>
      </c>
      <c r="O260" s="224" t="e">
        <v>#DIV/0!</v>
      </c>
      <c r="P260" s="224" t="e">
        <v>#DIV/0!</v>
      </c>
      <c r="Q260" s="224" t="e">
        <v>#DIV/0!</v>
      </c>
      <c r="R260" s="224" t="e">
        <v>#DIV/0!</v>
      </c>
      <c r="S260" s="224" t="e">
        <v>#DIV/0!</v>
      </c>
      <c r="T260" s="224" t="e">
        <v>#DIV/0!</v>
      </c>
      <c r="U260" s="224" t="e">
        <v>#DIV/0!</v>
      </c>
      <c r="V260" s="224" t="e">
        <v>#DIV/0!</v>
      </c>
      <c r="W260" s="224" t="e">
        <v>#DIV/0!</v>
      </c>
      <c r="X260" s="224" t="e">
        <v>#DIV/0!</v>
      </c>
      <c r="Y260" s="224" t="e">
        <v>#DIV/0!</v>
      </c>
      <c r="Z260" s="224" t="e">
        <v>#DIV/0!</v>
      </c>
      <c r="AA260" s="224" t="e">
        <v>#DIV/0!</v>
      </c>
      <c r="AB260" s="224" t="e">
        <v>#DIV/0!</v>
      </c>
      <c r="AC260" s="224" t="e">
        <v>#DIV/0!</v>
      </c>
      <c r="AD260" s="1120" t="e">
        <v>#DIV/0!</v>
      </c>
      <c r="AE260" s="224" t="e">
        <v>#DIV/0!</v>
      </c>
      <c r="AF260" s="224" t="e">
        <v>#DIV/0!</v>
      </c>
      <c r="AG260" s="224" t="e">
        <v>#DIV/0!</v>
      </c>
      <c r="AH260" s="224" t="e">
        <v>#DIV/0!</v>
      </c>
      <c r="AI260" s="224" t="e">
        <v>#DIV/0!</v>
      </c>
      <c r="AJ260" s="224" t="e">
        <v>#DIV/0!</v>
      </c>
      <c r="AK260" s="224" t="e">
        <v>#DIV/0!</v>
      </c>
      <c r="AL260" s="224" t="e">
        <v>#DIV/0!</v>
      </c>
      <c r="AM260" s="224" t="e">
        <v>#DIV/0!</v>
      </c>
      <c r="AN260" s="1120" t="e">
        <v>#DIV/0!</v>
      </c>
      <c r="AO260" s="224" t="e">
        <f t="shared" si="16"/>
        <v>#DIV/0!</v>
      </c>
      <c r="AP260" s="1123">
        <v>0.1</v>
      </c>
      <c r="AQ260" s="1123">
        <f t="shared" si="18"/>
        <v>6.6157067752379534E-2</v>
      </c>
      <c r="AR260" s="1123">
        <v>20</v>
      </c>
      <c r="AS260" s="1123" t="e">
        <f t="shared" si="19"/>
        <v>#DIV/0!</v>
      </c>
      <c r="AT260" s="224" t="e">
        <f t="shared" si="17"/>
        <v>#DIV/0!</v>
      </c>
    </row>
    <row r="261" spans="1:46">
      <c r="A261" s="1118">
        <v>2025</v>
      </c>
      <c r="D261" s="1107" t="s">
        <v>2064</v>
      </c>
      <c r="E261" s="224" t="s">
        <v>2062</v>
      </c>
      <c r="G261" s="224" t="e">
        <v>#DIV/0!</v>
      </c>
      <c r="H261" s="224" t="e">
        <v>#DIV/0!</v>
      </c>
      <c r="I261" s="224" t="e">
        <v>#DIV/0!</v>
      </c>
      <c r="J261" s="224" t="e">
        <v>#DIV/0!</v>
      </c>
      <c r="K261" s="224" t="e">
        <v>#DIV/0!</v>
      </c>
      <c r="L261" s="224" t="e">
        <v>#DIV/0!</v>
      </c>
      <c r="M261" s="224" t="e">
        <v>#DIV/0!</v>
      </c>
      <c r="N261" s="224" t="e">
        <v>#DIV/0!</v>
      </c>
      <c r="O261" s="224" t="e">
        <v>#DIV/0!</v>
      </c>
      <c r="P261" s="224" t="e">
        <v>#DIV/0!</v>
      </c>
      <c r="Q261" s="224" t="e">
        <v>#DIV/0!</v>
      </c>
      <c r="R261" s="224" t="e">
        <v>#DIV/0!</v>
      </c>
      <c r="S261" s="224" t="e">
        <v>#DIV/0!</v>
      </c>
      <c r="T261" s="224" t="e">
        <v>#DIV/0!</v>
      </c>
      <c r="U261" s="224" t="e">
        <v>#DIV/0!</v>
      </c>
      <c r="V261" s="224" t="e">
        <v>#DIV/0!</v>
      </c>
      <c r="W261" s="224" t="e">
        <v>#DIV/0!</v>
      </c>
      <c r="X261" s="224" t="e">
        <v>#DIV/0!</v>
      </c>
      <c r="Y261" s="224" t="e">
        <v>#DIV/0!</v>
      </c>
      <c r="Z261" s="224" t="e">
        <v>#DIV/0!</v>
      </c>
      <c r="AA261" s="224" t="e">
        <v>#DIV/0!</v>
      </c>
      <c r="AB261" s="224" t="e">
        <v>#DIV/0!</v>
      </c>
      <c r="AC261" s="224" t="e">
        <v>#DIV/0!</v>
      </c>
      <c r="AD261" s="1120" t="e">
        <v>#DIV/0!</v>
      </c>
      <c r="AE261" s="224" t="e">
        <v>#DIV/0!</v>
      </c>
      <c r="AF261" s="224" t="e">
        <v>#DIV/0!</v>
      </c>
      <c r="AG261" s="224" t="e">
        <v>#DIV/0!</v>
      </c>
      <c r="AH261" s="224" t="e">
        <v>#DIV/0!</v>
      </c>
      <c r="AI261" s="224" t="e">
        <v>#DIV/0!</v>
      </c>
      <c r="AJ261" s="224" t="e">
        <v>#DIV/0!</v>
      </c>
      <c r="AK261" s="224" t="e">
        <v>#DIV/0!</v>
      </c>
      <c r="AL261" s="224" t="e">
        <v>#DIV/0!</v>
      </c>
      <c r="AM261" s="224" t="e">
        <v>#DIV/0!</v>
      </c>
      <c r="AN261" s="1120" t="e">
        <v>#DIV/0!</v>
      </c>
      <c r="AO261" s="224" t="e">
        <f t="shared" si="16"/>
        <v>#DIV/0!</v>
      </c>
      <c r="AP261" s="1123">
        <v>0.1</v>
      </c>
      <c r="AQ261" s="1123">
        <f t="shared" si="18"/>
        <v>6.6157067752379534E-2</v>
      </c>
      <c r="AR261" s="1123">
        <v>20</v>
      </c>
      <c r="AS261" s="1123" t="e">
        <f t="shared" si="19"/>
        <v>#DIV/0!</v>
      </c>
      <c r="AT261" s="224" t="e">
        <f t="shared" si="17"/>
        <v>#DIV/0!</v>
      </c>
    </row>
    <row r="262" spans="1:46">
      <c r="A262" s="1118">
        <v>2030</v>
      </c>
      <c r="D262" s="1107" t="s">
        <v>2064</v>
      </c>
      <c r="E262" s="224" t="s">
        <v>2062</v>
      </c>
      <c r="G262" s="224">
        <v>7191.931798060773</v>
      </c>
      <c r="H262" s="224">
        <v>4581</v>
      </c>
      <c r="I262" s="224">
        <v>4.7044800000000002</v>
      </c>
      <c r="J262" s="224">
        <v>3.474182465266723E-2</v>
      </c>
      <c r="K262" s="224">
        <v>3.3233851318587519E-2</v>
      </c>
      <c r="L262" s="224">
        <v>3.8292804914657884E-2</v>
      </c>
      <c r="M262" s="224">
        <v>0</v>
      </c>
      <c r="N262" s="224">
        <v>0</v>
      </c>
      <c r="O262" s="224">
        <v>0</v>
      </c>
      <c r="P262" s="224">
        <v>0</v>
      </c>
      <c r="Q262" s="224">
        <v>0</v>
      </c>
      <c r="R262" s="224">
        <v>0</v>
      </c>
      <c r="S262" s="224">
        <v>0</v>
      </c>
      <c r="T262" s="224">
        <v>0</v>
      </c>
      <c r="U262" s="224">
        <v>0</v>
      </c>
      <c r="V262" s="224">
        <v>0</v>
      </c>
      <c r="W262" s="224">
        <v>309.03279420000001</v>
      </c>
      <c r="X262" s="224">
        <v>88.905458515283811</v>
      </c>
      <c r="Y262" s="224">
        <v>4.7044800000000002</v>
      </c>
      <c r="Z262" s="224">
        <v>200.13358799999997</v>
      </c>
      <c r="AA262" s="224">
        <v>5.2112736979000847</v>
      </c>
      <c r="AB262" s="224">
        <v>4.9850776977881281</v>
      </c>
      <c r="AC262" s="224">
        <v>5.7439207371986827</v>
      </c>
      <c r="AD262" s="1120">
        <v>6.8196278650938442</v>
      </c>
      <c r="AE262" s="224">
        <v>0</v>
      </c>
      <c r="AF262" s="224">
        <v>2979.9723925296003</v>
      </c>
      <c r="AG262" s="224">
        <v>1973.7011790393003</v>
      </c>
      <c r="AH262" s="224">
        <v>0</v>
      </c>
      <c r="AI262" s="224">
        <v>40800</v>
      </c>
      <c r="AJ262" s="224">
        <v>1426.4912628</v>
      </c>
      <c r="AK262" s="224">
        <v>5614.4184944067338</v>
      </c>
      <c r="AL262" s="224">
        <v>23696.280000000002</v>
      </c>
      <c r="AM262" s="224">
        <v>3163.9884000000002</v>
      </c>
      <c r="AN262" s="1120">
        <v>79654.85172877564</v>
      </c>
      <c r="AO262" s="224">
        <f t="shared" si="16"/>
        <v>0.8985541675047648</v>
      </c>
      <c r="AP262" s="1123">
        <v>0.1</v>
      </c>
      <c r="AQ262" s="1123">
        <f t="shared" si="18"/>
        <v>6.6157067752379534E-2</v>
      </c>
      <c r="AR262" s="1123">
        <v>20</v>
      </c>
      <c r="AS262" s="1123">
        <f t="shared" si="19"/>
        <v>0.41418541027496214</v>
      </c>
      <c r="AT262" s="224">
        <f t="shared" si="17"/>
        <v>5269.7314226263561</v>
      </c>
    </row>
    <row r="263" spans="1:46">
      <c r="A263" s="1118">
        <v>2035</v>
      </c>
      <c r="D263" s="1107" t="s">
        <v>2064</v>
      </c>
      <c r="E263" s="224" t="s">
        <v>2062</v>
      </c>
      <c r="G263" s="224" t="e">
        <v>#DIV/0!</v>
      </c>
      <c r="H263" s="224" t="e">
        <v>#DIV/0!</v>
      </c>
      <c r="I263" s="224" t="e">
        <v>#DIV/0!</v>
      </c>
      <c r="J263" s="224" t="e">
        <v>#DIV/0!</v>
      </c>
      <c r="K263" s="224" t="e">
        <v>#DIV/0!</v>
      </c>
      <c r="L263" s="224" t="e">
        <v>#DIV/0!</v>
      </c>
      <c r="M263" s="224" t="e">
        <v>#DIV/0!</v>
      </c>
      <c r="N263" s="224" t="e">
        <v>#DIV/0!</v>
      </c>
      <c r="O263" s="224" t="e">
        <v>#DIV/0!</v>
      </c>
      <c r="P263" s="224" t="e">
        <v>#DIV/0!</v>
      </c>
      <c r="Q263" s="224" t="e">
        <v>#DIV/0!</v>
      </c>
      <c r="R263" s="224" t="e">
        <v>#DIV/0!</v>
      </c>
      <c r="S263" s="224" t="e">
        <v>#DIV/0!</v>
      </c>
      <c r="T263" s="224" t="e">
        <v>#DIV/0!</v>
      </c>
      <c r="U263" s="224" t="e">
        <v>#DIV/0!</v>
      </c>
      <c r="V263" s="224" t="e">
        <v>#DIV/0!</v>
      </c>
      <c r="W263" s="224" t="e">
        <v>#DIV/0!</v>
      </c>
      <c r="X263" s="224" t="e">
        <v>#DIV/0!</v>
      </c>
      <c r="Y263" s="224" t="e">
        <v>#DIV/0!</v>
      </c>
      <c r="Z263" s="224" t="e">
        <v>#DIV/0!</v>
      </c>
      <c r="AA263" s="224" t="e">
        <v>#DIV/0!</v>
      </c>
      <c r="AB263" s="224" t="e">
        <v>#DIV/0!</v>
      </c>
      <c r="AC263" s="224" t="e">
        <v>#DIV/0!</v>
      </c>
      <c r="AD263" s="1120" t="e">
        <v>#DIV/0!</v>
      </c>
      <c r="AE263" s="224" t="e">
        <v>#DIV/0!</v>
      </c>
      <c r="AF263" s="224" t="e">
        <v>#DIV/0!</v>
      </c>
      <c r="AG263" s="224" t="e">
        <v>#DIV/0!</v>
      </c>
      <c r="AH263" s="224" t="e">
        <v>#DIV/0!</v>
      </c>
      <c r="AI263" s="224" t="e">
        <v>#DIV/0!</v>
      </c>
      <c r="AJ263" s="224" t="e">
        <v>#DIV/0!</v>
      </c>
      <c r="AK263" s="224" t="e">
        <v>#DIV/0!</v>
      </c>
      <c r="AL263" s="224" t="e">
        <v>#DIV/0!</v>
      </c>
      <c r="AM263" s="224" t="e">
        <v>#DIV/0!</v>
      </c>
      <c r="AN263" s="1120" t="e">
        <v>#DIV/0!</v>
      </c>
      <c r="AO263" s="224" t="e">
        <f t="shared" si="16"/>
        <v>#DIV/0!</v>
      </c>
      <c r="AP263" s="1123">
        <v>0.1</v>
      </c>
      <c r="AQ263" s="1123">
        <f t="shared" si="18"/>
        <v>6.6157067752379534E-2</v>
      </c>
      <c r="AR263" s="1123">
        <v>20</v>
      </c>
      <c r="AS263" s="1123" t="e">
        <f t="shared" si="19"/>
        <v>#DIV/0!</v>
      </c>
      <c r="AT263" s="224" t="e">
        <f t="shared" si="17"/>
        <v>#DIV/0!</v>
      </c>
    </row>
    <row r="264" spans="1:46">
      <c r="A264" s="1118">
        <v>2050</v>
      </c>
      <c r="D264" s="1107" t="s">
        <v>2064</v>
      </c>
      <c r="E264" s="224" t="s">
        <v>2062</v>
      </c>
      <c r="G264" s="224">
        <v>6760.045691076979</v>
      </c>
      <c r="H264" s="224">
        <v>4699</v>
      </c>
      <c r="I264" s="224">
        <v>4.4035200000000003</v>
      </c>
      <c r="J264" s="224">
        <v>2.8349511023532413E-2</v>
      </c>
      <c r="K264" s="224">
        <v>2.8033731496655046E-2</v>
      </c>
      <c r="L264" s="224">
        <v>3.2465985586443084E-2</v>
      </c>
      <c r="M264" s="224">
        <v>0</v>
      </c>
      <c r="N264" s="224">
        <v>0</v>
      </c>
      <c r="O264" s="224">
        <v>0</v>
      </c>
      <c r="P264" s="224">
        <v>0</v>
      </c>
      <c r="Q264" s="224">
        <v>0</v>
      </c>
      <c r="R264" s="224">
        <v>0</v>
      </c>
      <c r="S264" s="224">
        <v>0</v>
      </c>
      <c r="T264" s="224">
        <v>0</v>
      </c>
      <c r="U264" s="224">
        <v>0</v>
      </c>
      <c r="V264" s="224">
        <v>0</v>
      </c>
      <c r="W264" s="224">
        <v>280.85784690000003</v>
      </c>
      <c r="X264" s="224">
        <v>83.217903930130973</v>
      </c>
      <c r="Y264" s="224">
        <v>4.4035200000000003</v>
      </c>
      <c r="Z264" s="224">
        <v>181.6958755</v>
      </c>
      <c r="AA264" s="224">
        <v>4.252426653529862</v>
      </c>
      <c r="AB264" s="224">
        <v>4.2050597244982573</v>
      </c>
      <c r="AC264" s="224">
        <v>4.8698978379664624</v>
      </c>
      <c r="AD264" s="1120">
        <v>5.4963813903230774</v>
      </c>
      <c r="AE264" s="224">
        <v>0</v>
      </c>
      <c r="AF264" s="224">
        <v>1380.5176651200002</v>
      </c>
      <c r="AG264" s="224">
        <v>1298.1993013100432</v>
      </c>
      <c r="AH264" s="224">
        <v>0</v>
      </c>
      <c r="AI264" s="224">
        <v>40800</v>
      </c>
      <c r="AJ264" s="224">
        <v>2092.7190328799998</v>
      </c>
      <c r="AK264" s="224">
        <v>6393.2965024452897</v>
      </c>
      <c r="AL264" s="224">
        <v>13082.4</v>
      </c>
      <c r="AM264" s="224">
        <v>1927.1699999999998</v>
      </c>
      <c r="AN264" s="1120">
        <v>66974.30250175533</v>
      </c>
      <c r="AO264" s="224">
        <f t="shared" si="16"/>
        <v>0.72420321198896864</v>
      </c>
      <c r="AP264" s="1123">
        <v>0.1</v>
      </c>
      <c r="AQ264" s="1123">
        <f t="shared" si="18"/>
        <v>6.6157067752379534E-2</v>
      </c>
      <c r="AR264" s="1123">
        <v>20</v>
      </c>
      <c r="AS264" s="1123">
        <f t="shared" si="19"/>
        <v>0.33381894528746459</v>
      </c>
      <c r="AT264" s="224">
        <f t="shared" si="17"/>
        <v>4430.8234682769898</v>
      </c>
    </row>
  </sheetData>
  <mergeCells count="6">
    <mergeCell ref="AE11:AM11"/>
    <mergeCell ref="G11:H11"/>
    <mergeCell ref="J11:O11"/>
    <mergeCell ref="P11:U11"/>
    <mergeCell ref="V11:Z11"/>
    <mergeCell ref="AA11:AC11"/>
  </mergeCells>
  <conditionalFormatting sqref="AD13:AD109 AN13:AN109 AN115:AN228 AD115:AD228">
    <cfRule type="cellIs" dxfId="5" priority="5" operator="notBetween">
      <formula>0.01</formula>
      <formula>99999999</formula>
    </cfRule>
    <cfRule type="cellIs" dxfId="4" priority="6" operator="greaterThan">
      <formula>0</formula>
    </cfRule>
  </conditionalFormatting>
  <conditionalFormatting sqref="AD229:AD243 AD259:AD264 AD253:AD255 AD247:AD249 AN229:AN264">
    <cfRule type="cellIs" dxfId="3" priority="3" operator="notBetween">
      <formula>0.01</formula>
      <formula>99999999</formula>
    </cfRule>
    <cfRule type="cellIs" dxfId="2" priority="4" operator="greaterThan">
      <formula>0</formula>
    </cfRule>
  </conditionalFormatting>
  <conditionalFormatting sqref="AD110:AD111 AN110:AN114">
    <cfRule type="cellIs" dxfId="1" priority="1" operator="notBetween">
      <formula>0.01</formula>
      <formula>99999999</formula>
    </cfRule>
    <cfRule type="cellIs" dxfId="0" priority="2" operator="greaterThan">
      <formula>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R352"/>
  <sheetViews>
    <sheetView topLeftCell="B17" zoomScale="55" zoomScaleNormal="55" workbookViewId="0">
      <selection activeCell="C25" sqref="C25"/>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710</v>
      </c>
    </row>
    <row r="4" spans="1:44" ht="25" customHeight="1">
      <c r="E4" s="224" t="s">
        <v>358</v>
      </c>
      <c r="F4" s="359">
        <v>7.45</v>
      </c>
      <c r="G4" s="359" t="s">
        <v>328</v>
      </c>
      <c r="T4" s="224" t="s">
        <v>715</v>
      </c>
      <c r="U4" s="224" t="s">
        <v>716</v>
      </c>
      <c r="V4" s="224" t="s">
        <v>717</v>
      </c>
      <c r="W4" s="224" t="s">
        <v>718</v>
      </c>
      <c r="X4" s="224" t="s">
        <v>719</v>
      </c>
    </row>
    <row r="5" spans="1:44" ht="15" customHeight="1">
      <c r="A5" s="360" t="s">
        <v>711</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01" t="s">
        <v>712</v>
      </c>
      <c r="D7" s="1177"/>
      <c r="E7" s="1177"/>
      <c r="F7" s="1177"/>
      <c r="G7" s="1177"/>
      <c r="H7" s="1177"/>
      <c r="I7" s="1177"/>
      <c r="J7" s="1177"/>
      <c r="K7" s="1177"/>
      <c r="L7" s="1178"/>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6" outlineLevel="1" thickBot="1">
      <c r="B8" s="1168" t="s">
        <v>4</v>
      </c>
      <c r="C8" s="1170">
        <v>2020</v>
      </c>
      <c r="D8" s="1170">
        <v>2030</v>
      </c>
      <c r="E8" s="1170">
        <v>2040</v>
      </c>
      <c r="F8" s="1170">
        <v>2050</v>
      </c>
      <c r="G8" s="1219" t="s">
        <v>721</v>
      </c>
      <c r="H8" s="1220"/>
      <c r="I8" s="1219" t="s">
        <v>648</v>
      </c>
      <c r="J8" s="1220"/>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30" customHeight="1" outlineLevel="1" thickBot="1">
      <c r="B9" s="1169"/>
      <c r="C9" s="1171"/>
      <c r="D9" s="1171"/>
      <c r="E9" s="1171"/>
      <c r="F9" s="1171"/>
      <c r="G9" s="369" t="s">
        <v>649</v>
      </c>
      <c r="H9" s="369" t="s">
        <v>650</v>
      </c>
      <c r="I9" s="369" t="s">
        <v>649</v>
      </c>
      <c r="J9" s="369" t="s">
        <v>650</v>
      </c>
      <c r="K9" s="1222"/>
      <c r="L9" s="1222"/>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724</v>
      </c>
      <c r="C10" s="372">
        <v>20000</v>
      </c>
      <c r="D10" s="372">
        <v>20000</v>
      </c>
      <c r="E10" s="372">
        <v>20000</v>
      </c>
      <c r="F10" s="372">
        <v>20000</v>
      </c>
      <c r="G10" s="372">
        <v>1000</v>
      </c>
      <c r="H10" s="372">
        <v>50000</v>
      </c>
      <c r="I10" s="372">
        <v>1000</v>
      </c>
      <c r="J10" s="372">
        <v>50000</v>
      </c>
      <c r="K10" s="372" t="s">
        <v>6</v>
      </c>
      <c r="L10" s="373" t="s">
        <v>725</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95</v>
      </c>
      <c r="D11" s="377">
        <v>96</v>
      </c>
      <c r="E11" s="378">
        <v>97</v>
      </c>
      <c r="F11" s="377">
        <v>97</v>
      </c>
      <c r="G11" s="377">
        <v>90</v>
      </c>
      <c r="H11" s="377">
        <v>98</v>
      </c>
      <c r="I11" s="377">
        <v>90</v>
      </c>
      <c r="J11" s="377">
        <v>98</v>
      </c>
      <c r="K11" s="379" t="s">
        <v>59</v>
      </c>
      <c r="L11" s="380" t="s">
        <v>729</v>
      </c>
      <c r="M11" s="370"/>
      <c r="N11" s="370"/>
      <c r="P11" s="1200" t="str">
        <f>C7</f>
        <v>Steam boiler, Oil</v>
      </c>
      <c r="Q11" s="1188" t="s">
        <v>730</v>
      </c>
      <c r="R11" s="381" t="s">
        <v>731</v>
      </c>
      <c r="S11" s="382"/>
      <c r="T11" s="1191">
        <v>0</v>
      </c>
      <c r="U11" s="1179">
        <v>1</v>
      </c>
      <c r="V11" s="1191">
        <v>0</v>
      </c>
      <c r="W11" s="1179">
        <v>1</v>
      </c>
      <c r="X11" s="1191">
        <v>0</v>
      </c>
      <c r="Y11" s="1179">
        <v>1</v>
      </c>
      <c r="Z11" s="1191">
        <v>0</v>
      </c>
      <c r="AA11" s="1179">
        <v>1</v>
      </c>
      <c r="AB11" s="1191">
        <v>0</v>
      </c>
      <c r="AC11" s="1179">
        <v>1</v>
      </c>
      <c r="AE11" s="1185" t="str">
        <f>P11</f>
        <v>Steam boiler, Oil</v>
      </c>
      <c r="AF11" s="1188" t="s">
        <v>730</v>
      </c>
      <c r="AG11" s="381" t="s">
        <v>731</v>
      </c>
      <c r="AH11" s="382"/>
      <c r="AI11" s="1191">
        <v>0</v>
      </c>
      <c r="AJ11" s="1179">
        <v>1</v>
      </c>
      <c r="AK11" s="1191">
        <v>0</v>
      </c>
      <c r="AL11" s="1179">
        <v>1</v>
      </c>
      <c r="AM11" s="1191">
        <v>0</v>
      </c>
      <c r="AN11" s="1179">
        <v>1</v>
      </c>
      <c r="AO11" s="1191">
        <v>0</v>
      </c>
      <c r="AP11" s="1179">
        <v>1</v>
      </c>
      <c r="AQ11" s="1191">
        <v>0</v>
      </c>
      <c r="AR11" s="1179">
        <v>1</v>
      </c>
    </row>
    <row r="12" spans="1:44" ht="32.5" customHeight="1" outlineLevel="1">
      <c r="B12" s="383" t="s">
        <v>732</v>
      </c>
      <c r="C12" s="384">
        <v>94</v>
      </c>
      <c r="D12" s="384">
        <v>95</v>
      </c>
      <c r="E12" s="384">
        <v>96</v>
      </c>
      <c r="F12" s="384">
        <v>96</v>
      </c>
      <c r="G12" s="385">
        <v>89</v>
      </c>
      <c r="H12" s="385">
        <v>97</v>
      </c>
      <c r="I12" s="385">
        <v>89</v>
      </c>
      <c r="J12" s="385">
        <v>97</v>
      </c>
      <c r="K12" s="386"/>
      <c r="L12" s="387" t="s">
        <v>729</v>
      </c>
      <c r="M12" s="370"/>
      <c r="N12" s="370"/>
      <c r="O12" s="71"/>
      <c r="P12" s="1186"/>
      <c r="Q12" s="1189"/>
      <c r="R12" s="388" t="s">
        <v>733</v>
      </c>
      <c r="S12" s="389"/>
      <c r="T12" s="1192"/>
      <c r="U12" s="1180"/>
      <c r="V12" s="1192"/>
      <c r="W12" s="1180"/>
      <c r="X12" s="1192"/>
      <c r="Y12" s="1180"/>
      <c r="Z12" s="1192"/>
      <c r="AA12" s="1180"/>
      <c r="AB12" s="1192"/>
      <c r="AC12" s="1180"/>
      <c r="AE12" s="1186"/>
      <c r="AF12" s="1189"/>
      <c r="AG12" s="388" t="s">
        <v>733</v>
      </c>
      <c r="AH12" s="389"/>
      <c r="AI12" s="1192"/>
      <c r="AJ12" s="1180"/>
      <c r="AK12" s="1192"/>
      <c r="AL12" s="1180"/>
      <c r="AM12" s="1192"/>
      <c r="AN12" s="1180"/>
      <c r="AO12" s="1192"/>
      <c r="AP12" s="1180"/>
      <c r="AQ12" s="1192"/>
      <c r="AR12" s="1180"/>
    </row>
    <row r="13" spans="1:44" ht="16" outlineLevel="1" thickBot="1">
      <c r="B13" s="376" t="s">
        <v>734</v>
      </c>
      <c r="C13" s="390">
        <v>0.14000000000000001</v>
      </c>
      <c r="D13" s="391">
        <v>0.12</v>
      </c>
      <c r="E13" s="391">
        <v>0.11</v>
      </c>
      <c r="F13" s="392">
        <v>0.1</v>
      </c>
      <c r="G13" s="391">
        <v>0.1</v>
      </c>
      <c r="H13" s="391">
        <v>0.14000000000000001</v>
      </c>
      <c r="I13" s="391">
        <v>0.08</v>
      </c>
      <c r="J13" s="391">
        <v>0.12</v>
      </c>
      <c r="K13" s="379" t="s">
        <v>16</v>
      </c>
      <c r="L13" s="380">
        <v>3</v>
      </c>
      <c r="M13" s="370"/>
      <c r="N13" s="370"/>
      <c r="O13" s="71"/>
      <c r="P13" s="1186"/>
      <c r="Q13" s="1190"/>
      <c r="R13" s="393" t="s">
        <v>735</v>
      </c>
      <c r="S13" s="394"/>
      <c r="T13" s="1193"/>
      <c r="U13" s="1181"/>
      <c r="V13" s="1193"/>
      <c r="W13" s="1181"/>
      <c r="X13" s="1193"/>
      <c r="Y13" s="1181"/>
      <c r="Z13" s="1193"/>
      <c r="AA13" s="1181"/>
      <c r="AB13" s="1193"/>
      <c r="AC13" s="1181"/>
      <c r="AE13" s="1186"/>
      <c r="AF13" s="1190"/>
      <c r="AG13" s="393" t="s">
        <v>735</v>
      </c>
      <c r="AH13" s="394"/>
      <c r="AI13" s="1193"/>
      <c r="AJ13" s="1181"/>
      <c r="AK13" s="1193"/>
      <c r="AL13" s="1181"/>
      <c r="AM13" s="1193"/>
      <c r="AN13" s="1181"/>
      <c r="AO13" s="1193"/>
      <c r="AP13" s="1181"/>
      <c r="AQ13" s="1193"/>
      <c r="AR13" s="1181"/>
    </row>
    <row r="14" spans="1:44" ht="15" customHeight="1" outlineLevel="1">
      <c r="B14" s="376" t="s">
        <v>657</v>
      </c>
      <c r="C14" s="390">
        <v>1.1000000000000001</v>
      </c>
      <c r="D14" s="390">
        <v>1.1000000000000001</v>
      </c>
      <c r="E14" s="390">
        <v>1.1000000000000001</v>
      </c>
      <c r="F14" s="390">
        <v>1.1000000000000001</v>
      </c>
      <c r="G14" s="390">
        <v>0.09</v>
      </c>
      <c r="H14" s="390">
        <v>2.1</v>
      </c>
      <c r="I14" s="390">
        <v>0.09</v>
      </c>
      <c r="J14" s="390">
        <v>2.1</v>
      </c>
      <c r="K14" s="379" t="s">
        <v>20</v>
      </c>
      <c r="L14" s="380">
        <v>3</v>
      </c>
      <c r="M14" s="370"/>
      <c r="N14" s="370"/>
      <c r="O14" s="71"/>
      <c r="P14" s="1186"/>
      <c r="Q14" s="1188" t="s">
        <v>736</v>
      </c>
      <c r="R14" s="395" t="s">
        <v>737</v>
      </c>
      <c r="S14" s="396" t="s">
        <v>738</v>
      </c>
      <c r="T14" s="1191">
        <v>0</v>
      </c>
      <c r="U14" s="1191">
        <v>1</v>
      </c>
      <c r="V14" s="1191">
        <v>0</v>
      </c>
      <c r="W14" s="1191">
        <v>1</v>
      </c>
      <c r="X14" s="1191">
        <v>0</v>
      </c>
      <c r="Y14" s="1191">
        <v>0.97</v>
      </c>
      <c r="Z14" s="1191">
        <v>0</v>
      </c>
      <c r="AA14" s="1191">
        <v>1</v>
      </c>
      <c r="AB14" s="1191">
        <v>0</v>
      </c>
      <c r="AC14" s="1191">
        <v>1</v>
      </c>
      <c r="AE14" s="1186"/>
      <c r="AF14" s="1188" t="s">
        <v>736</v>
      </c>
      <c r="AG14" s="395" t="s">
        <v>737</v>
      </c>
      <c r="AH14" s="396" t="s">
        <v>738</v>
      </c>
      <c r="AI14" s="1191">
        <v>0</v>
      </c>
      <c r="AJ14" s="1191">
        <v>1</v>
      </c>
      <c r="AK14" s="1191">
        <v>0</v>
      </c>
      <c r="AL14" s="1191">
        <v>1</v>
      </c>
      <c r="AM14" s="1191">
        <v>0</v>
      </c>
      <c r="AN14" s="1191">
        <v>0.97</v>
      </c>
      <c r="AO14" s="1191">
        <v>0</v>
      </c>
      <c r="AP14" s="1191">
        <v>1</v>
      </c>
      <c r="AQ14" s="1191">
        <v>0</v>
      </c>
      <c r="AR14" s="1191">
        <v>1</v>
      </c>
    </row>
    <row r="15" spans="1:44" outlineLevel="1">
      <c r="B15" s="376" t="s">
        <v>658</v>
      </c>
      <c r="C15" s="390">
        <v>0.60000000000000009</v>
      </c>
      <c r="D15" s="390">
        <v>0.60000000000000009</v>
      </c>
      <c r="E15" s="390">
        <v>0.60000000000000009</v>
      </c>
      <c r="F15" s="390">
        <v>0.60000000000000009</v>
      </c>
      <c r="G15" s="390">
        <v>0.5</v>
      </c>
      <c r="H15" s="390">
        <v>0.8</v>
      </c>
      <c r="I15" s="390">
        <v>0.5</v>
      </c>
      <c r="J15" s="390">
        <v>0.8</v>
      </c>
      <c r="K15" s="379" t="s">
        <v>20</v>
      </c>
      <c r="L15" s="380">
        <v>3</v>
      </c>
      <c r="M15" s="367"/>
      <c r="N15" s="367"/>
      <c r="O15" s="71"/>
      <c r="P15" s="1186"/>
      <c r="Q15" s="1189"/>
      <c r="R15" s="395" t="s">
        <v>739</v>
      </c>
      <c r="S15" s="396" t="s">
        <v>738</v>
      </c>
      <c r="T15" s="1208"/>
      <c r="U15" s="1208"/>
      <c r="V15" s="1208"/>
      <c r="W15" s="1208"/>
      <c r="X15" s="1208"/>
      <c r="Y15" s="1208"/>
      <c r="Z15" s="1208"/>
      <c r="AA15" s="1208"/>
      <c r="AB15" s="1208"/>
      <c r="AC15" s="1208"/>
      <c r="AE15" s="1186"/>
      <c r="AF15" s="1189"/>
      <c r="AG15" s="395" t="s">
        <v>739</v>
      </c>
      <c r="AH15" s="396" t="s">
        <v>738</v>
      </c>
      <c r="AI15" s="1208"/>
      <c r="AJ15" s="1208"/>
      <c r="AK15" s="1208"/>
      <c r="AL15" s="1208"/>
      <c r="AM15" s="1208"/>
      <c r="AN15" s="1208"/>
      <c r="AO15" s="1208"/>
      <c r="AP15" s="1208"/>
      <c r="AQ15" s="1208"/>
      <c r="AR15" s="1208"/>
    </row>
    <row r="16" spans="1:44" outlineLevel="1">
      <c r="B16" s="383" t="s">
        <v>11</v>
      </c>
      <c r="C16" s="397">
        <v>25</v>
      </c>
      <c r="D16" s="397">
        <v>25</v>
      </c>
      <c r="E16" s="397">
        <v>25</v>
      </c>
      <c r="F16" s="397">
        <v>25</v>
      </c>
      <c r="G16" s="398">
        <v>20</v>
      </c>
      <c r="H16" s="398">
        <v>30</v>
      </c>
      <c r="I16" s="398">
        <v>20</v>
      </c>
      <c r="J16" s="398">
        <v>30</v>
      </c>
      <c r="K16" s="372"/>
      <c r="L16" s="373" t="s">
        <v>740</v>
      </c>
      <c r="M16" s="363"/>
      <c r="N16" s="363"/>
      <c r="P16" s="1186"/>
      <c r="Q16" s="1189"/>
      <c r="R16" s="395" t="s">
        <v>741</v>
      </c>
      <c r="S16" s="396" t="s">
        <v>738</v>
      </c>
      <c r="T16" s="1208"/>
      <c r="U16" s="1208"/>
      <c r="V16" s="1208"/>
      <c r="W16" s="1208"/>
      <c r="X16" s="1208"/>
      <c r="Y16" s="1208"/>
      <c r="Z16" s="1208"/>
      <c r="AA16" s="1208"/>
      <c r="AB16" s="1208"/>
      <c r="AC16" s="1208"/>
      <c r="AE16" s="1186"/>
      <c r="AF16" s="1189"/>
      <c r="AG16" s="395" t="s">
        <v>741</v>
      </c>
      <c r="AH16" s="396" t="s">
        <v>738</v>
      </c>
      <c r="AI16" s="1208"/>
      <c r="AJ16" s="1208"/>
      <c r="AK16" s="1208"/>
      <c r="AL16" s="1208"/>
      <c r="AM16" s="1208"/>
      <c r="AN16" s="1208"/>
      <c r="AO16" s="1208"/>
      <c r="AP16" s="1208"/>
      <c r="AQ16" s="1208"/>
      <c r="AR16" s="1208"/>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86"/>
      <c r="Q17" s="1189"/>
      <c r="R17" s="395" t="s">
        <v>742</v>
      </c>
      <c r="S17" s="396" t="s">
        <v>738</v>
      </c>
      <c r="T17" s="1208"/>
      <c r="U17" s="1208"/>
      <c r="V17" s="1208"/>
      <c r="W17" s="1208"/>
      <c r="X17" s="1208"/>
      <c r="Y17" s="1208"/>
      <c r="Z17" s="1208"/>
      <c r="AA17" s="1208"/>
      <c r="AB17" s="1208"/>
      <c r="AC17" s="1208"/>
      <c r="AE17" s="1186"/>
      <c r="AF17" s="1189"/>
      <c r="AG17" s="395" t="s">
        <v>742</v>
      </c>
      <c r="AH17" s="396" t="s">
        <v>738</v>
      </c>
      <c r="AI17" s="1208"/>
      <c r="AJ17" s="1208"/>
      <c r="AK17" s="1208"/>
      <c r="AL17" s="1208"/>
      <c r="AM17" s="1208"/>
      <c r="AN17" s="1208"/>
      <c r="AO17" s="1208"/>
      <c r="AP17" s="1208"/>
      <c r="AQ17" s="1208"/>
      <c r="AR17" s="1208"/>
    </row>
    <row r="18" spans="1:44" ht="16" outlineLevel="1" thickBot="1">
      <c r="B18" s="401" t="s">
        <v>743</v>
      </c>
      <c r="C18" s="402"/>
      <c r="D18" s="403"/>
      <c r="E18" s="404"/>
      <c r="F18" s="405"/>
      <c r="G18" s="406"/>
      <c r="H18" s="406"/>
      <c r="I18" s="406"/>
      <c r="J18" s="406"/>
      <c r="K18" s="407"/>
      <c r="L18" s="408"/>
      <c r="M18" s="363"/>
      <c r="N18" s="363"/>
      <c r="P18" s="1186"/>
      <c r="Q18" s="1189"/>
      <c r="R18" s="409" t="s">
        <v>744</v>
      </c>
      <c r="S18" s="410" t="s">
        <v>738</v>
      </c>
      <c r="T18" s="1209"/>
      <c r="U18" s="1209"/>
      <c r="V18" s="1209"/>
      <c r="W18" s="1209"/>
      <c r="X18" s="1209"/>
      <c r="Y18" s="1209"/>
      <c r="Z18" s="1209"/>
      <c r="AA18" s="1209"/>
      <c r="AB18" s="1209"/>
      <c r="AC18" s="1209"/>
      <c r="AE18" s="1186"/>
      <c r="AF18" s="1189"/>
      <c r="AG18" s="409" t="s">
        <v>744</v>
      </c>
      <c r="AH18" s="410" t="s">
        <v>738</v>
      </c>
      <c r="AI18" s="1209"/>
      <c r="AJ18" s="1209"/>
      <c r="AK18" s="1209"/>
      <c r="AL18" s="1209"/>
      <c r="AM18" s="1209"/>
      <c r="AN18" s="1209"/>
      <c r="AO18" s="1209"/>
      <c r="AP18" s="1209"/>
      <c r="AQ18" s="1209"/>
      <c r="AR18" s="1209"/>
    </row>
    <row r="19" spans="1:44" ht="33" outlineLevel="1" thickBot="1">
      <c r="B19" s="376" t="s">
        <v>663</v>
      </c>
      <c r="C19" s="390">
        <v>15</v>
      </c>
      <c r="D19" s="390">
        <v>15</v>
      </c>
      <c r="E19" s="390">
        <v>15</v>
      </c>
      <c r="F19" s="390">
        <v>15</v>
      </c>
      <c r="G19" s="391"/>
      <c r="H19" s="391"/>
      <c r="I19" s="391"/>
      <c r="J19" s="391"/>
      <c r="K19" s="379"/>
      <c r="L19" s="380">
        <v>3</v>
      </c>
      <c r="M19" s="363"/>
      <c r="N19" s="363"/>
      <c r="P19" s="1187"/>
      <c r="Q19" s="411" t="s">
        <v>745</v>
      </c>
      <c r="R19" s="412" t="s">
        <v>746</v>
      </c>
      <c r="S19" s="413" t="s">
        <v>738</v>
      </c>
      <c r="T19" s="414">
        <v>1</v>
      </c>
      <c r="U19" s="415">
        <v>1</v>
      </c>
      <c r="V19" s="416">
        <v>1</v>
      </c>
      <c r="W19" s="415">
        <v>1</v>
      </c>
      <c r="X19" s="416">
        <v>1</v>
      </c>
      <c r="Y19" s="415">
        <v>1</v>
      </c>
      <c r="Z19" s="416">
        <v>1</v>
      </c>
      <c r="AA19" s="415">
        <v>1</v>
      </c>
      <c r="AB19" s="416">
        <v>1</v>
      </c>
      <c r="AC19" s="417">
        <v>1</v>
      </c>
      <c r="AE19" s="1187"/>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6" outlineLevel="1">
      <c r="B23" s="383" t="s">
        <v>747</v>
      </c>
      <c r="C23" s="397">
        <v>0.5</v>
      </c>
      <c r="D23" s="397">
        <v>0.5</v>
      </c>
      <c r="E23" s="397">
        <v>0.5</v>
      </c>
      <c r="F23" s="397">
        <v>0.5</v>
      </c>
      <c r="G23" s="422"/>
      <c r="H23" s="425"/>
      <c r="I23" s="425"/>
      <c r="J23" s="425"/>
      <c r="K23" s="426" t="s">
        <v>76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6" outlineLevel="1">
      <c r="B25" s="383" t="s">
        <v>750</v>
      </c>
      <c r="C25" s="397">
        <v>25</v>
      </c>
      <c r="D25" s="397">
        <v>20</v>
      </c>
      <c r="E25" s="397">
        <v>18</v>
      </c>
      <c r="F25" s="397">
        <v>15</v>
      </c>
      <c r="G25" s="425"/>
      <c r="H25" s="425"/>
      <c r="I25" s="425"/>
      <c r="J25" s="425"/>
      <c r="K25" s="423"/>
      <c r="L25" s="427" t="s">
        <v>748</v>
      </c>
      <c r="M25" s="428"/>
      <c r="N25" s="428"/>
      <c r="T25" s="224">
        <f>C$23</f>
        <v>0.5</v>
      </c>
      <c r="U25" s="224">
        <f t="shared" ref="U25:V25" si="0">D$23</f>
        <v>0.5</v>
      </c>
      <c r="V25" s="224">
        <f t="shared" si="0"/>
        <v>0.5</v>
      </c>
    </row>
    <row r="26" spans="1:44" outlineLevel="1">
      <c r="B26" s="383" t="s">
        <v>366</v>
      </c>
      <c r="C26" s="397">
        <v>0</v>
      </c>
      <c r="D26" s="397">
        <v>0</v>
      </c>
      <c r="E26" s="397">
        <v>0</v>
      </c>
      <c r="F26" s="397">
        <v>0</v>
      </c>
      <c r="G26" s="425"/>
      <c r="H26" s="425"/>
      <c r="I26" s="425"/>
      <c r="J26" s="425"/>
      <c r="K26" s="423"/>
      <c r="L26" s="427" t="s">
        <v>748</v>
      </c>
      <c r="M26" s="428"/>
      <c r="N26" s="428"/>
    </row>
    <row r="27" spans="1:44" ht="16" outlineLevel="1" thickBot="1">
      <c r="B27" s="429" t="s">
        <v>367</v>
      </c>
      <c r="C27" s="430">
        <v>0</v>
      </c>
      <c r="D27" s="430">
        <v>0</v>
      </c>
      <c r="E27" s="430">
        <v>0</v>
      </c>
      <c r="F27" s="430">
        <v>0</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437">
        <v>5.5E-2</v>
      </c>
      <c r="D29" s="438">
        <v>4.6576380486507002E-2</v>
      </c>
      <c r="E29" s="438">
        <v>4.4600000000000001E-2</v>
      </c>
      <c r="F29" s="439">
        <v>4.4045618468049198E-2</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v>40</v>
      </c>
      <c r="D31" s="442">
        <v>40</v>
      </c>
      <c r="E31" s="442">
        <v>40</v>
      </c>
      <c r="F31" s="442">
        <v>40</v>
      </c>
      <c r="G31" s="425"/>
      <c r="H31" s="425"/>
      <c r="I31" s="425"/>
      <c r="J31" s="425"/>
      <c r="K31" s="444"/>
      <c r="L31" s="373">
        <v>3</v>
      </c>
      <c r="M31" s="420"/>
      <c r="N31" s="420"/>
    </row>
    <row r="32" spans="1:44" outlineLevel="1">
      <c r="B32" s="383" t="s">
        <v>756</v>
      </c>
      <c r="C32" s="445">
        <v>1.8</v>
      </c>
      <c r="D32" s="446">
        <v>1.7</v>
      </c>
      <c r="E32" s="446">
        <v>1.6</v>
      </c>
      <c r="F32" s="447">
        <v>1.5</v>
      </c>
      <c r="G32" s="425"/>
      <c r="H32" s="425"/>
      <c r="I32" s="425"/>
      <c r="J32" s="425"/>
      <c r="K32" s="448"/>
      <c r="L32" s="373">
        <v>3</v>
      </c>
      <c r="M32" s="420"/>
      <c r="N32" s="420"/>
    </row>
    <row r="33" spans="1:30" ht="37" customHeight="1" outlineLevel="1" thickBot="1">
      <c r="B33" s="383" t="s">
        <v>757</v>
      </c>
      <c r="C33" s="449">
        <f>1/3.6</f>
        <v>0.27777777777777779</v>
      </c>
      <c r="D33" s="449">
        <f>0.9/3.6</f>
        <v>0.25</v>
      </c>
      <c r="E33" s="449">
        <f>0.9/3.6</f>
        <v>0.25</v>
      </c>
      <c r="F33" s="449">
        <f>0.9/3.6</f>
        <v>0.25</v>
      </c>
      <c r="G33" s="425"/>
      <c r="H33" s="425"/>
      <c r="I33" s="425"/>
      <c r="J33" s="425"/>
      <c r="K33" s="448"/>
      <c r="L33" s="373">
        <v>3</v>
      </c>
      <c r="M33" s="450"/>
      <c r="N33" s="361"/>
      <c r="P33" s="1157">
        <f>C33</f>
        <v>0.27777777777777779</v>
      </c>
      <c r="Q33" s="1135"/>
      <c r="R33" s="1135"/>
      <c r="S33" s="1135"/>
      <c r="T33" s="1135"/>
      <c r="U33" s="1158"/>
    </row>
    <row r="34" spans="1:30" ht="15.75" customHeight="1" outlineLevel="1" thickBot="1">
      <c r="A34" s="224" t="s">
        <v>996</v>
      </c>
      <c r="B34" s="451" t="s">
        <v>758</v>
      </c>
      <c r="C34" s="452">
        <v>0.10220000000000001</v>
      </c>
      <c r="D34" s="452">
        <v>0.09</v>
      </c>
      <c r="E34" s="452">
        <v>8.3600000000000008E-2</v>
      </c>
      <c r="F34" s="452">
        <v>7.5999999999999998E-2</v>
      </c>
      <c r="G34" s="453"/>
      <c r="H34" s="453"/>
      <c r="I34" s="453"/>
      <c r="J34" s="453"/>
      <c r="K34" s="379" t="s">
        <v>52</v>
      </c>
      <c r="L34" s="380">
        <v>3</v>
      </c>
      <c r="M34" s="450"/>
      <c r="N34" s="361"/>
      <c r="P34" s="1159">
        <f>C34</f>
        <v>0.10220000000000001</v>
      </c>
      <c r="Q34" s="1160"/>
      <c r="R34" s="1160"/>
      <c r="S34" s="1160"/>
      <c r="T34" s="1160"/>
      <c r="U34" s="1161"/>
    </row>
    <row r="35" spans="1:30" outlineLevel="1">
      <c r="B35" s="451" t="s">
        <v>759</v>
      </c>
      <c r="C35" s="454">
        <v>0.89779999999999993</v>
      </c>
      <c r="D35" s="454">
        <v>0.81</v>
      </c>
      <c r="E35" s="454">
        <v>0.81640000000000001</v>
      </c>
      <c r="F35" s="454">
        <v>0.82400000000000007</v>
      </c>
      <c r="G35" s="453"/>
      <c r="H35" s="453"/>
      <c r="I35" s="453"/>
      <c r="J35" s="453"/>
      <c r="K35" s="455"/>
      <c r="L35" s="380">
        <v>3</v>
      </c>
      <c r="M35" s="363"/>
      <c r="N35" s="363"/>
      <c r="P35" s="53" t="s">
        <v>357</v>
      </c>
    </row>
    <row r="36" spans="1: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1: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1:30" outlineLevel="1">
      <c r="B39" s="451" t="s">
        <v>762</v>
      </c>
      <c r="C39" s="462" t="s">
        <v>36</v>
      </c>
      <c r="D39" s="462" t="s">
        <v>36</v>
      </c>
      <c r="E39" s="462" t="s">
        <v>36</v>
      </c>
      <c r="F39" s="462" t="s">
        <v>36</v>
      </c>
      <c r="G39" s="463"/>
      <c r="H39" s="463"/>
      <c r="I39" s="463"/>
      <c r="J39" s="463"/>
      <c r="K39" s="463" t="s">
        <v>55</v>
      </c>
      <c r="L39" s="464"/>
      <c r="M39" s="363"/>
      <c r="N39" s="363"/>
      <c r="O39" s="465">
        <f>C12</f>
        <v>94</v>
      </c>
      <c r="P39" s="466">
        <f>C8</f>
        <v>2020</v>
      </c>
      <c r="Q39" s="58">
        <f>P39</f>
        <v>2020</v>
      </c>
      <c r="R39" s="466">
        <f>O39/100</f>
        <v>0.94</v>
      </c>
      <c r="S39" s="58"/>
      <c r="T39" s="466">
        <f>C16</f>
        <v>25</v>
      </c>
      <c r="U39" s="467">
        <f>C46</f>
        <v>409.75</v>
      </c>
      <c r="V39" s="467">
        <f>C48</f>
        <v>13.41</v>
      </c>
      <c r="W39" s="467">
        <f>C49</f>
        <v>2.0694444444444446</v>
      </c>
      <c r="X39" s="58"/>
      <c r="Y39" s="58"/>
      <c r="Z39" s="466">
        <f>C23</f>
        <v>0.5</v>
      </c>
      <c r="AA39" s="468">
        <f>C25</f>
        <v>25</v>
      </c>
      <c r="AB39" s="468">
        <f>C26</f>
        <v>0</v>
      </c>
      <c r="AC39" s="468">
        <f>C27</f>
        <v>0</v>
      </c>
      <c r="AD39" s="468">
        <f>C24</f>
        <v>0.1</v>
      </c>
    </row>
    <row r="40" spans="1:30" ht="14.5" customHeight="1" outlineLevel="1">
      <c r="B40" s="376" t="s">
        <v>763</v>
      </c>
      <c r="C40" s="469" t="s">
        <v>36</v>
      </c>
      <c r="D40" s="470" t="s">
        <v>36</v>
      </c>
      <c r="E40" s="470" t="s">
        <v>36</v>
      </c>
      <c r="F40" s="471" t="s">
        <v>36</v>
      </c>
      <c r="G40" s="471"/>
      <c r="H40" s="471"/>
      <c r="I40" s="471"/>
      <c r="J40" s="471"/>
      <c r="K40" s="472" t="s">
        <v>55</v>
      </c>
      <c r="L40" s="464"/>
      <c r="M40" s="363"/>
      <c r="N40" s="363"/>
      <c r="O40" s="465">
        <f>D12</f>
        <v>95</v>
      </c>
      <c r="P40" s="466">
        <f>D8</f>
        <v>2030</v>
      </c>
      <c r="Q40" s="58"/>
      <c r="R40" s="466">
        <f>O40/100</f>
        <v>0.95</v>
      </c>
      <c r="S40" s="58"/>
      <c r="T40" s="466">
        <f>D16</f>
        <v>25</v>
      </c>
      <c r="U40" s="467">
        <f>D46</f>
        <v>346.99403462447719</v>
      </c>
      <c r="V40" s="467">
        <f>D48</f>
        <v>12.664999999999999</v>
      </c>
      <c r="W40" s="467">
        <f>D49</f>
        <v>1.8625</v>
      </c>
      <c r="X40" s="58"/>
      <c r="Y40" s="58"/>
      <c r="Z40" s="466">
        <f>D23</f>
        <v>0.5</v>
      </c>
      <c r="AA40" s="468">
        <f>D25</f>
        <v>20</v>
      </c>
      <c r="AB40" s="468">
        <f>D26</f>
        <v>0</v>
      </c>
      <c r="AC40" s="468">
        <f>D27</f>
        <v>0</v>
      </c>
      <c r="AD40" s="468">
        <f>D24</f>
        <v>0.1</v>
      </c>
    </row>
    <row r="41" spans="1: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25</v>
      </c>
      <c r="U41" s="467">
        <f>E46</f>
        <v>332.27</v>
      </c>
      <c r="V41" s="467">
        <f>E48</f>
        <v>11.920000000000002</v>
      </c>
      <c r="W41" s="467">
        <f>E49</f>
        <v>1.8625</v>
      </c>
      <c r="X41" s="58"/>
      <c r="Y41" s="58"/>
      <c r="Z41" s="466">
        <f>E23</f>
        <v>0.5</v>
      </c>
      <c r="AA41" s="468">
        <f>E25</f>
        <v>18</v>
      </c>
      <c r="AB41" s="468">
        <f>E26</f>
        <v>0</v>
      </c>
      <c r="AC41" s="468">
        <f>E27</f>
        <v>0</v>
      </c>
      <c r="AD41" s="468">
        <f>E24</f>
        <v>0.1</v>
      </c>
    </row>
    <row r="42" spans="1:30" outlineLevel="1">
      <c r="B42" s="376" t="s">
        <v>765</v>
      </c>
      <c r="C42" s="473">
        <v>90</v>
      </c>
      <c r="D42" s="473">
        <v>90</v>
      </c>
      <c r="E42" s="473">
        <v>90</v>
      </c>
      <c r="F42" s="473">
        <v>90</v>
      </c>
      <c r="G42" s="474"/>
      <c r="H42" s="474"/>
      <c r="I42" s="474"/>
      <c r="J42" s="474"/>
      <c r="K42" s="474"/>
      <c r="L42" s="380">
        <v>3</v>
      </c>
      <c r="M42" s="363"/>
      <c r="N42" s="363"/>
      <c r="O42" s="465">
        <f>F12</f>
        <v>96</v>
      </c>
      <c r="P42" s="466">
        <f>F8</f>
        <v>2050</v>
      </c>
      <c r="Q42" s="58"/>
      <c r="R42" s="466">
        <f>O42/100</f>
        <v>0.96</v>
      </c>
      <c r="S42" s="58"/>
      <c r="T42" s="466">
        <f>F16</f>
        <v>25</v>
      </c>
      <c r="U42" s="467">
        <f>F46</f>
        <v>328.13985758696651</v>
      </c>
      <c r="V42" s="467">
        <f>F48</f>
        <v>11.175000000000001</v>
      </c>
      <c r="W42" s="467">
        <f>F49</f>
        <v>1.8625</v>
      </c>
      <c r="X42" s="58"/>
      <c r="Y42" s="58"/>
      <c r="Z42" s="466">
        <f>F23</f>
        <v>0.5</v>
      </c>
      <c r="AA42" s="468">
        <f>F25</f>
        <v>15</v>
      </c>
      <c r="AB42" s="468">
        <f>F26</f>
        <v>0</v>
      </c>
      <c r="AC42" s="468">
        <f>F27</f>
        <v>0</v>
      </c>
      <c r="AD42" s="468">
        <f>F24</f>
        <v>0.1</v>
      </c>
    </row>
    <row r="43" spans="1:30" outlineLevel="1">
      <c r="B43" s="475" t="s">
        <v>766</v>
      </c>
      <c r="C43" s="469" t="s">
        <v>36</v>
      </c>
      <c r="D43" s="470" t="s">
        <v>36</v>
      </c>
      <c r="E43" s="470" t="s">
        <v>36</v>
      </c>
      <c r="F43" s="471" t="s">
        <v>36</v>
      </c>
      <c r="G43" s="474"/>
      <c r="H43" s="474"/>
      <c r="I43" s="474"/>
      <c r="J43" s="474"/>
      <c r="K43" s="474"/>
      <c r="L43" s="476"/>
      <c r="M43" s="367"/>
      <c r="N43" s="367"/>
    </row>
    <row r="44" spans="1:30" outlineLevel="1">
      <c r="B44" s="475" t="s">
        <v>767</v>
      </c>
      <c r="C44" s="469" t="s">
        <v>36</v>
      </c>
      <c r="D44" s="470" t="s">
        <v>36</v>
      </c>
      <c r="E44" s="470" t="s">
        <v>36</v>
      </c>
      <c r="F44" s="471" t="s">
        <v>36</v>
      </c>
      <c r="G44" s="474"/>
      <c r="H44" s="474"/>
      <c r="I44" s="474"/>
      <c r="J44" s="474"/>
      <c r="K44" s="474"/>
      <c r="L44" s="476"/>
      <c r="M44" s="363"/>
      <c r="N44" s="363"/>
    </row>
    <row r="45" spans="1:30" ht="16" outlineLevel="1" thickBot="1">
      <c r="B45" s="477" t="s">
        <v>768</v>
      </c>
      <c r="C45" s="478" t="s">
        <v>36</v>
      </c>
      <c r="D45" s="479" t="s">
        <v>36</v>
      </c>
      <c r="E45" s="479" t="s">
        <v>36</v>
      </c>
      <c r="F45" s="480" t="s">
        <v>36</v>
      </c>
      <c r="G45" s="481"/>
      <c r="H45" s="481"/>
      <c r="I45" s="481"/>
      <c r="J45" s="481"/>
      <c r="K45" s="481"/>
      <c r="L45" s="482"/>
      <c r="M45" s="363"/>
      <c r="N45" s="363"/>
    </row>
    <row r="46" spans="1:30" ht="64" outlineLevel="1">
      <c r="B46" s="461" t="s">
        <v>769</v>
      </c>
      <c r="C46" s="483">
        <f>C29*$F$4*1000</f>
        <v>409.75</v>
      </c>
      <c r="D46" s="483">
        <f t="shared" ref="D46:F46" si="1">D29*$F$4*1000</f>
        <v>346.99403462447719</v>
      </c>
      <c r="E46" s="483">
        <f t="shared" si="1"/>
        <v>332.27</v>
      </c>
      <c r="F46" s="483">
        <f t="shared" si="1"/>
        <v>328.13985758696651</v>
      </c>
      <c r="G46" s="483"/>
      <c r="H46" s="484"/>
      <c r="I46" s="420" t="s">
        <v>332</v>
      </c>
      <c r="J46" s="420"/>
      <c r="K46" s="484"/>
      <c r="L46" s="484"/>
      <c r="N46" s="420"/>
    </row>
    <row r="47" spans="1:30" outlineLevel="1">
      <c r="B47" s="485" t="s">
        <v>770</v>
      </c>
      <c r="C47" s="486">
        <f>C46*$I47</f>
        <v>204875</v>
      </c>
      <c r="D47" s="486">
        <f>D46*$I47</f>
        <v>173497.0173122386</v>
      </c>
      <c r="E47" s="486">
        <f>E46*$I47</f>
        <v>166135</v>
      </c>
      <c r="F47" s="486">
        <f>F46*$I47</f>
        <v>164069.92879348327</v>
      </c>
      <c r="G47" s="486"/>
      <c r="H47" s="484"/>
      <c r="I47" s="71">
        <v>500</v>
      </c>
      <c r="J47" s="420" t="s">
        <v>330</v>
      </c>
      <c r="K47" s="484"/>
      <c r="L47" s="484"/>
      <c r="N47" s="420"/>
    </row>
    <row r="48" spans="1:30" ht="48" outlineLevel="1">
      <c r="B48" s="461" t="s">
        <v>771</v>
      </c>
      <c r="C48" s="359">
        <f>C32*$F$4</f>
        <v>13.41</v>
      </c>
      <c r="D48" s="359">
        <f t="shared" ref="D48:F49" si="2">D32*$F$4</f>
        <v>12.664999999999999</v>
      </c>
      <c r="E48" s="359">
        <f t="shared" si="2"/>
        <v>11.920000000000002</v>
      </c>
      <c r="F48" s="359">
        <f t="shared" si="2"/>
        <v>11.175000000000001</v>
      </c>
      <c r="G48" s="359"/>
      <c r="I48" s="420" t="s">
        <v>333</v>
      </c>
      <c r="J48" s="420"/>
      <c r="N48" s="420"/>
    </row>
    <row r="49" spans="2:14" ht="48" outlineLevel="1">
      <c r="B49" s="461" t="s">
        <v>772</v>
      </c>
      <c r="C49" s="487">
        <f>C33*$F$4</f>
        <v>2.0694444444444446</v>
      </c>
      <c r="D49" s="487">
        <f t="shared" si="2"/>
        <v>1.8625</v>
      </c>
      <c r="E49" s="487">
        <f t="shared" si="2"/>
        <v>1.8625</v>
      </c>
      <c r="F49" s="487">
        <f t="shared" si="2"/>
        <v>1.8625</v>
      </c>
      <c r="G49" s="359"/>
      <c r="M49" s="420"/>
      <c r="N49" s="420"/>
    </row>
    <row r="50" spans="2:14" outlineLevel="1"/>
    <row r="51" spans="2:14" outlineLevel="1"/>
    <row r="52" spans="2:14" outlineLevel="1"/>
    <row r="53" spans="2:14" outlineLevel="1"/>
    <row r="54" spans="2:14" outlineLevel="1">
      <c r="B54" s="488" t="s">
        <v>773</v>
      </c>
      <c r="C54" s="489"/>
      <c r="D54" s="490"/>
      <c r="E54" s="490"/>
      <c r="F54" s="490"/>
    </row>
    <row r="55" spans="2:14" outlineLevel="1">
      <c r="B55" s="491">
        <v>1</v>
      </c>
      <c r="C55" s="492" t="s">
        <v>774</v>
      </c>
      <c r="E55" s="490"/>
      <c r="F55" s="490"/>
    </row>
    <row r="56" spans="2:14" outlineLevel="1">
      <c r="B56" s="491">
        <v>2</v>
      </c>
      <c r="C56" s="493" t="s">
        <v>775</v>
      </c>
      <c r="E56" s="490"/>
      <c r="F56" s="490"/>
    </row>
    <row r="57" spans="2:14" outlineLevel="1">
      <c r="B57" s="491">
        <v>3</v>
      </c>
      <c r="C57" s="493" t="s">
        <v>776</v>
      </c>
      <c r="E57" s="490"/>
      <c r="F57" s="490"/>
    </row>
    <row r="58" spans="2:14" outlineLevel="1">
      <c r="B58" s="491">
        <v>4</v>
      </c>
      <c r="C58" s="493" t="s">
        <v>777</v>
      </c>
      <c r="E58" s="490"/>
      <c r="F58" s="490"/>
    </row>
    <row r="59" spans="2:14" outlineLevel="1">
      <c r="B59" s="358">
        <v>5</v>
      </c>
      <c r="C59" s="494" t="s">
        <v>778</v>
      </c>
      <c r="D59" s="490"/>
      <c r="E59" s="490"/>
      <c r="F59" s="490"/>
    </row>
    <row r="60" spans="2:14" outlineLevel="1">
      <c r="B60" s="358">
        <v>6</v>
      </c>
      <c r="C60" s="492" t="s">
        <v>779</v>
      </c>
      <c r="D60" s="490"/>
      <c r="E60" s="490"/>
      <c r="F60" s="490"/>
    </row>
    <row r="61" spans="2:14" outlineLevel="1">
      <c r="B61" s="358">
        <v>7</v>
      </c>
      <c r="C61" s="495" t="s">
        <v>774</v>
      </c>
      <c r="D61" s="490"/>
      <c r="E61" s="490"/>
      <c r="F61" s="490"/>
    </row>
    <row r="62" spans="2:14" outlineLevel="1">
      <c r="B62" s="358">
        <v>8</v>
      </c>
      <c r="C62" s="495" t="s">
        <v>780</v>
      </c>
      <c r="D62" s="490"/>
      <c r="E62" s="490"/>
      <c r="F62" s="490"/>
    </row>
    <row r="63" spans="2:14" outlineLevel="1">
      <c r="B63" s="358">
        <v>9</v>
      </c>
      <c r="C63" s="489" t="s">
        <v>781</v>
      </c>
      <c r="D63" s="490"/>
      <c r="E63" s="490"/>
      <c r="F63" s="490"/>
    </row>
    <row r="64" spans="2:14"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790</v>
      </c>
      <c r="B84" s="1134"/>
      <c r="C84" s="1135"/>
      <c r="D84" s="1135"/>
      <c r="E84" s="1135"/>
      <c r="F84" s="1135"/>
      <c r="G84" s="1135"/>
      <c r="H84" s="1135"/>
      <c r="I84" s="1135"/>
      <c r="J84" s="1135"/>
      <c r="K84" s="1135"/>
      <c r="L84" s="1135"/>
      <c r="M84" s="1135"/>
      <c r="N84" s="361"/>
      <c r="P84" s="1135"/>
      <c r="Q84" s="1135"/>
      <c r="R84" s="1135"/>
      <c r="S84" s="1135"/>
      <c r="T84" s="1135"/>
      <c r="U84" s="1135"/>
    </row>
    <row r="85" spans="1:44" ht="16" outlineLevel="1" thickBot="1">
      <c r="B85" s="1134"/>
      <c r="C85" s="1135"/>
      <c r="D85" s="1135"/>
      <c r="E85" s="1135"/>
      <c r="F85" s="1135"/>
      <c r="G85" s="1135"/>
      <c r="H85" s="1135"/>
      <c r="I85" s="1135"/>
      <c r="J85" s="1135"/>
      <c r="K85" s="1135"/>
      <c r="L85" s="1135"/>
      <c r="M85" s="1135"/>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201" t="s">
        <v>791</v>
      </c>
      <c r="D86" s="1177"/>
      <c r="E86" s="1177"/>
      <c r="F86" s="1177"/>
      <c r="G86" s="1177"/>
      <c r="H86" s="1177"/>
      <c r="I86" s="1177"/>
      <c r="J86" s="1177"/>
      <c r="K86" s="1177"/>
      <c r="L86" s="1178"/>
      <c r="M86" s="363"/>
      <c r="N86" s="363"/>
      <c r="P86" s="364" t="s">
        <v>713</v>
      </c>
      <c r="Q86" s="365"/>
      <c r="R86" s="366"/>
      <c r="S86" s="1143" t="s">
        <v>714</v>
      </c>
      <c r="T86" s="1147" t="s">
        <v>715</v>
      </c>
      <c r="U86" s="1148"/>
      <c r="V86" s="1147" t="s">
        <v>716</v>
      </c>
      <c r="W86" s="1148"/>
      <c r="X86" s="1147" t="s">
        <v>717</v>
      </c>
      <c r="Y86" s="1148"/>
      <c r="Z86" s="1147" t="s">
        <v>718</v>
      </c>
      <c r="AA86" s="1148"/>
      <c r="AB86" s="1147" t="s">
        <v>719</v>
      </c>
      <c r="AC86" s="1148"/>
      <c r="AE86" s="364" t="s">
        <v>720</v>
      </c>
      <c r="AF86" s="365"/>
      <c r="AG86" s="366"/>
      <c r="AH86" s="1143" t="s">
        <v>714</v>
      </c>
      <c r="AI86" s="1147" t="s">
        <v>715</v>
      </c>
      <c r="AJ86" s="1148"/>
      <c r="AK86" s="1147" t="s">
        <v>716</v>
      </c>
      <c r="AL86" s="1148"/>
      <c r="AM86" s="1147" t="s">
        <v>717</v>
      </c>
      <c r="AN86" s="1148"/>
      <c r="AO86" s="1147" t="s">
        <v>718</v>
      </c>
      <c r="AP86" s="1148"/>
      <c r="AQ86" s="1147" t="s">
        <v>719</v>
      </c>
      <c r="AR86" s="1148"/>
    </row>
    <row r="87" spans="1:44" ht="15" customHeight="1" outlineLevel="1" thickBot="1">
      <c r="B87" s="1168" t="s">
        <v>4</v>
      </c>
      <c r="C87" s="1170">
        <v>2020</v>
      </c>
      <c r="D87" s="1170">
        <v>2030</v>
      </c>
      <c r="E87" s="1170">
        <v>2040</v>
      </c>
      <c r="F87" s="1170">
        <v>2050</v>
      </c>
      <c r="G87" s="1172" t="s">
        <v>721</v>
      </c>
      <c r="H87" s="1173"/>
      <c r="I87" s="1172" t="s">
        <v>648</v>
      </c>
      <c r="J87" s="1173"/>
      <c r="K87" s="1174" t="s">
        <v>2</v>
      </c>
      <c r="L87" s="1174" t="s">
        <v>3</v>
      </c>
      <c r="M87" s="367"/>
      <c r="N87" s="367"/>
      <c r="P87" s="1151" t="s">
        <v>0</v>
      </c>
      <c r="Q87" s="368"/>
      <c r="R87" s="368"/>
      <c r="S87" s="1144"/>
      <c r="T87" s="1149"/>
      <c r="U87" s="1150"/>
      <c r="V87" s="1149"/>
      <c r="W87" s="1150"/>
      <c r="X87" s="1149"/>
      <c r="Y87" s="1150"/>
      <c r="Z87" s="1149"/>
      <c r="AA87" s="1150"/>
      <c r="AB87" s="1149"/>
      <c r="AC87" s="1150"/>
      <c r="AE87" s="1151" t="s">
        <v>0</v>
      </c>
      <c r="AF87" s="368"/>
      <c r="AG87" s="368"/>
      <c r="AH87" s="1144"/>
      <c r="AI87" s="1149"/>
      <c r="AJ87" s="1150"/>
      <c r="AK87" s="1149"/>
      <c r="AL87" s="1150"/>
      <c r="AM87" s="1149"/>
      <c r="AN87" s="1150"/>
      <c r="AO87" s="1149"/>
      <c r="AP87" s="1150"/>
      <c r="AQ87" s="1149"/>
      <c r="AR87" s="1150"/>
    </row>
    <row r="88" spans="1:44" ht="15" customHeight="1" outlineLevel="1" thickBot="1">
      <c r="B88" s="1169"/>
      <c r="C88" s="1171"/>
      <c r="D88" s="1171"/>
      <c r="E88" s="1171"/>
      <c r="F88" s="1171"/>
      <c r="G88" s="499" t="s">
        <v>649</v>
      </c>
      <c r="H88" s="499" t="s">
        <v>650</v>
      </c>
      <c r="I88" s="499" t="s">
        <v>649</v>
      </c>
      <c r="J88" s="499" t="s">
        <v>650</v>
      </c>
      <c r="K88" s="1175"/>
      <c r="L88" s="1175"/>
      <c r="M88" s="370"/>
      <c r="N88" s="370"/>
      <c r="P88" s="1152"/>
      <c r="Q88" s="1154" t="s">
        <v>722</v>
      </c>
      <c r="R88" s="1155" t="s">
        <v>723</v>
      </c>
      <c r="S88" s="1145"/>
      <c r="T88" s="1149"/>
      <c r="U88" s="1150"/>
      <c r="V88" s="1149"/>
      <c r="W88" s="1150"/>
      <c r="X88" s="1149"/>
      <c r="Y88" s="1150"/>
      <c r="Z88" s="1149"/>
      <c r="AA88" s="1150"/>
      <c r="AB88" s="1149"/>
      <c r="AC88" s="1150"/>
      <c r="AE88" s="1152"/>
      <c r="AF88" s="1198" t="s">
        <v>722</v>
      </c>
      <c r="AG88" s="1155" t="s">
        <v>723</v>
      </c>
      <c r="AH88" s="1145"/>
      <c r="AI88" s="1149"/>
      <c r="AJ88" s="1150"/>
      <c r="AK88" s="1149"/>
      <c r="AL88" s="1150"/>
      <c r="AM88" s="1149"/>
      <c r="AN88" s="1150"/>
      <c r="AO88" s="1149"/>
      <c r="AP88" s="1150"/>
      <c r="AQ88" s="1149"/>
      <c r="AR88" s="1150"/>
    </row>
    <row r="89" spans="1:44" ht="33" outlineLevel="1" thickBot="1">
      <c r="B89" s="371" t="s">
        <v>651</v>
      </c>
      <c r="C89" s="372">
        <v>20000</v>
      </c>
      <c r="D89" s="372">
        <v>20000</v>
      </c>
      <c r="E89" s="372">
        <v>20000</v>
      </c>
      <c r="F89" s="372">
        <v>20000</v>
      </c>
      <c r="G89" s="372">
        <v>1000</v>
      </c>
      <c r="H89" s="372">
        <v>50000</v>
      </c>
      <c r="I89" s="372">
        <v>1000</v>
      </c>
      <c r="J89" s="372">
        <v>50000</v>
      </c>
      <c r="K89" s="372" t="s">
        <v>6</v>
      </c>
      <c r="L89" s="373" t="s">
        <v>725</v>
      </c>
      <c r="M89" s="370"/>
      <c r="N89" s="370"/>
      <c r="O89" s="74"/>
      <c r="P89" s="1153"/>
      <c r="Q89" s="1146"/>
      <c r="R89" s="1156"/>
      <c r="S89" s="1146"/>
      <c r="T89" s="374" t="s">
        <v>726</v>
      </c>
      <c r="U89" s="375" t="s">
        <v>727</v>
      </c>
      <c r="V89" s="374" t="s">
        <v>726</v>
      </c>
      <c r="W89" s="375" t="s">
        <v>727</v>
      </c>
      <c r="X89" s="374" t="s">
        <v>726</v>
      </c>
      <c r="Y89" s="375" t="s">
        <v>727</v>
      </c>
      <c r="Z89" s="374" t="s">
        <v>726</v>
      </c>
      <c r="AA89" s="375" t="s">
        <v>727</v>
      </c>
      <c r="AB89" s="374" t="s">
        <v>726</v>
      </c>
      <c r="AC89" s="375" t="s">
        <v>727</v>
      </c>
      <c r="AE89" s="1153"/>
      <c r="AF89" s="1199"/>
      <c r="AG89" s="1156"/>
      <c r="AH89" s="1146"/>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96</v>
      </c>
      <c r="D90" s="501">
        <v>97</v>
      </c>
      <c r="E90" s="502">
        <v>98</v>
      </c>
      <c r="F90" s="501">
        <v>98</v>
      </c>
      <c r="G90" s="501">
        <v>90</v>
      </c>
      <c r="H90" s="501">
        <v>98</v>
      </c>
      <c r="I90" s="501">
        <v>90</v>
      </c>
      <c r="J90" s="501">
        <v>98</v>
      </c>
      <c r="K90" s="503" t="s">
        <v>59</v>
      </c>
      <c r="L90" s="504" t="s">
        <v>729</v>
      </c>
      <c r="M90" s="370"/>
      <c r="N90" s="370"/>
      <c r="P90" s="1200" t="str">
        <f>C86</f>
        <v>Hot water boiler, Oil</v>
      </c>
      <c r="Q90" s="1188" t="s">
        <v>730</v>
      </c>
      <c r="R90" s="381" t="s">
        <v>731</v>
      </c>
      <c r="S90" s="382"/>
      <c r="T90" s="1191">
        <v>0</v>
      </c>
      <c r="U90" s="1179">
        <v>0</v>
      </c>
      <c r="V90" s="1191">
        <v>0</v>
      </c>
      <c r="W90" s="1179">
        <v>0</v>
      </c>
      <c r="X90" s="1191">
        <v>0</v>
      </c>
      <c r="Y90" s="1179">
        <v>0</v>
      </c>
      <c r="Z90" s="1191">
        <v>0</v>
      </c>
      <c r="AA90" s="1179">
        <v>0</v>
      </c>
      <c r="AB90" s="1191">
        <v>0</v>
      </c>
      <c r="AC90" s="1179">
        <v>0</v>
      </c>
      <c r="AE90" s="1185" t="str">
        <f>P90</f>
        <v>Hot water boiler, Oil</v>
      </c>
      <c r="AF90" s="1188" t="s">
        <v>730</v>
      </c>
      <c r="AG90" s="381" t="s">
        <v>731</v>
      </c>
      <c r="AH90" s="382"/>
      <c r="AI90" s="1191">
        <v>0</v>
      </c>
      <c r="AJ90" s="1179">
        <v>0</v>
      </c>
      <c r="AK90" s="1191">
        <v>0</v>
      </c>
      <c r="AL90" s="1179">
        <v>0</v>
      </c>
      <c r="AM90" s="1191">
        <v>0</v>
      </c>
      <c r="AN90" s="1179">
        <v>0</v>
      </c>
      <c r="AO90" s="1191">
        <v>0</v>
      </c>
      <c r="AP90" s="1179">
        <v>0</v>
      </c>
      <c r="AQ90" s="1191">
        <v>0</v>
      </c>
      <c r="AR90" s="1179">
        <v>0</v>
      </c>
    </row>
    <row r="91" spans="1:44" outlineLevel="1">
      <c r="B91" s="383" t="s">
        <v>732</v>
      </c>
      <c r="C91" s="384">
        <v>95</v>
      </c>
      <c r="D91" s="384">
        <v>96</v>
      </c>
      <c r="E91" s="384">
        <v>97</v>
      </c>
      <c r="F91" s="384">
        <v>97</v>
      </c>
      <c r="G91" s="505">
        <v>89</v>
      </c>
      <c r="H91" s="505">
        <v>97</v>
      </c>
      <c r="I91" s="505">
        <v>89</v>
      </c>
      <c r="J91" s="505">
        <v>97</v>
      </c>
      <c r="K91" s="372"/>
      <c r="L91" s="373" t="s">
        <v>729</v>
      </c>
      <c r="M91" s="370"/>
      <c r="N91" s="370"/>
      <c r="O91" s="71"/>
      <c r="P91" s="1186"/>
      <c r="Q91" s="1189"/>
      <c r="R91" s="388" t="s">
        <v>733</v>
      </c>
      <c r="S91" s="389"/>
      <c r="T91" s="1192"/>
      <c r="U91" s="1180"/>
      <c r="V91" s="1192"/>
      <c r="W91" s="1180"/>
      <c r="X91" s="1192"/>
      <c r="Y91" s="1180"/>
      <c r="Z91" s="1192"/>
      <c r="AA91" s="1180"/>
      <c r="AB91" s="1192"/>
      <c r="AC91" s="1180"/>
      <c r="AE91" s="1186"/>
      <c r="AF91" s="1189"/>
      <c r="AG91" s="388" t="s">
        <v>733</v>
      </c>
      <c r="AH91" s="389"/>
      <c r="AI91" s="1192"/>
      <c r="AJ91" s="1180"/>
      <c r="AK91" s="1192"/>
      <c r="AL91" s="1180"/>
      <c r="AM91" s="1192"/>
      <c r="AN91" s="1180"/>
      <c r="AO91" s="1192"/>
      <c r="AP91" s="1180"/>
      <c r="AQ91" s="1192"/>
      <c r="AR91" s="1180"/>
    </row>
    <row r="92" spans="1:44" ht="16" outlineLevel="1" thickBot="1">
      <c r="B92" s="500" t="s">
        <v>734</v>
      </c>
      <c r="C92" s="506">
        <v>0.14000000000000001</v>
      </c>
      <c r="D92" s="507">
        <v>0.12</v>
      </c>
      <c r="E92" s="507">
        <v>0.11</v>
      </c>
      <c r="F92" s="508">
        <v>0.1</v>
      </c>
      <c r="G92" s="507">
        <v>0.1</v>
      </c>
      <c r="H92" s="507">
        <v>0.14000000000000001</v>
      </c>
      <c r="I92" s="507">
        <v>0.08</v>
      </c>
      <c r="J92" s="507">
        <v>0.12</v>
      </c>
      <c r="K92" s="503" t="s">
        <v>16</v>
      </c>
      <c r="L92" s="504">
        <v>3</v>
      </c>
      <c r="M92" s="370"/>
      <c r="N92" s="370"/>
      <c r="O92" s="71"/>
      <c r="P92" s="1186"/>
      <c r="Q92" s="1190"/>
      <c r="R92" s="393" t="s">
        <v>735</v>
      </c>
      <c r="S92" s="394"/>
      <c r="T92" s="1193"/>
      <c r="U92" s="1181"/>
      <c r="V92" s="1193"/>
      <c r="W92" s="1181"/>
      <c r="X92" s="1193"/>
      <c r="Y92" s="1181"/>
      <c r="Z92" s="1193"/>
      <c r="AA92" s="1181"/>
      <c r="AB92" s="1193"/>
      <c r="AC92" s="1181"/>
      <c r="AE92" s="1186"/>
      <c r="AF92" s="1190"/>
      <c r="AG92" s="393" t="s">
        <v>735</v>
      </c>
      <c r="AH92" s="394"/>
      <c r="AI92" s="1193"/>
      <c r="AJ92" s="1181"/>
      <c r="AK92" s="1193"/>
      <c r="AL92" s="1181"/>
      <c r="AM92" s="1193"/>
      <c r="AN92" s="1181"/>
      <c r="AO92" s="1193"/>
      <c r="AP92" s="1181"/>
      <c r="AQ92" s="1193"/>
      <c r="AR92" s="1181"/>
    </row>
    <row r="93" spans="1:44" ht="15" customHeight="1" outlineLevel="1">
      <c r="B93" s="500" t="s">
        <v>657</v>
      </c>
      <c r="C93" s="506">
        <v>1.1000000000000001</v>
      </c>
      <c r="D93" s="506">
        <v>1.1000000000000001</v>
      </c>
      <c r="E93" s="506">
        <v>1.1000000000000001</v>
      </c>
      <c r="F93" s="506">
        <v>1.1000000000000001</v>
      </c>
      <c r="G93" s="506">
        <v>0.09</v>
      </c>
      <c r="H93" s="506">
        <v>2.1</v>
      </c>
      <c r="I93" s="506">
        <v>0.09</v>
      </c>
      <c r="J93" s="506">
        <v>2.1</v>
      </c>
      <c r="K93" s="503" t="s">
        <v>20</v>
      </c>
      <c r="L93" s="504">
        <v>3</v>
      </c>
      <c r="M93" s="370"/>
      <c r="N93" s="370"/>
      <c r="O93" s="71"/>
      <c r="P93" s="1186"/>
      <c r="Q93" s="1188" t="s">
        <v>736</v>
      </c>
      <c r="R93" s="395" t="s">
        <v>737</v>
      </c>
      <c r="S93" s="396" t="s">
        <v>738</v>
      </c>
      <c r="T93" s="1191">
        <v>0</v>
      </c>
      <c r="U93" s="1191">
        <v>0.67</v>
      </c>
      <c r="V93" s="1191">
        <v>0</v>
      </c>
      <c r="W93" s="1191">
        <v>0.56999999999999995</v>
      </c>
      <c r="X93" s="1191">
        <v>0</v>
      </c>
      <c r="Y93" s="1191">
        <v>0.5</v>
      </c>
      <c r="Z93" s="1191">
        <v>0</v>
      </c>
      <c r="AA93" s="1191">
        <v>0.51</v>
      </c>
      <c r="AB93" s="1191">
        <v>0</v>
      </c>
      <c r="AC93" s="1191">
        <v>0.41</v>
      </c>
      <c r="AE93" s="1186"/>
      <c r="AF93" s="1188" t="s">
        <v>736</v>
      </c>
      <c r="AG93" s="395" t="s">
        <v>737</v>
      </c>
      <c r="AH93" s="396" t="s">
        <v>738</v>
      </c>
      <c r="AI93" s="1191">
        <v>0</v>
      </c>
      <c r="AJ93" s="1191">
        <v>0.16750000000000001</v>
      </c>
      <c r="AK93" s="1191">
        <v>0</v>
      </c>
      <c r="AL93" s="1191">
        <v>0.14249999999999999</v>
      </c>
      <c r="AM93" s="1191">
        <v>0</v>
      </c>
      <c r="AN93" s="1191">
        <v>0.125</v>
      </c>
      <c r="AO93" s="1191">
        <v>0</v>
      </c>
      <c r="AP93" s="1191">
        <v>0.1275</v>
      </c>
      <c r="AQ93" s="1191">
        <v>0</v>
      </c>
      <c r="AR93" s="1191">
        <v>0.10249999999999999</v>
      </c>
    </row>
    <row r="94" spans="1:44" outlineLevel="1">
      <c r="B94" s="500" t="s">
        <v>658</v>
      </c>
      <c r="C94" s="506">
        <v>0.60000000000000009</v>
      </c>
      <c r="D94" s="506">
        <v>0.60000000000000009</v>
      </c>
      <c r="E94" s="506">
        <v>0.60000000000000009</v>
      </c>
      <c r="F94" s="506">
        <v>0.60000000000000009</v>
      </c>
      <c r="G94" s="506">
        <v>0.5</v>
      </c>
      <c r="H94" s="506">
        <v>0.8</v>
      </c>
      <c r="I94" s="506">
        <v>0.5</v>
      </c>
      <c r="J94" s="506">
        <v>0.8</v>
      </c>
      <c r="K94" s="503" t="s">
        <v>20</v>
      </c>
      <c r="L94" s="504">
        <v>3</v>
      </c>
      <c r="M94" s="367"/>
      <c r="N94" s="367"/>
      <c r="O94" s="71"/>
      <c r="P94" s="1186"/>
      <c r="Q94" s="1189"/>
      <c r="R94" s="395" t="s">
        <v>739</v>
      </c>
      <c r="S94" s="396" t="s">
        <v>738</v>
      </c>
      <c r="T94" s="1208"/>
      <c r="U94" s="1208"/>
      <c r="V94" s="1208"/>
      <c r="W94" s="1208"/>
      <c r="X94" s="1208"/>
      <c r="Y94" s="1208"/>
      <c r="Z94" s="1208"/>
      <c r="AA94" s="1208"/>
      <c r="AB94" s="1208"/>
      <c r="AC94" s="1208"/>
      <c r="AE94" s="1186"/>
      <c r="AF94" s="1189"/>
      <c r="AG94" s="395" t="s">
        <v>739</v>
      </c>
      <c r="AH94" s="396" t="s">
        <v>738</v>
      </c>
      <c r="AI94" s="1208"/>
      <c r="AJ94" s="1208"/>
      <c r="AK94" s="1208"/>
      <c r="AL94" s="1208"/>
      <c r="AM94" s="1208"/>
      <c r="AN94" s="1208"/>
      <c r="AO94" s="1208"/>
      <c r="AP94" s="1208"/>
      <c r="AQ94" s="1208"/>
      <c r="AR94" s="120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86"/>
      <c r="Q95" s="1189"/>
      <c r="R95" s="395" t="s">
        <v>741</v>
      </c>
      <c r="S95" s="396"/>
      <c r="T95" s="1208"/>
      <c r="U95" s="1208"/>
      <c r="V95" s="1208"/>
      <c r="W95" s="1208"/>
      <c r="X95" s="1208"/>
      <c r="Y95" s="1208"/>
      <c r="Z95" s="1208"/>
      <c r="AA95" s="1208"/>
      <c r="AB95" s="1208"/>
      <c r="AC95" s="1208"/>
      <c r="AE95" s="1186"/>
      <c r="AF95" s="1189"/>
      <c r="AG95" s="395" t="s">
        <v>741</v>
      </c>
      <c r="AH95" s="396" t="s">
        <v>738</v>
      </c>
      <c r="AI95" s="1208"/>
      <c r="AJ95" s="1208"/>
      <c r="AK95" s="1208"/>
      <c r="AL95" s="1208"/>
      <c r="AM95" s="1208"/>
      <c r="AN95" s="1208"/>
      <c r="AO95" s="1208"/>
      <c r="AP95" s="1208"/>
      <c r="AQ95" s="1208"/>
      <c r="AR95" s="1208"/>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86"/>
      <c r="Q96" s="1189"/>
      <c r="R96" s="395" t="s">
        <v>742</v>
      </c>
      <c r="S96" s="396" t="s">
        <v>738</v>
      </c>
      <c r="T96" s="1208"/>
      <c r="U96" s="1208"/>
      <c r="V96" s="1208"/>
      <c r="W96" s="1208"/>
      <c r="X96" s="1208"/>
      <c r="Y96" s="1208"/>
      <c r="Z96" s="1208"/>
      <c r="AA96" s="1208"/>
      <c r="AB96" s="1208"/>
      <c r="AC96" s="1208"/>
      <c r="AE96" s="1186"/>
      <c r="AF96" s="1189"/>
      <c r="AG96" s="395" t="s">
        <v>742</v>
      </c>
      <c r="AH96" s="396" t="s">
        <v>738</v>
      </c>
      <c r="AI96" s="1208"/>
      <c r="AJ96" s="1208"/>
      <c r="AK96" s="1208"/>
      <c r="AL96" s="1208"/>
      <c r="AM96" s="1208"/>
      <c r="AN96" s="1208"/>
      <c r="AO96" s="1208"/>
      <c r="AP96" s="1208"/>
      <c r="AQ96" s="1208"/>
      <c r="AR96" s="1208"/>
    </row>
    <row r="97" spans="1:44" ht="16" outlineLevel="1" thickBot="1">
      <c r="B97" s="401" t="s">
        <v>743</v>
      </c>
      <c r="C97" s="402"/>
      <c r="D97" s="403"/>
      <c r="E97" s="404"/>
      <c r="F97" s="405"/>
      <c r="G97" s="406"/>
      <c r="H97" s="406"/>
      <c r="I97" s="406"/>
      <c r="J97" s="406"/>
      <c r="K97" s="407"/>
      <c r="L97" s="408"/>
      <c r="M97" s="363"/>
      <c r="N97" s="363"/>
      <c r="P97" s="1186"/>
      <c r="Q97" s="1189"/>
      <c r="R97" s="409" t="s">
        <v>744</v>
      </c>
      <c r="S97" s="410" t="s">
        <v>738</v>
      </c>
      <c r="T97" s="1209"/>
      <c r="U97" s="1209"/>
      <c r="V97" s="1209"/>
      <c r="W97" s="1209"/>
      <c r="X97" s="1209"/>
      <c r="Y97" s="1209"/>
      <c r="Z97" s="1209"/>
      <c r="AA97" s="1209"/>
      <c r="AB97" s="1209"/>
      <c r="AC97" s="1209"/>
      <c r="AE97" s="1186"/>
      <c r="AF97" s="1189"/>
      <c r="AG97" s="409" t="s">
        <v>744</v>
      </c>
      <c r="AH97" s="410" t="s">
        <v>738</v>
      </c>
      <c r="AI97" s="1209"/>
      <c r="AJ97" s="1209"/>
      <c r="AK97" s="1209"/>
      <c r="AL97" s="1209"/>
      <c r="AM97" s="1209"/>
      <c r="AN97" s="1209"/>
      <c r="AO97" s="1209"/>
      <c r="AP97" s="1209"/>
      <c r="AQ97" s="1209"/>
      <c r="AR97" s="1209"/>
    </row>
    <row r="98" spans="1:44" ht="33" outlineLevel="1" thickBot="1">
      <c r="B98" s="500" t="s">
        <v>663</v>
      </c>
      <c r="C98" s="506">
        <v>15</v>
      </c>
      <c r="D98" s="506">
        <v>15</v>
      </c>
      <c r="E98" s="506">
        <v>15</v>
      </c>
      <c r="F98" s="506">
        <v>15</v>
      </c>
      <c r="G98" s="507"/>
      <c r="H98" s="507"/>
      <c r="I98" s="507"/>
      <c r="J98" s="507"/>
      <c r="K98" s="503"/>
      <c r="L98" s="504">
        <v>3</v>
      </c>
      <c r="M98" s="363"/>
      <c r="N98" s="363"/>
      <c r="P98" s="1187"/>
      <c r="Q98" s="411" t="s">
        <v>745</v>
      </c>
      <c r="R98" s="412" t="s">
        <v>746</v>
      </c>
      <c r="S98" s="413" t="s">
        <v>738</v>
      </c>
      <c r="T98" s="414">
        <v>1</v>
      </c>
      <c r="U98" s="415">
        <v>1</v>
      </c>
      <c r="V98" s="416">
        <v>1</v>
      </c>
      <c r="W98" s="415">
        <v>1</v>
      </c>
      <c r="X98" s="416">
        <v>1</v>
      </c>
      <c r="Y98" s="415">
        <v>1</v>
      </c>
      <c r="Z98" s="416">
        <v>1</v>
      </c>
      <c r="AA98" s="415">
        <v>1</v>
      </c>
      <c r="AB98" s="416">
        <v>1</v>
      </c>
      <c r="AC98" s="417">
        <v>1</v>
      </c>
      <c r="AE98" s="1187"/>
      <c r="AF98" s="411" t="s">
        <v>745</v>
      </c>
      <c r="AG98" s="412" t="s">
        <v>746</v>
      </c>
      <c r="AH98" s="413" t="s">
        <v>738</v>
      </c>
      <c r="AI98" s="414">
        <v>1</v>
      </c>
      <c r="AJ98" s="415">
        <v>1</v>
      </c>
      <c r="AK98" s="414">
        <v>1</v>
      </c>
      <c r="AL98" s="415">
        <v>1</v>
      </c>
      <c r="AM98" s="414">
        <v>1</v>
      </c>
      <c r="AN98" s="415">
        <v>1</v>
      </c>
      <c r="AO98" s="414">
        <v>1</v>
      </c>
      <c r="AP98" s="415">
        <v>1</v>
      </c>
      <c r="AQ98" s="414">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6" outlineLevel="1">
      <c r="B102" s="383" t="s">
        <v>747</v>
      </c>
      <c r="C102" s="397">
        <v>0.5</v>
      </c>
      <c r="D102" s="397">
        <v>0.5</v>
      </c>
      <c r="E102" s="397">
        <v>0.5</v>
      </c>
      <c r="F102" s="397">
        <v>0.5</v>
      </c>
      <c r="G102" s="422"/>
      <c r="H102" s="425"/>
      <c r="I102" s="425"/>
      <c r="J102" s="425"/>
      <c r="K102" s="426" t="s">
        <v>76</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6" outlineLevel="1">
      <c r="B104" s="383" t="s">
        <v>750</v>
      </c>
      <c r="C104" s="397">
        <v>25</v>
      </c>
      <c r="D104" s="397">
        <v>20</v>
      </c>
      <c r="E104" s="397">
        <v>18</v>
      </c>
      <c r="F104" s="397">
        <v>15</v>
      </c>
      <c r="G104" s="425"/>
      <c r="H104" s="425"/>
      <c r="I104" s="425"/>
      <c r="J104" s="425"/>
      <c r="K104" s="423"/>
      <c r="L104" s="427" t="s">
        <v>748</v>
      </c>
      <c r="M104" s="428"/>
      <c r="N104" s="428"/>
    </row>
    <row r="105" spans="1:44" outlineLevel="1">
      <c r="B105" s="383" t="s">
        <v>366</v>
      </c>
      <c r="C105" s="397">
        <v>0</v>
      </c>
      <c r="D105" s="397">
        <v>0</v>
      </c>
      <c r="E105" s="397">
        <v>0</v>
      </c>
      <c r="F105" s="397">
        <v>0</v>
      </c>
      <c r="G105" s="425"/>
      <c r="H105" s="425"/>
      <c r="I105" s="425"/>
      <c r="J105" s="425"/>
      <c r="K105" s="423"/>
      <c r="L105" s="427" t="s">
        <v>748</v>
      </c>
      <c r="M105" s="428"/>
      <c r="N105" s="428"/>
    </row>
    <row r="106" spans="1:44" ht="16" outlineLevel="1" thickBot="1">
      <c r="B106" s="429" t="s">
        <v>367</v>
      </c>
      <c r="C106" s="430">
        <v>0</v>
      </c>
      <c r="D106" s="430">
        <v>0</v>
      </c>
      <c r="E106" s="430">
        <v>0</v>
      </c>
      <c r="F106" s="430">
        <v>0</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outlineLevel="1">
      <c r="A108" s="435"/>
      <c r="B108" s="436" t="s">
        <v>792</v>
      </c>
      <c r="C108" s="511">
        <v>4.4000000000000004E-2</v>
      </c>
      <c r="D108" s="512">
        <v>3.7261104389205602E-2</v>
      </c>
      <c r="E108" s="512">
        <v>3.5680000000000003E-2</v>
      </c>
      <c r="F108" s="513">
        <v>3.523649477443936E-2</v>
      </c>
      <c r="G108" s="425"/>
      <c r="H108" s="425"/>
      <c r="I108" s="425"/>
      <c r="J108" s="425"/>
      <c r="K108" s="426" t="s">
        <v>752</v>
      </c>
      <c r="L108" s="440" t="s">
        <v>753</v>
      </c>
      <c r="M108" s="420"/>
      <c r="N108" s="420"/>
    </row>
    <row r="109" spans="1:44" outlineLevel="1">
      <c r="B109" s="441" t="s">
        <v>754</v>
      </c>
      <c r="C109" s="442">
        <v>60</v>
      </c>
      <c r="D109" s="442">
        <v>60</v>
      </c>
      <c r="E109" s="442">
        <v>60</v>
      </c>
      <c r="F109" s="442">
        <v>60</v>
      </c>
      <c r="G109" s="425"/>
      <c r="H109" s="425"/>
      <c r="I109" s="425"/>
      <c r="J109" s="425"/>
      <c r="K109" s="444"/>
      <c r="L109" s="373">
        <v>3</v>
      </c>
      <c r="M109" s="71"/>
      <c r="N109" s="420"/>
    </row>
    <row r="110" spans="1:44" outlineLevel="1">
      <c r="B110" s="441" t="s">
        <v>755</v>
      </c>
      <c r="C110" s="442">
        <v>40</v>
      </c>
      <c r="D110" s="442">
        <v>40</v>
      </c>
      <c r="E110" s="442">
        <v>40</v>
      </c>
      <c r="F110" s="442">
        <v>40</v>
      </c>
      <c r="G110" s="425"/>
      <c r="H110" s="425"/>
      <c r="I110" s="425"/>
      <c r="J110" s="425"/>
      <c r="K110" s="444"/>
      <c r="L110" s="373">
        <v>3</v>
      </c>
      <c r="M110" s="420"/>
      <c r="N110" s="420"/>
    </row>
    <row r="111" spans="1:44" outlineLevel="1">
      <c r="B111" s="383" t="s">
        <v>793</v>
      </c>
      <c r="C111" s="445">
        <f>1800/1000</f>
        <v>1.8</v>
      </c>
      <c r="D111" s="446">
        <v>1.7</v>
      </c>
      <c r="E111" s="446">
        <v>1.6</v>
      </c>
      <c r="F111" s="447">
        <v>1.5</v>
      </c>
      <c r="G111" s="425"/>
      <c r="H111" s="425"/>
      <c r="I111" s="425"/>
      <c r="J111" s="425"/>
      <c r="K111" s="448"/>
      <c r="L111" s="373">
        <v>3</v>
      </c>
      <c r="M111" s="420"/>
      <c r="N111" s="420"/>
    </row>
    <row r="112" spans="1:44" outlineLevel="1">
      <c r="B112" s="383" t="s">
        <v>794</v>
      </c>
      <c r="C112" s="449">
        <f>1/3.6</f>
        <v>0.27777777777777779</v>
      </c>
      <c r="D112" s="449">
        <f>0.9/3.6</f>
        <v>0.25</v>
      </c>
      <c r="E112" s="449">
        <f>0.9/3.6</f>
        <v>0.25</v>
      </c>
      <c r="F112" s="449">
        <f>0.9/3.6</f>
        <v>0.25</v>
      </c>
      <c r="G112" s="425"/>
      <c r="H112" s="425"/>
      <c r="I112" s="425"/>
      <c r="J112" s="425"/>
      <c r="K112" s="448"/>
      <c r="L112" s="373">
        <v>3</v>
      </c>
      <c r="M112" s="450"/>
      <c r="N112" s="361"/>
      <c r="P112" s="1157">
        <f>C112</f>
        <v>0.27777777777777779</v>
      </c>
      <c r="Q112" s="1135"/>
      <c r="R112" s="1135"/>
      <c r="S112" s="1135"/>
      <c r="T112" s="1135"/>
      <c r="U112" s="1158"/>
    </row>
    <row r="113" spans="2:30" ht="16" outlineLevel="1" thickBot="1">
      <c r="B113" s="500" t="s">
        <v>758</v>
      </c>
      <c r="C113" s="514">
        <v>0.10220000000000001</v>
      </c>
      <c r="D113" s="514">
        <v>0.09</v>
      </c>
      <c r="E113" s="514">
        <v>8.3600000000000008E-2</v>
      </c>
      <c r="F113" s="514">
        <v>7.5999999999999998E-2</v>
      </c>
      <c r="G113" s="515"/>
      <c r="H113" s="515"/>
      <c r="I113" s="515"/>
      <c r="J113" s="515"/>
      <c r="K113" s="503" t="s">
        <v>52</v>
      </c>
      <c r="L113" s="504">
        <v>3</v>
      </c>
      <c r="M113" s="450"/>
      <c r="N113" s="361"/>
      <c r="P113" s="1159">
        <f>C113</f>
        <v>0.10220000000000001</v>
      </c>
      <c r="Q113" s="1160"/>
      <c r="R113" s="1160"/>
      <c r="S113" s="1160"/>
      <c r="T113" s="1160"/>
      <c r="U113" s="1161"/>
    </row>
    <row r="114" spans="2:30" outlineLevel="1">
      <c r="B114" s="500" t="s">
        <v>759</v>
      </c>
      <c r="C114" s="516">
        <v>0.89779999999999993</v>
      </c>
      <c r="D114" s="516">
        <v>0.81</v>
      </c>
      <c r="E114" s="516">
        <v>0.81640000000000001</v>
      </c>
      <c r="F114" s="516">
        <v>0.82400000000000007</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v>3.5000000000000003E-2</v>
      </c>
      <c r="D118" s="523">
        <v>0.03</v>
      </c>
      <c r="E118" s="523">
        <v>0.03</v>
      </c>
      <c r="F118" s="523">
        <v>0.03</v>
      </c>
      <c r="G118" s="524"/>
      <c r="H118" s="524"/>
      <c r="I118" s="524"/>
      <c r="J118" s="524"/>
      <c r="K118" s="524" t="s">
        <v>55</v>
      </c>
      <c r="L118" s="525"/>
      <c r="M118" s="363"/>
      <c r="N118" s="363"/>
      <c r="O118" s="465">
        <f>C91</f>
        <v>95</v>
      </c>
      <c r="P118" s="466">
        <f>C87</f>
        <v>2020</v>
      </c>
      <c r="Q118" s="58">
        <f>P118</f>
        <v>2020</v>
      </c>
      <c r="R118" s="466">
        <f>O118/100</f>
        <v>0.95</v>
      </c>
      <c r="S118" s="58"/>
      <c r="T118" s="466">
        <f>C95</f>
        <v>25</v>
      </c>
      <c r="U118" s="467">
        <f>C125</f>
        <v>327.8</v>
      </c>
      <c r="V118" s="467">
        <f>C127</f>
        <v>13.41</v>
      </c>
      <c r="W118" s="467">
        <f>C128</f>
        <v>2.0694444444444446</v>
      </c>
      <c r="X118" s="58"/>
      <c r="Y118" s="58"/>
      <c r="Z118" s="466">
        <f>C102</f>
        <v>0.5</v>
      </c>
      <c r="AA118" s="468">
        <f>C104</f>
        <v>25</v>
      </c>
      <c r="AB118" s="468">
        <f>C105</f>
        <v>0</v>
      </c>
      <c r="AC118" s="468">
        <f>C106</f>
        <v>0</v>
      </c>
      <c r="AD118" s="468">
        <f>C103</f>
        <v>0.1</v>
      </c>
    </row>
    <row r="119" spans="2:30" outlineLevel="1">
      <c r="B119" s="500" t="s">
        <v>763</v>
      </c>
      <c r="C119" s="526" t="s">
        <v>36</v>
      </c>
      <c r="D119" s="527" t="s">
        <v>36</v>
      </c>
      <c r="E119" s="527" t="s">
        <v>36</v>
      </c>
      <c r="F119" s="528" t="s">
        <v>36</v>
      </c>
      <c r="G119" s="528"/>
      <c r="H119" s="528"/>
      <c r="I119" s="528"/>
      <c r="J119" s="528"/>
      <c r="K119" s="529" t="s">
        <v>49</v>
      </c>
      <c r="L119" s="525"/>
      <c r="M119" s="363"/>
      <c r="N119" s="363"/>
      <c r="O119" s="465">
        <f>D91</f>
        <v>96</v>
      </c>
      <c r="P119" s="466">
        <f>D87</f>
        <v>2030</v>
      </c>
      <c r="Q119" s="58"/>
      <c r="R119" s="466">
        <f>O119/100</f>
        <v>0.96</v>
      </c>
      <c r="S119" s="58"/>
      <c r="T119" s="466">
        <f>D95</f>
        <v>25</v>
      </c>
      <c r="U119" s="467">
        <f>D125</f>
        <v>277.5952276995817</v>
      </c>
      <c r="V119" s="467">
        <f>D127</f>
        <v>12.664999999999999</v>
      </c>
      <c r="W119" s="467">
        <f>D128</f>
        <v>1.8625</v>
      </c>
      <c r="X119" s="58"/>
      <c r="Y119" s="58"/>
      <c r="Z119" s="466">
        <f>D102</f>
        <v>0.5</v>
      </c>
      <c r="AA119" s="468">
        <f>D104</f>
        <v>20</v>
      </c>
      <c r="AB119" s="468">
        <f>D105</f>
        <v>0</v>
      </c>
      <c r="AC119" s="468">
        <f>D106</f>
        <v>0</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97</v>
      </c>
      <c r="P120" s="466">
        <f>E87</f>
        <v>2040</v>
      </c>
      <c r="Q120" s="58"/>
      <c r="R120" s="466">
        <f>O120/100</f>
        <v>0.97</v>
      </c>
      <c r="S120" s="58"/>
      <c r="T120" s="466">
        <f>E95</f>
        <v>25</v>
      </c>
      <c r="U120" s="467">
        <f>E125</f>
        <v>265.81600000000003</v>
      </c>
      <c r="V120" s="467">
        <f>E127</f>
        <v>11.920000000000002</v>
      </c>
      <c r="W120" s="467">
        <f>E128</f>
        <v>1.8625</v>
      </c>
      <c r="X120" s="58"/>
      <c r="Y120" s="58"/>
      <c r="Z120" s="466">
        <f>E102</f>
        <v>0.5</v>
      </c>
      <c r="AA120" s="468">
        <f>E104</f>
        <v>18</v>
      </c>
      <c r="AB120" s="468">
        <f>E105</f>
        <v>0</v>
      </c>
      <c r="AC120" s="468">
        <f>E106</f>
        <v>0</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97</v>
      </c>
      <c r="P121" s="466">
        <f>F87</f>
        <v>2050</v>
      </c>
      <c r="Q121" s="58"/>
      <c r="R121" s="466">
        <f>O121/100</f>
        <v>0.97</v>
      </c>
      <c r="S121" s="58"/>
      <c r="T121" s="466">
        <f>F95</f>
        <v>25</v>
      </c>
      <c r="U121" s="467">
        <f>F125</f>
        <v>262.51188606957328</v>
      </c>
      <c r="V121" s="467">
        <f>F127</f>
        <v>11.175000000000001</v>
      </c>
      <c r="W121" s="467">
        <f>F128</f>
        <v>1.8625</v>
      </c>
      <c r="X121" s="58"/>
      <c r="Y121" s="58"/>
      <c r="Z121" s="466">
        <f>F102</f>
        <v>0.5</v>
      </c>
      <c r="AA121" s="468">
        <f>F104</f>
        <v>15</v>
      </c>
      <c r="AB121" s="468">
        <f>F105</f>
        <v>0</v>
      </c>
      <c r="AC121" s="468">
        <f>F106</f>
        <v>0</v>
      </c>
      <c r="AD121" s="468">
        <f>F103</f>
        <v>0.1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6" outlineLevel="1" thickBot="1">
      <c r="B124" s="534" t="s">
        <v>768</v>
      </c>
      <c r="C124" s="535"/>
      <c r="D124" s="536"/>
      <c r="E124" s="536"/>
      <c r="F124" s="537"/>
      <c r="G124" s="538"/>
      <c r="H124" s="538"/>
      <c r="I124" s="538"/>
      <c r="J124" s="538"/>
      <c r="K124" s="538"/>
      <c r="L124" s="539"/>
      <c r="M124" s="363"/>
      <c r="N124" s="363"/>
    </row>
    <row r="125" spans="2:30" ht="64" outlineLevel="1">
      <c r="B125" s="461" t="s">
        <v>769</v>
      </c>
      <c r="C125" s="483">
        <f>C108*$F$4*1000</f>
        <v>327.8</v>
      </c>
      <c r="D125" s="483">
        <f t="shared" ref="D125:F125" si="3">D108*$F$4*1000</f>
        <v>277.5952276995817</v>
      </c>
      <c r="E125" s="483">
        <f t="shared" si="3"/>
        <v>265.81600000000003</v>
      </c>
      <c r="F125" s="483">
        <f t="shared" si="3"/>
        <v>262.51188606957328</v>
      </c>
      <c r="G125" s="483"/>
      <c r="H125" s="484"/>
      <c r="I125" s="420" t="s">
        <v>332</v>
      </c>
      <c r="J125" s="420"/>
      <c r="K125" s="484"/>
      <c r="L125" s="484"/>
      <c r="N125" s="420"/>
    </row>
    <row r="126" spans="2:30" outlineLevel="1">
      <c r="B126" s="485" t="s">
        <v>770</v>
      </c>
      <c r="C126" s="486">
        <f>C125*$I126</f>
        <v>163900</v>
      </c>
      <c r="D126" s="486">
        <f>D125*$I126</f>
        <v>138797.61384979085</v>
      </c>
      <c r="E126" s="486">
        <f>E125*$I126</f>
        <v>132908.00000000003</v>
      </c>
      <c r="F126" s="486">
        <f>F125*$I126</f>
        <v>131255.94303478664</v>
      </c>
      <c r="G126" s="486"/>
      <c r="H126" s="484"/>
      <c r="I126" s="71">
        <v>500</v>
      </c>
      <c r="J126" s="420" t="s">
        <v>330</v>
      </c>
      <c r="K126" s="484"/>
      <c r="L126" s="484"/>
      <c r="N126" s="420"/>
    </row>
    <row r="127" spans="2:30" ht="48" outlineLevel="1">
      <c r="B127" s="461" t="s">
        <v>771</v>
      </c>
      <c r="C127" s="359">
        <f>C111*$F$4</f>
        <v>13.41</v>
      </c>
      <c r="D127" s="359">
        <f t="shared" ref="D127:F128" si="4">D111*$F$4</f>
        <v>12.664999999999999</v>
      </c>
      <c r="E127" s="359">
        <f t="shared" si="4"/>
        <v>11.920000000000002</v>
      </c>
      <c r="F127" s="359">
        <f t="shared" si="4"/>
        <v>11.175000000000001</v>
      </c>
      <c r="G127" s="359"/>
      <c r="I127" s="420" t="s">
        <v>333</v>
      </c>
      <c r="J127" s="420"/>
      <c r="N127" s="420"/>
    </row>
    <row r="128" spans="2:30" ht="48" outlineLevel="1">
      <c r="B128" s="461" t="s">
        <v>772</v>
      </c>
      <c r="C128" s="487">
        <f>C112*$F$4</f>
        <v>2.0694444444444446</v>
      </c>
      <c r="D128" s="487">
        <f t="shared" si="4"/>
        <v>1.8625</v>
      </c>
      <c r="E128" s="487">
        <f t="shared" si="4"/>
        <v>1.8625</v>
      </c>
      <c r="F128" s="487">
        <f t="shared" si="4"/>
        <v>1.8625</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1:44" outlineLevel="1">
      <c r="B145" s="496" t="s">
        <v>6</v>
      </c>
      <c r="C145" s="497" t="s">
        <v>784</v>
      </c>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134"/>
      <c r="C156" s="1135"/>
      <c r="D156" s="1135"/>
      <c r="E156" s="1135"/>
      <c r="F156" s="1135"/>
      <c r="G156" s="1135"/>
      <c r="H156" s="1135"/>
      <c r="I156" s="1135"/>
      <c r="J156" s="1135"/>
      <c r="K156" s="1135"/>
      <c r="L156" s="1135"/>
      <c r="M156" s="1135"/>
      <c r="N156" s="361"/>
      <c r="P156" s="1135"/>
      <c r="Q156" s="1135"/>
      <c r="R156" s="1135"/>
      <c r="S156" s="1135"/>
      <c r="T156" s="1135"/>
      <c r="U156" s="1135"/>
    </row>
    <row r="157" spans="1:44" ht="16" outlineLevel="1" thickBot="1">
      <c r="B157" s="1134"/>
      <c r="C157" s="1135"/>
      <c r="D157" s="1135"/>
      <c r="E157" s="1135"/>
      <c r="F157" s="1135"/>
      <c r="G157" s="1135"/>
      <c r="H157" s="1135"/>
      <c r="I157" s="1135"/>
      <c r="J157" s="1135"/>
      <c r="K157" s="1135"/>
      <c r="L157" s="1135"/>
      <c r="M157" s="1135"/>
      <c r="N157" s="361"/>
      <c r="P157" s="1135"/>
      <c r="Q157" s="1135"/>
      <c r="R157" s="1135"/>
      <c r="S157" s="1135"/>
      <c r="T157" s="1135"/>
      <c r="U157" s="1135"/>
    </row>
    <row r="158" spans="1:44" ht="20.5" customHeight="1" outlineLevel="1" thickBot="1">
      <c r="B158" s="362"/>
      <c r="C158" s="1201"/>
      <c r="D158" s="1177"/>
      <c r="E158" s="1177"/>
      <c r="F158" s="1177"/>
      <c r="G158" s="1177"/>
      <c r="H158" s="1177"/>
      <c r="I158" s="1177"/>
      <c r="J158" s="1177"/>
      <c r="K158" s="1177"/>
      <c r="L158" s="1178"/>
      <c r="M158" s="363"/>
      <c r="N158" s="363"/>
      <c r="P158" s="364"/>
      <c r="Q158" s="365"/>
      <c r="R158" s="366"/>
      <c r="S158" s="1143"/>
      <c r="T158" s="1147"/>
      <c r="U158" s="1148"/>
      <c r="V158" s="1147"/>
      <c r="W158" s="1148"/>
      <c r="X158" s="1147"/>
      <c r="Y158" s="1148"/>
      <c r="Z158" s="1147"/>
      <c r="AA158" s="1148"/>
      <c r="AB158" s="1147"/>
      <c r="AC158" s="1148"/>
      <c r="AE158" s="364"/>
      <c r="AF158" s="365"/>
      <c r="AG158" s="366"/>
      <c r="AH158" s="1143"/>
      <c r="AI158" s="1147"/>
      <c r="AJ158" s="1148"/>
      <c r="AK158" s="1147"/>
      <c r="AL158" s="1148"/>
      <c r="AM158" s="1147"/>
      <c r="AN158" s="1148"/>
      <c r="AO158" s="1147"/>
      <c r="AP158" s="1148"/>
      <c r="AQ158" s="1147"/>
      <c r="AR158" s="1148"/>
    </row>
    <row r="159" spans="1:44" ht="15" customHeight="1" outlineLevel="1" thickBot="1">
      <c r="B159" s="1168"/>
      <c r="C159" s="1170"/>
      <c r="D159" s="1170"/>
      <c r="E159" s="1170"/>
      <c r="F159" s="1170"/>
      <c r="G159" s="1217"/>
      <c r="H159" s="1218"/>
      <c r="I159" s="1217"/>
      <c r="J159" s="1218"/>
      <c r="K159" s="1204"/>
      <c r="L159" s="1204"/>
      <c r="M159" s="367"/>
      <c r="N159" s="367"/>
      <c r="P159" s="1151"/>
      <c r="Q159" s="368"/>
      <c r="R159" s="368"/>
      <c r="S159" s="1144"/>
      <c r="T159" s="1149"/>
      <c r="U159" s="1150"/>
      <c r="V159" s="1149"/>
      <c r="W159" s="1150"/>
      <c r="X159" s="1149"/>
      <c r="Y159" s="1150"/>
      <c r="Z159" s="1149"/>
      <c r="AA159" s="1150"/>
      <c r="AB159" s="1149"/>
      <c r="AC159" s="1150"/>
      <c r="AE159" s="1151"/>
      <c r="AF159" s="368"/>
      <c r="AG159" s="368"/>
      <c r="AH159" s="1144"/>
      <c r="AI159" s="1149"/>
      <c r="AJ159" s="1150"/>
      <c r="AK159" s="1149"/>
      <c r="AL159" s="1150"/>
      <c r="AM159" s="1149"/>
      <c r="AN159" s="1150"/>
      <c r="AO159" s="1149"/>
      <c r="AP159" s="1150"/>
      <c r="AQ159" s="1149"/>
      <c r="AR159" s="1150"/>
    </row>
    <row r="160" spans="1:44" ht="15" customHeight="1" outlineLevel="1" thickBot="1">
      <c r="B160" s="1169"/>
      <c r="C160" s="1171"/>
      <c r="D160" s="1171"/>
      <c r="E160" s="1171"/>
      <c r="F160" s="1171"/>
      <c r="G160" s="540"/>
      <c r="H160" s="540"/>
      <c r="I160" s="540"/>
      <c r="J160" s="540"/>
      <c r="K160" s="1205"/>
      <c r="L160" s="1205"/>
      <c r="M160" s="370"/>
      <c r="N160" s="370"/>
      <c r="P160" s="1152"/>
      <c r="Q160" s="1154"/>
      <c r="R160" s="1155"/>
      <c r="S160" s="1145"/>
      <c r="T160" s="1149"/>
      <c r="U160" s="1150"/>
      <c r="V160" s="1149"/>
      <c r="W160" s="1150"/>
      <c r="X160" s="1149"/>
      <c r="Y160" s="1150"/>
      <c r="Z160" s="1149"/>
      <c r="AA160" s="1150"/>
      <c r="AB160" s="1149"/>
      <c r="AC160" s="1150"/>
      <c r="AE160" s="1152"/>
      <c r="AF160" s="1198"/>
      <c r="AG160" s="1155"/>
      <c r="AH160" s="1145"/>
      <c r="AI160" s="1149"/>
      <c r="AJ160" s="1150"/>
      <c r="AK160" s="1149"/>
      <c r="AL160" s="1150"/>
      <c r="AM160" s="1149"/>
      <c r="AN160" s="1150"/>
      <c r="AO160" s="1149"/>
      <c r="AP160" s="1150"/>
      <c r="AQ160" s="1149"/>
      <c r="AR160" s="1150"/>
    </row>
    <row r="161" spans="2:44" ht="16" outlineLevel="1" thickBot="1">
      <c r="B161" s="371"/>
      <c r="C161" s="372"/>
      <c r="D161" s="372"/>
      <c r="E161" s="372"/>
      <c r="F161" s="372"/>
      <c r="G161" s="372"/>
      <c r="H161" s="372"/>
      <c r="I161" s="372"/>
      <c r="J161" s="372"/>
      <c r="K161" s="372"/>
      <c r="L161" s="373"/>
      <c r="M161" s="370"/>
      <c r="N161" s="370"/>
      <c r="O161" s="74"/>
      <c r="P161" s="1153"/>
      <c r="Q161" s="1146"/>
      <c r="R161" s="1156"/>
      <c r="S161" s="1146"/>
      <c r="T161" s="374"/>
      <c r="U161" s="375"/>
      <c r="V161" s="374"/>
      <c r="W161" s="375"/>
      <c r="X161" s="374"/>
      <c r="Y161" s="375"/>
      <c r="Z161" s="374"/>
      <c r="AA161" s="375"/>
      <c r="AB161" s="374"/>
      <c r="AC161" s="375"/>
      <c r="AE161" s="1153"/>
      <c r="AF161" s="1199"/>
      <c r="AG161" s="1156"/>
      <c r="AH161" s="1146"/>
      <c r="AI161" s="374"/>
      <c r="AJ161" s="375"/>
      <c r="AK161" s="374"/>
      <c r="AL161" s="375"/>
      <c r="AM161" s="374"/>
      <c r="AN161" s="375"/>
      <c r="AO161" s="374"/>
      <c r="AP161" s="375"/>
      <c r="AQ161" s="374"/>
      <c r="AR161" s="375"/>
    </row>
    <row r="162" spans="2:44" ht="14.5" customHeight="1" outlineLevel="1">
      <c r="B162" s="541"/>
      <c r="C162" s="542"/>
      <c r="D162" s="542"/>
      <c r="E162" s="543"/>
      <c r="F162" s="542"/>
      <c r="G162" s="542"/>
      <c r="H162" s="542"/>
      <c r="I162" s="542"/>
      <c r="J162" s="542"/>
      <c r="K162" s="372"/>
      <c r="L162" s="373"/>
      <c r="M162" s="370"/>
      <c r="N162" s="370"/>
      <c r="P162" s="1185"/>
      <c r="Q162" s="1188"/>
      <c r="R162" s="381"/>
      <c r="S162" s="382"/>
      <c r="T162" s="1191"/>
      <c r="U162" s="1179"/>
      <c r="V162" s="1191"/>
      <c r="W162" s="1179"/>
      <c r="X162" s="1191"/>
      <c r="Y162" s="1179"/>
      <c r="Z162" s="1191"/>
      <c r="AA162" s="1179"/>
      <c r="AB162" s="1191"/>
      <c r="AC162" s="1179"/>
      <c r="AE162" s="1185"/>
      <c r="AF162" s="1188"/>
      <c r="AG162" s="381"/>
      <c r="AH162" s="382"/>
      <c r="AI162" s="1191"/>
      <c r="AJ162" s="1179"/>
      <c r="AK162" s="1191"/>
      <c r="AL162" s="1179"/>
      <c r="AM162" s="1191"/>
      <c r="AN162" s="1179"/>
      <c r="AO162" s="1191"/>
      <c r="AP162" s="1179"/>
      <c r="AQ162" s="1191"/>
      <c r="AR162" s="1179"/>
    </row>
    <row r="163" spans="2:44" outlineLevel="1">
      <c r="B163" s="383"/>
      <c r="C163" s="384"/>
      <c r="D163" s="384"/>
      <c r="E163" s="384"/>
      <c r="F163" s="384"/>
      <c r="G163" s="505"/>
      <c r="H163" s="505"/>
      <c r="I163" s="505"/>
      <c r="J163" s="505"/>
      <c r="K163" s="372"/>
      <c r="L163" s="373"/>
      <c r="M163" s="370"/>
      <c r="N163" s="370"/>
      <c r="O163" s="71"/>
      <c r="P163" s="1186"/>
      <c r="Q163" s="1189"/>
      <c r="R163" s="388"/>
      <c r="S163" s="389"/>
      <c r="T163" s="1192"/>
      <c r="U163" s="1180"/>
      <c r="V163" s="1192"/>
      <c r="W163" s="1180"/>
      <c r="X163" s="1192"/>
      <c r="Y163" s="1180"/>
      <c r="Z163" s="1192"/>
      <c r="AA163" s="1180"/>
      <c r="AB163" s="1192"/>
      <c r="AC163" s="1180"/>
      <c r="AE163" s="1186"/>
      <c r="AF163" s="1189"/>
      <c r="AG163" s="388"/>
      <c r="AH163" s="389"/>
      <c r="AI163" s="1192"/>
      <c r="AJ163" s="1180"/>
      <c r="AK163" s="1192"/>
      <c r="AL163" s="1180"/>
      <c r="AM163" s="1192"/>
      <c r="AN163" s="1180"/>
      <c r="AO163" s="1192"/>
      <c r="AP163" s="1180"/>
      <c r="AQ163" s="1192"/>
      <c r="AR163" s="1180"/>
    </row>
    <row r="164" spans="2:44" ht="16" outlineLevel="1" thickBot="1">
      <c r="B164" s="541"/>
      <c r="C164" s="544"/>
      <c r="D164" s="545"/>
      <c r="E164" s="545"/>
      <c r="F164" s="546"/>
      <c r="G164" s="545"/>
      <c r="H164" s="545"/>
      <c r="I164" s="545"/>
      <c r="J164" s="545"/>
      <c r="K164" s="547"/>
      <c r="L164" s="548"/>
      <c r="M164" s="370"/>
      <c r="N164" s="370"/>
      <c r="O164" s="71"/>
      <c r="P164" s="1186"/>
      <c r="Q164" s="1190"/>
      <c r="R164" s="393"/>
      <c r="S164" s="394"/>
      <c r="T164" s="1193"/>
      <c r="U164" s="1181"/>
      <c r="V164" s="1193"/>
      <c r="W164" s="1181"/>
      <c r="X164" s="1193"/>
      <c r="Y164" s="1181"/>
      <c r="Z164" s="1193"/>
      <c r="AA164" s="1181"/>
      <c r="AB164" s="1193"/>
      <c r="AC164" s="1181"/>
      <c r="AE164" s="1186"/>
      <c r="AF164" s="1190"/>
      <c r="AG164" s="393"/>
      <c r="AH164" s="394"/>
      <c r="AI164" s="1193"/>
      <c r="AJ164" s="1181"/>
      <c r="AK164" s="1193"/>
      <c r="AL164" s="1181"/>
      <c r="AM164" s="1193"/>
      <c r="AN164" s="1181"/>
      <c r="AO164" s="1193"/>
      <c r="AP164" s="1181"/>
      <c r="AQ164" s="1193"/>
      <c r="AR164" s="1181"/>
    </row>
    <row r="165" spans="2:44" ht="14.5" customHeight="1" outlineLevel="1">
      <c r="B165" s="541"/>
      <c r="C165" s="544"/>
      <c r="D165" s="544"/>
      <c r="E165" s="544"/>
      <c r="F165" s="544"/>
      <c r="G165" s="544"/>
      <c r="H165" s="544"/>
      <c r="I165" s="544"/>
      <c r="J165" s="544"/>
      <c r="K165" s="547"/>
      <c r="L165" s="548"/>
      <c r="M165" s="370"/>
      <c r="N165" s="370"/>
      <c r="O165" s="71"/>
      <c r="P165" s="1186"/>
      <c r="Q165" s="1188"/>
      <c r="R165" s="395"/>
      <c r="S165" s="396"/>
      <c r="T165" s="1191"/>
      <c r="U165" s="1191"/>
      <c r="V165" s="1191"/>
      <c r="W165" s="1191"/>
      <c r="X165" s="1191"/>
      <c r="Y165" s="1191"/>
      <c r="Z165" s="1191"/>
      <c r="AA165" s="1191"/>
      <c r="AB165" s="1191"/>
      <c r="AC165" s="1191"/>
      <c r="AE165" s="1186"/>
      <c r="AF165" s="1188"/>
      <c r="AG165" s="395"/>
      <c r="AH165" s="396"/>
      <c r="AI165" s="1191"/>
      <c r="AJ165" s="1191"/>
      <c r="AK165" s="1191"/>
      <c r="AL165" s="1191"/>
      <c r="AM165" s="1191"/>
      <c r="AN165" s="1191"/>
      <c r="AO165" s="1191"/>
      <c r="AP165" s="1191"/>
      <c r="AQ165" s="1191"/>
      <c r="AR165" s="1191"/>
    </row>
    <row r="166" spans="2:44" outlineLevel="1">
      <c r="B166" s="541"/>
      <c r="C166" s="544"/>
      <c r="D166" s="544"/>
      <c r="E166" s="544"/>
      <c r="F166" s="544"/>
      <c r="G166" s="544"/>
      <c r="H166" s="544"/>
      <c r="I166" s="544"/>
      <c r="J166" s="544"/>
      <c r="K166" s="547"/>
      <c r="L166" s="548"/>
      <c r="M166" s="367"/>
      <c r="N166" s="367"/>
      <c r="O166" s="71"/>
      <c r="P166" s="1186"/>
      <c r="Q166" s="1189"/>
      <c r="R166" s="395"/>
      <c r="S166" s="396"/>
      <c r="T166" s="1208"/>
      <c r="U166" s="1208"/>
      <c r="V166" s="1208"/>
      <c r="W166" s="1208"/>
      <c r="X166" s="1208"/>
      <c r="Y166" s="1208"/>
      <c r="Z166" s="1208"/>
      <c r="AA166" s="1208"/>
      <c r="AB166" s="1208"/>
      <c r="AC166" s="1208"/>
      <c r="AE166" s="1186"/>
      <c r="AF166" s="1189"/>
      <c r="AG166" s="395"/>
      <c r="AH166" s="396"/>
      <c r="AI166" s="1208"/>
      <c r="AJ166" s="1208"/>
      <c r="AK166" s="1208"/>
      <c r="AL166" s="1208"/>
      <c r="AM166" s="1208"/>
      <c r="AN166" s="1208"/>
      <c r="AO166" s="1208"/>
      <c r="AP166" s="1208"/>
      <c r="AQ166" s="1208"/>
      <c r="AR166" s="1208"/>
    </row>
    <row r="167" spans="2:44" outlineLevel="1">
      <c r="B167" s="383"/>
      <c r="C167" s="397"/>
      <c r="D167" s="397"/>
      <c r="E167" s="397"/>
      <c r="F167" s="399"/>
      <c r="G167" s="399"/>
      <c r="H167" s="399"/>
      <c r="I167" s="399"/>
      <c r="J167" s="399"/>
      <c r="K167" s="372"/>
      <c r="L167" s="373"/>
      <c r="M167" s="363"/>
      <c r="N167" s="363"/>
      <c r="P167" s="1186"/>
      <c r="Q167" s="1189"/>
      <c r="R167" s="395"/>
      <c r="S167" s="396"/>
      <c r="T167" s="1208"/>
      <c r="U167" s="1208"/>
      <c r="V167" s="1208"/>
      <c r="W167" s="1208"/>
      <c r="X167" s="1208"/>
      <c r="Y167" s="1208"/>
      <c r="Z167" s="1208"/>
      <c r="AA167" s="1208"/>
      <c r="AB167" s="1208"/>
      <c r="AC167" s="1208"/>
      <c r="AE167" s="1186"/>
      <c r="AF167" s="1189"/>
      <c r="AG167" s="395"/>
      <c r="AH167" s="396"/>
      <c r="AI167" s="1208"/>
      <c r="AJ167" s="1208"/>
      <c r="AK167" s="1208"/>
      <c r="AL167" s="1208"/>
      <c r="AM167" s="1208"/>
      <c r="AN167" s="1208"/>
      <c r="AO167" s="1208"/>
      <c r="AP167" s="1208"/>
      <c r="AQ167" s="1208"/>
      <c r="AR167" s="1208"/>
    </row>
    <row r="168" spans="2:44" ht="16" outlineLevel="1" thickBot="1">
      <c r="B168" s="541"/>
      <c r="C168" s="544"/>
      <c r="D168" s="544"/>
      <c r="E168" s="544"/>
      <c r="F168" s="544"/>
      <c r="G168" s="544"/>
      <c r="H168" s="544"/>
      <c r="I168" s="544"/>
      <c r="J168" s="544"/>
      <c r="K168" s="372"/>
      <c r="L168" s="400"/>
      <c r="M168" s="363"/>
      <c r="N168" s="363"/>
      <c r="P168" s="1186"/>
      <c r="Q168" s="1189"/>
      <c r="R168" s="395"/>
      <c r="S168" s="396"/>
      <c r="T168" s="1208"/>
      <c r="U168" s="1208"/>
      <c r="V168" s="1208"/>
      <c r="W168" s="1208"/>
      <c r="X168" s="1208"/>
      <c r="Y168" s="1208"/>
      <c r="Z168" s="1208"/>
      <c r="AA168" s="1208"/>
      <c r="AB168" s="1208"/>
      <c r="AC168" s="1208"/>
      <c r="AE168" s="1186"/>
      <c r="AF168" s="1189"/>
      <c r="AG168" s="395"/>
      <c r="AH168" s="396"/>
      <c r="AI168" s="1208"/>
      <c r="AJ168" s="1208"/>
      <c r="AK168" s="1208"/>
      <c r="AL168" s="1208"/>
      <c r="AM168" s="1208"/>
      <c r="AN168" s="1208"/>
      <c r="AO168" s="1208"/>
      <c r="AP168" s="1208"/>
      <c r="AQ168" s="1208"/>
      <c r="AR168" s="1208"/>
    </row>
    <row r="169" spans="2:44" ht="16" outlineLevel="1" thickBot="1">
      <c r="B169" s="401"/>
      <c r="C169" s="402"/>
      <c r="D169" s="403"/>
      <c r="E169" s="404"/>
      <c r="F169" s="405"/>
      <c r="G169" s="406"/>
      <c r="H169" s="406"/>
      <c r="I169" s="406"/>
      <c r="J169" s="406"/>
      <c r="K169" s="407"/>
      <c r="L169" s="408"/>
      <c r="M169" s="363"/>
      <c r="N169" s="363"/>
      <c r="P169" s="1186"/>
      <c r="Q169" s="1189"/>
      <c r="R169" s="409"/>
      <c r="S169" s="410"/>
      <c r="T169" s="1209"/>
      <c r="U169" s="1209"/>
      <c r="V169" s="1209"/>
      <c r="W169" s="1209"/>
      <c r="X169" s="1209"/>
      <c r="Y169" s="1209"/>
      <c r="Z169" s="1209"/>
      <c r="AA169" s="1209"/>
      <c r="AB169" s="1209"/>
      <c r="AC169" s="1209"/>
      <c r="AE169" s="1186"/>
      <c r="AF169" s="1189"/>
      <c r="AG169" s="409"/>
      <c r="AH169" s="410"/>
      <c r="AI169" s="1209"/>
      <c r="AJ169" s="1209"/>
      <c r="AK169" s="1209"/>
      <c r="AL169" s="1209"/>
      <c r="AM169" s="1209"/>
      <c r="AN169" s="1209"/>
      <c r="AO169" s="1209"/>
      <c r="AP169" s="1209"/>
      <c r="AQ169" s="1209"/>
      <c r="AR169" s="1209"/>
    </row>
    <row r="170" spans="2:44" ht="16" outlineLevel="1" thickBot="1">
      <c r="B170" s="541"/>
      <c r="C170" s="544"/>
      <c r="D170" s="544"/>
      <c r="E170" s="544"/>
      <c r="F170" s="544"/>
      <c r="G170" s="545"/>
      <c r="H170" s="545"/>
      <c r="I170" s="545"/>
      <c r="J170" s="545"/>
      <c r="K170" s="547"/>
      <c r="L170" s="548"/>
      <c r="M170" s="363"/>
      <c r="N170" s="363"/>
      <c r="P170" s="1187"/>
      <c r="Q170" s="411"/>
      <c r="R170" s="412"/>
      <c r="S170" s="413"/>
      <c r="T170" s="414"/>
      <c r="U170" s="415"/>
      <c r="V170" s="416"/>
      <c r="W170" s="415"/>
      <c r="X170" s="416"/>
      <c r="Y170" s="415"/>
      <c r="Z170" s="416"/>
      <c r="AA170" s="415"/>
      <c r="AB170" s="416"/>
      <c r="AC170" s="417"/>
      <c r="AE170" s="1187"/>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6" outlineLevel="1" thickBot="1">
      <c r="B178" s="429"/>
      <c r="C178" s="430"/>
      <c r="D178" s="430"/>
      <c r="E178" s="430"/>
      <c r="F178" s="430"/>
      <c r="G178" s="425"/>
      <c r="H178" s="425"/>
      <c r="I178" s="425"/>
      <c r="J178" s="425"/>
      <c r="K178" s="423"/>
      <c r="L178" s="427"/>
      <c r="M178" s="428"/>
      <c r="N178" s="428"/>
    </row>
    <row r="179" spans="1:30" ht="16"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57"/>
      <c r="Q184" s="1135"/>
      <c r="R184" s="1135"/>
      <c r="S184" s="1135"/>
      <c r="T184" s="1135"/>
      <c r="U184" s="1158"/>
    </row>
    <row r="185" spans="1:30" ht="16" outlineLevel="1" thickBot="1">
      <c r="B185" s="541"/>
      <c r="C185" s="552"/>
      <c r="D185" s="552"/>
      <c r="E185" s="552"/>
      <c r="F185" s="552"/>
      <c r="G185" s="553"/>
      <c r="H185" s="553"/>
      <c r="I185" s="553"/>
      <c r="J185" s="553"/>
      <c r="K185" s="547"/>
      <c r="L185" s="548"/>
      <c r="M185" s="450"/>
      <c r="N185" s="361"/>
      <c r="P185" s="1159"/>
      <c r="Q185" s="1160"/>
      <c r="R185" s="1160"/>
      <c r="S185" s="1160"/>
      <c r="T185" s="1160"/>
      <c r="U185" s="1161"/>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6"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6"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6"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6" thickBot="1">
      <c r="A224" s="360"/>
    </row>
    <row r="225" spans="2:44" ht="20.5" customHeight="1" outlineLevel="1" thickBot="1">
      <c r="B225" s="362"/>
      <c r="C225" s="1201"/>
      <c r="D225" s="1177"/>
      <c r="E225" s="1177"/>
      <c r="F225" s="1177"/>
      <c r="G225" s="1177"/>
      <c r="H225" s="1177"/>
      <c r="I225" s="1177"/>
      <c r="J225" s="1177"/>
      <c r="K225" s="1177"/>
      <c r="L225" s="1178"/>
      <c r="M225" s="363"/>
      <c r="N225" s="363"/>
      <c r="P225" s="364"/>
      <c r="Q225" s="365"/>
      <c r="R225" s="366"/>
      <c r="S225" s="1143"/>
      <c r="T225" s="1147"/>
      <c r="U225" s="1148"/>
      <c r="V225" s="1147"/>
      <c r="W225" s="1148"/>
      <c r="X225" s="1147"/>
      <c r="Y225" s="1148"/>
      <c r="Z225" s="1147"/>
      <c r="AA225" s="1148"/>
      <c r="AB225" s="1147"/>
      <c r="AC225" s="1148"/>
      <c r="AE225" s="364"/>
      <c r="AF225" s="365"/>
      <c r="AG225" s="366"/>
      <c r="AH225" s="1143"/>
      <c r="AI225" s="1147"/>
      <c r="AJ225" s="1148"/>
      <c r="AK225" s="1147"/>
      <c r="AL225" s="1148"/>
      <c r="AM225" s="1147"/>
      <c r="AN225" s="1148"/>
      <c r="AO225" s="1147"/>
      <c r="AP225" s="1148"/>
      <c r="AQ225" s="1147"/>
      <c r="AR225" s="1148"/>
    </row>
    <row r="226" spans="2:44" ht="15" customHeight="1" outlineLevel="1" thickBot="1">
      <c r="B226" s="1168"/>
      <c r="C226" s="1170"/>
      <c r="D226" s="1170"/>
      <c r="E226" s="1170"/>
      <c r="F226" s="1170"/>
      <c r="G226" s="1206"/>
      <c r="H226" s="1207"/>
      <c r="I226" s="1206"/>
      <c r="J226" s="1207"/>
      <c r="K226" s="1204"/>
      <c r="L226" s="1204"/>
      <c r="M226" s="367"/>
      <c r="N226" s="367"/>
      <c r="P226" s="1151"/>
      <c r="Q226" s="368"/>
      <c r="R226" s="368"/>
      <c r="S226" s="1144"/>
      <c r="T226" s="1149"/>
      <c r="U226" s="1150"/>
      <c r="V226" s="1149"/>
      <c r="W226" s="1150"/>
      <c r="X226" s="1149"/>
      <c r="Y226" s="1150"/>
      <c r="Z226" s="1149"/>
      <c r="AA226" s="1150"/>
      <c r="AB226" s="1149"/>
      <c r="AC226" s="1150"/>
      <c r="AE226" s="1151"/>
      <c r="AF226" s="368"/>
      <c r="AG226" s="368"/>
      <c r="AH226" s="1144"/>
      <c r="AI226" s="1149"/>
      <c r="AJ226" s="1150"/>
      <c r="AK226" s="1149"/>
      <c r="AL226" s="1150"/>
      <c r="AM226" s="1149"/>
      <c r="AN226" s="1150"/>
      <c r="AO226" s="1149"/>
      <c r="AP226" s="1150"/>
      <c r="AQ226" s="1149"/>
      <c r="AR226" s="1150"/>
    </row>
    <row r="227" spans="2:44" ht="15" customHeight="1" outlineLevel="1" thickBot="1">
      <c r="B227" s="1169"/>
      <c r="C227" s="1171"/>
      <c r="D227" s="1171"/>
      <c r="E227" s="1171"/>
      <c r="F227" s="1171"/>
      <c r="G227" s="406"/>
      <c r="H227" s="406"/>
      <c r="I227" s="406"/>
      <c r="J227" s="406"/>
      <c r="K227" s="1205"/>
      <c r="L227" s="1205"/>
      <c r="M227" s="370"/>
      <c r="N227" s="370"/>
      <c r="P227" s="1152"/>
      <c r="Q227" s="1154"/>
      <c r="R227" s="1155"/>
      <c r="S227" s="1145"/>
      <c r="T227" s="1149"/>
      <c r="U227" s="1150"/>
      <c r="V227" s="1149"/>
      <c r="W227" s="1150"/>
      <c r="X227" s="1149"/>
      <c r="Y227" s="1150"/>
      <c r="Z227" s="1149"/>
      <c r="AA227" s="1150"/>
      <c r="AB227" s="1149"/>
      <c r="AC227" s="1150"/>
      <c r="AE227" s="1152"/>
      <c r="AF227" s="1198"/>
      <c r="AG227" s="1155"/>
      <c r="AH227" s="1145"/>
      <c r="AI227" s="1149"/>
      <c r="AJ227" s="1150"/>
      <c r="AK227" s="1149"/>
      <c r="AL227" s="1150"/>
      <c r="AM227" s="1149"/>
      <c r="AN227" s="1150"/>
      <c r="AO227" s="1149"/>
      <c r="AP227" s="1150"/>
      <c r="AQ227" s="1149"/>
      <c r="AR227" s="1150"/>
    </row>
    <row r="228" spans="2:44" ht="16" outlineLevel="1" thickBot="1">
      <c r="B228" s="371"/>
      <c r="C228" s="372"/>
      <c r="D228" s="372"/>
      <c r="E228" s="372"/>
      <c r="F228" s="372"/>
      <c r="G228" s="372"/>
      <c r="H228" s="372"/>
      <c r="I228" s="372"/>
      <c r="J228" s="372"/>
      <c r="K228" s="372"/>
      <c r="L228" s="373"/>
      <c r="M228" s="370"/>
      <c r="N228" s="370"/>
      <c r="O228" s="74"/>
      <c r="P228" s="1153"/>
      <c r="Q228" s="1146"/>
      <c r="R228" s="1156"/>
      <c r="S228" s="1146"/>
      <c r="T228" s="374"/>
      <c r="U228" s="375"/>
      <c r="V228" s="374"/>
      <c r="W228" s="375"/>
      <c r="X228" s="374"/>
      <c r="Y228" s="375"/>
      <c r="Z228" s="374"/>
      <c r="AA228" s="375"/>
      <c r="AB228" s="374"/>
      <c r="AC228" s="375"/>
      <c r="AE228" s="1153"/>
      <c r="AF228" s="1199"/>
      <c r="AG228" s="1156"/>
      <c r="AH228" s="1146"/>
      <c r="AI228" s="374"/>
      <c r="AJ228" s="375"/>
      <c r="AK228" s="374"/>
      <c r="AL228" s="375"/>
      <c r="AM228" s="374"/>
      <c r="AN228" s="375"/>
      <c r="AO228" s="374"/>
      <c r="AP228" s="375"/>
      <c r="AQ228" s="374"/>
      <c r="AR228" s="375"/>
    </row>
    <row r="229" spans="2:44" ht="14.5" customHeight="1" outlineLevel="1">
      <c r="B229" s="541"/>
      <c r="C229" s="542"/>
      <c r="D229" s="542"/>
      <c r="E229" s="543"/>
      <c r="F229" s="542"/>
      <c r="G229" s="542"/>
      <c r="H229" s="542"/>
      <c r="I229" s="542"/>
      <c r="J229" s="542"/>
      <c r="K229" s="547"/>
      <c r="L229" s="548"/>
      <c r="M229" s="370"/>
      <c r="N229" s="370"/>
      <c r="P229" s="1185"/>
      <c r="Q229" s="1188"/>
      <c r="R229" s="381"/>
      <c r="S229" s="382"/>
      <c r="T229" s="1191"/>
      <c r="U229" s="1179"/>
      <c r="V229" s="1191"/>
      <c r="W229" s="1179"/>
      <c r="X229" s="1191"/>
      <c r="Y229" s="1179"/>
      <c r="Z229" s="1191"/>
      <c r="AA229" s="1179"/>
      <c r="AB229" s="1191"/>
      <c r="AC229" s="1179"/>
      <c r="AE229" s="1185"/>
      <c r="AF229" s="1188"/>
      <c r="AG229" s="381"/>
      <c r="AH229" s="382"/>
      <c r="AI229" s="1191"/>
      <c r="AJ229" s="1179"/>
      <c r="AK229" s="1191"/>
      <c r="AL229" s="1179"/>
      <c r="AM229" s="1191"/>
      <c r="AN229" s="1179"/>
      <c r="AO229" s="1191"/>
      <c r="AP229" s="1179"/>
      <c r="AQ229" s="1191"/>
      <c r="AR229" s="1179"/>
    </row>
    <row r="230" spans="2:44" outlineLevel="1">
      <c r="B230" s="383"/>
      <c r="C230" s="384"/>
      <c r="D230" s="384"/>
      <c r="E230" s="384"/>
      <c r="F230" s="384"/>
      <c r="G230" s="505"/>
      <c r="H230" s="505"/>
      <c r="I230" s="505"/>
      <c r="J230" s="505"/>
      <c r="K230" s="372"/>
      <c r="L230" s="373"/>
      <c r="M230" s="370"/>
      <c r="N230" s="370"/>
      <c r="O230" s="71"/>
      <c r="P230" s="1186"/>
      <c r="Q230" s="1189"/>
      <c r="R230" s="388"/>
      <c r="S230" s="389"/>
      <c r="T230" s="1192"/>
      <c r="U230" s="1180"/>
      <c r="V230" s="1192"/>
      <c r="W230" s="1180"/>
      <c r="X230" s="1192"/>
      <c r="Y230" s="1180"/>
      <c r="Z230" s="1192"/>
      <c r="AA230" s="1180"/>
      <c r="AB230" s="1192"/>
      <c r="AC230" s="1180"/>
      <c r="AE230" s="1186"/>
      <c r="AF230" s="1189"/>
      <c r="AG230" s="388"/>
      <c r="AH230" s="389"/>
      <c r="AI230" s="1192"/>
      <c r="AJ230" s="1180"/>
      <c r="AK230" s="1192"/>
      <c r="AL230" s="1180"/>
      <c r="AM230" s="1192"/>
      <c r="AN230" s="1180"/>
      <c r="AO230" s="1192"/>
      <c r="AP230" s="1180"/>
      <c r="AQ230" s="1192"/>
      <c r="AR230" s="1180"/>
    </row>
    <row r="231" spans="2:44" ht="16" outlineLevel="1" thickBot="1">
      <c r="B231" s="541"/>
      <c r="C231" s="544"/>
      <c r="D231" s="545"/>
      <c r="E231" s="545"/>
      <c r="F231" s="546"/>
      <c r="G231" s="545"/>
      <c r="H231" s="545"/>
      <c r="I231" s="545"/>
      <c r="J231" s="545"/>
      <c r="K231" s="547"/>
      <c r="L231" s="548"/>
      <c r="M231" s="370"/>
      <c r="N231" s="370"/>
      <c r="O231" s="71"/>
      <c r="P231" s="1186"/>
      <c r="Q231" s="1190"/>
      <c r="R231" s="393"/>
      <c r="S231" s="394"/>
      <c r="T231" s="1193"/>
      <c r="U231" s="1181"/>
      <c r="V231" s="1193"/>
      <c r="W231" s="1181"/>
      <c r="X231" s="1193"/>
      <c r="Y231" s="1181"/>
      <c r="Z231" s="1193"/>
      <c r="AA231" s="1181"/>
      <c r="AB231" s="1193"/>
      <c r="AC231" s="1181"/>
      <c r="AE231" s="1186"/>
      <c r="AF231" s="1190"/>
      <c r="AG231" s="393"/>
      <c r="AH231" s="394"/>
      <c r="AI231" s="1193"/>
      <c r="AJ231" s="1181"/>
      <c r="AK231" s="1193"/>
      <c r="AL231" s="1181"/>
      <c r="AM231" s="1193"/>
      <c r="AN231" s="1181"/>
      <c r="AO231" s="1193"/>
      <c r="AP231" s="1181"/>
      <c r="AQ231" s="1193"/>
      <c r="AR231" s="1181"/>
    </row>
    <row r="232" spans="2:44" ht="14.5" customHeight="1" outlineLevel="1">
      <c r="B232" s="541"/>
      <c r="C232" s="544"/>
      <c r="D232" s="544"/>
      <c r="E232" s="544"/>
      <c r="F232" s="544"/>
      <c r="G232" s="544"/>
      <c r="H232" s="544"/>
      <c r="I232" s="544"/>
      <c r="J232" s="544"/>
      <c r="K232" s="547"/>
      <c r="L232" s="548"/>
      <c r="M232" s="370"/>
      <c r="N232" s="370"/>
      <c r="O232" s="71"/>
      <c r="P232" s="1186"/>
      <c r="Q232" s="1188"/>
      <c r="R232" s="395"/>
      <c r="S232" s="396"/>
      <c r="T232" s="1191"/>
      <c r="U232" s="1191"/>
      <c r="V232" s="1191"/>
      <c r="W232" s="1191"/>
      <c r="X232" s="1191"/>
      <c r="Y232" s="1191"/>
      <c r="Z232" s="1191"/>
      <c r="AA232" s="1191"/>
      <c r="AB232" s="1191"/>
      <c r="AC232" s="1191"/>
      <c r="AE232" s="1186"/>
      <c r="AF232" s="1188"/>
      <c r="AG232" s="395"/>
      <c r="AH232" s="396"/>
      <c r="AI232" s="1191"/>
      <c r="AJ232" s="1191"/>
      <c r="AK232" s="1191"/>
      <c r="AL232" s="1191"/>
      <c r="AM232" s="1191"/>
      <c r="AN232" s="1191"/>
      <c r="AO232" s="1191"/>
      <c r="AP232" s="1191"/>
      <c r="AQ232" s="1191"/>
      <c r="AR232" s="1191"/>
    </row>
    <row r="233" spans="2:44" outlineLevel="1">
      <c r="B233" s="541"/>
      <c r="C233" s="544"/>
      <c r="D233" s="544"/>
      <c r="E233" s="544"/>
      <c r="F233" s="544"/>
      <c r="G233" s="544"/>
      <c r="H233" s="544"/>
      <c r="I233" s="544"/>
      <c r="J233" s="544"/>
      <c r="K233" s="547"/>
      <c r="L233" s="548"/>
      <c r="M233" s="367"/>
      <c r="N233" s="367"/>
      <c r="O233" s="71"/>
      <c r="P233" s="1186"/>
      <c r="Q233" s="1189"/>
      <c r="R233" s="395"/>
      <c r="S233" s="396"/>
      <c r="T233" s="1208"/>
      <c r="U233" s="1208"/>
      <c r="V233" s="1208"/>
      <c r="W233" s="1208"/>
      <c r="X233" s="1208"/>
      <c r="Y233" s="1208"/>
      <c r="Z233" s="1208"/>
      <c r="AA233" s="1208"/>
      <c r="AB233" s="1208"/>
      <c r="AC233" s="1208"/>
      <c r="AE233" s="1186"/>
      <c r="AF233" s="1189"/>
      <c r="AG233" s="395"/>
      <c r="AH233" s="396"/>
      <c r="AI233" s="1208"/>
      <c r="AJ233" s="1208"/>
      <c r="AK233" s="1208"/>
      <c r="AL233" s="1208"/>
      <c r="AM233" s="1208"/>
      <c r="AN233" s="1208"/>
      <c r="AO233" s="1208"/>
      <c r="AP233" s="1208"/>
      <c r="AQ233" s="1208"/>
      <c r="AR233" s="1208"/>
    </row>
    <row r="234" spans="2:44" outlineLevel="1">
      <c r="B234" s="383"/>
      <c r="C234" s="397"/>
      <c r="D234" s="397"/>
      <c r="E234" s="397"/>
      <c r="F234" s="397"/>
      <c r="G234" s="399"/>
      <c r="H234" s="399"/>
      <c r="I234" s="399"/>
      <c r="J234" s="399"/>
      <c r="K234" s="372"/>
      <c r="L234" s="373"/>
      <c r="M234" s="363"/>
      <c r="N234" s="363"/>
      <c r="P234" s="1186"/>
      <c r="Q234" s="1189"/>
      <c r="R234" s="395"/>
      <c r="S234" s="396"/>
      <c r="T234" s="1208"/>
      <c r="U234" s="1208"/>
      <c r="V234" s="1208"/>
      <c r="W234" s="1208"/>
      <c r="X234" s="1208"/>
      <c r="Y234" s="1208"/>
      <c r="Z234" s="1208"/>
      <c r="AA234" s="1208"/>
      <c r="AB234" s="1208"/>
      <c r="AC234" s="1208"/>
      <c r="AE234" s="1186"/>
      <c r="AF234" s="1189"/>
      <c r="AG234" s="395"/>
      <c r="AH234" s="396"/>
      <c r="AI234" s="1208"/>
      <c r="AJ234" s="1208"/>
      <c r="AK234" s="1208"/>
      <c r="AL234" s="1208"/>
      <c r="AM234" s="1208"/>
      <c r="AN234" s="1208"/>
      <c r="AO234" s="1208"/>
      <c r="AP234" s="1208"/>
      <c r="AQ234" s="1208"/>
      <c r="AR234" s="1208"/>
    </row>
    <row r="235" spans="2:44" ht="16" outlineLevel="1" thickBot="1">
      <c r="B235" s="541"/>
      <c r="C235" s="544"/>
      <c r="D235" s="544"/>
      <c r="E235" s="544"/>
      <c r="F235" s="544"/>
      <c r="G235" s="544"/>
      <c r="H235" s="544"/>
      <c r="I235" s="544"/>
      <c r="J235" s="544"/>
      <c r="K235" s="547"/>
      <c r="L235" s="559"/>
      <c r="M235" s="363"/>
      <c r="N235" s="363"/>
      <c r="P235" s="1186"/>
      <c r="Q235" s="1189"/>
      <c r="R235" s="395"/>
      <c r="S235" s="396"/>
      <c r="T235" s="1208"/>
      <c r="U235" s="1208"/>
      <c r="V235" s="1208"/>
      <c r="W235" s="1208"/>
      <c r="X235" s="1208"/>
      <c r="Y235" s="1208"/>
      <c r="Z235" s="1208"/>
      <c r="AA235" s="1208"/>
      <c r="AB235" s="1208"/>
      <c r="AC235" s="1208"/>
      <c r="AE235" s="1186"/>
      <c r="AF235" s="1189"/>
      <c r="AG235" s="395"/>
      <c r="AH235" s="396"/>
      <c r="AI235" s="1208"/>
      <c r="AJ235" s="1208"/>
      <c r="AK235" s="1208"/>
      <c r="AL235" s="1208"/>
      <c r="AM235" s="1208"/>
      <c r="AN235" s="1208"/>
      <c r="AO235" s="1208"/>
      <c r="AP235" s="1208"/>
      <c r="AQ235" s="1208"/>
      <c r="AR235" s="1208"/>
    </row>
    <row r="236" spans="2:44" ht="16" outlineLevel="1" thickBot="1">
      <c r="B236" s="401"/>
      <c r="C236" s="402"/>
      <c r="D236" s="403"/>
      <c r="E236" s="404"/>
      <c r="F236" s="405"/>
      <c r="G236" s="406"/>
      <c r="H236" s="406"/>
      <c r="I236" s="406"/>
      <c r="J236" s="406"/>
      <c r="K236" s="407"/>
      <c r="L236" s="408"/>
      <c r="M236" s="363"/>
      <c r="N236" s="363"/>
      <c r="P236" s="1186"/>
      <c r="Q236" s="1189"/>
      <c r="R236" s="409"/>
      <c r="S236" s="410"/>
      <c r="T236" s="1209"/>
      <c r="U236" s="1209"/>
      <c r="V236" s="1209"/>
      <c r="W236" s="1209"/>
      <c r="X236" s="1209"/>
      <c r="Y236" s="1209"/>
      <c r="Z236" s="1209"/>
      <c r="AA236" s="1209"/>
      <c r="AB236" s="1209"/>
      <c r="AC236" s="1209"/>
      <c r="AE236" s="1186"/>
      <c r="AF236" s="1189"/>
      <c r="AG236" s="409"/>
      <c r="AH236" s="410"/>
      <c r="AI236" s="1209"/>
      <c r="AJ236" s="1209"/>
      <c r="AK236" s="1209"/>
      <c r="AL236" s="1209"/>
      <c r="AM236" s="1209"/>
      <c r="AN236" s="1209"/>
      <c r="AO236" s="1209"/>
      <c r="AP236" s="1209"/>
      <c r="AQ236" s="1209"/>
      <c r="AR236" s="1209"/>
    </row>
    <row r="237" spans="2:44" ht="16" outlineLevel="1" thickBot="1">
      <c r="B237" s="541"/>
      <c r="C237" s="544"/>
      <c r="D237" s="544"/>
      <c r="E237" s="544"/>
      <c r="F237" s="544"/>
      <c r="G237" s="545"/>
      <c r="H237" s="545"/>
      <c r="I237" s="545"/>
      <c r="J237" s="545"/>
      <c r="K237" s="547"/>
      <c r="L237" s="548"/>
      <c r="M237" s="363"/>
      <c r="N237" s="363"/>
      <c r="P237" s="1187"/>
      <c r="Q237" s="411"/>
      <c r="R237" s="412"/>
      <c r="S237" s="413"/>
      <c r="T237" s="414"/>
      <c r="U237" s="415"/>
      <c r="V237" s="414"/>
      <c r="W237" s="415"/>
      <c r="X237" s="414"/>
      <c r="Y237" s="415"/>
      <c r="Z237" s="414"/>
      <c r="AA237" s="415"/>
      <c r="AB237" s="414"/>
      <c r="AC237" s="417"/>
      <c r="AE237" s="1187"/>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6" outlineLevel="1" thickBot="1">
      <c r="B245" s="429"/>
      <c r="C245" s="430"/>
      <c r="D245" s="430"/>
      <c r="E245" s="430"/>
      <c r="F245" s="430"/>
      <c r="G245" s="425"/>
      <c r="H245" s="425"/>
      <c r="I245" s="425"/>
      <c r="J245" s="425"/>
      <c r="K245" s="423"/>
      <c r="L245" s="427"/>
      <c r="M245" s="428"/>
      <c r="N245" s="428"/>
    </row>
    <row r="246" spans="1:30" ht="16"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57"/>
      <c r="Q251" s="1135"/>
      <c r="R251" s="1135"/>
      <c r="S251" s="1135"/>
      <c r="T251" s="1135"/>
      <c r="U251" s="1158"/>
    </row>
    <row r="252" spans="1:30" ht="16" outlineLevel="1" thickBot="1">
      <c r="B252" s="541"/>
      <c r="C252" s="552"/>
      <c r="D252" s="552"/>
      <c r="E252" s="552"/>
      <c r="F252" s="552"/>
      <c r="G252" s="425"/>
      <c r="H252" s="425"/>
      <c r="I252" s="425"/>
      <c r="J252" s="425"/>
      <c r="K252" s="444"/>
      <c r="L252" s="373"/>
      <c r="M252" s="450"/>
      <c r="N252" s="361"/>
      <c r="P252" s="1159"/>
      <c r="Q252" s="1160"/>
      <c r="R252" s="1160"/>
      <c r="S252" s="1160"/>
      <c r="T252" s="1160"/>
      <c r="U252" s="1161"/>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6"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6"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6"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6" thickBot="1">
      <c r="A290" s="360"/>
    </row>
    <row r="291" spans="1:44" ht="20.5" customHeight="1" thickBot="1">
      <c r="B291" s="362"/>
      <c r="C291" s="1201"/>
      <c r="D291" s="1202"/>
      <c r="E291" s="1202"/>
      <c r="F291" s="1202"/>
      <c r="G291" s="1202"/>
      <c r="H291" s="1202"/>
      <c r="I291" s="1202"/>
      <c r="J291" s="1202"/>
      <c r="K291" s="1202"/>
      <c r="L291" s="1203"/>
      <c r="M291" s="363"/>
      <c r="N291" s="363"/>
      <c r="P291" s="364"/>
      <c r="Q291" s="365"/>
      <c r="R291" s="366"/>
      <c r="S291" s="1143"/>
      <c r="T291" s="1147"/>
      <c r="U291" s="1148"/>
      <c r="V291" s="1147"/>
      <c r="W291" s="1148"/>
      <c r="X291" s="1147"/>
      <c r="Y291" s="1148"/>
      <c r="Z291" s="1147"/>
      <c r="AA291" s="1148"/>
      <c r="AB291" s="1147"/>
      <c r="AC291" s="1148"/>
      <c r="AE291" s="364"/>
      <c r="AF291" s="365"/>
      <c r="AG291" s="366"/>
      <c r="AH291" s="1143"/>
      <c r="AI291" s="1147"/>
      <c r="AJ291" s="1148"/>
      <c r="AK291" s="1147"/>
      <c r="AL291" s="1148"/>
      <c r="AM291" s="1147"/>
      <c r="AN291" s="1148"/>
      <c r="AO291" s="1147"/>
      <c r="AP291" s="1148"/>
      <c r="AQ291" s="1147"/>
      <c r="AR291" s="1148"/>
    </row>
    <row r="292" spans="1:44" ht="15" customHeight="1" thickBot="1">
      <c r="B292" s="1168"/>
      <c r="C292" s="1170"/>
      <c r="D292" s="1170"/>
      <c r="E292" s="1170"/>
      <c r="F292" s="1170"/>
      <c r="G292" s="1206"/>
      <c r="H292" s="1207"/>
      <c r="I292" s="1206"/>
      <c r="J292" s="1207"/>
      <c r="K292" s="1204"/>
      <c r="L292" s="1204"/>
      <c r="M292" s="367"/>
      <c r="N292" s="367"/>
      <c r="P292" s="1151"/>
      <c r="Q292" s="368"/>
      <c r="R292" s="368"/>
      <c r="S292" s="1144"/>
      <c r="T292" s="1149"/>
      <c r="U292" s="1150"/>
      <c r="V292" s="1149"/>
      <c r="W292" s="1150"/>
      <c r="X292" s="1149"/>
      <c r="Y292" s="1150"/>
      <c r="Z292" s="1149"/>
      <c r="AA292" s="1150"/>
      <c r="AB292" s="1149"/>
      <c r="AC292" s="1150"/>
      <c r="AE292" s="1151"/>
      <c r="AF292" s="368"/>
      <c r="AG292" s="368"/>
      <c r="AH292" s="1144"/>
      <c r="AI292" s="1149"/>
      <c r="AJ292" s="1150"/>
      <c r="AK292" s="1149"/>
      <c r="AL292" s="1150"/>
      <c r="AM292" s="1149"/>
      <c r="AN292" s="1150"/>
      <c r="AO292" s="1149"/>
      <c r="AP292" s="1150"/>
      <c r="AQ292" s="1149"/>
      <c r="AR292" s="1150"/>
    </row>
    <row r="293" spans="1:44" ht="15" customHeight="1" thickBot="1">
      <c r="B293" s="1169"/>
      <c r="C293" s="1171"/>
      <c r="D293" s="1171"/>
      <c r="E293" s="1171"/>
      <c r="F293" s="1171"/>
      <c r="G293" s="406"/>
      <c r="H293" s="406"/>
      <c r="I293" s="406"/>
      <c r="J293" s="406"/>
      <c r="K293" s="1205"/>
      <c r="L293" s="1205"/>
      <c r="M293" s="370"/>
      <c r="N293" s="370"/>
      <c r="P293" s="1152"/>
      <c r="Q293" s="1154"/>
      <c r="R293" s="1155"/>
      <c r="S293" s="1145"/>
      <c r="T293" s="1149"/>
      <c r="U293" s="1150"/>
      <c r="V293" s="1149"/>
      <c r="W293" s="1150"/>
      <c r="X293" s="1149"/>
      <c r="Y293" s="1150"/>
      <c r="Z293" s="1149"/>
      <c r="AA293" s="1150"/>
      <c r="AB293" s="1149"/>
      <c r="AC293" s="1150"/>
      <c r="AE293" s="1152"/>
      <c r="AF293" s="1154"/>
      <c r="AG293" s="1155"/>
      <c r="AH293" s="1145"/>
      <c r="AI293" s="1149"/>
      <c r="AJ293" s="1150"/>
      <c r="AK293" s="1149"/>
      <c r="AL293" s="1150"/>
      <c r="AM293" s="1149"/>
      <c r="AN293" s="1150"/>
      <c r="AO293" s="1149"/>
      <c r="AP293" s="1150"/>
      <c r="AQ293" s="1149"/>
      <c r="AR293" s="1150"/>
    </row>
    <row r="294" spans="1:44" ht="16" thickBot="1">
      <c r="B294" s="371"/>
      <c r="C294" s="372"/>
      <c r="D294" s="372"/>
      <c r="E294" s="372"/>
      <c r="F294" s="372"/>
      <c r="G294" s="372"/>
      <c r="H294" s="372"/>
      <c r="I294" s="372"/>
      <c r="J294" s="372"/>
      <c r="K294" s="372"/>
      <c r="L294" s="373"/>
      <c r="M294" s="370"/>
      <c r="N294" s="370"/>
      <c r="O294" s="74"/>
      <c r="P294" s="1153"/>
      <c r="Q294" s="1146"/>
      <c r="R294" s="1156"/>
      <c r="S294" s="1146"/>
      <c r="T294" s="374"/>
      <c r="U294" s="375"/>
      <c r="V294" s="374"/>
      <c r="W294" s="375"/>
      <c r="X294" s="374"/>
      <c r="Y294" s="375"/>
      <c r="Z294" s="374"/>
      <c r="AA294" s="375"/>
      <c r="AB294" s="374"/>
      <c r="AC294" s="375"/>
      <c r="AE294" s="1153"/>
      <c r="AF294" s="1146"/>
      <c r="AG294" s="1156"/>
      <c r="AH294" s="1146"/>
      <c r="AI294" s="374"/>
      <c r="AJ294" s="375"/>
      <c r="AK294" s="374"/>
      <c r="AL294" s="375"/>
      <c r="AM294" s="374"/>
      <c r="AN294" s="375"/>
      <c r="AO294" s="374"/>
      <c r="AP294" s="375"/>
      <c r="AQ294" s="374"/>
      <c r="AR294" s="375"/>
    </row>
    <row r="295" spans="1:44" ht="14.5" customHeight="1">
      <c r="B295" s="574"/>
      <c r="C295" s="575"/>
      <c r="D295" s="575"/>
      <c r="E295" s="575"/>
      <c r="F295" s="575"/>
      <c r="G295" s="576"/>
      <c r="H295" s="576"/>
      <c r="I295" s="576"/>
      <c r="J295" s="576"/>
      <c r="K295" s="372"/>
      <c r="L295" s="373"/>
      <c r="M295" s="370"/>
      <c r="N295" s="370"/>
      <c r="P295" s="1185"/>
      <c r="Q295" s="1188"/>
      <c r="R295" s="381"/>
      <c r="S295" s="382"/>
      <c r="T295" s="1191"/>
      <c r="U295" s="1179"/>
      <c r="V295" s="1191"/>
      <c r="W295" s="1179"/>
      <c r="X295" s="1191"/>
      <c r="Y295" s="1179"/>
      <c r="Z295" s="1191"/>
      <c r="AA295" s="1179"/>
      <c r="AB295" s="1182"/>
      <c r="AC295" s="1179"/>
      <c r="AE295" s="1185"/>
      <c r="AF295" s="1188"/>
      <c r="AG295" s="381"/>
      <c r="AH295" s="382"/>
      <c r="AI295" s="1191"/>
      <c r="AJ295" s="1179"/>
      <c r="AK295" s="1191"/>
      <c r="AL295" s="1179"/>
      <c r="AM295" s="1191"/>
      <c r="AN295" s="1179"/>
      <c r="AO295" s="1191"/>
      <c r="AP295" s="1179"/>
      <c r="AQ295" s="1182"/>
      <c r="AR295" s="1179"/>
    </row>
    <row r="296" spans="1:44">
      <c r="B296" s="383"/>
      <c r="C296" s="577"/>
      <c r="D296" s="577"/>
      <c r="E296" s="577"/>
      <c r="F296" s="577"/>
      <c r="G296" s="576"/>
      <c r="H296" s="576"/>
      <c r="I296" s="576"/>
      <c r="J296" s="576"/>
      <c r="K296" s="372"/>
      <c r="L296" s="373"/>
      <c r="M296" s="370"/>
      <c r="N296" s="370"/>
      <c r="O296" s="71"/>
      <c r="P296" s="1210"/>
      <c r="Q296" s="1189"/>
      <c r="R296" s="388"/>
      <c r="S296" s="389"/>
      <c r="T296" s="1192"/>
      <c r="U296" s="1180"/>
      <c r="V296" s="1192"/>
      <c r="W296" s="1180"/>
      <c r="X296" s="1192"/>
      <c r="Y296" s="1180"/>
      <c r="Z296" s="1192"/>
      <c r="AA296" s="1180"/>
      <c r="AB296" s="1183"/>
      <c r="AC296" s="1180"/>
      <c r="AE296" s="1210"/>
      <c r="AF296" s="1189"/>
      <c r="AG296" s="388"/>
      <c r="AH296" s="389"/>
      <c r="AI296" s="1192"/>
      <c r="AJ296" s="1180"/>
      <c r="AK296" s="1192"/>
      <c r="AL296" s="1180"/>
      <c r="AM296" s="1192"/>
      <c r="AN296" s="1180"/>
      <c r="AO296" s="1192"/>
      <c r="AP296" s="1180"/>
      <c r="AQ296" s="1183"/>
      <c r="AR296" s="1180"/>
    </row>
    <row r="297" spans="1:44" ht="16" thickBot="1">
      <c r="B297" s="574"/>
      <c r="C297" s="578"/>
      <c r="D297" s="578"/>
      <c r="E297" s="578"/>
      <c r="F297" s="578"/>
      <c r="G297" s="578"/>
      <c r="H297" s="578"/>
      <c r="I297" s="578"/>
      <c r="J297" s="578"/>
      <c r="K297" s="579"/>
      <c r="L297" s="580"/>
      <c r="M297" s="370"/>
      <c r="N297" s="370"/>
      <c r="O297" s="71"/>
      <c r="P297" s="1210"/>
      <c r="Q297" s="1190"/>
      <c r="R297" s="393"/>
      <c r="S297" s="394"/>
      <c r="T297" s="1193"/>
      <c r="U297" s="1181"/>
      <c r="V297" s="1193"/>
      <c r="W297" s="1181"/>
      <c r="X297" s="1193"/>
      <c r="Y297" s="1181"/>
      <c r="Z297" s="1193"/>
      <c r="AA297" s="1181"/>
      <c r="AB297" s="1184"/>
      <c r="AC297" s="1181"/>
      <c r="AE297" s="1210"/>
      <c r="AF297" s="1190"/>
      <c r="AG297" s="393"/>
      <c r="AH297" s="394"/>
      <c r="AI297" s="1193"/>
      <c r="AJ297" s="1181"/>
      <c r="AK297" s="1193"/>
      <c r="AL297" s="1181"/>
      <c r="AM297" s="1193"/>
      <c r="AN297" s="1181"/>
      <c r="AO297" s="1193"/>
      <c r="AP297" s="1181"/>
      <c r="AQ297" s="1184"/>
      <c r="AR297" s="1181"/>
    </row>
    <row r="298" spans="1:44" ht="14.5" customHeight="1">
      <c r="B298" s="574"/>
      <c r="C298" s="581"/>
      <c r="D298" s="581"/>
      <c r="E298" s="581"/>
      <c r="F298" s="581"/>
      <c r="G298" s="581"/>
      <c r="H298" s="581"/>
      <c r="I298" s="581"/>
      <c r="J298" s="581"/>
      <c r="K298" s="579"/>
      <c r="L298" s="580"/>
      <c r="M298" s="370"/>
      <c r="N298" s="370"/>
      <c r="O298" s="71"/>
      <c r="P298" s="1210"/>
      <c r="Q298" s="1212"/>
      <c r="R298" s="395"/>
      <c r="S298" s="396"/>
      <c r="T298" s="1191"/>
      <c r="U298" s="1191"/>
      <c r="V298" s="1191"/>
      <c r="W298" s="1191"/>
      <c r="X298" s="1191"/>
      <c r="Y298" s="1191"/>
      <c r="Z298" s="1191"/>
      <c r="AA298" s="1191"/>
      <c r="AB298" s="1191"/>
      <c r="AC298" s="1191"/>
      <c r="AE298" s="1210"/>
      <c r="AF298" s="1212"/>
      <c r="AG298" s="395"/>
      <c r="AH298" s="396"/>
      <c r="AI298" s="1191"/>
      <c r="AJ298" s="1191"/>
      <c r="AK298" s="1191"/>
      <c r="AL298" s="1191"/>
      <c r="AM298" s="1191"/>
      <c r="AN298" s="1191"/>
      <c r="AO298" s="1191"/>
      <c r="AP298" s="1191"/>
      <c r="AQ298" s="1191"/>
      <c r="AR298" s="1191"/>
    </row>
    <row r="299" spans="1:44">
      <c r="B299" s="574"/>
      <c r="C299" s="582"/>
      <c r="D299" s="582"/>
      <c r="E299" s="582"/>
      <c r="F299" s="582"/>
      <c r="G299" s="582"/>
      <c r="H299" s="582"/>
      <c r="I299" s="582"/>
      <c r="J299" s="582"/>
      <c r="K299" s="579"/>
      <c r="L299" s="580"/>
      <c r="M299" s="367"/>
      <c r="N299" s="367"/>
      <c r="O299" s="71"/>
      <c r="P299" s="1210"/>
      <c r="Q299" s="1213"/>
      <c r="R299" s="395"/>
      <c r="S299" s="396"/>
      <c r="T299" s="1208"/>
      <c r="U299" s="1208"/>
      <c r="V299" s="1208"/>
      <c r="W299" s="1208"/>
      <c r="X299" s="1208"/>
      <c r="Y299" s="1208"/>
      <c r="Z299" s="1208"/>
      <c r="AA299" s="1208"/>
      <c r="AB299" s="1192"/>
      <c r="AC299" s="1208"/>
      <c r="AE299" s="1210"/>
      <c r="AF299" s="1213"/>
      <c r="AG299" s="395"/>
      <c r="AH299" s="396"/>
      <c r="AI299" s="1208"/>
      <c r="AJ299" s="1208"/>
      <c r="AK299" s="1208"/>
      <c r="AL299" s="1208"/>
      <c r="AM299" s="1208"/>
      <c r="AN299" s="1208"/>
      <c r="AO299" s="1208"/>
      <c r="AP299" s="1208"/>
      <c r="AQ299" s="1192"/>
      <c r="AR299" s="1208"/>
    </row>
    <row r="300" spans="1:44">
      <c r="B300" s="383"/>
      <c r="C300" s="397"/>
      <c r="D300" s="397"/>
      <c r="E300" s="397"/>
      <c r="F300" s="397"/>
      <c r="G300" s="398"/>
      <c r="H300" s="398"/>
      <c r="I300" s="398"/>
      <c r="J300" s="398"/>
      <c r="K300" s="372"/>
      <c r="L300" s="373"/>
      <c r="M300" s="363"/>
      <c r="N300" s="363"/>
      <c r="P300" s="1210"/>
      <c r="Q300" s="1213"/>
      <c r="R300" s="395"/>
      <c r="S300" s="396"/>
      <c r="T300" s="1208"/>
      <c r="U300" s="1208"/>
      <c r="V300" s="1208"/>
      <c r="W300" s="1208"/>
      <c r="X300" s="1208"/>
      <c r="Y300" s="1208"/>
      <c r="Z300" s="1208"/>
      <c r="AA300" s="1208"/>
      <c r="AB300" s="1192"/>
      <c r="AC300" s="1208"/>
      <c r="AE300" s="1210"/>
      <c r="AF300" s="1213"/>
      <c r="AG300" s="395"/>
      <c r="AH300" s="396"/>
      <c r="AI300" s="1208"/>
      <c r="AJ300" s="1208"/>
      <c r="AK300" s="1208"/>
      <c r="AL300" s="1208"/>
      <c r="AM300" s="1208"/>
      <c r="AN300" s="1208"/>
      <c r="AO300" s="1208"/>
      <c r="AP300" s="1208"/>
      <c r="AQ300" s="1192"/>
      <c r="AR300" s="1208"/>
    </row>
    <row r="301" spans="1:44" ht="16" thickBot="1">
      <c r="B301" s="574"/>
      <c r="C301" s="582"/>
      <c r="D301" s="582"/>
      <c r="E301" s="582"/>
      <c r="F301" s="582"/>
      <c r="G301" s="582"/>
      <c r="H301" s="582"/>
      <c r="I301" s="582"/>
      <c r="J301" s="582"/>
      <c r="K301" s="372"/>
      <c r="L301" s="373"/>
      <c r="M301" s="363"/>
      <c r="N301" s="363"/>
      <c r="P301" s="1210"/>
      <c r="Q301" s="1213"/>
      <c r="R301" s="395"/>
      <c r="S301" s="396"/>
      <c r="T301" s="1208"/>
      <c r="U301" s="1208"/>
      <c r="V301" s="1208"/>
      <c r="W301" s="1208"/>
      <c r="X301" s="1208"/>
      <c r="Y301" s="1208"/>
      <c r="Z301" s="1208"/>
      <c r="AA301" s="1208"/>
      <c r="AB301" s="1192"/>
      <c r="AC301" s="1208"/>
      <c r="AE301" s="1210"/>
      <c r="AF301" s="1213"/>
      <c r="AG301" s="395"/>
      <c r="AH301" s="396"/>
      <c r="AI301" s="1208"/>
      <c r="AJ301" s="1208"/>
      <c r="AK301" s="1208"/>
      <c r="AL301" s="1208"/>
      <c r="AM301" s="1208"/>
      <c r="AN301" s="1208"/>
      <c r="AO301" s="1208"/>
      <c r="AP301" s="1208"/>
      <c r="AQ301" s="1192"/>
      <c r="AR301" s="1208"/>
    </row>
    <row r="302" spans="1:44" ht="16" thickBot="1">
      <c r="B302" s="401"/>
      <c r="C302" s="583"/>
      <c r="D302" s="584"/>
      <c r="E302" s="585"/>
      <c r="F302" s="586"/>
      <c r="G302" s="406"/>
      <c r="H302" s="406"/>
      <c r="I302" s="406"/>
      <c r="J302" s="406"/>
      <c r="K302" s="407"/>
      <c r="L302" s="587"/>
      <c r="M302" s="363"/>
      <c r="N302" s="363"/>
      <c r="P302" s="1210"/>
      <c r="Q302" s="1214"/>
      <c r="R302" s="409"/>
      <c r="S302" s="410"/>
      <c r="T302" s="1209"/>
      <c r="U302" s="1209"/>
      <c r="V302" s="1209"/>
      <c r="W302" s="1209"/>
      <c r="X302" s="1209"/>
      <c r="Y302" s="1209"/>
      <c r="Z302" s="1209"/>
      <c r="AA302" s="1209"/>
      <c r="AB302" s="1193"/>
      <c r="AC302" s="1209"/>
      <c r="AE302" s="1210"/>
      <c r="AF302" s="1214"/>
      <c r="AG302" s="409"/>
      <c r="AH302" s="410"/>
      <c r="AI302" s="1209"/>
      <c r="AJ302" s="1209"/>
      <c r="AK302" s="1209"/>
      <c r="AL302" s="1209"/>
      <c r="AM302" s="1209"/>
      <c r="AN302" s="1209"/>
      <c r="AO302" s="1209"/>
      <c r="AP302" s="1209"/>
      <c r="AQ302" s="1193"/>
      <c r="AR302" s="1209"/>
    </row>
    <row r="303" spans="1:44" ht="16" thickBot="1">
      <c r="B303" s="574"/>
      <c r="C303" s="588"/>
      <c r="D303" s="588"/>
      <c r="E303" s="588"/>
      <c r="F303" s="588"/>
      <c r="G303" s="589"/>
      <c r="H303" s="589"/>
      <c r="I303" s="590"/>
      <c r="J303" s="590"/>
      <c r="K303" s="579"/>
      <c r="L303" s="580"/>
      <c r="M303" s="363"/>
      <c r="N303" s="363"/>
      <c r="P303" s="1211"/>
      <c r="Q303" s="411"/>
      <c r="R303" s="412"/>
      <c r="S303" s="413"/>
      <c r="T303" s="591"/>
      <c r="U303" s="592"/>
      <c r="V303" s="593"/>
      <c r="W303" s="592"/>
      <c r="X303" s="593"/>
      <c r="Y303" s="592"/>
      <c r="Z303" s="593"/>
      <c r="AA303" s="592"/>
      <c r="AB303" s="593"/>
      <c r="AC303" s="594"/>
      <c r="AE303" s="1211"/>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6" thickBot="1">
      <c r="B311" s="429"/>
      <c r="C311" s="397"/>
      <c r="D311" s="397"/>
      <c r="E311" s="397"/>
      <c r="F311" s="397"/>
      <c r="G311" s="425"/>
      <c r="H311" s="425"/>
      <c r="I311" s="425"/>
      <c r="J311" s="425"/>
      <c r="K311" s="423"/>
      <c r="L311" s="427"/>
      <c r="M311" s="428"/>
      <c r="N311" s="428"/>
    </row>
    <row r="312" spans="1:30" ht="16"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57"/>
      <c r="Q317" s="1135"/>
      <c r="R317" s="1135"/>
      <c r="S317" s="1135"/>
      <c r="T317" s="1135"/>
      <c r="U317" s="1158"/>
    </row>
    <row r="318" spans="1:30" ht="16" thickBot="1">
      <c r="B318" s="541"/>
      <c r="C318" s="552"/>
      <c r="D318" s="552"/>
      <c r="E318" s="552"/>
      <c r="F318" s="552"/>
      <c r="G318" s="553"/>
      <c r="H318" s="553"/>
      <c r="I318" s="553"/>
      <c r="J318" s="553"/>
      <c r="K318" s="547"/>
      <c r="L318" s="548"/>
      <c r="M318" s="450"/>
      <c r="N318" s="361"/>
      <c r="P318" s="1159"/>
      <c r="Q318" s="1160"/>
      <c r="R318" s="1160"/>
      <c r="S318" s="1160"/>
      <c r="T318" s="1160"/>
      <c r="U318" s="1161"/>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6"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6"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6"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3">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R374"/>
  <sheetViews>
    <sheetView topLeftCell="B3" zoomScale="55" zoomScaleNormal="55" workbookViewId="0">
      <selection activeCell="B26" sqref="B26"/>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308</v>
      </c>
    </row>
    <row r="4" spans="1:44" ht="25" customHeight="1">
      <c r="E4" s="224" t="s">
        <v>358</v>
      </c>
      <c r="F4" s="359">
        <v>7.45</v>
      </c>
      <c r="G4" s="359" t="s">
        <v>328</v>
      </c>
    </row>
    <row r="5" spans="1:44" ht="15" customHeight="1">
      <c r="A5" s="360" t="s">
        <v>795</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1" outlineLevel="1" thickBot="1">
      <c r="B7" s="362" t="s">
        <v>0</v>
      </c>
      <c r="C7" s="1201" t="s">
        <v>796</v>
      </c>
      <c r="D7" s="1177"/>
      <c r="E7" s="1177"/>
      <c r="F7" s="1177"/>
      <c r="G7" s="1177"/>
      <c r="H7" s="1177"/>
      <c r="I7" s="1177"/>
      <c r="J7" s="1177"/>
      <c r="K7" s="1177"/>
      <c r="L7" s="1178"/>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6" outlineLevel="1" thickBot="1">
      <c r="B8" s="1168" t="s">
        <v>4</v>
      </c>
      <c r="C8" s="1170">
        <v>2020</v>
      </c>
      <c r="D8" s="1170">
        <v>2030</v>
      </c>
      <c r="E8" s="1170">
        <v>2040</v>
      </c>
      <c r="F8" s="1170">
        <v>2050</v>
      </c>
      <c r="G8" s="1219" t="s">
        <v>721</v>
      </c>
      <c r="H8" s="1220"/>
      <c r="I8" s="1219" t="s">
        <v>648</v>
      </c>
      <c r="J8" s="1220"/>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169"/>
      <c r="C9" s="1171"/>
      <c r="D9" s="1171"/>
      <c r="E9" s="1171"/>
      <c r="F9" s="1171"/>
      <c r="G9" s="369" t="s">
        <v>649</v>
      </c>
      <c r="H9" s="369" t="s">
        <v>650</v>
      </c>
      <c r="I9" s="369" t="s">
        <v>649</v>
      </c>
      <c r="J9" s="369" t="s">
        <v>650</v>
      </c>
      <c r="K9" s="1222"/>
      <c r="L9" s="1222"/>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724</v>
      </c>
      <c r="C10" s="372">
        <f>20*1000</f>
        <v>20000</v>
      </c>
      <c r="D10" s="372">
        <f>20*1000</f>
        <v>20000</v>
      </c>
      <c r="E10" s="372">
        <f>20*1000</f>
        <v>20000</v>
      </c>
      <c r="F10" s="372">
        <f>20*1000</f>
        <v>20000</v>
      </c>
      <c r="G10" s="372">
        <f>1*1000</f>
        <v>1000</v>
      </c>
      <c r="H10" s="372">
        <f>50*1000</f>
        <v>50000</v>
      </c>
      <c r="I10" s="372">
        <f>1*1000</f>
        <v>1000</v>
      </c>
      <c r="J10" s="372">
        <f>50*1000</f>
        <v>50000</v>
      </c>
      <c r="K10" s="372" t="s">
        <v>6</v>
      </c>
      <c r="L10" s="373" t="s">
        <v>725</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93</v>
      </c>
      <c r="D11" s="377">
        <f>C11+1</f>
        <v>94</v>
      </c>
      <c r="E11" s="378">
        <f>D11</f>
        <v>94</v>
      </c>
      <c r="F11" s="377">
        <f>D11+1</f>
        <v>95</v>
      </c>
      <c r="G11" s="377">
        <v>90</v>
      </c>
      <c r="H11" s="377">
        <v>96</v>
      </c>
      <c r="I11" s="377">
        <v>90</v>
      </c>
      <c r="J11" s="377">
        <v>97</v>
      </c>
      <c r="K11" s="379" t="s">
        <v>59</v>
      </c>
      <c r="L11" s="380" t="s">
        <v>729</v>
      </c>
      <c r="M11" s="370"/>
      <c r="N11" s="370"/>
      <c r="P11" s="1200" t="str">
        <f>C7</f>
        <v>Steam boiler, Natural gas or biogas</v>
      </c>
      <c r="Q11" s="1188" t="s">
        <v>730</v>
      </c>
      <c r="R11" s="381" t="s">
        <v>731</v>
      </c>
      <c r="S11" s="382"/>
      <c r="T11" s="1191">
        <v>0</v>
      </c>
      <c r="U11" s="1179">
        <v>1</v>
      </c>
      <c r="V11" s="1191">
        <v>0</v>
      </c>
      <c r="W11" s="1179">
        <v>1</v>
      </c>
      <c r="X11" s="1191">
        <v>0</v>
      </c>
      <c r="Y11" s="1179">
        <v>1</v>
      </c>
      <c r="Z11" s="1191">
        <v>0</v>
      </c>
      <c r="AA11" s="1179">
        <v>1</v>
      </c>
      <c r="AB11" s="1191">
        <v>0</v>
      </c>
      <c r="AC11" s="1179">
        <v>1</v>
      </c>
      <c r="AE11" s="1185" t="str">
        <f>P11</f>
        <v>Steam boiler, Natural gas or biogas</v>
      </c>
      <c r="AF11" s="1188" t="s">
        <v>730</v>
      </c>
      <c r="AG11" s="381" t="s">
        <v>731</v>
      </c>
      <c r="AH11" s="382"/>
      <c r="AI11" s="1191">
        <v>0</v>
      </c>
      <c r="AJ11" s="1179">
        <v>1</v>
      </c>
      <c r="AK11" s="1191">
        <v>0</v>
      </c>
      <c r="AL11" s="1179">
        <v>1</v>
      </c>
      <c r="AM11" s="1191">
        <v>0</v>
      </c>
      <c r="AN11" s="1179">
        <v>1</v>
      </c>
      <c r="AO11" s="1191">
        <v>0</v>
      </c>
      <c r="AP11" s="1179">
        <v>1</v>
      </c>
      <c r="AQ11" s="1191">
        <v>0</v>
      </c>
      <c r="AR11" s="1179">
        <v>1</v>
      </c>
    </row>
    <row r="12" spans="1:44" ht="32.5" customHeight="1" outlineLevel="1">
      <c r="B12" s="383" t="s">
        <v>732</v>
      </c>
      <c r="C12" s="384">
        <f t="shared" ref="C12:J12" si="0">C11-1</f>
        <v>92</v>
      </c>
      <c r="D12" s="384">
        <f t="shared" si="0"/>
        <v>93</v>
      </c>
      <c r="E12" s="384">
        <f t="shared" si="0"/>
        <v>93</v>
      </c>
      <c r="F12" s="384">
        <f t="shared" si="0"/>
        <v>94</v>
      </c>
      <c r="G12" s="385">
        <f t="shared" si="0"/>
        <v>89</v>
      </c>
      <c r="H12" s="385">
        <f t="shared" si="0"/>
        <v>95</v>
      </c>
      <c r="I12" s="385">
        <f t="shared" si="0"/>
        <v>89</v>
      </c>
      <c r="J12" s="385">
        <f t="shared" si="0"/>
        <v>96</v>
      </c>
      <c r="K12" s="386"/>
      <c r="L12" s="387" t="s">
        <v>729</v>
      </c>
      <c r="M12" s="370"/>
      <c r="N12" s="370"/>
      <c r="O12" s="71"/>
      <c r="P12" s="1186"/>
      <c r="Q12" s="1189"/>
      <c r="R12" s="388" t="s">
        <v>733</v>
      </c>
      <c r="S12" s="389"/>
      <c r="T12" s="1192"/>
      <c r="U12" s="1180"/>
      <c r="V12" s="1192"/>
      <c r="W12" s="1180"/>
      <c r="X12" s="1192"/>
      <c r="Y12" s="1180"/>
      <c r="Z12" s="1192"/>
      <c r="AA12" s="1180"/>
      <c r="AB12" s="1192"/>
      <c r="AC12" s="1180"/>
      <c r="AE12" s="1186"/>
      <c r="AF12" s="1189"/>
      <c r="AG12" s="388" t="s">
        <v>733</v>
      </c>
      <c r="AH12" s="389"/>
      <c r="AI12" s="1192"/>
      <c r="AJ12" s="1180"/>
      <c r="AK12" s="1192"/>
      <c r="AL12" s="1180"/>
      <c r="AM12" s="1192"/>
      <c r="AN12" s="1180"/>
      <c r="AO12" s="1192"/>
      <c r="AP12" s="1180"/>
      <c r="AQ12" s="1192"/>
      <c r="AR12" s="1180"/>
    </row>
    <row r="13" spans="1:44" ht="16" outlineLevel="1" thickBot="1">
      <c r="B13" s="376" t="s">
        <v>734</v>
      </c>
      <c r="C13" s="390">
        <v>0.14000000000000001</v>
      </c>
      <c r="D13" s="391">
        <v>0.12</v>
      </c>
      <c r="E13" s="391">
        <v>0.11</v>
      </c>
      <c r="F13" s="392">
        <v>0.1</v>
      </c>
      <c r="G13" s="391">
        <v>0.1</v>
      </c>
      <c r="H13" s="391">
        <v>0.14000000000000001</v>
      </c>
      <c r="I13" s="391">
        <v>0.08</v>
      </c>
      <c r="J13" s="391">
        <v>0.12</v>
      </c>
      <c r="K13" s="379"/>
      <c r="L13" s="380">
        <v>3</v>
      </c>
      <c r="M13" s="370"/>
      <c r="N13" s="370"/>
      <c r="O13" s="71"/>
      <c r="P13" s="1186"/>
      <c r="Q13" s="1190"/>
      <c r="R13" s="393" t="s">
        <v>735</v>
      </c>
      <c r="S13" s="394"/>
      <c r="T13" s="1193"/>
      <c r="U13" s="1181"/>
      <c r="V13" s="1193"/>
      <c r="W13" s="1181"/>
      <c r="X13" s="1193"/>
      <c r="Y13" s="1181"/>
      <c r="Z13" s="1193"/>
      <c r="AA13" s="1181"/>
      <c r="AB13" s="1193"/>
      <c r="AC13" s="1181"/>
      <c r="AE13" s="1186"/>
      <c r="AF13" s="1190"/>
      <c r="AG13" s="393" t="s">
        <v>735</v>
      </c>
      <c r="AH13" s="394"/>
      <c r="AI13" s="1193"/>
      <c r="AJ13" s="1181"/>
      <c r="AK13" s="1193"/>
      <c r="AL13" s="1181"/>
      <c r="AM13" s="1193"/>
      <c r="AN13" s="1181"/>
      <c r="AO13" s="1193"/>
      <c r="AP13" s="1181"/>
      <c r="AQ13" s="1193"/>
      <c r="AR13" s="1181"/>
    </row>
    <row r="14" spans="1:44" outlineLevel="1">
      <c r="B14" s="376" t="s">
        <v>657</v>
      </c>
      <c r="C14" s="390">
        <v>1</v>
      </c>
      <c r="D14" s="390">
        <v>1</v>
      </c>
      <c r="E14" s="390">
        <v>1</v>
      </c>
      <c r="F14" s="390">
        <v>1</v>
      </c>
      <c r="G14" s="390">
        <v>0.08</v>
      </c>
      <c r="H14" s="390">
        <v>2</v>
      </c>
      <c r="I14" s="390">
        <v>0.08</v>
      </c>
      <c r="J14" s="390">
        <v>2</v>
      </c>
      <c r="K14" s="379"/>
      <c r="L14" s="380">
        <v>3</v>
      </c>
      <c r="M14" s="370"/>
      <c r="N14" s="370"/>
      <c r="O14" s="71"/>
      <c r="P14" s="1186"/>
      <c r="Q14" s="1188" t="s">
        <v>736</v>
      </c>
      <c r="R14" s="395" t="s">
        <v>737</v>
      </c>
      <c r="S14" s="396" t="s">
        <v>738</v>
      </c>
      <c r="T14" s="1191">
        <v>0</v>
      </c>
      <c r="U14" s="1191">
        <v>1</v>
      </c>
      <c r="V14" s="1191">
        <v>0</v>
      </c>
      <c r="W14" s="1191">
        <v>1</v>
      </c>
      <c r="X14" s="1191">
        <v>0</v>
      </c>
      <c r="Y14" s="1191">
        <v>0.97</v>
      </c>
      <c r="Z14" s="1191">
        <v>0</v>
      </c>
      <c r="AA14" s="1191">
        <v>1</v>
      </c>
      <c r="AB14" s="1191">
        <v>0</v>
      </c>
      <c r="AC14" s="1191">
        <v>1</v>
      </c>
      <c r="AE14" s="1186"/>
      <c r="AF14" s="1188" t="s">
        <v>736</v>
      </c>
      <c r="AG14" s="395" t="s">
        <v>737</v>
      </c>
      <c r="AH14" s="396" t="s">
        <v>738</v>
      </c>
      <c r="AI14" s="1191">
        <v>0</v>
      </c>
      <c r="AJ14" s="1191">
        <v>1</v>
      </c>
      <c r="AK14" s="1191">
        <v>0</v>
      </c>
      <c r="AL14" s="1191">
        <v>1</v>
      </c>
      <c r="AM14" s="1191">
        <v>0</v>
      </c>
      <c r="AN14" s="1191">
        <v>0.97</v>
      </c>
      <c r="AO14" s="1191">
        <v>0</v>
      </c>
      <c r="AP14" s="1191">
        <v>1</v>
      </c>
      <c r="AQ14" s="1191">
        <v>0</v>
      </c>
      <c r="AR14" s="1191">
        <v>1</v>
      </c>
    </row>
    <row r="15" spans="1:44" outlineLevel="1">
      <c r="B15" s="376" t="s">
        <v>658</v>
      </c>
      <c r="C15" s="390">
        <v>0.4</v>
      </c>
      <c r="D15" s="390">
        <v>0.4</v>
      </c>
      <c r="E15" s="390">
        <v>0.4</v>
      </c>
      <c r="F15" s="390">
        <v>0.4</v>
      </c>
      <c r="G15" s="390">
        <v>0.3</v>
      </c>
      <c r="H15" s="390">
        <v>0.6</v>
      </c>
      <c r="I15" s="390">
        <v>0.3</v>
      </c>
      <c r="J15" s="390">
        <v>0.6</v>
      </c>
      <c r="K15" s="379"/>
      <c r="L15" s="380">
        <v>3</v>
      </c>
      <c r="M15" s="367"/>
      <c r="N15" s="367"/>
      <c r="O15" s="71"/>
      <c r="P15" s="1186"/>
      <c r="Q15" s="1189"/>
      <c r="R15" s="395" t="s">
        <v>739</v>
      </c>
      <c r="S15" s="396" t="s">
        <v>738</v>
      </c>
      <c r="T15" s="1208"/>
      <c r="U15" s="1208"/>
      <c r="V15" s="1208"/>
      <c r="W15" s="1208"/>
      <c r="X15" s="1208"/>
      <c r="Y15" s="1208"/>
      <c r="Z15" s="1208"/>
      <c r="AA15" s="1208"/>
      <c r="AB15" s="1208"/>
      <c r="AC15" s="1208"/>
      <c r="AE15" s="1186"/>
      <c r="AF15" s="1189"/>
      <c r="AG15" s="395" t="s">
        <v>739</v>
      </c>
      <c r="AH15" s="396" t="s">
        <v>738</v>
      </c>
      <c r="AI15" s="1208"/>
      <c r="AJ15" s="1208"/>
      <c r="AK15" s="1208"/>
      <c r="AL15" s="1208"/>
      <c r="AM15" s="1208"/>
      <c r="AN15" s="1208"/>
      <c r="AO15" s="1208"/>
      <c r="AP15" s="1208"/>
      <c r="AQ15" s="1208"/>
      <c r="AR15" s="1208"/>
    </row>
    <row r="16" spans="1:44" outlineLevel="1">
      <c r="B16" s="383" t="s">
        <v>11</v>
      </c>
      <c r="C16" s="397">
        <v>25</v>
      </c>
      <c r="D16" s="397">
        <v>25</v>
      </c>
      <c r="E16" s="397">
        <v>25</v>
      </c>
      <c r="F16" s="397">
        <v>25</v>
      </c>
      <c r="G16" s="398">
        <v>25</v>
      </c>
      <c r="H16" s="398">
        <v>30</v>
      </c>
      <c r="I16" s="398">
        <v>25</v>
      </c>
      <c r="J16" s="398">
        <v>30</v>
      </c>
      <c r="K16" s="372"/>
      <c r="L16" s="373" t="s">
        <v>740</v>
      </c>
      <c r="M16" s="363"/>
      <c r="N16" s="363"/>
      <c r="P16" s="1186"/>
      <c r="Q16" s="1189"/>
      <c r="R16" s="395" t="s">
        <v>741</v>
      </c>
      <c r="S16" s="396" t="s">
        <v>738</v>
      </c>
      <c r="T16" s="1208"/>
      <c r="U16" s="1208"/>
      <c r="V16" s="1208"/>
      <c r="W16" s="1208"/>
      <c r="X16" s="1208"/>
      <c r="Y16" s="1208"/>
      <c r="Z16" s="1208"/>
      <c r="AA16" s="1208"/>
      <c r="AB16" s="1208"/>
      <c r="AC16" s="1208"/>
      <c r="AE16" s="1186"/>
      <c r="AF16" s="1189"/>
      <c r="AG16" s="395" t="s">
        <v>741</v>
      </c>
      <c r="AH16" s="396" t="s">
        <v>738</v>
      </c>
      <c r="AI16" s="1208"/>
      <c r="AJ16" s="1208"/>
      <c r="AK16" s="1208"/>
      <c r="AL16" s="1208"/>
      <c r="AM16" s="1208"/>
      <c r="AN16" s="1208"/>
      <c r="AO16" s="1208"/>
      <c r="AP16" s="1208"/>
      <c r="AQ16" s="1208"/>
      <c r="AR16" s="1208"/>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86"/>
      <c r="Q17" s="1189"/>
      <c r="R17" s="395" t="s">
        <v>742</v>
      </c>
      <c r="S17" s="396" t="s">
        <v>738</v>
      </c>
      <c r="T17" s="1208"/>
      <c r="U17" s="1208"/>
      <c r="V17" s="1208"/>
      <c r="W17" s="1208"/>
      <c r="X17" s="1208"/>
      <c r="Y17" s="1208"/>
      <c r="Z17" s="1208"/>
      <c r="AA17" s="1208"/>
      <c r="AB17" s="1208"/>
      <c r="AC17" s="1208"/>
      <c r="AE17" s="1186"/>
      <c r="AF17" s="1189"/>
      <c r="AG17" s="395" t="s">
        <v>742</v>
      </c>
      <c r="AH17" s="396" t="s">
        <v>738</v>
      </c>
      <c r="AI17" s="1208"/>
      <c r="AJ17" s="1208"/>
      <c r="AK17" s="1208"/>
      <c r="AL17" s="1208"/>
      <c r="AM17" s="1208"/>
      <c r="AN17" s="1208"/>
      <c r="AO17" s="1208"/>
      <c r="AP17" s="1208"/>
      <c r="AQ17" s="1208"/>
      <c r="AR17" s="1208"/>
    </row>
    <row r="18" spans="1:44" ht="16" outlineLevel="1" thickBot="1">
      <c r="B18" s="401" t="s">
        <v>743</v>
      </c>
      <c r="C18" s="402"/>
      <c r="D18" s="403"/>
      <c r="E18" s="404"/>
      <c r="F18" s="405"/>
      <c r="G18" s="406"/>
      <c r="H18" s="406"/>
      <c r="I18" s="406"/>
      <c r="J18" s="406"/>
      <c r="K18" s="407"/>
      <c r="L18" s="408"/>
      <c r="M18" s="363"/>
      <c r="N18" s="363"/>
      <c r="P18" s="1186"/>
      <c r="Q18" s="1189"/>
      <c r="R18" s="409" t="s">
        <v>744</v>
      </c>
      <c r="S18" s="410" t="s">
        <v>738</v>
      </c>
      <c r="T18" s="1209"/>
      <c r="U18" s="1209"/>
      <c r="V18" s="1209"/>
      <c r="W18" s="1209"/>
      <c r="X18" s="1209"/>
      <c r="Y18" s="1209"/>
      <c r="Z18" s="1209"/>
      <c r="AA18" s="1209"/>
      <c r="AB18" s="1209"/>
      <c r="AC18" s="1209"/>
      <c r="AE18" s="1186"/>
      <c r="AF18" s="1189"/>
      <c r="AG18" s="409" t="s">
        <v>744</v>
      </c>
      <c r="AH18" s="410" t="s">
        <v>738</v>
      </c>
      <c r="AI18" s="1209"/>
      <c r="AJ18" s="1209"/>
      <c r="AK18" s="1209"/>
      <c r="AL18" s="1209"/>
      <c r="AM18" s="1209"/>
      <c r="AN18" s="1209"/>
      <c r="AO18" s="1209"/>
      <c r="AP18" s="1209"/>
      <c r="AQ18" s="1209"/>
      <c r="AR18" s="1209"/>
    </row>
    <row r="19" spans="1:44" ht="33" outlineLevel="1" thickBot="1">
      <c r="B19" s="376" t="s">
        <v>663</v>
      </c>
      <c r="C19" s="390">
        <v>15</v>
      </c>
      <c r="D19" s="390">
        <v>15</v>
      </c>
      <c r="E19" s="390">
        <v>15</v>
      </c>
      <c r="F19" s="390">
        <v>15</v>
      </c>
      <c r="G19" s="391"/>
      <c r="H19" s="391"/>
      <c r="I19" s="391"/>
      <c r="J19" s="391"/>
      <c r="K19" s="379"/>
      <c r="L19" s="380">
        <v>3</v>
      </c>
      <c r="M19" s="363"/>
      <c r="N19" s="363"/>
      <c r="P19" s="1187"/>
      <c r="Q19" s="411" t="s">
        <v>745</v>
      </c>
      <c r="R19" s="412" t="s">
        <v>746</v>
      </c>
      <c r="S19" s="413" t="s">
        <v>738</v>
      </c>
      <c r="T19" s="414">
        <v>1</v>
      </c>
      <c r="U19" s="415">
        <v>1</v>
      </c>
      <c r="V19" s="416">
        <v>1</v>
      </c>
      <c r="W19" s="415">
        <v>1</v>
      </c>
      <c r="X19" s="416">
        <v>1</v>
      </c>
      <c r="Y19" s="415">
        <v>1</v>
      </c>
      <c r="Z19" s="416">
        <v>1</v>
      </c>
      <c r="AA19" s="415">
        <v>1</v>
      </c>
      <c r="AB19" s="416">
        <v>1</v>
      </c>
      <c r="AC19" s="417">
        <v>1</v>
      </c>
      <c r="AE19" s="1187"/>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6" outlineLevel="1">
      <c r="B23" s="383" t="s">
        <v>747</v>
      </c>
      <c r="C23" s="397">
        <v>0.3</v>
      </c>
      <c r="D23" s="397">
        <v>0.3</v>
      </c>
      <c r="E23" s="397">
        <v>0.3</v>
      </c>
      <c r="F23" s="397">
        <v>0.3</v>
      </c>
      <c r="G23" s="422"/>
      <c r="H23" s="425"/>
      <c r="I23" s="425"/>
      <c r="J23" s="425"/>
      <c r="K23" s="426" t="s">
        <v>16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6" outlineLevel="1">
      <c r="B25" s="383" t="s">
        <v>750</v>
      </c>
      <c r="C25" s="397">
        <v>9</v>
      </c>
      <c r="D25" s="397">
        <v>7</v>
      </c>
      <c r="E25" s="397">
        <v>6</v>
      </c>
      <c r="F25" s="397">
        <v>6</v>
      </c>
      <c r="G25" s="425"/>
      <c r="H25" s="425"/>
      <c r="I25" s="425"/>
      <c r="J25" s="425"/>
      <c r="K25" s="423"/>
      <c r="L25" s="427" t="s">
        <v>748</v>
      </c>
      <c r="M25" s="428"/>
      <c r="N25" s="428"/>
      <c r="T25" s="224">
        <f>C$23</f>
        <v>0.3</v>
      </c>
      <c r="U25" s="224">
        <f t="shared" ref="U25:V25" si="1">D$23</f>
        <v>0.3</v>
      </c>
      <c r="V25" s="224">
        <f t="shared" si="1"/>
        <v>0.3</v>
      </c>
    </row>
    <row r="26" spans="1:44" outlineLevel="1">
      <c r="B26" s="383" t="s">
        <v>366</v>
      </c>
      <c r="C26" s="397">
        <v>3</v>
      </c>
      <c r="D26" s="397">
        <v>2</v>
      </c>
      <c r="E26" s="397">
        <v>2</v>
      </c>
      <c r="F26" s="397">
        <v>2</v>
      </c>
      <c r="G26" s="425"/>
      <c r="H26" s="425"/>
      <c r="I26" s="425"/>
      <c r="J26" s="425"/>
      <c r="K26" s="423"/>
      <c r="L26" s="427" t="s">
        <v>748</v>
      </c>
      <c r="M26" s="428"/>
      <c r="N26" s="428"/>
    </row>
    <row r="27" spans="1:44" ht="16" outlineLevel="1" thickBot="1">
      <c r="B27" s="429" t="s">
        <v>367</v>
      </c>
      <c r="C27" s="430">
        <v>1</v>
      </c>
      <c r="D27" s="430">
        <v>1</v>
      </c>
      <c r="E27" s="430">
        <v>1</v>
      </c>
      <c r="F27" s="430">
        <v>1</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t="s">
        <v>797</v>
      </c>
      <c r="B29" s="436" t="s">
        <v>751</v>
      </c>
      <c r="C29" s="437">
        <f>0.06/1.1</f>
        <v>5.4545454545454536E-2</v>
      </c>
      <c r="D29" s="438">
        <f>0.05/1.1</f>
        <v>4.5454545454545456E-2</v>
      </c>
      <c r="E29" s="438">
        <f>0.05/1.1</f>
        <v>4.5454545454545456E-2</v>
      </c>
      <c r="F29" s="439">
        <f>0.05/1.1</f>
        <v>4.5454545454545456E-2</v>
      </c>
      <c r="G29" s="425"/>
      <c r="H29" s="425"/>
      <c r="I29" s="425"/>
      <c r="J29" s="425"/>
      <c r="K29" s="426" t="s">
        <v>20</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outlineLevel="1">
      <c r="B32" s="383" t="s">
        <v>756</v>
      </c>
      <c r="C32" s="445">
        <f>2000/1000</f>
        <v>2</v>
      </c>
      <c r="D32" s="446">
        <f>1900/1000</f>
        <v>1.9</v>
      </c>
      <c r="E32" s="446">
        <f>1800/1000</f>
        <v>1.8</v>
      </c>
      <c r="F32" s="447">
        <f>1700/1000</f>
        <v>1.7</v>
      </c>
      <c r="G32" s="425"/>
      <c r="H32" s="425"/>
      <c r="I32" s="425"/>
      <c r="J32" s="425"/>
      <c r="K32" s="448"/>
      <c r="L32" s="373">
        <v>3</v>
      </c>
      <c r="M32" s="420"/>
      <c r="N32" s="420"/>
    </row>
    <row r="33" spans="2:30" ht="37" customHeight="1" outlineLevel="1" thickBot="1">
      <c r="B33" s="383" t="s">
        <v>757</v>
      </c>
      <c r="C33" s="449">
        <f>1.1/3.6</f>
        <v>0.30555555555555558</v>
      </c>
      <c r="D33" s="449">
        <f>1/3.6</f>
        <v>0.27777777777777779</v>
      </c>
      <c r="E33" s="449">
        <f>1/3.6</f>
        <v>0.27777777777777779</v>
      </c>
      <c r="F33" s="449">
        <f>1/3.6</f>
        <v>0.27777777777777779</v>
      </c>
      <c r="G33" s="425"/>
      <c r="H33" s="425"/>
      <c r="I33" s="425"/>
      <c r="J33" s="425"/>
      <c r="K33" s="448"/>
      <c r="L33" s="373">
        <v>3</v>
      </c>
      <c r="M33" s="450"/>
      <c r="N33" s="361"/>
      <c r="P33" s="1157">
        <f>C33</f>
        <v>0.30555555555555558</v>
      </c>
      <c r="Q33" s="1135"/>
      <c r="R33" s="1135"/>
      <c r="S33" s="1135"/>
      <c r="T33" s="1135"/>
      <c r="U33" s="1158"/>
    </row>
    <row r="34" spans="2:30" ht="15.75" customHeight="1" outlineLevel="1" thickBot="1">
      <c r="B34" s="451" t="s">
        <v>758</v>
      </c>
      <c r="C34" s="452">
        <f>C13/100*73</f>
        <v>0.10220000000000001</v>
      </c>
      <c r="D34" s="452">
        <f>D13/100*75</f>
        <v>0.09</v>
      </c>
      <c r="E34" s="452">
        <f>E13/100*76</f>
        <v>8.3600000000000008E-2</v>
      </c>
      <c r="F34" s="452">
        <f>F13/100*76</f>
        <v>7.5999999999999998E-2</v>
      </c>
      <c r="G34" s="453"/>
      <c r="H34" s="453"/>
      <c r="I34" s="453"/>
      <c r="J34" s="453"/>
      <c r="K34" s="379" t="s">
        <v>76</v>
      </c>
      <c r="L34" s="380">
        <v>3</v>
      </c>
      <c r="M34" s="450"/>
      <c r="N34" s="361"/>
      <c r="P34" s="1159">
        <f>C34</f>
        <v>0.10220000000000001</v>
      </c>
      <c r="Q34" s="1160"/>
      <c r="R34" s="1160"/>
      <c r="S34" s="1160"/>
      <c r="T34" s="1160"/>
      <c r="U34" s="1161"/>
    </row>
    <row r="35" spans="2:30" outlineLevel="1">
      <c r="B35" s="451" t="s">
        <v>759</v>
      </c>
      <c r="C35" s="454">
        <f>C33-C34</f>
        <v>0.20335555555555557</v>
      </c>
      <c r="D35" s="454">
        <f>D33-D34</f>
        <v>0.18777777777777779</v>
      </c>
      <c r="E35" s="454">
        <f>E33-E34</f>
        <v>0.19417777777777778</v>
      </c>
      <c r="F35" s="454">
        <f>F33-F34</f>
        <v>0.20177777777777778</v>
      </c>
      <c r="G35" s="453"/>
      <c r="H35" s="453"/>
      <c r="I35" s="453"/>
      <c r="J35" s="453"/>
      <c r="K35" s="455"/>
      <c r="L35" s="380">
        <v>3</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25</v>
      </c>
      <c r="L39" s="464"/>
      <c r="M39" s="363"/>
      <c r="N39" s="363"/>
      <c r="O39" s="465">
        <f>C12</f>
        <v>92</v>
      </c>
      <c r="P39" s="466">
        <f>C8</f>
        <v>2020</v>
      </c>
      <c r="Q39" s="58">
        <f>P39</f>
        <v>2020</v>
      </c>
      <c r="R39" s="466">
        <f>O39/100</f>
        <v>0.92</v>
      </c>
      <c r="S39" s="58"/>
      <c r="T39" s="466">
        <f>C16</f>
        <v>25</v>
      </c>
      <c r="U39" s="467">
        <f>C46</f>
        <v>406.36363636363632</v>
      </c>
      <c r="V39" s="467">
        <f>C48</f>
        <v>14.9</v>
      </c>
      <c r="W39" s="467">
        <f>C49</f>
        <v>2.276388888888889</v>
      </c>
      <c r="X39" s="58"/>
      <c r="Y39" s="58"/>
      <c r="Z39" s="466">
        <f>C23</f>
        <v>0.3</v>
      </c>
      <c r="AA39" s="468">
        <f>C25</f>
        <v>9</v>
      </c>
      <c r="AB39" s="468">
        <f>C26</f>
        <v>3</v>
      </c>
      <c r="AC39" s="468">
        <f>C27</f>
        <v>1</v>
      </c>
      <c r="AD39" s="468">
        <f>C24</f>
        <v>0.1</v>
      </c>
    </row>
    <row r="40" spans="2:30" ht="14.5" customHeight="1" outlineLevel="1">
      <c r="B40" s="376" t="s">
        <v>763</v>
      </c>
      <c r="C40" s="469" t="s">
        <v>36</v>
      </c>
      <c r="D40" s="470" t="s">
        <v>36</v>
      </c>
      <c r="E40" s="470" t="s">
        <v>36</v>
      </c>
      <c r="F40" s="471" t="s">
        <v>36</v>
      </c>
      <c r="G40" s="471"/>
      <c r="H40" s="471"/>
      <c r="I40" s="471"/>
      <c r="J40" s="471"/>
      <c r="K40" s="472" t="s">
        <v>25</v>
      </c>
      <c r="L40" s="464"/>
      <c r="M40" s="363"/>
      <c r="N40" s="363"/>
      <c r="O40" s="465">
        <f>D12</f>
        <v>93</v>
      </c>
      <c r="P40" s="466">
        <f>D8</f>
        <v>2030</v>
      </c>
      <c r="Q40" s="58"/>
      <c r="R40" s="466">
        <f>O40/100</f>
        <v>0.93</v>
      </c>
      <c r="S40" s="58"/>
      <c r="T40" s="466">
        <f>D16</f>
        <v>25</v>
      </c>
      <c r="U40" s="467">
        <f>D46</f>
        <v>338.63636363636368</v>
      </c>
      <c r="V40" s="467">
        <f>D48</f>
        <v>14.154999999999999</v>
      </c>
      <c r="W40" s="467">
        <f>D49</f>
        <v>2.0694444444444446</v>
      </c>
      <c r="X40" s="58"/>
      <c r="Y40" s="58"/>
      <c r="Z40" s="466">
        <f>D23</f>
        <v>0.3</v>
      </c>
      <c r="AA40" s="468">
        <f>D25</f>
        <v>7</v>
      </c>
      <c r="AB40" s="468">
        <f>D26</f>
        <v>2</v>
      </c>
      <c r="AC40" s="468">
        <f>D27</f>
        <v>1</v>
      </c>
      <c r="AD40" s="468">
        <f>D24</f>
        <v>0.1</v>
      </c>
    </row>
    <row r="41" spans="2:30" outlineLevel="1">
      <c r="B41" s="376" t="s">
        <v>764</v>
      </c>
      <c r="C41" s="469" t="s">
        <v>36</v>
      </c>
      <c r="D41" s="470" t="s">
        <v>36</v>
      </c>
      <c r="E41" s="470" t="s">
        <v>36</v>
      </c>
      <c r="F41" s="471" t="s">
        <v>36</v>
      </c>
      <c r="G41" s="453"/>
      <c r="H41" s="453"/>
      <c r="I41" s="453"/>
      <c r="J41" s="453"/>
      <c r="K41" s="453"/>
      <c r="L41" s="380"/>
      <c r="M41" s="363"/>
      <c r="N41" s="363"/>
      <c r="O41" s="465">
        <f>E12</f>
        <v>93</v>
      </c>
      <c r="P41" s="466">
        <f>E8</f>
        <v>2040</v>
      </c>
      <c r="Q41" s="58"/>
      <c r="R41" s="466">
        <f>O41/100</f>
        <v>0.93</v>
      </c>
      <c r="S41" s="58"/>
      <c r="T41" s="466">
        <f>E16</f>
        <v>25</v>
      </c>
      <c r="U41" s="467">
        <f>E46</f>
        <v>338.63636363636368</v>
      </c>
      <c r="V41" s="467">
        <f>E48</f>
        <v>13.41</v>
      </c>
      <c r="W41" s="467">
        <f>E49</f>
        <v>2.0694444444444446</v>
      </c>
      <c r="X41" s="58"/>
      <c r="Y41" s="58"/>
      <c r="Z41" s="466">
        <f>E23</f>
        <v>0.3</v>
      </c>
      <c r="AA41" s="468">
        <f>E25</f>
        <v>6</v>
      </c>
      <c r="AB41" s="468">
        <f>E26</f>
        <v>2</v>
      </c>
      <c r="AC41" s="468">
        <f>E27</f>
        <v>1</v>
      </c>
      <c r="AD41" s="468">
        <f>E24</f>
        <v>0.1</v>
      </c>
    </row>
    <row r="42" spans="2:30" outlineLevel="1">
      <c r="B42" s="376" t="s">
        <v>765</v>
      </c>
      <c r="C42" s="473">
        <v>90</v>
      </c>
      <c r="D42" s="473">
        <v>90</v>
      </c>
      <c r="E42" s="473">
        <v>90</v>
      </c>
      <c r="F42" s="473">
        <v>90</v>
      </c>
      <c r="G42" s="474"/>
      <c r="H42" s="474"/>
      <c r="I42" s="474"/>
      <c r="J42" s="474"/>
      <c r="K42" s="474"/>
      <c r="L42" s="380">
        <v>3</v>
      </c>
      <c r="M42" s="363"/>
      <c r="N42" s="363"/>
      <c r="O42" s="465">
        <f>F12</f>
        <v>94</v>
      </c>
      <c r="P42" s="466">
        <f>F8</f>
        <v>2050</v>
      </c>
      <c r="Q42" s="58"/>
      <c r="R42" s="466">
        <f>O42/100</f>
        <v>0.94</v>
      </c>
      <c r="S42" s="58"/>
      <c r="T42" s="466">
        <f>F16</f>
        <v>25</v>
      </c>
      <c r="U42" s="467">
        <f>F46</f>
        <v>338.63636363636368</v>
      </c>
      <c r="V42" s="467">
        <f>F48</f>
        <v>12.664999999999999</v>
      </c>
      <c r="W42" s="467">
        <f>F49</f>
        <v>2.0694444444444446</v>
      </c>
      <c r="X42" s="58"/>
      <c r="Y42" s="58"/>
      <c r="Z42" s="466">
        <f>F23</f>
        <v>0.3</v>
      </c>
      <c r="AA42" s="468">
        <f>F25</f>
        <v>6</v>
      </c>
      <c r="AB42" s="468">
        <f>F26</f>
        <v>2</v>
      </c>
      <c r="AC42" s="468">
        <f>F27</f>
        <v>1</v>
      </c>
      <c r="AD42" s="468">
        <f>F24</f>
        <v>0.1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406.36363636363632</v>
      </c>
      <c r="D46" s="483">
        <f t="shared" ref="D46:F46" si="2">D29*$F$4*1000</f>
        <v>338.63636363636368</v>
      </c>
      <c r="E46" s="483">
        <f t="shared" si="2"/>
        <v>338.63636363636368</v>
      </c>
      <c r="F46" s="483">
        <f t="shared" si="2"/>
        <v>338.63636363636368</v>
      </c>
      <c r="G46" s="483"/>
      <c r="H46" s="484"/>
      <c r="I46" s="420" t="s">
        <v>332</v>
      </c>
      <c r="J46" s="420"/>
      <c r="K46" s="484"/>
      <c r="L46" s="484"/>
      <c r="N46" s="420"/>
    </row>
    <row r="47" spans="2:30" outlineLevel="1">
      <c r="B47" s="485" t="s">
        <v>770</v>
      </c>
      <c r="C47" s="486">
        <f>C46*$I47</f>
        <v>203181.81818181815</v>
      </c>
      <c r="D47" s="486">
        <f>D46*$I47</f>
        <v>169318.18181818185</v>
      </c>
      <c r="E47" s="486">
        <f>E46*$I47</f>
        <v>169318.18181818185</v>
      </c>
      <c r="F47" s="486">
        <f>F46*$I47</f>
        <v>169318.18181818185</v>
      </c>
      <c r="G47" s="486"/>
      <c r="H47" s="484"/>
      <c r="I47" s="71">
        <v>500</v>
      </c>
      <c r="J47" s="420" t="s">
        <v>330</v>
      </c>
      <c r="K47" s="484"/>
      <c r="L47" s="484"/>
      <c r="N47" s="420"/>
    </row>
    <row r="48" spans="2:30" ht="48" outlineLevel="1">
      <c r="B48" s="461" t="s">
        <v>771</v>
      </c>
      <c r="C48" s="359">
        <f>C32*$F$4</f>
        <v>14.9</v>
      </c>
      <c r="D48" s="359">
        <f t="shared" ref="D48:F49" si="3">D32*$F$4</f>
        <v>14.154999999999999</v>
      </c>
      <c r="E48" s="359">
        <f t="shared" si="3"/>
        <v>13.41</v>
      </c>
      <c r="F48" s="359">
        <f t="shared" si="3"/>
        <v>12.664999999999999</v>
      </c>
      <c r="G48" s="359"/>
      <c r="I48" s="420" t="s">
        <v>333</v>
      </c>
      <c r="J48" s="420"/>
      <c r="N48" s="420"/>
    </row>
    <row r="49" spans="2:20" ht="48" outlineLevel="1">
      <c r="B49" s="461" t="s">
        <v>772</v>
      </c>
      <c r="C49" s="487">
        <f>C33*$F$4</f>
        <v>2.276388888888889</v>
      </c>
      <c r="D49" s="487">
        <f t="shared" si="3"/>
        <v>2.0694444444444446</v>
      </c>
      <c r="E49" s="487">
        <f t="shared" si="3"/>
        <v>2.0694444444444446</v>
      </c>
      <c r="F49" s="487">
        <f t="shared" si="3"/>
        <v>2.0694444444444446</v>
      </c>
      <c r="G49" s="359"/>
      <c r="M49" s="420"/>
      <c r="N49" s="420"/>
    </row>
    <row r="50" spans="2:20" outlineLevel="1"/>
    <row r="51" spans="2:20" outlineLevel="1"/>
    <row r="52" spans="2:20" outlineLevel="1"/>
    <row r="53" spans="2:20" outlineLevel="1"/>
    <row r="54" spans="2:20" outlineLevel="1">
      <c r="B54" s="488" t="s">
        <v>773</v>
      </c>
      <c r="C54" s="489"/>
      <c r="D54" s="490"/>
      <c r="E54" s="490"/>
      <c r="F54" s="490"/>
    </row>
    <row r="55" spans="2:20" outlineLevel="1">
      <c r="B55" s="491">
        <v>1</v>
      </c>
      <c r="C55" s="492" t="s">
        <v>774</v>
      </c>
      <c r="E55" s="490"/>
      <c r="F55" s="490"/>
    </row>
    <row r="56" spans="2:20" outlineLevel="1">
      <c r="B56" s="491">
        <v>2</v>
      </c>
      <c r="C56" s="493" t="s">
        <v>775</v>
      </c>
      <c r="E56" s="490"/>
      <c r="F56" s="490"/>
    </row>
    <row r="57" spans="2:20" outlineLevel="1">
      <c r="B57" s="491">
        <v>3</v>
      </c>
      <c r="C57" s="493" t="s">
        <v>776</v>
      </c>
      <c r="E57" s="490"/>
      <c r="F57" s="490"/>
    </row>
    <row r="58" spans="2:20" outlineLevel="1">
      <c r="B58" s="491">
        <v>4</v>
      </c>
      <c r="C58" s="493" t="s">
        <v>777</v>
      </c>
      <c r="E58" s="490"/>
      <c r="F58" s="490"/>
    </row>
    <row r="59" spans="2:20" outlineLevel="1">
      <c r="B59" s="358">
        <v>5</v>
      </c>
      <c r="C59" s="494" t="s">
        <v>778</v>
      </c>
      <c r="D59" s="490"/>
      <c r="E59" s="490"/>
      <c r="F59" s="490"/>
      <c r="T59" s="224" t="s">
        <v>798</v>
      </c>
    </row>
    <row r="60" spans="2:20" outlineLevel="1">
      <c r="B60" s="358">
        <v>6</v>
      </c>
      <c r="C60" s="492" t="s">
        <v>779</v>
      </c>
      <c r="D60" s="490"/>
      <c r="E60" s="490"/>
      <c r="F60" s="490"/>
    </row>
    <row r="61" spans="2:20" outlineLevel="1">
      <c r="B61" s="358">
        <v>7</v>
      </c>
      <c r="C61" s="495" t="s">
        <v>774</v>
      </c>
      <c r="D61" s="490"/>
      <c r="E61" s="490"/>
      <c r="F61" s="490"/>
    </row>
    <row r="62" spans="2:20" outlineLevel="1">
      <c r="B62" s="358">
        <v>8</v>
      </c>
      <c r="C62" s="495" t="s">
        <v>780</v>
      </c>
      <c r="D62" s="490"/>
      <c r="E62" s="490"/>
      <c r="F62" s="490"/>
    </row>
    <row r="63" spans="2:20" outlineLevel="1">
      <c r="B63" s="358">
        <v>9</v>
      </c>
      <c r="C63" s="489" t="s">
        <v>781</v>
      </c>
      <c r="D63" s="490"/>
      <c r="E63" s="490"/>
      <c r="F63" s="490"/>
    </row>
    <row r="64" spans="2:20"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799</v>
      </c>
      <c r="B84" s="1134"/>
      <c r="C84" s="1135"/>
      <c r="D84" s="1135"/>
      <c r="E84" s="1135"/>
      <c r="F84" s="1135"/>
      <c r="G84" s="1135"/>
      <c r="H84" s="1135"/>
      <c r="I84" s="1135"/>
      <c r="J84" s="1135"/>
      <c r="K84" s="1135"/>
      <c r="L84" s="1135"/>
      <c r="M84" s="1135"/>
      <c r="N84" s="361"/>
      <c r="P84" s="1135"/>
      <c r="Q84" s="1135"/>
      <c r="R84" s="1135"/>
      <c r="S84" s="1135"/>
      <c r="T84" s="1135"/>
      <c r="U84" s="1135"/>
    </row>
    <row r="85" spans="1:44" ht="16" outlineLevel="1" thickBot="1">
      <c r="B85" s="1134"/>
      <c r="C85" s="1135"/>
      <c r="D85" s="1135"/>
      <c r="E85" s="1135"/>
      <c r="F85" s="1135"/>
      <c r="G85" s="1135"/>
      <c r="H85" s="1135"/>
      <c r="I85" s="1135"/>
      <c r="J85" s="1135"/>
      <c r="K85" s="1135"/>
      <c r="L85" s="1135"/>
      <c r="M85" s="1135"/>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201" t="s">
        <v>800</v>
      </c>
      <c r="D86" s="1177"/>
      <c r="E86" s="1177"/>
      <c r="F86" s="1177"/>
      <c r="G86" s="1177"/>
      <c r="H86" s="1177"/>
      <c r="I86" s="1177"/>
      <c r="J86" s="1177"/>
      <c r="K86" s="1177"/>
      <c r="L86" s="1178"/>
      <c r="M86" s="363"/>
      <c r="N86" s="363"/>
      <c r="P86" s="364" t="s">
        <v>713</v>
      </c>
      <c r="Q86" s="365"/>
      <c r="R86" s="366"/>
      <c r="S86" s="1143" t="s">
        <v>714</v>
      </c>
      <c r="T86" s="1147" t="s">
        <v>715</v>
      </c>
      <c r="U86" s="1148"/>
      <c r="V86" s="1147" t="s">
        <v>716</v>
      </c>
      <c r="W86" s="1148"/>
      <c r="X86" s="1147" t="s">
        <v>717</v>
      </c>
      <c r="Y86" s="1148"/>
      <c r="Z86" s="1147" t="s">
        <v>718</v>
      </c>
      <c r="AA86" s="1148"/>
      <c r="AB86" s="1147" t="s">
        <v>719</v>
      </c>
      <c r="AC86" s="1148"/>
      <c r="AE86" s="364" t="s">
        <v>720</v>
      </c>
      <c r="AF86" s="365"/>
      <c r="AG86" s="366"/>
      <c r="AH86" s="1143" t="s">
        <v>714</v>
      </c>
      <c r="AI86" s="1147" t="s">
        <v>715</v>
      </c>
      <c r="AJ86" s="1148"/>
      <c r="AK86" s="1147" t="s">
        <v>716</v>
      </c>
      <c r="AL86" s="1148"/>
      <c r="AM86" s="1147" t="s">
        <v>717</v>
      </c>
      <c r="AN86" s="1148"/>
      <c r="AO86" s="1147" t="s">
        <v>718</v>
      </c>
      <c r="AP86" s="1148"/>
      <c r="AQ86" s="1147" t="s">
        <v>719</v>
      </c>
      <c r="AR86" s="1148"/>
    </row>
    <row r="87" spans="1:44" ht="15" customHeight="1" outlineLevel="1" thickBot="1">
      <c r="B87" s="1168" t="s">
        <v>4</v>
      </c>
      <c r="C87" s="1170">
        <v>2020</v>
      </c>
      <c r="D87" s="1170">
        <v>2030</v>
      </c>
      <c r="E87" s="1170">
        <v>2040</v>
      </c>
      <c r="F87" s="1170">
        <v>2050</v>
      </c>
      <c r="G87" s="1172" t="s">
        <v>721</v>
      </c>
      <c r="H87" s="1173"/>
      <c r="I87" s="1172" t="s">
        <v>648</v>
      </c>
      <c r="J87" s="1173"/>
      <c r="K87" s="1174" t="s">
        <v>2</v>
      </c>
      <c r="L87" s="1174" t="s">
        <v>3</v>
      </c>
      <c r="M87" s="367"/>
      <c r="N87" s="367"/>
      <c r="P87" s="1151" t="s">
        <v>0</v>
      </c>
      <c r="Q87" s="368"/>
      <c r="R87" s="368"/>
      <c r="S87" s="1144"/>
      <c r="T87" s="1149"/>
      <c r="U87" s="1150"/>
      <c r="V87" s="1149"/>
      <c r="W87" s="1150"/>
      <c r="X87" s="1149"/>
      <c r="Y87" s="1150"/>
      <c r="Z87" s="1149"/>
      <c r="AA87" s="1150"/>
      <c r="AB87" s="1149"/>
      <c r="AC87" s="1150"/>
      <c r="AE87" s="1151" t="s">
        <v>0</v>
      </c>
      <c r="AF87" s="368"/>
      <c r="AG87" s="368"/>
      <c r="AH87" s="1144"/>
      <c r="AI87" s="1149"/>
      <c r="AJ87" s="1150"/>
      <c r="AK87" s="1149"/>
      <c r="AL87" s="1150"/>
      <c r="AM87" s="1149"/>
      <c r="AN87" s="1150"/>
      <c r="AO87" s="1149"/>
      <c r="AP87" s="1150"/>
      <c r="AQ87" s="1149"/>
      <c r="AR87" s="1150"/>
    </row>
    <row r="88" spans="1:44" ht="16" outlineLevel="1" thickBot="1">
      <c r="B88" s="1169"/>
      <c r="C88" s="1171"/>
      <c r="D88" s="1171"/>
      <c r="E88" s="1171"/>
      <c r="F88" s="1171"/>
      <c r="G88" s="499" t="s">
        <v>649</v>
      </c>
      <c r="H88" s="499" t="s">
        <v>650</v>
      </c>
      <c r="I88" s="499" t="s">
        <v>649</v>
      </c>
      <c r="J88" s="499" t="s">
        <v>650</v>
      </c>
      <c r="K88" s="1175"/>
      <c r="L88" s="1175"/>
      <c r="M88" s="370"/>
      <c r="N88" s="370"/>
      <c r="P88" s="1152"/>
      <c r="Q88" s="1154" t="s">
        <v>722</v>
      </c>
      <c r="R88" s="1155" t="s">
        <v>723</v>
      </c>
      <c r="S88" s="1145"/>
      <c r="T88" s="1149"/>
      <c r="U88" s="1150"/>
      <c r="V88" s="1149"/>
      <c r="W88" s="1150"/>
      <c r="X88" s="1149"/>
      <c r="Y88" s="1150"/>
      <c r="Z88" s="1149"/>
      <c r="AA88" s="1150"/>
      <c r="AB88" s="1149"/>
      <c r="AC88" s="1150"/>
      <c r="AE88" s="1152"/>
      <c r="AF88" s="1198" t="s">
        <v>722</v>
      </c>
      <c r="AG88" s="1155" t="s">
        <v>723</v>
      </c>
      <c r="AH88" s="1145"/>
      <c r="AI88" s="1149"/>
      <c r="AJ88" s="1150"/>
      <c r="AK88" s="1149"/>
      <c r="AL88" s="1150"/>
      <c r="AM88" s="1149"/>
      <c r="AN88" s="1150"/>
      <c r="AO88" s="1149"/>
      <c r="AP88" s="1150"/>
      <c r="AQ88" s="1149"/>
      <c r="AR88" s="1150"/>
    </row>
    <row r="89" spans="1:44" ht="33"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53"/>
      <c r="Q89" s="1146"/>
      <c r="R89" s="1156"/>
      <c r="S89" s="1146"/>
      <c r="T89" s="374" t="s">
        <v>726</v>
      </c>
      <c r="U89" s="375" t="s">
        <v>727</v>
      </c>
      <c r="V89" s="374" t="s">
        <v>726</v>
      </c>
      <c r="W89" s="375" t="s">
        <v>727</v>
      </c>
      <c r="X89" s="374" t="s">
        <v>726</v>
      </c>
      <c r="Y89" s="375" t="s">
        <v>727</v>
      </c>
      <c r="Z89" s="374" t="s">
        <v>726</v>
      </c>
      <c r="AA89" s="375" t="s">
        <v>727</v>
      </c>
      <c r="AB89" s="374" t="s">
        <v>726</v>
      </c>
      <c r="AC89" s="375" t="s">
        <v>727</v>
      </c>
      <c r="AE89" s="1153"/>
      <c r="AF89" s="1199"/>
      <c r="AG89" s="1156"/>
      <c r="AH89" s="1146"/>
      <c r="AI89" s="374" t="s">
        <v>726</v>
      </c>
      <c r="AJ89" s="375" t="s">
        <v>727</v>
      </c>
      <c r="AK89" s="374" t="s">
        <v>726</v>
      </c>
      <c r="AL89" s="375" t="s">
        <v>727</v>
      </c>
      <c r="AM89" s="374" t="s">
        <v>726</v>
      </c>
      <c r="AN89" s="375" t="s">
        <v>727</v>
      </c>
      <c r="AO89" s="374" t="s">
        <v>726</v>
      </c>
      <c r="AP89" s="375" t="s">
        <v>727</v>
      </c>
      <c r="AQ89" s="374" t="s">
        <v>726</v>
      </c>
      <c r="AR89" s="375" t="s">
        <v>727</v>
      </c>
    </row>
    <row r="90" spans="1:44" outlineLevel="1">
      <c r="B90" s="500" t="s">
        <v>728</v>
      </c>
      <c r="C90" s="501">
        <v>103</v>
      </c>
      <c r="D90" s="501">
        <v>104</v>
      </c>
      <c r="E90" s="502">
        <v>104</v>
      </c>
      <c r="F90" s="501">
        <v>104</v>
      </c>
      <c r="G90" s="501">
        <v>95</v>
      </c>
      <c r="H90" s="501">
        <v>106</v>
      </c>
      <c r="I90" s="501">
        <v>96</v>
      </c>
      <c r="J90" s="501">
        <v>107</v>
      </c>
      <c r="K90" s="503"/>
      <c r="L90" s="504" t="s">
        <v>801</v>
      </c>
      <c r="M90" s="370"/>
      <c r="N90" s="370"/>
      <c r="P90" s="1185" t="str">
        <f>C86</f>
        <v>Steam boiler, Natural gas or biogas (Condensing)</v>
      </c>
      <c r="Q90" s="1188" t="s">
        <v>730</v>
      </c>
      <c r="R90" s="381" t="s">
        <v>731</v>
      </c>
      <c r="S90" s="382"/>
      <c r="T90" s="1191">
        <v>0</v>
      </c>
      <c r="U90" s="1179">
        <v>0</v>
      </c>
      <c r="V90" s="1191">
        <v>0</v>
      </c>
      <c r="W90" s="1179">
        <v>0</v>
      </c>
      <c r="X90" s="1191">
        <v>0</v>
      </c>
      <c r="Y90" s="1179">
        <v>0</v>
      </c>
      <c r="Z90" s="1191">
        <v>0</v>
      </c>
      <c r="AA90" s="1179">
        <v>0</v>
      </c>
      <c r="AB90" s="1191">
        <v>0</v>
      </c>
      <c r="AC90" s="1179">
        <v>0</v>
      </c>
      <c r="AE90" s="1185" t="str">
        <f>P90</f>
        <v>Steam boiler, Natural gas or biogas (Condensing)</v>
      </c>
      <c r="AF90" s="1188" t="s">
        <v>730</v>
      </c>
      <c r="AG90" s="381" t="s">
        <v>731</v>
      </c>
      <c r="AH90" s="382"/>
      <c r="AI90" s="1191">
        <v>0</v>
      </c>
      <c r="AJ90" s="1179">
        <v>0</v>
      </c>
      <c r="AK90" s="1191">
        <v>0</v>
      </c>
      <c r="AL90" s="1179">
        <v>0</v>
      </c>
      <c r="AM90" s="1191">
        <v>0</v>
      </c>
      <c r="AN90" s="1179">
        <v>0</v>
      </c>
      <c r="AO90" s="1191">
        <v>0</v>
      </c>
      <c r="AP90" s="1179">
        <v>0</v>
      </c>
      <c r="AQ90" s="1191">
        <v>0</v>
      </c>
      <c r="AR90" s="1179">
        <v>0</v>
      </c>
    </row>
    <row r="91" spans="1:44" outlineLevel="1">
      <c r="B91" s="383" t="s">
        <v>732</v>
      </c>
      <c r="C91" s="384">
        <f>C90-2</f>
        <v>101</v>
      </c>
      <c r="D91" s="384">
        <f t="shared" ref="D91:J91" si="4">D90-1</f>
        <v>103</v>
      </c>
      <c r="E91" s="384">
        <f t="shared" si="4"/>
        <v>103</v>
      </c>
      <c r="F91" s="384">
        <f t="shared" si="4"/>
        <v>103</v>
      </c>
      <c r="G91" s="505">
        <f t="shared" si="4"/>
        <v>94</v>
      </c>
      <c r="H91" s="505">
        <f t="shared" si="4"/>
        <v>105</v>
      </c>
      <c r="I91" s="505">
        <f t="shared" si="4"/>
        <v>95</v>
      </c>
      <c r="J91" s="505">
        <f t="shared" si="4"/>
        <v>106</v>
      </c>
      <c r="K91" s="372"/>
      <c r="L91" s="373" t="s">
        <v>729</v>
      </c>
      <c r="M91" s="370"/>
      <c r="N91" s="370"/>
      <c r="O91" s="71"/>
      <c r="P91" s="1186"/>
      <c r="Q91" s="1189"/>
      <c r="R91" s="388" t="s">
        <v>733</v>
      </c>
      <c r="S91" s="389"/>
      <c r="T91" s="1192"/>
      <c r="U91" s="1180"/>
      <c r="V91" s="1192"/>
      <c r="W91" s="1180"/>
      <c r="X91" s="1192"/>
      <c r="Y91" s="1180"/>
      <c r="Z91" s="1192"/>
      <c r="AA91" s="1180"/>
      <c r="AB91" s="1192"/>
      <c r="AC91" s="1180"/>
      <c r="AE91" s="1186"/>
      <c r="AF91" s="1189"/>
      <c r="AG91" s="388" t="s">
        <v>733</v>
      </c>
      <c r="AH91" s="389"/>
      <c r="AI91" s="1192"/>
      <c r="AJ91" s="1180"/>
      <c r="AK91" s="1192"/>
      <c r="AL91" s="1180"/>
      <c r="AM91" s="1192"/>
      <c r="AN91" s="1180"/>
      <c r="AO91" s="1192"/>
      <c r="AP91" s="1180"/>
      <c r="AQ91" s="1192"/>
      <c r="AR91" s="1180"/>
    </row>
    <row r="92" spans="1:44" ht="16" outlineLevel="1" thickBot="1">
      <c r="B92" s="500" t="s">
        <v>734</v>
      </c>
      <c r="C92" s="506">
        <v>0.14000000000000001</v>
      </c>
      <c r="D92" s="507">
        <v>0.12</v>
      </c>
      <c r="E92" s="507">
        <v>0.11</v>
      </c>
      <c r="F92" s="508">
        <v>0.1</v>
      </c>
      <c r="G92" s="507">
        <v>0.1</v>
      </c>
      <c r="H92" s="507">
        <v>0.14000000000000001</v>
      </c>
      <c r="I92" s="507">
        <v>0.08</v>
      </c>
      <c r="J92" s="507">
        <v>0.12</v>
      </c>
      <c r="K92" s="503"/>
      <c r="L92" s="504">
        <v>3</v>
      </c>
      <c r="M92" s="370"/>
      <c r="N92" s="370"/>
      <c r="O92" s="71"/>
      <c r="P92" s="1186"/>
      <c r="Q92" s="1190"/>
      <c r="R92" s="393" t="s">
        <v>735</v>
      </c>
      <c r="S92" s="394"/>
      <c r="T92" s="1193"/>
      <c r="U92" s="1181"/>
      <c r="V92" s="1193"/>
      <c r="W92" s="1181"/>
      <c r="X92" s="1193"/>
      <c r="Y92" s="1181"/>
      <c r="Z92" s="1193"/>
      <c r="AA92" s="1181"/>
      <c r="AB92" s="1193"/>
      <c r="AC92" s="1181"/>
      <c r="AE92" s="1186"/>
      <c r="AF92" s="1190"/>
      <c r="AG92" s="393" t="s">
        <v>735</v>
      </c>
      <c r="AH92" s="394"/>
      <c r="AI92" s="1193"/>
      <c r="AJ92" s="1181"/>
      <c r="AK92" s="1193"/>
      <c r="AL92" s="1181"/>
      <c r="AM92" s="1193"/>
      <c r="AN92" s="1181"/>
      <c r="AO92" s="1193"/>
      <c r="AP92" s="1181"/>
      <c r="AQ92" s="1193"/>
      <c r="AR92" s="1181"/>
    </row>
    <row r="93" spans="1:44" outlineLevel="1">
      <c r="B93" s="500" t="s">
        <v>657</v>
      </c>
      <c r="C93" s="506">
        <v>1</v>
      </c>
      <c r="D93" s="506">
        <v>1</v>
      </c>
      <c r="E93" s="506">
        <v>1</v>
      </c>
      <c r="F93" s="506">
        <v>1</v>
      </c>
      <c r="G93" s="506">
        <v>0.08</v>
      </c>
      <c r="H93" s="506">
        <v>2</v>
      </c>
      <c r="I93" s="506">
        <v>0.08</v>
      </c>
      <c r="J93" s="506">
        <v>2</v>
      </c>
      <c r="K93" s="503"/>
      <c r="L93" s="504">
        <v>3</v>
      </c>
      <c r="M93" s="370"/>
      <c r="N93" s="370"/>
      <c r="O93" s="71"/>
      <c r="P93" s="1186"/>
      <c r="Q93" s="1188" t="s">
        <v>736</v>
      </c>
      <c r="R93" s="395" t="s">
        <v>737</v>
      </c>
      <c r="S93" s="396" t="s">
        <v>738</v>
      </c>
      <c r="T93" s="1191">
        <v>0</v>
      </c>
      <c r="U93" s="1191">
        <v>0.21</v>
      </c>
      <c r="V93" s="1191">
        <v>0</v>
      </c>
      <c r="W93" s="1191">
        <v>0</v>
      </c>
      <c r="X93" s="1191">
        <v>0</v>
      </c>
      <c r="Y93" s="1191">
        <v>0</v>
      </c>
      <c r="Z93" s="1191">
        <v>0</v>
      </c>
      <c r="AA93" s="1191">
        <v>0.09</v>
      </c>
      <c r="AB93" s="1191">
        <v>0</v>
      </c>
      <c r="AC93" s="1191">
        <v>0</v>
      </c>
      <c r="AE93" s="1186"/>
      <c r="AF93" s="1188" t="s">
        <v>736</v>
      </c>
      <c r="AG93" s="395" t="s">
        <v>737</v>
      </c>
      <c r="AH93" s="396" t="s">
        <v>738</v>
      </c>
      <c r="AI93" s="1191">
        <v>0</v>
      </c>
      <c r="AJ93" s="1191">
        <v>0.21</v>
      </c>
      <c r="AK93" s="1191">
        <v>0</v>
      </c>
      <c r="AL93" s="1191">
        <v>0</v>
      </c>
      <c r="AM93" s="1191">
        <v>0</v>
      </c>
      <c r="AN93" s="1191">
        <v>0</v>
      </c>
      <c r="AO93" s="1191">
        <v>0</v>
      </c>
      <c r="AP93" s="1191">
        <v>0.09</v>
      </c>
      <c r="AQ93" s="1191">
        <v>0</v>
      </c>
      <c r="AR93" s="1191">
        <v>0</v>
      </c>
    </row>
    <row r="94" spans="1:44" outlineLevel="1">
      <c r="B94" s="500" t="s">
        <v>658</v>
      </c>
      <c r="C94" s="506">
        <v>0.4</v>
      </c>
      <c r="D94" s="506">
        <v>0.4</v>
      </c>
      <c r="E94" s="506">
        <v>0.4</v>
      </c>
      <c r="F94" s="506">
        <v>0.4</v>
      </c>
      <c r="G94" s="506">
        <v>0.3</v>
      </c>
      <c r="H94" s="506">
        <v>0.6</v>
      </c>
      <c r="I94" s="506">
        <v>0.3</v>
      </c>
      <c r="J94" s="506">
        <v>0.6</v>
      </c>
      <c r="K94" s="503"/>
      <c r="L94" s="504">
        <v>3</v>
      </c>
      <c r="M94" s="367"/>
      <c r="N94" s="367"/>
      <c r="O94" s="71"/>
      <c r="P94" s="1186"/>
      <c r="Q94" s="1189"/>
      <c r="R94" s="395" t="s">
        <v>739</v>
      </c>
      <c r="S94" s="396" t="s">
        <v>738</v>
      </c>
      <c r="T94" s="1208"/>
      <c r="U94" s="1208"/>
      <c r="V94" s="1208"/>
      <c r="W94" s="1208"/>
      <c r="X94" s="1208"/>
      <c r="Y94" s="1208"/>
      <c r="Z94" s="1208"/>
      <c r="AA94" s="1208"/>
      <c r="AB94" s="1208"/>
      <c r="AC94" s="1208"/>
      <c r="AE94" s="1186"/>
      <c r="AF94" s="1189"/>
      <c r="AG94" s="395" t="s">
        <v>739</v>
      </c>
      <c r="AH94" s="396" t="s">
        <v>738</v>
      </c>
      <c r="AI94" s="1208"/>
      <c r="AJ94" s="1208"/>
      <c r="AK94" s="1208"/>
      <c r="AL94" s="1208"/>
      <c r="AM94" s="1208"/>
      <c r="AN94" s="1208"/>
      <c r="AO94" s="1208"/>
      <c r="AP94" s="1208"/>
      <c r="AQ94" s="1208"/>
      <c r="AR94" s="120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86"/>
      <c r="Q95" s="1189"/>
      <c r="R95" s="395" t="s">
        <v>741</v>
      </c>
      <c r="S95" s="396" t="s">
        <v>738</v>
      </c>
      <c r="T95" s="1208"/>
      <c r="U95" s="1208"/>
      <c r="V95" s="1208"/>
      <c r="W95" s="1208"/>
      <c r="X95" s="1208"/>
      <c r="Y95" s="1208"/>
      <c r="Z95" s="1208"/>
      <c r="AA95" s="1208"/>
      <c r="AB95" s="1208"/>
      <c r="AC95" s="1208"/>
      <c r="AE95" s="1186"/>
      <c r="AF95" s="1189"/>
      <c r="AG95" s="395" t="s">
        <v>741</v>
      </c>
      <c r="AH95" s="396" t="s">
        <v>738</v>
      </c>
      <c r="AI95" s="1208"/>
      <c r="AJ95" s="1208"/>
      <c r="AK95" s="1208"/>
      <c r="AL95" s="1208"/>
      <c r="AM95" s="1208"/>
      <c r="AN95" s="1208"/>
      <c r="AO95" s="1208"/>
      <c r="AP95" s="1208"/>
      <c r="AQ95" s="1208"/>
      <c r="AR95" s="1208"/>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86"/>
      <c r="Q96" s="1189"/>
      <c r="R96" s="395" t="s">
        <v>742</v>
      </c>
      <c r="S96" s="396" t="s">
        <v>738</v>
      </c>
      <c r="T96" s="1208"/>
      <c r="U96" s="1208"/>
      <c r="V96" s="1208"/>
      <c r="W96" s="1208"/>
      <c r="X96" s="1208"/>
      <c r="Y96" s="1208"/>
      <c r="Z96" s="1208"/>
      <c r="AA96" s="1208"/>
      <c r="AB96" s="1208"/>
      <c r="AC96" s="1208"/>
      <c r="AE96" s="1186"/>
      <c r="AF96" s="1189"/>
      <c r="AG96" s="395" t="s">
        <v>742</v>
      </c>
      <c r="AH96" s="396" t="s">
        <v>738</v>
      </c>
      <c r="AI96" s="1208"/>
      <c r="AJ96" s="1208"/>
      <c r="AK96" s="1208"/>
      <c r="AL96" s="1208"/>
      <c r="AM96" s="1208"/>
      <c r="AN96" s="1208"/>
      <c r="AO96" s="1208"/>
      <c r="AP96" s="1208"/>
      <c r="AQ96" s="1208"/>
      <c r="AR96" s="1208"/>
    </row>
    <row r="97" spans="1:44" ht="16" outlineLevel="1" thickBot="1">
      <c r="B97" s="401" t="s">
        <v>743</v>
      </c>
      <c r="C97" s="402"/>
      <c r="D97" s="403"/>
      <c r="E97" s="404"/>
      <c r="F97" s="405"/>
      <c r="G97" s="406"/>
      <c r="H97" s="406"/>
      <c r="I97" s="406"/>
      <c r="J97" s="406"/>
      <c r="K97" s="407"/>
      <c r="L97" s="408"/>
      <c r="M97" s="363"/>
      <c r="N97" s="363"/>
      <c r="P97" s="1186"/>
      <c r="Q97" s="1189"/>
      <c r="R97" s="409" t="s">
        <v>744</v>
      </c>
      <c r="S97" s="410" t="s">
        <v>738</v>
      </c>
      <c r="T97" s="1209"/>
      <c r="U97" s="1209"/>
      <c r="V97" s="1209"/>
      <c r="W97" s="1209"/>
      <c r="X97" s="1209"/>
      <c r="Y97" s="1209"/>
      <c r="Z97" s="1209"/>
      <c r="AA97" s="1209"/>
      <c r="AB97" s="1209"/>
      <c r="AC97" s="1209"/>
      <c r="AE97" s="1186"/>
      <c r="AF97" s="1189"/>
      <c r="AG97" s="409" t="s">
        <v>744</v>
      </c>
      <c r="AH97" s="410" t="s">
        <v>738</v>
      </c>
      <c r="AI97" s="1209"/>
      <c r="AJ97" s="1209"/>
      <c r="AK97" s="1209"/>
      <c r="AL97" s="1209"/>
      <c r="AM97" s="1209"/>
      <c r="AN97" s="1209"/>
      <c r="AO97" s="1209"/>
      <c r="AP97" s="1209"/>
      <c r="AQ97" s="1209"/>
      <c r="AR97" s="1209"/>
    </row>
    <row r="98" spans="1:44" ht="33" outlineLevel="1" thickBot="1">
      <c r="B98" s="500" t="s">
        <v>663</v>
      </c>
      <c r="C98" s="506">
        <v>15</v>
      </c>
      <c r="D98" s="506">
        <v>15</v>
      </c>
      <c r="E98" s="506">
        <v>15</v>
      </c>
      <c r="F98" s="506">
        <v>15</v>
      </c>
      <c r="G98" s="507"/>
      <c r="H98" s="507"/>
      <c r="I98" s="507"/>
      <c r="J98" s="507"/>
      <c r="K98" s="503"/>
      <c r="L98" s="504">
        <v>3</v>
      </c>
      <c r="M98" s="363"/>
      <c r="N98" s="363"/>
      <c r="P98" s="1187"/>
      <c r="Q98" s="411" t="s">
        <v>745</v>
      </c>
      <c r="R98" s="412" t="s">
        <v>746</v>
      </c>
      <c r="S98" s="413" t="s">
        <v>738</v>
      </c>
      <c r="T98" s="414">
        <v>1</v>
      </c>
      <c r="U98" s="415">
        <v>1</v>
      </c>
      <c r="V98" s="414">
        <v>0</v>
      </c>
      <c r="W98" s="415">
        <v>0</v>
      </c>
      <c r="X98" s="414">
        <v>0</v>
      </c>
      <c r="Y98" s="415">
        <v>0</v>
      </c>
      <c r="Z98" s="414">
        <v>1</v>
      </c>
      <c r="AA98" s="415">
        <v>1</v>
      </c>
      <c r="AB98" s="414">
        <v>0</v>
      </c>
      <c r="AC98" s="417">
        <v>0</v>
      </c>
      <c r="AE98" s="1187"/>
      <c r="AF98" s="411" t="s">
        <v>745</v>
      </c>
      <c r="AG98" s="412" t="s">
        <v>746</v>
      </c>
      <c r="AH98" s="413" t="s">
        <v>738</v>
      </c>
      <c r="AI98" s="414">
        <v>1</v>
      </c>
      <c r="AJ98" s="415">
        <v>1</v>
      </c>
      <c r="AK98" s="414">
        <v>0</v>
      </c>
      <c r="AL98" s="415">
        <v>0</v>
      </c>
      <c r="AM98" s="414">
        <v>0</v>
      </c>
      <c r="AN98" s="415">
        <v>0</v>
      </c>
      <c r="AO98" s="414">
        <v>1</v>
      </c>
      <c r="AP98" s="415">
        <v>1</v>
      </c>
      <c r="AQ98" s="414">
        <v>0</v>
      </c>
      <c r="AR98" s="417">
        <v>0</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6" outlineLevel="1">
      <c r="B102" s="383" t="s">
        <v>747</v>
      </c>
      <c r="C102" s="397">
        <v>0.3</v>
      </c>
      <c r="D102" s="397">
        <v>0.3</v>
      </c>
      <c r="E102" s="397">
        <v>0.3</v>
      </c>
      <c r="F102" s="397">
        <v>0.3</v>
      </c>
      <c r="G102" s="422"/>
      <c r="H102" s="425"/>
      <c r="I102" s="425"/>
      <c r="J102" s="425"/>
      <c r="K102" s="426" t="s">
        <v>59</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6" outlineLevel="1">
      <c r="B104" s="383" t="s">
        <v>750</v>
      </c>
      <c r="C104" s="397">
        <v>9</v>
      </c>
      <c r="D104" s="397">
        <v>7</v>
      </c>
      <c r="E104" s="397">
        <v>6</v>
      </c>
      <c r="F104" s="397">
        <v>6</v>
      </c>
      <c r="G104" s="425"/>
      <c r="H104" s="425"/>
      <c r="I104" s="425"/>
      <c r="J104" s="425"/>
      <c r="K104" s="423"/>
      <c r="L104" s="427" t="s">
        <v>748</v>
      </c>
      <c r="M104" s="428"/>
      <c r="N104" s="428"/>
      <c r="T104" s="224">
        <f>C$23</f>
        <v>0.3</v>
      </c>
      <c r="U104" s="224">
        <f t="shared" ref="U104:V104" si="5">D$23</f>
        <v>0.3</v>
      </c>
      <c r="V104" s="224">
        <f t="shared" si="5"/>
        <v>0.3</v>
      </c>
    </row>
    <row r="105" spans="1:44" outlineLevel="1">
      <c r="B105" s="383" t="s">
        <v>366</v>
      </c>
      <c r="C105" s="397">
        <v>3</v>
      </c>
      <c r="D105" s="397">
        <v>2</v>
      </c>
      <c r="E105" s="397">
        <v>2</v>
      </c>
      <c r="F105" s="397">
        <v>2</v>
      </c>
      <c r="G105" s="425"/>
      <c r="H105" s="425"/>
      <c r="I105" s="425"/>
      <c r="J105" s="425"/>
      <c r="K105" s="423"/>
      <c r="L105" s="427" t="s">
        <v>748</v>
      </c>
      <c r="M105" s="428"/>
      <c r="N105" s="428"/>
    </row>
    <row r="106" spans="1:44" ht="16" outlineLevel="1" thickBot="1">
      <c r="B106" s="429" t="s">
        <v>367</v>
      </c>
      <c r="C106" s="430">
        <v>1</v>
      </c>
      <c r="D106" s="430">
        <v>1</v>
      </c>
      <c r="E106" s="430">
        <v>1</v>
      </c>
      <c r="F106" s="430">
        <v>1</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48" outlineLevel="1">
      <c r="A108" s="435" t="s">
        <v>797</v>
      </c>
      <c r="B108" s="436" t="s">
        <v>792</v>
      </c>
      <c r="C108" s="511">
        <v>0.06</v>
      </c>
      <c r="D108" s="512">
        <v>0.05</v>
      </c>
      <c r="E108" s="512">
        <v>0.05</v>
      </c>
      <c r="F108" s="513">
        <v>0.05</v>
      </c>
      <c r="G108" s="425"/>
      <c r="H108" s="425"/>
      <c r="I108" s="425"/>
      <c r="J108" s="425"/>
      <c r="K108" s="426" t="s">
        <v>16</v>
      </c>
      <c r="L108" s="440" t="s">
        <v>753</v>
      </c>
      <c r="M108" s="420"/>
      <c r="N108" s="420"/>
    </row>
    <row r="109" spans="1:44" outlineLevel="1">
      <c r="B109" s="441" t="s">
        <v>754</v>
      </c>
      <c r="C109" s="442">
        <v>65</v>
      </c>
      <c r="D109" s="442">
        <v>65</v>
      </c>
      <c r="E109" s="442">
        <v>65</v>
      </c>
      <c r="F109" s="442">
        <v>65</v>
      </c>
      <c r="G109" s="425"/>
      <c r="H109" s="425"/>
      <c r="I109" s="425"/>
      <c r="J109" s="425"/>
      <c r="K109" s="444"/>
      <c r="L109" s="373">
        <v>3</v>
      </c>
      <c r="M109" s="71"/>
      <c r="N109" s="420"/>
    </row>
    <row r="110" spans="1:44" outlineLevel="1">
      <c r="B110" s="441" t="s">
        <v>755</v>
      </c>
      <c r="C110" s="442">
        <f>100-C109</f>
        <v>35</v>
      </c>
      <c r="D110" s="442">
        <f t="shared" ref="D110:F110" si="6">100-D109</f>
        <v>35</v>
      </c>
      <c r="E110" s="442">
        <f t="shared" si="6"/>
        <v>35</v>
      </c>
      <c r="F110" s="442">
        <f t="shared" si="6"/>
        <v>35</v>
      </c>
      <c r="G110" s="425"/>
      <c r="H110" s="425"/>
      <c r="I110" s="425"/>
      <c r="J110" s="425"/>
      <c r="K110" s="444"/>
      <c r="L110" s="373">
        <v>3</v>
      </c>
      <c r="M110" s="420"/>
      <c r="N110" s="420"/>
    </row>
    <row r="111" spans="1:44" outlineLevel="1">
      <c r="B111" s="383" t="s">
        <v>793</v>
      </c>
      <c r="C111" s="445">
        <f>2000/1000</f>
        <v>2</v>
      </c>
      <c r="D111" s="446">
        <f>1900/1000</f>
        <v>1.9</v>
      </c>
      <c r="E111" s="446">
        <f>1800/1000</f>
        <v>1.8</v>
      </c>
      <c r="F111" s="447">
        <f>1700/1000</f>
        <v>1.7</v>
      </c>
      <c r="G111" s="425"/>
      <c r="H111" s="425"/>
      <c r="I111" s="425"/>
      <c r="J111" s="425"/>
      <c r="K111" s="448"/>
      <c r="L111" s="373">
        <v>3</v>
      </c>
      <c r="M111" s="420"/>
      <c r="N111" s="420"/>
    </row>
    <row r="112" spans="1:44" outlineLevel="1">
      <c r="B112" s="383" t="s">
        <v>794</v>
      </c>
      <c r="C112" s="449">
        <f>1.1/3.6</f>
        <v>0.30555555555555558</v>
      </c>
      <c r="D112" s="449">
        <f>1/3.6</f>
        <v>0.27777777777777779</v>
      </c>
      <c r="E112" s="449">
        <f>1/3.6</f>
        <v>0.27777777777777779</v>
      </c>
      <c r="F112" s="449">
        <f>1/3.6</f>
        <v>0.27777777777777779</v>
      </c>
      <c r="G112" s="425"/>
      <c r="H112" s="425"/>
      <c r="I112" s="425"/>
      <c r="J112" s="425"/>
      <c r="K112" s="448"/>
      <c r="L112" s="373">
        <v>3</v>
      </c>
      <c r="M112" s="450"/>
      <c r="N112" s="361"/>
      <c r="P112" s="1157">
        <f>C112</f>
        <v>0.30555555555555558</v>
      </c>
      <c r="Q112" s="1135"/>
      <c r="R112" s="1135"/>
      <c r="S112" s="1135"/>
      <c r="T112" s="1135"/>
      <c r="U112" s="1158"/>
    </row>
    <row r="113" spans="2:30" ht="16" outlineLevel="1" thickBot="1">
      <c r="B113" s="500" t="s">
        <v>758</v>
      </c>
      <c r="C113" s="514">
        <f>C92/100*73</f>
        <v>0.10220000000000001</v>
      </c>
      <c r="D113" s="514">
        <f>D92/100*75</f>
        <v>0.09</v>
      </c>
      <c r="E113" s="514">
        <f>E92/100*76</f>
        <v>8.3600000000000008E-2</v>
      </c>
      <c r="F113" s="514">
        <f>F92/100*76</f>
        <v>7.5999999999999998E-2</v>
      </c>
      <c r="G113" s="515"/>
      <c r="H113" s="515"/>
      <c r="I113" s="515"/>
      <c r="J113" s="515"/>
      <c r="K113" s="503" t="s">
        <v>20</v>
      </c>
      <c r="L113" s="504">
        <v>3</v>
      </c>
      <c r="M113" s="450"/>
      <c r="N113" s="361"/>
      <c r="P113" s="1159">
        <f>C113</f>
        <v>0.10220000000000001</v>
      </c>
      <c r="Q113" s="1160"/>
      <c r="R113" s="1160"/>
      <c r="S113" s="1160"/>
      <c r="T113" s="1160"/>
      <c r="U113" s="1161"/>
    </row>
    <row r="114" spans="2:30" outlineLevel="1">
      <c r="B114" s="500" t="s">
        <v>759</v>
      </c>
      <c r="C114" s="516">
        <f>C112-C113</f>
        <v>0.20335555555555557</v>
      </c>
      <c r="D114" s="516">
        <f>D112-D113</f>
        <v>0.18777777777777779</v>
      </c>
      <c r="E114" s="516">
        <f>E112-E113</f>
        <v>0.19417777777777778</v>
      </c>
      <c r="F114" s="516">
        <f>F112-F113</f>
        <v>0.20177777777777778</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76</v>
      </c>
      <c r="L118" s="525"/>
      <c r="M118" s="363"/>
      <c r="N118" s="363"/>
      <c r="O118" s="465">
        <f>C91</f>
        <v>101</v>
      </c>
      <c r="P118" s="466">
        <f>C87</f>
        <v>2020</v>
      </c>
      <c r="Q118" s="58">
        <f>P118</f>
        <v>2020</v>
      </c>
      <c r="R118" s="466">
        <f>O118/100</f>
        <v>1.01</v>
      </c>
      <c r="S118" s="58"/>
      <c r="T118" s="466">
        <f>C95</f>
        <v>25</v>
      </c>
      <c r="U118" s="467">
        <f>C125</f>
        <v>447</v>
      </c>
      <c r="V118" s="467">
        <f>C127</f>
        <v>14.9</v>
      </c>
      <c r="W118" s="467">
        <f>C128</f>
        <v>2.276388888888889</v>
      </c>
      <c r="X118" s="58"/>
      <c r="Y118" s="58"/>
      <c r="Z118" s="466">
        <f>C102</f>
        <v>0.3</v>
      </c>
      <c r="AA118" s="468">
        <f>C104</f>
        <v>9</v>
      </c>
      <c r="AB118" s="468">
        <f>C105</f>
        <v>3</v>
      </c>
      <c r="AC118" s="468">
        <f>C106</f>
        <v>1</v>
      </c>
      <c r="AD118" s="468">
        <f>C103</f>
        <v>0.1</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103</v>
      </c>
      <c r="P119" s="466">
        <f>D87</f>
        <v>2030</v>
      </c>
      <c r="Q119" s="58"/>
      <c r="R119" s="466">
        <f>O119/100</f>
        <v>1.03</v>
      </c>
      <c r="S119" s="58"/>
      <c r="T119" s="466">
        <f>D95</f>
        <v>25</v>
      </c>
      <c r="U119" s="467">
        <f>D125</f>
        <v>372.50000000000006</v>
      </c>
      <c r="V119" s="467">
        <f>D127</f>
        <v>14.154999999999999</v>
      </c>
      <c r="W119" s="467">
        <f>D128</f>
        <v>2.0694444444444446</v>
      </c>
      <c r="X119" s="58"/>
      <c r="Y119" s="58"/>
      <c r="Z119" s="466">
        <f>D102</f>
        <v>0.3</v>
      </c>
      <c r="AA119" s="468">
        <f>D104</f>
        <v>7</v>
      </c>
      <c r="AB119" s="468">
        <f>D105</f>
        <v>2</v>
      </c>
      <c r="AC119" s="468">
        <f>D106</f>
        <v>1</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103</v>
      </c>
      <c r="P120" s="466">
        <f>E87</f>
        <v>2040</v>
      </c>
      <c r="Q120" s="58"/>
      <c r="R120" s="466">
        <f>O120/100</f>
        <v>1.03</v>
      </c>
      <c r="S120" s="58"/>
      <c r="T120" s="466">
        <f>E95</f>
        <v>25</v>
      </c>
      <c r="U120" s="467">
        <f>E125</f>
        <v>372.50000000000006</v>
      </c>
      <c r="V120" s="467">
        <f>E127</f>
        <v>13.41</v>
      </c>
      <c r="W120" s="467">
        <f>E128</f>
        <v>2.0694444444444446</v>
      </c>
      <c r="X120" s="58"/>
      <c r="Y120" s="58"/>
      <c r="Z120" s="466">
        <f>E102</f>
        <v>0.3</v>
      </c>
      <c r="AA120" s="468">
        <f>E104</f>
        <v>6</v>
      </c>
      <c r="AB120" s="468">
        <f>E105</f>
        <v>2</v>
      </c>
      <c r="AC120" s="468">
        <f>E106</f>
        <v>1</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103</v>
      </c>
      <c r="P121" s="466">
        <f>F87</f>
        <v>2050</v>
      </c>
      <c r="Q121" s="58"/>
      <c r="R121" s="466">
        <f>O121/100</f>
        <v>1.03</v>
      </c>
      <c r="S121" s="58"/>
      <c r="T121" s="466">
        <f>F95</f>
        <v>25</v>
      </c>
      <c r="U121" s="467">
        <f>F125</f>
        <v>372.50000000000006</v>
      </c>
      <c r="V121" s="467">
        <f>F127</f>
        <v>12.664999999999999</v>
      </c>
      <c r="W121" s="467">
        <f>F128</f>
        <v>2.0694444444444446</v>
      </c>
      <c r="X121" s="58"/>
      <c r="Y121" s="58"/>
      <c r="Z121" s="466">
        <f>F102</f>
        <v>0.3</v>
      </c>
      <c r="AA121" s="468">
        <f>F104</f>
        <v>6</v>
      </c>
      <c r="AB121" s="468">
        <f>F105</f>
        <v>2</v>
      </c>
      <c r="AC121" s="468">
        <f>F106</f>
        <v>1</v>
      </c>
      <c r="AD121" s="468">
        <f>F103</f>
        <v>0.1</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535" t="s">
        <v>36</v>
      </c>
      <c r="D124" s="536" t="s">
        <v>36</v>
      </c>
      <c r="E124" s="536" t="s">
        <v>36</v>
      </c>
      <c r="F124" s="537" t="s">
        <v>36</v>
      </c>
      <c r="G124" s="538"/>
      <c r="H124" s="538"/>
      <c r="I124" s="538"/>
      <c r="J124" s="538"/>
      <c r="K124" s="538"/>
      <c r="L124" s="539"/>
      <c r="M124" s="363"/>
      <c r="N124" s="363"/>
    </row>
    <row r="125" spans="2:30" ht="64" outlineLevel="1">
      <c r="B125" s="461" t="s">
        <v>769</v>
      </c>
      <c r="C125" s="483">
        <f>C108*$F$4*1000</f>
        <v>447</v>
      </c>
      <c r="D125" s="483">
        <f t="shared" ref="D125:F125" si="7">D108*$F$4*1000</f>
        <v>372.50000000000006</v>
      </c>
      <c r="E125" s="483">
        <f t="shared" si="7"/>
        <v>372.50000000000006</v>
      </c>
      <c r="F125" s="483">
        <f t="shared" si="7"/>
        <v>372.50000000000006</v>
      </c>
      <c r="G125" s="483"/>
      <c r="H125" s="484"/>
      <c r="I125" s="420" t="s">
        <v>332</v>
      </c>
      <c r="J125" s="420"/>
      <c r="K125" s="484"/>
      <c r="L125" s="484"/>
      <c r="N125" s="420"/>
    </row>
    <row r="126" spans="2:30" outlineLevel="1">
      <c r="B126" s="485" t="s">
        <v>770</v>
      </c>
      <c r="C126" s="486">
        <f>C125*$I126</f>
        <v>223500</v>
      </c>
      <c r="D126" s="486">
        <f>D125*$I126</f>
        <v>186250.00000000003</v>
      </c>
      <c r="E126" s="486">
        <f>E125*$I126</f>
        <v>186250.00000000003</v>
      </c>
      <c r="F126" s="486">
        <f>F125*$I126</f>
        <v>186250.00000000003</v>
      </c>
      <c r="G126" s="486"/>
      <c r="H126" s="484"/>
      <c r="I126" s="71">
        <v>500</v>
      </c>
      <c r="J126" s="420" t="s">
        <v>330</v>
      </c>
      <c r="K126" s="484"/>
      <c r="L126" s="484"/>
      <c r="N126" s="420"/>
    </row>
    <row r="127" spans="2:30" ht="48" outlineLevel="1">
      <c r="B127" s="461" t="s">
        <v>771</v>
      </c>
      <c r="C127" s="359">
        <f>C111*$F$4</f>
        <v>14.9</v>
      </c>
      <c r="D127" s="359">
        <f t="shared" ref="D127:F128" si="8">D111*$F$4</f>
        <v>14.154999999999999</v>
      </c>
      <c r="E127" s="359">
        <f t="shared" si="8"/>
        <v>13.41</v>
      </c>
      <c r="F127" s="359">
        <f t="shared" si="8"/>
        <v>12.664999999999999</v>
      </c>
      <c r="G127" s="359"/>
      <c r="I127" s="420" t="s">
        <v>333</v>
      </c>
      <c r="J127" s="420"/>
      <c r="N127" s="420"/>
    </row>
    <row r="128" spans="2:30" ht="48" outlineLevel="1">
      <c r="B128" s="461" t="s">
        <v>772</v>
      </c>
      <c r="C128" s="487">
        <f>C112*$F$4</f>
        <v>2.276388888888889</v>
      </c>
      <c r="D128" s="487">
        <f t="shared" si="8"/>
        <v>2.0694444444444446</v>
      </c>
      <c r="E128" s="487">
        <f t="shared" si="8"/>
        <v>2.0694444444444446</v>
      </c>
      <c r="F128" s="487">
        <f t="shared" si="8"/>
        <v>2.0694444444444446</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2:13" outlineLevel="1">
      <c r="B145" s="496" t="s">
        <v>6</v>
      </c>
      <c r="C145" s="497" t="s">
        <v>784</v>
      </c>
      <c r="E145" s="490"/>
      <c r="F145" s="490"/>
    </row>
    <row r="146" spans="2:13" outlineLevel="1">
      <c r="B146" s="496" t="s">
        <v>59</v>
      </c>
      <c r="C146" s="489" t="s">
        <v>785</v>
      </c>
      <c r="E146" s="490"/>
      <c r="F146" s="490"/>
    </row>
    <row r="147" spans="2:13" outlineLevel="1">
      <c r="B147" s="496" t="s">
        <v>16</v>
      </c>
      <c r="C147" s="489" t="s">
        <v>786</v>
      </c>
      <c r="E147" s="490"/>
      <c r="F147" s="490"/>
    </row>
    <row r="148" spans="2:13" outlineLevel="1">
      <c r="B148" s="496" t="s">
        <v>20</v>
      </c>
      <c r="C148" s="489" t="s">
        <v>787</v>
      </c>
      <c r="E148" s="490"/>
      <c r="F148" s="490"/>
    </row>
    <row r="149" spans="2:13" outlineLevel="1">
      <c r="B149" s="496" t="s">
        <v>76</v>
      </c>
      <c r="C149" s="498" t="s">
        <v>788</v>
      </c>
      <c r="E149" s="490"/>
      <c r="F149" s="490"/>
    </row>
    <row r="150" spans="2:13" outlineLevel="1">
      <c r="B150" s="496" t="s">
        <v>25</v>
      </c>
      <c r="C150" s="489" t="s">
        <v>789</v>
      </c>
      <c r="E150" s="490"/>
      <c r="F150" s="490"/>
    </row>
    <row r="151" spans="2:13" outlineLevel="1"/>
    <row r="152" spans="2:13" outlineLevel="1">
      <c r="M152" s="214"/>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360" t="s">
        <v>802</v>
      </c>
      <c r="B166" s="1134"/>
      <c r="C166" s="1135"/>
      <c r="D166" s="1135"/>
      <c r="E166" s="1135"/>
      <c r="F166" s="1135"/>
      <c r="G166" s="1135"/>
      <c r="H166" s="1135"/>
      <c r="I166" s="1135"/>
      <c r="J166" s="1135"/>
      <c r="K166" s="1135"/>
      <c r="L166" s="1135"/>
      <c r="M166" s="1135"/>
      <c r="N166" s="361"/>
      <c r="P166" s="1135"/>
      <c r="Q166" s="1135"/>
      <c r="R166" s="1135"/>
      <c r="S166" s="1135"/>
      <c r="T166" s="1135"/>
      <c r="U166" s="1135"/>
    </row>
    <row r="167" spans="1:44" ht="16" outlineLevel="1" thickBot="1">
      <c r="B167" s="1134"/>
      <c r="C167" s="1135"/>
      <c r="D167" s="1135"/>
      <c r="E167" s="1135"/>
      <c r="F167" s="1135"/>
      <c r="G167" s="1135"/>
      <c r="H167" s="1135"/>
      <c r="I167" s="1135"/>
      <c r="J167" s="1135"/>
      <c r="K167" s="1135"/>
      <c r="L167" s="1135"/>
      <c r="M167" s="1135"/>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 customHeight="1" outlineLevel="1" thickBot="1">
      <c r="B168" s="362" t="s">
        <v>0</v>
      </c>
      <c r="C168" s="1201" t="s">
        <v>803</v>
      </c>
      <c r="D168" s="1177"/>
      <c r="E168" s="1177"/>
      <c r="F168" s="1177"/>
      <c r="G168" s="1177"/>
      <c r="H168" s="1177"/>
      <c r="I168" s="1177"/>
      <c r="J168" s="1177"/>
      <c r="K168" s="1177"/>
      <c r="L168" s="1178"/>
      <c r="M168" s="363"/>
      <c r="N168" s="363"/>
      <c r="P168" s="364" t="s">
        <v>713</v>
      </c>
      <c r="Q168" s="365"/>
      <c r="R168" s="366"/>
      <c r="S168" s="1143" t="s">
        <v>714</v>
      </c>
      <c r="T168" s="1147" t="s">
        <v>715</v>
      </c>
      <c r="U168" s="1148"/>
      <c r="V168" s="1147" t="s">
        <v>716</v>
      </c>
      <c r="W168" s="1148"/>
      <c r="X168" s="1147" t="s">
        <v>717</v>
      </c>
      <c r="Y168" s="1148"/>
      <c r="Z168" s="1147" t="s">
        <v>718</v>
      </c>
      <c r="AA168" s="1148"/>
      <c r="AB168" s="1147" t="s">
        <v>719</v>
      </c>
      <c r="AC168" s="1148"/>
      <c r="AE168" s="364" t="s">
        <v>720</v>
      </c>
      <c r="AF168" s="365"/>
      <c r="AG168" s="366"/>
      <c r="AH168" s="1143" t="s">
        <v>714</v>
      </c>
      <c r="AI168" s="1147" t="s">
        <v>715</v>
      </c>
      <c r="AJ168" s="1148"/>
      <c r="AK168" s="1147" t="s">
        <v>716</v>
      </c>
      <c r="AL168" s="1148"/>
      <c r="AM168" s="1147" t="s">
        <v>717</v>
      </c>
      <c r="AN168" s="1148"/>
      <c r="AO168" s="1147" t="s">
        <v>718</v>
      </c>
      <c r="AP168" s="1148"/>
      <c r="AQ168" s="1147" t="s">
        <v>719</v>
      </c>
      <c r="AR168" s="1148"/>
    </row>
    <row r="169" spans="1:44" ht="15" customHeight="1" outlineLevel="1" thickBot="1">
      <c r="B169" s="1168" t="s">
        <v>4</v>
      </c>
      <c r="C169" s="1170">
        <v>2020</v>
      </c>
      <c r="D169" s="1170">
        <v>2030</v>
      </c>
      <c r="E169" s="1170">
        <v>2040</v>
      </c>
      <c r="F169" s="1170">
        <v>2050</v>
      </c>
      <c r="G169" s="1217" t="s">
        <v>721</v>
      </c>
      <c r="H169" s="1218"/>
      <c r="I169" s="1217" t="s">
        <v>648</v>
      </c>
      <c r="J169" s="1218"/>
      <c r="K169" s="1204" t="s">
        <v>2</v>
      </c>
      <c r="L169" s="1204" t="s">
        <v>3</v>
      </c>
      <c r="M169" s="367"/>
      <c r="N169" s="367"/>
      <c r="P169" s="1151" t="s">
        <v>0</v>
      </c>
      <c r="Q169" s="368"/>
      <c r="R169" s="368"/>
      <c r="S169" s="1144"/>
      <c r="T169" s="1149"/>
      <c r="U169" s="1150"/>
      <c r="V169" s="1149"/>
      <c r="W169" s="1150"/>
      <c r="X169" s="1149"/>
      <c r="Y169" s="1150"/>
      <c r="Z169" s="1149"/>
      <c r="AA169" s="1150"/>
      <c r="AB169" s="1149"/>
      <c r="AC169" s="1150"/>
      <c r="AE169" s="1151" t="s">
        <v>0</v>
      </c>
      <c r="AF169" s="368"/>
      <c r="AG169" s="368"/>
      <c r="AH169" s="1144"/>
      <c r="AI169" s="1149"/>
      <c r="AJ169" s="1150"/>
      <c r="AK169" s="1149"/>
      <c r="AL169" s="1150"/>
      <c r="AM169" s="1149"/>
      <c r="AN169" s="1150"/>
      <c r="AO169" s="1149"/>
      <c r="AP169" s="1150"/>
      <c r="AQ169" s="1149"/>
      <c r="AR169" s="1150"/>
    </row>
    <row r="170" spans="1:44" ht="15" customHeight="1" outlineLevel="1" thickBot="1">
      <c r="B170" s="1169"/>
      <c r="C170" s="1171"/>
      <c r="D170" s="1171"/>
      <c r="E170" s="1171"/>
      <c r="F170" s="1171"/>
      <c r="G170" s="540" t="s">
        <v>649</v>
      </c>
      <c r="H170" s="540" t="s">
        <v>650</v>
      </c>
      <c r="I170" s="540" t="s">
        <v>649</v>
      </c>
      <c r="J170" s="540" t="s">
        <v>650</v>
      </c>
      <c r="K170" s="1205"/>
      <c r="L170" s="1205"/>
      <c r="M170" s="370"/>
      <c r="N170" s="370"/>
      <c r="P170" s="1152"/>
      <c r="Q170" s="1154" t="s">
        <v>722</v>
      </c>
      <c r="R170" s="1155" t="s">
        <v>723</v>
      </c>
      <c r="S170" s="1145"/>
      <c r="T170" s="1149"/>
      <c r="U170" s="1150"/>
      <c r="V170" s="1149"/>
      <c r="W170" s="1150"/>
      <c r="X170" s="1149"/>
      <c r="Y170" s="1150"/>
      <c r="Z170" s="1149"/>
      <c r="AA170" s="1150"/>
      <c r="AB170" s="1149"/>
      <c r="AC170" s="1150"/>
      <c r="AE170" s="1152"/>
      <c r="AF170" s="1198" t="s">
        <v>722</v>
      </c>
      <c r="AG170" s="1155" t="s">
        <v>723</v>
      </c>
      <c r="AH170" s="1145"/>
      <c r="AI170" s="1149"/>
      <c r="AJ170" s="1150"/>
      <c r="AK170" s="1149"/>
      <c r="AL170" s="1150"/>
      <c r="AM170" s="1149"/>
      <c r="AN170" s="1150"/>
      <c r="AO170" s="1149"/>
      <c r="AP170" s="1150"/>
      <c r="AQ170" s="1149"/>
      <c r="AR170" s="1150"/>
    </row>
    <row r="171" spans="1:44" ht="33"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53"/>
      <c r="Q171" s="1146"/>
      <c r="R171" s="1156"/>
      <c r="S171" s="1146"/>
      <c r="T171" s="374" t="s">
        <v>726</v>
      </c>
      <c r="U171" s="375" t="s">
        <v>727</v>
      </c>
      <c r="V171" s="374" t="s">
        <v>726</v>
      </c>
      <c r="W171" s="375" t="s">
        <v>727</v>
      </c>
      <c r="X171" s="374" t="s">
        <v>726</v>
      </c>
      <c r="Y171" s="375" t="s">
        <v>727</v>
      </c>
      <c r="Z171" s="374" t="s">
        <v>726</v>
      </c>
      <c r="AA171" s="375" t="s">
        <v>727</v>
      </c>
      <c r="AB171" s="374" t="s">
        <v>726</v>
      </c>
      <c r="AC171" s="375" t="s">
        <v>727</v>
      </c>
      <c r="AE171" s="1153"/>
      <c r="AF171" s="1199"/>
      <c r="AG171" s="1156"/>
      <c r="AH171" s="1146"/>
      <c r="AI171" s="374" t="s">
        <v>726</v>
      </c>
      <c r="AJ171" s="375" t="s">
        <v>727</v>
      </c>
      <c r="AK171" s="374" t="s">
        <v>726</v>
      </c>
      <c r="AL171" s="375" t="s">
        <v>727</v>
      </c>
      <c r="AM171" s="374" t="s">
        <v>726</v>
      </c>
      <c r="AN171" s="375" t="s">
        <v>727</v>
      </c>
      <c r="AO171" s="374" t="s">
        <v>726</v>
      </c>
      <c r="AP171" s="375" t="s">
        <v>727</v>
      </c>
      <c r="AQ171" s="374" t="s">
        <v>726</v>
      </c>
      <c r="AR171" s="375" t="s">
        <v>727</v>
      </c>
    </row>
    <row r="172" spans="1:44" ht="14.5" customHeight="1" outlineLevel="1">
      <c r="B172" s="541" t="s">
        <v>728</v>
      </c>
      <c r="C172" s="542">
        <v>94</v>
      </c>
      <c r="D172" s="542">
        <f>C172+1</f>
        <v>95</v>
      </c>
      <c r="E172" s="543">
        <f>D172</f>
        <v>95</v>
      </c>
      <c r="F172" s="542">
        <f>D172+1</f>
        <v>96</v>
      </c>
      <c r="G172" s="542">
        <v>90</v>
      </c>
      <c r="H172" s="542">
        <v>96</v>
      </c>
      <c r="I172" s="542">
        <v>90</v>
      </c>
      <c r="J172" s="542">
        <v>98</v>
      </c>
      <c r="K172" s="372" t="s">
        <v>59</v>
      </c>
      <c r="L172" s="373" t="s">
        <v>729</v>
      </c>
      <c r="M172" s="370"/>
      <c r="N172" s="370"/>
      <c r="P172" s="1200" t="str">
        <f>C168</f>
        <v>Hot water boiler, Natural gas or biogas</v>
      </c>
      <c r="Q172" s="1188" t="s">
        <v>730</v>
      </c>
      <c r="R172" s="381" t="s">
        <v>731</v>
      </c>
      <c r="S172" s="382"/>
      <c r="T172" s="1191">
        <v>0</v>
      </c>
      <c r="U172" s="1179">
        <v>0</v>
      </c>
      <c r="V172" s="1191">
        <v>0</v>
      </c>
      <c r="W172" s="1179">
        <v>0</v>
      </c>
      <c r="X172" s="1191">
        <v>0</v>
      </c>
      <c r="Y172" s="1179">
        <v>0</v>
      </c>
      <c r="Z172" s="1191">
        <v>0</v>
      </c>
      <c r="AA172" s="1179">
        <v>0</v>
      </c>
      <c r="AB172" s="1191">
        <v>0</v>
      </c>
      <c r="AC172" s="1179">
        <v>0</v>
      </c>
      <c r="AE172" s="1185" t="str">
        <f>P172</f>
        <v>Hot water boiler, Natural gas or biogas</v>
      </c>
      <c r="AF172" s="1188" t="s">
        <v>730</v>
      </c>
      <c r="AG172" s="381" t="s">
        <v>731</v>
      </c>
      <c r="AH172" s="382"/>
      <c r="AI172" s="1191">
        <v>0</v>
      </c>
      <c r="AJ172" s="1179">
        <v>0</v>
      </c>
      <c r="AK172" s="1191">
        <v>0</v>
      </c>
      <c r="AL172" s="1179">
        <v>0</v>
      </c>
      <c r="AM172" s="1191">
        <v>0</v>
      </c>
      <c r="AN172" s="1179">
        <v>0</v>
      </c>
      <c r="AO172" s="1191">
        <v>0</v>
      </c>
      <c r="AP172" s="1179">
        <v>0</v>
      </c>
      <c r="AQ172" s="1191">
        <v>0</v>
      </c>
      <c r="AR172" s="1179">
        <v>0</v>
      </c>
    </row>
    <row r="173" spans="1:44" outlineLevel="1">
      <c r="B173" s="383" t="s">
        <v>732</v>
      </c>
      <c r="C173" s="384">
        <f t="shared" ref="C173:J173" si="9">C172-1</f>
        <v>93</v>
      </c>
      <c r="D173" s="384">
        <f t="shared" si="9"/>
        <v>94</v>
      </c>
      <c r="E173" s="384">
        <f t="shared" si="9"/>
        <v>94</v>
      </c>
      <c r="F173" s="384">
        <f t="shared" si="9"/>
        <v>95</v>
      </c>
      <c r="G173" s="505">
        <f t="shared" si="9"/>
        <v>89</v>
      </c>
      <c r="H173" s="505">
        <f t="shared" si="9"/>
        <v>95</v>
      </c>
      <c r="I173" s="505">
        <f t="shared" si="9"/>
        <v>89</v>
      </c>
      <c r="J173" s="505">
        <f t="shared" si="9"/>
        <v>97</v>
      </c>
      <c r="K173" s="372"/>
      <c r="L173" s="373" t="s">
        <v>729</v>
      </c>
      <c r="M173" s="370"/>
      <c r="N173" s="370"/>
      <c r="O173" s="71"/>
      <c r="P173" s="1186"/>
      <c r="Q173" s="1189"/>
      <c r="R173" s="388" t="s">
        <v>733</v>
      </c>
      <c r="S173" s="389"/>
      <c r="T173" s="1192"/>
      <c r="U173" s="1180"/>
      <c r="V173" s="1192"/>
      <c r="W173" s="1180"/>
      <c r="X173" s="1192"/>
      <c r="Y173" s="1180"/>
      <c r="Z173" s="1192"/>
      <c r="AA173" s="1180"/>
      <c r="AB173" s="1192"/>
      <c r="AC173" s="1180"/>
      <c r="AE173" s="1186"/>
      <c r="AF173" s="1189"/>
      <c r="AG173" s="388" t="s">
        <v>733</v>
      </c>
      <c r="AH173" s="389"/>
      <c r="AI173" s="1192"/>
      <c r="AJ173" s="1180"/>
      <c r="AK173" s="1192"/>
      <c r="AL173" s="1180"/>
      <c r="AM173" s="1192"/>
      <c r="AN173" s="1180"/>
      <c r="AO173" s="1192"/>
      <c r="AP173" s="1180"/>
      <c r="AQ173" s="1192"/>
      <c r="AR173" s="1180"/>
    </row>
    <row r="174" spans="1:44" ht="16" outlineLevel="1" thickBot="1">
      <c r="B174" s="541" t="s">
        <v>734</v>
      </c>
      <c r="C174" s="544">
        <v>0.14000000000000001</v>
      </c>
      <c r="D174" s="545">
        <v>0.12</v>
      </c>
      <c r="E174" s="545">
        <v>0.11</v>
      </c>
      <c r="F174" s="546">
        <v>0.1</v>
      </c>
      <c r="G174" s="545">
        <v>0.1</v>
      </c>
      <c r="H174" s="545">
        <v>0.14000000000000001</v>
      </c>
      <c r="I174" s="545">
        <v>0.08</v>
      </c>
      <c r="J174" s="545">
        <v>0.12</v>
      </c>
      <c r="K174" s="547"/>
      <c r="L174" s="548">
        <v>3</v>
      </c>
      <c r="M174" s="370"/>
      <c r="N174" s="370"/>
      <c r="O174" s="71"/>
      <c r="P174" s="1186"/>
      <c r="Q174" s="1190"/>
      <c r="R174" s="393" t="s">
        <v>735</v>
      </c>
      <c r="S174" s="394"/>
      <c r="T174" s="1193"/>
      <c r="U174" s="1181"/>
      <c r="V174" s="1193"/>
      <c r="W174" s="1181"/>
      <c r="X174" s="1193"/>
      <c r="Y174" s="1181"/>
      <c r="Z174" s="1193"/>
      <c r="AA174" s="1181"/>
      <c r="AB174" s="1193"/>
      <c r="AC174" s="1181"/>
      <c r="AE174" s="1186"/>
      <c r="AF174" s="1190"/>
      <c r="AG174" s="393" t="s">
        <v>735</v>
      </c>
      <c r="AH174" s="394"/>
      <c r="AI174" s="1193"/>
      <c r="AJ174" s="1181"/>
      <c r="AK174" s="1193"/>
      <c r="AL174" s="1181"/>
      <c r="AM174" s="1193"/>
      <c r="AN174" s="1181"/>
      <c r="AO174" s="1193"/>
      <c r="AP174" s="1181"/>
      <c r="AQ174" s="1193"/>
      <c r="AR174" s="1181"/>
    </row>
    <row r="175" spans="1:44" ht="14.5" customHeight="1" outlineLevel="1">
      <c r="B175" s="541" t="s">
        <v>657</v>
      </c>
      <c r="C175" s="544">
        <v>1</v>
      </c>
      <c r="D175" s="544">
        <v>1</v>
      </c>
      <c r="E175" s="544">
        <v>1</v>
      </c>
      <c r="F175" s="544">
        <v>1</v>
      </c>
      <c r="G175" s="544">
        <v>0.08</v>
      </c>
      <c r="H175" s="544">
        <v>2</v>
      </c>
      <c r="I175" s="544">
        <v>0.08</v>
      </c>
      <c r="J175" s="544">
        <v>2</v>
      </c>
      <c r="K175" s="547"/>
      <c r="L175" s="548">
        <v>3</v>
      </c>
      <c r="M175" s="370"/>
      <c r="N175" s="370"/>
      <c r="O175" s="71"/>
      <c r="P175" s="1186"/>
      <c r="Q175" s="1188" t="s">
        <v>736</v>
      </c>
      <c r="R175" s="395" t="s">
        <v>737</v>
      </c>
      <c r="S175" s="396" t="s">
        <v>738</v>
      </c>
      <c r="T175" s="1191">
        <v>0</v>
      </c>
      <c r="U175" s="1191">
        <v>0.67</v>
      </c>
      <c r="V175" s="1191">
        <v>0</v>
      </c>
      <c r="W175" s="1191">
        <v>0.56999999999999995</v>
      </c>
      <c r="X175" s="1191">
        <v>0</v>
      </c>
      <c r="Y175" s="1191">
        <v>0.5</v>
      </c>
      <c r="Z175" s="1191">
        <v>0</v>
      </c>
      <c r="AA175" s="1191">
        <v>0.51</v>
      </c>
      <c r="AB175" s="1191">
        <v>0</v>
      </c>
      <c r="AC175" s="1191">
        <v>0.41</v>
      </c>
      <c r="AE175" s="1186"/>
      <c r="AF175" s="1188" t="s">
        <v>736</v>
      </c>
      <c r="AG175" s="395" t="s">
        <v>737</v>
      </c>
      <c r="AH175" s="396" t="s">
        <v>738</v>
      </c>
      <c r="AI175" s="1191">
        <v>0</v>
      </c>
      <c r="AJ175" s="1191">
        <f>U175/4</f>
        <v>0.16750000000000001</v>
      </c>
      <c r="AK175" s="1191">
        <v>0</v>
      </c>
      <c r="AL175" s="1191">
        <f>W175/4</f>
        <v>0.14249999999999999</v>
      </c>
      <c r="AM175" s="1191">
        <v>0</v>
      </c>
      <c r="AN175" s="1191">
        <f>Y175/4</f>
        <v>0.125</v>
      </c>
      <c r="AO175" s="1191">
        <v>0</v>
      </c>
      <c r="AP175" s="1191">
        <f>AA175/4</f>
        <v>0.1275</v>
      </c>
      <c r="AQ175" s="1191">
        <v>0</v>
      </c>
      <c r="AR175" s="1191">
        <f>AC175/4</f>
        <v>0.10249999999999999</v>
      </c>
    </row>
    <row r="176" spans="1:44" outlineLevel="1">
      <c r="B176" s="541" t="s">
        <v>658</v>
      </c>
      <c r="C176" s="544">
        <v>0.4</v>
      </c>
      <c r="D176" s="544">
        <v>0.4</v>
      </c>
      <c r="E176" s="544">
        <v>0.4</v>
      </c>
      <c r="F176" s="544">
        <v>0.4</v>
      </c>
      <c r="G176" s="544">
        <v>0.3</v>
      </c>
      <c r="H176" s="544">
        <v>0.6</v>
      </c>
      <c r="I176" s="544">
        <v>0.3</v>
      </c>
      <c r="J176" s="544">
        <v>0.6</v>
      </c>
      <c r="K176" s="547"/>
      <c r="L176" s="548">
        <v>3</v>
      </c>
      <c r="M176" s="367"/>
      <c r="N176" s="367"/>
      <c r="O176" s="71"/>
      <c r="P176" s="1186"/>
      <c r="Q176" s="1189"/>
      <c r="R176" s="395" t="s">
        <v>739</v>
      </c>
      <c r="S176" s="396" t="s">
        <v>738</v>
      </c>
      <c r="T176" s="1208"/>
      <c r="U176" s="1208"/>
      <c r="V176" s="1208"/>
      <c r="W176" s="1208"/>
      <c r="X176" s="1208"/>
      <c r="Y176" s="1208"/>
      <c r="Z176" s="1208"/>
      <c r="AA176" s="1208"/>
      <c r="AB176" s="1208"/>
      <c r="AC176" s="1208"/>
      <c r="AE176" s="1186"/>
      <c r="AF176" s="1189"/>
      <c r="AG176" s="395" t="s">
        <v>739</v>
      </c>
      <c r="AH176" s="396" t="s">
        <v>738</v>
      </c>
      <c r="AI176" s="1208"/>
      <c r="AJ176" s="1208"/>
      <c r="AK176" s="1208"/>
      <c r="AL176" s="1208"/>
      <c r="AM176" s="1208"/>
      <c r="AN176" s="1208"/>
      <c r="AO176" s="1208"/>
      <c r="AP176" s="1208"/>
      <c r="AQ176" s="1208"/>
      <c r="AR176" s="1208"/>
    </row>
    <row r="177" spans="1:44" outlineLevel="1">
      <c r="B177" s="383" t="s">
        <v>11</v>
      </c>
      <c r="C177" s="397">
        <v>25</v>
      </c>
      <c r="D177" s="397">
        <v>25</v>
      </c>
      <c r="E177" s="397">
        <v>25</v>
      </c>
      <c r="F177" s="399">
        <v>25</v>
      </c>
      <c r="G177" s="399">
        <v>25</v>
      </c>
      <c r="H177" s="399">
        <v>30</v>
      </c>
      <c r="I177" s="399">
        <v>25</v>
      </c>
      <c r="J177" s="399">
        <v>30</v>
      </c>
      <c r="K177" s="372"/>
      <c r="L177" s="373" t="s">
        <v>740</v>
      </c>
      <c r="M177" s="363"/>
      <c r="N177" s="363"/>
      <c r="P177" s="1186"/>
      <c r="Q177" s="1189"/>
      <c r="R177" s="395" t="s">
        <v>741</v>
      </c>
      <c r="S177" s="396"/>
      <c r="T177" s="1208"/>
      <c r="U177" s="1208"/>
      <c r="V177" s="1208"/>
      <c r="W177" s="1208"/>
      <c r="X177" s="1208"/>
      <c r="Y177" s="1208"/>
      <c r="Z177" s="1208"/>
      <c r="AA177" s="1208"/>
      <c r="AB177" s="1208"/>
      <c r="AC177" s="1208"/>
      <c r="AE177" s="1186"/>
      <c r="AF177" s="1189"/>
      <c r="AG177" s="395" t="s">
        <v>741</v>
      </c>
      <c r="AH177" s="396" t="s">
        <v>738</v>
      </c>
      <c r="AI177" s="1208"/>
      <c r="AJ177" s="1208"/>
      <c r="AK177" s="1208"/>
      <c r="AL177" s="1208"/>
      <c r="AM177" s="1208"/>
      <c r="AN177" s="1208"/>
      <c r="AO177" s="1208"/>
      <c r="AP177" s="1208"/>
      <c r="AQ177" s="1208"/>
      <c r="AR177" s="1208"/>
    </row>
    <row r="178" spans="1:44" ht="16" outlineLevel="1" thickBot="1">
      <c r="B178" s="541" t="s">
        <v>273</v>
      </c>
      <c r="C178" s="544">
        <v>0.5</v>
      </c>
      <c r="D178" s="544">
        <v>0.5</v>
      </c>
      <c r="E178" s="544">
        <v>0.5</v>
      </c>
      <c r="F178" s="544">
        <v>0.5</v>
      </c>
      <c r="G178" s="544">
        <v>0.2</v>
      </c>
      <c r="H178" s="544">
        <v>0.7</v>
      </c>
      <c r="I178" s="544">
        <v>0.2</v>
      </c>
      <c r="J178" s="544">
        <v>0.7</v>
      </c>
      <c r="K178" s="372"/>
      <c r="L178" s="400"/>
      <c r="M178" s="363"/>
      <c r="N178" s="363"/>
      <c r="P178" s="1186"/>
      <c r="Q178" s="1189"/>
      <c r="R178" s="395" t="s">
        <v>742</v>
      </c>
      <c r="S178" s="396" t="s">
        <v>738</v>
      </c>
      <c r="T178" s="1208"/>
      <c r="U178" s="1208"/>
      <c r="V178" s="1208"/>
      <c r="W178" s="1208"/>
      <c r="X178" s="1208"/>
      <c r="Y178" s="1208"/>
      <c r="Z178" s="1208"/>
      <c r="AA178" s="1208"/>
      <c r="AB178" s="1208"/>
      <c r="AC178" s="1208"/>
      <c r="AE178" s="1186"/>
      <c r="AF178" s="1189"/>
      <c r="AG178" s="395" t="s">
        <v>742</v>
      </c>
      <c r="AH178" s="396"/>
      <c r="AI178" s="1208"/>
      <c r="AJ178" s="1208"/>
      <c r="AK178" s="1208"/>
      <c r="AL178" s="1208"/>
      <c r="AM178" s="1208"/>
      <c r="AN178" s="1208"/>
      <c r="AO178" s="1208"/>
      <c r="AP178" s="1208"/>
      <c r="AQ178" s="1208"/>
      <c r="AR178" s="1208"/>
    </row>
    <row r="179" spans="1:44" ht="16" outlineLevel="1" thickBot="1">
      <c r="B179" s="401" t="s">
        <v>743</v>
      </c>
      <c r="C179" s="402"/>
      <c r="D179" s="403"/>
      <c r="E179" s="404"/>
      <c r="F179" s="405"/>
      <c r="G179" s="406"/>
      <c r="H179" s="406"/>
      <c r="I179" s="406"/>
      <c r="J179" s="406"/>
      <c r="K179" s="407"/>
      <c r="L179" s="408"/>
      <c r="M179" s="363"/>
      <c r="N179" s="363"/>
      <c r="P179" s="1186"/>
      <c r="Q179" s="1189"/>
      <c r="R179" s="409" t="s">
        <v>744</v>
      </c>
      <c r="S179" s="410" t="s">
        <v>738</v>
      </c>
      <c r="T179" s="1209"/>
      <c r="U179" s="1209"/>
      <c r="V179" s="1209"/>
      <c r="W179" s="1209"/>
      <c r="X179" s="1209"/>
      <c r="Y179" s="1209"/>
      <c r="Z179" s="1209"/>
      <c r="AA179" s="1209"/>
      <c r="AB179" s="1209"/>
      <c r="AC179" s="1209"/>
      <c r="AE179" s="1186"/>
      <c r="AF179" s="1189"/>
      <c r="AG179" s="409" t="s">
        <v>744</v>
      </c>
      <c r="AH179" s="410" t="s">
        <v>738</v>
      </c>
      <c r="AI179" s="1209"/>
      <c r="AJ179" s="1209"/>
      <c r="AK179" s="1209"/>
      <c r="AL179" s="1209"/>
      <c r="AM179" s="1209"/>
      <c r="AN179" s="1209"/>
      <c r="AO179" s="1209"/>
      <c r="AP179" s="1209"/>
      <c r="AQ179" s="1209"/>
      <c r="AR179" s="1209"/>
    </row>
    <row r="180" spans="1:44" ht="33" outlineLevel="1" thickBot="1">
      <c r="B180" s="541" t="s">
        <v>663</v>
      </c>
      <c r="C180" s="544">
        <v>15</v>
      </c>
      <c r="D180" s="544">
        <v>15</v>
      </c>
      <c r="E180" s="544">
        <v>15</v>
      </c>
      <c r="F180" s="544">
        <v>15</v>
      </c>
      <c r="G180" s="545"/>
      <c r="H180" s="545"/>
      <c r="I180" s="545"/>
      <c r="J180" s="545"/>
      <c r="K180" s="547"/>
      <c r="L180" s="548">
        <v>3</v>
      </c>
      <c r="M180" s="363"/>
      <c r="N180" s="363"/>
      <c r="P180" s="1187"/>
      <c r="Q180" s="411" t="s">
        <v>745</v>
      </c>
      <c r="R180" s="412" t="s">
        <v>746</v>
      </c>
      <c r="S180" s="413" t="s">
        <v>738</v>
      </c>
      <c r="T180" s="414">
        <v>1</v>
      </c>
      <c r="U180" s="415">
        <v>1</v>
      </c>
      <c r="V180" s="416">
        <v>1</v>
      </c>
      <c r="W180" s="415">
        <v>1</v>
      </c>
      <c r="X180" s="416">
        <v>1</v>
      </c>
      <c r="Y180" s="415">
        <v>1</v>
      </c>
      <c r="Z180" s="416">
        <v>1</v>
      </c>
      <c r="AA180" s="415">
        <v>1</v>
      </c>
      <c r="AB180" s="416">
        <v>1</v>
      </c>
      <c r="AC180" s="417">
        <v>1</v>
      </c>
      <c r="AE180" s="1187"/>
      <c r="AF180" s="411" t="s">
        <v>745</v>
      </c>
      <c r="AG180" s="412" t="s">
        <v>746</v>
      </c>
      <c r="AH180" s="413" t="s">
        <v>738</v>
      </c>
      <c r="AI180" s="414">
        <v>1</v>
      </c>
      <c r="AJ180" s="415">
        <v>1</v>
      </c>
      <c r="AK180" s="416">
        <v>1</v>
      </c>
      <c r="AL180" s="415">
        <v>1</v>
      </c>
      <c r="AM180" s="416">
        <v>1</v>
      </c>
      <c r="AN180" s="415">
        <v>1</v>
      </c>
      <c r="AO180" s="416">
        <v>1</v>
      </c>
      <c r="AP180" s="415">
        <v>1</v>
      </c>
      <c r="AQ180" s="416">
        <v>1</v>
      </c>
      <c r="AR180" s="417">
        <v>1</v>
      </c>
    </row>
    <row r="181" spans="1:44" outlineLevel="1">
      <c r="B181" s="541" t="s">
        <v>664</v>
      </c>
      <c r="C181" s="544">
        <v>0.1</v>
      </c>
      <c r="D181" s="544">
        <v>0.1</v>
      </c>
      <c r="E181" s="544">
        <v>0.1</v>
      </c>
      <c r="F181" s="544">
        <v>0.1</v>
      </c>
      <c r="G181" s="549"/>
      <c r="H181" s="549"/>
      <c r="I181" s="549"/>
      <c r="J181" s="549"/>
      <c r="K181" s="550"/>
      <c r="L181" s="548">
        <v>3</v>
      </c>
      <c r="M181" s="363"/>
      <c r="N181" s="363"/>
    </row>
    <row r="182" spans="1:44" outlineLevel="1">
      <c r="B182" s="541" t="s">
        <v>666</v>
      </c>
      <c r="C182" s="544">
        <v>0.4</v>
      </c>
      <c r="D182" s="544">
        <v>0.4</v>
      </c>
      <c r="E182" s="544">
        <v>0.4</v>
      </c>
      <c r="F182" s="544">
        <v>0.4</v>
      </c>
      <c r="G182" s="549"/>
      <c r="H182" s="549"/>
      <c r="I182" s="549"/>
      <c r="J182" s="549"/>
      <c r="K182" s="550"/>
      <c r="L182" s="548">
        <v>3</v>
      </c>
      <c r="M182" s="420"/>
      <c r="N182" s="363"/>
    </row>
    <row r="183" spans="1:44" outlineLevel="1">
      <c r="B183" s="421" t="s">
        <v>12</v>
      </c>
      <c r="C183" s="399"/>
      <c r="D183" s="399"/>
      <c r="E183" s="399"/>
      <c r="F183" s="399"/>
      <c r="G183" s="422"/>
      <c r="H183" s="422"/>
      <c r="I183" s="422"/>
      <c r="J183" s="422"/>
      <c r="K183" s="423"/>
      <c r="L183" s="424"/>
      <c r="M183" s="420"/>
      <c r="N183" s="420"/>
    </row>
    <row r="184" spans="1:44" ht="16" outlineLevel="1">
      <c r="B184" s="383" t="s">
        <v>747</v>
      </c>
      <c r="C184" s="397">
        <v>0.3</v>
      </c>
      <c r="D184" s="397">
        <v>0.3</v>
      </c>
      <c r="E184" s="397">
        <v>0.3</v>
      </c>
      <c r="F184" s="397">
        <v>0.3</v>
      </c>
      <c r="G184" s="422"/>
      <c r="H184" s="425"/>
      <c r="I184" s="425"/>
      <c r="J184" s="425"/>
      <c r="K184" s="426" t="s">
        <v>16</v>
      </c>
      <c r="L184" s="427" t="s">
        <v>748</v>
      </c>
      <c r="M184" s="428"/>
      <c r="N184" s="428"/>
    </row>
    <row r="185" spans="1:44" outlineLevel="1">
      <c r="B185" s="383" t="s">
        <v>749</v>
      </c>
      <c r="C185" s="397">
        <v>0.1</v>
      </c>
      <c r="D185" s="397">
        <v>0.1</v>
      </c>
      <c r="E185" s="397">
        <v>0.1</v>
      </c>
      <c r="F185" s="397">
        <v>0.1</v>
      </c>
      <c r="G185" s="425"/>
      <c r="H185" s="425"/>
      <c r="I185" s="425"/>
      <c r="J185" s="425"/>
      <c r="K185" s="423"/>
      <c r="L185" s="427">
        <v>9</v>
      </c>
      <c r="M185" s="428"/>
      <c r="N185" s="428"/>
    </row>
    <row r="186" spans="1:44" ht="16" outlineLevel="1">
      <c r="B186" s="383" t="s">
        <v>750</v>
      </c>
      <c r="C186" s="397">
        <v>9</v>
      </c>
      <c r="D186" s="397">
        <v>7</v>
      </c>
      <c r="E186" s="397">
        <v>6</v>
      </c>
      <c r="F186" s="397">
        <v>6</v>
      </c>
      <c r="G186" s="425"/>
      <c r="H186" s="425"/>
      <c r="I186" s="425"/>
      <c r="J186" s="425"/>
      <c r="K186" s="423"/>
      <c r="L186" s="427" t="s">
        <v>748</v>
      </c>
      <c r="M186" s="428"/>
      <c r="N186" s="428"/>
      <c r="T186" s="224">
        <f>C$23</f>
        <v>0.3</v>
      </c>
      <c r="U186" s="224">
        <f t="shared" ref="U186:V186" si="10">D$23</f>
        <v>0.3</v>
      </c>
      <c r="V186" s="224">
        <f t="shared" si="10"/>
        <v>0.3</v>
      </c>
    </row>
    <row r="187" spans="1:44" outlineLevel="1">
      <c r="B187" s="383" t="s">
        <v>366</v>
      </c>
      <c r="C187" s="397">
        <v>3</v>
      </c>
      <c r="D187" s="397">
        <v>2</v>
      </c>
      <c r="E187" s="397">
        <v>2</v>
      </c>
      <c r="F187" s="397">
        <v>2</v>
      </c>
      <c r="G187" s="425"/>
      <c r="H187" s="425"/>
      <c r="I187" s="425"/>
      <c r="J187" s="425"/>
      <c r="K187" s="423"/>
      <c r="L187" s="427" t="s">
        <v>748</v>
      </c>
      <c r="M187" s="428"/>
      <c r="N187" s="428"/>
    </row>
    <row r="188" spans="1:44" ht="16" outlineLevel="1" thickBot="1">
      <c r="B188" s="429" t="s">
        <v>367</v>
      </c>
      <c r="C188" s="430">
        <v>1</v>
      </c>
      <c r="D188" s="430">
        <v>1</v>
      </c>
      <c r="E188" s="430">
        <v>1</v>
      </c>
      <c r="F188" s="430">
        <v>1</v>
      </c>
      <c r="G188" s="425"/>
      <c r="H188" s="425"/>
      <c r="I188" s="425"/>
      <c r="J188" s="425"/>
      <c r="K188" s="423"/>
      <c r="L188" s="427" t="s">
        <v>748</v>
      </c>
      <c r="M188" s="428"/>
      <c r="N188" s="428"/>
    </row>
    <row r="189" spans="1:44" ht="16" outlineLevel="1" thickBot="1">
      <c r="B189" s="431" t="s">
        <v>674</v>
      </c>
      <c r="C189" s="432"/>
      <c r="D189" s="403"/>
      <c r="E189" s="403"/>
      <c r="F189" s="433"/>
      <c r="G189" s="434"/>
      <c r="H189" s="406"/>
      <c r="I189" s="406"/>
      <c r="J189" s="406"/>
      <c r="K189" s="407"/>
      <c r="L189" s="408"/>
      <c r="M189" s="428"/>
      <c r="N189" s="428"/>
    </row>
    <row r="190" spans="1:44" ht="48" outlineLevel="1">
      <c r="A190" s="435" t="s">
        <v>797</v>
      </c>
      <c r="B190" s="436" t="s">
        <v>792</v>
      </c>
      <c r="C190" s="551">
        <f>0.06/1.1*0.8</f>
        <v>4.3636363636363633E-2</v>
      </c>
      <c r="D190" s="438">
        <f>0.05/1.1*0.8</f>
        <v>3.6363636363636369E-2</v>
      </c>
      <c r="E190" s="438">
        <f>0.05/1.1*0.8</f>
        <v>3.6363636363636369E-2</v>
      </c>
      <c r="F190" s="439">
        <f>0.05/1.1*0.8</f>
        <v>3.6363636363636369E-2</v>
      </c>
      <c r="G190" s="425"/>
      <c r="H190" s="425"/>
      <c r="I190" s="425"/>
      <c r="J190" s="425"/>
      <c r="K190" s="426" t="s">
        <v>20</v>
      </c>
      <c r="L190" s="440" t="s">
        <v>753</v>
      </c>
      <c r="M190" s="420"/>
      <c r="N190" s="420"/>
    </row>
    <row r="191" spans="1:44" outlineLevel="1">
      <c r="B191" s="441" t="s">
        <v>754</v>
      </c>
      <c r="C191" s="442">
        <v>60</v>
      </c>
      <c r="D191" s="443">
        <v>60</v>
      </c>
      <c r="E191" s="443">
        <v>60</v>
      </c>
      <c r="F191" s="443">
        <v>60</v>
      </c>
      <c r="G191" s="425"/>
      <c r="H191" s="425"/>
      <c r="I191" s="425"/>
      <c r="J191" s="425"/>
      <c r="K191" s="444"/>
      <c r="L191" s="373">
        <v>3</v>
      </c>
      <c r="M191" s="71"/>
      <c r="N191" s="420"/>
    </row>
    <row r="192" spans="1:44" outlineLevel="1">
      <c r="B192" s="441" t="s">
        <v>755</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793</v>
      </c>
      <c r="C193" s="445">
        <f>2000/1000</f>
        <v>2</v>
      </c>
      <c r="D193" s="446">
        <f>1900/1000</f>
        <v>1.9</v>
      </c>
      <c r="E193" s="446">
        <f>1800/1000</f>
        <v>1.8</v>
      </c>
      <c r="F193" s="447">
        <f>1700/1000</f>
        <v>1.7</v>
      </c>
      <c r="G193" s="425"/>
      <c r="H193" s="425"/>
      <c r="I193" s="425"/>
      <c r="J193" s="425"/>
      <c r="K193" s="448"/>
      <c r="L193" s="373">
        <v>3</v>
      </c>
      <c r="M193" s="420"/>
      <c r="N193" s="420"/>
    </row>
    <row r="194" spans="2:30" outlineLevel="1">
      <c r="B194" s="383" t="s">
        <v>794</v>
      </c>
      <c r="C194" s="449">
        <f>1.1/3.6</f>
        <v>0.30555555555555558</v>
      </c>
      <c r="D194" s="449">
        <f>1/3.6</f>
        <v>0.27777777777777779</v>
      </c>
      <c r="E194" s="449">
        <f>1/3.6</f>
        <v>0.27777777777777779</v>
      </c>
      <c r="F194" s="449">
        <f>1/3.6</f>
        <v>0.27777777777777779</v>
      </c>
      <c r="G194" s="425"/>
      <c r="H194" s="425"/>
      <c r="I194" s="425"/>
      <c r="J194" s="425"/>
      <c r="K194" s="448"/>
      <c r="L194" s="373">
        <v>3</v>
      </c>
      <c r="M194" s="450"/>
      <c r="N194" s="361"/>
      <c r="P194" s="1157">
        <f>C194</f>
        <v>0.30555555555555558</v>
      </c>
      <c r="Q194" s="1135"/>
      <c r="R194" s="1135"/>
      <c r="S194" s="1135"/>
      <c r="T194" s="1135"/>
      <c r="U194" s="1158"/>
    </row>
    <row r="195" spans="2:30" ht="16" outlineLevel="1" thickBot="1">
      <c r="B195" s="541" t="s">
        <v>758</v>
      </c>
      <c r="C195" s="552">
        <f>C174/100*73</f>
        <v>0.10220000000000001</v>
      </c>
      <c r="D195" s="552">
        <f>D174/100*75</f>
        <v>0.09</v>
      </c>
      <c r="E195" s="552">
        <f>E174/100*76</f>
        <v>8.3600000000000008E-2</v>
      </c>
      <c r="F195" s="552">
        <f>F174/100*76</f>
        <v>7.5999999999999998E-2</v>
      </c>
      <c r="G195" s="553"/>
      <c r="H195" s="553"/>
      <c r="I195" s="553"/>
      <c r="J195" s="553"/>
      <c r="K195" s="547" t="s">
        <v>76</v>
      </c>
      <c r="L195" s="548">
        <v>3</v>
      </c>
      <c r="M195" s="450"/>
      <c r="N195" s="361"/>
      <c r="P195" s="1159">
        <f>C195</f>
        <v>0.10220000000000001</v>
      </c>
      <c r="Q195" s="1160"/>
      <c r="R195" s="1160"/>
      <c r="S195" s="1160"/>
      <c r="T195" s="1160"/>
      <c r="U195" s="1161"/>
    </row>
    <row r="196" spans="2:30" outlineLevel="1">
      <c r="B196" s="541" t="s">
        <v>759</v>
      </c>
      <c r="C196" s="554">
        <f>C194-C195</f>
        <v>0.20335555555555557</v>
      </c>
      <c r="D196" s="554">
        <f>D194-D195</f>
        <v>0.18777777777777779</v>
      </c>
      <c r="E196" s="554">
        <f>E194-E195</f>
        <v>0.19417777777777778</v>
      </c>
      <c r="F196" s="554">
        <f>F194-F195</f>
        <v>0.20177777777777778</v>
      </c>
      <c r="G196" s="553"/>
      <c r="H196" s="553"/>
      <c r="I196" s="553"/>
      <c r="J196" s="553"/>
      <c r="K196" s="555"/>
      <c r="L196" s="548">
        <v>3</v>
      </c>
      <c r="M196" s="363"/>
      <c r="N196" s="363"/>
      <c r="P196" s="53" t="s">
        <v>357</v>
      </c>
    </row>
    <row r="197" spans="2:30" ht="30" outlineLevel="1">
      <c r="B197" s="441"/>
      <c r="C197" s="456"/>
      <c r="D197" s="456"/>
      <c r="E197" s="456"/>
      <c r="F197" s="456"/>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441"/>
      <c r="C198" s="442"/>
      <c r="D198" s="457"/>
      <c r="E198" s="457"/>
      <c r="F198" s="458"/>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33"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56" t="s">
        <v>762</v>
      </c>
      <c r="C200" s="557">
        <v>3.5000000000000003E-2</v>
      </c>
      <c r="D200" s="557">
        <v>0.03</v>
      </c>
      <c r="E200" s="557">
        <v>0.03</v>
      </c>
      <c r="F200" s="557">
        <v>0.03</v>
      </c>
      <c r="G200" s="558"/>
      <c r="H200" s="558"/>
      <c r="I200" s="558"/>
      <c r="J200" s="558"/>
      <c r="K200" s="558" t="s">
        <v>25</v>
      </c>
      <c r="L200" s="559"/>
      <c r="M200" s="363"/>
      <c r="N200" s="363"/>
      <c r="O200" s="465">
        <f>C173</f>
        <v>93</v>
      </c>
      <c r="P200" s="466">
        <f>C169</f>
        <v>2020</v>
      </c>
      <c r="Q200" s="58">
        <f>P200</f>
        <v>2020</v>
      </c>
      <c r="R200" s="466">
        <f>O200/100</f>
        <v>0.93</v>
      </c>
      <c r="S200" s="58"/>
      <c r="T200" s="466">
        <f>C177</f>
        <v>25</v>
      </c>
      <c r="U200" s="467">
        <f>C207</f>
        <v>325.09090909090912</v>
      </c>
      <c r="V200" s="467">
        <f>C209</f>
        <v>14.9</v>
      </c>
      <c r="W200" s="467">
        <f>C210</f>
        <v>2.276388888888889</v>
      </c>
      <c r="X200" s="58"/>
      <c r="Y200" s="58"/>
      <c r="Z200" s="466">
        <f>C184</f>
        <v>0.3</v>
      </c>
      <c r="AA200" s="468">
        <f>C186</f>
        <v>9</v>
      </c>
      <c r="AB200" s="468">
        <f>C187</f>
        <v>3</v>
      </c>
      <c r="AC200" s="468">
        <f>C188</f>
        <v>1</v>
      </c>
      <c r="AD200" s="468">
        <f>C185</f>
        <v>0.1</v>
      </c>
    </row>
    <row r="201" spans="2:30" outlineLevel="1">
      <c r="B201" s="541" t="s">
        <v>763</v>
      </c>
      <c r="C201" s="560" t="s">
        <v>36</v>
      </c>
      <c r="D201" s="561" t="s">
        <v>36</v>
      </c>
      <c r="E201" s="561" t="s">
        <v>36</v>
      </c>
      <c r="F201" s="562" t="s">
        <v>36</v>
      </c>
      <c r="G201" s="562"/>
      <c r="H201" s="562"/>
      <c r="I201" s="562"/>
      <c r="J201" s="562"/>
      <c r="K201" s="563" t="s">
        <v>33</v>
      </c>
      <c r="L201" s="559"/>
      <c r="M201" s="363"/>
      <c r="N201" s="363"/>
      <c r="O201" s="465">
        <f>D173</f>
        <v>94</v>
      </c>
      <c r="P201" s="466">
        <f>D169</f>
        <v>2030</v>
      </c>
      <c r="Q201" s="58"/>
      <c r="R201" s="466">
        <f>O201/100</f>
        <v>0.94</v>
      </c>
      <c r="S201" s="58"/>
      <c r="T201" s="466">
        <f>D177</f>
        <v>25</v>
      </c>
      <c r="U201" s="467">
        <f>D207</f>
        <v>270.90909090909093</v>
      </c>
      <c r="V201" s="467">
        <f>D209</f>
        <v>14.154999999999999</v>
      </c>
      <c r="W201" s="467">
        <f>D210</f>
        <v>2.0694444444444446</v>
      </c>
      <c r="X201" s="58"/>
      <c r="Y201" s="58"/>
      <c r="Z201" s="466">
        <f>D184</f>
        <v>0.3</v>
      </c>
      <c r="AA201" s="468">
        <f>D186</f>
        <v>7</v>
      </c>
      <c r="AB201" s="468">
        <f>D187</f>
        <v>2</v>
      </c>
      <c r="AC201" s="468">
        <f>D188</f>
        <v>1</v>
      </c>
      <c r="AD201" s="468">
        <f>D185</f>
        <v>0.1</v>
      </c>
    </row>
    <row r="202" spans="2:30" outlineLevel="1">
      <c r="B202" s="541" t="s">
        <v>764</v>
      </c>
      <c r="C202" s="560" t="s">
        <v>36</v>
      </c>
      <c r="D202" s="561" t="s">
        <v>36</v>
      </c>
      <c r="E202" s="561" t="s">
        <v>36</v>
      </c>
      <c r="F202" s="562" t="s">
        <v>36</v>
      </c>
      <c r="G202" s="562"/>
      <c r="H202" s="562"/>
      <c r="I202" s="562"/>
      <c r="J202" s="562"/>
      <c r="K202" s="563"/>
      <c r="L202" s="559"/>
      <c r="M202" s="363"/>
      <c r="N202" s="363"/>
      <c r="O202" s="465">
        <f>E173</f>
        <v>94</v>
      </c>
      <c r="P202" s="466">
        <f>E169</f>
        <v>2040</v>
      </c>
      <c r="Q202" s="58"/>
      <c r="R202" s="466">
        <f>O202/100</f>
        <v>0.94</v>
      </c>
      <c r="S202" s="58"/>
      <c r="T202" s="466">
        <f>E177</f>
        <v>25</v>
      </c>
      <c r="U202" s="467">
        <f>E207</f>
        <v>270.90909090909093</v>
      </c>
      <c r="V202" s="467">
        <f>E209</f>
        <v>13.41</v>
      </c>
      <c r="W202" s="467">
        <f>E210</f>
        <v>2.0694444444444446</v>
      </c>
      <c r="X202" s="58"/>
      <c r="Y202" s="58"/>
      <c r="Z202" s="466">
        <f>E184</f>
        <v>0.3</v>
      </c>
      <c r="AA202" s="468">
        <f>E186</f>
        <v>6</v>
      </c>
      <c r="AB202" s="468">
        <f>E187</f>
        <v>2</v>
      </c>
      <c r="AC202" s="468">
        <f>E188</f>
        <v>1</v>
      </c>
      <c r="AD202" s="468">
        <f>E185</f>
        <v>0.1</v>
      </c>
    </row>
    <row r="203" spans="2:30" outlineLevel="1">
      <c r="B203" s="541" t="s">
        <v>765</v>
      </c>
      <c r="C203" s="564">
        <v>90</v>
      </c>
      <c r="D203" s="564">
        <v>90</v>
      </c>
      <c r="E203" s="564">
        <v>90</v>
      </c>
      <c r="F203" s="564">
        <v>90</v>
      </c>
      <c r="G203" s="565"/>
      <c r="H203" s="565"/>
      <c r="I203" s="565"/>
      <c r="J203" s="565"/>
      <c r="K203" s="565"/>
      <c r="L203" s="548">
        <v>3</v>
      </c>
      <c r="M203" s="363"/>
      <c r="N203" s="363"/>
      <c r="O203" s="465">
        <f>F173</f>
        <v>95</v>
      </c>
      <c r="P203" s="466">
        <f>F169</f>
        <v>2050</v>
      </c>
      <c r="Q203" s="58"/>
      <c r="R203" s="466">
        <f>O203/100</f>
        <v>0.95</v>
      </c>
      <c r="S203" s="58"/>
      <c r="T203" s="466">
        <f>F177</f>
        <v>25</v>
      </c>
      <c r="U203" s="467">
        <f>F207</f>
        <v>270.90909090909093</v>
      </c>
      <c r="V203" s="467">
        <f>F209</f>
        <v>12.664999999999999</v>
      </c>
      <c r="W203" s="467">
        <f>F210</f>
        <v>2.0694444444444446</v>
      </c>
      <c r="X203" s="58"/>
      <c r="Y203" s="58"/>
      <c r="Z203" s="466">
        <f>F184</f>
        <v>0.3</v>
      </c>
      <c r="AA203" s="468">
        <f>F186</f>
        <v>6</v>
      </c>
      <c r="AB203" s="468">
        <f>F187</f>
        <v>2</v>
      </c>
      <c r="AC203" s="468">
        <f>F188</f>
        <v>1</v>
      </c>
      <c r="AD203" s="468">
        <f>F185</f>
        <v>0.1</v>
      </c>
    </row>
    <row r="204" spans="2:30" outlineLevel="1">
      <c r="B204" s="566" t="s">
        <v>766</v>
      </c>
      <c r="C204" s="560"/>
      <c r="D204" s="561"/>
      <c r="E204" s="561"/>
      <c r="F204" s="562"/>
      <c r="G204" s="562"/>
      <c r="H204" s="562"/>
      <c r="I204" s="562"/>
      <c r="J204" s="562"/>
      <c r="K204" s="563"/>
      <c r="L204" s="559"/>
      <c r="M204" s="367"/>
      <c r="N204" s="367"/>
    </row>
    <row r="205" spans="2:30" outlineLevel="1">
      <c r="B205" s="566" t="s">
        <v>767</v>
      </c>
      <c r="C205" s="560"/>
      <c r="D205" s="561"/>
      <c r="E205" s="561"/>
      <c r="F205" s="562"/>
      <c r="G205" s="562"/>
      <c r="H205" s="562"/>
      <c r="I205" s="562"/>
      <c r="J205" s="562"/>
      <c r="K205" s="563"/>
      <c r="L205" s="559"/>
      <c r="M205" s="363"/>
      <c r="N205" s="363"/>
    </row>
    <row r="206" spans="2:30" ht="16" outlineLevel="1" thickBot="1">
      <c r="B206" s="567" t="s">
        <v>768</v>
      </c>
      <c r="C206" s="568"/>
      <c r="D206" s="568"/>
      <c r="E206" s="568"/>
      <c r="F206" s="568"/>
      <c r="G206" s="568"/>
      <c r="H206" s="568"/>
      <c r="I206" s="568"/>
      <c r="J206" s="568"/>
      <c r="K206" s="568"/>
      <c r="L206" s="569"/>
      <c r="M206" s="363"/>
      <c r="N206" s="363"/>
    </row>
    <row r="207" spans="2:30" ht="64" outlineLevel="1">
      <c r="B207" s="461" t="s">
        <v>769</v>
      </c>
      <c r="C207" s="483">
        <f>C190*$F$4*1000</f>
        <v>325.09090909090912</v>
      </c>
      <c r="D207" s="483">
        <f t="shared" ref="D207:F207" si="11">D190*$F$4*1000</f>
        <v>270.90909090909093</v>
      </c>
      <c r="E207" s="483">
        <f t="shared" si="11"/>
        <v>270.90909090909093</v>
      </c>
      <c r="F207" s="483">
        <f t="shared" si="11"/>
        <v>270.90909090909093</v>
      </c>
      <c r="G207" s="483"/>
      <c r="H207" s="484"/>
      <c r="I207" s="420" t="s">
        <v>332</v>
      </c>
      <c r="J207" s="420"/>
      <c r="K207" s="484"/>
      <c r="L207" s="484"/>
      <c r="N207" s="420"/>
    </row>
    <row r="208" spans="2:30" outlineLevel="1">
      <c r="B208" s="485" t="s">
        <v>770</v>
      </c>
      <c r="C208" s="486">
        <f>C207*$I208</f>
        <v>162545.45454545456</v>
      </c>
      <c r="D208" s="486">
        <f>D207*$I208</f>
        <v>135454.54545454547</v>
      </c>
      <c r="E208" s="486">
        <f>E207*$I208</f>
        <v>135454.54545454547</v>
      </c>
      <c r="F208" s="486">
        <f>F207*$I208</f>
        <v>135454.54545454547</v>
      </c>
      <c r="G208" s="486"/>
      <c r="H208" s="484"/>
      <c r="I208" s="71">
        <v>500</v>
      </c>
      <c r="J208" s="420" t="s">
        <v>330</v>
      </c>
      <c r="K208" s="484"/>
      <c r="L208" s="484"/>
      <c r="N208" s="420"/>
    </row>
    <row r="209" spans="1:16" ht="48" outlineLevel="1">
      <c r="B209" s="461" t="s">
        <v>771</v>
      </c>
      <c r="C209" s="359">
        <f>C193*$F$4</f>
        <v>14.9</v>
      </c>
      <c r="D209" s="359">
        <f t="shared" ref="D209:F210" si="12">D193*$F$4</f>
        <v>14.154999999999999</v>
      </c>
      <c r="E209" s="359">
        <f t="shared" si="12"/>
        <v>13.41</v>
      </c>
      <c r="F209" s="359">
        <f t="shared" si="12"/>
        <v>12.664999999999999</v>
      </c>
      <c r="G209" s="359"/>
      <c r="I209" s="420" t="s">
        <v>333</v>
      </c>
      <c r="J209" s="420"/>
      <c r="N209" s="420"/>
    </row>
    <row r="210" spans="1:16" ht="48" outlineLevel="1">
      <c r="B210" s="461" t="s">
        <v>772</v>
      </c>
      <c r="C210" s="487">
        <f>C194*$F$4</f>
        <v>2.276388888888889</v>
      </c>
      <c r="D210" s="487">
        <f t="shared" si="12"/>
        <v>2.0694444444444446</v>
      </c>
      <c r="E210" s="487">
        <f t="shared" si="12"/>
        <v>2.0694444444444446</v>
      </c>
      <c r="F210" s="487">
        <f t="shared" si="12"/>
        <v>2.0694444444444446</v>
      </c>
      <c r="G210" s="359"/>
      <c r="M210" s="420"/>
      <c r="N210" s="420"/>
    </row>
    <row r="211" spans="1:16" outlineLevel="1"/>
    <row r="212" spans="1:16" outlineLevel="1">
      <c r="A212" s="488" t="s">
        <v>773</v>
      </c>
      <c r="B212" s="489"/>
      <c r="D212" s="490"/>
      <c r="E212" s="490"/>
      <c r="F212" s="490"/>
      <c r="G212" s="358"/>
      <c r="H212" s="358"/>
      <c r="I212" s="358"/>
      <c r="J212" s="358"/>
      <c r="K212" s="358"/>
      <c r="L212" s="358"/>
      <c r="N212" s="570"/>
      <c r="O212" s="489"/>
      <c r="P212" s="490"/>
    </row>
    <row r="213" spans="1:16" outlineLevel="1">
      <c r="A213" s="491">
        <v>1</v>
      </c>
      <c r="B213" s="492" t="s">
        <v>774</v>
      </c>
      <c r="D213" s="490"/>
      <c r="E213" s="490"/>
      <c r="F213" s="490"/>
      <c r="G213" s="358"/>
      <c r="H213" s="358"/>
      <c r="I213" s="358"/>
      <c r="J213" s="358"/>
      <c r="K213" s="358"/>
      <c r="L213" s="358"/>
      <c r="N213" s="570"/>
      <c r="O213" s="489"/>
      <c r="P213" s="490"/>
    </row>
    <row r="214" spans="1:16" outlineLevel="1">
      <c r="A214" s="491">
        <v>2</v>
      </c>
      <c r="B214" s="493" t="s">
        <v>775</v>
      </c>
      <c r="D214" s="490"/>
      <c r="E214" s="490"/>
      <c r="F214" s="490"/>
      <c r="G214" s="358"/>
      <c r="H214" s="358"/>
      <c r="I214" s="358"/>
      <c r="J214" s="358"/>
      <c r="K214" s="358"/>
      <c r="L214" s="358"/>
      <c r="N214" s="570"/>
      <c r="O214" s="489"/>
      <c r="P214" s="490"/>
    </row>
    <row r="215" spans="1:16" outlineLevel="1">
      <c r="A215" s="491">
        <v>3</v>
      </c>
      <c r="B215" s="493" t="s">
        <v>776</v>
      </c>
      <c r="D215" s="490"/>
      <c r="E215" s="490"/>
      <c r="F215" s="490"/>
      <c r="G215" s="358"/>
      <c r="H215" s="358"/>
      <c r="I215" s="358"/>
      <c r="J215" s="358"/>
      <c r="K215" s="358"/>
      <c r="L215" s="358"/>
      <c r="N215" s="570"/>
      <c r="O215" s="489"/>
      <c r="P215" s="490"/>
    </row>
    <row r="216" spans="1:16" outlineLevel="1">
      <c r="A216" s="491">
        <v>4</v>
      </c>
      <c r="B216" s="493" t="s">
        <v>777</v>
      </c>
      <c r="D216" s="490"/>
      <c r="E216" s="490"/>
      <c r="F216" s="490"/>
      <c r="G216" s="358"/>
      <c r="H216" s="358"/>
      <c r="I216" s="358"/>
      <c r="J216" s="358"/>
      <c r="K216" s="358"/>
      <c r="L216" s="358"/>
      <c r="N216" s="570"/>
      <c r="O216" s="489"/>
      <c r="P216" s="490"/>
    </row>
    <row r="217" spans="1:16" outlineLevel="1">
      <c r="A217" s="358">
        <v>5</v>
      </c>
      <c r="B217" s="494" t="s">
        <v>778</v>
      </c>
      <c r="D217" s="490"/>
      <c r="E217" s="490"/>
      <c r="F217" s="490"/>
      <c r="G217" s="358"/>
      <c r="H217" s="358"/>
      <c r="I217" s="358"/>
      <c r="J217" s="358"/>
      <c r="K217" s="358"/>
      <c r="L217" s="358"/>
    </row>
    <row r="218" spans="1:16" outlineLevel="1">
      <c r="A218" s="358">
        <v>6</v>
      </c>
      <c r="B218" s="492" t="s">
        <v>779</v>
      </c>
      <c r="D218" s="490"/>
      <c r="E218" s="490"/>
      <c r="F218" s="490"/>
      <c r="G218" s="358"/>
      <c r="H218" s="358"/>
      <c r="I218" s="358"/>
      <c r="J218" s="358"/>
      <c r="K218" s="358"/>
      <c r="L218" s="358"/>
    </row>
    <row r="219" spans="1:16" outlineLevel="1">
      <c r="A219" s="358">
        <v>7</v>
      </c>
      <c r="B219" s="495" t="s">
        <v>774</v>
      </c>
      <c r="D219" s="490"/>
      <c r="E219" s="490"/>
      <c r="F219" s="490"/>
      <c r="G219" s="358"/>
      <c r="H219" s="358"/>
      <c r="I219" s="358"/>
      <c r="J219" s="358"/>
      <c r="K219" s="358"/>
      <c r="L219" s="358"/>
    </row>
    <row r="220" spans="1:16" outlineLevel="1">
      <c r="A220" s="358">
        <v>8</v>
      </c>
      <c r="B220" s="495" t="s">
        <v>780</v>
      </c>
      <c r="D220" s="490"/>
      <c r="E220" s="490"/>
      <c r="F220" s="490"/>
      <c r="G220" s="358"/>
      <c r="H220" s="358"/>
      <c r="I220" s="358"/>
      <c r="J220" s="358"/>
      <c r="K220" s="358"/>
      <c r="L220" s="358"/>
    </row>
    <row r="221" spans="1:16" outlineLevel="1">
      <c r="A221" s="358">
        <v>9</v>
      </c>
      <c r="B221" s="489" t="s">
        <v>781</v>
      </c>
      <c r="D221" s="490"/>
      <c r="E221" s="490"/>
      <c r="F221" s="490"/>
      <c r="G221" s="358"/>
      <c r="H221" s="358"/>
      <c r="I221" s="358"/>
      <c r="J221" s="358"/>
      <c r="K221" s="358"/>
      <c r="L221" s="358"/>
    </row>
    <row r="222" spans="1:16" outlineLevel="1">
      <c r="A222" s="358">
        <v>10</v>
      </c>
      <c r="B222" s="490" t="s">
        <v>782</v>
      </c>
      <c r="D222" s="490"/>
      <c r="E222" s="490"/>
      <c r="F222" s="490"/>
      <c r="G222" s="358"/>
      <c r="H222" s="358"/>
      <c r="I222" s="358"/>
      <c r="J222" s="358"/>
      <c r="K222" s="358"/>
      <c r="L222" s="358"/>
    </row>
    <row r="223" spans="1:16" outlineLevel="1">
      <c r="A223" s="488" t="s">
        <v>783</v>
      </c>
      <c r="B223" s="489"/>
      <c r="D223" s="490"/>
      <c r="E223" s="490"/>
      <c r="F223" s="490"/>
      <c r="G223" s="358"/>
      <c r="H223" s="358"/>
      <c r="I223" s="358"/>
      <c r="J223" s="358"/>
      <c r="K223" s="358"/>
      <c r="L223" s="358"/>
    </row>
    <row r="224" spans="1:16" outlineLevel="1">
      <c r="A224" s="496" t="s">
        <v>6</v>
      </c>
      <c r="B224" s="497" t="s">
        <v>784</v>
      </c>
      <c r="C224" s="490"/>
      <c r="D224" s="490"/>
      <c r="E224" s="490"/>
      <c r="F224" s="490"/>
      <c r="G224" s="358"/>
      <c r="H224" s="358"/>
      <c r="I224" s="358"/>
      <c r="J224" s="358"/>
      <c r="K224" s="358"/>
      <c r="L224" s="358"/>
      <c r="N224" s="570"/>
      <c r="O224" s="489"/>
      <c r="P224" s="490"/>
    </row>
    <row r="225" spans="1:16" outlineLevel="1">
      <c r="A225" s="496" t="s">
        <v>59</v>
      </c>
      <c r="B225" s="489" t="s">
        <v>785</v>
      </c>
      <c r="C225" s="490"/>
      <c r="D225" s="490"/>
      <c r="E225" s="490"/>
      <c r="F225" s="490"/>
      <c r="G225" s="358"/>
      <c r="H225" s="358"/>
      <c r="I225" s="358"/>
      <c r="J225" s="358"/>
      <c r="K225" s="358"/>
      <c r="L225" s="358"/>
      <c r="N225" s="571"/>
      <c r="O225" s="489"/>
      <c r="P225" s="490"/>
    </row>
    <row r="226" spans="1:16" outlineLevel="1">
      <c r="A226" s="496" t="s">
        <v>16</v>
      </c>
      <c r="B226" s="489" t="s">
        <v>786</v>
      </c>
      <c r="C226" s="490"/>
      <c r="D226" s="490"/>
      <c r="E226" s="490"/>
      <c r="F226" s="490"/>
      <c r="G226" s="358"/>
      <c r="H226" s="358"/>
      <c r="I226" s="358"/>
      <c r="J226" s="358"/>
      <c r="K226" s="358"/>
      <c r="L226" s="358"/>
      <c r="N226" s="572"/>
      <c r="O226" s="489"/>
      <c r="P226" s="490"/>
    </row>
    <row r="227" spans="1:16" outlineLevel="1">
      <c r="A227" s="496" t="s">
        <v>20</v>
      </c>
      <c r="B227" s="489" t="s">
        <v>787</v>
      </c>
      <c r="C227" s="490"/>
      <c r="D227" s="490"/>
      <c r="E227" s="490"/>
      <c r="F227" s="490"/>
      <c r="G227" s="358"/>
      <c r="H227" s="358"/>
      <c r="I227" s="358"/>
      <c r="J227" s="358"/>
      <c r="K227" s="358"/>
      <c r="L227" s="358"/>
      <c r="N227" s="573"/>
      <c r="O227" s="489"/>
      <c r="P227" s="490"/>
    </row>
    <row r="228" spans="1:16" outlineLevel="1">
      <c r="A228" s="496" t="s">
        <v>76</v>
      </c>
      <c r="B228" s="498" t="s">
        <v>788</v>
      </c>
      <c r="C228" s="490"/>
      <c r="D228" s="490"/>
      <c r="E228" s="490"/>
      <c r="F228" s="490"/>
      <c r="G228" s="358"/>
      <c r="H228" s="358"/>
      <c r="I228" s="358"/>
      <c r="J228" s="358"/>
      <c r="K228" s="358"/>
      <c r="L228" s="358"/>
      <c r="N228" s="573"/>
      <c r="O228" s="490"/>
      <c r="P228" s="490"/>
    </row>
    <row r="229" spans="1:16" outlineLevel="1">
      <c r="A229" s="496" t="s">
        <v>25</v>
      </c>
      <c r="B229" s="489" t="s">
        <v>804</v>
      </c>
      <c r="C229" s="490"/>
      <c r="D229" s="490"/>
      <c r="E229" s="490"/>
      <c r="F229" s="490"/>
      <c r="G229" s="358"/>
      <c r="H229" s="358"/>
      <c r="I229" s="358"/>
      <c r="J229" s="358"/>
      <c r="K229" s="358"/>
      <c r="L229" s="358"/>
      <c r="N229" s="489"/>
      <c r="O229" s="490"/>
      <c r="P229" s="490"/>
    </row>
    <row r="230" spans="1:16" outlineLevel="1">
      <c r="A230" s="496" t="s">
        <v>33</v>
      </c>
      <c r="B230" s="489" t="s">
        <v>789</v>
      </c>
      <c r="C230" s="490"/>
      <c r="D230" s="490"/>
      <c r="E230" s="490"/>
      <c r="F230" s="490"/>
      <c r="G230" s="358"/>
      <c r="H230" s="358"/>
      <c r="I230" s="358"/>
      <c r="J230" s="358"/>
      <c r="K230" s="358"/>
      <c r="L230" s="358"/>
      <c r="N230" s="490"/>
      <c r="O230" s="490"/>
      <c r="P230" s="490"/>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6" thickBot="1">
      <c r="A246" s="360" t="s">
        <v>805</v>
      </c>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20.5" customHeight="1" outlineLevel="1" thickBot="1">
      <c r="B247" s="362" t="s">
        <v>0</v>
      </c>
      <c r="C247" s="1201" t="s">
        <v>806</v>
      </c>
      <c r="D247" s="1177"/>
      <c r="E247" s="1177"/>
      <c r="F247" s="1177"/>
      <c r="G247" s="1177"/>
      <c r="H247" s="1177"/>
      <c r="I247" s="1177"/>
      <c r="J247" s="1177"/>
      <c r="K247" s="1177"/>
      <c r="L247" s="1178"/>
      <c r="M247" s="363"/>
      <c r="N247" s="363"/>
      <c r="P247" s="364" t="s">
        <v>713</v>
      </c>
      <c r="Q247" s="365"/>
      <c r="R247" s="366"/>
      <c r="S247" s="1143" t="s">
        <v>714</v>
      </c>
      <c r="T247" s="1147" t="s">
        <v>715</v>
      </c>
      <c r="U247" s="1148"/>
      <c r="V247" s="1147" t="s">
        <v>716</v>
      </c>
      <c r="W247" s="1148"/>
      <c r="X247" s="1147" t="s">
        <v>717</v>
      </c>
      <c r="Y247" s="1148"/>
      <c r="Z247" s="1147" t="s">
        <v>718</v>
      </c>
      <c r="AA247" s="1148"/>
      <c r="AB247" s="1147" t="s">
        <v>719</v>
      </c>
      <c r="AC247" s="1148"/>
      <c r="AE247" s="364" t="s">
        <v>720</v>
      </c>
      <c r="AF247" s="365"/>
      <c r="AG247" s="366"/>
      <c r="AH247" s="1143" t="s">
        <v>714</v>
      </c>
      <c r="AI247" s="1147" t="s">
        <v>715</v>
      </c>
      <c r="AJ247" s="1148"/>
      <c r="AK247" s="1147" t="s">
        <v>716</v>
      </c>
      <c r="AL247" s="1148"/>
      <c r="AM247" s="1147" t="s">
        <v>717</v>
      </c>
      <c r="AN247" s="1148"/>
      <c r="AO247" s="1147" t="s">
        <v>718</v>
      </c>
      <c r="AP247" s="1148"/>
      <c r="AQ247" s="1147" t="s">
        <v>719</v>
      </c>
      <c r="AR247" s="1148"/>
    </row>
    <row r="248" spans="1:44" ht="15" customHeight="1" outlineLevel="1" thickBot="1">
      <c r="B248" s="1168" t="s">
        <v>4</v>
      </c>
      <c r="C248" s="1170">
        <v>2020</v>
      </c>
      <c r="D248" s="1170">
        <v>2030</v>
      </c>
      <c r="E248" s="1170">
        <v>2040</v>
      </c>
      <c r="F248" s="1170">
        <v>2050</v>
      </c>
      <c r="G248" s="1206" t="s">
        <v>721</v>
      </c>
      <c r="H248" s="1207"/>
      <c r="I248" s="1206" t="s">
        <v>648</v>
      </c>
      <c r="J248" s="1207"/>
      <c r="K248" s="1204" t="s">
        <v>2</v>
      </c>
      <c r="L248" s="1204" t="s">
        <v>3</v>
      </c>
      <c r="M248" s="367"/>
      <c r="N248" s="367"/>
      <c r="P248" s="1151" t="s">
        <v>0</v>
      </c>
      <c r="Q248" s="368"/>
      <c r="R248" s="368"/>
      <c r="S248" s="1144"/>
      <c r="T248" s="1149"/>
      <c r="U248" s="1150"/>
      <c r="V248" s="1149"/>
      <c r="W248" s="1150"/>
      <c r="X248" s="1149"/>
      <c r="Y248" s="1150"/>
      <c r="Z248" s="1149"/>
      <c r="AA248" s="1150"/>
      <c r="AB248" s="1149"/>
      <c r="AC248" s="1150"/>
      <c r="AE248" s="1151" t="s">
        <v>0</v>
      </c>
      <c r="AF248" s="368"/>
      <c r="AG248" s="368"/>
      <c r="AH248" s="1144"/>
      <c r="AI248" s="1149"/>
      <c r="AJ248" s="1150"/>
      <c r="AK248" s="1149"/>
      <c r="AL248" s="1150"/>
      <c r="AM248" s="1149"/>
      <c r="AN248" s="1150"/>
      <c r="AO248" s="1149"/>
      <c r="AP248" s="1150"/>
      <c r="AQ248" s="1149"/>
      <c r="AR248" s="1150"/>
    </row>
    <row r="249" spans="1:44" ht="15" customHeight="1" outlineLevel="1" thickBot="1">
      <c r="B249" s="1169"/>
      <c r="C249" s="1171"/>
      <c r="D249" s="1171"/>
      <c r="E249" s="1171"/>
      <c r="F249" s="1171"/>
      <c r="G249" s="406" t="s">
        <v>649</v>
      </c>
      <c r="H249" s="406" t="s">
        <v>650</v>
      </c>
      <c r="I249" s="406" t="s">
        <v>649</v>
      </c>
      <c r="J249" s="406" t="s">
        <v>650</v>
      </c>
      <c r="K249" s="1205"/>
      <c r="L249" s="1205"/>
      <c r="M249" s="370"/>
      <c r="N249" s="370"/>
      <c r="P249" s="1152"/>
      <c r="Q249" s="1154" t="s">
        <v>722</v>
      </c>
      <c r="R249" s="1155" t="s">
        <v>723</v>
      </c>
      <c r="S249" s="1145"/>
      <c r="T249" s="1149"/>
      <c r="U249" s="1150"/>
      <c r="V249" s="1149"/>
      <c r="W249" s="1150"/>
      <c r="X249" s="1149"/>
      <c r="Y249" s="1150"/>
      <c r="Z249" s="1149"/>
      <c r="AA249" s="1150"/>
      <c r="AB249" s="1149"/>
      <c r="AC249" s="1150"/>
      <c r="AE249" s="1152"/>
      <c r="AF249" s="1198" t="s">
        <v>722</v>
      </c>
      <c r="AG249" s="1155" t="s">
        <v>723</v>
      </c>
      <c r="AH249" s="1145"/>
      <c r="AI249" s="1149"/>
      <c r="AJ249" s="1150"/>
      <c r="AK249" s="1149"/>
      <c r="AL249" s="1150"/>
      <c r="AM249" s="1149"/>
      <c r="AN249" s="1150"/>
      <c r="AO249" s="1149"/>
      <c r="AP249" s="1150"/>
      <c r="AQ249" s="1149"/>
      <c r="AR249" s="1150"/>
    </row>
    <row r="250" spans="1:44" ht="33"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53"/>
      <c r="Q250" s="1146"/>
      <c r="R250" s="1156"/>
      <c r="S250" s="1146"/>
      <c r="T250" s="374" t="s">
        <v>726</v>
      </c>
      <c r="U250" s="375" t="s">
        <v>727</v>
      </c>
      <c r="V250" s="374" t="s">
        <v>726</v>
      </c>
      <c r="W250" s="375" t="s">
        <v>727</v>
      </c>
      <c r="X250" s="374" t="s">
        <v>726</v>
      </c>
      <c r="Y250" s="375" t="s">
        <v>727</v>
      </c>
      <c r="Z250" s="374" t="s">
        <v>726</v>
      </c>
      <c r="AA250" s="375" t="s">
        <v>727</v>
      </c>
      <c r="AB250" s="374" t="s">
        <v>726</v>
      </c>
      <c r="AC250" s="375" t="s">
        <v>727</v>
      </c>
      <c r="AE250" s="1153"/>
      <c r="AF250" s="1199"/>
      <c r="AG250" s="1156"/>
      <c r="AH250" s="1146"/>
      <c r="AI250" s="374" t="s">
        <v>726</v>
      </c>
      <c r="AJ250" s="375" t="s">
        <v>727</v>
      </c>
      <c r="AK250" s="374" t="s">
        <v>726</v>
      </c>
      <c r="AL250" s="375" t="s">
        <v>727</v>
      </c>
      <c r="AM250" s="374" t="s">
        <v>726</v>
      </c>
      <c r="AN250" s="375" t="s">
        <v>727</v>
      </c>
      <c r="AO250" s="374" t="s">
        <v>726</v>
      </c>
      <c r="AP250" s="375" t="s">
        <v>727</v>
      </c>
      <c r="AQ250" s="374" t="s">
        <v>726</v>
      </c>
      <c r="AR250" s="375" t="s">
        <v>727</v>
      </c>
    </row>
    <row r="251" spans="1:44" ht="14.5" customHeight="1" outlineLevel="1">
      <c r="B251" s="541" t="s">
        <v>728</v>
      </c>
      <c r="C251" s="542">
        <v>103</v>
      </c>
      <c r="D251" s="542">
        <v>104</v>
      </c>
      <c r="E251" s="543">
        <v>104</v>
      </c>
      <c r="F251" s="542">
        <v>104</v>
      </c>
      <c r="G251" s="542">
        <v>95</v>
      </c>
      <c r="H251" s="542">
        <v>106</v>
      </c>
      <c r="I251" s="542">
        <v>96</v>
      </c>
      <c r="J251" s="542">
        <v>107</v>
      </c>
      <c r="K251" s="547"/>
      <c r="L251" s="548" t="s">
        <v>801</v>
      </c>
      <c r="M251" s="370"/>
      <c r="N251" s="370"/>
      <c r="P251" s="1200" t="str">
        <f>C247</f>
        <v>Hot water boiler, Natural gas or biogas (Condensing)</v>
      </c>
      <c r="Q251" s="1188" t="s">
        <v>730</v>
      </c>
      <c r="R251" s="381" t="s">
        <v>731</v>
      </c>
      <c r="S251" s="382"/>
      <c r="T251" s="1191">
        <v>0</v>
      </c>
      <c r="U251" s="1179">
        <v>0</v>
      </c>
      <c r="V251" s="1191">
        <v>0</v>
      </c>
      <c r="W251" s="1179">
        <v>0</v>
      </c>
      <c r="X251" s="1191">
        <v>0</v>
      </c>
      <c r="Y251" s="1179">
        <v>0</v>
      </c>
      <c r="Z251" s="1191">
        <v>0</v>
      </c>
      <c r="AA251" s="1179">
        <v>0</v>
      </c>
      <c r="AB251" s="1191">
        <v>0</v>
      </c>
      <c r="AC251" s="1179">
        <v>0</v>
      </c>
      <c r="AE251" s="1185" t="str">
        <f>P251</f>
        <v>Hot water boiler, Natural gas or biogas (Condensing)</v>
      </c>
      <c r="AF251" s="1188" t="s">
        <v>730</v>
      </c>
      <c r="AG251" s="381" t="s">
        <v>731</v>
      </c>
      <c r="AH251" s="382"/>
      <c r="AI251" s="1191">
        <v>0</v>
      </c>
      <c r="AJ251" s="1179">
        <v>0</v>
      </c>
      <c r="AK251" s="1191">
        <v>0</v>
      </c>
      <c r="AL251" s="1179">
        <v>0</v>
      </c>
      <c r="AM251" s="1191">
        <v>0</v>
      </c>
      <c r="AN251" s="1179">
        <v>0</v>
      </c>
      <c r="AO251" s="1191">
        <v>0</v>
      </c>
      <c r="AP251" s="1179">
        <v>0</v>
      </c>
      <c r="AQ251" s="1191">
        <v>0</v>
      </c>
      <c r="AR251" s="1179">
        <v>0</v>
      </c>
    </row>
    <row r="252" spans="1:44" outlineLevel="1">
      <c r="B252" s="383" t="s">
        <v>732</v>
      </c>
      <c r="C252" s="384">
        <f>C251-2</f>
        <v>101</v>
      </c>
      <c r="D252" s="384">
        <f t="shared" ref="D252:J252" si="13">D251-1</f>
        <v>103</v>
      </c>
      <c r="E252" s="384">
        <f t="shared" si="13"/>
        <v>103</v>
      </c>
      <c r="F252" s="384">
        <f t="shared" si="13"/>
        <v>103</v>
      </c>
      <c r="G252" s="505">
        <f t="shared" si="13"/>
        <v>94</v>
      </c>
      <c r="H252" s="505">
        <f t="shared" si="13"/>
        <v>105</v>
      </c>
      <c r="I252" s="505">
        <f t="shared" si="13"/>
        <v>95</v>
      </c>
      <c r="J252" s="505">
        <f t="shared" si="13"/>
        <v>106</v>
      </c>
      <c r="K252" s="372"/>
      <c r="L252" s="373" t="s">
        <v>729</v>
      </c>
      <c r="M252" s="370"/>
      <c r="N252" s="370"/>
      <c r="O252" s="71"/>
      <c r="P252" s="1186"/>
      <c r="Q252" s="1189"/>
      <c r="R252" s="388" t="s">
        <v>733</v>
      </c>
      <c r="S252" s="389"/>
      <c r="T252" s="1192"/>
      <c r="U252" s="1180"/>
      <c r="V252" s="1192"/>
      <c r="W252" s="1180"/>
      <c r="X252" s="1192"/>
      <c r="Y252" s="1180"/>
      <c r="Z252" s="1192"/>
      <c r="AA252" s="1180"/>
      <c r="AB252" s="1192"/>
      <c r="AC252" s="1180"/>
      <c r="AE252" s="1186"/>
      <c r="AF252" s="1189"/>
      <c r="AG252" s="388" t="s">
        <v>733</v>
      </c>
      <c r="AH252" s="389"/>
      <c r="AI252" s="1192"/>
      <c r="AJ252" s="1180"/>
      <c r="AK252" s="1192"/>
      <c r="AL252" s="1180"/>
      <c r="AM252" s="1192"/>
      <c r="AN252" s="1180"/>
      <c r="AO252" s="1192"/>
      <c r="AP252" s="1180"/>
      <c r="AQ252" s="1192"/>
      <c r="AR252" s="1180"/>
    </row>
    <row r="253" spans="1:44" ht="16" outlineLevel="1" thickBot="1">
      <c r="B253" s="541" t="s">
        <v>734</v>
      </c>
      <c r="C253" s="544">
        <v>0.14000000000000001</v>
      </c>
      <c r="D253" s="545">
        <v>0.12</v>
      </c>
      <c r="E253" s="545">
        <v>0.11</v>
      </c>
      <c r="F253" s="546">
        <v>0.1</v>
      </c>
      <c r="G253" s="545">
        <v>0.1</v>
      </c>
      <c r="H253" s="545">
        <v>0.14000000000000001</v>
      </c>
      <c r="I253" s="545">
        <v>0.08</v>
      </c>
      <c r="J253" s="545">
        <v>0.12</v>
      </c>
      <c r="K253" s="547"/>
      <c r="L253" s="548">
        <v>3</v>
      </c>
      <c r="M253" s="370"/>
      <c r="N253" s="370"/>
      <c r="O253" s="71"/>
      <c r="P253" s="1186"/>
      <c r="Q253" s="1190"/>
      <c r="R253" s="393" t="s">
        <v>735</v>
      </c>
      <c r="S253" s="394"/>
      <c r="T253" s="1193"/>
      <c r="U253" s="1181"/>
      <c r="V253" s="1193"/>
      <c r="W253" s="1181"/>
      <c r="X253" s="1193"/>
      <c r="Y253" s="1181"/>
      <c r="Z253" s="1193"/>
      <c r="AA253" s="1181"/>
      <c r="AB253" s="1193"/>
      <c r="AC253" s="1181"/>
      <c r="AE253" s="1186"/>
      <c r="AF253" s="1190"/>
      <c r="AG253" s="393" t="s">
        <v>735</v>
      </c>
      <c r="AH253" s="394"/>
      <c r="AI253" s="1193"/>
      <c r="AJ253" s="1181"/>
      <c r="AK253" s="1193"/>
      <c r="AL253" s="1181"/>
      <c r="AM253" s="1193"/>
      <c r="AN253" s="1181"/>
      <c r="AO253" s="1193"/>
      <c r="AP253" s="1181"/>
      <c r="AQ253" s="1193"/>
      <c r="AR253" s="1181"/>
    </row>
    <row r="254" spans="1:44" ht="14.5" customHeight="1" outlineLevel="1">
      <c r="B254" s="541" t="s">
        <v>657</v>
      </c>
      <c r="C254" s="544">
        <v>1</v>
      </c>
      <c r="D254" s="544">
        <v>1</v>
      </c>
      <c r="E254" s="544">
        <v>1</v>
      </c>
      <c r="F254" s="544">
        <v>1</v>
      </c>
      <c r="G254" s="544">
        <v>0.08</v>
      </c>
      <c r="H254" s="544">
        <v>2</v>
      </c>
      <c r="I254" s="544">
        <v>0.08</v>
      </c>
      <c r="J254" s="544">
        <v>2</v>
      </c>
      <c r="K254" s="547"/>
      <c r="L254" s="548">
        <v>3</v>
      </c>
      <c r="M254" s="370"/>
      <c r="N254" s="370"/>
      <c r="O254" s="71"/>
      <c r="P254" s="1186"/>
      <c r="Q254" s="1188" t="s">
        <v>736</v>
      </c>
      <c r="R254" s="395" t="s">
        <v>737</v>
      </c>
      <c r="S254" s="396" t="s">
        <v>738</v>
      </c>
      <c r="T254" s="1191">
        <v>0</v>
      </c>
      <c r="U254" s="1191">
        <v>0.17</v>
      </c>
      <c r="V254" s="1191">
        <v>0</v>
      </c>
      <c r="W254" s="1191">
        <v>0</v>
      </c>
      <c r="X254" s="1191">
        <v>0</v>
      </c>
      <c r="Y254" s="1191">
        <v>0</v>
      </c>
      <c r="Z254" s="1191">
        <v>0</v>
      </c>
      <c r="AA254" s="1191">
        <v>0.06</v>
      </c>
      <c r="AB254" s="1191">
        <v>0</v>
      </c>
      <c r="AC254" s="1191">
        <v>0</v>
      </c>
      <c r="AE254" s="1186"/>
      <c r="AF254" s="1188" t="s">
        <v>736</v>
      </c>
      <c r="AG254" s="395" t="s">
        <v>737</v>
      </c>
      <c r="AH254" s="396" t="s">
        <v>738</v>
      </c>
      <c r="AI254" s="1191">
        <v>0</v>
      </c>
      <c r="AJ254" s="1191">
        <f>U254/4</f>
        <v>4.2500000000000003E-2</v>
      </c>
      <c r="AK254" s="1191">
        <v>0</v>
      </c>
      <c r="AL254" s="1191">
        <f>W254/4</f>
        <v>0</v>
      </c>
      <c r="AM254" s="1191">
        <v>0</v>
      </c>
      <c r="AN254" s="1191">
        <f>Y254/4</f>
        <v>0</v>
      </c>
      <c r="AO254" s="1191">
        <v>0</v>
      </c>
      <c r="AP254" s="1191">
        <f>AA254/4</f>
        <v>1.4999999999999999E-2</v>
      </c>
      <c r="AQ254" s="1191">
        <v>0</v>
      </c>
      <c r="AR254" s="1191">
        <f>AC254/4</f>
        <v>0</v>
      </c>
    </row>
    <row r="255" spans="1:44" outlineLevel="1">
      <c r="B255" s="541" t="s">
        <v>658</v>
      </c>
      <c r="C255" s="544">
        <v>0.4</v>
      </c>
      <c r="D255" s="544">
        <v>0.4</v>
      </c>
      <c r="E255" s="544">
        <v>0.4</v>
      </c>
      <c r="F255" s="544">
        <v>0.4</v>
      </c>
      <c r="G255" s="544">
        <v>0.3</v>
      </c>
      <c r="H255" s="544">
        <v>0.6</v>
      </c>
      <c r="I255" s="544">
        <v>0.3</v>
      </c>
      <c r="J255" s="544">
        <v>0.6</v>
      </c>
      <c r="K255" s="547"/>
      <c r="L255" s="548">
        <v>3</v>
      </c>
      <c r="M255" s="367"/>
      <c r="N255" s="367"/>
      <c r="O255" s="71"/>
      <c r="P255" s="1186"/>
      <c r="Q255" s="1189"/>
      <c r="R255" s="395" t="s">
        <v>739</v>
      </c>
      <c r="S255" s="396" t="s">
        <v>738</v>
      </c>
      <c r="T255" s="1208"/>
      <c r="U255" s="1208"/>
      <c r="V255" s="1208"/>
      <c r="W255" s="1208"/>
      <c r="X255" s="1208"/>
      <c r="Y255" s="1208"/>
      <c r="Z255" s="1208"/>
      <c r="AA255" s="1208"/>
      <c r="AB255" s="1208"/>
      <c r="AC255" s="1208"/>
      <c r="AE255" s="1186"/>
      <c r="AF255" s="1189"/>
      <c r="AG255" s="395" t="s">
        <v>739</v>
      </c>
      <c r="AH255" s="396" t="s">
        <v>738</v>
      </c>
      <c r="AI255" s="1208"/>
      <c r="AJ255" s="1208"/>
      <c r="AK255" s="1208"/>
      <c r="AL255" s="1208"/>
      <c r="AM255" s="1208"/>
      <c r="AN255" s="1208"/>
      <c r="AO255" s="1208"/>
      <c r="AP255" s="1208"/>
      <c r="AQ255" s="1208"/>
      <c r="AR255" s="1208"/>
    </row>
    <row r="256" spans="1:44" outlineLevel="1">
      <c r="B256" s="383" t="s">
        <v>11</v>
      </c>
      <c r="C256" s="397">
        <v>25</v>
      </c>
      <c r="D256" s="397">
        <v>25</v>
      </c>
      <c r="E256" s="397">
        <v>25</v>
      </c>
      <c r="F256" s="397">
        <v>25</v>
      </c>
      <c r="G256" s="399">
        <v>20</v>
      </c>
      <c r="H256" s="399">
        <v>30</v>
      </c>
      <c r="I256" s="399">
        <v>20</v>
      </c>
      <c r="J256" s="399">
        <v>30</v>
      </c>
      <c r="K256" s="372"/>
      <c r="L256" s="373" t="s">
        <v>740</v>
      </c>
      <c r="M256" s="363"/>
      <c r="N256" s="363"/>
      <c r="P256" s="1186"/>
      <c r="Q256" s="1189"/>
      <c r="R256" s="395" t="s">
        <v>741</v>
      </c>
      <c r="S256" s="396"/>
      <c r="T256" s="1208"/>
      <c r="U256" s="1208"/>
      <c r="V256" s="1208"/>
      <c r="W256" s="1208"/>
      <c r="X256" s="1208"/>
      <c r="Y256" s="1208"/>
      <c r="Z256" s="1208"/>
      <c r="AA256" s="1208"/>
      <c r="AB256" s="1208"/>
      <c r="AC256" s="1208"/>
      <c r="AE256" s="1186"/>
      <c r="AF256" s="1189"/>
      <c r="AG256" s="395" t="s">
        <v>741</v>
      </c>
      <c r="AH256" s="396" t="s">
        <v>738</v>
      </c>
      <c r="AI256" s="1208"/>
      <c r="AJ256" s="1208"/>
      <c r="AK256" s="1208"/>
      <c r="AL256" s="1208"/>
      <c r="AM256" s="1208"/>
      <c r="AN256" s="1208"/>
      <c r="AO256" s="1208"/>
      <c r="AP256" s="1208"/>
      <c r="AQ256" s="1208"/>
      <c r="AR256" s="1208"/>
    </row>
    <row r="257" spans="1:44" ht="16" outlineLevel="1" thickBot="1">
      <c r="B257" s="541" t="s">
        <v>273</v>
      </c>
      <c r="C257" s="544">
        <v>0.5</v>
      </c>
      <c r="D257" s="544">
        <v>0.5</v>
      </c>
      <c r="E257" s="544">
        <v>0.5</v>
      </c>
      <c r="F257" s="544">
        <v>0.5</v>
      </c>
      <c r="G257" s="544">
        <v>0.2</v>
      </c>
      <c r="H257" s="544">
        <v>0.7</v>
      </c>
      <c r="I257" s="544">
        <v>0.2</v>
      </c>
      <c r="J257" s="544">
        <v>0.7</v>
      </c>
      <c r="K257" s="547"/>
      <c r="L257" s="559"/>
      <c r="M257" s="363"/>
      <c r="N257" s="363"/>
      <c r="P257" s="1186"/>
      <c r="Q257" s="1189"/>
      <c r="R257" s="395" t="s">
        <v>742</v>
      </c>
      <c r="S257" s="396" t="s">
        <v>738</v>
      </c>
      <c r="T257" s="1208"/>
      <c r="U257" s="1208"/>
      <c r="V257" s="1208"/>
      <c r="W257" s="1208"/>
      <c r="X257" s="1208"/>
      <c r="Y257" s="1208"/>
      <c r="Z257" s="1208"/>
      <c r="AA257" s="1208"/>
      <c r="AB257" s="1208"/>
      <c r="AC257" s="1208"/>
      <c r="AE257" s="1186"/>
      <c r="AF257" s="1189"/>
      <c r="AG257" s="395" t="s">
        <v>742</v>
      </c>
      <c r="AH257" s="396"/>
      <c r="AI257" s="1208"/>
      <c r="AJ257" s="1208"/>
      <c r="AK257" s="1208"/>
      <c r="AL257" s="1208"/>
      <c r="AM257" s="1208"/>
      <c r="AN257" s="1208"/>
      <c r="AO257" s="1208"/>
      <c r="AP257" s="1208"/>
      <c r="AQ257" s="1208"/>
      <c r="AR257" s="1208"/>
    </row>
    <row r="258" spans="1:44" ht="16" outlineLevel="1" thickBot="1">
      <c r="B258" s="401" t="s">
        <v>743</v>
      </c>
      <c r="C258" s="402"/>
      <c r="D258" s="403"/>
      <c r="E258" s="404"/>
      <c r="F258" s="405"/>
      <c r="G258" s="406"/>
      <c r="H258" s="406"/>
      <c r="I258" s="406"/>
      <c r="J258" s="406"/>
      <c r="K258" s="407"/>
      <c r="L258" s="408"/>
      <c r="M258" s="363"/>
      <c r="N258" s="363"/>
      <c r="P258" s="1186"/>
      <c r="Q258" s="1189"/>
      <c r="R258" s="409" t="s">
        <v>744</v>
      </c>
      <c r="S258" s="410" t="s">
        <v>738</v>
      </c>
      <c r="T258" s="1209"/>
      <c r="U258" s="1209"/>
      <c r="V258" s="1209"/>
      <c r="W258" s="1209"/>
      <c r="X258" s="1209"/>
      <c r="Y258" s="1209"/>
      <c r="Z258" s="1209"/>
      <c r="AA258" s="1209"/>
      <c r="AB258" s="1209"/>
      <c r="AC258" s="1209"/>
      <c r="AE258" s="1186"/>
      <c r="AF258" s="1189"/>
      <c r="AG258" s="409" t="s">
        <v>744</v>
      </c>
      <c r="AH258" s="410" t="s">
        <v>738</v>
      </c>
      <c r="AI258" s="1209"/>
      <c r="AJ258" s="1209"/>
      <c r="AK258" s="1209"/>
      <c r="AL258" s="1209"/>
      <c r="AM258" s="1209"/>
      <c r="AN258" s="1209"/>
      <c r="AO258" s="1209"/>
      <c r="AP258" s="1209"/>
      <c r="AQ258" s="1209"/>
      <c r="AR258" s="1209"/>
    </row>
    <row r="259" spans="1:44" ht="33" outlineLevel="1" thickBot="1">
      <c r="B259" s="541" t="s">
        <v>663</v>
      </c>
      <c r="C259" s="544">
        <v>15</v>
      </c>
      <c r="D259" s="544">
        <v>15</v>
      </c>
      <c r="E259" s="544">
        <v>15</v>
      </c>
      <c r="F259" s="544">
        <v>15</v>
      </c>
      <c r="G259" s="545"/>
      <c r="H259" s="545"/>
      <c r="I259" s="545"/>
      <c r="J259" s="545"/>
      <c r="K259" s="547"/>
      <c r="L259" s="548">
        <v>3</v>
      </c>
      <c r="M259" s="363"/>
      <c r="N259" s="363"/>
      <c r="P259" s="1187"/>
      <c r="Q259" s="411" t="s">
        <v>745</v>
      </c>
      <c r="R259" s="412" t="s">
        <v>746</v>
      </c>
      <c r="S259" s="413" t="s">
        <v>738</v>
      </c>
      <c r="T259" s="414">
        <v>1</v>
      </c>
      <c r="U259" s="415">
        <v>1</v>
      </c>
      <c r="V259" s="414">
        <v>0</v>
      </c>
      <c r="W259" s="415">
        <v>0</v>
      </c>
      <c r="X259" s="414">
        <v>0</v>
      </c>
      <c r="Y259" s="415">
        <v>0</v>
      </c>
      <c r="Z259" s="414">
        <v>1</v>
      </c>
      <c r="AA259" s="415">
        <v>1</v>
      </c>
      <c r="AB259" s="414">
        <v>0</v>
      </c>
      <c r="AC259" s="417">
        <v>0</v>
      </c>
      <c r="AE259" s="1187"/>
      <c r="AF259" s="411" t="s">
        <v>745</v>
      </c>
      <c r="AG259" s="412" t="s">
        <v>746</v>
      </c>
      <c r="AH259" s="413" t="s">
        <v>738</v>
      </c>
      <c r="AI259" s="414">
        <v>1</v>
      </c>
      <c r="AJ259" s="415">
        <v>1</v>
      </c>
      <c r="AK259" s="414">
        <v>0</v>
      </c>
      <c r="AL259" s="415">
        <v>0</v>
      </c>
      <c r="AM259" s="414">
        <v>0</v>
      </c>
      <c r="AN259" s="415">
        <v>0</v>
      </c>
      <c r="AO259" s="414">
        <v>1</v>
      </c>
      <c r="AP259" s="415">
        <v>1</v>
      </c>
      <c r="AQ259" s="414">
        <v>0</v>
      </c>
      <c r="AR259" s="417">
        <v>0</v>
      </c>
    </row>
    <row r="260" spans="1:44" outlineLevel="1">
      <c r="B260" s="541" t="s">
        <v>664</v>
      </c>
      <c r="C260" s="544">
        <v>0.1</v>
      </c>
      <c r="D260" s="544">
        <v>0.1</v>
      </c>
      <c r="E260" s="544">
        <v>0.1</v>
      </c>
      <c r="F260" s="544">
        <v>0.1</v>
      </c>
      <c r="G260" s="549"/>
      <c r="H260" s="549"/>
      <c r="I260" s="549"/>
      <c r="J260" s="549"/>
      <c r="K260" s="550"/>
      <c r="L260" s="548">
        <v>3</v>
      </c>
      <c r="M260" s="363"/>
      <c r="N260" s="363"/>
    </row>
    <row r="261" spans="1:44" outlineLevel="1">
      <c r="B261" s="541" t="s">
        <v>666</v>
      </c>
      <c r="C261" s="544">
        <v>0.4</v>
      </c>
      <c r="D261" s="544">
        <v>0.4</v>
      </c>
      <c r="E261" s="544">
        <v>0.4</v>
      </c>
      <c r="F261" s="544">
        <v>0.4</v>
      </c>
      <c r="G261" s="549"/>
      <c r="H261" s="549"/>
      <c r="I261" s="549"/>
      <c r="J261" s="549"/>
      <c r="K261" s="550"/>
      <c r="L261" s="548">
        <v>3</v>
      </c>
      <c r="M261" s="420"/>
      <c r="N261" s="363"/>
    </row>
    <row r="262" spans="1:44" outlineLevel="1">
      <c r="B262" s="421" t="s">
        <v>12</v>
      </c>
      <c r="C262" s="399"/>
      <c r="D262" s="399"/>
      <c r="E262" s="399"/>
      <c r="F262" s="399"/>
      <c r="G262" s="422"/>
      <c r="H262" s="422"/>
      <c r="I262" s="422"/>
      <c r="J262" s="422"/>
      <c r="K262" s="423"/>
      <c r="L262" s="424"/>
      <c r="M262" s="420"/>
      <c r="N262" s="420"/>
    </row>
    <row r="263" spans="1:44" ht="16" outlineLevel="1">
      <c r="B263" s="383" t="s">
        <v>747</v>
      </c>
      <c r="C263" s="397">
        <v>0.3</v>
      </c>
      <c r="D263" s="397">
        <v>0.3</v>
      </c>
      <c r="E263" s="397">
        <v>0.3</v>
      </c>
      <c r="F263" s="397">
        <v>0.3</v>
      </c>
      <c r="G263" s="422"/>
      <c r="H263" s="425"/>
      <c r="I263" s="425"/>
      <c r="J263" s="425"/>
      <c r="K263" s="426" t="s">
        <v>59</v>
      </c>
      <c r="L263" s="427" t="s">
        <v>748</v>
      </c>
      <c r="M263" s="428"/>
      <c r="N263" s="428"/>
    </row>
    <row r="264" spans="1:44" outlineLevel="1">
      <c r="B264" s="383" t="s">
        <v>749</v>
      </c>
      <c r="C264" s="397">
        <v>0.1</v>
      </c>
      <c r="D264" s="397">
        <v>0.1</v>
      </c>
      <c r="E264" s="397">
        <v>0.1</v>
      </c>
      <c r="F264" s="397">
        <v>0.1</v>
      </c>
      <c r="G264" s="425"/>
      <c r="H264" s="425"/>
      <c r="I264" s="425"/>
      <c r="J264" s="425"/>
      <c r="K264" s="423"/>
      <c r="L264" s="427">
        <v>9</v>
      </c>
      <c r="M264" s="428"/>
      <c r="N264" s="428"/>
    </row>
    <row r="265" spans="1:44" ht="16" outlineLevel="1">
      <c r="B265" s="383" t="s">
        <v>750</v>
      </c>
      <c r="C265" s="397">
        <v>9</v>
      </c>
      <c r="D265" s="397">
        <v>7</v>
      </c>
      <c r="E265" s="397">
        <v>6</v>
      </c>
      <c r="F265" s="397">
        <v>6</v>
      </c>
      <c r="G265" s="425"/>
      <c r="H265" s="425"/>
      <c r="I265" s="425"/>
      <c r="J265" s="425"/>
      <c r="K265" s="423"/>
      <c r="L265" s="427" t="s">
        <v>748</v>
      </c>
      <c r="M265" s="428"/>
      <c r="N265" s="428"/>
      <c r="T265" s="224">
        <f>C$23</f>
        <v>0.3</v>
      </c>
      <c r="U265" s="224">
        <f t="shared" ref="U265:V265" si="14">D$23</f>
        <v>0.3</v>
      </c>
      <c r="V265" s="224">
        <f t="shared" si="14"/>
        <v>0.3</v>
      </c>
    </row>
    <row r="266" spans="1:44" outlineLevel="1">
      <c r="B266" s="383" t="s">
        <v>366</v>
      </c>
      <c r="C266" s="397">
        <v>3</v>
      </c>
      <c r="D266" s="397">
        <v>2</v>
      </c>
      <c r="E266" s="397">
        <v>2</v>
      </c>
      <c r="F266" s="397">
        <v>2</v>
      </c>
      <c r="G266" s="425"/>
      <c r="H266" s="425"/>
      <c r="I266" s="425"/>
      <c r="J266" s="425"/>
      <c r="K266" s="423"/>
      <c r="L266" s="427" t="s">
        <v>748</v>
      </c>
      <c r="M266" s="428"/>
      <c r="N266" s="428"/>
    </row>
    <row r="267" spans="1:44" ht="16" outlineLevel="1" thickBot="1">
      <c r="B267" s="429" t="s">
        <v>367</v>
      </c>
      <c r="C267" s="430">
        <v>1</v>
      </c>
      <c r="D267" s="430">
        <v>1</v>
      </c>
      <c r="E267" s="430">
        <v>1</v>
      </c>
      <c r="F267" s="430">
        <v>1</v>
      </c>
      <c r="G267" s="425"/>
      <c r="H267" s="425"/>
      <c r="I267" s="425"/>
      <c r="J267" s="425"/>
      <c r="K267" s="423"/>
      <c r="L267" s="427" t="s">
        <v>748</v>
      </c>
      <c r="M267" s="428"/>
      <c r="N267" s="428"/>
    </row>
    <row r="268" spans="1:44" ht="16" outlineLevel="1" thickBot="1">
      <c r="B268" s="431" t="s">
        <v>674</v>
      </c>
      <c r="C268" s="432"/>
      <c r="D268" s="403"/>
      <c r="E268" s="403"/>
      <c r="F268" s="433"/>
      <c r="G268" s="434"/>
      <c r="H268" s="406"/>
      <c r="I268" s="406"/>
      <c r="J268" s="406"/>
      <c r="K268" s="407"/>
      <c r="L268" s="408"/>
      <c r="M268" s="428"/>
      <c r="N268" s="428"/>
    </row>
    <row r="269" spans="1:44" ht="48" outlineLevel="1">
      <c r="A269" s="435" t="s">
        <v>797</v>
      </c>
      <c r="B269" s="436" t="s">
        <v>792</v>
      </c>
      <c r="C269" s="551">
        <f>0.8*0.06</f>
        <v>4.8000000000000001E-2</v>
      </c>
      <c r="D269" s="512">
        <f>0.8*0.05</f>
        <v>4.0000000000000008E-2</v>
      </c>
      <c r="E269" s="512">
        <f>0.8*0.05</f>
        <v>4.0000000000000008E-2</v>
      </c>
      <c r="F269" s="513">
        <f>0.8*0.05</f>
        <v>4.0000000000000008E-2</v>
      </c>
      <c r="G269" s="425"/>
      <c r="H269" s="425"/>
      <c r="I269" s="425"/>
      <c r="J269" s="425"/>
      <c r="K269" s="426" t="s">
        <v>16</v>
      </c>
      <c r="L269" s="440" t="s">
        <v>753</v>
      </c>
      <c r="M269" s="420"/>
      <c r="N269" s="420"/>
    </row>
    <row r="270" spans="1:44" outlineLevel="1">
      <c r="B270" s="441" t="s">
        <v>754</v>
      </c>
      <c r="C270" s="443">
        <v>65</v>
      </c>
      <c r="D270" s="442">
        <v>65</v>
      </c>
      <c r="E270" s="442">
        <v>65</v>
      </c>
      <c r="F270" s="442">
        <v>65</v>
      </c>
      <c r="G270" s="425"/>
      <c r="H270" s="425"/>
      <c r="I270" s="425"/>
      <c r="J270" s="425"/>
      <c r="K270" s="444"/>
      <c r="L270" s="373">
        <v>3</v>
      </c>
      <c r="M270" s="71"/>
      <c r="N270" s="420"/>
    </row>
    <row r="271" spans="1:44" outlineLevel="1">
      <c r="B271" s="441" t="s">
        <v>755</v>
      </c>
      <c r="C271" s="443">
        <f>100-C270</f>
        <v>35</v>
      </c>
      <c r="D271" s="443">
        <f>100-D270</f>
        <v>35</v>
      </c>
      <c r="E271" s="443">
        <f>100-E270</f>
        <v>35</v>
      </c>
      <c r="F271" s="443">
        <f>100-F270</f>
        <v>35</v>
      </c>
      <c r="G271" s="425"/>
      <c r="H271" s="425"/>
      <c r="I271" s="425"/>
      <c r="J271" s="425"/>
      <c r="K271" s="444"/>
      <c r="L271" s="373">
        <v>3</v>
      </c>
      <c r="M271" s="420"/>
      <c r="N271" s="420"/>
    </row>
    <row r="272" spans="1:44" outlineLevel="1">
      <c r="B272" s="383" t="s">
        <v>793</v>
      </c>
      <c r="C272" s="445">
        <f>2000/1000</f>
        <v>2</v>
      </c>
      <c r="D272" s="446">
        <f>1900/1000</f>
        <v>1.9</v>
      </c>
      <c r="E272" s="446">
        <f>1800/1000</f>
        <v>1.8</v>
      </c>
      <c r="F272" s="447">
        <f>1700/1000</f>
        <v>1.7</v>
      </c>
      <c r="G272" s="425"/>
      <c r="H272" s="425"/>
      <c r="I272" s="425"/>
      <c r="J272" s="425"/>
      <c r="K272" s="448"/>
      <c r="L272" s="373">
        <v>3</v>
      </c>
      <c r="M272" s="420"/>
      <c r="N272" s="420"/>
    </row>
    <row r="273" spans="2:30" outlineLevel="1">
      <c r="B273" s="383" t="s">
        <v>794</v>
      </c>
      <c r="C273" s="449">
        <f>1.1/3.6</f>
        <v>0.30555555555555558</v>
      </c>
      <c r="D273" s="449">
        <f>1/3.6</f>
        <v>0.27777777777777779</v>
      </c>
      <c r="E273" s="449">
        <f>1/3.6</f>
        <v>0.27777777777777779</v>
      </c>
      <c r="F273" s="449">
        <f>1/3.6</f>
        <v>0.27777777777777779</v>
      </c>
      <c r="G273" s="425"/>
      <c r="H273" s="425"/>
      <c r="I273" s="425"/>
      <c r="J273" s="425"/>
      <c r="K273" s="448"/>
      <c r="L273" s="373">
        <v>3</v>
      </c>
      <c r="M273" s="450"/>
      <c r="N273" s="361"/>
      <c r="P273" s="1157">
        <f>C273</f>
        <v>0.30555555555555558</v>
      </c>
      <c r="Q273" s="1135"/>
      <c r="R273" s="1135"/>
      <c r="S273" s="1135"/>
      <c r="T273" s="1135"/>
      <c r="U273" s="1158"/>
    </row>
    <row r="274" spans="2:30" ht="16" outlineLevel="1" thickBot="1">
      <c r="B274" s="541" t="s">
        <v>758</v>
      </c>
      <c r="C274" s="552">
        <f>C253/100*73</f>
        <v>0.10220000000000001</v>
      </c>
      <c r="D274" s="552">
        <f>D253/100*75</f>
        <v>0.09</v>
      </c>
      <c r="E274" s="552">
        <f>E253/100*76</f>
        <v>8.3600000000000008E-2</v>
      </c>
      <c r="F274" s="552">
        <f>F253/100*76</f>
        <v>7.5999999999999998E-2</v>
      </c>
      <c r="G274" s="425"/>
      <c r="H274" s="425"/>
      <c r="I274" s="425"/>
      <c r="J274" s="425"/>
      <c r="K274" s="444" t="s">
        <v>20</v>
      </c>
      <c r="L274" s="373">
        <v>3</v>
      </c>
      <c r="M274" s="450"/>
      <c r="N274" s="361"/>
      <c r="P274" s="1159">
        <f>C274</f>
        <v>0.10220000000000001</v>
      </c>
      <c r="Q274" s="1160"/>
      <c r="R274" s="1160"/>
      <c r="S274" s="1160"/>
      <c r="T274" s="1160"/>
      <c r="U274" s="1161"/>
    </row>
    <row r="275" spans="2:30" outlineLevel="1">
      <c r="B275" s="541" t="s">
        <v>759</v>
      </c>
      <c r="C275" s="554">
        <f>C273-C274</f>
        <v>0.20335555555555557</v>
      </c>
      <c r="D275" s="554">
        <f>D273-D274</f>
        <v>0.18777777777777779</v>
      </c>
      <c r="E275" s="554">
        <f>E273-E274</f>
        <v>0.19417777777777778</v>
      </c>
      <c r="F275" s="554">
        <f>F273-F274</f>
        <v>0.20177777777777778</v>
      </c>
      <c r="G275" s="425"/>
      <c r="H275" s="425"/>
      <c r="I275" s="425"/>
      <c r="J275" s="425"/>
      <c r="K275" s="448"/>
      <c r="L275" s="373">
        <v>3</v>
      </c>
      <c r="M275" s="363"/>
      <c r="N275" s="363"/>
      <c r="P275" s="53" t="s">
        <v>357</v>
      </c>
    </row>
    <row r="276" spans="2:30" ht="30" outlineLevel="1">
      <c r="B276" s="441"/>
      <c r="C276" s="518"/>
      <c r="D276" s="518"/>
      <c r="E276" s="518"/>
      <c r="F276" s="518"/>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33"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56" t="s">
        <v>762</v>
      </c>
      <c r="C279" s="557">
        <v>3.5000000000000003E-2</v>
      </c>
      <c r="D279" s="557">
        <v>0.03</v>
      </c>
      <c r="E279" s="557">
        <v>0.03</v>
      </c>
      <c r="F279" s="557">
        <v>0.03</v>
      </c>
      <c r="G279" s="558"/>
      <c r="H279" s="558"/>
      <c r="I279" s="558"/>
      <c r="J279" s="558"/>
      <c r="K279" s="558" t="s">
        <v>76</v>
      </c>
      <c r="L279" s="559"/>
      <c r="M279" s="363"/>
      <c r="N279" s="363"/>
      <c r="O279" s="465">
        <f>C252</f>
        <v>101</v>
      </c>
      <c r="P279" s="466">
        <f>C248</f>
        <v>2020</v>
      </c>
      <c r="Q279" s="58">
        <f>P279</f>
        <v>2020</v>
      </c>
      <c r="R279" s="466">
        <f>O279/100</f>
        <v>1.01</v>
      </c>
      <c r="S279" s="58"/>
      <c r="T279" s="466">
        <f>C256</f>
        <v>25</v>
      </c>
      <c r="U279" s="467">
        <f>C286</f>
        <v>357.6</v>
      </c>
      <c r="V279" s="467">
        <f>C288</f>
        <v>14.9</v>
      </c>
      <c r="W279" s="467">
        <f>C289</f>
        <v>2.276388888888889</v>
      </c>
      <c r="X279" s="58"/>
      <c r="Y279" s="58"/>
      <c r="Z279" s="466">
        <f>C263</f>
        <v>0.3</v>
      </c>
      <c r="AA279" s="468">
        <f>C265</f>
        <v>9</v>
      </c>
      <c r="AB279" s="468">
        <f>C266</f>
        <v>3</v>
      </c>
      <c r="AC279" s="468">
        <f>C267</f>
        <v>1</v>
      </c>
      <c r="AD279" s="468">
        <f>C264</f>
        <v>0.1</v>
      </c>
    </row>
    <row r="280" spans="2:30" outlineLevel="1">
      <c r="B280" s="541" t="s">
        <v>763</v>
      </c>
      <c r="C280" s="560" t="s">
        <v>36</v>
      </c>
      <c r="D280" s="561" t="s">
        <v>36</v>
      </c>
      <c r="E280" s="561" t="s">
        <v>36</v>
      </c>
      <c r="F280" s="562" t="s">
        <v>36</v>
      </c>
      <c r="G280" s="562"/>
      <c r="H280" s="562"/>
      <c r="I280" s="562"/>
      <c r="J280" s="562"/>
      <c r="K280" s="563" t="s">
        <v>25</v>
      </c>
      <c r="L280" s="559"/>
      <c r="M280" s="363"/>
      <c r="N280" s="363"/>
      <c r="O280" s="465">
        <f>D252</f>
        <v>103</v>
      </c>
      <c r="P280" s="466">
        <f>D248</f>
        <v>2030</v>
      </c>
      <c r="Q280" s="58"/>
      <c r="R280" s="466">
        <f>O280/100</f>
        <v>1.03</v>
      </c>
      <c r="S280" s="58"/>
      <c r="T280" s="466">
        <f>D256</f>
        <v>25</v>
      </c>
      <c r="U280" s="467">
        <f>D286</f>
        <v>298.00000000000006</v>
      </c>
      <c r="V280" s="467">
        <f>D288</f>
        <v>14.154999999999999</v>
      </c>
      <c r="W280" s="467">
        <f>D289</f>
        <v>2.0694444444444446</v>
      </c>
      <c r="X280" s="58"/>
      <c r="Y280" s="58"/>
      <c r="Z280" s="466">
        <f>D263</f>
        <v>0.3</v>
      </c>
      <c r="AA280" s="468">
        <f>D265</f>
        <v>7</v>
      </c>
      <c r="AB280" s="468">
        <f>D266</f>
        <v>2</v>
      </c>
      <c r="AC280" s="468">
        <f>D267</f>
        <v>1</v>
      </c>
      <c r="AD280" s="468">
        <f>D264</f>
        <v>0.1</v>
      </c>
    </row>
    <row r="281" spans="2:30" outlineLevel="1">
      <c r="B281" s="541" t="s">
        <v>764</v>
      </c>
      <c r="C281" s="560" t="s">
        <v>36</v>
      </c>
      <c r="D281" s="561" t="s">
        <v>36</v>
      </c>
      <c r="E281" s="561" t="s">
        <v>36</v>
      </c>
      <c r="F281" s="562" t="s">
        <v>36</v>
      </c>
      <c r="G281" s="562"/>
      <c r="H281" s="562"/>
      <c r="I281" s="562"/>
      <c r="J281" s="562"/>
      <c r="K281" s="563"/>
      <c r="L281" s="559"/>
      <c r="M281" s="363"/>
      <c r="N281" s="363"/>
      <c r="O281" s="465">
        <f>E252</f>
        <v>103</v>
      </c>
      <c r="P281" s="466">
        <f>E248</f>
        <v>2040</v>
      </c>
      <c r="Q281" s="58"/>
      <c r="R281" s="466">
        <f>O281/100</f>
        <v>1.03</v>
      </c>
      <c r="S281" s="58"/>
      <c r="T281" s="466">
        <f>E256</f>
        <v>25</v>
      </c>
      <c r="U281" s="467">
        <f>E286</f>
        <v>298.00000000000006</v>
      </c>
      <c r="V281" s="467">
        <f>E288</f>
        <v>13.41</v>
      </c>
      <c r="W281" s="467">
        <f>E289</f>
        <v>2.0694444444444446</v>
      </c>
      <c r="X281" s="58"/>
      <c r="Y281" s="58"/>
      <c r="Z281" s="466">
        <f>E263</f>
        <v>0.3</v>
      </c>
      <c r="AA281" s="468">
        <f>E265</f>
        <v>6</v>
      </c>
      <c r="AB281" s="468">
        <f>E266</f>
        <v>2</v>
      </c>
      <c r="AC281" s="468">
        <f>E267</f>
        <v>1</v>
      </c>
      <c r="AD281" s="468">
        <f>E264</f>
        <v>0.1</v>
      </c>
    </row>
    <row r="282" spans="2:30" outlineLevel="1">
      <c r="B282" s="541" t="s">
        <v>765</v>
      </c>
      <c r="C282" s="564">
        <v>90</v>
      </c>
      <c r="D282" s="564">
        <v>90</v>
      </c>
      <c r="E282" s="564">
        <v>90</v>
      </c>
      <c r="F282" s="564">
        <v>90</v>
      </c>
      <c r="G282" s="565"/>
      <c r="H282" s="565"/>
      <c r="I282" s="565"/>
      <c r="J282" s="565"/>
      <c r="K282" s="565"/>
      <c r="L282" s="548">
        <v>3</v>
      </c>
      <c r="M282" s="363"/>
      <c r="N282" s="363"/>
      <c r="O282" s="465">
        <f>F252</f>
        <v>103</v>
      </c>
      <c r="P282" s="466">
        <f>F248</f>
        <v>2050</v>
      </c>
      <c r="Q282" s="58"/>
      <c r="R282" s="466">
        <f>O282/100</f>
        <v>1.03</v>
      </c>
      <c r="S282" s="58"/>
      <c r="T282" s="466">
        <f>F256</f>
        <v>25</v>
      </c>
      <c r="U282" s="467">
        <f>F286</f>
        <v>298.00000000000006</v>
      </c>
      <c r="V282" s="467">
        <f>F288</f>
        <v>12.664999999999999</v>
      </c>
      <c r="W282" s="467">
        <f>F289</f>
        <v>2.0694444444444446</v>
      </c>
      <c r="X282" s="58"/>
      <c r="Y282" s="58"/>
      <c r="Z282" s="466">
        <f>F263</f>
        <v>0.3</v>
      </c>
      <c r="AA282" s="468">
        <f>F265</f>
        <v>6</v>
      </c>
      <c r="AB282" s="468">
        <f>F266</f>
        <v>2</v>
      </c>
      <c r="AC282" s="468">
        <f>F267</f>
        <v>1</v>
      </c>
      <c r="AD282" s="468">
        <f>F264</f>
        <v>0.1</v>
      </c>
    </row>
    <row r="283" spans="2:30" outlineLevel="1">
      <c r="B283" s="566" t="s">
        <v>766</v>
      </c>
      <c r="C283" s="560"/>
      <c r="D283" s="561"/>
      <c r="E283" s="561"/>
      <c r="F283" s="562"/>
      <c r="G283" s="562"/>
      <c r="H283" s="562"/>
      <c r="I283" s="562"/>
      <c r="J283" s="562"/>
      <c r="K283" s="563"/>
      <c r="L283" s="559"/>
      <c r="M283" s="367"/>
      <c r="N283" s="367"/>
    </row>
    <row r="284" spans="2:30" outlineLevel="1">
      <c r="B284" s="566" t="s">
        <v>767</v>
      </c>
      <c r="C284" s="560"/>
      <c r="D284" s="561"/>
      <c r="E284" s="561"/>
      <c r="F284" s="562"/>
      <c r="G284" s="562"/>
      <c r="H284" s="562"/>
      <c r="I284" s="562"/>
      <c r="J284" s="562"/>
      <c r="K284" s="563"/>
      <c r="L284" s="559"/>
      <c r="M284" s="363"/>
      <c r="N284" s="363"/>
    </row>
    <row r="285" spans="2:30" ht="16" outlineLevel="1" thickBot="1">
      <c r="B285" s="567" t="s">
        <v>768</v>
      </c>
      <c r="C285" s="568"/>
      <c r="D285" s="568"/>
      <c r="E285" s="568"/>
      <c r="F285" s="568"/>
      <c r="G285" s="568"/>
      <c r="H285" s="568"/>
      <c r="I285" s="568"/>
      <c r="J285" s="568"/>
      <c r="K285" s="568"/>
      <c r="L285" s="569"/>
      <c r="M285" s="363"/>
      <c r="N285" s="363"/>
    </row>
    <row r="286" spans="2:30" ht="64" outlineLevel="1">
      <c r="B286" s="461" t="s">
        <v>769</v>
      </c>
      <c r="C286" s="483">
        <f>C269*$F$4*1000</f>
        <v>357.6</v>
      </c>
      <c r="D286" s="483">
        <f t="shared" ref="D286:F286" si="15">D269*$F$4*1000</f>
        <v>298.00000000000006</v>
      </c>
      <c r="E286" s="483">
        <f t="shared" si="15"/>
        <v>298.00000000000006</v>
      </c>
      <c r="F286" s="483">
        <f t="shared" si="15"/>
        <v>298.00000000000006</v>
      </c>
      <c r="G286" s="483"/>
      <c r="H286" s="484"/>
      <c r="I286" s="420" t="s">
        <v>332</v>
      </c>
      <c r="J286" s="420"/>
      <c r="K286" s="484"/>
      <c r="L286" s="484"/>
      <c r="N286" s="420"/>
    </row>
    <row r="287" spans="2:30" outlineLevel="1">
      <c r="B287" s="485" t="s">
        <v>770</v>
      </c>
      <c r="C287" s="486">
        <f>C286*$I287</f>
        <v>178800</v>
      </c>
      <c r="D287" s="486">
        <f>D286*$I287</f>
        <v>149000.00000000003</v>
      </c>
      <c r="E287" s="486">
        <f>E286*$I287</f>
        <v>149000.00000000003</v>
      </c>
      <c r="F287" s="486">
        <f>F286*$I287</f>
        <v>149000.00000000003</v>
      </c>
      <c r="G287" s="486"/>
      <c r="H287" s="484"/>
      <c r="I287" s="71">
        <v>500</v>
      </c>
      <c r="J287" s="420" t="s">
        <v>330</v>
      </c>
      <c r="K287" s="484"/>
      <c r="L287" s="484"/>
      <c r="N287" s="420"/>
    </row>
    <row r="288" spans="2:30" ht="48" outlineLevel="1">
      <c r="B288" s="461" t="s">
        <v>771</v>
      </c>
      <c r="C288" s="359">
        <f>C272*$F$4</f>
        <v>14.9</v>
      </c>
      <c r="D288" s="359">
        <f t="shared" ref="D288:F289" si="16">D272*$F$4</f>
        <v>14.154999999999999</v>
      </c>
      <c r="E288" s="359">
        <f t="shared" si="16"/>
        <v>13.41</v>
      </c>
      <c r="F288" s="359">
        <f t="shared" si="16"/>
        <v>12.664999999999999</v>
      </c>
      <c r="G288" s="359"/>
      <c r="I288" s="420" t="s">
        <v>333</v>
      </c>
      <c r="J288" s="420"/>
      <c r="N288" s="420"/>
    </row>
    <row r="289" spans="1:15" ht="48" outlineLevel="1">
      <c r="B289" s="461" t="s">
        <v>772</v>
      </c>
      <c r="C289" s="487">
        <f>C273*$F$4</f>
        <v>2.276388888888889</v>
      </c>
      <c r="D289" s="487">
        <f t="shared" si="16"/>
        <v>2.0694444444444446</v>
      </c>
      <c r="E289" s="487">
        <f t="shared" si="16"/>
        <v>2.0694444444444446</v>
      </c>
      <c r="F289" s="487">
        <f t="shared" si="16"/>
        <v>2.0694444444444446</v>
      </c>
      <c r="G289" s="359"/>
      <c r="M289" s="420"/>
      <c r="N289" s="420"/>
    </row>
    <row r="290" spans="1:15" outlineLevel="1"/>
    <row r="291" spans="1:15" outlineLevel="1">
      <c r="A291" s="488" t="s">
        <v>773</v>
      </c>
      <c r="B291" s="489"/>
      <c r="D291" s="490"/>
      <c r="E291" s="490"/>
      <c r="F291" s="490"/>
      <c r="G291" s="358"/>
      <c r="H291" s="358"/>
      <c r="I291" s="358"/>
      <c r="J291" s="358"/>
      <c r="K291" s="358"/>
      <c r="L291" s="358"/>
    </row>
    <row r="292" spans="1:15" outlineLevel="1">
      <c r="A292" s="491">
        <v>1</v>
      </c>
      <c r="B292" s="492" t="s">
        <v>774</v>
      </c>
      <c r="D292" s="490"/>
      <c r="E292" s="490"/>
      <c r="F292" s="490"/>
      <c r="G292" s="358"/>
      <c r="H292" s="358"/>
      <c r="I292" s="358"/>
      <c r="J292" s="358"/>
      <c r="K292" s="358"/>
      <c r="L292" s="358"/>
    </row>
    <row r="293" spans="1:15" outlineLevel="1">
      <c r="A293" s="491">
        <v>2</v>
      </c>
      <c r="B293" s="493" t="s">
        <v>775</v>
      </c>
      <c r="D293" s="490"/>
      <c r="E293" s="490"/>
      <c r="F293" s="490"/>
      <c r="G293" s="358"/>
      <c r="H293" s="358"/>
      <c r="I293" s="358"/>
      <c r="J293" s="358"/>
      <c r="K293" s="358"/>
      <c r="L293" s="358"/>
    </row>
    <row r="294" spans="1:15" outlineLevel="1">
      <c r="A294" s="491">
        <v>3</v>
      </c>
      <c r="B294" s="493" t="s">
        <v>776</v>
      </c>
      <c r="D294" s="490"/>
      <c r="E294" s="490"/>
      <c r="F294" s="490"/>
      <c r="G294" s="358"/>
      <c r="H294" s="358"/>
      <c r="I294" s="358"/>
      <c r="J294" s="358"/>
      <c r="K294" s="358"/>
      <c r="L294" s="358"/>
    </row>
    <row r="295" spans="1:15" outlineLevel="1">
      <c r="A295" s="491">
        <v>4</v>
      </c>
      <c r="B295" s="493" t="s">
        <v>777</v>
      </c>
      <c r="D295" s="490"/>
      <c r="E295" s="490"/>
      <c r="F295" s="490"/>
      <c r="G295" s="358"/>
      <c r="H295" s="358"/>
      <c r="I295" s="358"/>
      <c r="J295" s="358"/>
      <c r="K295" s="358"/>
      <c r="L295" s="358"/>
    </row>
    <row r="296" spans="1:15" outlineLevel="1">
      <c r="A296" s="358">
        <v>5</v>
      </c>
      <c r="B296" s="494" t="s">
        <v>778</v>
      </c>
      <c r="D296" s="490"/>
      <c r="E296" s="490"/>
      <c r="F296" s="490"/>
      <c r="G296" s="358"/>
      <c r="H296" s="358"/>
      <c r="I296" s="358"/>
      <c r="J296" s="358"/>
      <c r="K296" s="358"/>
      <c r="L296" s="358"/>
      <c r="M296" s="570"/>
      <c r="N296" s="489"/>
      <c r="O296" s="490"/>
    </row>
    <row r="297" spans="1:15" outlineLevel="1">
      <c r="A297" s="358">
        <v>6</v>
      </c>
      <c r="B297" s="492" t="s">
        <v>779</v>
      </c>
      <c r="D297" s="490"/>
      <c r="E297" s="490"/>
      <c r="F297" s="490"/>
      <c r="G297" s="358"/>
      <c r="H297" s="358"/>
      <c r="I297" s="358"/>
      <c r="J297" s="358"/>
      <c r="K297" s="358"/>
      <c r="L297" s="358"/>
      <c r="O297" s="490"/>
    </row>
    <row r="298" spans="1:15" outlineLevel="1">
      <c r="A298" s="358">
        <v>7</v>
      </c>
      <c r="B298" s="495" t="s">
        <v>774</v>
      </c>
      <c r="D298" s="490"/>
      <c r="E298" s="490"/>
      <c r="F298" s="490"/>
      <c r="G298" s="358"/>
      <c r="H298" s="358"/>
      <c r="I298" s="358"/>
      <c r="J298" s="358"/>
      <c r="K298" s="358"/>
      <c r="L298" s="358"/>
      <c r="O298" s="490"/>
    </row>
    <row r="299" spans="1:15" outlineLevel="1">
      <c r="A299" s="358">
        <v>8</v>
      </c>
      <c r="B299" s="495" t="s">
        <v>780</v>
      </c>
      <c r="D299" s="490"/>
      <c r="E299" s="490"/>
      <c r="F299" s="490"/>
      <c r="G299" s="358"/>
      <c r="H299" s="358"/>
      <c r="I299" s="358"/>
      <c r="J299" s="358"/>
      <c r="K299" s="358"/>
      <c r="L299" s="358"/>
      <c r="O299" s="490"/>
    </row>
    <row r="300" spans="1:15" outlineLevel="1">
      <c r="A300" s="358">
        <v>9</v>
      </c>
      <c r="B300" s="489" t="s">
        <v>781</v>
      </c>
      <c r="D300" s="490"/>
      <c r="E300" s="490"/>
      <c r="F300" s="490"/>
      <c r="G300" s="358"/>
      <c r="H300" s="358"/>
      <c r="I300" s="358"/>
      <c r="J300" s="358"/>
      <c r="K300" s="358"/>
      <c r="L300" s="358"/>
      <c r="O300" s="490"/>
    </row>
    <row r="301" spans="1:15" outlineLevel="1">
      <c r="A301" s="358">
        <v>10</v>
      </c>
      <c r="B301" s="490" t="s">
        <v>782</v>
      </c>
      <c r="D301" s="490"/>
      <c r="E301" s="490"/>
      <c r="F301" s="490"/>
      <c r="G301" s="358"/>
      <c r="H301" s="358"/>
      <c r="I301" s="358"/>
      <c r="J301" s="358"/>
      <c r="K301" s="358"/>
      <c r="L301" s="358"/>
      <c r="O301" s="490"/>
    </row>
    <row r="302" spans="1:15" outlineLevel="1">
      <c r="A302" s="488" t="s">
        <v>783</v>
      </c>
      <c r="B302" s="489"/>
      <c r="D302" s="490"/>
      <c r="E302" s="490"/>
      <c r="F302" s="490"/>
      <c r="G302" s="358"/>
      <c r="H302" s="358"/>
      <c r="I302" s="358"/>
      <c r="J302" s="358"/>
      <c r="K302" s="358"/>
      <c r="L302" s="358"/>
      <c r="O302" s="490"/>
    </row>
    <row r="303" spans="1:15" outlineLevel="1">
      <c r="A303" s="496" t="s">
        <v>6</v>
      </c>
      <c r="B303" s="497" t="s">
        <v>784</v>
      </c>
      <c r="D303" s="490"/>
      <c r="E303" s="490"/>
      <c r="F303" s="490"/>
      <c r="G303" s="358"/>
      <c r="H303" s="358"/>
      <c r="I303" s="358"/>
      <c r="J303" s="358"/>
      <c r="K303" s="358"/>
      <c r="L303" s="358"/>
      <c r="M303" s="570"/>
      <c r="N303" s="489"/>
      <c r="O303" s="490"/>
    </row>
    <row r="304" spans="1:15" outlineLevel="1">
      <c r="A304" s="496" t="s">
        <v>59</v>
      </c>
      <c r="B304" s="489" t="s">
        <v>786</v>
      </c>
      <c r="D304" s="490"/>
      <c r="E304" s="490"/>
      <c r="F304" s="490"/>
      <c r="G304" s="358"/>
      <c r="H304" s="358"/>
      <c r="I304" s="358"/>
      <c r="J304" s="358"/>
      <c r="K304" s="358"/>
      <c r="L304" s="358"/>
      <c r="M304" s="571"/>
      <c r="N304" s="489"/>
      <c r="O304" s="490"/>
    </row>
    <row r="305" spans="1:44" outlineLevel="1">
      <c r="A305" s="496" t="s">
        <v>16</v>
      </c>
      <c r="B305" s="489" t="s">
        <v>787</v>
      </c>
      <c r="D305" s="490"/>
      <c r="E305" s="490"/>
      <c r="F305" s="490"/>
      <c r="G305" s="358"/>
      <c r="H305" s="358"/>
      <c r="I305" s="358"/>
      <c r="J305" s="358"/>
      <c r="K305" s="358"/>
      <c r="L305" s="358"/>
      <c r="M305" s="572"/>
      <c r="N305" s="489"/>
      <c r="O305" s="490"/>
    </row>
    <row r="306" spans="1:44" outlineLevel="1">
      <c r="A306" s="496" t="s">
        <v>20</v>
      </c>
      <c r="B306" s="498" t="s">
        <v>788</v>
      </c>
      <c r="D306" s="490"/>
      <c r="E306" s="490"/>
      <c r="F306" s="490"/>
      <c r="G306" s="358"/>
      <c r="H306" s="358"/>
      <c r="I306" s="358"/>
      <c r="J306" s="358"/>
      <c r="K306" s="358"/>
      <c r="L306" s="358"/>
      <c r="M306" s="573"/>
      <c r="N306" s="489"/>
      <c r="O306" s="490"/>
    </row>
    <row r="307" spans="1:44" outlineLevel="1">
      <c r="A307" s="496" t="s">
        <v>76</v>
      </c>
      <c r="B307" s="489" t="s">
        <v>804</v>
      </c>
      <c r="D307" s="490"/>
      <c r="E307" s="490"/>
      <c r="F307" s="490"/>
      <c r="G307" s="358"/>
      <c r="H307" s="358"/>
      <c r="I307" s="358"/>
      <c r="J307" s="358"/>
      <c r="K307" s="358"/>
      <c r="L307" s="358"/>
      <c r="M307" s="573"/>
      <c r="N307" s="490"/>
      <c r="O307" s="490"/>
    </row>
    <row r="308" spans="1:44" outlineLevel="1">
      <c r="A308" s="496" t="s">
        <v>25</v>
      </c>
      <c r="B308" s="489" t="s">
        <v>789</v>
      </c>
      <c r="D308" s="490"/>
      <c r="E308" s="490"/>
      <c r="F308" s="490"/>
      <c r="G308" s="358"/>
      <c r="H308" s="358"/>
      <c r="I308" s="358"/>
      <c r="J308" s="358"/>
      <c r="K308" s="358"/>
      <c r="L308" s="358"/>
      <c r="M308" s="489"/>
      <c r="N308" s="490"/>
      <c r="O308" s="490"/>
    </row>
    <row r="309" spans="1:44" outlineLevel="1"/>
    <row r="312" spans="1:44" ht="16" thickBot="1">
      <c r="A312" s="360" t="s">
        <v>807</v>
      </c>
      <c r="P312" s="692">
        <v>1</v>
      </c>
      <c r="Q312" s="692">
        <v>2</v>
      </c>
      <c r="R312" s="692">
        <v>3</v>
      </c>
      <c r="S312" s="692">
        <v>4</v>
      </c>
      <c r="T312" s="692">
        <v>5</v>
      </c>
      <c r="U312" s="692">
        <v>6</v>
      </c>
      <c r="V312" s="692">
        <v>7</v>
      </c>
      <c r="W312" s="692">
        <v>8</v>
      </c>
      <c r="X312" s="692">
        <v>9</v>
      </c>
      <c r="Y312" s="692">
        <v>10</v>
      </c>
      <c r="Z312" s="692">
        <v>11</v>
      </c>
      <c r="AA312" s="692">
        <v>12</v>
      </c>
      <c r="AB312" s="692">
        <v>13</v>
      </c>
      <c r="AC312" s="692">
        <v>14</v>
      </c>
    </row>
    <row r="313" spans="1:44" ht="20.5" customHeight="1" thickBot="1">
      <c r="B313" s="362" t="s">
        <v>0</v>
      </c>
      <c r="C313" s="1201" t="s">
        <v>808</v>
      </c>
      <c r="D313" s="1202"/>
      <c r="E313" s="1202"/>
      <c r="F313" s="1202"/>
      <c r="G313" s="1202"/>
      <c r="H313" s="1202"/>
      <c r="I313" s="1202"/>
      <c r="J313" s="1202"/>
      <c r="K313" s="1202"/>
      <c r="L313" s="1203"/>
      <c r="M313" s="363"/>
      <c r="N313" s="363"/>
      <c r="P313" s="364" t="s">
        <v>713</v>
      </c>
      <c r="Q313" s="365"/>
      <c r="R313" s="366"/>
      <c r="S313" s="1143" t="s">
        <v>714</v>
      </c>
      <c r="T313" s="1147" t="s">
        <v>715</v>
      </c>
      <c r="U313" s="1148"/>
      <c r="V313" s="1147" t="s">
        <v>716</v>
      </c>
      <c r="W313" s="1148"/>
      <c r="X313" s="1147" t="s">
        <v>717</v>
      </c>
      <c r="Y313" s="1148"/>
      <c r="Z313" s="1147" t="s">
        <v>718</v>
      </c>
      <c r="AA313" s="1148"/>
      <c r="AB313" s="1147" t="s">
        <v>719</v>
      </c>
      <c r="AC313" s="1148"/>
      <c r="AE313" s="364" t="s">
        <v>720</v>
      </c>
      <c r="AF313" s="365"/>
      <c r="AG313" s="366"/>
      <c r="AH313" s="1143" t="s">
        <v>714</v>
      </c>
      <c r="AI313" s="1147" t="s">
        <v>715</v>
      </c>
      <c r="AJ313" s="1148"/>
      <c r="AK313" s="1147" t="s">
        <v>716</v>
      </c>
      <c r="AL313" s="1148"/>
      <c r="AM313" s="1147" t="s">
        <v>717</v>
      </c>
      <c r="AN313" s="1148"/>
      <c r="AO313" s="1147" t="s">
        <v>718</v>
      </c>
      <c r="AP313" s="1148"/>
      <c r="AQ313" s="1147" t="s">
        <v>719</v>
      </c>
      <c r="AR313" s="1148"/>
    </row>
    <row r="314" spans="1:44" ht="15" customHeight="1" thickBot="1">
      <c r="B314" s="1168" t="s">
        <v>4</v>
      </c>
      <c r="C314" s="1170">
        <v>2020</v>
      </c>
      <c r="D314" s="1170">
        <v>2030</v>
      </c>
      <c r="E314" s="1170">
        <v>2040</v>
      </c>
      <c r="F314" s="1170">
        <v>2050</v>
      </c>
      <c r="G314" s="1206" t="s">
        <v>721</v>
      </c>
      <c r="H314" s="1207"/>
      <c r="I314" s="1206" t="s">
        <v>648</v>
      </c>
      <c r="J314" s="1207"/>
      <c r="K314" s="1204" t="s">
        <v>2</v>
      </c>
      <c r="L314" s="1204" t="s">
        <v>3</v>
      </c>
      <c r="M314" s="367"/>
      <c r="N314" s="367"/>
      <c r="P314" s="1151" t="s">
        <v>0</v>
      </c>
      <c r="Q314" s="368"/>
      <c r="R314" s="368"/>
      <c r="S314" s="1144"/>
      <c r="T314" s="1149"/>
      <c r="U314" s="1150"/>
      <c r="V314" s="1149"/>
      <c r="W314" s="1150"/>
      <c r="X314" s="1149"/>
      <c r="Y314" s="1150"/>
      <c r="Z314" s="1149"/>
      <c r="AA314" s="1150"/>
      <c r="AB314" s="1149"/>
      <c r="AC314" s="1150"/>
      <c r="AE314" s="1151" t="s">
        <v>0</v>
      </c>
      <c r="AF314" s="368"/>
      <c r="AG314" s="368"/>
      <c r="AH314" s="1144"/>
      <c r="AI314" s="1149"/>
      <c r="AJ314" s="1150"/>
      <c r="AK314" s="1149"/>
      <c r="AL314" s="1150"/>
      <c r="AM314" s="1149"/>
      <c r="AN314" s="1150"/>
      <c r="AO314" s="1149"/>
      <c r="AP314" s="1150"/>
      <c r="AQ314" s="1149"/>
      <c r="AR314" s="1150"/>
    </row>
    <row r="315" spans="1:44" ht="15" customHeight="1" thickBot="1">
      <c r="B315" s="1169"/>
      <c r="C315" s="1171"/>
      <c r="D315" s="1171"/>
      <c r="E315" s="1171"/>
      <c r="F315" s="1171"/>
      <c r="G315" s="406" t="s">
        <v>649</v>
      </c>
      <c r="H315" s="406" t="s">
        <v>650</v>
      </c>
      <c r="I315" s="406" t="s">
        <v>649</v>
      </c>
      <c r="J315" s="406" t="s">
        <v>650</v>
      </c>
      <c r="K315" s="1205"/>
      <c r="L315" s="1205"/>
      <c r="M315" s="370"/>
      <c r="N315" s="370"/>
      <c r="P315" s="1152"/>
      <c r="Q315" s="1154" t="s">
        <v>722</v>
      </c>
      <c r="R315" s="1155" t="s">
        <v>723</v>
      </c>
      <c r="S315" s="1145"/>
      <c r="T315" s="1149"/>
      <c r="U315" s="1150"/>
      <c r="V315" s="1149"/>
      <c r="W315" s="1150"/>
      <c r="X315" s="1149"/>
      <c r="Y315" s="1150"/>
      <c r="Z315" s="1149"/>
      <c r="AA315" s="1150"/>
      <c r="AB315" s="1149"/>
      <c r="AC315" s="1150"/>
      <c r="AE315" s="1152"/>
      <c r="AF315" s="1154" t="s">
        <v>722</v>
      </c>
      <c r="AG315" s="1155" t="s">
        <v>723</v>
      </c>
      <c r="AH315" s="1145"/>
      <c r="AI315" s="1149"/>
      <c r="AJ315" s="1150"/>
      <c r="AK315" s="1149"/>
      <c r="AL315" s="1150"/>
      <c r="AM315" s="1149"/>
      <c r="AN315" s="1150"/>
      <c r="AO315" s="1149"/>
      <c r="AP315" s="1150"/>
      <c r="AQ315" s="1149"/>
      <c r="AR315" s="1150"/>
    </row>
    <row r="316" spans="1:44" ht="33" thickBot="1">
      <c r="B316" s="371" t="s">
        <v>651</v>
      </c>
      <c r="C316" s="372">
        <v>2.5</v>
      </c>
      <c r="D316" s="372">
        <v>2.5</v>
      </c>
      <c r="E316" s="372">
        <v>2.5</v>
      </c>
      <c r="F316" s="372">
        <v>2.5</v>
      </c>
      <c r="G316" s="372">
        <v>1</v>
      </c>
      <c r="H316" s="372">
        <v>10</v>
      </c>
      <c r="I316" s="372">
        <v>1</v>
      </c>
      <c r="J316" s="372">
        <v>10</v>
      </c>
      <c r="K316" s="372"/>
      <c r="L316" s="373">
        <v>2</v>
      </c>
      <c r="M316" s="370"/>
      <c r="N316" s="370"/>
      <c r="O316" s="74"/>
      <c r="P316" s="1153"/>
      <c r="Q316" s="1146"/>
      <c r="R316" s="1156"/>
      <c r="S316" s="1146"/>
      <c r="T316" s="374" t="s">
        <v>726</v>
      </c>
      <c r="U316" s="375" t="s">
        <v>727</v>
      </c>
      <c r="V316" s="374" t="s">
        <v>726</v>
      </c>
      <c r="W316" s="375" t="s">
        <v>727</v>
      </c>
      <c r="X316" s="374" t="s">
        <v>726</v>
      </c>
      <c r="Y316" s="375" t="s">
        <v>727</v>
      </c>
      <c r="Z316" s="374" t="s">
        <v>726</v>
      </c>
      <c r="AA316" s="375" t="s">
        <v>727</v>
      </c>
      <c r="AB316" s="374" t="s">
        <v>726</v>
      </c>
      <c r="AC316" s="375" t="s">
        <v>727</v>
      </c>
      <c r="AE316" s="1153"/>
      <c r="AF316" s="1146"/>
      <c r="AG316" s="1156"/>
      <c r="AH316" s="1146"/>
      <c r="AI316" s="374" t="s">
        <v>726</v>
      </c>
      <c r="AJ316" s="375" t="s">
        <v>727</v>
      </c>
      <c r="AK316" s="374" t="s">
        <v>726</v>
      </c>
      <c r="AL316" s="375" t="s">
        <v>727</v>
      </c>
      <c r="AM316" s="374" t="s">
        <v>726</v>
      </c>
      <c r="AN316" s="375" t="s">
        <v>727</v>
      </c>
      <c r="AO316" s="374" t="s">
        <v>726</v>
      </c>
      <c r="AP316" s="375" t="s">
        <v>727</v>
      </c>
      <c r="AQ316" s="374" t="s">
        <v>726</v>
      </c>
      <c r="AR316" s="375" t="s">
        <v>727</v>
      </c>
    </row>
    <row r="317" spans="1:44" ht="14.5" customHeight="1">
      <c r="B317" s="574" t="s">
        <v>728</v>
      </c>
      <c r="C317" s="575">
        <v>100</v>
      </c>
      <c r="D317" s="575">
        <v>100</v>
      </c>
      <c r="E317" s="575">
        <v>100</v>
      </c>
      <c r="F317" s="575">
        <v>100</v>
      </c>
      <c r="G317" s="576">
        <v>100</v>
      </c>
      <c r="H317" s="576">
        <v>100</v>
      </c>
      <c r="I317" s="576">
        <v>100</v>
      </c>
      <c r="J317" s="576">
        <v>100</v>
      </c>
      <c r="K317" s="372" t="s">
        <v>6</v>
      </c>
      <c r="L317" s="373">
        <v>2</v>
      </c>
      <c r="M317" s="370"/>
      <c r="N317" s="370"/>
      <c r="P317" s="1185" t="str">
        <f>C313</f>
        <v>Direct Firing, Natural Gas</v>
      </c>
      <c r="Q317" s="1188" t="s">
        <v>730</v>
      </c>
      <c r="R317" s="381" t="s">
        <v>731</v>
      </c>
      <c r="S317" s="382" t="s">
        <v>738</v>
      </c>
      <c r="T317" s="1191">
        <v>1</v>
      </c>
      <c r="U317" s="1179">
        <v>0</v>
      </c>
      <c r="V317" s="1191">
        <v>1</v>
      </c>
      <c r="W317" s="1179">
        <v>0</v>
      </c>
      <c r="X317" s="1191">
        <v>1</v>
      </c>
      <c r="Y317" s="1179">
        <v>0</v>
      </c>
      <c r="Z317" s="1191">
        <v>0.2</v>
      </c>
      <c r="AA317" s="1179">
        <v>0</v>
      </c>
      <c r="AB317" s="1182">
        <v>1</v>
      </c>
      <c r="AC317" s="1179">
        <v>0</v>
      </c>
      <c r="AE317" s="1185" t="str">
        <f>P317</f>
        <v>Direct Firing, Natural Gas</v>
      </c>
      <c r="AF317" s="1188" t="s">
        <v>730</v>
      </c>
      <c r="AG317" s="381" t="s">
        <v>731</v>
      </c>
      <c r="AH317" s="382" t="str">
        <f>S317</f>
        <v>x</v>
      </c>
      <c r="AI317" s="1191">
        <v>0.75</v>
      </c>
      <c r="AJ317" s="1179">
        <v>0</v>
      </c>
      <c r="AK317" s="1191">
        <v>0.75</v>
      </c>
      <c r="AL317" s="1179">
        <v>0</v>
      </c>
      <c r="AM317" s="1191">
        <v>0.4</v>
      </c>
      <c r="AN317" s="1179">
        <v>0</v>
      </c>
      <c r="AO317" s="1191">
        <v>0.2</v>
      </c>
      <c r="AP317" s="1179">
        <v>0</v>
      </c>
      <c r="AQ317" s="1182">
        <v>0.1</v>
      </c>
      <c r="AR317" s="1179">
        <v>0</v>
      </c>
    </row>
    <row r="318" spans="1:44">
      <c r="B318" s="383" t="s">
        <v>732</v>
      </c>
      <c r="C318" s="577">
        <v>100</v>
      </c>
      <c r="D318" s="577">
        <v>100</v>
      </c>
      <c r="E318" s="577">
        <v>100</v>
      </c>
      <c r="F318" s="577">
        <v>100</v>
      </c>
      <c r="G318" s="576">
        <v>100</v>
      </c>
      <c r="H318" s="576">
        <v>100</v>
      </c>
      <c r="I318" s="576">
        <v>100</v>
      </c>
      <c r="J318" s="576">
        <v>100</v>
      </c>
      <c r="K318" s="372" t="s">
        <v>6</v>
      </c>
      <c r="L318" s="373">
        <v>2</v>
      </c>
      <c r="M318" s="370"/>
      <c r="N318" s="370"/>
      <c r="O318" s="71"/>
      <c r="P318" s="1210"/>
      <c r="Q318" s="1189"/>
      <c r="R318" s="388" t="s">
        <v>733</v>
      </c>
      <c r="S318" s="389" t="s">
        <v>738</v>
      </c>
      <c r="T318" s="1192"/>
      <c r="U318" s="1180"/>
      <c r="V318" s="1192"/>
      <c r="W318" s="1180"/>
      <c r="X318" s="1192"/>
      <c r="Y318" s="1180"/>
      <c r="Z318" s="1192"/>
      <c r="AA318" s="1180"/>
      <c r="AB318" s="1183"/>
      <c r="AC318" s="1180"/>
      <c r="AE318" s="1210"/>
      <c r="AF318" s="1189"/>
      <c r="AG318" s="388" t="s">
        <v>733</v>
      </c>
      <c r="AH318" s="389" t="s">
        <v>738</v>
      </c>
      <c r="AI318" s="1192"/>
      <c r="AJ318" s="1180"/>
      <c r="AK318" s="1192"/>
      <c r="AL318" s="1180"/>
      <c r="AM318" s="1192"/>
      <c r="AN318" s="1180"/>
      <c r="AO318" s="1192"/>
      <c r="AP318" s="1180"/>
      <c r="AQ318" s="1183"/>
      <c r="AR318" s="1180"/>
    </row>
    <row r="319" spans="1:44" ht="16" thickBot="1">
      <c r="B319" s="574" t="s">
        <v>734</v>
      </c>
      <c r="C319" s="578">
        <v>0.25</v>
      </c>
      <c r="D319" s="578">
        <v>0.25</v>
      </c>
      <c r="E319" s="578">
        <v>0.25</v>
      </c>
      <c r="F319" s="578">
        <v>0.25</v>
      </c>
      <c r="G319" s="578">
        <v>0.1</v>
      </c>
      <c r="H319" s="578">
        <v>1</v>
      </c>
      <c r="I319" s="578">
        <v>0.1</v>
      </c>
      <c r="J319" s="578">
        <v>1</v>
      </c>
      <c r="K319" s="579"/>
      <c r="L319" s="580" t="s">
        <v>809</v>
      </c>
      <c r="M319" s="370"/>
      <c r="N319" s="370"/>
      <c r="O319" s="71"/>
      <c r="P319" s="1210"/>
      <c r="Q319" s="1190"/>
      <c r="R319" s="393" t="s">
        <v>735</v>
      </c>
      <c r="S319" s="394" t="s">
        <v>738</v>
      </c>
      <c r="T319" s="1193"/>
      <c r="U319" s="1181"/>
      <c r="V319" s="1193"/>
      <c r="W319" s="1181"/>
      <c r="X319" s="1193"/>
      <c r="Y319" s="1181"/>
      <c r="Z319" s="1193"/>
      <c r="AA319" s="1181"/>
      <c r="AB319" s="1184"/>
      <c r="AC319" s="1181"/>
      <c r="AE319" s="1210"/>
      <c r="AF319" s="1190"/>
      <c r="AG319" s="393" t="s">
        <v>735</v>
      </c>
      <c r="AH319" s="394" t="s">
        <v>738</v>
      </c>
      <c r="AI319" s="1193"/>
      <c r="AJ319" s="1181"/>
      <c r="AK319" s="1193"/>
      <c r="AL319" s="1181"/>
      <c r="AM319" s="1193"/>
      <c r="AN319" s="1181"/>
      <c r="AO319" s="1193"/>
      <c r="AP319" s="1181"/>
      <c r="AQ319" s="1184"/>
      <c r="AR319" s="1181"/>
    </row>
    <row r="320" spans="1:44" ht="14.5" customHeight="1">
      <c r="B320" s="574" t="s">
        <v>657</v>
      </c>
      <c r="C320" s="581">
        <v>0.25</v>
      </c>
      <c r="D320" s="581">
        <v>0.25</v>
      </c>
      <c r="E320" s="581">
        <v>0.25</v>
      </c>
      <c r="F320" s="581">
        <v>0.25</v>
      </c>
      <c r="G320" s="581">
        <v>0</v>
      </c>
      <c r="H320" s="581">
        <v>0.5</v>
      </c>
      <c r="I320" s="581">
        <v>0</v>
      </c>
      <c r="J320" s="581">
        <v>0.5</v>
      </c>
      <c r="K320" s="579"/>
      <c r="L320" s="580">
        <v>2</v>
      </c>
      <c r="M320" s="370"/>
      <c r="N320" s="370"/>
      <c r="O320" s="71"/>
      <c r="P320" s="1210"/>
      <c r="Q320" s="1212" t="s">
        <v>736</v>
      </c>
      <c r="R320" s="395" t="s">
        <v>737</v>
      </c>
      <c r="S320" s="396" t="s">
        <v>738</v>
      </c>
      <c r="T320" s="1191">
        <v>1</v>
      </c>
      <c r="U320" s="1191">
        <v>0</v>
      </c>
      <c r="V320" s="1191">
        <v>1</v>
      </c>
      <c r="W320" s="1191">
        <v>0</v>
      </c>
      <c r="X320" s="1191">
        <v>1</v>
      </c>
      <c r="Y320" s="1191">
        <v>0</v>
      </c>
      <c r="Z320" s="1191">
        <v>1</v>
      </c>
      <c r="AA320" s="1191">
        <v>0</v>
      </c>
      <c r="AB320" s="1191">
        <v>0</v>
      </c>
      <c r="AC320" s="1191">
        <v>0</v>
      </c>
      <c r="AE320" s="1210"/>
      <c r="AF320" s="1212" t="s">
        <v>736</v>
      </c>
      <c r="AG320" s="395" t="s">
        <v>737</v>
      </c>
      <c r="AH320" s="396" t="s">
        <v>738</v>
      </c>
      <c r="AI320" s="1191">
        <v>0.75</v>
      </c>
      <c r="AJ320" s="1191">
        <v>0</v>
      </c>
      <c r="AK320" s="1191">
        <v>0.75</v>
      </c>
      <c r="AL320" s="1191">
        <v>0</v>
      </c>
      <c r="AM320" s="1191">
        <v>0.3</v>
      </c>
      <c r="AN320" s="1191">
        <v>0</v>
      </c>
      <c r="AO320" s="1191">
        <v>0.75</v>
      </c>
      <c r="AP320" s="1191">
        <v>0</v>
      </c>
      <c r="AQ320" s="1191">
        <v>0</v>
      </c>
      <c r="AR320" s="1191">
        <v>0</v>
      </c>
    </row>
    <row r="321" spans="1:44">
      <c r="B321" s="574" t="s">
        <v>658</v>
      </c>
      <c r="C321" s="582">
        <v>0.5</v>
      </c>
      <c r="D321" s="582">
        <v>0.5</v>
      </c>
      <c r="E321" s="582">
        <v>0.5</v>
      </c>
      <c r="F321" s="582">
        <v>0.5</v>
      </c>
      <c r="G321" s="582">
        <v>0</v>
      </c>
      <c r="H321" s="582">
        <v>1</v>
      </c>
      <c r="I321" s="582">
        <v>0</v>
      </c>
      <c r="J321" s="582">
        <v>1</v>
      </c>
      <c r="K321" s="579"/>
      <c r="L321" s="580">
        <v>2</v>
      </c>
      <c r="M321" s="367"/>
      <c r="N321" s="367"/>
      <c r="O321" s="71"/>
      <c r="P321" s="1210"/>
      <c r="Q321" s="1213"/>
      <c r="R321" s="395" t="s">
        <v>739</v>
      </c>
      <c r="S321" s="396" t="s">
        <v>738</v>
      </c>
      <c r="T321" s="1208"/>
      <c r="U321" s="1208"/>
      <c r="V321" s="1208"/>
      <c r="W321" s="1208"/>
      <c r="X321" s="1208"/>
      <c r="Y321" s="1208"/>
      <c r="Z321" s="1208"/>
      <c r="AA321" s="1208"/>
      <c r="AB321" s="1192"/>
      <c r="AC321" s="1208"/>
      <c r="AE321" s="1210"/>
      <c r="AF321" s="1213"/>
      <c r="AG321" s="395" t="s">
        <v>739</v>
      </c>
      <c r="AH321" s="396" t="s">
        <v>738</v>
      </c>
      <c r="AI321" s="1208"/>
      <c r="AJ321" s="1208"/>
      <c r="AK321" s="1208"/>
      <c r="AL321" s="1208"/>
      <c r="AM321" s="1208"/>
      <c r="AN321" s="1208"/>
      <c r="AO321" s="1208"/>
      <c r="AP321" s="1208"/>
      <c r="AQ321" s="1192"/>
      <c r="AR321" s="1208"/>
    </row>
    <row r="322" spans="1:44">
      <c r="B322" s="383" t="s">
        <v>11</v>
      </c>
      <c r="C322" s="397">
        <v>15</v>
      </c>
      <c r="D322" s="397">
        <v>15</v>
      </c>
      <c r="E322" s="397">
        <v>15</v>
      </c>
      <c r="F322" s="397">
        <v>15</v>
      </c>
      <c r="G322" s="398">
        <v>10</v>
      </c>
      <c r="H322" s="398">
        <v>20</v>
      </c>
      <c r="I322" s="398">
        <v>10</v>
      </c>
      <c r="J322" s="398">
        <v>20</v>
      </c>
      <c r="K322" s="372"/>
      <c r="L322" s="373">
        <v>4</v>
      </c>
      <c r="M322" s="363"/>
      <c r="N322" s="363"/>
      <c r="P322" s="1210"/>
      <c r="Q322" s="1213"/>
      <c r="R322" s="395" t="s">
        <v>741</v>
      </c>
      <c r="S322" s="396"/>
      <c r="T322" s="1208"/>
      <c r="U322" s="1208"/>
      <c r="V322" s="1208"/>
      <c r="W322" s="1208"/>
      <c r="X322" s="1208"/>
      <c r="Y322" s="1208"/>
      <c r="Z322" s="1208"/>
      <c r="AA322" s="1208"/>
      <c r="AB322" s="1192"/>
      <c r="AC322" s="1208"/>
      <c r="AE322" s="1210"/>
      <c r="AF322" s="1213"/>
      <c r="AG322" s="395" t="s">
        <v>741</v>
      </c>
      <c r="AH322" s="396"/>
      <c r="AI322" s="1208"/>
      <c r="AJ322" s="1208"/>
      <c r="AK322" s="1208"/>
      <c r="AL322" s="1208"/>
      <c r="AM322" s="1208"/>
      <c r="AN322" s="1208"/>
      <c r="AO322" s="1208"/>
      <c r="AP322" s="1208"/>
      <c r="AQ322" s="1192"/>
      <c r="AR322" s="1208"/>
    </row>
    <row r="323" spans="1:44" ht="16" thickBot="1">
      <c r="B323" s="574" t="s">
        <v>273</v>
      </c>
      <c r="C323" s="582">
        <v>0.01</v>
      </c>
      <c r="D323" s="582">
        <v>0.01</v>
      </c>
      <c r="E323" s="582">
        <v>0.01</v>
      </c>
      <c r="F323" s="582">
        <v>0.01</v>
      </c>
      <c r="G323" s="582">
        <v>0.01</v>
      </c>
      <c r="H323" s="582">
        <v>0.04</v>
      </c>
      <c r="I323" s="582">
        <v>0.01</v>
      </c>
      <c r="J323" s="582">
        <v>0.04</v>
      </c>
      <c r="K323" s="372"/>
      <c r="L323" s="373">
        <v>2</v>
      </c>
      <c r="M323" s="363"/>
      <c r="N323" s="363"/>
      <c r="P323" s="1210"/>
      <c r="Q323" s="1213"/>
      <c r="R323" s="395" t="s">
        <v>742</v>
      </c>
      <c r="S323" s="396"/>
      <c r="T323" s="1208"/>
      <c r="U323" s="1208"/>
      <c r="V323" s="1208"/>
      <c r="W323" s="1208"/>
      <c r="X323" s="1208"/>
      <c r="Y323" s="1208"/>
      <c r="Z323" s="1208"/>
      <c r="AA323" s="1208"/>
      <c r="AB323" s="1192"/>
      <c r="AC323" s="1208"/>
      <c r="AE323" s="1210"/>
      <c r="AF323" s="1213"/>
      <c r="AG323" s="395" t="s">
        <v>742</v>
      </c>
      <c r="AH323" s="396"/>
      <c r="AI323" s="1208"/>
      <c r="AJ323" s="1208"/>
      <c r="AK323" s="1208"/>
      <c r="AL323" s="1208"/>
      <c r="AM323" s="1208"/>
      <c r="AN323" s="1208"/>
      <c r="AO323" s="1208"/>
      <c r="AP323" s="1208"/>
      <c r="AQ323" s="1192"/>
      <c r="AR323" s="1208"/>
    </row>
    <row r="324" spans="1:44" ht="16" thickBot="1">
      <c r="B324" s="401" t="s">
        <v>743</v>
      </c>
      <c r="C324" s="583"/>
      <c r="D324" s="584"/>
      <c r="E324" s="585"/>
      <c r="F324" s="586"/>
      <c r="G324" s="406"/>
      <c r="H324" s="406"/>
      <c r="I324" s="406"/>
      <c r="J324" s="406"/>
      <c r="K324" s="407"/>
      <c r="L324" s="587"/>
      <c r="M324" s="363"/>
      <c r="N324" s="363"/>
      <c r="P324" s="1210"/>
      <c r="Q324" s="1214"/>
      <c r="R324" s="409" t="s">
        <v>744</v>
      </c>
      <c r="S324" s="410" t="s">
        <v>738</v>
      </c>
      <c r="T324" s="1209"/>
      <c r="U324" s="1209"/>
      <c r="V324" s="1209"/>
      <c r="W324" s="1209"/>
      <c r="X324" s="1209"/>
      <c r="Y324" s="1209"/>
      <c r="Z324" s="1209"/>
      <c r="AA324" s="1209"/>
      <c r="AB324" s="1193"/>
      <c r="AC324" s="1209"/>
      <c r="AE324" s="1210"/>
      <c r="AF324" s="1214"/>
      <c r="AG324" s="409" t="s">
        <v>744</v>
      </c>
      <c r="AH324" s="410" t="s">
        <v>738</v>
      </c>
      <c r="AI324" s="1209"/>
      <c r="AJ324" s="1209"/>
      <c r="AK324" s="1209"/>
      <c r="AL324" s="1209"/>
      <c r="AM324" s="1209"/>
      <c r="AN324" s="1209"/>
      <c r="AO324" s="1209"/>
      <c r="AP324" s="1209"/>
      <c r="AQ324" s="1193"/>
      <c r="AR324" s="1209"/>
    </row>
    <row r="325" spans="1:44" ht="33" thickBot="1">
      <c r="B325" s="574" t="s">
        <v>663</v>
      </c>
      <c r="C325" s="588">
        <v>10</v>
      </c>
      <c r="D325" s="588">
        <v>10</v>
      </c>
      <c r="E325" s="588">
        <v>10</v>
      </c>
      <c r="F325" s="588">
        <v>10</v>
      </c>
      <c r="G325" s="589"/>
      <c r="H325" s="589"/>
      <c r="I325" s="590"/>
      <c r="J325" s="590"/>
      <c r="K325" s="579"/>
      <c r="L325" s="580">
        <v>6</v>
      </c>
      <c r="M325" s="363"/>
      <c r="N325" s="363"/>
      <c r="P325" s="1211"/>
      <c r="Q325" s="411" t="s">
        <v>745</v>
      </c>
      <c r="R325" s="412" t="s">
        <v>746</v>
      </c>
      <c r="S325" s="413"/>
      <c r="T325" s="591">
        <v>0</v>
      </c>
      <c r="U325" s="592">
        <v>0</v>
      </c>
      <c r="V325" s="593">
        <v>0</v>
      </c>
      <c r="W325" s="592">
        <v>0</v>
      </c>
      <c r="X325" s="593">
        <v>0</v>
      </c>
      <c r="Y325" s="592">
        <v>0</v>
      </c>
      <c r="Z325" s="593">
        <v>0</v>
      </c>
      <c r="AA325" s="592">
        <v>0</v>
      </c>
      <c r="AB325" s="593">
        <v>0</v>
      </c>
      <c r="AC325" s="594">
        <v>0</v>
      </c>
      <c r="AE325" s="1211"/>
      <c r="AF325" s="411" t="s">
        <v>745</v>
      </c>
      <c r="AG325" s="412" t="s">
        <v>746</v>
      </c>
      <c r="AH325" s="413"/>
      <c r="AI325" s="591">
        <v>0</v>
      </c>
      <c r="AJ325" s="592">
        <v>0</v>
      </c>
      <c r="AK325" s="593">
        <v>0</v>
      </c>
      <c r="AL325" s="592">
        <v>0</v>
      </c>
      <c r="AM325" s="593">
        <v>0</v>
      </c>
      <c r="AN325" s="592">
        <v>0</v>
      </c>
      <c r="AO325" s="593">
        <v>0</v>
      </c>
      <c r="AP325" s="592">
        <v>0</v>
      </c>
      <c r="AQ325" s="593">
        <v>0</v>
      </c>
      <c r="AR325" s="594">
        <v>0</v>
      </c>
    </row>
    <row r="326" spans="1:44">
      <c r="B326" s="574" t="s">
        <v>664</v>
      </c>
      <c r="C326" s="582">
        <v>0.01</v>
      </c>
      <c r="D326" s="582">
        <v>0.01</v>
      </c>
      <c r="E326" s="582">
        <v>0.01</v>
      </c>
      <c r="F326" s="582">
        <v>0.01</v>
      </c>
      <c r="G326" s="595"/>
      <c r="H326" s="595"/>
      <c r="I326" s="595"/>
      <c r="J326" s="595"/>
      <c r="K326" s="596"/>
      <c r="L326" s="580">
        <v>2</v>
      </c>
      <c r="M326" s="363"/>
      <c r="N326" s="363"/>
    </row>
    <row r="327" spans="1:44">
      <c r="B327" s="574" t="s">
        <v>666</v>
      </c>
      <c r="C327" s="582">
        <v>0.01</v>
      </c>
      <c r="D327" s="582">
        <v>0.01</v>
      </c>
      <c r="E327" s="582">
        <v>0.01</v>
      </c>
      <c r="F327" s="582">
        <v>0.01</v>
      </c>
      <c r="G327" s="595"/>
      <c r="H327" s="595"/>
      <c r="I327" s="595"/>
      <c r="J327" s="595"/>
      <c r="K327" s="596"/>
      <c r="L327" s="580">
        <v>2</v>
      </c>
      <c r="M327" s="420"/>
      <c r="N327" s="363"/>
    </row>
    <row r="328" spans="1:44">
      <c r="B328" s="421" t="s">
        <v>12</v>
      </c>
      <c r="C328" s="399"/>
      <c r="D328" s="399"/>
      <c r="E328" s="399"/>
      <c r="F328" s="399"/>
      <c r="G328" s="422"/>
      <c r="H328" s="422"/>
      <c r="I328" s="422"/>
      <c r="J328" s="422"/>
      <c r="K328" s="423"/>
      <c r="L328" s="597"/>
      <c r="M328" s="420"/>
      <c r="N328" s="420"/>
    </row>
    <row r="329" spans="1:44" ht="16">
      <c r="B329" s="383" t="s">
        <v>747</v>
      </c>
      <c r="C329" s="397">
        <v>0.3</v>
      </c>
      <c r="D329" s="397">
        <v>0.3</v>
      </c>
      <c r="E329" s="397">
        <v>0.3</v>
      </c>
      <c r="F329" s="397">
        <v>0.3</v>
      </c>
      <c r="G329" s="422"/>
      <c r="H329" s="425"/>
      <c r="I329" s="425"/>
      <c r="J329" s="425"/>
      <c r="K329" s="426"/>
      <c r="L329" s="427">
        <v>1</v>
      </c>
      <c r="M329" s="428"/>
      <c r="N329" s="428"/>
    </row>
    <row r="330" spans="1:44">
      <c r="B330" s="383" t="s">
        <v>749</v>
      </c>
      <c r="C330" s="397">
        <v>0.1</v>
      </c>
      <c r="D330" s="397">
        <v>0.1</v>
      </c>
      <c r="E330" s="397">
        <v>0.1</v>
      </c>
      <c r="F330" s="397">
        <v>0.1</v>
      </c>
      <c r="G330" s="425"/>
      <c r="H330" s="425"/>
      <c r="I330" s="425"/>
      <c r="J330" s="425"/>
      <c r="K330" s="423"/>
      <c r="L330" s="427">
        <v>1</v>
      </c>
      <c r="M330" s="428"/>
      <c r="N330" s="428"/>
    </row>
    <row r="331" spans="1:44" ht="16">
      <c r="B331" s="383" t="s">
        <v>750</v>
      </c>
      <c r="C331" s="397">
        <v>9</v>
      </c>
      <c r="D331" s="397">
        <v>7</v>
      </c>
      <c r="E331" s="397">
        <v>6</v>
      </c>
      <c r="F331" s="397">
        <v>6</v>
      </c>
      <c r="G331" s="425"/>
      <c r="H331" s="425"/>
      <c r="I331" s="425"/>
      <c r="J331" s="425"/>
      <c r="K331" s="423"/>
      <c r="L331" s="427">
        <v>1</v>
      </c>
      <c r="M331" s="428"/>
      <c r="N331" s="428"/>
      <c r="T331" s="224">
        <f>C$23</f>
        <v>0.3</v>
      </c>
      <c r="U331" s="224">
        <f t="shared" ref="U331:V331" si="17">D$23</f>
        <v>0.3</v>
      </c>
      <c r="V331" s="224">
        <f t="shared" si="17"/>
        <v>0.3</v>
      </c>
    </row>
    <row r="332" spans="1:44">
      <c r="B332" s="383" t="s">
        <v>366</v>
      </c>
      <c r="C332" s="397">
        <v>3</v>
      </c>
      <c r="D332" s="397">
        <v>2</v>
      </c>
      <c r="E332" s="397">
        <v>2</v>
      </c>
      <c r="F332" s="397">
        <v>2</v>
      </c>
      <c r="G332" s="425"/>
      <c r="H332" s="425"/>
      <c r="I332" s="425"/>
      <c r="J332" s="425"/>
      <c r="K332" s="423"/>
      <c r="L332" s="427">
        <v>1</v>
      </c>
      <c r="M332" s="428"/>
      <c r="N332" s="428"/>
    </row>
    <row r="333" spans="1:44" ht="16" thickBot="1">
      <c r="B333" s="429" t="s">
        <v>367</v>
      </c>
      <c r="C333" s="397">
        <v>1</v>
      </c>
      <c r="D333" s="397">
        <v>1</v>
      </c>
      <c r="E333" s="397">
        <v>1</v>
      </c>
      <c r="F333" s="397">
        <v>1</v>
      </c>
      <c r="G333" s="425"/>
      <c r="H333" s="425"/>
      <c r="I333" s="425"/>
      <c r="J333" s="425"/>
      <c r="K333" s="423"/>
      <c r="L333" s="427">
        <v>1</v>
      </c>
      <c r="M333" s="428"/>
      <c r="N333" s="428"/>
    </row>
    <row r="334" spans="1:44" ht="16" thickBot="1">
      <c r="B334" s="431" t="s">
        <v>674</v>
      </c>
      <c r="C334" s="598"/>
      <c r="D334" s="584"/>
      <c r="E334" s="584"/>
      <c r="F334" s="599"/>
      <c r="G334" s="434"/>
      <c r="H334" s="406"/>
      <c r="I334" s="406"/>
      <c r="J334" s="406"/>
      <c r="K334" s="407"/>
      <c r="L334" s="587"/>
      <c r="M334" s="428"/>
      <c r="N334" s="428"/>
    </row>
    <row r="335" spans="1:44" ht="48">
      <c r="A335" s="435" t="s">
        <v>797</v>
      </c>
      <c r="B335" s="436" t="s">
        <v>792</v>
      </c>
      <c r="C335" s="600">
        <v>1.4999999999999999E-2</v>
      </c>
      <c r="D335" s="600">
        <v>1.4999999999999999E-2</v>
      </c>
      <c r="E335" s="600">
        <v>1.4999999999999999E-2</v>
      </c>
      <c r="F335" s="600">
        <v>1.4999999999999999E-2</v>
      </c>
      <c r="G335" s="425"/>
      <c r="H335" s="425"/>
      <c r="I335" s="425"/>
      <c r="J335" s="425"/>
      <c r="K335" s="426" t="s">
        <v>59</v>
      </c>
      <c r="L335" s="440" t="s">
        <v>810</v>
      </c>
      <c r="M335" s="420"/>
      <c r="N335" s="420"/>
    </row>
    <row r="336" spans="1:44">
      <c r="B336" s="441" t="s">
        <v>754</v>
      </c>
      <c r="C336" s="601">
        <v>66.666666666666657</v>
      </c>
      <c r="D336" s="601">
        <v>66.666666666666657</v>
      </c>
      <c r="E336" s="601">
        <v>66.666666666666657</v>
      </c>
      <c r="F336" s="601">
        <v>66.666666666666657</v>
      </c>
      <c r="G336" s="425"/>
      <c r="H336" s="425"/>
      <c r="I336" s="425"/>
      <c r="J336" s="425"/>
      <c r="K336" s="444"/>
      <c r="L336" s="373">
        <v>7</v>
      </c>
      <c r="M336" s="71"/>
      <c r="N336" s="420"/>
    </row>
    <row r="337" spans="2:30">
      <c r="B337" s="441" t="s">
        <v>755</v>
      </c>
      <c r="C337" s="601">
        <v>33.333333333333343</v>
      </c>
      <c r="D337" s="601">
        <v>33.333333333333343</v>
      </c>
      <c r="E337" s="601">
        <v>33.333333333333343</v>
      </c>
      <c r="F337" s="601">
        <v>33.333333333333343</v>
      </c>
      <c r="G337" s="425"/>
      <c r="H337" s="425"/>
      <c r="I337" s="425"/>
      <c r="J337" s="425"/>
      <c r="K337" s="444"/>
      <c r="L337" s="373">
        <v>7</v>
      </c>
      <c r="M337" s="420"/>
      <c r="N337" s="420"/>
    </row>
    <row r="338" spans="2:30">
      <c r="B338" s="383" t="s">
        <v>793</v>
      </c>
      <c r="C338" s="602">
        <f>181.818181818182/1000</f>
        <v>0.18181818181818202</v>
      </c>
      <c r="D338" s="603">
        <f>177.272727272727/1000</f>
        <v>0.177272727272727</v>
      </c>
      <c r="E338" s="603">
        <f>172.727272727273/1000</f>
        <v>0.17272727272727301</v>
      </c>
      <c r="F338" s="604">
        <f>154.545454545455/1000</f>
        <v>0.15454545454545499</v>
      </c>
      <c r="G338" s="425"/>
      <c r="H338" s="425"/>
      <c r="I338" s="425"/>
      <c r="J338" s="425"/>
      <c r="K338" s="444" t="s">
        <v>16</v>
      </c>
      <c r="L338" s="373" t="s">
        <v>811</v>
      </c>
      <c r="M338" s="420"/>
      <c r="N338" s="420"/>
    </row>
    <row r="339" spans="2:30">
      <c r="B339" s="383" t="s">
        <v>794</v>
      </c>
      <c r="C339" s="605">
        <f>(C340+C341)/3.6</f>
        <v>7.8472222222222207E-2</v>
      </c>
      <c r="D339" s="605">
        <f>(D340+D341)/3.6</f>
        <v>7.7083333333333337E-2</v>
      </c>
      <c r="E339" s="605">
        <f>(E340+E341)/3.6</f>
        <v>7.7777777777777779E-2</v>
      </c>
      <c r="F339" s="605">
        <f>(F340+F341)/3.6</f>
        <v>7.7777777777777779E-2</v>
      </c>
      <c r="G339" s="425"/>
      <c r="H339" s="425"/>
      <c r="I339" s="425"/>
      <c r="J339" s="425"/>
      <c r="K339" s="444"/>
      <c r="L339" s="373">
        <v>1</v>
      </c>
      <c r="M339" s="450"/>
      <c r="N339" s="361"/>
      <c r="P339" s="1157">
        <f>C339</f>
        <v>7.8472222222222207E-2</v>
      </c>
      <c r="Q339" s="1135"/>
      <c r="R339" s="1135"/>
      <c r="S339" s="1135"/>
      <c r="T339" s="1135"/>
      <c r="U339" s="1158"/>
    </row>
    <row r="340" spans="2:30" ht="16" thickBot="1">
      <c r="B340" s="541" t="s">
        <v>758</v>
      </c>
      <c r="C340" s="552">
        <f>C319/100*73</f>
        <v>0.1825</v>
      </c>
      <c r="D340" s="552">
        <f>D319/100*75</f>
        <v>0.1875</v>
      </c>
      <c r="E340" s="552">
        <f>E319/100*76</f>
        <v>0.19</v>
      </c>
      <c r="F340" s="552">
        <f>F319/100*76</f>
        <v>0.19</v>
      </c>
      <c r="G340" s="553"/>
      <c r="H340" s="553"/>
      <c r="I340" s="553"/>
      <c r="J340" s="553"/>
      <c r="K340" s="547" t="s">
        <v>20</v>
      </c>
      <c r="L340" s="548">
        <v>7</v>
      </c>
      <c r="M340" s="450"/>
      <c r="N340" s="361"/>
      <c r="P340" s="1159">
        <f>C340</f>
        <v>0.1825</v>
      </c>
      <c r="Q340" s="1160"/>
      <c r="R340" s="1160"/>
      <c r="S340" s="1160"/>
      <c r="T340" s="1160"/>
      <c r="U340" s="1161"/>
    </row>
    <row r="341" spans="2:30">
      <c r="B341" s="541" t="s">
        <v>759</v>
      </c>
      <c r="C341" s="606">
        <v>0.1</v>
      </c>
      <c r="D341" s="606">
        <v>9.0000000000000011E-2</v>
      </c>
      <c r="E341" s="606">
        <v>9.0000000000000011E-2</v>
      </c>
      <c r="F341" s="606">
        <v>9.0000000000000011E-2</v>
      </c>
      <c r="G341" s="553"/>
      <c r="H341" s="553"/>
      <c r="I341" s="553"/>
      <c r="J341" s="553"/>
      <c r="K341" s="547" t="s">
        <v>16</v>
      </c>
      <c r="L341" s="548">
        <v>1</v>
      </c>
      <c r="M341" s="363"/>
      <c r="N341" s="363"/>
      <c r="P341" s="53" t="s">
        <v>357</v>
      </c>
    </row>
    <row r="342" spans="2:30" ht="30">
      <c r="B342" s="541"/>
      <c r="C342" s="607"/>
      <c r="D342" s="547"/>
      <c r="E342" s="547"/>
      <c r="F342" s="563"/>
      <c r="G342" s="550"/>
      <c r="H342" s="550"/>
      <c r="I342" s="550"/>
      <c r="J342" s="550"/>
      <c r="K342" s="547"/>
      <c r="L342" s="608"/>
      <c r="M342" s="367"/>
      <c r="N342" s="367"/>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7" thickBot="1">
      <c r="B343" s="566"/>
      <c r="C343" s="607"/>
      <c r="D343" s="609"/>
      <c r="E343" s="609"/>
      <c r="F343" s="610"/>
      <c r="G343" s="550"/>
      <c r="H343" s="550"/>
      <c r="I343" s="550"/>
      <c r="J343" s="550"/>
      <c r="K343" s="547"/>
      <c r="L343" s="608"/>
      <c r="M343" s="363"/>
      <c r="N343" s="363"/>
      <c r="O343" s="71" t="s">
        <v>812</v>
      </c>
      <c r="P343" s="50"/>
      <c r="Q343" s="50"/>
      <c r="R343" s="51"/>
      <c r="S343" s="51"/>
      <c r="T343" s="51"/>
      <c r="U343" s="51" t="s">
        <v>760</v>
      </c>
      <c r="V343" s="50" t="s">
        <v>761</v>
      </c>
      <c r="W343" s="50"/>
      <c r="X343" s="50"/>
      <c r="Y343" s="50"/>
      <c r="Z343" s="50"/>
      <c r="AA343" s="50"/>
      <c r="AB343" s="50"/>
      <c r="AC343" s="50"/>
      <c r="AD343" s="50"/>
    </row>
    <row r="344" spans="2:30" ht="33" thickBot="1">
      <c r="B344" s="611" t="s">
        <v>682</v>
      </c>
      <c r="C344" s="612"/>
      <c r="D344" s="613"/>
      <c r="E344" s="614"/>
      <c r="F344" s="615"/>
      <c r="G344" s="540"/>
      <c r="H344" s="540"/>
      <c r="I344" s="540"/>
      <c r="J344" s="540"/>
      <c r="K344" s="616"/>
      <c r="L344" s="617"/>
      <c r="M344" s="363"/>
      <c r="N344" s="363"/>
      <c r="O344" s="461" t="s">
        <v>732</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556" t="s">
        <v>762</v>
      </c>
      <c r="C345" s="618" t="s">
        <v>36</v>
      </c>
      <c r="D345" s="618" t="s">
        <v>36</v>
      </c>
      <c r="E345" s="618" t="s">
        <v>36</v>
      </c>
      <c r="F345" s="618" t="s">
        <v>36</v>
      </c>
      <c r="G345" s="618"/>
      <c r="H345" s="618"/>
      <c r="I345" s="618"/>
      <c r="J345" s="618"/>
      <c r="K345" s="618" t="s">
        <v>76</v>
      </c>
      <c r="L345" s="619" t="s">
        <v>36</v>
      </c>
      <c r="M345" s="363"/>
      <c r="N345" s="363"/>
      <c r="O345" s="465">
        <f>C318</f>
        <v>100</v>
      </c>
      <c r="P345" s="466">
        <f>C314</f>
        <v>2020</v>
      </c>
      <c r="Q345" s="58">
        <f>P345</f>
        <v>2020</v>
      </c>
      <c r="R345" s="466">
        <f>O345/100</f>
        <v>1</v>
      </c>
      <c r="S345" s="58"/>
      <c r="T345" s="466">
        <f>C322</f>
        <v>15</v>
      </c>
      <c r="U345" s="467">
        <f>C352</f>
        <v>111.75</v>
      </c>
      <c r="V345" s="690">
        <f>C354</f>
        <v>1.3545454545454561</v>
      </c>
      <c r="W345" s="690">
        <f>C355</f>
        <v>0.58461805555555546</v>
      </c>
      <c r="X345" s="58"/>
      <c r="Y345" s="58"/>
      <c r="Z345" s="466">
        <f>C329</f>
        <v>0.3</v>
      </c>
      <c r="AA345" s="468">
        <f>C331</f>
        <v>9</v>
      </c>
      <c r="AB345" s="468">
        <f>C332</f>
        <v>3</v>
      </c>
      <c r="AC345" s="468">
        <f>C333</f>
        <v>1</v>
      </c>
      <c r="AD345" s="468">
        <f>C330</f>
        <v>0.1</v>
      </c>
    </row>
    <row r="346" spans="2:30">
      <c r="B346" s="541" t="s">
        <v>763</v>
      </c>
      <c r="C346" s="558" t="s">
        <v>36</v>
      </c>
      <c r="D346" s="558" t="s">
        <v>36</v>
      </c>
      <c r="E346" s="558" t="s">
        <v>36</v>
      </c>
      <c r="F346" s="558" t="s">
        <v>36</v>
      </c>
      <c r="G346" s="563"/>
      <c r="H346" s="563"/>
      <c r="I346" s="563"/>
      <c r="J346" s="563"/>
      <c r="K346" s="563"/>
      <c r="L346" s="548" t="s">
        <v>36</v>
      </c>
      <c r="M346" s="363"/>
      <c r="N346" s="363"/>
      <c r="O346" s="465">
        <f>D318</f>
        <v>100</v>
      </c>
      <c r="P346" s="466">
        <f>D314</f>
        <v>2030</v>
      </c>
      <c r="Q346" s="58"/>
      <c r="R346" s="466">
        <f>O346/100</f>
        <v>1</v>
      </c>
      <c r="S346" s="58"/>
      <c r="T346" s="466">
        <f>D322</f>
        <v>15</v>
      </c>
      <c r="U346" s="467">
        <f>D352</f>
        <v>111.75</v>
      </c>
      <c r="V346" s="690">
        <f>D354</f>
        <v>1.3206818181818161</v>
      </c>
      <c r="W346" s="690">
        <f>D355</f>
        <v>0.5742708333333334</v>
      </c>
      <c r="X346" s="58"/>
      <c r="Y346" s="58"/>
      <c r="Z346" s="466">
        <f>D329</f>
        <v>0.3</v>
      </c>
      <c r="AA346" s="468">
        <f>D331</f>
        <v>7</v>
      </c>
      <c r="AB346" s="468">
        <f>D332</f>
        <v>2</v>
      </c>
      <c r="AC346" s="468">
        <f>D333</f>
        <v>1</v>
      </c>
      <c r="AD346" s="468">
        <f>D330</f>
        <v>0.1</v>
      </c>
    </row>
    <row r="347" spans="2:30">
      <c r="B347" s="541" t="s">
        <v>764</v>
      </c>
      <c r="C347" s="558" t="s">
        <v>36</v>
      </c>
      <c r="D347" s="558" t="s">
        <v>36</v>
      </c>
      <c r="E347" s="558" t="s">
        <v>36</v>
      </c>
      <c r="F347" s="558" t="s">
        <v>36</v>
      </c>
      <c r="G347" s="563"/>
      <c r="H347" s="563"/>
      <c r="I347" s="563"/>
      <c r="J347" s="563"/>
      <c r="K347" s="563"/>
      <c r="L347" s="548"/>
      <c r="M347" s="363"/>
      <c r="N347" s="363"/>
      <c r="O347" s="465">
        <f>E318</f>
        <v>100</v>
      </c>
      <c r="P347" s="466">
        <f>E314</f>
        <v>2040</v>
      </c>
      <c r="Q347" s="58"/>
      <c r="R347" s="466">
        <f>O347/100</f>
        <v>1</v>
      </c>
      <c r="S347" s="58"/>
      <c r="T347" s="466">
        <f>E322</f>
        <v>15</v>
      </c>
      <c r="U347" s="467">
        <f>E352</f>
        <v>111.75</v>
      </c>
      <c r="V347" s="690">
        <f>E354</f>
        <v>1.2868181818181839</v>
      </c>
      <c r="W347" s="690">
        <f>E355</f>
        <v>0.57944444444444443</v>
      </c>
      <c r="X347" s="58"/>
      <c r="Y347" s="58"/>
      <c r="Z347" s="466">
        <f>E329</f>
        <v>0.3</v>
      </c>
      <c r="AA347" s="468">
        <f>E331</f>
        <v>6</v>
      </c>
      <c r="AB347" s="468">
        <f>E332</f>
        <v>2</v>
      </c>
      <c r="AC347" s="468">
        <f>E333</f>
        <v>1</v>
      </c>
      <c r="AD347" s="468">
        <f>E330</f>
        <v>0.1</v>
      </c>
    </row>
    <row r="348" spans="2:30">
      <c r="B348" s="541" t="s">
        <v>765</v>
      </c>
      <c r="C348" s="564">
        <v>90</v>
      </c>
      <c r="D348" s="564">
        <v>90</v>
      </c>
      <c r="E348" s="564">
        <v>90</v>
      </c>
      <c r="F348" s="564">
        <v>90</v>
      </c>
      <c r="G348" s="621"/>
      <c r="H348" s="621"/>
      <c r="I348" s="621"/>
      <c r="J348" s="621"/>
      <c r="K348" s="621"/>
      <c r="L348" s="548">
        <v>5</v>
      </c>
      <c r="M348" s="363"/>
      <c r="N348" s="363"/>
      <c r="O348" s="465">
        <f>F318</f>
        <v>100</v>
      </c>
      <c r="P348" s="466">
        <f>F314</f>
        <v>2050</v>
      </c>
      <c r="Q348" s="58"/>
      <c r="R348" s="466">
        <f>O348/100</f>
        <v>1</v>
      </c>
      <c r="S348" s="58"/>
      <c r="T348" s="466">
        <f>F322</f>
        <v>15</v>
      </c>
      <c r="U348" s="467">
        <f>F352</f>
        <v>111.75</v>
      </c>
      <c r="V348" s="690">
        <f>F354</f>
        <v>1.1513636363636397</v>
      </c>
      <c r="W348" s="690">
        <f>F355</f>
        <v>0.57944444444444443</v>
      </c>
      <c r="X348" s="58"/>
      <c r="Y348" s="58"/>
      <c r="Z348" s="466">
        <f>F329</f>
        <v>0.3</v>
      </c>
      <c r="AA348" s="468">
        <f>F331</f>
        <v>6</v>
      </c>
      <c r="AB348" s="468">
        <f>F332</f>
        <v>2</v>
      </c>
      <c r="AC348" s="468">
        <f>F333</f>
        <v>1</v>
      </c>
      <c r="AD348" s="468">
        <f>F330</f>
        <v>0.1</v>
      </c>
    </row>
    <row r="349" spans="2:30">
      <c r="B349" s="566" t="s">
        <v>766</v>
      </c>
      <c r="C349" s="558" t="s">
        <v>36</v>
      </c>
      <c r="D349" s="558" t="s">
        <v>36</v>
      </c>
      <c r="E349" s="558" t="s">
        <v>36</v>
      </c>
      <c r="F349" s="558" t="s">
        <v>36</v>
      </c>
      <c r="G349" s="563"/>
      <c r="H349" s="563"/>
      <c r="I349" s="563"/>
      <c r="J349" s="563"/>
      <c r="K349" s="563"/>
      <c r="L349" s="548"/>
      <c r="M349" s="367"/>
      <c r="N349" s="367"/>
    </row>
    <row r="350" spans="2:30">
      <c r="B350" s="566" t="s">
        <v>767</v>
      </c>
      <c r="C350" s="558" t="s">
        <v>36</v>
      </c>
      <c r="D350" s="558" t="s">
        <v>36</v>
      </c>
      <c r="E350" s="558" t="s">
        <v>36</v>
      </c>
      <c r="F350" s="558" t="s">
        <v>36</v>
      </c>
      <c r="G350" s="563"/>
      <c r="H350" s="563"/>
      <c r="I350" s="563"/>
      <c r="J350" s="563"/>
      <c r="K350" s="563"/>
      <c r="L350" s="548"/>
      <c r="M350" s="363"/>
      <c r="N350" s="363"/>
    </row>
    <row r="351" spans="2:30" ht="16" thickBot="1">
      <c r="B351" s="567" t="s">
        <v>768</v>
      </c>
      <c r="C351" s="622" t="s">
        <v>36</v>
      </c>
      <c r="D351" s="622" t="s">
        <v>36</v>
      </c>
      <c r="E351" s="622" t="s">
        <v>36</v>
      </c>
      <c r="F351" s="622" t="s">
        <v>36</v>
      </c>
      <c r="G351" s="623"/>
      <c r="H351" s="623"/>
      <c r="I351" s="623"/>
      <c r="J351" s="623"/>
      <c r="K351" s="623"/>
      <c r="L351" s="624"/>
      <c r="M351" s="363"/>
      <c r="N351" s="363"/>
    </row>
    <row r="352" spans="2:30" ht="64">
      <c r="B352" s="461" t="s">
        <v>769</v>
      </c>
      <c r="C352" s="483">
        <f>C335*$F$4*1000</f>
        <v>111.75</v>
      </c>
      <c r="D352" s="483">
        <f t="shared" ref="D352:F352" si="18">D335*$F$4*1000</f>
        <v>111.75</v>
      </c>
      <c r="E352" s="483">
        <f t="shared" si="18"/>
        <v>111.75</v>
      </c>
      <c r="F352" s="483">
        <f t="shared" si="18"/>
        <v>111.75</v>
      </c>
      <c r="G352" s="483"/>
      <c r="H352" s="484"/>
      <c r="I352" s="420" t="s">
        <v>332</v>
      </c>
      <c r="J352" s="420"/>
      <c r="K352" s="484"/>
      <c r="L352" s="484"/>
      <c r="N352" s="420"/>
    </row>
    <row r="353" spans="1:14">
      <c r="B353" s="485" t="s">
        <v>770</v>
      </c>
      <c r="C353" s="486">
        <f>C352*$I353</f>
        <v>55875</v>
      </c>
      <c r="D353" s="486">
        <f>D352*$I353</f>
        <v>55875</v>
      </c>
      <c r="E353" s="486">
        <f>E352*$I353</f>
        <v>55875</v>
      </c>
      <c r="F353" s="486">
        <f>F352*$I353</f>
        <v>55875</v>
      </c>
      <c r="G353" s="486"/>
      <c r="H353" s="484"/>
      <c r="I353" s="71">
        <v>500</v>
      </c>
      <c r="J353" s="420" t="s">
        <v>330</v>
      </c>
      <c r="K353" s="484"/>
      <c r="L353" s="484"/>
      <c r="N353" s="420"/>
    </row>
    <row r="354" spans="1:14" ht="48">
      <c r="B354" s="461" t="s">
        <v>771</v>
      </c>
      <c r="C354" s="359">
        <f>C338*$F$4</f>
        <v>1.3545454545454561</v>
      </c>
      <c r="D354" s="359">
        <f t="shared" ref="D354:F355" si="19">D338*$F$4</f>
        <v>1.3206818181818161</v>
      </c>
      <c r="E354" s="359">
        <f t="shared" si="19"/>
        <v>1.2868181818181839</v>
      </c>
      <c r="F354" s="359">
        <f t="shared" si="19"/>
        <v>1.1513636363636397</v>
      </c>
      <c r="G354" s="359"/>
      <c r="I354" s="420" t="s">
        <v>333</v>
      </c>
      <c r="J354" s="420"/>
      <c r="N354" s="420"/>
    </row>
    <row r="355" spans="1:14" ht="48">
      <c r="B355" s="461" t="s">
        <v>772</v>
      </c>
      <c r="C355" s="487">
        <f>C339*$F$4</f>
        <v>0.58461805555555546</v>
      </c>
      <c r="D355" s="487">
        <f t="shared" si="19"/>
        <v>0.5742708333333334</v>
      </c>
      <c r="E355" s="487">
        <f t="shared" si="19"/>
        <v>0.57944444444444443</v>
      </c>
      <c r="F355" s="487">
        <f t="shared" si="19"/>
        <v>0.57944444444444443</v>
      </c>
      <c r="G355" s="359"/>
      <c r="M355" s="420"/>
      <c r="N355" s="420"/>
    </row>
    <row r="358" spans="1:14">
      <c r="A358" s="488" t="s">
        <v>773</v>
      </c>
      <c r="B358" s="489"/>
      <c r="D358" s="358"/>
      <c r="E358" s="358"/>
      <c r="F358" s="358"/>
      <c r="G358" s="358"/>
      <c r="H358" s="358"/>
      <c r="I358" s="358"/>
      <c r="J358" s="358"/>
      <c r="K358" s="358"/>
    </row>
    <row r="359" spans="1:14">
      <c r="A359" s="358">
        <v>1</v>
      </c>
      <c r="B359" s="490" t="s">
        <v>813</v>
      </c>
      <c r="E359" s="358"/>
      <c r="F359" s="358"/>
      <c r="G359" s="358"/>
      <c r="H359" s="358"/>
      <c r="I359" s="358"/>
      <c r="J359" s="358"/>
      <c r="K359" s="358"/>
    </row>
    <row r="360" spans="1:14">
      <c r="A360" s="358">
        <v>2</v>
      </c>
      <c r="B360" s="490" t="s">
        <v>814</v>
      </c>
      <c r="E360" s="358"/>
      <c r="F360" s="358"/>
      <c r="G360" s="358"/>
      <c r="H360" s="358"/>
      <c r="I360" s="358"/>
      <c r="J360" s="358"/>
      <c r="K360" s="358"/>
    </row>
    <row r="361" spans="1:14">
      <c r="A361" s="358">
        <v>3</v>
      </c>
      <c r="B361" s="490" t="s">
        <v>781</v>
      </c>
      <c r="E361" s="358"/>
      <c r="F361" s="358"/>
      <c r="G361" s="358"/>
      <c r="H361" s="358"/>
      <c r="I361" s="358"/>
      <c r="J361" s="358"/>
      <c r="K361" s="358"/>
    </row>
    <row r="362" spans="1:14">
      <c r="A362" s="358">
        <v>4</v>
      </c>
      <c r="B362" s="490" t="s">
        <v>815</v>
      </c>
      <c r="E362" s="358"/>
      <c r="F362" s="358"/>
      <c r="G362" s="358"/>
      <c r="H362" s="358"/>
      <c r="I362" s="358"/>
      <c r="J362" s="358"/>
      <c r="K362" s="358"/>
    </row>
    <row r="363" spans="1:14">
      <c r="A363" s="358">
        <v>5</v>
      </c>
      <c r="B363" s="490" t="s">
        <v>816</v>
      </c>
      <c r="E363" s="358"/>
      <c r="F363" s="358"/>
      <c r="G363" s="358"/>
      <c r="H363" s="358"/>
      <c r="I363" s="358"/>
      <c r="J363" s="358"/>
      <c r="K363" s="358"/>
    </row>
    <row r="364" spans="1:14">
      <c r="A364" s="358">
        <v>6</v>
      </c>
      <c r="B364" s="490" t="s">
        <v>817</v>
      </c>
      <c r="E364" s="358"/>
      <c r="F364" s="358"/>
      <c r="G364" s="358"/>
      <c r="H364" s="358"/>
      <c r="I364" s="358"/>
      <c r="J364" s="358"/>
      <c r="K364" s="358"/>
    </row>
    <row r="365" spans="1:14">
      <c r="A365" s="358">
        <v>7</v>
      </c>
      <c r="B365" s="490" t="s">
        <v>818</v>
      </c>
      <c r="E365" s="358"/>
      <c r="F365" s="358"/>
      <c r="G365" s="358"/>
      <c r="H365" s="358"/>
      <c r="I365" s="358"/>
      <c r="J365" s="358"/>
      <c r="K365" s="358"/>
    </row>
    <row r="366" spans="1:14">
      <c r="A366" s="358">
        <v>8</v>
      </c>
      <c r="B366" s="625" t="s">
        <v>819</v>
      </c>
      <c r="E366" s="358"/>
      <c r="F366" s="358"/>
      <c r="G366" s="358"/>
      <c r="H366" s="358"/>
      <c r="I366" s="358"/>
      <c r="J366" s="358"/>
      <c r="K366" s="358"/>
    </row>
    <row r="367" spans="1:14">
      <c r="A367" s="358">
        <v>9</v>
      </c>
      <c r="B367" s="490" t="s">
        <v>820</v>
      </c>
      <c r="E367" s="358"/>
      <c r="F367" s="358"/>
      <c r="G367" s="358"/>
      <c r="H367" s="358"/>
      <c r="I367" s="358"/>
      <c r="J367" s="358"/>
      <c r="K367" s="358"/>
    </row>
    <row r="368" spans="1:14">
      <c r="A368" s="488" t="s">
        <v>783</v>
      </c>
      <c r="B368" s="489"/>
      <c r="E368" s="358"/>
      <c r="F368" s="358"/>
      <c r="G368" s="358"/>
      <c r="H368" s="358"/>
      <c r="I368" s="358"/>
      <c r="J368" s="358"/>
      <c r="K368" s="358"/>
    </row>
    <row r="369" spans="1:11">
      <c r="A369" s="496" t="s">
        <v>6</v>
      </c>
      <c r="B369" s="490" t="s">
        <v>821</v>
      </c>
      <c r="C369" s="489"/>
      <c r="E369" s="358"/>
      <c r="F369" s="358"/>
      <c r="G369" s="358"/>
      <c r="H369" s="358"/>
      <c r="I369" s="358"/>
      <c r="J369" s="358"/>
      <c r="K369" s="358"/>
    </row>
    <row r="370" spans="1:11">
      <c r="A370" s="496" t="s">
        <v>59</v>
      </c>
      <c r="B370" s="490" t="s">
        <v>822</v>
      </c>
      <c r="C370" s="489"/>
      <c r="E370" s="358"/>
      <c r="F370" s="358"/>
      <c r="G370" s="358"/>
      <c r="H370" s="358"/>
      <c r="I370" s="358"/>
      <c r="J370" s="358"/>
      <c r="K370" s="358"/>
    </row>
    <row r="371" spans="1:11">
      <c r="A371" s="496" t="s">
        <v>16</v>
      </c>
      <c r="B371" s="490" t="s">
        <v>823</v>
      </c>
      <c r="C371" s="489"/>
      <c r="E371" s="358"/>
      <c r="F371" s="358"/>
      <c r="G371" s="358"/>
      <c r="H371" s="358"/>
      <c r="I371" s="358"/>
      <c r="J371" s="358"/>
      <c r="K371" s="358"/>
    </row>
    <row r="372" spans="1:11">
      <c r="A372" s="496" t="s">
        <v>20</v>
      </c>
      <c r="B372" s="490" t="s">
        <v>824</v>
      </c>
      <c r="C372" s="489"/>
      <c r="E372" s="358"/>
      <c r="F372" s="358"/>
      <c r="G372" s="358"/>
      <c r="H372" s="358"/>
      <c r="I372" s="358"/>
      <c r="J372" s="358"/>
      <c r="K372" s="358"/>
    </row>
    <row r="373" spans="1:11" ht="15.75" customHeight="1">
      <c r="A373" s="496" t="s">
        <v>76</v>
      </c>
      <c r="B373" s="490" t="s">
        <v>825</v>
      </c>
      <c r="C373" s="489"/>
      <c r="E373" s="358"/>
      <c r="F373" s="358"/>
      <c r="G373" s="358"/>
      <c r="H373" s="358"/>
      <c r="I373" s="358"/>
      <c r="J373" s="358"/>
      <c r="K373" s="358"/>
    </row>
    <row r="374" spans="1:11" ht="15.75" customHeight="1">
      <c r="A374" s="496"/>
      <c r="B374" s="490"/>
      <c r="C374" s="489"/>
      <c r="E374" s="358"/>
      <c r="F374" s="358"/>
      <c r="G374" s="358"/>
      <c r="H374" s="358"/>
      <c r="I374" s="358"/>
      <c r="J374" s="358"/>
      <c r="K374" s="358"/>
    </row>
  </sheetData>
  <mergeCells count="392">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P33:U33"/>
    <mergeCell ref="P34:U34"/>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P194:U194"/>
    <mergeCell ref="P195:U195"/>
    <mergeCell ref="C247:L247"/>
    <mergeCell ref="S247:S250"/>
    <mergeCell ref="T247:U249"/>
    <mergeCell ref="V247:W249"/>
    <mergeCell ref="K248:K249"/>
    <mergeCell ref="L248:L249"/>
    <mergeCell ref="P248:P250"/>
    <mergeCell ref="Q249:Q250"/>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A254:AA258"/>
    <mergeCell ref="AB254:AB258"/>
    <mergeCell ref="AC254:AC258"/>
    <mergeCell ref="P251:P259"/>
    <mergeCell ref="Q251:Q253"/>
    <mergeCell ref="T251:T253"/>
    <mergeCell ref="U251:U253"/>
    <mergeCell ref="V251:V253"/>
    <mergeCell ref="W251:W253"/>
    <mergeCell ref="X251:X253"/>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R386"/>
  <sheetViews>
    <sheetView topLeftCell="M1" zoomScaleNormal="100" workbookViewId="0">
      <selection activeCell="Y11" sqref="Y11:Y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Steam boiler, Wood Chips</v>
      </c>
    </row>
    <row r="4" spans="1:44" ht="25" customHeight="1">
      <c r="E4" s="224" t="s">
        <v>358</v>
      </c>
      <c r="F4" s="359">
        <v>7.45</v>
      </c>
      <c r="G4" s="359" t="s">
        <v>328</v>
      </c>
    </row>
    <row r="5" spans="1:44" ht="15" customHeight="1">
      <c r="A5" s="360" t="s">
        <v>993</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973</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20</v>
      </c>
      <c r="D10" s="372">
        <v>20</v>
      </c>
      <c r="E10" s="372">
        <v>20</v>
      </c>
      <c r="F10" s="372">
        <v>20</v>
      </c>
      <c r="G10" s="372">
        <v>1</v>
      </c>
      <c r="H10" s="372">
        <v>50</v>
      </c>
      <c r="I10" s="372">
        <v>1</v>
      </c>
      <c r="J10" s="372">
        <v>50</v>
      </c>
      <c r="K10" s="372" t="s">
        <v>6</v>
      </c>
      <c r="L10" s="373" t="s">
        <v>725</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90</v>
      </c>
      <c r="D11" s="377">
        <v>90</v>
      </c>
      <c r="E11" s="378">
        <v>90</v>
      </c>
      <c r="F11" s="377">
        <v>91</v>
      </c>
      <c r="G11" s="377">
        <f>D11-1</f>
        <v>89</v>
      </c>
      <c r="H11" s="377">
        <f>D11+2</f>
        <v>92</v>
      </c>
      <c r="I11" s="377">
        <f>F11-1</f>
        <v>90</v>
      </c>
      <c r="J11" s="377">
        <f>F11+2</f>
        <v>93</v>
      </c>
      <c r="K11" s="379" t="s">
        <v>59</v>
      </c>
      <c r="L11" s="380" t="s">
        <v>729</v>
      </c>
      <c r="M11" s="370"/>
      <c r="N11" s="370"/>
      <c r="P11" s="1200" t="str">
        <f>C7</f>
        <v>Steam boiler, Wood Chips</v>
      </c>
      <c r="Q11" s="1188" t="s">
        <v>730</v>
      </c>
      <c r="R11" s="381" t="s">
        <v>731</v>
      </c>
      <c r="S11" s="382"/>
      <c r="T11" s="1191">
        <v>0</v>
      </c>
      <c r="U11" s="1179">
        <v>1</v>
      </c>
      <c r="V11" s="1182">
        <v>0</v>
      </c>
      <c r="W11" s="1179">
        <v>1</v>
      </c>
      <c r="X11" s="1182">
        <v>0</v>
      </c>
      <c r="Y11" s="1179">
        <v>1</v>
      </c>
      <c r="Z11" s="1182">
        <v>0</v>
      </c>
      <c r="AA11" s="1179">
        <v>1</v>
      </c>
      <c r="AB11" s="1182">
        <v>0</v>
      </c>
      <c r="AC11" s="1179">
        <v>1</v>
      </c>
      <c r="AE11" s="1185" t="str">
        <f>P11</f>
        <v>Steam boiler, Wood Chips</v>
      </c>
      <c r="AF11" s="1188" t="s">
        <v>730</v>
      </c>
      <c r="AG11" s="381" t="s">
        <v>731</v>
      </c>
      <c r="AH11" s="382"/>
      <c r="AI11" s="1191">
        <v>0</v>
      </c>
      <c r="AJ11" s="1179">
        <v>1</v>
      </c>
      <c r="AK11" s="1182">
        <v>0</v>
      </c>
      <c r="AL11" s="1179">
        <v>1</v>
      </c>
      <c r="AM11" s="1182">
        <v>0</v>
      </c>
      <c r="AN11" s="1179">
        <v>1</v>
      </c>
      <c r="AO11" s="1182">
        <v>0</v>
      </c>
      <c r="AP11" s="1179">
        <v>1</v>
      </c>
      <c r="AQ11" s="1182">
        <v>0</v>
      </c>
      <c r="AR11" s="1179">
        <v>1</v>
      </c>
    </row>
    <row r="12" spans="1:44" ht="32.5" customHeight="1" outlineLevel="1">
      <c r="B12" s="383" t="s">
        <v>732</v>
      </c>
      <c r="C12" s="384">
        <f t="shared" ref="C12:J12" si="0">C11-1</f>
        <v>89</v>
      </c>
      <c r="D12" s="384">
        <f t="shared" si="0"/>
        <v>89</v>
      </c>
      <c r="E12" s="384">
        <f t="shared" si="0"/>
        <v>89</v>
      </c>
      <c r="F12" s="384">
        <f t="shared" si="0"/>
        <v>90</v>
      </c>
      <c r="G12" s="385">
        <f t="shared" si="0"/>
        <v>88</v>
      </c>
      <c r="H12" s="385">
        <f t="shared" si="0"/>
        <v>91</v>
      </c>
      <c r="I12" s="385">
        <f t="shared" si="0"/>
        <v>89</v>
      </c>
      <c r="J12" s="385">
        <f t="shared" si="0"/>
        <v>92</v>
      </c>
      <c r="K12" s="386"/>
      <c r="L12" s="387" t="s">
        <v>729</v>
      </c>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2.2999999999999998</v>
      </c>
      <c r="D13" s="391">
        <v>2.2999999999999998</v>
      </c>
      <c r="E13" s="391">
        <v>2.2999999999999998</v>
      </c>
      <c r="F13" s="392">
        <v>2.2999999999999998</v>
      </c>
      <c r="G13" s="391">
        <v>2.2000000000000002</v>
      </c>
      <c r="H13" s="391">
        <v>2.5</v>
      </c>
      <c r="I13" s="391">
        <v>1.8</v>
      </c>
      <c r="J13" s="391">
        <v>2.5</v>
      </c>
      <c r="K13" s="379" t="s">
        <v>16</v>
      </c>
      <c r="L13" s="380">
        <v>3</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686">
        <v>3</v>
      </c>
      <c r="D14" s="686">
        <v>3</v>
      </c>
      <c r="E14" s="686">
        <v>3</v>
      </c>
      <c r="F14" s="686">
        <v>3</v>
      </c>
      <c r="G14" s="686">
        <v>3</v>
      </c>
      <c r="H14" s="686">
        <v>3</v>
      </c>
      <c r="I14" s="686">
        <v>3</v>
      </c>
      <c r="J14" s="686">
        <v>3</v>
      </c>
      <c r="K14" s="379" t="s">
        <v>20</v>
      </c>
      <c r="L14" s="380">
        <v>3</v>
      </c>
      <c r="M14" s="370"/>
      <c r="N14" s="370"/>
      <c r="O14" s="71"/>
      <c r="P14" s="1186"/>
      <c r="Q14" s="1188" t="s">
        <v>736</v>
      </c>
      <c r="R14" s="395" t="s">
        <v>737</v>
      </c>
      <c r="S14" s="396" t="s">
        <v>738</v>
      </c>
      <c r="T14" s="1191">
        <v>0</v>
      </c>
      <c r="U14" s="1191">
        <v>1</v>
      </c>
      <c r="V14" s="1191">
        <v>0</v>
      </c>
      <c r="W14" s="1191">
        <v>1</v>
      </c>
      <c r="X14" s="1191">
        <v>0</v>
      </c>
      <c r="Y14" s="1191">
        <v>0.97</v>
      </c>
      <c r="Z14" s="1191">
        <v>0</v>
      </c>
      <c r="AA14" s="1191">
        <v>1</v>
      </c>
      <c r="AB14" s="1191">
        <v>0</v>
      </c>
      <c r="AC14" s="1179">
        <v>1</v>
      </c>
      <c r="AE14" s="1186"/>
      <c r="AF14" s="1188" t="s">
        <v>736</v>
      </c>
      <c r="AG14" s="395" t="s">
        <v>737</v>
      </c>
      <c r="AH14" s="396" t="s">
        <v>738</v>
      </c>
      <c r="AI14" s="1191">
        <v>0</v>
      </c>
      <c r="AJ14" s="1191">
        <v>1</v>
      </c>
      <c r="AK14" s="1191">
        <v>0</v>
      </c>
      <c r="AL14" s="1191">
        <v>1</v>
      </c>
      <c r="AM14" s="1191">
        <v>0</v>
      </c>
      <c r="AN14" s="1191">
        <v>0.97</v>
      </c>
      <c r="AO14" s="1191">
        <v>0</v>
      </c>
      <c r="AP14" s="1191">
        <v>1</v>
      </c>
      <c r="AQ14" s="1191">
        <v>0</v>
      </c>
      <c r="AR14" s="1179">
        <v>1</v>
      </c>
    </row>
    <row r="15" spans="1:44" outlineLevel="1">
      <c r="B15" s="376" t="s">
        <v>658</v>
      </c>
      <c r="C15" s="390">
        <v>3</v>
      </c>
      <c r="D15" s="390">
        <v>3</v>
      </c>
      <c r="E15" s="390">
        <v>3</v>
      </c>
      <c r="F15" s="390">
        <v>3</v>
      </c>
      <c r="G15" s="390">
        <v>2.6</v>
      </c>
      <c r="H15" s="390">
        <v>3.5</v>
      </c>
      <c r="I15" s="390">
        <v>2.2999999999999998</v>
      </c>
      <c r="J15" s="390">
        <v>3.8</v>
      </c>
      <c r="K15" s="379" t="s">
        <v>20</v>
      </c>
      <c r="L15" s="380">
        <v>3</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25</v>
      </c>
      <c r="D16" s="397">
        <v>25</v>
      </c>
      <c r="E16" s="397">
        <v>25</v>
      </c>
      <c r="F16" s="397">
        <v>25</v>
      </c>
      <c r="G16" s="398">
        <v>20</v>
      </c>
      <c r="H16" s="398">
        <v>35</v>
      </c>
      <c r="I16" s="398">
        <v>20</v>
      </c>
      <c r="J16" s="398">
        <v>35</v>
      </c>
      <c r="K16" s="372"/>
      <c r="L16" s="373" t="s">
        <v>740</v>
      </c>
      <c r="M16" s="363"/>
      <c r="N16" s="363"/>
      <c r="P16" s="1186"/>
      <c r="Q16" s="1189"/>
      <c r="R16" s="395" t="s">
        <v>741</v>
      </c>
      <c r="S16" s="396" t="s">
        <v>738</v>
      </c>
      <c r="T16" s="1194"/>
      <c r="U16" s="1194"/>
      <c r="V16" s="1194"/>
      <c r="W16" s="1194"/>
      <c r="X16" s="1194"/>
      <c r="Y16" s="1194"/>
      <c r="Z16" s="1194"/>
      <c r="AA16" s="1194"/>
      <c r="AB16" s="1194"/>
      <c r="AC16" s="1196"/>
      <c r="AE16" s="1186"/>
      <c r="AF16" s="1189"/>
      <c r="AG16" s="395" t="s">
        <v>741</v>
      </c>
      <c r="AH16" s="629" t="s">
        <v>738</v>
      </c>
      <c r="AI16" s="1194"/>
      <c r="AJ16" s="1194"/>
      <c r="AK16" s="1194"/>
      <c r="AL16" s="1194"/>
      <c r="AM16" s="1194"/>
      <c r="AN16" s="1194"/>
      <c r="AO16" s="1194"/>
      <c r="AP16" s="1194"/>
      <c r="AQ16" s="1194"/>
      <c r="AR16" s="1196"/>
    </row>
    <row r="17" spans="1:44" ht="16" outlineLevel="1" thickBot="1">
      <c r="B17" s="376" t="s">
        <v>273</v>
      </c>
      <c r="C17" s="399">
        <v>1</v>
      </c>
      <c r="D17" s="399">
        <v>1</v>
      </c>
      <c r="E17" s="399">
        <v>1</v>
      </c>
      <c r="F17" s="399">
        <v>1</v>
      </c>
      <c r="G17" s="399">
        <v>0.5</v>
      </c>
      <c r="H17" s="399">
        <v>1.5</v>
      </c>
      <c r="I17" s="399">
        <v>0.5</v>
      </c>
      <c r="J17" s="399">
        <v>1.5</v>
      </c>
      <c r="K17" s="372"/>
      <c r="L17" s="400"/>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
        <v>738</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
        <v>738</v>
      </c>
      <c r="AI18" s="1195"/>
      <c r="AJ18" s="1195"/>
      <c r="AK18" s="1195"/>
      <c r="AL18" s="1195"/>
      <c r="AM18" s="1195"/>
      <c r="AN18" s="1195"/>
      <c r="AO18" s="1195"/>
      <c r="AP18" s="1195"/>
      <c r="AQ18" s="1195"/>
      <c r="AR18" s="1197"/>
    </row>
    <row r="19" spans="1:44" ht="33" outlineLevel="1" thickBot="1">
      <c r="B19" s="376" t="s">
        <v>663</v>
      </c>
      <c r="C19" s="390">
        <v>20</v>
      </c>
      <c r="D19" s="390">
        <v>20</v>
      </c>
      <c r="E19" s="390">
        <v>20</v>
      </c>
      <c r="F19" s="390">
        <v>20</v>
      </c>
      <c r="G19" s="391"/>
      <c r="H19" s="391"/>
      <c r="I19" s="391"/>
      <c r="J19" s="391"/>
      <c r="K19" s="379"/>
      <c r="L19" s="380">
        <v>3</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0.3</v>
      </c>
      <c r="D20" s="390">
        <v>0.3</v>
      </c>
      <c r="E20" s="390">
        <v>0.3</v>
      </c>
      <c r="F20" s="390">
        <v>0.3</v>
      </c>
      <c r="G20" s="418"/>
      <c r="H20" s="418"/>
      <c r="I20" s="418"/>
      <c r="J20" s="418"/>
      <c r="K20" s="419"/>
      <c r="L20" s="380">
        <v>3</v>
      </c>
      <c r="M20" s="363"/>
      <c r="N20" s="363"/>
    </row>
    <row r="21" spans="1:44" outlineLevel="1">
      <c r="B21" s="376" t="s">
        <v>666</v>
      </c>
      <c r="C21" s="390">
        <v>0.5</v>
      </c>
      <c r="D21" s="390">
        <v>0.5</v>
      </c>
      <c r="E21" s="390">
        <v>0.5</v>
      </c>
      <c r="F21" s="390">
        <v>0.5</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v>11</v>
      </c>
      <c r="D23" s="1224">
        <v>11</v>
      </c>
      <c r="E23" s="1224">
        <v>11</v>
      </c>
      <c r="F23" s="1225">
        <v>11</v>
      </c>
      <c r="G23" s="422"/>
      <c r="H23" s="425"/>
      <c r="I23" s="425"/>
      <c r="J23" s="425"/>
      <c r="K23" s="426" t="s">
        <v>76</v>
      </c>
      <c r="L23" s="427" t="s">
        <v>748</v>
      </c>
      <c r="M23" s="428"/>
      <c r="N23" s="428"/>
    </row>
    <row r="24" spans="1:44" outlineLevel="1">
      <c r="B24" s="383" t="s">
        <v>749</v>
      </c>
      <c r="C24" s="1226">
        <v>10</v>
      </c>
      <c r="D24" s="1227">
        <v>10</v>
      </c>
      <c r="E24" s="1227">
        <v>10</v>
      </c>
      <c r="F24" s="1228">
        <v>10</v>
      </c>
      <c r="G24" s="425"/>
      <c r="H24" s="425"/>
      <c r="I24" s="425"/>
      <c r="J24" s="425"/>
      <c r="K24" s="423"/>
      <c r="L24" s="427">
        <v>9</v>
      </c>
      <c r="M24" s="428"/>
      <c r="N24" s="428"/>
    </row>
    <row r="25" spans="1:44" outlineLevel="1">
      <c r="B25" s="383" t="s">
        <v>844</v>
      </c>
      <c r="C25" s="1226">
        <v>63</v>
      </c>
      <c r="D25" s="1227">
        <v>49</v>
      </c>
      <c r="E25" s="1227">
        <v>46</v>
      </c>
      <c r="F25" s="1228">
        <v>41</v>
      </c>
      <c r="G25" s="425"/>
      <c r="H25" s="425"/>
      <c r="I25" s="425"/>
      <c r="J25" s="425"/>
      <c r="K25" s="423"/>
      <c r="L25" s="427" t="s">
        <v>748</v>
      </c>
      <c r="M25" s="428"/>
      <c r="N25" s="428"/>
    </row>
    <row r="26" spans="1:44" outlineLevel="1">
      <c r="B26" s="383" t="s">
        <v>366</v>
      </c>
      <c r="C26" s="1226">
        <v>11</v>
      </c>
      <c r="D26" s="1227">
        <v>8</v>
      </c>
      <c r="E26" s="1227">
        <v>6</v>
      </c>
      <c r="F26" s="1228">
        <v>4</v>
      </c>
      <c r="G26" s="425"/>
      <c r="H26" s="425"/>
      <c r="I26" s="425"/>
      <c r="J26" s="425"/>
      <c r="K26" s="423"/>
      <c r="L26" s="427" t="s">
        <v>748</v>
      </c>
      <c r="M26" s="428"/>
      <c r="N26" s="428"/>
    </row>
    <row r="27" spans="1:44" ht="16" outlineLevel="1" thickBot="1">
      <c r="B27" s="429" t="s">
        <v>367</v>
      </c>
      <c r="C27" s="1229">
        <v>3</v>
      </c>
      <c r="D27" s="1230">
        <v>3</v>
      </c>
      <c r="E27" s="1230">
        <v>1</v>
      </c>
      <c r="F27" s="1231">
        <v>1</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0.61818181818181817</v>
      </c>
      <c r="D29" s="647">
        <v>0.59090909090909083</v>
      </c>
      <c r="E29" s="647">
        <f>(F29+D29)/2</f>
        <v>0.56363636363636349</v>
      </c>
      <c r="F29" s="648">
        <v>0.53636363636363626</v>
      </c>
      <c r="G29" s="425"/>
      <c r="H29" s="425"/>
      <c r="I29" s="425"/>
      <c r="J29" s="425"/>
      <c r="K29" s="426" t="s">
        <v>974</v>
      </c>
      <c r="L29" s="440" t="s">
        <v>753</v>
      </c>
      <c r="M29" s="420"/>
      <c r="N29" s="420"/>
    </row>
    <row r="30" spans="1:44" outlineLevel="1">
      <c r="B30" s="441" t="s">
        <v>839</v>
      </c>
      <c r="C30" s="442">
        <v>60</v>
      </c>
      <c r="D30" s="442">
        <v>60</v>
      </c>
      <c r="E30" s="442">
        <v>60</v>
      </c>
      <c r="F30" s="442">
        <v>60</v>
      </c>
      <c r="G30" s="425"/>
      <c r="H30" s="425"/>
      <c r="I30" s="425"/>
      <c r="J30" s="425"/>
      <c r="K30" s="444"/>
      <c r="L30" s="373">
        <v>3</v>
      </c>
      <c r="M30" s="71"/>
      <c r="N30" s="420"/>
    </row>
    <row r="31" spans="1:44" outlineLevel="1">
      <c r="B31" s="441" t="s">
        <v>840</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35900</v>
      </c>
      <c r="E32" s="603">
        <f>(F32+D32)/2</f>
        <v>34800</v>
      </c>
      <c r="F32" s="604">
        <v>33700</v>
      </c>
      <c r="G32" s="425"/>
      <c r="H32" s="425"/>
      <c r="I32" s="425"/>
      <c r="J32" s="425"/>
      <c r="K32" s="448" t="s">
        <v>52</v>
      </c>
      <c r="L32" s="373">
        <v>3</v>
      </c>
      <c r="M32" s="420"/>
      <c r="N32" s="420"/>
    </row>
    <row r="33" spans="2:30" ht="37" customHeight="1" outlineLevel="1" thickBot="1">
      <c r="B33" s="383" t="s">
        <v>679</v>
      </c>
      <c r="C33" s="605">
        <f>C34+C35</f>
        <v>2.7789999999999999</v>
      </c>
      <c r="D33" s="605">
        <f t="shared" ref="D33:F33" si="1">D34+D35</f>
        <v>2.8250000000000002</v>
      </c>
      <c r="E33" s="605">
        <f t="shared" si="1"/>
        <v>2.8479999999999999</v>
      </c>
      <c r="F33" s="605">
        <f t="shared" si="1"/>
        <v>2.8479999999999999</v>
      </c>
      <c r="G33" s="425"/>
      <c r="H33" s="425"/>
      <c r="I33" s="425"/>
      <c r="J33" s="425"/>
      <c r="K33" s="448"/>
      <c r="L33" s="373">
        <v>3</v>
      </c>
      <c r="M33" s="450"/>
      <c r="N33" s="361"/>
      <c r="P33" s="1157">
        <f>C33</f>
        <v>2.7789999999999999</v>
      </c>
      <c r="Q33" s="1135"/>
      <c r="R33" s="1135"/>
      <c r="S33" s="1135"/>
      <c r="T33" s="1135"/>
      <c r="U33" s="1158"/>
    </row>
    <row r="34" spans="2:30" ht="15.75" customHeight="1" outlineLevel="1" thickBot="1">
      <c r="B34" s="451" t="s">
        <v>758</v>
      </c>
      <c r="C34" s="452">
        <f>C13/100*73</f>
        <v>1.679</v>
      </c>
      <c r="D34" s="452">
        <f>D13/100*75</f>
        <v>1.7249999999999999</v>
      </c>
      <c r="E34" s="452">
        <f>E13/100*76</f>
        <v>1.748</v>
      </c>
      <c r="F34" s="452">
        <f>F13/100*76</f>
        <v>1.748</v>
      </c>
      <c r="G34" s="453"/>
      <c r="H34" s="453"/>
      <c r="I34" s="453"/>
      <c r="J34" s="453"/>
      <c r="K34" s="379" t="s">
        <v>55</v>
      </c>
      <c r="L34" s="380">
        <v>3</v>
      </c>
      <c r="M34" s="450"/>
      <c r="N34" s="361"/>
      <c r="P34" s="1159">
        <f>C34</f>
        <v>1.679</v>
      </c>
      <c r="Q34" s="1160"/>
      <c r="R34" s="1160"/>
      <c r="S34" s="1160"/>
      <c r="T34" s="1160"/>
      <c r="U34" s="1161"/>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49</v>
      </c>
      <c r="L39" s="464"/>
      <c r="M39" s="363"/>
      <c r="N39" s="363"/>
      <c r="O39" s="465">
        <f>C12</f>
        <v>89</v>
      </c>
      <c r="P39" s="466">
        <f>C8</f>
        <v>2020</v>
      </c>
      <c r="Q39" s="58">
        <f>P39</f>
        <v>2020</v>
      </c>
      <c r="R39" s="466">
        <f>O39/100</f>
        <v>0.89</v>
      </c>
      <c r="S39" s="58"/>
      <c r="T39" s="466">
        <f>C16</f>
        <v>25</v>
      </c>
      <c r="U39" s="467">
        <f>C46</f>
        <v>4605.454545454545</v>
      </c>
      <c r="V39" s="467">
        <f>C48</f>
        <v>251.065</v>
      </c>
      <c r="W39" s="467">
        <f>C49</f>
        <v>5.7509861111111107</v>
      </c>
      <c r="X39" s="58"/>
      <c r="Y39" s="58"/>
      <c r="Z39" s="466">
        <f>C23</f>
        <v>11</v>
      </c>
      <c r="AA39" s="468">
        <f>C25</f>
        <v>63</v>
      </c>
      <c r="AB39" s="468">
        <f>C26</f>
        <v>11</v>
      </c>
      <c r="AC39" s="468">
        <f>C27</f>
        <v>3</v>
      </c>
      <c r="AD39" s="468">
        <f>C24</f>
        <v>10</v>
      </c>
    </row>
    <row r="40" spans="2:30" ht="14.5" customHeight="1" outlineLevel="1">
      <c r="B40" s="376" t="s">
        <v>763</v>
      </c>
      <c r="C40" s="469" t="s">
        <v>36</v>
      </c>
      <c r="D40" s="470" t="s">
        <v>36</v>
      </c>
      <c r="E40" s="470" t="s">
        <v>36</v>
      </c>
      <c r="F40" s="471" t="s">
        <v>36</v>
      </c>
      <c r="G40" s="471"/>
      <c r="H40" s="471"/>
      <c r="I40" s="471"/>
      <c r="J40" s="471"/>
      <c r="K40" s="472" t="s">
        <v>49</v>
      </c>
      <c r="L40" s="464"/>
      <c r="M40" s="363"/>
      <c r="N40" s="363"/>
      <c r="O40" s="465">
        <f>D12</f>
        <v>89</v>
      </c>
      <c r="P40" s="466">
        <f>D8</f>
        <v>2030</v>
      </c>
      <c r="Q40" s="58"/>
      <c r="R40" s="466">
        <f>O40/100</f>
        <v>0.89</v>
      </c>
      <c r="S40" s="58"/>
      <c r="T40" s="466">
        <f>D16</f>
        <v>25</v>
      </c>
      <c r="U40" s="467">
        <f>D46</f>
        <v>4402.2727272727261</v>
      </c>
      <c r="V40" s="467">
        <f>D48</f>
        <v>267.45499999999998</v>
      </c>
      <c r="W40" s="467">
        <f>D49</f>
        <v>5.8461805555555557</v>
      </c>
      <c r="X40" s="58"/>
      <c r="Y40" s="58"/>
      <c r="Z40" s="466">
        <f>D23</f>
        <v>11</v>
      </c>
      <c r="AA40" s="468">
        <f>D25</f>
        <v>49</v>
      </c>
      <c r="AB40" s="468">
        <f>D26</f>
        <v>8</v>
      </c>
      <c r="AC40" s="468">
        <f>D27</f>
        <v>3</v>
      </c>
      <c r="AD40" s="468">
        <f>D24</f>
        <v>10</v>
      </c>
    </row>
    <row r="41" spans="2:30" outlineLevel="1">
      <c r="B41" s="376" t="s">
        <v>764</v>
      </c>
      <c r="C41" s="469" t="s">
        <v>36</v>
      </c>
      <c r="D41" s="470" t="s">
        <v>36</v>
      </c>
      <c r="E41" s="470" t="s">
        <v>36</v>
      </c>
      <c r="F41" s="471" t="s">
        <v>36</v>
      </c>
      <c r="G41" s="453"/>
      <c r="H41" s="453"/>
      <c r="I41" s="453"/>
      <c r="J41" s="453"/>
      <c r="K41" s="453"/>
      <c r="L41" s="380"/>
      <c r="M41" s="363"/>
      <c r="N41" s="363"/>
      <c r="O41" s="465">
        <f>E12</f>
        <v>89</v>
      </c>
      <c r="P41" s="466">
        <f>E8</f>
        <v>2040</v>
      </c>
      <c r="Q41" s="58"/>
      <c r="R41" s="466">
        <f>O41/100</f>
        <v>0.89</v>
      </c>
      <c r="S41" s="58"/>
      <c r="T41" s="466">
        <f>E16</f>
        <v>25</v>
      </c>
      <c r="U41" s="467">
        <f>E46</f>
        <v>4199.0909090909081</v>
      </c>
      <c r="V41" s="467">
        <f>E48</f>
        <v>259.26</v>
      </c>
      <c r="W41" s="467">
        <f>E49</f>
        <v>5.8937777777777782</v>
      </c>
      <c r="X41" s="58"/>
      <c r="Y41" s="58"/>
      <c r="Z41" s="466">
        <f>E23</f>
        <v>11</v>
      </c>
      <c r="AA41" s="468">
        <f>E25</f>
        <v>46</v>
      </c>
      <c r="AB41" s="468">
        <f>E26</f>
        <v>6</v>
      </c>
      <c r="AC41" s="468">
        <f>E27</f>
        <v>1</v>
      </c>
      <c r="AD41" s="468">
        <f>E24</f>
        <v>10</v>
      </c>
    </row>
    <row r="42" spans="2:30" ht="14.5" customHeight="1" outlineLevel="1">
      <c r="B42" s="376" t="s">
        <v>765</v>
      </c>
      <c r="C42" s="1232">
        <v>90</v>
      </c>
      <c r="D42" s="1233">
        <v>90</v>
      </c>
      <c r="E42" s="1233">
        <v>90</v>
      </c>
      <c r="F42" s="1234">
        <v>90</v>
      </c>
      <c r="G42" s="474"/>
      <c r="H42" s="474"/>
      <c r="I42" s="474"/>
      <c r="J42" s="474"/>
      <c r="K42" s="474"/>
      <c r="L42" s="380">
        <v>3</v>
      </c>
      <c r="M42" s="363"/>
      <c r="N42" s="363"/>
      <c r="O42" s="465">
        <f>F12</f>
        <v>90</v>
      </c>
      <c r="P42" s="466">
        <f>F8</f>
        <v>2050</v>
      </c>
      <c r="Q42" s="58"/>
      <c r="R42" s="466">
        <f>O42/100</f>
        <v>0.9</v>
      </c>
      <c r="S42" s="58"/>
      <c r="T42" s="466">
        <f>F16</f>
        <v>25</v>
      </c>
      <c r="U42" s="467">
        <f>F46</f>
        <v>3995.9090909090901</v>
      </c>
      <c r="V42" s="467">
        <f>F48</f>
        <v>251.065</v>
      </c>
      <c r="W42" s="467">
        <f>F49</f>
        <v>5.8937777777777782</v>
      </c>
      <c r="X42" s="58"/>
      <c r="Y42" s="58"/>
      <c r="Z42" s="466">
        <f>F23</f>
        <v>11</v>
      </c>
      <c r="AA42" s="468">
        <f>F25</f>
        <v>41</v>
      </c>
      <c r="AB42" s="468">
        <f>F26</f>
        <v>4</v>
      </c>
      <c r="AC42" s="468">
        <f>F27</f>
        <v>1</v>
      </c>
      <c r="AD42" s="468">
        <f>F24</f>
        <v>10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4605.454545454545</v>
      </c>
      <c r="D46" s="483">
        <f t="shared" ref="D46:F46" si="2">D29*$F$4*1000</f>
        <v>4402.2727272727261</v>
      </c>
      <c r="E46" s="483">
        <f t="shared" si="2"/>
        <v>4199.0909090909081</v>
      </c>
      <c r="F46" s="483">
        <f t="shared" si="2"/>
        <v>3995.9090909090901</v>
      </c>
      <c r="G46" s="483"/>
      <c r="H46" s="484"/>
      <c r="I46" s="420" t="s">
        <v>332</v>
      </c>
      <c r="J46" s="420"/>
      <c r="K46" s="484"/>
      <c r="L46" s="484"/>
      <c r="N46" s="420"/>
    </row>
    <row r="47" spans="2:30" outlineLevel="1">
      <c r="B47" s="485" t="s">
        <v>770</v>
      </c>
      <c r="C47" s="486">
        <f>C46*$I47</f>
        <v>2302727.2727272725</v>
      </c>
      <c r="D47" s="486">
        <f>D46*$I47</f>
        <v>2201136.3636363628</v>
      </c>
      <c r="E47" s="486">
        <f>E46*$I47</f>
        <v>2099545.4545454541</v>
      </c>
      <c r="F47" s="486">
        <f>F46*$I47</f>
        <v>1997954.5454545449</v>
      </c>
      <c r="G47" s="486"/>
      <c r="H47" s="484"/>
      <c r="I47" s="71">
        <v>500</v>
      </c>
      <c r="J47" s="420" t="s">
        <v>330</v>
      </c>
      <c r="K47" s="484"/>
      <c r="L47" s="484"/>
      <c r="N47" s="420"/>
    </row>
    <row r="48" spans="2:30" ht="48" outlineLevel="1">
      <c r="B48" s="461" t="s">
        <v>845</v>
      </c>
      <c r="C48" s="359">
        <f>C32*$F$4/1000</f>
        <v>251.065</v>
      </c>
      <c r="D48" s="359">
        <f t="shared" ref="D48:F48" si="3">D32*$F$4/1000</f>
        <v>267.45499999999998</v>
      </c>
      <c r="E48" s="359">
        <f t="shared" si="3"/>
        <v>259.26</v>
      </c>
      <c r="F48" s="359">
        <f t="shared" si="3"/>
        <v>251.065</v>
      </c>
      <c r="G48" s="359"/>
      <c r="I48" s="420" t="s">
        <v>333</v>
      </c>
      <c r="J48" s="420"/>
      <c r="N48" s="420"/>
    </row>
    <row r="49" spans="2:14" ht="48" outlineLevel="1">
      <c r="B49" s="461" t="s">
        <v>846</v>
      </c>
      <c r="C49" s="487">
        <f>C33*$F$4/3.6</f>
        <v>5.7509861111111107</v>
      </c>
      <c r="D49" s="487">
        <f t="shared" ref="D49:F49" si="4">D33*$F$4/3.6</f>
        <v>5.8461805555555557</v>
      </c>
      <c r="E49" s="487">
        <f t="shared" si="4"/>
        <v>5.8937777777777782</v>
      </c>
      <c r="F49" s="487">
        <f t="shared" si="4"/>
        <v>5.8937777777777782</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D55" s="358"/>
      <c r="E55" s="358"/>
      <c r="F55" s="358"/>
      <c r="G55" s="358"/>
      <c r="H55" s="358"/>
      <c r="I55" s="358"/>
      <c r="J55" s="358"/>
      <c r="K55" s="358"/>
      <c r="L55" s="358"/>
    </row>
    <row r="56" spans="2:14" outlineLevel="1">
      <c r="B56" s="491">
        <v>1</v>
      </c>
      <c r="C56" s="492" t="s">
        <v>774</v>
      </c>
      <c r="D56" s="490"/>
      <c r="F56" s="358"/>
      <c r="G56" s="358"/>
      <c r="H56" s="358"/>
      <c r="I56" s="358"/>
      <c r="J56" s="358"/>
      <c r="K56" s="358"/>
      <c r="L56" s="358"/>
    </row>
    <row r="57" spans="2:14" outlineLevel="1">
      <c r="B57" s="491">
        <v>2</v>
      </c>
      <c r="C57" s="493" t="s">
        <v>775</v>
      </c>
      <c r="D57" s="490"/>
      <c r="F57" s="358"/>
      <c r="G57" s="358"/>
      <c r="H57" s="358"/>
      <c r="I57" s="358"/>
      <c r="J57" s="358"/>
      <c r="K57" s="358"/>
      <c r="L57" s="358"/>
    </row>
    <row r="58" spans="2:14" outlineLevel="1">
      <c r="B58" s="491">
        <v>3</v>
      </c>
      <c r="C58" s="493" t="s">
        <v>776</v>
      </c>
      <c r="D58" s="490"/>
      <c r="F58" s="358"/>
      <c r="G58" s="358"/>
      <c r="H58" s="358"/>
      <c r="I58" s="358"/>
      <c r="J58" s="358"/>
      <c r="K58" s="358"/>
      <c r="L58" s="358"/>
    </row>
    <row r="59" spans="2:14" outlineLevel="1">
      <c r="B59" s="491">
        <v>4</v>
      </c>
      <c r="C59" s="493" t="s">
        <v>777</v>
      </c>
      <c r="D59" s="490"/>
      <c r="F59" s="358"/>
      <c r="G59" s="358"/>
      <c r="H59" s="358"/>
      <c r="I59" s="358"/>
      <c r="J59" s="358"/>
      <c r="K59" s="358"/>
      <c r="L59" s="358"/>
    </row>
    <row r="60" spans="2:14" outlineLevel="1">
      <c r="B60" s="358">
        <v>5</v>
      </c>
      <c r="C60" s="494" t="s">
        <v>778</v>
      </c>
      <c r="D60" s="490"/>
      <c r="F60" s="358"/>
      <c r="G60" s="358"/>
      <c r="H60" s="358"/>
      <c r="I60" s="358"/>
      <c r="J60" s="358"/>
      <c r="K60" s="358"/>
      <c r="L60" s="358"/>
    </row>
    <row r="61" spans="2:14" outlineLevel="1">
      <c r="B61" s="358">
        <v>6</v>
      </c>
      <c r="C61" s="492" t="s">
        <v>779</v>
      </c>
      <c r="D61" s="490"/>
      <c r="F61" s="358"/>
      <c r="G61" s="358"/>
      <c r="H61" s="358"/>
      <c r="I61" s="358"/>
      <c r="J61" s="358"/>
      <c r="K61" s="358"/>
      <c r="L61" s="358"/>
    </row>
    <row r="62" spans="2:14" outlineLevel="1">
      <c r="B62" s="358">
        <v>7</v>
      </c>
      <c r="C62" s="495" t="s">
        <v>774</v>
      </c>
      <c r="D62" s="490"/>
      <c r="F62" s="358"/>
      <c r="G62" s="358"/>
      <c r="H62" s="358"/>
      <c r="I62" s="358"/>
      <c r="J62" s="358"/>
      <c r="K62" s="358"/>
      <c r="L62" s="358"/>
    </row>
    <row r="63" spans="2:14" outlineLevel="1">
      <c r="B63" s="358">
        <v>8</v>
      </c>
      <c r="C63" s="495" t="s">
        <v>780</v>
      </c>
      <c r="D63" s="490"/>
      <c r="F63" s="358"/>
      <c r="G63" s="358"/>
      <c r="H63" s="358"/>
      <c r="I63" s="358"/>
      <c r="J63" s="358"/>
      <c r="K63" s="358"/>
      <c r="L63" s="358"/>
    </row>
    <row r="64" spans="2:14" outlineLevel="1">
      <c r="B64" s="358">
        <v>9</v>
      </c>
      <c r="C64" s="489" t="s">
        <v>781</v>
      </c>
      <c r="D64" s="490"/>
      <c r="F64" s="358"/>
      <c r="G64" s="358"/>
      <c r="H64" s="358"/>
      <c r="I64" s="358"/>
      <c r="J64" s="358"/>
      <c r="K64" s="358"/>
      <c r="L64" s="358"/>
    </row>
    <row r="65" spans="2:12" outlineLevel="1">
      <c r="B65" s="358">
        <v>10</v>
      </c>
      <c r="C65" s="490" t="s">
        <v>782</v>
      </c>
      <c r="D65" s="358"/>
      <c r="F65" s="358"/>
      <c r="G65" s="358"/>
      <c r="H65" s="358"/>
      <c r="I65" s="358"/>
      <c r="J65" s="358"/>
      <c r="K65" s="358"/>
      <c r="L65" s="358"/>
    </row>
    <row r="66" spans="2:12" outlineLevel="1">
      <c r="B66" s="488" t="s">
        <v>783</v>
      </c>
      <c r="C66" s="489"/>
      <c r="F66" s="358"/>
      <c r="G66" s="358"/>
      <c r="H66" s="358"/>
      <c r="I66" s="358"/>
      <c r="J66" s="358"/>
      <c r="K66" s="358"/>
      <c r="L66" s="358"/>
    </row>
    <row r="67" spans="2:12" outlineLevel="1">
      <c r="B67" s="496" t="s">
        <v>6</v>
      </c>
      <c r="C67" s="497" t="s">
        <v>975</v>
      </c>
      <c r="D67" s="358"/>
      <c r="F67" s="358"/>
      <c r="G67" s="358"/>
      <c r="H67" s="358"/>
      <c r="I67" s="358"/>
      <c r="J67" s="358"/>
      <c r="K67" s="358"/>
      <c r="L67" s="358"/>
    </row>
    <row r="68" spans="2:12" outlineLevel="1">
      <c r="B68" s="496" t="s">
        <v>59</v>
      </c>
      <c r="C68" s="489" t="s">
        <v>785</v>
      </c>
      <c r="D68" s="358"/>
      <c r="F68" s="358"/>
      <c r="G68" s="358"/>
      <c r="H68" s="358"/>
      <c r="I68" s="358"/>
      <c r="J68" s="358"/>
      <c r="K68" s="358"/>
      <c r="L68" s="358"/>
    </row>
    <row r="69" spans="2:12" outlineLevel="1">
      <c r="B69" s="496" t="s">
        <v>16</v>
      </c>
      <c r="C69" s="489" t="s">
        <v>976</v>
      </c>
      <c r="F69" s="358"/>
      <c r="G69" s="358"/>
      <c r="H69" s="358"/>
      <c r="I69" s="358"/>
      <c r="J69" s="358"/>
      <c r="K69" s="358"/>
      <c r="L69" s="358"/>
    </row>
    <row r="70" spans="2:12" outlineLevel="1">
      <c r="B70" s="496" t="s">
        <v>20</v>
      </c>
      <c r="C70" s="489" t="s">
        <v>977</v>
      </c>
      <c r="G70" s="358"/>
      <c r="H70" s="358"/>
      <c r="I70" s="358"/>
      <c r="J70" s="358"/>
      <c r="K70" s="358"/>
      <c r="L70" s="358"/>
    </row>
    <row r="71" spans="2:12" outlineLevel="1">
      <c r="B71" s="496" t="s">
        <v>76</v>
      </c>
      <c r="C71" s="489" t="s">
        <v>786</v>
      </c>
      <c r="G71" s="358"/>
      <c r="H71" s="358"/>
      <c r="I71" s="358"/>
      <c r="J71" s="358"/>
      <c r="K71" s="358"/>
      <c r="L71" s="358"/>
    </row>
    <row r="72" spans="2:12" outlineLevel="1">
      <c r="B72" s="496" t="s">
        <v>25</v>
      </c>
      <c r="C72" s="489" t="s">
        <v>978</v>
      </c>
      <c r="G72" s="358"/>
      <c r="H72" s="358"/>
      <c r="I72" s="358"/>
      <c r="J72" s="358"/>
      <c r="K72" s="358"/>
      <c r="L72" s="358"/>
    </row>
    <row r="73" spans="2:12" outlineLevel="1">
      <c r="B73" s="496" t="s">
        <v>33</v>
      </c>
      <c r="C73" s="489" t="s">
        <v>979</v>
      </c>
      <c r="G73" s="358"/>
      <c r="H73" s="358"/>
      <c r="I73" s="358"/>
      <c r="J73" s="358"/>
      <c r="K73" s="358"/>
      <c r="L73" s="358"/>
    </row>
    <row r="74" spans="2:12" outlineLevel="1">
      <c r="B74" s="496" t="s">
        <v>51</v>
      </c>
      <c r="C74" s="489" t="s">
        <v>787</v>
      </c>
      <c r="G74" s="358"/>
      <c r="H74" s="358"/>
      <c r="I74" s="358"/>
      <c r="J74" s="358"/>
      <c r="K74" s="358"/>
      <c r="L74" s="358"/>
    </row>
    <row r="75" spans="2:12" outlineLevel="1">
      <c r="B75" s="496" t="s">
        <v>52</v>
      </c>
      <c r="C75" s="489" t="s">
        <v>980</v>
      </c>
      <c r="G75" s="358"/>
      <c r="H75" s="358"/>
      <c r="I75" s="358"/>
      <c r="J75" s="358"/>
      <c r="K75" s="358"/>
      <c r="L75" s="358"/>
    </row>
    <row r="76" spans="2:12" outlineLevel="1">
      <c r="B76" s="496" t="s">
        <v>55</v>
      </c>
      <c r="C76" s="498" t="s">
        <v>788</v>
      </c>
      <c r="G76" s="358"/>
      <c r="H76" s="358"/>
      <c r="I76" s="358"/>
      <c r="J76" s="358"/>
      <c r="K76" s="358"/>
      <c r="L76" s="358"/>
    </row>
    <row r="77" spans="2:12" outlineLevel="1">
      <c r="B77" s="496" t="s">
        <v>49</v>
      </c>
      <c r="C77" s="489" t="s">
        <v>789</v>
      </c>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Steam boiler, Wood chips (Condensing)</v>
      </c>
    </row>
    <row r="84" spans="1:44">
      <c r="A84" s="360" t="s">
        <v>994</v>
      </c>
      <c r="B84" s="1134"/>
      <c r="C84" s="1135"/>
      <c r="D84" s="1135"/>
      <c r="E84" s="1135"/>
      <c r="F84" s="1135"/>
      <c r="G84" s="1135"/>
      <c r="H84" s="1135"/>
      <c r="I84" s="1135"/>
      <c r="J84" s="1135"/>
      <c r="K84" s="1135"/>
      <c r="L84" s="1135"/>
      <c r="M84" s="1135"/>
      <c r="N84" s="361"/>
      <c r="P84" s="1135"/>
      <c r="Q84" s="1135"/>
      <c r="R84" s="1135"/>
      <c r="S84" s="1135"/>
      <c r="T84" s="1135"/>
      <c r="U84" s="1135"/>
    </row>
    <row r="85" spans="1:44" ht="16" outlineLevel="1" thickBot="1">
      <c r="B85" s="1134"/>
      <c r="C85" s="1135"/>
      <c r="D85" s="1135"/>
      <c r="E85" s="1135"/>
      <c r="F85" s="1135"/>
      <c r="G85" s="1135"/>
      <c r="H85" s="1135"/>
      <c r="I85" s="1135"/>
      <c r="J85" s="1135"/>
      <c r="K85" s="1135"/>
      <c r="L85" s="1135"/>
      <c r="M85" s="1135"/>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176" t="s">
        <v>981</v>
      </c>
      <c r="D86" s="1177"/>
      <c r="E86" s="1177"/>
      <c r="F86" s="1177"/>
      <c r="G86" s="1177"/>
      <c r="H86" s="1177"/>
      <c r="I86" s="1177"/>
      <c r="J86" s="1177"/>
      <c r="K86" s="1177"/>
      <c r="L86" s="1178"/>
      <c r="M86" s="363"/>
      <c r="N86" s="363"/>
      <c r="P86" s="364" t="s">
        <v>713</v>
      </c>
      <c r="Q86" s="365"/>
      <c r="R86" s="366"/>
      <c r="S86" s="1143" t="s">
        <v>714</v>
      </c>
      <c r="T86" s="1147" t="s">
        <v>715</v>
      </c>
      <c r="U86" s="1148"/>
      <c r="V86" s="1147" t="s">
        <v>716</v>
      </c>
      <c r="W86" s="1148"/>
      <c r="X86" s="1147" t="s">
        <v>717</v>
      </c>
      <c r="Y86" s="1148"/>
      <c r="Z86" s="1147" t="s">
        <v>718</v>
      </c>
      <c r="AA86" s="1148"/>
      <c r="AB86" s="1147" t="s">
        <v>719</v>
      </c>
      <c r="AC86" s="1148"/>
      <c r="AE86" s="364" t="s">
        <v>720</v>
      </c>
      <c r="AF86" s="365"/>
      <c r="AG86" s="366"/>
      <c r="AH86" s="1143" t="s">
        <v>714</v>
      </c>
      <c r="AI86" s="1147" t="s">
        <v>715</v>
      </c>
      <c r="AJ86" s="1148"/>
      <c r="AK86" s="1147" t="s">
        <v>716</v>
      </c>
      <c r="AL86" s="1148"/>
      <c r="AM86" s="1147" t="s">
        <v>717</v>
      </c>
      <c r="AN86" s="1148"/>
      <c r="AO86" s="1147" t="s">
        <v>718</v>
      </c>
      <c r="AP86" s="1148"/>
      <c r="AQ86" s="1147" t="s">
        <v>719</v>
      </c>
      <c r="AR86" s="1148"/>
    </row>
    <row r="87" spans="1:44" ht="15" customHeight="1" outlineLevel="1" thickBot="1">
      <c r="B87" s="1168" t="s">
        <v>4</v>
      </c>
      <c r="C87" s="1170">
        <v>2020</v>
      </c>
      <c r="D87" s="1170">
        <v>2030</v>
      </c>
      <c r="E87" s="1170">
        <v>2040</v>
      </c>
      <c r="F87" s="1170">
        <v>2050</v>
      </c>
      <c r="G87" s="1172" t="s">
        <v>721</v>
      </c>
      <c r="H87" s="1173"/>
      <c r="I87" s="1172" t="s">
        <v>648</v>
      </c>
      <c r="J87" s="1173"/>
      <c r="K87" s="1174" t="s">
        <v>2</v>
      </c>
      <c r="L87" s="1174" t="s">
        <v>3</v>
      </c>
      <c r="M87" s="367"/>
      <c r="N87" s="367"/>
      <c r="P87" s="1151" t="s">
        <v>0</v>
      </c>
      <c r="Q87" s="368"/>
      <c r="R87" s="368"/>
      <c r="S87" s="1144"/>
      <c r="T87" s="1149"/>
      <c r="U87" s="1150"/>
      <c r="V87" s="1149"/>
      <c r="W87" s="1150"/>
      <c r="X87" s="1149"/>
      <c r="Y87" s="1150"/>
      <c r="Z87" s="1149"/>
      <c r="AA87" s="1150"/>
      <c r="AB87" s="1149"/>
      <c r="AC87" s="1150"/>
      <c r="AE87" s="1151" t="s">
        <v>0</v>
      </c>
      <c r="AF87" s="368"/>
      <c r="AG87" s="368"/>
      <c r="AH87" s="1144"/>
      <c r="AI87" s="1149"/>
      <c r="AJ87" s="1150"/>
      <c r="AK87" s="1149"/>
      <c r="AL87" s="1150"/>
      <c r="AM87" s="1149"/>
      <c r="AN87" s="1150"/>
      <c r="AO87" s="1149"/>
      <c r="AP87" s="1150"/>
      <c r="AQ87" s="1149"/>
      <c r="AR87" s="1150"/>
    </row>
    <row r="88" spans="1:44" ht="15" customHeight="1" outlineLevel="1" thickBot="1">
      <c r="B88" s="1169"/>
      <c r="C88" s="1171"/>
      <c r="D88" s="1171"/>
      <c r="E88" s="1171"/>
      <c r="F88" s="1171"/>
      <c r="G88" s="499" t="s">
        <v>649</v>
      </c>
      <c r="H88" s="499" t="s">
        <v>650</v>
      </c>
      <c r="I88" s="499" t="s">
        <v>649</v>
      </c>
      <c r="J88" s="499" t="s">
        <v>650</v>
      </c>
      <c r="K88" s="1175"/>
      <c r="L88" s="1175"/>
      <c r="M88" s="370"/>
      <c r="N88" s="370"/>
      <c r="P88" s="1152"/>
      <c r="Q88" s="1154" t="s">
        <v>722</v>
      </c>
      <c r="R88" s="1155" t="s">
        <v>723</v>
      </c>
      <c r="S88" s="1145"/>
      <c r="T88" s="1149"/>
      <c r="U88" s="1150"/>
      <c r="V88" s="1149"/>
      <c r="W88" s="1150"/>
      <c r="X88" s="1149"/>
      <c r="Y88" s="1150"/>
      <c r="Z88" s="1149"/>
      <c r="AA88" s="1150"/>
      <c r="AB88" s="1149"/>
      <c r="AC88" s="1150"/>
      <c r="AE88" s="1152"/>
      <c r="AF88" s="1198" t="s">
        <v>722</v>
      </c>
      <c r="AG88" s="1155" t="s">
        <v>723</v>
      </c>
      <c r="AH88" s="1145"/>
      <c r="AI88" s="1149"/>
      <c r="AJ88" s="1150"/>
      <c r="AK88" s="1149"/>
      <c r="AL88" s="1150"/>
      <c r="AM88" s="1149"/>
      <c r="AN88" s="1150"/>
      <c r="AO88" s="1149"/>
      <c r="AP88" s="1150"/>
      <c r="AQ88" s="1149"/>
      <c r="AR88" s="1150"/>
    </row>
    <row r="89" spans="1:44" ht="33"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53"/>
      <c r="Q89" s="1146"/>
      <c r="R89" s="1156"/>
      <c r="S89" s="1146"/>
      <c r="T89" s="374" t="s">
        <v>726</v>
      </c>
      <c r="U89" s="375" t="s">
        <v>727</v>
      </c>
      <c r="V89" s="374" t="s">
        <v>726</v>
      </c>
      <c r="W89" s="375" t="s">
        <v>727</v>
      </c>
      <c r="X89" s="374" t="s">
        <v>726</v>
      </c>
      <c r="Y89" s="375" t="s">
        <v>727</v>
      </c>
      <c r="Z89" s="374" t="s">
        <v>726</v>
      </c>
      <c r="AA89" s="375" t="s">
        <v>727</v>
      </c>
      <c r="AB89" s="374" t="s">
        <v>726</v>
      </c>
      <c r="AC89" s="375" t="s">
        <v>727</v>
      </c>
      <c r="AE89" s="1153"/>
      <c r="AF89" s="1199"/>
      <c r="AG89" s="1156"/>
      <c r="AH89" s="1146"/>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116.18960947726835</v>
      </c>
      <c r="D90" s="668">
        <v>116.18960947726835</v>
      </c>
      <c r="E90" s="669">
        <v>116.18960947726835</v>
      </c>
      <c r="F90" s="668">
        <v>116.18960947726835</v>
      </c>
      <c r="G90" s="501">
        <v>88</v>
      </c>
      <c r="H90" s="501">
        <v>117</v>
      </c>
      <c r="I90" s="501">
        <v>88</v>
      </c>
      <c r="J90" s="501">
        <v>117</v>
      </c>
      <c r="K90" s="503" t="s">
        <v>982</v>
      </c>
      <c r="L90" s="504">
        <v>11</v>
      </c>
      <c r="M90" s="370"/>
      <c r="N90" s="370"/>
      <c r="P90" s="1200" t="str">
        <f>C86</f>
        <v>Steam boiler, Wood chips (Condensing)</v>
      </c>
      <c r="Q90" s="1188" t="s">
        <v>730</v>
      </c>
      <c r="R90" s="381" t="s">
        <v>731</v>
      </c>
      <c r="S90" s="382"/>
      <c r="T90" s="1191">
        <v>0</v>
      </c>
      <c r="U90" s="1179">
        <v>0</v>
      </c>
      <c r="V90" s="1182">
        <v>0</v>
      </c>
      <c r="W90" s="1179">
        <v>0</v>
      </c>
      <c r="X90" s="1182">
        <v>0</v>
      </c>
      <c r="Y90" s="1179">
        <v>0</v>
      </c>
      <c r="Z90" s="1182">
        <v>0</v>
      </c>
      <c r="AA90" s="1179">
        <v>0</v>
      </c>
      <c r="AB90" s="1182">
        <v>0</v>
      </c>
      <c r="AC90" s="1179">
        <v>0</v>
      </c>
      <c r="AE90" s="1185" t="str">
        <f>P90</f>
        <v>Steam boiler, Wood chips (Condensing)</v>
      </c>
      <c r="AF90" s="1188" t="s">
        <v>730</v>
      </c>
      <c r="AG90" s="381" t="s">
        <v>731</v>
      </c>
      <c r="AH90" s="382"/>
      <c r="AI90" s="1191">
        <v>0</v>
      </c>
      <c r="AJ90" s="1179">
        <v>0</v>
      </c>
      <c r="AK90" s="1182">
        <v>0</v>
      </c>
      <c r="AL90" s="1179">
        <v>0</v>
      </c>
      <c r="AM90" s="1182">
        <v>0</v>
      </c>
      <c r="AN90" s="1179">
        <v>0</v>
      </c>
      <c r="AO90" s="1182">
        <v>0</v>
      </c>
      <c r="AP90" s="1179">
        <v>0</v>
      </c>
      <c r="AQ90" s="1182">
        <v>0</v>
      </c>
      <c r="AR90" s="1179">
        <v>0</v>
      </c>
    </row>
    <row r="91" spans="1:44" outlineLevel="1">
      <c r="B91" s="383" t="s">
        <v>732</v>
      </c>
      <c r="C91" s="577">
        <v>116.18960947726835</v>
      </c>
      <c r="D91" s="577">
        <v>116.18960947726835</v>
      </c>
      <c r="E91" s="577">
        <v>116.18960947726835</v>
      </c>
      <c r="F91" s="577">
        <v>116.18960947726835</v>
      </c>
      <c r="G91" s="505">
        <v>88</v>
      </c>
      <c r="H91" s="505">
        <v>117</v>
      </c>
      <c r="I91" s="505">
        <v>88</v>
      </c>
      <c r="J91" s="505">
        <v>117</v>
      </c>
      <c r="K91" s="372" t="s">
        <v>982</v>
      </c>
      <c r="L91" s="373">
        <v>11</v>
      </c>
      <c r="M91" s="370"/>
      <c r="N91" s="370"/>
      <c r="O91" s="71"/>
      <c r="P91" s="1186"/>
      <c r="Q91" s="1189"/>
      <c r="R91" s="388" t="s">
        <v>733</v>
      </c>
      <c r="S91" s="389"/>
      <c r="T91" s="1192"/>
      <c r="U91" s="1180"/>
      <c r="V91" s="1183"/>
      <c r="W91" s="1180"/>
      <c r="X91" s="1183"/>
      <c r="Y91" s="1180"/>
      <c r="Z91" s="1183"/>
      <c r="AA91" s="1180"/>
      <c r="AB91" s="1183"/>
      <c r="AC91" s="1180"/>
      <c r="AE91" s="1186"/>
      <c r="AF91" s="1189"/>
      <c r="AG91" s="388" t="s">
        <v>733</v>
      </c>
      <c r="AH91" s="389"/>
      <c r="AI91" s="1192"/>
      <c r="AJ91" s="1180"/>
      <c r="AK91" s="1183"/>
      <c r="AL91" s="1180"/>
      <c r="AM91" s="1183"/>
      <c r="AN91" s="1180"/>
      <c r="AO91" s="1183"/>
      <c r="AP91" s="1180"/>
      <c r="AQ91" s="1183"/>
      <c r="AR91" s="1180"/>
    </row>
    <row r="92" spans="1:44" ht="16" outlineLevel="1" thickBot="1">
      <c r="B92" s="500" t="s">
        <v>734</v>
      </c>
      <c r="C92" s="506">
        <v>2.2999999999999998</v>
      </c>
      <c r="D92" s="507">
        <v>2.2999999999999998</v>
      </c>
      <c r="E92" s="507">
        <v>2.2999999999999998</v>
      </c>
      <c r="F92" s="508">
        <v>2.2999999999999998</v>
      </c>
      <c r="G92" s="507">
        <v>2.2000000000000002</v>
      </c>
      <c r="H92" s="507">
        <v>2.5</v>
      </c>
      <c r="I92" s="507">
        <v>1.8</v>
      </c>
      <c r="J92" s="507">
        <v>2.5</v>
      </c>
      <c r="K92" s="503" t="s">
        <v>59</v>
      </c>
      <c r="L92" s="504">
        <v>3</v>
      </c>
      <c r="M92" s="370"/>
      <c r="N92" s="370"/>
      <c r="O92" s="71"/>
      <c r="P92" s="1186"/>
      <c r="Q92" s="1190"/>
      <c r="R92" s="393" t="s">
        <v>735</v>
      </c>
      <c r="S92" s="394"/>
      <c r="T92" s="1193"/>
      <c r="U92" s="1181"/>
      <c r="V92" s="1184"/>
      <c r="W92" s="1181"/>
      <c r="X92" s="1184"/>
      <c r="Y92" s="1181"/>
      <c r="Z92" s="1184"/>
      <c r="AA92" s="1181"/>
      <c r="AB92" s="1184"/>
      <c r="AC92" s="1181"/>
      <c r="AE92" s="1186"/>
      <c r="AF92" s="1190"/>
      <c r="AG92" s="393" t="s">
        <v>735</v>
      </c>
      <c r="AH92" s="394"/>
      <c r="AI92" s="1193"/>
      <c r="AJ92" s="1181"/>
      <c r="AK92" s="1184"/>
      <c r="AL92" s="1181"/>
      <c r="AM92" s="1184"/>
      <c r="AN92" s="1181"/>
      <c r="AO92" s="1184"/>
      <c r="AP92" s="1181"/>
      <c r="AQ92" s="1184"/>
      <c r="AR92" s="1181"/>
    </row>
    <row r="93" spans="1:44" ht="15" customHeight="1" outlineLevel="1">
      <c r="B93" s="500" t="s">
        <v>657</v>
      </c>
      <c r="C93" s="687">
        <v>3</v>
      </c>
      <c r="D93" s="687">
        <v>3</v>
      </c>
      <c r="E93" s="687">
        <v>3</v>
      </c>
      <c r="F93" s="687">
        <v>3</v>
      </c>
      <c r="G93" s="687">
        <v>3</v>
      </c>
      <c r="H93" s="687">
        <v>3</v>
      </c>
      <c r="I93" s="687">
        <v>3</v>
      </c>
      <c r="J93" s="687">
        <v>3</v>
      </c>
      <c r="K93" s="503" t="s">
        <v>16</v>
      </c>
      <c r="L93" s="504">
        <v>3</v>
      </c>
      <c r="M93" s="370"/>
      <c r="N93" s="370"/>
      <c r="O93" s="71"/>
      <c r="P93" s="1186"/>
      <c r="Q93" s="1188" t="s">
        <v>736</v>
      </c>
      <c r="R93" s="395" t="s">
        <v>737</v>
      </c>
      <c r="S93" s="396" t="s">
        <v>738</v>
      </c>
      <c r="T93" s="1191">
        <v>0</v>
      </c>
      <c r="U93" s="1191">
        <v>0.21</v>
      </c>
      <c r="V93" s="1191">
        <v>0</v>
      </c>
      <c r="W93" s="1191">
        <v>0</v>
      </c>
      <c r="X93" s="1191">
        <v>0</v>
      </c>
      <c r="Y93" s="1191">
        <v>0</v>
      </c>
      <c r="Z93" s="1191">
        <v>0</v>
      </c>
      <c r="AA93" s="1191">
        <v>0.09</v>
      </c>
      <c r="AB93" s="1191">
        <v>0</v>
      </c>
      <c r="AC93" s="1179">
        <v>0</v>
      </c>
      <c r="AE93" s="1186"/>
      <c r="AF93" s="1188" t="s">
        <v>736</v>
      </c>
      <c r="AG93" s="395" t="s">
        <v>737</v>
      </c>
      <c r="AH93" s="396" t="s">
        <v>738</v>
      </c>
      <c r="AI93" s="1191">
        <v>0</v>
      </c>
      <c r="AJ93" s="1191">
        <v>0.21</v>
      </c>
      <c r="AK93" s="1191">
        <v>0</v>
      </c>
      <c r="AL93" s="1191">
        <v>0</v>
      </c>
      <c r="AM93" s="1191">
        <v>0</v>
      </c>
      <c r="AN93" s="1191">
        <v>0</v>
      </c>
      <c r="AO93" s="1191">
        <v>0</v>
      </c>
      <c r="AP93" s="1191">
        <v>0.09</v>
      </c>
      <c r="AQ93" s="1191">
        <v>0</v>
      </c>
      <c r="AR93" s="1179">
        <v>0</v>
      </c>
    </row>
    <row r="94" spans="1:44" outlineLevel="1">
      <c r="B94" s="500" t="s">
        <v>658</v>
      </c>
      <c r="C94" s="506">
        <v>3</v>
      </c>
      <c r="D94" s="506">
        <v>3</v>
      </c>
      <c r="E94" s="506">
        <v>3</v>
      </c>
      <c r="F94" s="506">
        <v>3</v>
      </c>
      <c r="G94" s="506">
        <v>2.6</v>
      </c>
      <c r="H94" s="506">
        <v>3.5</v>
      </c>
      <c r="I94" s="506">
        <v>2.2999999999999998</v>
      </c>
      <c r="J94" s="506">
        <v>3.8</v>
      </c>
      <c r="K94" s="503" t="s">
        <v>16</v>
      </c>
      <c r="L94" s="504">
        <v>3</v>
      </c>
      <c r="M94" s="367"/>
      <c r="N94" s="367"/>
      <c r="O94" s="71"/>
      <c r="P94" s="1186"/>
      <c r="Q94" s="1189"/>
      <c r="R94" s="395" t="s">
        <v>739</v>
      </c>
      <c r="S94" s="396" t="s">
        <v>738</v>
      </c>
      <c r="T94" s="1194"/>
      <c r="U94" s="1194"/>
      <c r="V94" s="1194"/>
      <c r="W94" s="1194"/>
      <c r="X94" s="1194"/>
      <c r="Y94" s="1194"/>
      <c r="Z94" s="1194"/>
      <c r="AA94" s="1194"/>
      <c r="AB94" s="1194"/>
      <c r="AC94" s="1196"/>
      <c r="AE94" s="1186"/>
      <c r="AF94" s="1189"/>
      <c r="AG94" s="395" t="s">
        <v>739</v>
      </c>
      <c r="AH94" s="396" t="s">
        <v>738</v>
      </c>
      <c r="AI94" s="1194"/>
      <c r="AJ94" s="1194"/>
      <c r="AK94" s="1194"/>
      <c r="AL94" s="1194"/>
      <c r="AM94" s="1194"/>
      <c r="AN94" s="1194"/>
      <c r="AO94" s="1194"/>
      <c r="AP94" s="1194"/>
      <c r="AQ94" s="1194"/>
      <c r="AR94" s="1196"/>
    </row>
    <row r="95" spans="1:44" outlineLevel="1">
      <c r="B95" s="383" t="s">
        <v>11</v>
      </c>
      <c r="C95" s="397">
        <v>25</v>
      </c>
      <c r="D95" s="397">
        <v>25</v>
      </c>
      <c r="E95" s="397">
        <v>25</v>
      </c>
      <c r="F95" s="397">
        <v>25</v>
      </c>
      <c r="G95" s="399">
        <v>20</v>
      </c>
      <c r="H95" s="399">
        <v>35</v>
      </c>
      <c r="I95" s="399">
        <v>20</v>
      </c>
      <c r="J95" s="399">
        <v>35</v>
      </c>
      <c r="K95" s="372"/>
      <c r="L95" s="373" t="s">
        <v>740</v>
      </c>
      <c r="M95" s="363"/>
      <c r="N95" s="363"/>
      <c r="P95" s="1186"/>
      <c r="Q95" s="1189"/>
      <c r="R95" s="395" t="s">
        <v>741</v>
      </c>
      <c r="S95" s="396" t="s">
        <v>738</v>
      </c>
      <c r="T95" s="1194"/>
      <c r="U95" s="1194"/>
      <c r="V95" s="1194"/>
      <c r="W95" s="1194"/>
      <c r="X95" s="1194"/>
      <c r="Y95" s="1194"/>
      <c r="Z95" s="1194"/>
      <c r="AA95" s="1194"/>
      <c r="AB95" s="1194"/>
      <c r="AC95" s="1196"/>
      <c r="AE95" s="1186"/>
      <c r="AF95" s="1189"/>
      <c r="AG95" s="395" t="s">
        <v>741</v>
      </c>
      <c r="AH95" s="629" t="s">
        <v>738</v>
      </c>
      <c r="AI95" s="1194"/>
      <c r="AJ95" s="1194"/>
      <c r="AK95" s="1194"/>
      <c r="AL95" s="1194"/>
      <c r="AM95" s="1194"/>
      <c r="AN95" s="1194"/>
      <c r="AO95" s="1194"/>
      <c r="AP95" s="1194"/>
      <c r="AQ95" s="1194"/>
      <c r="AR95" s="1196"/>
    </row>
    <row r="96" spans="1:44" ht="16" outlineLevel="1" thickBot="1">
      <c r="B96" s="500" t="s">
        <v>273</v>
      </c>
      <c r="C96" s="506">
        <v>1</v>
      </c>
      <c r="D96" s="506">
        <v>1</v>
      </c>
      <c r="E96" s="506">
        <v>1</v>
      </c>
      <c r="F96" s="506">
        <v>1</v>
      </c>
      <c r="G96" s="506">
        <v>0.5</v>
      </c>
      <c r="H96" s="506">
        <v>1.5</v>
      </c>
      <c r="I96" s="506">
        <v>0.5</v>
      </c>
      <c r="J96" s="506">
        <v>1.5</v>
      </c>
      <c r="K96" s="372"/>
      <c r="L96" s="400"/>
      <c r="M96" s="363"/>
      <c r="N96" s="363"/>
      <c r="P96" s="1186"/>
      <c r="Q96" s="1189"/>
      <c r="R96" s="395" t="s">
        <v>742</v>
      </c>
      <c r="S96" s="396" t="s">
        <v>738</v>
      </c>
      <c r="T96" s="1194"/>
      <c r="U96" s="1194"/>
      <c r="V96" s="1194"/>
      <c r="W96" s="1194"/>
      <c r="X96" s="1194"/>
      <c r="Y96" s="1194"/>
      <c r="Z96" s="1194"/>
      <c r="AA96" s="1194"/>
      <c r="AB96" s="1194"/>
      <c r="AC96" s="1196"/>
      <c r="AE96" s="1186"/>
      <c r="AF96" s="1189"/>
      <c r="AG96" s="395" t="s">
        <v>742</v>
      </c>
      <c r="AH96" s="396" t="s">
        <v>738</v>
      </c>
      <c r="AI96" s="1194"/>
      <c r="AJ96" s="1194"/>
      <c r="AK96" s="1194"/>
      <c r="AL96" s="1194"/>
      <c r="AM96" s="1194"/>
      <c r="AN96" s="1194"/>
      <c r="AO96" s="1194"/>
      <c r="AP96" s="1194"/>
      <c r="AQ96" s="1194"/>
      <c r="AR96" s="1196"/>
    </row>
    <row r="97" spans="1:44" ht="16" outlineLevel="1" thickBot="1">
      <c r="B97" s="401" t="s">
        <v>743</v>
      </c>
      <c r="C97" s="402"/>
      <c r="D97" s="403"/>
      <c r="E97" s="404"/>
      <c r="F97" s="405"/>
      <c r="G97" s="406"/>
      <c r="H97" s="406"/>
      <c r="I97" s="406"/>
      <c r="J97" s="406"/>
      <c r="K97" s="407"/>
      <c r="L97" s="408"/>
      <c r="M97" s="363"/>
      <c r="N97" s="363"/>
      <c r="P97" s="1186"/>
      <c r="Q97" s="1190"/>
      <c r="R97" s="409" t="s">
        <v>863</v>
      </c>
      <c r="S97" s="410" t="s">
        <v>738</v>
      </c>
      <c r="T97" s="1195"/>
      <c r="U97" s="1195"/>
      <c r="V97" s="1195"/>
      <c r="W97" s="1195"/>
      <c r="X97" s="1195"/>
      <c r="Y97" s="1195"/>
      <c r="Z97" s="1195"/>
      <c r="AA97" s="1195"/>
      <c r="AB97" s="1195"/>
      <c r="AC97" s="1197"/>
      <c r="AE97" s="1186"/>
      <c r="AF97" s="1190"/>
      <c r="AG97" s="409" t="s">
        <v>863</v>
      </c>
      <c r="AH97" s="410" t="s">
        <v>738</v>
      </c>
      <c r="AI97" s="1195"/>
      <c r="AJ97" s="1195"/>
      <c r="AK97" s="1195"/>
      <c r="AL97" s="1195"/>
      <c r="AM97" s="1195"/>
      <c r="AN97" s="1195"/>
      <c r="AO97" s="1195"/>
      <c r="AP97" s="1195"/>
      <c r="AQ97" s="1195"/>
      <c r="AR97" s="1197"/>
    </row>
    <row r="98" spans="1:44" ht="33" outlineLevel="1" thickBot="1">
      <c r="B98" s="500" t="s">
        <v>663</v>
      </c>
      <c r="C98" s="506">
        <v>20</v>
      </c>
      <c r="D98" s="506">
        <v>20</v>
      </c>
      <c r="E98" s="506">
        <v>20</v>
      </c>
      <c r="F98" s="506">
        <v>20</v>
      </c>
      <c r="G98" s="507"/>
      <c r="H98" s="507"/>
      <c r="I98" s="507"/>
      <c r="J98" s="507"/>
      <c r="K98" s="503"/>
      <c r="L98" s="504">
        <v>3</v>
      </c>
      <c r="M98" s="363"/>
      <c r="N98" s="363"/>
      <c r="P98" s="1187"/>
      <c r="Q98" s="411" t="s">
        <v>745</v>
      </c>
      <c r="R98" s="412" t="s">
        <v>746</v>
      </c>
      <c r="S98" s="630" t="s">
        <v>738</v>
      </c>
      <c r="T98" s="416">
        <v>1</v>
      </c>
      <c r="U98" s="415">
        <v>1</v>
      </c>
      <c r="V98" s="416">
        <v>0</v>
      </c>
      <c r="W98" s="415">
        <v>0</v>
      </c>
      <c r="X98" s="416">
        <v>0</v>
      </c>
      <c r="Y98" s="415">
        <v>0</v>
      </c>
      <c r="Z98" s="416">
        <v>1</v>
      </c>
      <c r="AA98" s="415">
        <v>1</v>
      </c>
      <c r="AB98" s="416">
        <v>0</v>
      </c>
      <c r="AC98" s="417">
        <v>0</v>
      </c>
      <c r="AE98" s="1187"/>
      <c r="AF98" s="411" t="s">
        <v>745</v>
      </c>
      <c r="AG98" s="631" t="s">
        <v>746</v>
      </c>
      <c r="AH98" s="632" t="s">
        <v>738</v>
      </c>
      <c r="AI98" s="416">
        <v>1</v>
      </c>
      <c r="AJ98" s="415">
        <v>1</v>
      </c>
      <c r="AK98" s="416">
        <v>0</v>
      </c>
      <c r="AL98" s="415">
        <v>0</v>
      </c>
      <c r="AM98" s="416">
        <v>0</v>
      </c>
      <c r="AN98" s="415">
        <v>0</v>
      </c>
      <c r="AO98" s="416">
        <v>1</v>
      </c>
      <c r="AP98" s="415">
        <v>1</v>
      </c>
      <c r="AQ98" s="416">
        <v>0</v>
      </c>
      <c r="AR98" s="417">
        <v>0</v>
      </c>
    </row>
    <row r="99" spans="1:44" outlineLevel="1">
      <c r="B99" s="500" t="s">
        <v>664</v>
      </c>
      <c r="C99" s="506">
        <v>0.3</v>
      </c>
      <c r="D99" s="506">
        <v>0.3</v>
      </c>
      <c r="E99" s="506">
        <v>0.3</v>
      </c>
      <c r="F99" s="506">
        <v>0.3</v>
      </c>
      <c r="G99" s="509"/>
      <c r="H99" s="509"/>
      <c r="I99" s="509"/>
      <c r="J99" s="509"/>
      <c r="K99" s="510"/>
      <c r="L99" s="504">
        <v>3</v>
      </c>
      <c r="M99" s="363"/>
      <c r="N99" s="363"/>
    </row>
    <row r="100" spans="1:44" outlineLevel="1">
      <c r="B100" s="500" t="s">
        <v>666</v>
      </c>
      <c r="C100" s="506">
        <v>0.5</v>
      </c>
      <c r="D100" s="506">
        <v>0.5</v>
      </c>
      <c r="E100" s="506">
        <v>0.5</v>
      </c>
      <c r="F100" s="506">
        <v>0.5</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397">
        <v>11</v>
      </c>
      <c r="D102" s="397">
        <v>11</v>
      </c>
      <c r="E102" s="397">
        <v>11</v>
      </c>
      <c r="F102" s="397">
        <v>11</v>
      </c>
      <c r="G102" s="422"/>
      <c r="H102" s="425"/>
      <c r="I102" s="425"/>
      <c r="J102" s="425"/>
      <c r="K102" s="426" t="s">
        <v>20</v>
      </c>
      <c r="L102" s="427" t="s">
        <v>748</v>
      </c>
      <c r="M102" s="428"/>
      <c r="N102" s="428"/>
    </row>
    <row r="103" spans="1:44" outlineLevel="1">
      <c r="B103" s="383" t="s">
        <v>749</v>
      </c>
      <c r="C103" s="397">
        <v>10</v>
      </c>
      <c r="D103" s="397">
        <v>10</v>
      </c>
      <c r="E103" s="397">
        <v>10</v>
      </c>
      <c r="F103" s="397">
        <v>10</v>
      </c>
      <c r="G103" s="425"/>
      <c r="H103" s="425"/>
      <c r="I103" s="425"/>
      <c r="J103" s="425"/>
      <c r="K103" s="423"/>
      <c r="L103" s="427">
        <v>9</v>
      </c>
      <c r="M103" s="428"/>
      <c r="N103" s="428"/>
    </row>
    <row r="104" spans="1:44" outlineLevel="1">
      <c r="B104" s="383" t="s">
        <v>844</v>
      </c>
      <c r="C104" s="397">
        <v>63</v>
      </c>
      <c r="D104" s="397">
        <v>49</v>
      </c>
      <c r="E104" s="397">
        <v>46</v>
      </c>
      <c r="F104" s="397">
        <v>41</v>
      </c>
      <c r="G104" s="425"/>
      <c r="H104" s="425"/>
      <c r="I104" s="425"/>
      <c r="J104" s="425"/>
      <c r="K104" s="423"/>
      <c r="L104" s="427" t="s">
        <v>748</v>
      </c>
      <c r="M104" s="428"/>
      <c r="N104" s="428"/>
    </row>
    <row r="105" spans="1:44" outlineLevel="1">
      <c r="B105" s="383" t="s">
        <v>366</v>
      </c>
      <c r="C105" s="397">
        <v>11</v>
      </c>
      <c r="D105" s="397">
        <v>8</v>
      </c>
      <c r="E105" s="397">
        <v>6</v>
      </c>
      <c r="F105" s="397">
        <v>4</v>
      </c>
      <c r="G105" s="425"/>
      <c r="H105" s="425"/>
      <c r="I105" s="425"/>
      <c r="J105" s="425"/>
      <c r="K105" s="423"/>
      <c r="L105" s="427" t="s">
        <v>748</v>
      </c>
      <c r="M105" s="428"/>
      <c r="N105" s="428"/>
    </row>
    <row r="106" spans="1:44" ht="16" outlineLevel="1" thickBot="1">
      <c r="B106" s="429" t="s">
        <v>367</v>
      </c>
      <c r="C106" s="430">
        <v>3</v>
      </c>
      <c r="D106" s="430">
        <v>3</v>
      </c>
      <c r="E106" s="430">
        <v>1</v>
      </c>
      <c r="F106" s="430">
        <v>1</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910</v>
      </c>
      <c r="C108" s="551">
        <v>0.68</v>
      </c>
      <c r="D108" s="647">
        <v>0.65</v>
      </c>
      <c r="E108" s="647">
        <v>0.62</v>
      </c>
      <c r="F108" s="648">
        <v>0.59</v>
      </c>
      <c r="G108" s="425"/>
      <c r="H108" s="425"/>
      <c r="I108" s="425"/>
      <c r="J108" s="425"/>
      <c r="K108" s="426" t="s">
        <v>983</v>
      </c>
      <c r="L108" s="440" t="s">
        <v>753</v>
      </c>
      <c r="M108" s="420"/>
      <c r="N108" s="420"/>
    </row>
    <row r="109" spans="1:44" outlineLevel="1">
      <c r="B109" s="441" t="s">
        <v>839</v>
      </c>
      <c r="C109" s="442">
        <v>65</v>
      </c>
      <c r="D109" s="442">
        <v>65</v>
      </c>
      <c r="E109" s="442">
        <v>65</v>
      </c>
      <c r="F109" s="442">
        <v>65</v>
      </c>
      <c r="G109" s="425"/>
      <c r="H109" s="425"/>
      <c r="I109" s="425"/>
      <c r="J109" s="425"/>
      <c r="K109" s="444"/>
      <c r="L109" s="373">
        <v>3</v>
      </c>
      <c r="M109" s="71"/>
      <c r="N109" s="420"/>
    </row>
    <row r="110" spans="1:44" outlineLevel="1">
      <c r="B110" s="441" t="s">
        <v>840</v>
      </c>
      <c r="C110" s="442">
        <f>100-C109</f>
        <v>35</v>
      </c>
      <c r="D110" s="442">
        <f>100-D109</f>
        <v>35</v>
      </c>
      <c r="E110" s="442">
        <f>100-E109</f>
        <v>35</v>
      </c>
      <c r="F110" s="442">
        <f>100-F109</f>
        <v>35</v>
      </c>
      <c r="G110" s="425"/>
      <c r="H110" s="425"/>
      <c r="I110" s="425"/>
      <c r="J110" s="425"/>
      <c r="K110" s="444"/>
      <c r="L110" s="373">
        <v>3</v>
      </c>
      <c r="M110" s="420"/>
      <c r="N110" s="420"/>
    </row>
    <row r="111" spans="1:44" outlineLevel="1">
      <c r="B111" s="383" t="s">
        <v>841</v>
      </c>
      <c r="C111" s="445">
        <v>37000</v>
      </c>
      <c r="D111" s="446">
        <v>35900</v>
      </c>
      <c r="E111" s="446">
        <f>(F111+D111)/2</f>
        <v>34800</v>
      </c>
      <c r="F111" s="447">
        <v>33700</v>
      </c>
      <c r="G111" s="425"/>
      <c r="H111" s="425"/>
      <c r="I111" s="425"/>
      <c r="J111" s="425"/>
      <c r="K111" s="448" t="s">
        <v>51</v>
      </c>
      <c r="L111" s="373">
        <v>3</v>
      </c>
      <c r="M111" s="420"/>
      <c r="N111" s="420"/>
    </row>
    <row r="112" spans="1:44" outlineLevel="1">
      <c r="B112" s="383" t="s">
        <v>679</v>
      </c>
      <c r="C112" s="605">
        <f>C113+C114</f>
        <v>2.7789999999999999</v>
      </c>
      <c r="D112" s="605">
        <f t="shared" ref="D112:F112" si="5">D113+D114</f>
        <v>2.8250000000000002</v>
      </c>
      <c r="E112" s="605">
        <f t="shared" si="5"/>
        <v>2.8479999999999999</v>
      </c>
      <c r="F112" s="605">
        <f t="shared" si="5"/>
        <v>2.8479999999999999</v>
      </c>
      <c r="G112" s="425"/>
      <c r="H112" s="425"/>
      <c r="I112" s="425"/>
      <c r="J112" s="425"/>
      <c r="K112" s="448"/>
      <c r="L112" s="373">
        <v>3</v>
      </c>
      <c r="M112" s="450"/>
      <c r="N112" s="361"/>
      <c r="P112" s="1157">
        <f>C112</f>
        <v>2.7789999999999999</v>
      </c>
      <c r="Q112" s="1135"/>
      <c r="R112" s="1135"/>
      <c r="S112" s="1135"/>
      <c r="T112" s="1135"/>
      <c r="U112" s="1158"/>
    </row>
    <row r="113" spans="2:30" ht="16" outlineLevel="1" thickBot="1">
      <c r="B113" s="500" t="s">
        <v>758</v>
      </c>
      <c r="C113" s="514">
        <f>C92/100*73</f>
        <v>1.679</v>
      </c>
      <c r="D113" s="514">
        <f>D92/100*75</f>
        <v>1.7249999999999999</v>
      </c>
      <c r="E113" s="514">
        <f>E92/100*76</f>
        <v>1.748</v>
      </c>
      <c r="F113" s="514">
        <f>F92/100*76</f>
        <v>1.748</v>
      </c>
      <c r="G113" s="515"/>
      <c r="H113" s="515"/>
      <c r="I113" s="515"/>
      <c r="J113" s="515"/>
      <c r="K113" s="503" t="s">
        <v>52</v>
      </c>
      <c r="L113" s="504">
        <v>3</v>
      </c>
      <c r="M113" s="450"/>
      <c r="N113" s="361"/>
      <c r="P113" s="1159">
        <f>C113</f>
        <v>1.679</v>
      </c>
      <c r="Q113" s="1160"/>
      <c r="R113" s="1160"/>
      <c r="S113" s="1160"/>
      <c r="T113" s="1160"/>
      <c r="U113" s="1161"/>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30"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55</v>
      </c>
      <c r="L118" s="525"/>
      <c r="M118" s="363"/>
      <c r="N118" s="363"/>
      <c r="O118" s="465">
        <f>C91</f>
        <v>116.18960947726835</v>
      </c>
      <c r="P118" s="466">
        <f>C87</f>
        <v>2020</v>
      </c>
      <c r="Q118" s="58">
        <f>P118</f>
        <v>2020</v>
      </c>
      <c r="R118" s="466">
        <f>O118/100</f>
        <v>1.1618960947726835</v>
      </c>
      <c r="S118" s="58"/>
      <c r="T118" s="466">
        <f>C95</f>
        <v>25</v>
      </c>
      <c r="U118" s="467">
        <f>C125</f>
        <v>5066.0000000000009</v>
      </c>
      <c r="V118" s="467">
        <f>C127</f>
        <v>275.64999999999998</v>
      </c>
      <c r="W118" s="467">
        <f>C128</f>
        <v>5.7509861111111107</v>
      </c>
      <c r="X118" s="58"/>
      <c r="Y118" s="58"/>
      <c r="Z118" s="466">
        <f>C102</f>
        <v>11</v>
      </c>
      <c r="AA118" s="468">
        <f>C104</f>
        <v>63</v>
      </c>
      <c r="AB118" s="468">
        <f>C105</f>
        <v>11</v>
      </c>
      <c r="AC118" s="468">
        <f>C106</f>
        <v>3</v>
      </c>
      <c r="AD118" s="468">
        <f>C103</f>
        <v>10</v>
      </c>
    </row>
    <row r="119" spans="2:30" outlineLevel="1">
      <c r="B119" s="500" t="s">
        <v>763</v>
      </c>
      <c r="C119" s="526" t="s">
        <v>36</v>
      </c>
      <c r="D119" s="527" t="s">
        <v>36</v>
      </c>
      <c r="E119" s="527" t="s">
        <v>36</v>
      </c>
      <c r="F119" s="528" t="s">
        <v>36</v>
      </c>
      <c r="G119" s="528"/>
      <c r="H119" s="528"/>
      <c r="I119" s="528"/>
      <c r="J119" s="528"/>
      <c r="K119" s="529" t="s">
        <v>55</v>
      </c>
      <c r="L119" s="525"/>
      <c r="M119" s="363"/>
      <c r="N119" s="363"/>
      <c r="O119" s="465">
        <f>D91</f>
        <v>116.18960947726835</v>
      </c>
      <c r="P119" s="466">
        <f>D87</f>
        <v>2030</v>
      </c>
      <c r="Q119" s="58"/>
      <c r="R119" s="466">
        <f>O119/100</f>
        <v>1.1618960947726835</v>
      </c>
      <c r="S119" s="58"/>
      <c r="T119" s="466">
        <f>D95</f>
        <v>25</v>
      </c>
      <c r="U119" s="467">
        <f>D125</f>
        <v>4842.5</v>
      </c>
      <c r="V119" s="467">
        <f>D127</f>
        <v>267.45499999999998</v>
      </c>
      <c r="W119" s="467">
        <f>D128</f>
        <v>5.8461805555555557</v>
      </c>
      <c r="X119" s="58"/>
      <c r="Y119" s="58"/>
      <c r="Z119" s="466">
        <f>D102</f>
        <v>11</v>
      </c>
      <c r="AA119" s="468">
        <f>D104</f>
        <v>49</v>
      </c>
      <c r="AB119" s="468">
        <f>D105</f>
        <v>8</v>
      </c>
      <c r="AC119" s="468">
        <f>D106</f>
        <v>3</v>
      </c>
      <c r="AD119" s="468">
        <f>D103</f>
        <v>10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116.18960947726835</v>
      </c>
      <c r="P120" s="466">
        <f>E87</f>
        <v>2040</v>
      </c>
      <c r="Q120" s="58"/>
      <c r="R120" s="466">
        <f>O120/100</f>
        <v>1.1618960947726835</v>
      </c>
      <c r="S120" s="58"/>
      <c r="T120" s="466">
        <f>E95</f>
        <v>25</v>
      </c>
      <c r="U120" s="467">
        <f>E125</f>
        <v>4619</v>
      </c>
      <c r="V120" s="467">
        <f>E127</f>
        <v>259.26</v>
      </c>
      <c r="W120" s="467">
        <f>E128</f>
        <v>5.8937777777777782</v>
      </c>
      <c r="X120" s="58"/>
      <c r="Y120" s="58"/>
      <c r="Z120" s="466">
        <f>E102</f>
        <v>11</v>
      </c>
      <c r="AA120" s="468">
        <f>E104</f>
        <v>46</v>
      </c>
      <c r="AB120" s="468">
        <f>E105</f>
        <v>6</v>
      </c>
      <c r="AC120" s="468">
        <f>E106</f>
        <v>1</v>
      </c>
      <c r="AD120" s="468">
        <f>E103</f>
        <v>10</v>
      </c>
    </row>
    <row r="121" spans="2:30" outlineLevel="1">
      <c r="B121" s="500" t="s">
        <v>765</v>
      </c>
      <c r="C121" s="685">
        <v>90</v>
      </c>
      <c r="D121" s="530">
        <v>90</v>
      </c>
      <c r="E121" s="530">
        <v>90</v>
      </c>
      <c r="F121" s="530">
        <v>90</v>
      </c>
      <c r="G121" s="531"/>
      <c r="H121" s="531"/>
      <c r="I121" s="531"/>
      <c r="J121" s="531"/>
      <c r="K121" s="531"/>
      <c r="L121" s="504">
        <v>3</v>
      </c>
      <c r="M121" s="363"/>
      <c r="N121" s="363"/>
      <c r="O121" s="465">
        <f>F91</f>
        <v>116.18960947726835</v>
      </c>
      <c r="P121" s="466">
        <f>F87</f>
        <v>2050</v>
      </c>
      <c r="Q121" s="58"/>
      <c r="R121" s="466">
        <f>O121/100</f>
        <v>1.1618960947726835</v>
      </c>
      <c r="S121" s="58"/>
      <c r="T121" s="466">
        <f>F95</f>
        <v>25</v>
      </c>
      <c r="U121" s="467">
        <f>F125</f>
        <v>4395.5</v>
      </c>
      <c r="V121" s="467">
        <f>F127</f>
        <v>251.065</v>
      </c>
      <c r="W121" s="467">
        <f>F128</f>
        <v>5.8937777777777782</v>
      </c>
      <c r="X121" s="58"/>
      <c r="Y121" s="58"/>
      <c r="Z121" s="466">
        <f>F102</f>
        <v>11</v>
      </c>
      <c r="AA121" s="468">
        <f>F104</f>
        <v>41</v>
      </c>
      <c r="AB121" s="468">
        <f>F105</f>
        <v>4</v>
      </c>
      <c r="AC121" s="468">
        <f>F106</f>
        <v>1</v>
      </c>
      <c r="AD121" s="468">
        <f>F103</f>
        <v>10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535" t="s">
        <v>36</v>
      </c>
      <c r="D124" s="536" t="s">
        <v>36</v>
      </c>
      <c r="E124" s="536" t="s">
        <v>36</v>
      </c>
      <c r="F124" s="537" t="s">
        <v>36</v>
      </c>
      <c r="G124" s="538"/>
      <c r="H124" s="538"/>
      <c r="I124" s="538"/>
      <c r="J124" s="538"/>
      <c r="K124" s="538"/>
      <c r="L124" s="539"/>
      <c r="M124" s="363"/>
      <c r="N124" s="363"/>
    </row>
    <row r="125" spans="2:30" ht="64" outlineLevel="1">
      <c r="B125" s="461" t="s">
        <v>769</v>
      </c>
      <c r="C125" s="483">
        <f>C108*$F$4*1000</f>
        <v>5066.0000000000009</v>
      </c>
      <c r="D125" s="483">
        <f t="shared" ref="D125:F125" si="6">D108*$F$4*1000</f>
        <v>4842.5</v>
      </c>
      <c r="E125" s="483">
        <f t="shared" si="6"/>
        <v>4619</v>
      </c>
      <c r="F125" s="483">
        <f t="shared" si="6"/>
        <v>4395.5</v>
      </c>
      <c r="G125" s="483"/>
      <c r="H125" s="484"/>
      <c r="I125" s="420" t="s">
        <v>332</v>
      </c>
      <c r="J125" s="420"/>
      <c r="K125" s="484"/>
      <c r="L125" s="484"/>
      <c r="N125" s="420"/>
    </row>
    <row r="126" spans="2:30" outlineLevel="1">
      <c r="B126" s="485" t="s">
        <v>770</v>
      </c>
      <c r="C126" s="486">
        <f>C125*$I126</f>
        <v>2533000.0000000005</v>
      </c>
      <c r="D126" s="486">
        <f>D125*$I126</f>
        <v>2421250</v>
      </c>
      <c r="E126" s="486">
        <f>E125*$I126</f>
        <v>2309500</v>
      </c>
      <c r="F126" s="486">
        <f>F125*$I126</f>
        <v>2197750</v>
      </c>
      <c r="G126" s="486"/>
      <c r="H126" s="484"/>
      <c r="I126" s="71">
        <v>500</v>
      </c>
      <c r="J126" s="420" t="s">
        <v>330</v>
      </c>
      <c r="K126" s="484"/>
      <c r="L126" s="484"/>
      <c r="N126" s="420"/>
    </row>
    <row r="127" spans="2:30" ht="48" outlineLevel="1">
      <c r="B127" s="461" t="s">
        <v>845</v>
      </c>
      <c r="C127" s="359">
        <f>C111*$F$4/1000</f>
        <v>275.64999999999998</v>
      </c>
      <c r="D127" s="359">
        <f t="shared" ref="D127:F127" si="7">D111*$F$4/1000</f>
        <v>267.45499999999998</v>
      </c>
      <c r="E127" s="359">
        <f t="shared" si="7"/>
        <v>259.26</v>
      </c>
      <c r="F127" s="359">
        <f t="shared" si="7"/>
        <v>251.065</v>
      </c>
      <c r="G127" s="359"/>
      <c r="I127" s="420" t="s">
        <v>333</v>
      </c>
      <c r="J127" s="420"/>
      <c r="N127" s="420"/>
    </row>
    <row r="128" spans="2:30" ht="48" outlineLevel="1">
      <c r="B128" s="461" t="s">
        <v>846</v>
      </c>
      <c r="C128" s="487">
        <f>C112*$F$4/3.6</f>
        <v>5.7509861111111107</v>
      </c>
      <c r="D128" s="487">
        <f t="shared" ref="D128:F128" si="8">D112*$F$4/3.6</f>
        <v>5.8461805555555557</v>
      </c>
      <c r="E128" s="487">
        <f t="shared" si="8"/>
        <v>5.8937777777777782</v>
      </c>
      <c r="F128" s="487">
        <f t="shared" si="8"/>
        <v>5.8937777777777782</v>
      </c>
      <c r="G128" s="359"/>
      <c r="M128" s="420"/>
      <c r="N128" s="420"/>
    </row>
    <row r="129" spans="2:6" outlineLevel="1"/>
    <row r="130" spans="2:6" outlineLevel="1"/>
    <row r="131" spans="2:6" outlineLevel="1"/>
    <row r="132" spans="2:6" outlineLevel="1">
      <c r="B132" s="488" t="s">
        <v>773</v>
      </c>
      <c r="C132" s="489"/>
    </row>
    <row r="133" spans="2:6" outlineLevel="1">
      <c r="B133" s="491">
        <v>1</v>
      </c>
      <c r="C133" s="492" t="s">
        <v>774</v>
      </c>
      <c r="D133" s="490"/>
      <c r="E133" s="490"/>
      <c r="F133" s="490"/>
    </row>
    <row r="134" spans="2:6" outlineLevel="1">
      <c r="B134" s="491">
        <v>2</v>
      </c>
      <c r="C134" s="493" t="s">
        <v>775</v>
      </c>
      <c r="E134" s="490"/>
      <c r="F134" s="490"/>
    </row>
    <row r="135" spans="2:6" outlineLevel="1">
      <c r="B135" s="491">
        <v>3</v>
      </c>
      <c r="C135" s="493" t="s">
        <v>776</v>
      </c>
      <c r="E135" s="490"/>
      <c r="F135" s="490"/>
    </row>
    <row r="136" spans="2:6" outlineLevel="1">
      <c r="B136" s="491">
        <v>4</v>
      </c>
      <c r="C136" s="493" t="s">
        <v>777</v>
      </c>
      <c r="E136" s="490"/>
      <c r="F136" s="490"/>
    </row>
    <row r="137" spans="2:6" outlineLevel="1">
      <c r="B137" s="358">
        <v>5</v>
      </c>
      <c r="C137" s="494" t="s">
        <v>778</v>
      </c>
      <c r="E137" s="490"/>
      <c r="F137" s="490"/>
    </row>
    <row r="138" spans="2:6" outlineLevel="1">
      <c r="B138" s="358">
        <v>6</v>
      </c>
      <c r="C138" s="492" t="s">
        <v>779</v>
      </c>
      <c r="D138" s="490"/>
      <c r="E138" s="490"/>
      <c r="F138" s="490"/>
    </row>
    <row r="139" spans="2:6" outlineLevel="1">
      <c r="B139" s="358">
        <v>7</v>
      </c>
      <c r="C139" s="495" t="s">
        <v>774</v>
      </c>
      <c r="D139" s="490"/>
      <c r="E139" s="490"/>
      <c r="F139" s="490"/>
    </row>
    <row r="140" spans="2:6" outlineLevel="1">
      <c r="B140" s="358">
        <v>8</v>
      </c>
      <c r="C140" s="495" t="s">
        <v>780</v>
      </c>
      <c r="D140" s="490"/>
      <c r="E140" s="490"/>
      <c r="F140" s="490"/>
    </row>
    <row r="141" spans="2:6" outlineLevel="1">
      <c r="B141" s="358">
        <v>9</v>
      </c>
      <c r="C141" s="489" t="s">
        <v>781</v>
      </c>
      <c r="D141" s="490"/>
      <c r="E141" s="490"/>
      <c r="F141" s="490"/>
    </row>
    <row r="142" spans="2:6" outlineLevel="1">
      <c r="B142" s="358">
        <v>10</v>
      </c>
      <c r="C142" s="490" t="s">
        <v>782</v>
      </c>
      <c r="D142" s="490"/>
      <c r="E142" s="490"/>
      <c r="F142" s="490"/>
    </row>
    <row r="143" spans="2:6" outlineLevel="1">
      <c r="B143" s="358">
        <v>11</v>
      </c>
      <c r="C143" s="490" t="s">
        <v>984</v>
      </c>
      <c r="D143" s="490"/>
      <c r="E143" s="490"/>
      <c r="F143" s="490"/>
    </row>
    <row r="144" spans="2:6" outlineLevel="1">
      <c r="B144" s="488" t="s">
        <v>783</v>
      </c>
      <c r="C144" s="489"/>
      <c r="D144" s="490"/>
      <c r="E144" s="490"/>
      <c r="F144" s="490"/>
    </row>
    <row r="145" spans="2:6" outlineLevel="1">
      <c r="B145" s="496" t="s">
        <v>6</v>
      </c>
      <c r="C145" s="497" t="s">
        <v>975</v>
      </c>
      <c r="E145" s="490"/>
      <c r="F145" s="490"/>
    </row>
    <row r="146" spans="2:6" outlineLevel="1">
      <c r="B146" s="496" t="s">
        <v>59</v>
      </c>
      <c r="C146" s="489" t="s">
        <v>976</v>
      </c>
      <c r="E146" s="490"/>
      <c r="F146" s="490"/>
    </row>
    <row r="147" spans="2:6" outlineLevel="1">
      <c r="B147" s="496" t="s">
        <v>16</v>
      </c>
      <c r="C147" s="489" t="s">
        <v>977</v>
      </c>
      <c r="E147" s="490"/>
      <c r="F147" s="490"/>
    </row>
    <row r="148" spans="2:6" outlineLevel="1">
      <c r="B148" s="496" t="s">
        <v>20</v>
      </c>
      <c r="C148" s="489" t="s">
        <v>786</v>
      </c>
      <c r="E148" s="490"/>
      <c r="F148" s="490"/>
    </row>
    <row r="149" spans="2:6" outlineLevel="1">
      <c r="B149" s="496" t="s">
        <v>76</v>
      </c>
      <c r="C149" s="489" t="s">
        <v>978</v>
      </c>
      <c r="E149" s="490"/>
      <c r="F149" s="490"/>
    </row>
    <row r="150" spans="2:6" outlineLevel="1">
      <c r="B150" s="496" t="s">
        <v>25</v>
      </c>
      <c r="C150" s="489" t="s">
        <v>979</v>
      </c>
      <c r="E150" s="490"/>
      <c r="F150" s="490"/>
    </row>
    <row r="151" spans="2:6" outlineLevel="1">
      <c r="B151" s="496" t="s">
        <v>33</v>
      </c>
      <c r="C151" s="489" t="s">
        <v>787</v>
      </c>
      <c r="E151" s="490"/>
      <c r="F151" s="490"/>
    </row>
    <row r="152" spans="2:6" outlineLevel="1">
      <c r="B152" s="496" t="s">
        <v>51</v>
      </c>
      <c r="C152" s="489" t="s">
        <v>980</v>
      </c>
      <c r="E152" s="490"/>
      <c r="F152" s="490"/>
    </row>
    <row r="153" spans="2:6" outlineLevel="1">
      <c r="B153" s="496" t="s">
        <v>52</v>
      </c>
      <c r="C153" s="498" t="s">
        <v>788</v>
      </c>
      <c r="E153" s="490"/>
      <c r="F153" s="490"/>
    </row>
    <row r="154" spans="2:6" outlineLevel="1">
      <c r="B154" s="496" t="s">
        <v>55</v>
      </c>
      <c r="C154" s="489" t="s">
        <v>789</v>
      </c>
      <c r="E154" s="490"/>
      <c r="F154" s="490"/>
    </row>
    <row r="155" spans="2:6" outlineLevel="1">
      <c r="E155" s="490"/>
      <c r="F155" s="490"/>
    </row>
    <row r="156" spans="2:6" outlineLevel="1">
      <c r="B156" s="496" t="s">
        <v>985</v>
      </c>
      <c r="C156" s="224" t="s">
        <v>986</v>
      </c>
      <c r="E156" s="490"/>
      <c r="F156" s="490"/>
    </row>
    <row r="157" spans="2:6" outlineLevel="1">
      <c r="B157" s="496" t="s">
        <v>987</v>
      </c>
      <c r="C157" s="224" t="s">
        <v>988</v>
      </c>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t="s">
        <v>989</v>
      </c>
      <c r="B166" s="1134"/>
      <c r="C166" s="1135"/>
      <c r="D166" s="1135"/>
      <c r="E166" s="1135"/>
      <c r="F166" s="1135"/>
      <c r="G166" s="1135"/>
      <c r="H166" s="1135"/>
      <c r="I166" s="1135"/>
      <c r="J166" s="1135"/>
      <c r="K166" s="1135"/>
      <c r="L166" s="1135"/>
      <c r="M166" s="1135"/>
      <c r="N166" s="361"/>
      <c r="P166" s="1135"/>
      <c r="Q166" s="1135"/>
      <c r="R166" s="1135"/>
      <c r="S166" s="1135"/>
      <c r="T166" s="1135"/>
      <c r="U166" s="1135"/>
    </row>
    <row r="167" spans="1:44" ht="16" outlineLevel="1" thickBot="1">
      <c r="B167" s="1134"/>
      <c r="C167" s="1135"/>
      <c r="D167" s="1135"/>
      <c r="E167" s="1135"/>
      <c r="F167" s="1135"/>
      <c r="G167" s="1135"/>
      <c r="H167" s="1135"/>
      <c r="I167" s="1135"/>
      <c r="J167" s="1135"/>
      <c r="K167" s="1135"/>
      <c r="L167" s="1135"/>
      <c r="M167" s="1135"/>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 customHeight="1" outlineLevel="1" thickBot="1">
      <c r="B168" s="362" t="s">
        <v>0</v>
      </c>
      <c r="C168" s="1176" t="s">
        <v>990</v>
      </c>
      <c r="D168" s="1177"/>
      <c r="E168" s="1177"/>
      <c r="F168" s="1177"/>
      <c r="G168" s="1177"/>
      <c r="H168" s="1177"/>
      <c r="I168" s="1177"/>
      <c r="J168" s="1177"/>
      <c r="K168" s="1177"/>
      <c r="L168" s="1178"/>
      <c r="M168" s="363"/>
      <c r="N168" s="363"/>
      <c r="P168" s="364" t="s">
        <v>713</v>
      </c>
      <c r="Q168" s="365"/>
      <c r="R168" s="366"/>
      <c r="S168" s="1143" t="s">
        <v>714</v>
      </c>
      <c r="T168" s="1147" t="s">
        <v>715</v>
      </c>
      <c r="U168" s="1148"/>
      <c r="V168" s="1147" t="s">
        <v>716</v>
      </c>
      <c r="W168" s="1148"/>
      <c r="X168" s="1147" t="s">
        <v>717</v>
      </c>
      <c r="Y168" s="1148"/>
      <c r="Z168" s="1147" t="s">
        <v>718</v>
      </c>
      <c r="AA168" s="1148"/>
      <c r="AB168" s="1147" t="s">
        <v>719</v>
      </c>
      <c r="AC168" s="1148"/>
      <c r="AE168" s="364" t="s">
        <v>720</v>
      </c>
      <c r="AF168" s="365"/>
      <c r="AG168" s="366"/>
      <c r="AH168" s="1143" t="s">
        <v>714</v>
      </c>
      <c r="AI168" s="1147" t="s">
        <v>715</v>
      </c>
      <c r="AJ168" s="1148"/>
      <c r="AK168" s="1147" t="s">
        <v>716</v>
      </c>
      <c r="AL168" s="1148"/>
      <c r="AM168" s="1147" t="s">
        <v>717</v>
      </c>
      <c r="AN168" s="1148"/>
      <c r="AO168" s="1147" t="s">
        <v>718</v>
      </c>
      <c r="AP168" s="1148"/>
      <c r="AQ168" s="1147" t="s">
        <v>719</v>
      </c>
      <c r="AR168" s="1148"/>
    </row>
    <row r="169" spans="1:44" ht="15" customHeight="1" outlineLevel="1" thickBot="1">
      <c r="B169" s="1168" t="s">
        <v>4</v>
      </c>
      <c r="C169" s="1170">
        <v>2020</v>
      </c>
      <c r="D169" s="1170">
        <v>2030</v>
      </c>
      <c r="E169" s="1170">
        <v>2040</v>
      </c>
      <c r="F169" s="1170">
        <v>2050</v>
      </c>
      <c r="G169" s="1172" t="s">
        <v>721</v>
      </c>
      <c r="H169" s="1173"/>
      <c r="I169" s="1172" t="s">
        <v>648</v>
      </c>
      <c r="J169" s="1173"/>
      <c r="K169" s="1174" t="s">
        <v>2</v>
      </c>
      <c r="L169" s="1174" t="s">
        <v>3</v>
      </c>
      <c r="M169" s="367"/>
      <c r="N169" s="367"/>
      <c r="P169" s="1151" t="s">
        <v>0</v>
      </c>
      <c r="Q169" s="368"/>
      <c r="R169" s="368"/>
      <c r="S169" s="1144"/>
      <c r="T169" s="1149"/>
      <c r="U169" s="1150"/>
      <c r="V169" s="1149"/>
      <c r="W169" s="1150"/>
      <c r="X169" s="1149"/>
      <c r="Y169" s="1150"/>
      <c r="Z169" s="1149"/>
      <c r="AA169" s="1150"/>
      <c r="AB169" s="1149"/>
      <c r="AC169" s="1150"/>
      <c r="AE169" s="1151" t="s">
        <v>0</v>
      </c>
      <c r="AF169" s="368"/>
      <c r="AG169" s="368"/>
      <c r="AH169" s="1144"/>
      <c r="AI169" s="1149"/>
      <c r="AJ169" s="1150"/>
      <c r="AK169" s="1149"/>
      <c r="AL169" s="1150"/>
      <c r="AM169" s="1149"/>
      <c r="AN169" s="1150"/>
      <c r="AO169" s="1149"/>
      <c r="AP169" s="1150"/>
      <c r="AQ169" s="1149"/>
      <c r="AR169" s="1150"/>
    </row>
    <row r="170" spans="1:44" ht="15" customHeight="1" outlineLevel="1" thickBot="1">
      <c r="B170" s="1169"/>
      <c r="C170" s="1171"/>
      <c r="D170" s="1171"/>
      <c r="E170" s="1171"/>
      <c r="F170" s="1171"/>
      <c r="G170" s="499" t="s">
        <v>649</v>
      </c>
      <c r="H170" s="499" t="s">
        <v>650</v>
      </c>
      <c r="I170" s="499" t="s">
        <v>649</v>
      </c>
      <c r="J170" s="499" t="s">
        <v>650</v>
      </c>
      <c r="K170" s="1175"/>
      <c r="L170" s="1175"/>
      <c r="M170" s="370"/>
      <c r="N170" s="370"/>
      <c r="P170" s="1152"/>
      <c r="Q170" s="1154" t="s">
        <v>722</v>
      </c>
      <c r="R170" s="1155" t="s">
        <v>723</v>
      </c>
      <c r="S170" s="1145"/>
      <c r="T170" s="1149"/>
      <c r="U170" s="1150"/>
      <c r="V170" s="1149"/>
      <c r="W170" s="1150"/>
      <c r="X170" s="1149"/>
      <c r="Y170" s="1150"/>
      <c r="Z170" s="1149"/>
      <c r="AA170" s="1150"/>
      <c r="AB170" s="1149"/>
      <c r="AC170" s="1150"/>
      <c r="AE170" s="1152"/>
      <c r="AF170" s="1198" t="s">
        <v>722</v>
      </c>
      <c r="AG170" s="1155" t="s">
        <v>723</v>
      </c>
      <c r="AH170" s="1145"/>
      <c r="AI170" s="1149"/>
      <c r="AJ170" s="1150"/>
      <c r="AK170" s="1149"/>
      <c r="AL170" s="1150"/>
      <c r="AM170" s="1149"/>
      <c r="AN170" s="1150"/>
      <c r="AO170" s="1149"/>
      <c r="AP170" s="1150"/>
      <c r="AQ170" s="1149"/>
      <c r="AR170" s="1150"/>
    </row>
    <row r="171" spans="1:44" ht="33"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53"/>
      <c r="Q171" s="1146"/>
      <c r="R171" s="1156"/>
      <c r="S171" s="1146"/>
      <c r="T171" s="374" t="s">
        <v>726</v>
      </c>
      <c r="U171" s="375" t="s">
        <v>727</v>
      </c>
      <c r="V171" s="374" t="s">
        <v>726</v>
      </c>
      <c r="W171" s="375" t="s">
        <v>727</v>
      </c>
      <c r="X171" s="374" t="s">
        <v>726</v>
      </c>
      <c r="Y171" s="375" t="s">
        <v>727</v>
      </c>
      <c r="Z171" s="374" t="s">
        <v>726</v>
      </c>
      <c r="AA171" s="375" t="s">
        <v>727</v>
      </c>
      <c r="AB171" s="374" t="s">
        <v>726</v>
      </c>
      <c r="AC171" s="375" t="s">
        <v>727</v>
      </c>
      <c r="AE171" s="1153"/>
      <c r="AF171" s="1199"/>
      <c r="AG171" s="1156"/>
      <c r="AH171" s="1146"/>
      <c r="AI171" s="374" t="s">
        <v>726</v>
      </c>
      <c r="AJ171" s="375" t="s">
        <v>727</v>
      </c>
      <c r="AK171" s="374" t="s">
        <v>726</v>
      </c>
      <c r="AL171" s="375" t="s">
        <v>727</v>
      </c>
      <c r="AM171" s="374" t="s">
        <v>726</v>
      </c>
      <c r="AN171" s="375" t="s">
        <v>727</v>
      </c>
      <c r="AO171" s="374" t="s">
        <v>726</v>
      </c>
      <c r="AP171" s="375" t="s">
        <v>727</v>
      </c>
      <c r="AQ171" s="374" t="s">
        <v>726</v>
      </c>
      <c r="AR171" s="375" t="s">
        <v>727</v>
      </c>
    </row>
    <row r="172" spans="1:44" ht="14.5" customHeight="1" outlineLevel="1">
      <c r="B172" s="500" t="s">
        <v>728</v>
      </c>
      <c r="C172" s="501">
        <v>91</v>
      </c>
      <c r="D172" s="501">
        <v>91</v>
      </c>
      <c r="E172" s="502">
        <v>91</v>
      </c>
      <c r="F172" s="501">
        <v>92</v>
      </c>
      <c r="G172" s="501">
        <f>D172-1</f>
        <v>90</v>
      </c>
      <c r="H172" s="501">
        <f>D172+2</f>
        <v>93</v>
      </c>
      <c r="I172" s="501">
        <f>F172-1</f>
        <v>91</v>
      </c>
      <c r="J172" s="501">
        <f>F172+2</f>
        <v>94</v>
      </c>
      <c r="K172" s="503" t="s">
        <v>59</v>
      </c>
      <c r="L172" s="504" t="s">
        <v>729</v>
      </c>
      <c r="M172" s="370"/>
      <c r="N172" s="370"/>
      <c r="P172" s="1200" t="str">
        <f>C168</f>
        <v>Hot water boiler, Wood Chips</v>
      </c>
      <c r="Q172" s="1188" t="s">
        <v>730</v>
      </c>
      <c r="R172" s="381" t="s">
        <v>731</v>
      </c>
      <c r="S172" s="382"/>
      <c r="T172" s="1191">
        <v>0</v>
      </c>
      <c r="U172" s="1179">
        <v>0</v>
      </c>
      <c r="V172" s="1182">
        <v>0</v>
      </c>
      <c r="W172" s="1179">
        <v>0</v>
      </c>
      <c r="X172" s="1182">
        <v>0</v>
      </c>
      <c r="Y172" s="1179">
        <v>0</v>
      </c>
      <c r="Z172" s="1182">
        <v>0</v>
      </c>
      <c r="AA172" s="1179">
        <v>0</v>
      </c>
      <c r="AB172" s="1182">
        <v>0</v>
      </c>
      <c r="AC172" s="1179">
        <v>0</v>
      </c>
      <c r="AE172" s="1185" t="str">
        <f>P172</f>
        <v>Hot water boiler, Wood Chips</v>
      </c>
      <c r="AF172" s="1188" t="s">
        <v>730</v>
      </c>
      <c r="AG172" s="381" t="s">
        <v>731</v>
      </c>
      <c r="AH172" s="382"/>
      <c r="AI172" s="1191">
        <v>0</v>
      </c>
      <c r="AJ172" s="1179">
        <v>0</v>
      </c>
      <c r="AK172" s="1182">
        <v>0</v>
      </c>
      <c r="AL172" s="1179">
        <v>0</v>
      </c>
      <c r="AM172" s="1182">
        <v>0</v>
      </c>
      <c r="AN172" s="1179">
        <v>0</v>
      </c>
      <c r="AO172" s="1182">
        <v>0</v>
      </c>
      <c r="AP172" s="1179">
        <v>0</v>
      </c>
      <c r="AQ172" s="1182">
        <v>0</v>
      </c>
      <c r="AR172" s="1179">
        <v>0</v>
      </c>
    </row>
    <row r="173" spans="1:44" outlineLevel="1">
      <c r="B173" s="383" t="s">
        <v>732</v>
      </c>
      <c r="C173" s="384">
        <f t="shared" ref="C173:J173" si="9">C172-1</f>
        <v>90</v>
      </c>
      <c r="D173" s="384">
        <f t="shared" si="9"/>
        <v>90</v>
      </c>
      <c r="E173" s="384">
        <f t="shared" si="9"/>
        <v>90</v>
      </c>
      <c r="F173" s="384">
        <f t="shared" si="9"/>
        <v>91</v>
      </c>
      <c r="G173" s="505">
        <f t="shared" si="9"/>
        <v>89</v>
      </c>
      <c r="H173" s="505">
        <f t="shared" si="9"/>
        <v>92</v>
      </c>
      <c r="I173" s="505">
        <f t="shared" si="9"/>
        <v>90</v>
      </c>
      <c r="J173" s="505">
        <f t="shared" si="9"/>
        <v>93</v>
      </c>
      <c r="K173" s="372"/>
      <c r="L173" s="373" t="s">
        <v>729</v>
      </c>
      <c r="M173" s="370"/>
      <c r="N173" s="370"/>
      <c r="O173" s="71"/>
      <c r="P173" s="1186"/>
      <c r="Q173" s="1189"/>
      <c r="R173" s="388" t="s">
        <v>733</v>
      </c>
      <c r="S173" s="389"/>
      <c r="T173" s="1192"/>
      <c r="U173" s="1180"/>
      <c r="V173" s="1183"/>
      <c r="W173" s="1180"/>
      <c r="X173" s="1183"/>
      <c r="Y173" s="1180"/>
      <c r="Z173" s="1183"/>
      <c r="AA173" s="1180"/>
      <c r="AB173" s="1183"/>
      <c r="AC173" s="1180"/>
      <c r="AE173" s="1186"/>
      <c r="AF173" s="1189"/>
      <c r="AG173" s="388" t="s">
        <v>733</v>
      </c>
      <c r="AH173" s="389"/>
      <c r="AI173" s="1192"/>
      <c r="AJ173" s="1180"/>
      <c r="AK173" s="1183"/>
      <c r="AL173" s="1180"/>
      <c r="AM173" s="1183"/>
      <c r="AN173" s="1180"/>
      <c r="AO173" s="1183"/>
      <c r="AP173" s="1180"/>
      <c r="AQ173" s="1183"/>
      <c r="AR173" s="1180"/>
    </row>
    <row r="174" spans="1:44" ht="16" outlineLevel="1" thickBot="1">
      <c r="B174" s="500" t="s">
        <v>734</v>
      </c>
      <c r="C174" s="506">
        <v>2.2999999999999998</v>
      </c>
      <c r="D174" s="507">
        <v>2.2999999999999998</v>
      </c>
      <c r="E174" s="507">
        <v>2.2999999999999998</v>
      </c>
      <c r="F174" s="508">
        <v>2.2999999999999998</v>
      </c>
      <c r="G174" s="507">
        <v>2.2000000000000002</v>
      </c>
      <c r="H174" s="507">
        <v>2.5</v>
      </c>
      <c r="I174" s="507">
        <v>1.8</v>
      </c>
      <c r="J174" s="507">
        <v>2.5</v>
      </c>
      <c r="K174" s="503" t="s">
        <v>16</v>
      </c>
      <c r="L174" s="504">
        <v>3</v>
      </c>
      <c r="M174" s="370"/>
      <c r="N174" s="370"/>
      <c r="O174" s="71"/>
      <c r="P174" s="1186"/>
      <c r="Q174" s="1190"/>
      <c r="R174" s="393" t="s">
        <v>735</v>
      </c>
      <c r="S174" s="394"/>
      <c r="T174" s="1193"/>
      <c r="U174" s="1181"/>
      <c r="V174" s="1184"/>
      <c r="W174" s="1181"/>
      <c r="X174" s="1184"/>
      <c r="Y174" s="1181"/>
      <c r="Z174" s="1184"/>
      <c r="AA174" s="1181"/>
      <c r="AB174" s="1184"/>
      <c r="AC174" s="1181"/>
      <c r="AE174" s="1186"/>
      <c r="AF174" s="1190"/>
      <c r="AG174" s="393" t="s">
        <v>735</v>
      </c>
      <c r="AH174" s="394"/>
      <c r="AI174" s="1193"/>
      <c r="AJ174" s="1181"/>
      <c r="AK174" s="1184"/>
      <c r="AL174" s="1181"/>
      <c r="AM174" s="1184"/>
      <c r="AN174" s="1181"/>
      <c r="AO174" s="1184"/>
      <c r="AP174" s="1181"/>
      <c r="AQ174" s="1184"/>
      <c r="AR174" s="1181"/>
    </row>
    <row r="175" spans="1:44" ht="14.5" customHeight="1" outlineLevel="1">
      <c r="B175" s="500" t="s">
        <v>657</v>
      </c>
      <c r="C175" s="687">
        <v>3</v>
      </c>
      <c r="D175" s="687">
        <v>3</v>
      </c>
      <c r="E175" s="687">
        <v>3</v>
      </c>
      <c r="F175" s="687">
        <v>3</v>
      </c>
      <c r="G175" s="687">
        <v>3</v>
      </c>
      <c r="H175" s="687">
        <v>3</v>
      </c>
      <c r="I175" s="687">
        <v>3</v>
      </c>
      <c r="J175" s="687">
        <v>3</v>
      </c>
      <c r="K175" s="503" t="s">
        <v>20</v>
      </c>
      <c r="L175" s="504">
        <v>3</v>
      </c>
      <c r="M175" s="370"/>
      <c r="N175" s="370"/>
      <c r="O175" s="71"/>
      <c r="P175" s="1186"/>
      <c r="Q175" s="1188" t="s">
        <v>736</v>
      </c>
      <c r="R175" s="395" t="s">
        <v>737</v>
      </c>
      <c r="S175" s="396" t="s">
        <v>738</v>
      </c>
      <c r="T175" s="1191">
        <v>0</v>
      </c>
      <c r="U175" s="1191">
        <v>0.67</v>
      </c>
      <c r="V175" s="1191">
        <v>0</v>
      </c>
      <c r="W175" s="1191">
        <v>0.56999999999999995</v>
      </c>
      <c r="X175" s="1191">
        <v>0</v>
      </c>
      <c r="Y175" s="1191">
        <v>0.5</v>
      </c>
      <c r="Z175" s="1191">
        <v>0</v>
      </c>
      <c r="AA175" s="1191">
        <v>0.51</v>
      </c>
      <c r="AB175" s="1191">
        <v>0</v>
      </c>
      <c r="AC175" s="1179">
        <v>0.41</v>
      </c>
      <c r="AE175" s="1186"/>
      <c r="AF175" s="1188" t="s">
        <v>736</v>
      </c>
      <c r="AG175" s="395" t="s">
        <v>737</v>
      </c>
      <c r="AH175" s="396" t="s">
        <v>738</v>
      </c>
      <c r="AI175" s="1191">
        <v>0</v>
      </c>
      <c r="AJ175" s="1191">
        <f>U175/4</f>
        <v>0.16750000000000001</v>
      </c>
      <c r="AK175" s="1191">
        <v>0</v>
      </c>
      <c r="AL175" s="1191">
        <f>W175/4</f>
        <v>0.14249999999999999</v>
      </c>
      <c r="AM175" s="1191">
        <v>0</v>
      </c>
      <c r="AN175" s="1191">
        <f>Y175/4</f>
        <v>0.125</v>
      </c>
      <c r="AO175" s="1191">
        <v>0</v>
      </c>
      <c r="AP175" s="1191">
        <f>AA175/4</f>
        <v>0.1275</v>
      </c>
      <c r="AQ175" s="1191">
        <v>0</v>
      </c>
      <c r="AR175" s="1179">
        <f>AC175/4</f>
        <v>0.10249999999999999</v>
      </c>
    </row>
    <row r="176" spans="1:44" outlineLevel="1">
      <c r="B176" s="500" t="s">
        <v>658</v>
      </c>
      <c r="C176" s="506">
        <v>3</v>
      </c>
      <c r="D176" s="506">
        <v>3</v>
      </c>
      <c r="E176" s="506">
        <v>3</v>
      </c>
      <c r="F176" s="506">
        <v>3</v>
      </c>
      <c r="G176" s="506">
        <v>2.6</v>
      </c>
      <c r="H176" s="506">
        <v>3.5</v>
      </c>
      <c r="I176" s="506">
        <v>2.2999999999999998</v>
      </c>
      <c r="J176" s="506">
        <v>3.8</v>
      </c>
      <c r="K176" s="503" t="s">
        <v>20</v>
      </c>
      <c r="L176" s="504">
        <v>3</v>
      </c>
      <c r="M176" s="367"/>
      <c r="N176" s="367"/>
      <c r="O176" s="71"/>
      <c r="P176" s="1186"/>
      <c r="Q176" s="1189"/>
      <c r="R176" s="395" t="s">
        <v>739</v>
      </c>
      <c r="S176" s="396" t="s">
        <v>738</v>
      </c>
      <c r="T176" s="1194"/>
      <c r="U176" s="1194"/>
      <c r="V176" s="1194"/>
      <c r="W176" s="1194"/>
      <c r="X176" s="1194"/>
      <c r="Y176" s="1194"/>
      <c r="Z176" s="1194"/>
      <c r="AA176" s="1194"/>
      <c r="AB176" s="1194"/>
      <c r="AC176" s="1196"/>
      <c r="AE176" s="1186"/>
      <c r="AF176" s="1189"/>
      <c r="AG176" s="395" t="s">
        <v>739</v>
      </c>
      <c r="AH176" s="396" t="s">
        <v>738</v>
      </c>
      <c r="AI176" s="1194"/>
      <c r="AJ176" s="1194"/>
      <c r="AK176" s="1194"/>
      <c r="AL176" s="1194"/>
      <c r="AM176" s="1194"/>
      <c r="AN176" s="1194"/>
      <c r="AO176" s="1194"/>
      <c r="AP176" s="1194"/>
      <c r="AQ176" s="1194"/>
      <c r="AR176" s="1196"/>
    </row>
    <row r="177" spans="1:44" outlineLevel="1">
      <c r="B177" s="383" t="s">
        <v>11</v>
      </c>
      <c r="C177" s="397">
        <v>25</v>
      </c>
      <c r="D177" s="397">
        <v>25</v>
      </c>
      <c r="E177" s="397">
        <v>25</v>
      </c>
      <c r="F177" s="397">
        <v>25</v>
      </c>
      <c r="G177" s="399">
        <v>20</v>
      </c>
      <c r="H177" s="399">
        <v>35</v>
      </c>
      <c r="I177" s="399">
        <v>20</v>
      </c>
      <c r="J177" s="399">
        <v>35</v>
      </c>
      <c r="K177" s="372"/>
      <c r="L177" s="373" t="s">
        <v>740</v>
      </c>
      <c r="M177" s="363"/>
      <c r="N177" s="363"/>
      <c r="P177" s="1186"/>
      <c r="Q177" s="1189"/>
      <c r="R177" s="395" t="s">
        <v>741</v>
      </c>
      <c r="S177" s="396"/>
      <c r="T177" s="1194"/>
      <c r="U177" s="1194"/>
      <c r="V177" s="1194"/>
      <c r="W177" s="1194"/>
      <c r="X177" s="1194"/>
      <c r="Y177" s="1194"/>
      <c r="Z177" s="1194"/>
      <c r="AA177" s="1194"/>
      <c r="AB177" s="1194"/>
      <c r="AC177" s="1196"/>
      <c r="AE177" s="1186"/>
      <c r="AF177" s="1189"/>
      <c r="AG177" s="395" t="s">
        <v>741</v>
      </c>
      <c r="AH177" s="629" t="s">
        <v>738</v>
      </c>
      <c r="AI177" s="1194"/>
      <c r="AJ177" s="1194"/>
      <c r="AK177" s="1194"/>
      <c r="AL177" s="1194"/>
      <c r="AM177" s="1194"/>
      <c r="AN177" s="1194"/>
      <c r="AO177" s="1194"/>
      <c r="AP177" s="1194"/>
      <c r="AQ177" s="1194"/>
      <c r="AR177" s="1196"/>
    </row>
    <row r="178" spans="1:44" ht="16" outlineLevel="1" thickBot="1">
      <c r="B178" s="500" t="s">
        <v>273</v>
      </c>
      <c r="C178" s="506">
        <v>1</v>
      </c>
      <c r="D178" s="506">
        <v>1</v>
      </c>
      <c r="E178" s="506">
        <v>1</v>
      </c>
      <c r="F178" s="506">
        <v>1</v>
      </c>
      <c r="G178" s="506">
        <v>0.5</v>
      </c>
      <c r="H178" s="506">
        <v>1.5</v>
      </c>
      <c r="I178" s="506">
        <v>0.5</v>
      </c>
      <c r="J178" s="506">
        <v>1.5</v>
      </c>
      <c r="K178" s="372"/>
      <c r="L178" s="400"/>
      <c r="M178" s="363"/>
      <c r="N178" s="363"/>
      <c r="P178" s="1186"/>
      <c r="Q178" s="1189"/>
      <c r="R178" s="395" t="s">
        <v>742</v>
      </c>
      <c r="S178" s="396" t="s">
        <v>738</v>
      </c>
      <c r="T178" s="1194"/>
      <c r="U178" s="1194"/>
      <c r="V178" s="1194"/>
      <c r="W178" s="1194"/>
      <c r="X178" s="1194"/>
      <c r="Y178" s="1194"/>
      <c r="Z178" s="1194"/>
      <c r="AA178" s="1194"/>
      <c r="AB178" s="1194"/>
      <c r="AC178" s="1196"/>
      <c r="AE178" s="1186"/>
      <c r="AF178" s="1189"/>
      <c r="AG178" s="395" t="s">
        <v>742</v>
      </c>
      <c r="AH178" s="396"/>
      <c r="AI178" s="1194"/>
      <c r="AJ178" s="1194"/>
      <c r="AK178" s="1194"/>
      <c r="AL178" s="1194"/>
      <c r="AM178" s="1194"/>
      <c r="AN178" s="1194"/>
      <c r="AO178" s="1194"/>
      <c r="AP178" s="1194"/>
      <c r="AQ178" s="1194"/>
      <c r="AR178" s="1196"/>
    </row>
    <row r="179" spans="1:44" ht="16" outlineLevel="1" thickBot="1">
      <c r="B179" s="401" t="s">
        <v>743</v>
      </c>
      <c r="C179" s="402"/>
      <c r="D179" s="403"/>
      <c r="E179" s="404"/>
      <c r="F179" s="405"/>
      <c r="G179" s="406"/>
      <c r="H179" s="406"/>
      <c r="I179" s="406"/>
      <c r="J179" s="406"/>
      <c r="K179" s="407"/>
      <c r="L179" s="408"/>
      <c r="M179" s="363"/>
      <c r="N179" s="363"/>
      <c r="P179" s="1186"/>
      <c r="Q179" s="1190"/>
      <c r="R179" s="409" t="s">
        <v>863</v>
      </c>
      <c r="S179" s="410" t="s">
        <v>738</v>
      </c>
      <c r="T179" s="1195"/>
      <c r="U179" s="1195"/>
      <c r="V179" s="1195"/>
      <c r="W179" s="1195"/>
      <c r="X179" s="1195"/>
      <c r="Y179" s="1195"/>
      <c r="Z179" s="1195"/>
      <c r="AA179" s="1195"/>
      <c r="AB179" s="1195"/>
      <c r="AC179" s="1197"/>
      <c r="AE179" s="1186"/>
      <c r="AF179" s="1190"/>
      <c r="AG179" s="409" t="s">
        <v>863</v>
      </c>
      <c r="AH179" s="410" t="s">
        <v>738</v>
      </c>
      <c r="AI179" s="1195"/>
      <c r="AJ179" s="1195"/>
      <c r="AK179" s="1195"/>
      <c r="AL179" s="1195"/>
      <c r="AM179" s="1195"/>
      <c r="AN179" s="1195"/>
      <c r="AO179" s="1195"/>
      <c r="AP179" s="1195"/>
      <c r="AQ179" s="1195"/>
      <c r="AR179" s="1197"/>
    </row>
    <row r="180" spans="1:44" ht="33" outlineLevel="1" thickBot="1">
      <c r="B180" s="500" t="s">
        <v>663</v>
      </c>
      <c r="C180" s="506">
        <v>20</v>
      </c>
      <c r="D180" s="506">
        <v>20</v>
      </c>
      <c r="E180" s="506">
        <v>20</v>
      </c>
      <c r="F180" s="506">
        <v>20</v>
      </c>
      <c r="G180" s="507"/>
      <c r="H180" s="507"/>
      <c r="I180" s="507"/>
      <c r="J180" s="507"/>
      <c r="K180" s="503"/>
      <c r="L180" s="504">
        <v>3</v>
      </c>
      <c r="M180" s="363"/>
      <c r="N180" s="363"/>
      <c r="P180" s="1187"/>
      <c r="Q180" s="411" t="s">
        <v>745</v>
      </c>
      <c r="R180" s="412" t="s">
        <v>746</v>
      </c>
      <c r="S180" s="630" t="s">
        <v>738</v>
      </c>
      <c r="T180" s="416">
        <v>1</v>
      </c>
      <c r="U180" s="415">
        <v>1</v>
      </c>
      <c r="V180" s="416">
        <v>1</v>
      </c>
      <c r="W180" s="415">
        <v>1</v>
      </c>
      <c r="X180" s="416">
        <v>1</v>
      </c>
      <c r="Y180" s="415">
        <v>1</v>
      </c>
      <c r="Z180" s="416">
        <v>1</v>
      </c>
      <c r="AA180" s="415">
        <v>1</v>
      </c>
      <c r="AB180" s="416">
        <v>1</v>
      </c>
      <c r="AC180" s="417">
        <v>1</v>
      </c>
      <c r="AE180" s="1187"/>
      <c r="AF180" s="411" t="s">
        <v>745</v>
      </c>
      <c r="AG180" s="631" t="s">
        <v>746</v>
      </c>
      <c r="AH180" s="632" t="s">
        <v>738</v>
      </c>
      <c r="AI180" s="416">
        <v>1</v>
      </c>
      <c r="AJ180" s="415">
        <v>1</v>
      </c>
      <c r="AK180" s="416">
        <v>1</v>
      </c>
      <c r="AL180" s="415">
        <v>1</v>
      </c>
      <c r="AM180" s="416">
        <v>1</v>
      </c>
      <c r="AN180" s="415">
        <v>1</v>
      </c>
      <c r="AO180" s="416">
        <v>1</v>
      </c>
      <c r="AP180" s="415">
        <v>1</v>
      </c>
      <c r="AQ180" s="416">
        <v>1</v>
      </c>
      <c r="AR180" s="417">
        <v>1</v>
      </c>
    </row>
    <row r="181" spans="1:44" outlineLevel="1">
      <c r="B181" s="500" t="s">
        <v>664</v>
      </c>
      <c r="C181" s="506">
        <v>0.3</v>
      </c>
      <c r="D181" s="506">
        <v>0.3</v>
      </c>
      <c r="E181" s="506">
        <v>0.3</v>
      </c>
      <c r="F181" s="506">
        <v>0.3</v>
      </c>
      <c r="G181" s="509"/>
      <c r="H181" s="509"/>
      <c r="I181" s="509"/>
      <c r="J181" s="509"/>
      <c r="K181" s="510"/>
      <c r="L181" s="504">
        <v>3</v>
      </c>
      <c r="M181" s="363"/>
      <c r="N181" s="363"/>
    </row>
    <row r="182" spans="1:44" outlineLevel="1">
      <c r="B182" s="500" t="s">
        <v>666</v>
      </c>
      <c r="C182" s="506">
        <v>0.5</v>
      </c>
      <c r="D182" s="506">
        <v>0.5</v>
      </c>
      <c r="E182" s="506">
        <v>0.5</v>
      </c>
      <c r="F182" s="506">
        <v>0.5</v>
      </c>
      <c r="G182" s="509"/>
      <c r="H182" s="509"/>
      <c r="I182" s="509"/>
      <c r="J182" s="509"/>
      <c r="K182" s="510"/>
      <c r="L182" s="504">
        <v>3</v>
      </c>
      <c r="M182" s="420"/>
      <c r="N182" s="363"/>
    </row>
    <row r="183" spans="1:44" outlineLevel="1">
      <c r="B183" s="421" t="s">
        <v>12</v>
      </c>
      <c r="C183" s="399"/>
      <c r="D183" s="399"/>
      <c r="E183" s="399"/>
      <c r="F183" s="399"/>
      <c r="G183" s="422"/>
      <c r="H183" s="422"/>
      <c r="I183" s="422"/>
      <c r="J183" s="422"/>
      <c r="K183" s="423"/>
      <c r="L183" s="424"/>
      <c r="M183" s="420"/>
      <c r="N183" s="420"/>
    </row>
    <row r="184" spans="1:44" outlineLevel="1">
      <c r="B184" s="383" t="s">
        <v>843</v>
      </c>
      <c r="C184" s="397">
        <v>11</v>
      </c>
      <c r="D184" s="397">
        <v>11</v>
      </c>
      <c r="E184" s="397">
        <v>11</v>
      </c>
      <c r="F184" s="397">
        <v>11</v>
      </c>
      <c r="G184" s="422"/>
      <c r="H184" s="425"/>
      <c r="I184" s="425"/>
      <c r="J184" s="425"/>
      <c r="K184" s="426" t="s">
        <v>76</v>
      </c>
      <c r="L184" s="427" t="s">
        <v>748</v>
      </c>
      <c r="M184" s="428"/>
      <c r="N184" s="428"/>
    </row>
    <row r="185" spans="1:44" outlineLevel="1">
      <c r="B185" s="383" t="s">
        <v>749</v>
      </c>
      <c r="C185" s="397">
        <v>10</v>
      </c>
      <c r="D185" s="397">
        <v>10</v>
      </c>
      <c r="E185" s="397">
        <v>10</v>
      </c>
      <c r="F185" s="397">
        <v>10</v>
      </c>
      <c r="G185" s="425"/>
      <c r="H185" s="425"/>
      <c r="I185" s="425"/>
      <c r="J185" s="425"/>
      <c r="K185" s="423"/>
      <c r="L185" s="427">
        <v>9</v>
      </c>
      <c r="M185" s="428"/>
      <c r="N185" s="428"/>
    </row>
    <row r="186" spans="1:44" outlineLevel="1">
      <c r="B186" s="383" t="s">
        <v>844</v>
      </c>
      <c r="C186" s="397">
        <v>63</v>
      </c>
      <c r="D186" s="397">
        <v>49</v>
      </c>
      <c r="E186" s="397">
        <v>46</v>
      </c>
      <c r="F186" s="397">
        <v>41</v>
      </c>
      <c r="G186" s="425"/>
      <c r="H186" s="425"/>
      <c r="I186" s="425"/>
      <c r="J186" s="425"/>
      <c r="K186" s="423"/>
      <c r="L186" s="427" t="s">
        <v>748</v>
      </c>
      <c r="M186" s="428"/>
      <c r="N186" s="428"/>
    </row>
    <row r="187" spans="1:44" outlineLevel="1">
      <c r="B187" s="383" t="s">
        <v>366</v>
      </c>
      <c r="C187" s="397">
        <v>11</v>
      </c>
      <c r="D187" s="397">
        <v>8</v>
      </c>
      <c r="E187" s="397">
        <v>6</v>
      </c>
      <c r="F187" s="397">
        <v>4</v>
      </c>
      <c r="G187" s="425"/>
      <c r="H187" s="425"/>
      <c r="I187" s="425"/>
      <c r="J187" s="425"/>
      <c r="K187" s="423"/>
      <c r="L187" s="427" t="s">
        <v>748</v>
      </c>
      <c r="M187" s="428"/>
      <c r="N187" s="428"/>
    </row>
    <row r="188" spans="1:44" ht="16" outlineLevel="1" thickBot="1">
      <c r="B188" s="429" t="s">
        <v>367</v>
      </c>
      <c r="C188" s="430">
        <v>3</v>
      </c>
      <c r="D188" s="430">
        <v>3</v>
      </c>
      <c r="E188" s="430">
        <v>1</v>
      </c>
      <c r="F188" s="430">
        <v>1</v>
      </c>
      <c r="G188" s="425"/>
      <c r="H188" s="425"/>
      <c r="I188" s="425"/>
      <c r="J188" s="425"/>
      <c r="K188" s="423"/>
      <c r="L188" s="427" t="s">
        <v>748</v>
      </c>
      <c r="M188" s="428"/>
      <c r="N188" s="428"/>
    </row>
    <row r="189" spans="1:44" ht="16" outlineLevel="1" thickBot="1">
      <c r="B189" s="431" t="s">
        <v>674</v>
      </c>
      <c r="C189" s="432"/>
      <c r="D189" s="403"/>
      <c r="E189" s="403"/>
      <c r="F189" s="433"/>
      <c r="G189" s="434"/>
      <c r="H189" s="406"/>
      <c r="I189" s="406"/>
      <c r="J189" s="406"/>
      <c r="K189" s="407"/>
      <c r="L189" s="408"/>
      <c r="M189" s="428"/>
      <c r="N189" s="428"/>
    </row>
    <row r="190" spans="1:44" outlineLevel="1">
      <c r="A190" s="435"/>
      <c r="B190" s="436" t="s">
        <v>910</v>
      </c>
      <c r="C190" s="551">
        <f>0.618181818181818</f>
        <v>0.61818181818181805</v>
      </c>
      <c r="D190" s="647">
        <f>0.590909090909091</f>
        <v>0.59090909090909105</v>
      </c>
      <c r="E190" s="647">
        <f>(F190+D190)/2</f>
        <v>0.56363636363636349</v>
      </c>
      <c r="F190" s="648">
        <f>0.536363636363636</f>
        <v>0.53636363636363604</v>
      </c>
      <c r="G190" s="425"/>
      <c r="H190" s="425"/>
      <c r="I190" s="425"/>
      <c r="J190" s="425"/>
      <c r="K190" s="426" t="s">
        <v>752</v>
      </c>
      <c r="L190" s="440" t="s">
        <v>753</v>
      </c>
      <c r="M190" s="420"/>
      <c r="N190" s="420"/>
    </row>
    <row r="191" spans="1:44" outlineLevel="1">
      <c r="B191" s="441" t="s">
        <v>839</v>
      </c>
      <c r="C191" s="442">
        <v>60</v>
      </c>
      <c r="D191" s="442">
        <v>60</v>
      </c>
      <c r="E191" s="442">
        <v>60</v>
      </c>
      <c r="F191" s="442">
        <v>60</v>
      </c>
      <c r="G191" s="425"/>
      <c r="H191" s="425"/>
      <c r="I191" s="425"/>
      <c r="J191" s="425"/>
      <c r="K191" s="444"/>
      <c r="L191" s="373">
        <v>3</v>
      </c>
      <c r="M191" s="71"/>
      <c r="N191" s="420"/>
    </row>
    <row r="192" spans="1:44" outlineLevel="1">
      <c r="B192" s="441" t="s">
        <v>840</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841</v>
      </c>
      <c r="C193" s="602">
        <v>33700</v>
      </c>
      <c r="D193" s="603">
        <v>35900</v>
      </c>
      <c r="E193" s="603">
        <f>(F193+D193)/2</f>
        <v>34800</v>
      </c>
      <c r="F193" s="604">
        <v>33700</v>
      </c>
      <c r="G193" s="425"/>
      <c r="H193" s="425"/>
      <c r="I193" s="425"/>
      <c r="J193" s="425"/>
      <c r="K193" s="448" t="s">
        <v>51</v>
      </c>
      <c r="L193" s="373">
        <v>3</v>
      </c>
      <c r="M193" s="420"/>
      <c r="N193" s="420"/>
    </row>
    <row r="194" spans="2:30" outlineLevel="1">
      <c r="B194" s="383" t="s">
        <v>679</v>
      </c>
      <c r="C194" s="449">
        <f>C195+C196</f>
        <v>2.7789999999999999</v>
      </c>
      <c r="D194" s="449">
        <f t="shared" ref="D194:F194" si="10">D195+D196</f>
        <v>2.8250000000000002</v>
      </c>
      <c r="E194" s="449">
        <f t="shared" si="10"/>
        <v>2.8479999999999999</v>
      </c>
      <c r="F194" s="449">
        <f t="shared" si="10"/>
        <v>2.8479999999999999</v>
      </c>
      <c r="G194" s="425"/>
      <c r="H194" s="425"/>
      <c r="I194" s="425"/>
      <c r="J194" s="425"/>
      <c r="K194" s="448"/>
      <c r="L194" s="373">
        <v>3</v>
      </c>
      <c r="M194" s="450"/>
      <c r="N194" s="361"/>
      <c r="P194" s="1157">
        <f>C194</f>
        <v>2.7789999999999999</v>
      </c>
      <c r="Q194" s="1135"/>
      <c r="R194" s="1135"/>
      <c r="S194" s="1135"/>
      <c r="T194" s="1135"/>
      <c r="U194" s="1158"/>
    </row>
    <row r="195" spans="2:30" ht="16" outlineLevel="1" thickBot="1">
      <c r="B195" s="500" t="s">
        <v>758</v>
      </c>
      <c r="C195" s="514">
        <f>C174/100*73</f>
        <v>1.679</v>
      </c>
      <c r="D195" s="514">
        <f>D174/100*75</f>
        <v>1.7249999999999999</v>
      </c>
      <c r="E195" s="514">
        <f>E174/100*76</f>
        <v>1.748</v>
      </c>
      <c r="F195" s="514">
        <f>F174/100*76</f>
        <v>1.748</v>
      </c>
      <c r="G195" s="515"/>
      <c r="H195" s="515"/>
      <c r="I195" s="515"/>
      <c r="J195" s="515"/>
      <c r="K195" s="503" t="s">
        <v>52</v>
      </c>
      <c r="L195" s="504">
        <v>3</v>
      </c>
      <c r="M195" s="450"/>
      <c r="N195" s="361"/>
      <c r="P195" s="1159">
        <f>C195</f>
        <v>1.679</v>
      </c>
      <c r="Q195" s="1160"/>
      <c r="R195" s="1160"/>
      <c r="S195" s="1160"/>
      <c r="T195" s="1160"/>
      <c r="U195" s="1161"/>
    </row>
    <row r="196" spans="2:30" outlineLevel="1">
      <c r="B196" s="500" t="s">
        <v>759</v>
      </c>
      <c r="C196" s="516">
        <v>1.1000000000000001</v>
      </c>
      <c r="D196" s="516">
        <v>1.1000000000000001</v>
      </c>
      <c r="E196" s="516">
        <v>1.1000000000000001</v>
      </c>
      <c r="F196" s="516">
        <v>1.1000000000000001</v>
      </c>
      <c r="G196" s="515"/>
      <c r="H196" s="515"/>
      <c r="I196" s="515"/>
      <c r="J196" s="515"/>
      <c r="K196" s="517"/>
      <c r="L196" s="504">
        <v>3</v>
      </c>
      <c r="M196" s="363"/>
      <c r="N196" s="363"/>
      <c r="P196" s="53" t="s">
        <v>357</v>
      </c>
    </row>
    <row r="197" spans="2:30" ht="30" outlineLevel="1">
      <c r="B197" s="441"/>
      <c r="C197" s="681"/>
      <c r="D197" s="681"/>
      <c r="E197" s="681"/>
      <c r="F197" s="681"/>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7" outlineLevel="1" thickBot="1">
      <c r="B198" s="519"/>
      <c r="C198" s="442"/>
      <c r="D198" s="520"/>
      <c r="E198" s="520"/>
      <c r="F198" s="521"/>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33"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22" t="s">
        <v>762</v>
      </c>
      <c r="C200" s="670">
        <v>3.5000000000000003E-2</v>
      </c>
      <c r="D200" s="670">
        <v>0.03</v>
      </c>
      <c r="E200" s="670">
        <v>0.03</v>
      </c>
      <c r="F200" s="670">
        <v>0.03</v>
      </c>
      <c r="G200" s="524"/>
      <c r="H200" s="524"/>
      <c r="I200" s="524"/>
      <c r="J200" s="524"/>
      <c r="K200" s="524" t="s">
        <v>55</v>
      </c>
      <c r="L200" s="525"/>
      <c r="M200" s="363"/>
      <c r="N200" s="363"/>
      <c r="O200" s="465">
        <f>C173</f>
        <v>90</v>
      </c>
      <c r="P200" s="466">
        <f>C169</f>
        <v>2020</v>
      </c>
      <c r="Q200" s="58">
        <f>P200</f>
        <v>2020</v>
      </c>
      <c r="R200" s="466">
        <f>O200/100</f>
        <v>0.9</v>
      </c>
      <c r="S200" s="58"/>
      <c r="T200" s="466">
        <f>C177</f>
        <v>25</v>
      </c>
      <c r="U200" s="467">
        <f>C207</f>
        <v>4605.4545454545441</v>
      </c>
      <c r="V200" s="467">
        <f>C209</f>
        <v>251.065</v>
      </c>
      <c r="W200" s="467">
        <f>C210</f>
        <v>5.7509861111111107</v>
      </c>
      <c r="X200" s="58"/>
      <c r="Y200" s="58"/>
      <c r="Z200" s="466">
        <f>C184</f>
        <v>11</v>
      </c>
      <c r="AA200" s="468">
        <f>C186</f>
        <v>63</v>
      </c>
      <c r="AB200" s="468">
        <f>C187</f>
        <v>11</v>
      </c>
      <c r="AC200" s="468">
        <f>C188</f>
        <v>3</v>
      </c>
      <c r="AD200" s="468">
        <f>C185</f>
        <v>10</v>
      </c>
    </row>
    <row r="201" spans="2:30" outlineLevel="1">
      <c r="B201" s="500" t="s">
        <v>763</v>
      </c>
      <c r="C201" s="526" t="s">
        <v>36</v>
      </c>
      <c r="D201" s="527" t="s">
        <v>36</v>
      </c>
      <c r="E201" s="527" t="s">
        <v>36</v>
      </c>
      <c r="F201" s="528" t="s">
        <v>36</v>
      </c>
      <c r="G201" s="528"/>
      <c r="H201" s="528"/>
      <c r="I201" s="528"/>
      <c r="J201" s="528"/>
      <c r="K201" s="529" t="s">
        <v>49</v>
      </c>
      <c r="L201" s="525"/>
      <c r="M201" s="363"/>
      <c r="N201" s="363"/>
      <c r="O201" s="465">
        <f>D173</f>
        <v>90</v>
      </c>
      <c r="P201" s="466">
        <f>D169</f>
        <v>2030</v>
      </c>
      <c r="Q201" s="58"/>
      <c r="R201" s="466">
        <f>O201/100</f>
        <v>0.9</v>
      </c>
      <c r="S201" s="58"/>
      <c r="T201" s="466">
        <f>D177</f>
        <v>25</v>
      </c>
      <c r="U201" s="467">
        <f>D207</f>
        <v>4402.2727272727279</v>
      </c>
      <c r="V201" s="467">
        <f>D209</f>
        <v>267.45499999999998</v>
      </c>
      <c r="W201" s="467">
        <f>D210</f>
        <v>5.8461805555555557</v>
      </c>
      <c r="X201" s="58"/>
      <c r="Y201" s="58"/>
      <c r="Z201" s="466">
        <f>D184</f>
        <v>11</v>
      </c>
      <c r="AA201" s="468">
        <f>D186</f>
        <v>49</v>
      </c>
      <c r="AB201" s="468">
        <f>D187</f>
        <v>8</v>
      </c>
      <c r="AC201" s="468">
        <f>D188</f>
        <v>3</v>
      </c>
      <c r="AD201" s="468">
        <f>D185</f>
        <v>10</v>
      </c>
    </row>
    <row r="202" spans="2:30" outlineLevel="1">
      <c r="B202" s="500" t="s">
        <v>764</v>
      </c>
      <c r="C202" s="526" t="s">
        <v>36</v>
      </c>
      <c r="D202" s="527" t="s">
        <v>36</v>
      </c>
      <c r="E202" s="527" t="s">
        <v>36</v>
      </c>
      <c r="F202" s="528" t="s">
        <v>36</v>
      </c>
      <c r="G202" s="515"/>
      <c r="H202" s="515"/>
      <c r="I202" s="515"/>
      <c r="J202" s="515"/>
      <c r="K202" s="515"/>
      <c r="L202" s="504"/>
      <c r="M202" s="363"/>
      <c r="N202" s="363"/>
      <c r="O202" s="465">
        <f>E173</f>
        <v>90</v>
      </c>
      <c r="P202" s="466">
        <f>E169</f>
        <v>2040</v>
      </c>
      <c r="Q202" s="58"/>
      <c r="R202" s="466">
        <f>O202/100</f>
        <v>0.9</v>
      </c>
      <c r="S202" s="58"/>
      <c r="T202" s="466">
        <f>E177</f>
        <v>25</v>
      </c>
      <c r="U202" s="467">
        <f>E207</f>
        <v>4199.0909090909081</v>
      </c>
      <c r="V202" s="467">
        <f>E209</f>
        <v>259.26</v>
      </c>
      <c r="W202" s="467">
        <f>E210</f>
        <v>5.8937777777777782</v>
      </c>
      <c r="X202" s="58"/>
      <c r="Y202" s="58"/>
      <c r="Z202" s="466">
        <f>E184</f>
        <v>11</v>
      </c>
      <c r="AA202" s="468">
        <f>E186</f>
        <v>46</v>
      </c>
      <c r="AB202" s="468">
        <f>E187</f>
        <v>6</v>
      </c>
      <c r="AC202" s="468">
        <f>E188</f>
        <v>1</v>
      </c>
      <c r="AD202" s="468">
        <f>E185</f>
        <v>10</v>
      </c>
    </row>
    <row r="203" spans="2:30" outlineLevel="1">
      <c r="B203" s="500" t="s">
        <v>765</v>
      </c>
      <c r="C203" s="685">
        <v>90</v>
      </c>
      <c r="D203" s="530">
        <v>90</v>
      </c>
      <c r="E203" s="530">
        <v>90</v>
      </c>
      <c r="F203" s="530">
        <v>90</v>
      </c>
      <c r="G203" s="531"/>
      <c r="H203" s="531"/>
      <c r="I203" s="531"/>
      <c r="J203" s="531"/>
      <c r="K203" s="531"/>
      <c r="L203" s="504">
        <v>3</v>
      </c>
      <c r="M203" s="363"/>
      <c r="N203" s="363"/>
      <c r="O203" s="465">
        <f>F173</f>
        <v>91</v>
      </c>
      <c r="P203" s="466">
        <f>F169</f>
        <v>2050</v>
      </c>
      <c r="Q203" s="58"/>
      <c r="R203" s="466">
        <f>O203/100</f>
        <v>0.91</v>
      </c>
      <c r="S203" s="58"/>
      <c r="T203" s="466">
        <f>F177</f>
        <v>25</v>
      </c>
      <c r="U203" s="467">
        <f>F207</f>
        <v>3995.9090909090883</v>
      </c>
      <c r="V203" s="467">
        <f>F209</f>
        <v>251.065</v>
      </c>
      <c r="W203" s="467">
        <f>F210</f>
        <v>5.8937777777777782</v>
      </c>
      <c r="X203" s="58"/>
      <c r="Y203" s="58"/>
      <c r="Z203" s="466">
        <f>F184</f>
        <v>11</v>
      </c>
      <c r="AA203" s="468">
        <f>F186</f>
        <v>41</v>
      </c>
      <c r="AB203" s="468">
        <f>F187</f>
        <v>4</v>
      </c>
      <c r="AC203" s="468">
        <f>F188</f>
        <v>1</v>
      </c>
      <c r="AD203" s="468">
        <f>F185</f>
        <v>10</v>
      </c>
    </row>
    <row r="204" spans="2:30" outlineLevel="1">
      <c r="B204" s="532" t="s">
        <v>766</v>
      </c>
      <c r="C204" s="526"/>
      <c r="D204" s="527"/>
      <c r="E204" s="527"/>
      <c r="F204" s="528"/>
      <c r="G204" s="531"/>
      <c r="H204" s="531"/>
      <c r="I204" s="531"/>
      <c r="J204" s="531"/>
      <c r="K204" s="531"/>
      <c r="L204" s="533"/>
      <c r="M204" s="367"/>
      <c r="N204" s="367"/>
    </row>
    <row r="205" spans="2:30" outlineLevel="1">
      <c r="B205" s="532" t="s">
        <v>767</v>
      </c>
      <c r="C205" s="526"/>
      <c r="D205" s="527"/>
      <c r="E205" s="527"/>
      <c r="F205" s="528"/>
      <c r="G205" s="531"/>
      <c r="H205" s="531"/>
      <c r="I205" s="531"/>
      <c r="J205" s="531"/>
      <c r="K205" s="531"/>
      <c r="L205" s="533"/>
      <c r="M205" s="363"/>
      <c r="N205" s="363"/>
    </row>
    <row r="206" spans="2:30" ht="16" outlineLevel="1" thickBot="1">
      <c r="B206" s="534" t="s">
        <v>768</v>
      </c>
      <c r="C206" s="535"/>
      <c r="D206" s="536"/>
      <c r="E206" s="536"/>
      <c r="F206" s="537"/>
      <c r="G206" s="538"/>
      <c r="H206" s="538"/>
      <c r="I206" s="538"/>
      <c r="J206" s="538"/>
      <c r="K206" s="538"/>
      <c r="L206" s="539"/>
      <c r="M206" s="363"/>
      <c r="N206" s="363"/>
    </row>
    <row r="207" spans="2:30" ht="64" outlineLevel="1">
      <c r="B207" s="461" t="s">
        <v>769</v>
      </c>
      <c r="C207" s="483">
        <f>C190*$F$4*1000</f>
        <v>4605.4545454545441</v>
      </c>
      <c r="D207" s="483">
        <f t="shared" ref="D207:F207" si="11">D190*$F$4*1000</f>
        <v>4402.2727272727279</v>
      </c>
      <c r="E207" s="483">
        <f t="shared" si="11"/>
        <v>4199.0909090909081</v>
      </c>
      <c r="F207" s="483">
        <f t="shared" si="11"/>
        <v>3995.9090909090883</v>
      </c>
      <c r="G207" s="483"/>
      <c r="H207" s="484"/>
      <c r="I207" s="420" t="s">
        <v>332</v>
      </c>
      <c r="J207" s="420"/>
      <c r="K207" s="484"/>
      <c r="L207" s="484"/>
      <c r="N207" s="420"/>
    </row>
    <row r="208" spans="2:30" outlineLevel="1">
      <c r="B208" s="485" t="s">
        <v>770</v>
      </c>
      <c r="C208" s="486">
        <f>C207*$I208</f>
        <v>2302727.272727272</v>
      </c>
      <c r="D208" s="486">
        <f>D207*$I208</f>
        <v>2201136.3636363638</v>
      </c>
      <c r="E208" s="486">
        <f>E207*$I208</f>
        <v>2099545.4545454541</v>
      </c>
      <c r="F208" s="486">
        <f>F207*$I208</f>
        <v>1997954.545454544</v>
      </c>
      <c r="G208" s="486"/>
      <c r="H208" s="484"/>
      <c r="I208" s="71">
        <v>500</v>
      </c>
      <c r="J208" s="420" t="s">
        <v>330</v>
      </c>
      <c r="K208" s="484"/>
      <c r="L208" s="484"/>
      <c r="N208" s="420"/>
    </row>
    <row r="209" spans="1:16" ht="48" outlineLevel="1">
      <c r="B209" s="461" t="s">
        <v>845</v>
      </c>
      <c r="C209" s="359">
        <f>C193*$F$4/1000</f>
        <v>251.065</v>
      </c>
      <c r="D209" s="359">
        <f t="shared" ref="D209:F209" si="12">D193*$F$4/1000</f>
        <v>267.45499999999998</v>
      </c>
      <c r="E209" s="359">
        <f t="shared" si="12"/>
        <v>259.26</v>
      </c>
      <c r="F209" s="359">
        <f t="shared" si="12"/>
        <v>251.065</v>
      </c>
      <c r="G209" s="359"/>
      <c r="I209" s="420" t="s">
        <v>333</v>
      </c>
      <c r="J209" s="420"/>
      <c r="N209" s="420"/>
    </row>
    <row r="210" spans="1:16" ht="48" outlineLevel="1">
      <c r="B210" s="461" t="s">
        <v>846</v>
      </c>
      <c r="C210" s="487">
        <f>C194*$F$4/3.6</f>
        <v>5.7509861111111107</v>
      </c>
      <c r="D210" s="487">
        <f t="shared" ref="D210:F210" si="13">D194*$F$4/3.6</f>
        <v>5.8461805555555557</v>
      </c>
      <c r="E210" s="487">
        <f t="shared" si="13"/>
        <v>5.8937777777777782</v>
      </c>
      <c r="F210" s="487">
        <f t="shared" si="13"/>
        <v>5.8937777777777782</v>
      </c>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t="s">
        <v>773</v>
      </c>
      <c r="C215" s="489"/>
      <c r="E215" s="358"/>
      <c r="F215" s="490"/>
      <c r="G215" s="358"/>
      <c r="H215" s="358"/>
      <c r="I215" s="358"/>
      <c r="J215" s="358"/>
      <c r="K215" s="358"/>
      <c r="L215" s="358"/>
      <c r="N215" s="570"/>
      <c r="O215" s="489"/>
      <c r="P215" s="490"/>
    </row>
    <row r="216" spans="1:16" outlineLevel="1">
      <c r="A216" s="491"/>
      <c r="B216" s="491">
        <v>1</v>
      </c>
      <c r="C216" s="492" t="s">
        <v>774</v>
      </c>
      <c r="E216" s="358"/>
      <c r="F216" s="490"/>
      <c r="G216" s="358"/>
      <c r="H216" s="358"/>
      <c r="I216" s="358"/>
      <c r="J216" s="358"/>
      <c r="K216" s="358"/>
      <c r="L216" s="358"/>
      <c r="N216" s="570"/>
      <c r="O216" s="489"/>
      <c r="P216" s="490"/>
    </row>
    <row r="217" spans="1:16" outlineLevel="1">
      <c r="A217" s="358"/>
      <c r="B217" s="491">
        <v>2</v>
      </c>
      <c r="C217" s="493" t="s">
        <v>775</v>
      </c>
      <c r="E217" s="358"/>
      <c r="F217" s="490"/>
      <c r="G217" s="358"/>
      <c r="H217" s="358"/>
      <c r="I217" s="358"/>
      <c r="J217" s="358"/>
      <c r="K217" s="358"/>
      <c r="L217" s="358"/>
    </row>
    <row r="218" spans="1:16" outlineLevel="1">
      <c r="A218" s="358"/>
      <c r="B218" s="491">
        <v>3</v>
      </c>
      <c r="C218" s="493" t="s">
        <v>776</v>
      </c>
      <c r="E218" s="358"/>
      <c r="F218" s="490"/>
      <c r="G218" s="358"/>
      <c r="H218" s="358"/>
      <c r="I218" s="358"/>
      <c r="J218" s="358"/>
      <c r="K218" s="358"/>
      <c r="L218" s="358"/>
    </row>
    <row r="219" spans="1:16" outlineLevel="1">
      <c r="A219" s="358"/>
      <c r="B219" s="491">
        <v>4</v>
      </c>
      <c r="C219" s="493" t="s">
        <v>777</v>
      </c>
      <c r="E219" s="358"/>
      <c r="F219" s="490"/>
      <c r="G219" s="358"/>
      <c r="H219" s="358"/>
      <c r="I219" s="358"/>
      <c r="J219" s="358"/>
      <c r="K219" s="358"/>
      <c r="L219" s="358"/>
    </row>
    <row r="220" spans="1:16" outlineLevel="1">
      <c r="A220" s="358"/>
      <c r="B220" s="358">
        <v>5</v>
      </c>
      <c r="C220" s="494" t="s">
        <v>778</v>
      </c>
      <c r="F220" s="490"/>
      <c r="G220" s="358"/>
      <c r="H220" s="358"/>
      <c r="I220" s="358"/>
      <c r="J220" s="358"/>
      <c r="K220" s="358"/>
      <c r="L220" s="358"/>
    </row>
    <row r="221" spans="1:16" outlineLevel="1">
      <c r="A221" s="358"/>
      <c r="B221" s="358">
        <v>6</v>
      </c>
      <c r="C221" s="492" t="s">
        <v>779</v>
      </c>
      <c r="F221" s="490"/>
      <c r="G221" s="358"/>
      <c r="H221" s="358"/>
      <c r="I221" s="358"/>
      <c r="J221" s="358"/>
      <c r="K221" s="358"/>
      <c r="L221" s="358"/>
    </row>
    <row r="222" spans="1:16" outlineLevel="1">
      <c r="A222" s="358"/>
      <c r="B222" s="358">
        <v>7</v>
      </c>
      <c r="C222" s="495" t="s">
        <v>774</v>
      </c>
      <c r="F222" s="490"/>
      <c r="G222" s="358"/>
      <c r="H222" s="358"/>
      <c r="I222" s="358"/>
      <c r="J222" s="358"/>
      <c r="K222" s="358"/>
      <c r="L222" s="358"/>
    </row>
    <row r="223" spans="1:16" outlineLevel="1">
      <c r="A223" s="488"/>
      <c r="B223" s="358">
        <v>8</v>
      </c>
      <c r="C223" s="495" t="s">
        <v>780</v>
      </c>
      <c r="F223" s="490"/>
      <c r="G223" s="358"/>
      <c r="H223" s="358"/>
      <c r="I223" s="358"/>
      <c r="J223" s="358"/>
      <c r="K223" s="358"/>
      <c r="L223" s="358"/>
    </row>
    <row r="224" spans="1:16" outlineLevel="1">
      <c r="A224" s="496"/>
      <c r="B224" s="358">
        <v>9</v>
      </c>
      <c r="C224" s="489" t="s">
        <v>781</v>
      </c>
      <c r="F224" s="490"/>
      <c r="G224" s="358"/>
      <c r="H224" s="358"/>
      <c r="I224" s="358"/>
      <c r="J224" s="358"/>
      <c r="K224" s="358"/>
      <c r="L224" s="358"/>
      <c r="N224" s="570"/>
      <c r="O224" s="489"/>
      <c r="P224" s="490"/>
    </row>
    <row r="225" spans="1:16" outlineLevel="1">
      <c r="A225" s="496"/>
      <c r="B225" s="358">
        <v>10</v>
      </c>
      <c r="C225" s="490" t="s">
        <v>782</v>
      </c>
      <c r="F225" s="490"/>
      <c r="G225" s="358"/>
      <c r="H225" s="358"/>
      <c r="I225" s="358"/>
      <c r="J225" s="358"/>
      <c r="K225" s="358"/>
      <c r="L225" s="358"/>
      <c r="N225" s="570"/>
      <c r="O225" s="489"/>
      <c r="P225" s="490"/>
    </row>
    <row r="226" spans="1:16" outlineLevel="1">
      <c r="A226" s="496"/>
      <c r="B226" s="488" t="s">
        <v>783</v>
      </c>
      <c r="C226" s="489"/>
      <c r="F226" s="490"/>
      <c r="G226" s="358"/>
      <c r="H226" s="358"/>
      <c r="I226" s="358"/>
      <c r="J226" s="358"/>
      <c r="K226" s="358"/>
      <c r="L226" s="358"/>
      <c r="N226" s="570"/>
      <c r="O226" s="489"/>
      <c r="P226" s="490"/>
    </row>
    <row r="227" spans="1:16" outlineLevel="1">
      <c r="A227" s="496"/>
      <c r="B227" s="496" t="s">
        <v>6</v>
      </c>
      <c r="C227" s="497" t="s">
        <v>975</v>
      </c>
      <c r="D227" s="489"/>
      <c r="F227" s="490"/>
      <c r="G227" s="358"/>
      <c r="H227" s="358"/>
      <c r="I227" s="358"/>
      <c r="J227" s="358"/>
      <c r="K227" s="358"/>
      <c r="L227" s="358"/>
      <c r="N227" s="570"/>
      <c r="O227" s="489"/>
      <c r="P227" s="490"/>
    </row>
    <row r="228" spans="1:16" outlineLevel="1">
      <c r="A228" s="496"/>
      <c r="B228" s="496" t="s">
        <v>59</v>
      </c>
      <c r="C228" s="489" t="s">
        <v>785</v>
      </c>
      <c r="D228" s="489"/>
      <c r="F228" s="490"/>
      <c r="G228" s="358"/>
      <c r="H228" s="358"/>
      <c r="I228" s="358"/>
      <c r="J228" s="358"/>
      <c r="K228" s="358"/>
      <c r="L228" s="358"/>
      <c r="N228" s="570"/>
      <c r="O228" s="489"/>
      <c r="P228" s="490"/>
    </row>
    <row r="229" spans="1:16" outlineLevel="1">
      <c r="A229" s="496"/>
      <c r="B229" s="496" t="s">
        <v>16</v>
      </c>
      <c r="C229" s="489" t="s">
        <v>976</v>
      </c>
      <c r="D229" s="489"/>
      <c r="F229" s="490"/>
      <c r="G229" s="358"/>
      <c r="H229" s="358"/>
      <c r="I229" s="358"/>
      <c r="J229" s="358"/>
      <c r="K229" s="358"/>
      <c r="L229" s="358"/>
      <c r="N229" s="570"/>
      <c r="O229" s="489"/>
      <c r="P229" s="490"/>
    </row>
    <row r="230" spans="1:16" outlineLevel="1">
      <c r="A230" s="496"/>
      <c r="B230" s="496" t="s">
        <v>20</v>
      </c>
      <c r="C230" s="489" t="s">
        <v>977</v>
      </c>
      <c r="D230" s="489"/>
      <c r="F230" s="490"/>
      <c r="G230" s="358"/>
      <c r="H230" s="358"/>
      <c r="I230" s="358"/>
      <c r="J230" s="358"/>
      <c r="K230" s="358"/>
      <c r="L230" s="358"/>
      <c r="N230" s="570"/>
      <c r="O230" s="489"/>
      <c r="P230" s="490"/>
    </row>
    <row r="231" spans="1:16" outlineLevel="1">
      <c r="A231" s="496"/>
      <c r="B231" s="496" t="s">
        <v>76</v>
      </c>
      <c r="C231" s="489" t="s">
        <v>786</v>
      </c>
      <c r="D231" s="489"/>
      <c r="F231" s="490"/>
      <c r="G231" s="358"/>
      <c r="H231" s="358"/>
      <c r="I231" s="358"/>
      <c r="J231" s="358"/>
      <c r="K231" s="358"/>
      <c r="L231" s="358"/>
      <c r="N231" s="570"/>
      <c r="O231" s="489"/>
      <c r="P231" s="490"/>
    </row>
    <row r="232" spans="1:16" outlineLevel="1">
      <c r="A232" s="496"/>
      <c r="B232" s="496" t="s">
        <v>25</v>
      </c>
      <c r="C232" s="489" t="s">
        <v>978</v>
      </c>
      <c r="D232" s="489"/>
      <c r="F232" s="490"/>
      <c r="G232" s="358"/>
      <c r="H232" s="358"/>
      <c r="I232" s="358"/>
      <c r="J232" s="358"/>
      <c r="K232" s="358"/>
      <c r="L232" s="358"/>
      <c r="N232" s="570"/>
      <c r="O232" s="489"/>
      <c r="P232" s="490"/>
    </row>
    <row r="233" spans="1:16" outlineLevel="1">
      <c r="A233" s="496"/>
      <c r="B233" s="496" t="s">
        <v>33</v>
      </c>
      <c r="C233" s="489" t="s">
        <v>979</v>
      </c>
      <c r="D233" s="489"/>
      <c r="F233" s="490"/>
      <c r="G233" s="358"/>
      <c r="H233" s="358"/>
      <c r="I233" s="358"/>
      <c r="J233" s="358"/>
      <c r="K233" s="358"/>
      <c r="L233" s="358"/>
      <c r="N233" s="570"/>
      <c r="O233" s="489"/>
      <c r="P233" s="490"/>
    </row>
    <row r="234" spans="1:16" outlineLevel="1">
      <c r="A234" s="496"/>
      <c r="B234" s="496" t="s">
        <v>51</v>
      </c>
      <c r="C234" s="489" t="s">
        <v>980</v>
      </c>
      <c r="D234" s="489"/>
      <c r="F234" s="490"/>
      <c r="G234" s="358"/>
      <c r="H234" s="358"/>
      <c r="I234" s="358"/>
      <c r="J234" s="358"/>
      <c r="K234" s="358"/>
      <c r="L234" s="358"/>
      <c r="N234" s="570"/>
      <c r="O234" s="489"/>
      <c r="P234" s="490"/>
    </row>
    <row r="235" spans="1:16" outlineLevel="1">
      <c r="A235" s="496"/>
      <c r="B235" s="496" t="s">
        <v>52</v>
      </c>
      <c r="C235" s="498" t="s">
        <v>788</v>
      </c>
      <c r="D235" s="489"/>
      <c r="F235" s="490"/>
      <c r="G235" s="358"/>
      <c r="H235" s="358"/>
      <c r="I235" s="358"/>
      <c r="J235" s="358"/>
      <c r="K235" s="358"/>
      <c r="L235" s="358"/>
      <c r="N235" s="570"/>
      <c r="O235" s="489"/>
      <c r="P235" s="490"/>
    </row>
    <row r="236" spans="1:16" outlineLevel="1">
      <c r="A236" s="496"/>
      <c r="B236" s="496" t="s">
        <v>55</v>
      </c>
      <c r="C236" s="489" t="s">
        <v>804</v>
      </c>
      <c r="D236" s="489"/>
      <c r="F236" s="490"/>
      <c r="G236" s="358"/>
      <c r="H236" s="358"/>
      <c r="I236" s="358"/>
      <c r="J236" s="358"/>
      <c r="K236" s="358"/>
      <c r="L236" s="358"/>
      <c r="N236" s="571"/>
      <c r="O236" s="489"/>
      <c r="P236" s="490"/>
    </row>
    <row r="237" spans="1:16" outlineLevel="1">
      <c r="A237" s="496"/>
      <c r="B237" s="496" t="s">
        <v>49</v>
      </c>
      <c r="C237" s="489" t="s">
        <v>789</v>
      </c>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t="s">
        <v>995</v>
      </c>
      <c r="B245" s="1134"/>
      <c r="C245" s="1135"/>
      <c r="D245" s="1135"/>
      <c r="E245" s="1135"/>
      <c r="F245" s="1135"/>
      <c r="G245" s="1135"/>
      <c r="H245" s="1135"/>
      <c r="I245" s="1135"/>
      <c r="J245" s="1135"/>
      <c r="K245" s="1135"/>
      <c r="L245" s="1135"/>
      <c r="M245" s="1135"/>
      <c r="N245" s="361"/>
      <c r="P245" s="1135"/>
      <c r="Q245" s="1135"/>
      <c r="R245" s="1135"/>
      <c r="S245" s="1135"/>
      <c r="T245" s="1135"/>
      <c r="U245" s="1135"/>
    </row>
    <row r="246" spans="1:44" ht="20.5" customHeight="1" outlineLevel="1" thickBot="1">
      <c r="B246" s="1134"/>
      <c r="C246" s="1135"/>
      <c r="D246" s="1135"/>
      <c r="E246" s="1135"/>
      <c r="F246" s="1135"/>
      <c r="G246" s="1135"/>
      <c r="H246" s="1135"/>
      <c r="I246" s="1135"/>
      <c r="J246" s="1135"/>
      <c r="K246" s="1135"/>
      <c r="L246" s="1135"/>
      <c r="M246" s="1135"/>
      <c r="N246" s="361"/>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15" customHeight="1" outlineLevel="1" thickBot="1">
      <c r="B247" s="362" t="s">
        <v>0</v>
      </c>
      <c r="C247" s="1176" t="s">
        <v>991</v>
      </c>
      <c r="D247" s="1177"/>
      <c r="E247" s="1177"/>
      <c r="F247" s="1177"/>
      <c r="G247" s="1177"/>
      <c r="H247" s="1177"/>
      <c r="I247" s="1177"/>
      <c r="J247" s="1177"/>
      <c r="K247" s="1177"/>
      <c r="L247" s="1178"/>
      <c r="M247" s="363"/>
      <c r="N247" s="363"/>
      <c r="P247" s="364" t="s">
        <v>713</v>
      </c>
      <c r="Q247" s="365"/>
      <c r="R247" s="366"/>
      <c r="S247" s="1143" t="s">
        <v>714</v>
      </c>
      <c r="T247" s="1147" t="s">
        <v>715</v>
      </c>
      <c r="U247" s="1148"/>
      <c r="V247" s="1147" t="s">
        <v>716</v>
      </c>
      <c r="W247" s="1148"/>
      <c r="X247" s="1147" t="s">
        <v>717</v>
      </c>
      <c r="Y247" s="1148"/>
      <c r="Z247" s="1147" t="s">
        <v>718</v>
      </c>
      <c r="AA247" s="1148"/>
      <c r="AB247" s="1147" t="s">
        <v>719</v>
      </c>
      <c r="AC247" s="1148"/>
      <c r="AE247" s="364" t="s">
        <v>720</v>
      </c>
      <c r="AF247" s="365"/>
      <c r="AG247" s="366"/>
      <c r="AH247" s="1143" t="s">
        <v>714</v>
      </c>
      <c r="AI247" s="1147" t="s">
        <v>715</v>
      </c>
      <c r="AJ247" s="1148"/>
      <c r="AK247" s="1147" t="s">
        <v>716</v>
      </c>
      <c r="AL247" s="1148"/>
      <c r="AM247" s="1147" t="s">
        <v>717</v>
      </c>
      <c r="AN247" s="1148"/>
      <c r="AO247" s="1147" t="s">
        <v>718</v>
      </c>
      <c r="AP247" s="1148"/>
      <c r="AQ247" s="1147" t="s">
        <v>719</v>
      </c>
      <c r="AR247" s="1148"/>
    </row>
    <row r="248" spans="1:44" ht="15" customHeight="1" outlineLevel="1" thickBot="1">
      <c r="B248" s="1168" t="s">
        <v>4</v>
      </c>
      <c r="C248" s="1170">
        <v>2020</v>
      </c>
      <c r="D248" s="1170">
        <v>2030</v>
      </c>
      <c r="E248" s="1170">
        <v>2040</v>
      </c>
      <c r="F248" s="1170">
        <v>2050</v>
      </c>
      <c r="G248" s="1172" t="s">
        <v>721</v>
      </c>
      <c r="H248" s="1173"/>
      <c r="I248" s="1172" t="s">
        <v>648</v>
      </c>
      <c r="J248" s="1173"/>
      <c r="K248" s="1174" t="s">
        <v>2</v>
      </c>
      <c r="L248" s="1174" t="s">
        <v>3</v>
      </c>
      <c r="M248" s="367"/>
      <c r="N248" s="367"/>
      <c r="P248" s="1151" t="s">
        <v>0</v>
      </c>
      <c r="Q248" s="368"/>
      <c r="R248" s="368"/>
      <c r="S248" s="1144"/>
      <c r="T248" s="1149"/>
      <c r="U248" s="1150"/>
      <c r="V248" s="1149"/>
      <c r="W248" s="1150"/>
      <c r="X248" s="1149"/>
      <c r="Y248" s="1150"/>
      <c r="Z248" s="1149"/>
      <c r="AA248" s="1150"/>
      <c r="AB248" s="1149"/>
      <c r="AC248" s="1150"/>
      <c r="AE248" s="1151" t="s">
        <v>0</v>
      </c>
      <c r="AF248" s="368"/>
      <c r="AG248" s="368"/>
      <c r="AH248" s="1144"/>
      <c r="AI248" s="1149"/>
      <c r="AJ248" s="1150"/>
      <c r="AK248" s="1149"/>
      <c r="AL248" s="1150"/>
      <c r="AM248" s="1149"/>
      <c r="AN248" s="1150"/>
      <c r="AO248" s="1149"/>
      <c r="AP248" s="1150"/>
      <c r="AQ248" s="1149"/>
      <c r="AR248" s="1150"/>
    </row>
    <row r="249" spans="1:44" ht="16" outlineLevel="1" thickBot="1">
      <c r="B249" s="1169"/>
      <c r="C249" s="1171"/>
      <c r="D249" s="1171"/>
      <c r="E249" s="1171"/>
      <c r="F249" s="1171"/>
      <c r="G249" s="499" t="s">
        <v>649</v>
      </c>
      <c r="H249" s="499" t="s">
        <v>650</v>
      </c>
      <c r="I249" s="499" t="s">
        <v>649</v>
      </c>
      <c r="J249" s="499" t="s">
        <v>650</v>
      </c>
      <c r="K249" s="1175"/>
      <c r="L249" s="1175"/>
      <c r="M249" s="370"/>
      <c r="N249" s="370"/>
      <c r="P249" s="1152"/>
      <c r="Q249" s="1154" t="s">
        <v>722</v>
      </c>
      <c r="R249" s="1155" t="s">
        <v>723</v>
      </c>
      <c r="S249" s="1145"/>
      <c r="T249" s="1149"/>
      <c r="U249" s="1150"/>
      <c r="V249" s="1149"/>
      <c r="W249" s="1150"/>
      <c r="X249" s="1149"/>
      <c r="Y249" s="1150"/>
      <c r="Z249" s="1149"/>
      <c r="AA249" s="1150"/>
      <c r="AB249" s="1149"/>
      <c r="AC249" s="1150"/>
      <c r="AE249" s="1152"/>
      <c r="AF249" s="1198" t="s">
        <v>722</v>
      </c>
      <c r="AG249" s="1155" t="s">
        <v>723</v>
      </c>
      <c r="AH249" s="1145"/>
      <c r="AI249" s="1149"/>
      <c r="AJ249" s="1150"/>
      <c r="AK249" s="1149"/>
      <c r="AL249" s="1150"/>
      <c r="AM249" s="1149"/>
      <c r="AN249" s="1150"/>
      <c r="AO249" s="1149"/>
      <c r="AP249" s="1150"/>
      <c r="AQ249" s="1149"/>
      <c r="AR249" s="1150"/>
    </row>
    <row r="250" spans="1:44" ht="14.5" customHeight="1"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53"/>
      <c r="Q250" s="1146"/>
      <c r="R250" s="1156"/>
      <c r="S250" s="1146"/>
      <c r="T250" s="374" t="s">
        <v>726</v>
      </c>
      <c r="U250" s="375" t="s">
        <v>727</v>
      </c>
      <c r="V250" s="374" t="s">
        <v>726</v>
      </c>
      <c r="W250" s="375" t="s">
        <v>727</v>
      </c>
      <c r="X250" s="374" t="s">
        <v>726</v>
      </c>
      <c r="Y250" s="375" t="s">
        <v>727</v>
      </c>
      <c r="Z250" s="374" t="s">
        <v>726</v>
      </c>
      <c r="AA250" s="375" t="s">
        <v>727</v>
      </c>
      <c r="AB250" s="374" t="s">
        <v>726</v>
      </c>
      <c r="AC250" s="375" t="s">
        <v>727</v>
      </c>
      <c r="AE250" s="1153"/>
      <c r="AF250" s="1199"/>
      <c r="AG250" s="1156"/>
      <c r="AH250" s="1146"/>
      <c r="AI250" s="374" t="s">
        <v>726</v>
      </c>
      <c r="AJ250" s="375" t="s">
        <v>727</v>
      </c>
      <c r="AK250" s="374" t="s">
        <v>726</v>
      </c>
      <c r="AL250" s="375" t="s">
        <v>727</v>
      </c>
      <c r="AM250" s="374" t="s">
        <v>726</v>
      </c>
      <c r="AN250" s="375" t="s">
        <v>727</v>
      </c>
      <c r="AO250" s="374" t="s">
        <v>726</v>
      </c>
      <c r="AP250" s="375" t="s">
        <v>727</v>
      </c>
      <c r="AQ250" s="374" t="s">
        <v>726</v>
      </c>
      <c r="AR250" s="375" t="s">
        <v>727</v>
      </c>
    </row>
    <row r="251" spans="1:44" outlineLevel="1">
      <c r="B251" s="500" t="s">
        <v>728</v>
      </c>
      <c r="C251" s="668">
        <v>116.18960947726835</v>
      </c>
      <c r="D251" s="668">
        <v>116.18960947726835</v>
      </c>
      <c r="E251" s="669">
        <v>116.18960947726835</v>
      </c>
      <c r="F251" s="668">
        <v>116.18960947726835</v>
      </c>
      <c r="G251" s="501">
        <v>88</v>
      </c>
      <c r="H251" s="501">
        <v>117</v>
      </c>
      <c r="I251" s="501">
        <v>88</v>
      </c>
      <c r="J251" s="501">
        <v>117</v>
      </c>
      <c r="K251" s="503" t="s">
        <v>982</v>
      </c>
      <c r="L251" s="504">
        <v>11</v>
      </c>
      <c r="M251" s="370"/>
      <c r="N251" s="370"/>
      <c r="P251" s="1200" t="str">
        <f>C247</f>
        <v>Hot water boiler, Wood chips (Condensing)</v>
      </c>
      <c r="Q251" s="1188" t="s">
        <v>730</v>
      </c>
      <c r="R251" s="381" t="s">
        <v>731</v>
      </c>
      <c r="S251" s="382"/>
      <c r="T251" s="1191">
        <v>0</v>
      </c>
      <c r="U251" s="1179">
        <v>0</v>
      </c>
      <c r="V251" s="1182">
        <v>0</v>
      </c>
      <c r="W251" s="1179">
        <v>0</v>
      </c>
      <c r="X251" s="1182">
        <v>0</v>
      </c>
      <c r="Y251" s="1179">
        <v>0</v>
      </c>
      <c r="Z251" s="1182">
        <v>0</v>
      </c>
      <c r="AA251" s="1179">
        <v>0</v>
      </c>
      <c r="AB251" s="1182">
        <v>0</v>
      </c>
      <c r="AC251" s="1179">
        <v>0</v>
      </c>
      <c r="AE251" s="1185" t="str">
        <f>P251</f>
        <v>Hot water boiler, Wood chips (Condensing)</v>
      </c>
      <c r="AF251" s="1188" t="s">
        <v>730</v>
      </c>
      <c r="AG251" s="381" t="s">
        <v>731</v>
      </c>
      <c r="AH251" s="382"/>
      <c r="AI251" s="1191">
        <v>0</v>
      </c>
      <c r="AJ251" s="1179">
        <v>0</v>
      </c>
      <c r="AK251" s="1182">
        <v>0</v>
      </c>
      <c r="AL251" s="1179">
        <v>0</v>
      </c>
      <c r="AM251" s="1182">
        <v>0</v>
      </c>
      <c r="AN251" s="1179">
        <v>0</v>
      </c>
      <c r="AO251" s="1182">
        <v>0</v>
      </c>
      <c r="AP251" s="1179">
        <v>0</v>
      </c>
      <c r="AQ251" s="1182">
        <v>0</v>
      </c>
      <c r="AR251" s="1179">
        <v>0</v>
      </c>
    </row>
    <row r="252" spans="1:44" outlineLevel="1">
      <c r="B252" s="383" t="s">
        <v>732</v>
      </c>
      <c r="C252" s="577">
        <v>116.18960947726835</v>
      </c>
      <c r="D252" s="577">
        <v>116.18960947726835</v>
      </c>
      <c r="E252" s="577">
        <v>116.18960947726835</v>
      </c>
      <c r="F252" s="577">
        <v>116.18960947726835</v>
      </c>
      <c r="G252" s="505">
        <v>88</v>
      </c>
      <c r="H252" s="505">
        <v>117</v>
      </c>
      <c r="I252" s="505">
        <v>88</v>
      </c>
      <c r="J252" s="505">
        <v>117</v>
      </c>
      <c r="K252" s="372" t="s">
        <v>982</v>
      </c>
      <c r="L252" s="373">
        <v>11</v>
      </c>
      <c r="M252" s="370"/>
      <c r="N252" s="370"/>
      <c r="O252" s="71"/>
      <c r="P252" s="1186"/>
      <c r="Q252" s="1189"/>
      <c r="R252" s="388" t="s">
        <v>733</v>
      </c>
      <c r="S252" s="389"/>
      <c r="T252" s="1192"/>
      <c r="U252" s="1180"/>
      <c r="V252" s="1183"/>
      <c r="W252" s="1180"/>
      <c r="X252" s="1183"/>
      <c r="Y252" s="1180"/>
      <c r="Z252" s="1183"/>
      <c r="AA252" s="1180"/>
      <c r="AB252" s="1183"/>
      <c r="AC252" s="1180"/>
      <c r="AE252" s="1186"/>
      <c r="AF252" s="1189"/>
      <c r="AG252" s="388" t="s">
        <v>733</v>
      </c>
      <c r="AH252" s="389"/>
      <c r="AI252" s="1192"/>
      <c r="AJ252" s="1180"/>
      <c r="AK252" s="1183"/>
      <c r="AL252" s="1180"/>
      <c r="AM252" s="1183"/>
      <c r="AN252" s="1180"/>
      <c r="AO252" s="1183"/>
      <c r="AP252" s="1180"/>
      <c r="AQ252" s="1183"/>
      <c r="AR252" s="1180"/>
    </row>
    <row r="253" spans="1:44" ht="14.5" customHeight="1" outlineLevel="1" thickBot="1">
      <c r="B253" s="500" t="s">
        <v>734</v>
      </c>
      <c r="C253" s="506">
        <v>2.2999999999999998</v>
      </c>
      <c r="D253" s="507">
        <v>2.2999999999999998</v>
      </c>
      <c r="E253" s="507">
        <v>2.2999999999999998</v>
      </c>
      <c r="F253" s="508">
        <v>2.2999999999999998</v>
      </c>
      <c r="G253" s="507">
        <v>2.2000000000000002</v>
      </c>
      <c r="H253" s="507">
        <v>2.5</v>
      </c>
      <c r="I253" s="507">
        <v>1.8</v>
      </c>
      <c r="J253" s="507">
        <v>2.5</v>
      </c>
      <c r="K253" s="503" t="s">
        <v>59</v>
      </c>
      <c r="L253" s="504">
        <v>3</v>
      </c>
      <c r="M253" s="370"/>
      <c r="N253" s="370"/>
      <c r="O253" s="71"/>
      <c r="P253" s="1186"/>
      <c r="Q253" s="1190"/>
      <c r="R253" s="393" t="s">
        <v>735</v>
      </c>
      <c r="S253" s="394"/>
      <c r="T253" s="1193"/>
      <c r="U253" s="1181"/>
      <c r="V253" s="1184"/>
      <c r="W253" s="1181"/>
      <c r="X253" s="1184"/>
      <c r="Y253" s="1181"/>
      <c r="Z253" s="1184"/>
      <c r="AA253" s="1181"/>
      <c r="AB253" s="1184"/>
      <c r="AC253" s="1181"/>
      <c r="AE253" s="1186"/>
      <c r="AF253" s="1190"/>
      <c r="AG253" s="393" t="s">
        <v>735</v>
      </c>
      <c r="AH253" s="394"/>
      <c r="AI253" s="1193"/>
      <c r="AJ253" s="1181"/>
      <c r="AK253" s="1184"/>
      <c r="AL253" s="1181"/>
      <c r="AM253" s="1184"/>
      <c r="AN253" s="1181"/>
      <c r="AO253" s="1184"/>
      <c r="AP253" s="1181"/>
      <c r="AQ253" s="1184"/>
      <c r="AR253" s="1181"/>
    </row>
    <row r="254" spans="1:44" outlineLevel="1">
      <c r="B254" s="500" t="s">
        <v>657</v>
      </c>
      <c r="C254" s="687">
        <v>3</v>
      </c>
      <c r="D254" s="687">
        <v>3</v>
      </c>
      <c r="E254" s="687">
        <v>3</v>
      </c>
      <c r="F254" s="687">
        <v>3</v>
      </c>
      <c r="G254" s="687">
        <v>3</v>
      </c>
      <c r="H254" s="687">
        <v>3</v>
      </c>
      <c r="I254" s="687">
        <v>3</v>
      </c>
      <c r="J254" s="687">
        <v>3</v>
      </c>
      <c r="K254" s="503" t="s">
        <v>16</v>
      </c>
      <c r="L254" s="504">
        <v>3</v>
      </c>
      <c r="M254" s="370"/>
      <c r="N254" s="370"/>
      <c r="O254" s="71"/>
      <c r="P254" s="1186"/>
      <c r="Q254" s="1188" t="s">
        <v>736</v>
      </c>
      <c r="R254" s="395" t="s">
        <v>737</v>
      </c>
      <c r="S254" s="396" t="s">
        <v>738</v>
      </c>
      <c r="T254" s="1191">
        <v>0</v>
      </c>
      <c r="U254" s="1191">
        <v>0.17</v>
      </c>
      <c r="V254" s="1191">
        <v>0</v>
      </c>
      <c r="W254" s="1191">
        <v>0</v>
      </c>
      <c r="X254" s="1191">
        <v>0</v>
      </c>
      <c r="Y254" s="1191">
        <v>0</v>
      </c>
      <c r="Z254" s="1191">
        <v>0</v>
      </c>
      <c r="AA254" s="1191">
        <v>0.06</v>
      </c>
      <c r="AB254" s="1191">
        <v>0</v>
      </c>
      <c r="AC254" s="1179">
        <v>0</v>
      </c>
      <c r="AE254" s="1186"/>
      <c r="AF254" s="1188" t="s">
        <v>736</v>
      </c>
      <c r="AG254" s="395" t="s">
        <v>737</v>
      </c>
      <c r="AH254" s="396" t="s">
        <v>738</v>
      </c>
      <c r="AI254" s="1191">
        <v>0</v>
      </c>
      <c r="AJ254" s="1191">
        <f>U254/4</f>
        <v>4.2500000000000003E-2</v>
      </c>
      <c r="AK254" s="1191">
        <v>0</v>
      </c>
      <c r="AL254" s="1191">
        <f>W254/4</f>
        <v>0</v>
      </c>
      <c r="AM254" s="1191">
        <v>0</v>
      </c>
      <c r="AN254" s="1191">
        <f>Y254/4</f>
        <v>0</v>
      </c>
      <c r="AO254" s="1191">
        <v>0</v>
      </c>
      <c r="AP254" s="1191">
        <f>AA254/4</f>
        <v>1.4999999999999999E-2</v>
      </c>
      <c r="AQ254" s="1191">
        <v>0</v>
      </c>
      <c r="AR254" s="1179">
        <f>AC254/4</f>
        <v>0</v>
      </c>
    </row>
    <row r="255" spans="1:44" outlineLevel="1">
      <c r="B255" s="500" t="s">
        <v>658</v>
      </c>
      <c r="C255" s="506">
        <v>3</v>
      </c>
      <c r="D255" s="506">
        <v>3</v>
      </c>
      <c r="E255" s="506">
        <v>3</v>
      </c>
      <c r="F255" s="506">
        <v>3</v>
      </c>
      <c r="G255" s="506">
        <v>2.6</v>
      </c>
      <c r="H255" s="506">
        <v>3.5</v>
      </c>
      <c r="I255" s="506">
        <v>2.2999999999999998</v>
      </c>
      <c r="J255" s="506">
        <v>3.8</v>
      </c>
      <c r="K255" s="503" t="s">
        <v>16</v>
      </c>
      <c r="L255" s="504">
        <v>3</v>
      </c>
      <c r="M255" s="367"/>
      <c r="N255" s="367"/>
      <c r="O255" s="71"/>
      <c r="P255" s="1186"/>
      <c r="Q255" s="1189"/>
      <c r="R255" s="395" t="s">
        <v>739</v>
      </c>
      <c r="S255" s="396" t="s">
        <v>738</v>
      </c>
      <c r="T255" s="1194"/>
      <c r="U255" s="1194"/>
      <c r="V255" s="1194"/>
      <c r="W255" s="1194"/>
      <c r="X255" s="1194"/>
      <c r="Y255" s="1194"/>
      <c r="Z255" s="1194"/>
      <c r="AA255" s="1194"/>
      <c r="AB255" s="1194"/>
      <c r="AC255" s="1196"/>
      <c r="AE255" s="1186"/>
      <c r="AF255" s="1189"/>
      <c r="AG255" s="395" t="s">
        <v>739</v>
      </c>
      <c r="AH255" s="396" t="s">
        <v>738</v>
      </c>
      <c r="AI255" s="1194"/>
      <c r="AJ255" s="1194"/>
      <c r="AK255" s="1194"/>
      <c r="AL255" s="1194"/>
      <c r="AM255" s="1194"/>
      <c r="AN255" s="1194"/>
      <c r="AO255" s="1194"/>
      <c r="AP255" s="1194"/>
      <c r="AQ255" s="1194"/>
      <c r="AR255" s="1196"/>
    </row>
    <row r="256" spans="1:44" outlineLevel="1">
      <c r="B256" s="383" t="s">
        <v>11</v>
      </c>
      <c r="C256" s="397">
        <v>25</v>
      </c>
      <c r="D256" s="397">
        <v>25</v>
      </c>
      <c r="E256" s="397">
        <v>25</v>
      </c>
      <c r="F256" s="397">
        <v>25</v>
      </c>
      <c r="G256" s="399">
        <v>20</v>
      </c>
      <c r="H256" s="399">
        <v>35</v>
      </c>
      <c r="I256" s="399">
        <v>20</v>
      </c>
      <c r="J256" s="399">
        <v>35</v>
      </c>
      <c r="K256" s="372"/>
      <c r="L256" s="373" t="s">
        <v>740</v>
      </c>
      <c r="M256" s="363"/>
      <c r="N256" s="363"/>
      <c r="P256" s="1186"/>
      <c r="Q256" s="1189"/>
      <c r="R256" s="395" t="s">
        <v>741</v>
      </c>
      <c r="S256" s="396"/>
      <c r="T256" s="1194"/>
      <c r="U256" s="1194"/>
      <c r="V256" s="1194"/>
      <c r="W256" s="1194"/>
      <c r="X256" s="1194"/>
      <c r="Y256" s="1194"/>
      <c r="Z256" s="1194"/>
      <c r="AA256" s="1194"/>
      <c r="AB256" s="1194"/>
      <c r="AC256" s="1196"/>
      <c r="AE256" s="1186"/>
      <c r="AF256" s="1189"/>
      <c r="AG256" s="395" t="s">
        <v>741</v>
      </c>
      <c r="AH256" s="629" t="s">
        <v>738</v>
      </c>
      <c r="AI256" s="1194"/>
      <c r="AJ256" s="1194"/>
      <c r="AK256" s="1194"/>
      <c r="AL256" s="1194"/>
      <c r="AM256" s="1194"/>
      <c r="AN256" s="1194"/>
      <c r="AO256" s="1194"/>
      <c r="AP256" s="1194"/>
      <c r="AQ256" s="1194"/>
      <c r="AR256" s="1196"/>
    </row>
    <row r="257" spans="1:44" ht="16" outlineLevel="1" thickBot="1">
      <c r="B257" s="500" t="s">
        <v>273</v>
      </c>
      <c r="C257" s="506">
        <v>1</v>
      </c>
      <c r="D257" s="506">
        <v>1</v>
      </c>
      <c r="E257" s="506">
        <v>1</v>
      </c>
      <c r="F257" s="506">
        <v>1</v>
      </c>
      <c r="G257" s="506">
        <v>0.5</v>
      </c>
      <c r="H257" s="506">
        <v>1.5</v>
      </c>
      <c r="I257" s="506">
        <v>0.5</v>
      </c>
      <c r="J257" s="506">
        <v>1.5</v>
      </c>
      <c r="K257" s="372"/>
      <c r="L257" s="400"/>
      <c r="M257" s="363"/>
      <c r="N257" s="363"/>
      <c r="P257" s="1186"/>
      <c r="Q257" s="1189"/>
      <c r="R257" s="395" t="s">
        <v>742</v>
      </c>
      <c r="S257" s="396" t="s">
        <v>738</v>
      </c>
      <c r="T257" s="1194"/>
      <c r="U257" s="1194"/>
      <c r="V257" s="1194"/>
      <c r="W257" s="1194"/>
      <c r="X257" s="1194"/>
      <c r="Y257" s="1194"/>
      <c r="Z257" s="1194"/>
      <c r="AA257" s="1194"/>
      <c r="AB257" s="1194"/>
      <c r="AC257" s="1196"/>
      <c r="AE257" s="1186"/>
      <c r="AF257" s="1189"/>
      <c r="AG257" s="395" t="s">
        <v>742</v>
      </c>
      <c r="AH257" s="396"/>
      <c r="AI257" s="1194"/>
      <c r="AJ257" s="1194"/>
      <c r="AK257" s="1194"/>
      <c r="AL257" s="1194"/>
      <c r="AM257" s="1194"/>
      <c r="AN257" s="1194"/>
      <c r="AO257" s="1194"/>
      <c r="AP257" s="1194"/>
      <c r="AQ257" s="1194"/>
      <c r="AR257" s="1196"/>
    </row>
    <row r="258" spans="1:44" ht="16" outlineLevel="1" thickBot="1">
      <c r="B258" s="401" t="s">
        <v>743</v>
      </c>
      <c r="C258" s="402"/>
      <c r="D258" s="403"/>
      <c r="E258" s="404"/>
      <c r="F258" s="405"/>
      <c r="G258" s="406"/>
      <c r="H258" s="406"/>
      <c r="I258" s="406"/>
      <c r="J258" s="406"/>
      <c r="K258" s="407"/>
      <c r="L258" s="408"/>
      <c r="M258" s="363"/>
      <c r="N258" s="363"/>
      <c r="P258" s="1186"/>
      <c r="Q258" s="1190"/>
      <c r="R258" s="409" t="s">
        <v>863</v>
      </c>
      <c r="S258" s="410" t="s">
        <v>738</v>
      </c>
      <c r="T258" s="1195"/>
      <c r="U258" s="1195"/>
      <c r="V258" s="1195"/>
      <c r="W258" s="1195"/>
      <c r="X258" s="1195"/>
      <c r="Y258" s="1195"/>
      <c r="Z258" s="1195"/>
      <c r="AA258" s="1195"/>
      <c r="AB258" s="1195"/>
      <c r="AC258" s="1197"/>
      <c r="AE258" s="1186"/>
      <c r="AF258" s="1190"/>
      <c r="AG258" s="409" t="s">
        <v>863</v>
      </c>
      <c r="AH258" s="410" t="s">
        <v>738</v>
      </c>
      <c r="AI258" s="1195"/>
      <c r="AJ258" s="1195"/>
      <c r="AK258" s="1195"/>
      <c r="AL258" s="1195"/>
      <c r="AM258" s="1195"/>
      <c r="AN258" s="1195"/>
      <c r="AO258" s="1195"/>
      <c r="AP258" s="1195"/>
      <c r="AQ258" s="1195"/>
      <c r="AR258" s="1197"/>
    </row>
    <row r="259" spans="1:44" ht="33" outlineLevel="1" thickBot="1">
      <c r="B259" s="500" t="s">
        <v>663</v>
      </c>
      <c r="C259" s="506">
        <v>20</v>
      </c>
      <c r="D259" s="506">
        <v>20</v>
      </c>
      <c r="E259" s="506">
        <v>20</v>
      </c>
      <c r="F259" s="506">
        <v>20</v>
      </c>
      <c r="G259" s="507"/>
      <c r="H259" s="507"/>
      <c r="I259" s="507"/>
      <c r="J259" s="507"/>
      <c r="K259" s="503"/>
      <c r="L259" s="504">
        <v>3</v>
      </c>
      <c r="M259" s="363"/>
      <c r="N259" s="363"/>
      <c r="P259" s="1187"/>
      <c r="Q259" s="411" t="s">
        <v>745</v>
      </c>
      <c r="R259" s="412" t="s">
        <v>746</v>
      </c>
      <c r="S259" s="630" t="s">
        <v>738</v>
      </c>
      <c r="T259" s="416">
        <v>1</v>
      </c>
      <c r="U259" s="415">
        <v>1</v>
      </c>
      <c r="V259" s="416">
        <v>0</v>
      </c>
      <c r="W259" s="415">
        <v>0</v>
      </c>
      <c r="X259" s="416">
        <v>0</v>
      </c>
      <c r="Y259" s="415">
        <v>0</v>
      </c>
      <c r="Z259" s="416">
        <v>1</v>
      </c>
      <c r="AA259" s="415">
        <v>1</v>
      </c>
      <c r="AB259" s="416">
        <v>0</v>
      </c>
      <c r="AC259" s="417">
        <v>0</v>
      </c>
      <c r="AE259" s="1187"/>
      <c r="AF259" s="411" t="s">
        <v>745</v>
      </c>
      <c r="AG259" s="631" t="s">
        <v>746</v>
      </c>
      <c r="AH259" s="632" t="s">
        <v>738</v>
      </c>
      <c r="AI259" s="416">
        <v>1</v>
      </c>
      <c r="AJ259" s="415">
        <v>1</v>
      </c>
      <c r="AK259" s="416">
        <v>0</v>
      </c>
      <c r="AL259" s="415">
        <v>0</v>
      </c>
      <c r="AM259" s="416">
        <v>0</v>
      </c>
      <c r="AN259" s="415">
        <v>0</v>
      </c>
      <c r="AO259" s="416">
        <v>1</v>
      </c>
      <c r="AP259" s="415">
        <v>1</v>
      </c>
      <c r="AQ259" s="416">
        <v>0</v>
      </c>
      <c r="AR259" s="417">
        <v>0</v>
      </c>
    </row>
    <row r="260" spans="1:44" outlineLevel="1">
      <c r="B260" s="500" t="s">
        <v>664</v>
      </c>
      <c r="C260" s="506">
        <v>0.3</v>
      </c>
      <c r="D260" s="506">
        <v>0.3</v>
      </c>
      <c r="E260" s="506">
        <v>0.3</v>
      </c>
      <c r="F260" s="506">
        <v>0.3</v>
      </c>
      <c r="G260" s="509"/>
      <c r="H260" s="509"/>
      <c r="I260" s="509"/>
      <c r="J260" s="509"/>
      <c r="K260" s="510"/>
      <c r="L260" s="504">
        <v>3</v>
      </c>
      <c r="M260" s="363"/>
      <c r="N260" s="363"/>
    </row>
    <row r="261" spans="1:44" outlineLevel="1">
      <c r="B261" s="500" t="s">
        <v>666</v>
      </c>
      <c r="C261" s="506">
        <v>0.5</v>
      </c>
      <c r="D261" s="506">
        <v>0.5</v>
      </c>
      <c r="E261" s="506">
        <v>0.5</v>
      </c>
      <c r="F261" s="506">
        <v>0.5</v>
      </c>
      <c r="G261" s="509"/>
      <c r="H261" s="509"/>
      <c r="I261" s="509"/>
      <c r="J261" s="509"/>
      <c r="K261" s="510"/>
      <c r="L261" s="504">
        <v>3</v>
      </c>
      <c r="M261" s="420"/>
      <c r="N261" s="363"/>
    </row>
    <row r="262" spans="1:44" outlineLevel="1">
      <c r="B262" s="421" t="s">
        <v>12</v>
      </c>
      <c r="C262" s="399"/>
      <c r="D262" s="399"/>
      <c r="E262" s="399"/>
      <c r="F262" s="399"/>
      <c r="G262" s="422"/>
      <c r="H262" s="422"/>
      <c r="I262" s="422"/>
      <c r="J262" s="422"/>
      <c r="K262" s="423"/>
      <c r="L262" s="424"/>
      <c r="M262" s="420"/>
      <c r="N262" s="420"/>
    </row>
    <row r="263" spans="1:44" outlineLevel="1">
      <c r="B263" s="383" t="s">
        <v>843</v>
      </c>
      <c r="C263" s="397">
        <v>11</v>
      </c>
      <c r="D263" s="397">
        <v>11</v>
      </c>
      <c r="E263" s="397">
        <v>11</v>
      </c>
      <c r="F263" s="397">
        <v>11</v>
      </c>
      <c r="G263" s="422"/>
      <c r="H263" s="425"/>
      <c r="I263" s="425"/>
      <c r="J263" s="425"/>
      <c r="K263" s="426" t="s">
        <v>20</v>
      </c>
      <c r="L263" s="427" t="s">
        <v>748</v>
      </c>
      <c r="M263" s="428"/>
      <c r="N263" s="428"/>
    </row>
    <row r="264" spans="1:44" outlineLevel="1">
      <c r="B264" s="383" t="s">
        <v>749</v>
      </c>
      <c r="C264" s="397">
        <v>10</v>
      </c>
      <c r="D264" s="397">
        <v>10</v>
      </c>
      <c r="E264" s="397">
        <v>10</v>
      </c>
      <c r="F264" s="397">
        <v>10</v>
      </c>
      <c r="G264" s="425"/>
      <c r="H264" s="425"/>
      <c r="I264" s="425"/>
      <c r="J264" s="425"/>
      <c r="K264" s="423"/>
      <c r="L264" s="427">
        <v>9</v>
      </c>
      <c r="M264" s="428"/>
      <c r="N264" s="428"/>
    </row>
    <row r="265" spans="1:44" outlineLevel="1">
      <c r="B265" s="383" t="s">
        <v>844</v>
      </c>
      <c r="C265" s="397">
        <v>63</v>
      </c>
      <c r="D265" s="397">
        <v>49</v>
      </c>
      <c r="E265" s="397">
        <v>46</v>
      </c>
      <c r="F265" s="397">
        <v>41</v>
      </c>
      <c r="G265" s="425"/>
      <c r="H265" s="425"/>
      <c r="I265" s="425"/>
      <c r="J265" s="425"/>
      <c r="K265" s="423"/>
      <c r="L265" s="427" t="s">
        <v>748</v>
      </c>
      <c r="M265" s="428"/>
      <c r="N265" s="428"/>
    </row>
    <row r="266" spans="1:44" outlineLevel="1">
      <c r="B266" s="383" t="s">
        <v>366</v>
      </c>
      <c r="C266" s="397">
        <v>11</v>
      </c>
      <c r="D266" s="397">
        <v>8</v>
      </c>
      <c r="E266" s="397">
        <v>6</v>
      </c>
      <c r="F266" s="397">
        <v>4</v>
      </c>
      <c r="G266" s="425"/>
      <c r="H266" s="425"/>
      <c r="I266" s="425"/>
      <c r="J266" s="425"/>
      <c r="K266" s="423"/>
      <c r="L266" s="427" t="s">
        <v>748</v>
      </c>
      <c r="M266" s="428"/>
      <c r="N266" s="428"/>
    </row>
    <row r="267" spans="1:44" ht="16" outlineLevel="1" thickBot="1">
      <c r="B267" s="429" t="s">
        <v>367</v>
      </c>
      <c r="C267" s="430">
        <v>3</v>
      </c>
      <c r="D267" s="430">
        <v>3</v>
      </c>
      <c r="E267" s="430">
        <v>1</v>
      </c>
      <c r="F267" s="430">
        <v>1</v>
      </c>
      <c r="G267" s="425"/>
      <c r="H267" s="425"/>
      <c r="I267" s="425"/>
      <c r="J267" s="425"/>
      <c r="K267" s="423"/>
      <c r="L267" s="427" t="s">
        <v>748</v>
      </c>
      <c r="M267" s="428"/>
      <c r="N267" s="428"/>
    </row>
    <row r="268" spans="1:44" ht="16" outlineLevel="1" thickBot="1">
      <c r="B268" s="431" t="s">
        <v>674</v>
      </c>
      <c r="C268" s="432"/>
      <c r="D268" s="403"/>
      <c r="E268" s="403"/>
      <c r="F268" s="433"/>
      <c r="G268" s="434"/>
      <c r="H268" s="406"/>
      <c r="I268" s="406"/>
      <c r="J268" s="406"/>
      <c r="K268" s="407"/>
      <c r="L268" s="408"/>
      <c r="M268" s="428"/>
      <c r="N268" s="428"/>
    </row>
    <row r="269" spans="1:44" outlineLevel="1">
      <c r="A269" s="435"/>
      <c r="B269" s="436" t="s">
        <v>910</v>
      </c>
      <c r="C269" s="551">
        <f>0.68</f>
        <v>0.68</v>
      </c>
      <c r="D269" s="647">
        <f>0.65</f>
        <v>0.65</v>
      </c>
      <c r="E269" s="647">
        <f>0.62</f>
        <v>0.62</v>
      </c>
      <c r="F269" s="648">
        <f>0.59</f>
        <v>0.59</v>
      </c>
      <c r="G269" s="425"/>
      <c r="H269" s="425"/>
      <c r="I269" s="425"/>
      <c r="J269" s="425"/>
      <c r="K269" s="426" t="s">
        <v>992</v>
      </c>
      <c r="L269" s="440" t="s">
        <v>753</v>
      </c>
      <c r="M269" s="420"/>
      <c r="N269" s="420"/>
    </row>
    <row r="270" spans="1:44" outlineLevel="1">
      <c r="B270" s="441" t="s">
        <v>839</v>
      </c>
      <c r="C270" s="442">
        <v>65</v>
      </c>
      <c r="D270" s="442">
        <v>65</v>
      </c>
      <c r="E270" s="442">
        <v>65</v>
      </c>
      <c r="F270" s="442">
        <v>65</v>
      </c>
      <c r="G270" s="425"/>
      <c r="H270" s="425"/>
      <c r="I270" s="425"/>
      <c r="J270" s="425"/>
      <c r="K270" s="444"/>
      <c r="L270" s="373">
        <v>3</v>
      </c>
      <c r="M270" s="71"/>
      <c r="N270" s="420"/>
    </row>
    <row r="271" spans="1:44" outlineLevel="1">
      <c r="B271" s="441" t="s">
        <v>840</v>
      </c>
      <c r="C271" s="442">
        <f>100-C270</f>
        <v>35</v>
      </c>
      <c r="D271" s="442">
        <f>100-D270</f>
        <v>35</v>
      </c>
      <c r="E271" s="442">
        <f>100-E270</f>
        <v>35</v>
      </c>
      <c r="F271" s="442">
        <f>100-F270</f>
        <v>35</v>
      </c>
      <c r="G271" s="425"/>
      <c r="H271" s="425"/>
      <c r="I271" s="425"/>
      <c r="J271" s="425"/>
      <c r="K271" s="444"/>
      <c r="L271" s="373">
        <v>3</v>
      </c>
      <c r="M271" s="420"/>
      <c r="N271" s="420"/>
    </row>
    <row r="272" spans="1:44" outlineLevel="1">
      <c r="B272" s="383" t="s">
        <v>841</v>
      </c>
      <c r="C272" s="445">
        <v>37000</v>
      </c>
      <c r="D272" s="446">
        <v>35900</v>
      </c>
      <c r="E272" s="446">
        <f>(F272+D272)/2</f>
        <v>34800</v>
      </c>
      <c r="F272" s="447">
        <v>33700</v>
      </c>
      <c r="G272" s="425"/>
      <c r="H272" s="425"/>
      <c r="I272" s="425"/>
      <c r="J272" s="425"/>
      <c r="K272" s="448" t="s">
        <v>33</v>
      </c>
      <c r="L272" s="373">
        <v>3</v>
      </c>
      <c r="M272" s="420"/>
      <c r="N272" s="420"/>
    </row>
    <row r="273" spans="2:30" outlineLevel="1">
      <c r="B273" s="383" t="s">
        <v>679</v>
      </c>
      <c r="C273" s="449">
        <f>C274+C275</f>
        <v>2.7789999999999999</v>
      </c>
      <c r="D273" s="449">
        <f t="shared" ref="D273:F273" si="14">D274+D275</f>
        <v>2.8250000000000002</v>
      </c>
      <c r="E273" s="449">
        <f t="shared" si="14"/>
        <v>2.8479999999999999</v>
      </c>
      <c r="F273" s="449">
        <f t="shared" si="14"/>
        <v>2.8479999999999999</v>
      </c>
      <c r="G273" s="425"/>
      <c r="H273" s="425"/>
      <c r="I273" s="425"/>
      <c r="J273" s="425"/>
      <c r="K273" s="448"/>
      <c r="L273" s="373">
        <v>3</v>
      </c>
      <c r="M273" s="450"/>
      <c r="N273" s="361"/>
      <c r="P273" s="1157">
        <f>C273</f>
        <v>2.7789999999999999</v>
      </c>
      <c r="Q273" s="1135"/>
      <c r="R273" s="1135"/>
      <c r="S273" s="1135"/>
      <c r="T273" s="1135"/>
      <c r="U273" s="1158"/>
    </row>
    <row r="274" spans="2:30" ht="16" outlineLevel="1" thickBot="1">
      <c r="B274" s="500" t="s">
        <v>758</v>
      </c>
      <c r="C274" s="514">
        <f>C253/100*73</f>
        <v>1.679</v>
      </c>
      <c r="D274" s="514">
        <f>D253/100*75</f>
        <v>1.7249999999999999</v>
      </c>
      <c r="E274" s="514">
        <f>E253/100*76</f>
        <v>1.748</v>
      </c>
      <c r="F274" s="514">
        <f>F253/100*76</f>
        <v>1.748</v>
      </c>
      <c r="G274" s="515"/>
      <c r="H274" s="515"/>
      <c r="I274" s="515"/>
      <c r="J274" s="515"/>
      <c r="K274" s="503" t="s">
        <v>51</v>
      </c>
      <c r="L274" s="504">
        <v>3</v>
      </c>
      <c r="M274" s="450"/>
      <c r="N274" s="361"/>
      <c r="P274" s="1159">
        <f>C274</f>
        <v>1.679</v>
      </c>
      <c r="Q274" s="1160"/>
      <c r="R274" s="1160"/>
      <c r="S274" s="1160"/>
      <c r="T274" s="1160"/>
      <c r="U274" s="1161"/>
    </row>
    <row r="275" spans="2:30" outlineLevel="1">
      <c r="B275" s="500" t="s">
        <v>759</v>
      </c>
      <c r="C275" s="516">
        <v>1.1000000000000001</v>
      </c>
      <c r="D275" s="516">
        <v>1.1000000000000001</v>
      </c>
      <c r="E275" s="516">
        <v>1.1000000000000001</v>
      </c>
      <c r="F275" s="516">
        <v>1.1000000000000001</v>
      </c>
      <c r="G275" s="515"/>
      <c r="H275" s="515"/>
      <c r="I275" s="515"/>
      <c r="J275" s="515"/>
      <c r="K275" s="517"/>
      <c r="L275" s="504">
        <v>3</v>
      </c>
      <c r="M275" s="363"/>
      <c r="N275" s="363"/>
      <c r="P275" s="53" t="s">
        <v>357</v>
      </c>
    </row>
    <row r="276" spans="2:30" ht="30" outlineLevel="1">
      <c r="B276" s="441"/>
      <c r="C276" s="681"/>
      <c r="D276" s="681"/>
      <c r="E276" s="681"/>
      <c r="F276" s="681"/>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7"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33"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22" t="s">
        <v>762</v>
      </c>
      <c r="C279" s="670">
        <v>3.5000000000000003E-2</v>
      </c>
      <c r="D279" s="670">
        <v>0.03</v>
      </c>
      <c r="E279" s="670">
        <v>0.03</v>
      </c>
      <c r="F279" s="670">
        <v>0.03</v>
      </c>
      <c r="G279" s="524"/>
      <c r="H279" s="524"/>
      <c r="I279" s="524"/>
      <c r="J279" s="524"/>
      <c r="K279" s="524" t="s">
        <v>52</v>
      </c>
      <c r="L279" s="525"/>
      <c r="M279" s="363"/>
      <c r="N279" s="363"/>
      <c r="O279" s="465">
        <f>C252</f>
        <v>116.18960947726835</v>
      </c>
      <c r="P279" s="466">
        <f>C248</f>
        <v>2020</v>
      </c>
      <c r="Q279" s="58">
        <f>P279</f>
        <v>2020</v>
      </c>
      <c r="R279" s="466">
        <f>O279/100</f>
        <v>1.1618960947726835</v>
      </c>
      <c r="S279" s="58"/>
      <c r="T279" s="466">
        <f>C256</f>
        <v>25</v>
      </c>
      <c r="U279" s="467">
        <f>C286</f>
        <v>5066.0000000000009</v>
      </c>
      <c r="V279" s="467">
        <f>C288</f>
        <v>275.64999999999998</v>
      </c>
      <c r="W279" s="467">
        <f>C289</f>
        <v>5.7509861111111107</v>
      </c>
      <c r="X279" s="58"/>
      <c r="Y279" s="58"/>
      <c r="Z279" s="466">
        <f>C263</f>
        <v>11</v>
      </c>
      <c r="AA279" s="468">
        <f>C265</f>
        <v>63</v>
      </c>
      <c r="AB279" s="468">
        <f>C266</f>
        <v>11</v>
      </c>
      <c r="AC279" s="468">
        <f>C267</f>
        <v>3</v>
      </c>
      <c r="AD279" s="468">
        <f>C264</f>
        <v>10</v>
      </c>
    </row>
    <row r="280" spans="2:30" outlineLevel="1">
      <c r="B280" s="500" t="s">
        <v>763</v>
      </c>
      <c r="C280" s="526" t="s">
        <v>36</v>
      </c>
      <c r="D280" s="527" t="s">
        <v>36</v>
      </c>
      <c r="E280" s="527" t="s">
        <v>36</v>
      </c>
      <c r="F280" s="528" t="s">
        <v>36</v>
      </c>
      <c r="G280" s="528"/>
      <c r="H280" s="528"/>
      <c r="I280" s="528"/>
      <c r="J280" s="528"/>
      <c r="K280" s="529" t="s">
        <v>55</v>
      </c>
      <c r="L280" s="525"/>
      <c r="M280" s="363"/>
      <c r="N280" s="363"/>
      <c r="O280" s="465">
        <f>D252</f>
        <v>116.18960947726835</v>
      </c>
      <c r="P280" s="466">
        <f>D248</f>
        <v>2030</v>
      </c>
      <c r="Q280" s="58"/>
      <c r="R280" s="466">
        <f>O280/100</f>
        <v>1.1618960947726835</v>
      </c>
      <c r="S280" s="58"/>
      <c r="T280" s="466">
        <f>D256</f>
        <v>25</v>
      </c>
      <c r="U280" s="467">
        <f>D286</f>
        <v>4842.5</v>
      </c>
      <c r="V280" s="467">
        <f>D288</f>
        <v>267.45499999999998</v>
      </c>
      <c r="W280" s="467">
        <f>D289</f>
        <v>5.8461805555555557</v>
      </c>
      <c r="X280" s="58"/>
      <c r="Y280" s="58"/>
      <c r="Z280" s="466">
        <f>D263</f>
        <v>11</v>
      </c>
      <c r="AA280" s="468">
        <f>D265</f>
        <v>49</v>
      </c>
      <c r="AB280" s="468">
        <f>D266</f>
        <v>8</v>
      </c>
      <c r="AC280" s="468">
        <f>D267</f>
        <v>3</v>
      </c>
      <c r="AD280" s="468">
        <f>D264</f>
        <v>10</v>
      </c>
    </row>
    <row r="281" spans="2:30" outlineLevel="1">
      <c r="B281" s="500" t="s">
        <v>764</v>
      </c>
      <c r="C281" s="526" t="s">
        <v>36</v>
      </c>
      <c r="D281" s="527" t="s">
        <v>36</v>
      </c>
      <c r="E281" s="527" t="s">
        <v>36</v>
      </c>
      <c r="F281" s="528" t="s">
        <v>36</v>
      </c>
      <c r="G281" s="515"/>
      <c r="H281" s="515"/>
      <c r="I281" s="515"/>
      <c r="J281" s="515"/>
      <c r="K281" s="515"/>
      <c r="L281" s="504"/>
      <c r="M281" s="363"/>
      <c r="N281" s="363"/>
      <c r="O281" s="465">
        <f>E252</f>
        <v>116.18960947726835</v>
      </c>
      <c r="P281" s="466">
        <f>E248</f>
        <v>2040</v>
      </c>
      <c r="Q281" s="58"/>
      <c r="R281" s="466">
        <f>O281/100</f>
        <v>1.1618960947726835</v>
      </c>
      <c r="S281" s="58"/>
      <c r="T281" s="466">
        <f>E256</f>
        <v>25</v>
      </c>
      <c r="U281" s="467">
        <f>E286</f>
        <v>4619</v>
      </c>
      <c r="V281" s="467">
        <f>E288</f>
        <v>259.26</v>
      </c>
      <c r="W281" s="467">
        <f>E289</f>
        <v>5.8937777777777782</v>
      </c>
      <c r="X281" s="58"/>
      <c r="Y281" s="58"/>
      <c r="Z281" s="466">
        <f>E263</f>
        <v>11</v>
      </c>
      <c r="AA281" s="468">
        <f>E265</f>
        <v>46</v>
      </c>
      <c r="AB281" s="468">
        <f>E266</f>
        <v>6</v>
      </c>
      <c r="AC281" s="468">
        <f>E267</f>
        <v>1</v>
      </c>
      <c r="AD281" s="468">
        <f>E264</f>
        <v>10</v>
      </c>
    </row>
    <row r="282" spans="2:30" outlineLevel="1">
      <c r="B282" s="500" t="s">
        <v>765</v>
      </c>
      <c r="C282" s="685">
        <v>90</v>
      </c>
      <c r="D282" s="530">
        <v>90</v>
      </c>
      <c r="E282" s="530">
        <v>90</v>
      </c>
      <c r="F282" s="530">
        <v>90</v>
      </c>
      <c r="G282" s="531"/>
      <c r="H282" s="531"/>
      <c r="I282" s="531"/>
      <c r="J282" s="531"/>
      <c r="K282" s="531"/>
      <c r="L282" s="504">
        <v>3</v>
      </c>
      <c r="M282" s="363"/>
      <c r="N282" s="363"/>
      <c r="O282" s="465">
        <f>F252</f>
        <v>116.18960947726835</v>
      </c>
      <c r="P282" s="466">
        <f>F248</f>
        <v>2050</v>
      </c>
      <c r="Q282" s="58"/>
      <c r="R282" s="466">
        <f>O282/100</f>
        <v>1.1618960947726835</v>
      </c>
      <c r="S282" s="58"/>
      <c r="T282" s="466">
        <f>F256</f>
        <v>25</v>
      </c>
      <c r="U282" s="467">
        <f>F286</f>
        <v>4395.5</v>
      </c>
      <c r="V282" s="467">
        <f>F288</f>
        <v>251.065</v>
      </c>
      <c r="W282" s="467">
        <f>F289</f>
        <v>5.8937777777777782</v>
      </c>
      <c r="X282" s="58"/>
      <c r="Y282" s="58"/>
      <c r="Z282" s="466">
        <f>F263</f>
        <v>11</v>
      </c>
      <c r="AA282" s="468">
        <f>F265</f>
        <v>41</v>
      </c>
      <c r="AB282" s="468">
        <f>F266</f>
        <v>4</v>
      </c>
      <c r="AC282" s="468">
        <f>F267</f>
        <v>1</v>
      </c>
      <c r="AD282" s="468">
        <f>F264</f>
        <v>10</v>
      </c>
    </row>
    <row r="283" spans="2:30" outlineLevel="1">
      <c r="B283" s="532" t="s">
        <v>766</v>
      </c>
      <c r="C283" s="526"/>
      <c r="D283" s="527"/>
      <c r="E283" s="527"/>
      <c r="F283" s="528"/>
      <c r="G283" s="531"/>
      <c r="H283" s="531"/>
      <c r="I283" s="531"/>
      <c r="J283" s="531"/>
      <c r="K283" s="531"/>
      <c r="L283" s="533"/>
      <c r="M283" s="367"/>
      <c r="N283" s="367"/>
    </row>
    <row r="284" spans="2:30" outlineLevel="1">
      <c r="B284" s="532" t="s">
        <v>767</v>
      </c>
      <c r="C284" s="526"/>
      <c r="D284" s="527"/>
      <c r="E284" s="527"/>
      <c r="F284" s="528"/>
      <c r="G284" s="531"/>
      <c r="H284" s="531"/>
      <c r="I284" s="531"/>
      <c r="J284" s="531"/>
      <c r="K284" s="531"/>
      <c r="L284" s="533"/>
      <c r="M284" s="363"/>
      <c r="N284" s="363"/>
    </row>
    <row r="285" spans="2:30" ht="16" outlineLevel="1" thickBot="1">
      <c r="B285" s="534" t="s">
        <v>768</v>
      </c>
      <c r="C285" s="535"/>
      <c r="D285" s="536"/>
      <c r="E285" s="536"/>
      <c r="F285" s="537"/>
      <c r="G285" s="538"/>
      <c r="H285" s="538"/>
      <c r="I285" s="538"/>
      <c r="J285" s="538"/>
      <c r="K285" s="538"/>
      <c r="L285" s="539"/>
      <c r="M285" s="363"/>
      <c r="N285" s="363"/>
    </row>
    <row r="286" spans="2:30" ht="64" outlineLevel="1">
      <c r="B286" s="461" t="s">
        <v>769</v>
      </c>
      <c r="C286" s="483">
        <f>C269*$F$4*1000</f>
        <v>5066.0000000000009</v>
      </c>
      <c r="D286" s="483">
        <f t="shared" ref="D286:F286" si="15">D269*$F$4*1000</f>
        <v>4842.5</v>
      </c>
      <c r="E286" s="483">
        <f t="shared" si="15"/>
        <v>4619</v>
      </c>
      <c r="F286" s="483">
        <f t="shared" si="15"/>
        <v>4395.5</v>
      </c>
      <c r="G286" s="483"/>
      <c r="H286" s="484"/>
      <c r="I286" s="420" t="s">
        <v>332</v>
      </c>
      <c r="J286" s="420"/>
      <c r="K286" s="484"/>
      <c r="L286" s="484"/>
      <c r="N286" s="420"/>
    </row>
    <row r="287" spans="2:30" outlineLevel="1">
      <c r="B287" s="485" t="s">
        <v>770</v>
      </c>
      <c r="C287" s="486">
        <f>C286*$I287</f>
        <v>2533000.0000000005</v>
      </c>
      <c r="D287" s="486">
        <f>D286*$I287</f>
        <v>2421250</v>
      </c>
      <c r="E287" s="486">
        <f>E286*$I287</f>
        <v>2309500</v>
      </c>
      <c r="F287" s="486">
        <f>F286*$I287</f>
        <v>2197750</v>
      </c>
      <c r="G287" s="486"/>
      <c r="H287" s="484"/>
      <c r="I287" s="71">
        <v>500</v>
      </c>
      <c r="J287" s="420" t="s">
        <v>330</v>
      </c>
      <c r="K287" s="484"/>
      <c r="L287" s="484"/>
      <c r="N287" s="420"/>
    </row>
    <row r="288" spans="2:30" ht="48" outlineLevel="1">
      <c r="B288" s="461" t="s">
        <v>845</v>
      </c>
      <c r="C288" s="359">
        <f>C272*$F$4/1000</f>
        <v>275.64999999999998</v>
      </c>
      <c r="D288" s="359">
        <f t="shared" ref="D288:F288" si="16">D272*$F$4/1000</f>
        <v>267.45499999999998</v>
      </c>
      <c r="E288" s="359">
        <f t="shared" si="16"/>
        <v>259.26</v>
      </c>
      <c r="F288" s="359">
        <f t="shared" si="16"/>
        <v>251.065</v>
      </c>
      <c r="G288" s="359"/>
      <c r="I288" s="420" t="s">
        <v>333</v>
      </c>
      <c r="J288" s="420"/>
      <c r="N288" s="420"/>
    </row>
    <row r="289" spans="1:15" ht="48" outlineLevel="1">
      <c r="B289" s="461" t="s">
        <v>846</v>
      </c>
      <c r="C289" s="487">
        <f>C273*$F$4/3.6</f>
        <v>5.7509861111111107</v>
      </c>
      <c r="D289" s="487">
        <f t="shared" ref="D289:F289" si="17">D273*$F$4/3.6</f>
        <v>5.8461805555555557</v>
      </c>
      <c r="E289" s="487">
        <f t="shared" si="17"/>
        <v>5.8937777777777782</v>
      </c>
      <c r="F289" s="487">
        <f t="shared" si="17"/>
        <v>5.8937777777777782</v>
      </c>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t="s">
        <v>773</v>
      </c>
      <c r="C293" s="489"/>
      <c r="E293" s="358"/>
      <c r="F293" s="490"/>
      <c r="G293" s="358"/>
      <c r="H293" s="358"/>
      <c r="I293" s="358"/>
      <c r="J293" s="358"/>
      <c r="K293" s="358"/>
      <c r="L293" s="358"/>
    </row>
    <row r="294" spans="1:15" outlineLevel="1">
      <c r="A294" s="491"/>
      <c r="B294" s="491">
        <v>1</v>
      </c>
      <c r="C294" s="492" t="s">
        <v>774</v>
      </c>
      <c r="E294" s="358"/>
      <c r="F294" s="490"/>
      <c r="G294" s="358"/>
      <c r="H294" s="358"/>
      <c r="I294" s="358"/>
      <c r="J294" s="358"/>
      <c r="K294" s="358"/>
      <c r="L294" s="358"/>
    </row>
    <row r="295" spans="1:15" outlineLevel="1">
      <c r="A295" s="358"/>
      <c r="B295" s="491">
        <v>2</v>
      </c>
      <c r="C295" s="493" t="s">
        <v>775</v>
      </c>
      <c r="E295" s="358"/>
      <c r="F295" s="490"/>
      <c r="G295" s="358"/>
      <c r="H295" s="358"/>
      <c r="I295" s="358"/>
      <c r="J295" s="358"/>
      <c r="K295" s="358"/>
      <c r="L295" s="358"/>
      <c r="M295" s="570"/>
      <c r="N295" s="489"/>
      <c r="O295" s="490"/>
    </row>
    <row r="296" spans="1:15" outlineLevel="1">
      <c r="A296" s="358"/>
      <c r="B296" s="491">
        <v>3</v>
      </c>
      <c r="C296" s="493" t="s">
        <v>776</v>
      </c>
      <c r="E296" s="358"/>
      <c r="F296" s="490"/>
      <c r="G296" s="358"/>
      <c r="H296" s="358"/>
      <c r="I296" s="358"/>
      <c r="J296" s="358"/>
      <c r="K296" s="358"/>
      <c r="L296" s="358"/>
      <c r="O296" s="490"/>
    </row>
    <row r="297" spans="1:15" outlineLevel="1">
      <c r="A297" s="358"/>
      <c r="B297" s="491">
        <v>4</v>
      </c>
      <c r="C297" s="493" t="s">
        <v>777</v>
      </c>
      <c r="E297" s="358"/>
      <c r="F297" s="490"/>
      <c r="G297" s="358"/>
      <c r="H297" s="358"/>
      <c r="I297" s="358"/>
      <c r="J297" s="358"/>
      <c r="K297" s="358"/>
      <c r="L297" s="358"/>
      <c r="O297" s="490"/>
    </row>
    <row r="298" spans="1:15" outlineLevel="1">
      <c r="A298" s="358"/>
      <c r="B298" s="358">
        <v>5</v>
      </c>
      <c r="C298" s="494" t="s">
        <v>778</v>
      </c>
      <c r="F298" s="490"/>
      <c r="G298" s="358"/>
      <c r="H298" s="358"/>
      <c r="I298" s="358"/>
      <c r="J298" s="358"/>
      <c r="K298" s="358"/>
      <c r="L298" s="358"/>
      <c r="O298" s="490"/>
    </row>
    <row r="299" spans="1:15" outlineLevel="1">
      <c r="A299" s="358"/>
      <c r="B299" s="358">
        <v>6</v>
      </c>
      <c r="C299" s="492" t="s">
        <v>779</v>
      </c>
      <c r="F299" s="490"/>
      <c r="G299" s="358"/>
      <c r="H299" s="358"/>
      <c r="I299" s="358"/>
      <c r="J299" s="358"/>
      <c r="K299" s="358"/>
      <c r="L299" s="358"/>
      <c r="O299" s="490"/>
    </row>
    <row r="300" spans="1:15" outlineLevel="1">
      <c r="A300" s="358"/>
      <c r="B300" s="358">
        <v>7</v>
      </c>
      <c r="C300" s="495" t="s">
        <v>774</v>
      </c>
      <c r="F300" s="490"/>
      <c r="G300" s="358"/>
      <c r="H300" s="358"/>
      <c r="I300" s="358"/>
      <c r="J300" s="358"/>
      <c r="K300" s="358"/>
      <c r="L300" s="358"/>
      <c r="O300" s="490"/>
    </row>
    <row r="301" spans="1:15" outlineLevel="1">
      <c r="A301" s="488"/>
      <c r="B301" s="358">
        <v>8</v>
      </c>
      <c r="C301" s="495" t="s">
        <v>780</v>
      </c>
      <c r="F301" s="490"/>
      <c r="G301" s="358"/>
      <c r="H301" s="358"/>
      <c r="I301" s="358"/>
      <c r="J301" s="358"/>
      <c r="K301" s="358"/>
      <c r="L301" s="358"/>
      <c r="O301" s="490"/>
    </row>
    <row r="302" spans="1:15" outlineLevel="1">
      <c r="A302" s="488"/>
      <c r="B302" s="358">
        <v>9</v>
      </c>
      <c r="C302" s="489" t="s">
        <v>781</v>
      </c>
      <c r="F302" s="490"/>
      <c r="G302" s="358"/>
      <c r="H302" s="358"/>
      <c r="I302" s="358"/>
      <c r="J302" s="358"/>
      <c r="K302" s="358"/>
      <c r="L302" s="358"/>
      <c r="O302" s="490"/>
    </row>
    <row r="303" spans="1:15" outlineLevel="1">
      <c r="A303" s="488"/>
      <c r="B303" s="358">
        <v>10</v>
      </c>
      <c r="C303" s="490" t="s">
        <v>782</v>
      </c>
      <c r="F303" s="490"/>
      <c r="G303" s="358"/>
      <c r="H303" s="358"/>
      <c r="I303" s="358"/>
      <c r="J303" s="358"/>
      <c r="K303" s="358"/>
      <c r="L303" s="358"/>
      <c r="O303" s="490"/>
    </row>
    <row r="304" spans="1:15" outlineLevel="1">
      <c r="A304" s="488"/>
      <c r="B304" s="488" t="s">
        <v>783</v>
      </c>
      <c r="C304" s="489"/>
      <c r="F304" s="490"/>
      <c r="G304" s="358"/>
      <c r="H304" s="358"/>
      <c r="I304" s="358"/>
      <c r="J304" s="358"/>
      <c r="K304" s="358"/>
      <c r="L304" s="358"/>
      <c r="O304" s="490"/>
    </row>
    <row r="305" spans="1:15" outlineLevel="1">
      <c r="A305" s="488"/>
      <c r="B305" s="496" t="s">
        <v>6</v>
      </c>
      <c r="C305" s="497" t="s">
        <v>975</v>
      </c>
      <c r="D305" s="489"/>
      <c r="F305" s="490"/>
      <c r="G305" s="358"/>
      <c r="H305" s="358"/>
      <c r="I305" s="358"/>
      <c r="J305" s="358"/>
      <c r="K305" s="358"/>
      <c r="L305" s="358"/>
      <c r="O305" s="490"/>
    </row>
    <row r="306" spans="1:15" outlineLevel="1">
      <c r="A306" s="488"/>
      <c r="B306" s="496" t="s">
        <v>59</v>
      </c>
      <c r="C306" s="489" t="s">
        <v>785</v>
      </c>
      <c r="D306" s="489"/>
      <c r="F306" s="490"/>
      <c r="G306" s="358"/>
      <c r="H306" s="358"/>
      <c r="I306" s="358"/>
      <c r="J306" s="358"/>
      <c r="K306" s="358"/>
      <c r="L306" s="358"/>
      <c r="O306" s="490"/>
    </row>
    <row r="307" spans="1:15" outlineLevel="1">
      <c r="A307" s="488"/>
      <c r="B307" s="496" t="s">
        <v>16</v>
      </c>
      <c r="C307" s="489" t="s">
        <v>976</v>
      </c>
      <c r="D307" s="489"/>
      <c r="F307" s="490"/>
      <c r="G307" s="358"/>
      <c r="H307" s="358"/>
      <c r="I307" s="358"/>
      <c r="J307" s="358"/>
      <c r="K307" s="358"/>
      <c r="L307" s="358"/>
      <c r="O307" s="490"/>
    </row>
    <row r="308" spans="1:15" outlineLevel="1">
      <c r="A308" s="488"/>
      <c r="B308" s="496" t="s">
        <v>20</v>
      </c>
      <c r="C308" s="489" t="s">
        <v>977</v>
      </c>
      <c r="D308" s="489"/>
      <c r="F308" s="490"/>
      <c r="G308" s="358"/>
      <c r="H308" s="358"/>
      <c r="I308" s="358"/>
      <c r="J308" s="358"/>
      <c r="K308" s="358"/>
      <c r="L308" s="358"/>
      <c r="O308" s="490"/>
    </row>
    <row r="309" spans="1:15" outlineLevel="1">
      <c r="A309" s="488"/>
      <c r="B309" s="496" t="s">
        <v>76</v>
      </c>
      <c r="C309" s="489" t="s">
        <v>786</v>
      </c>
      <c r="D309" s="489"/>
      <c r="F309" s="490"/>
      <c r="G309" s="358"/>
      <c r="H309" s="358"/>
      <c r="I309" s="358"/>
      <c r="J309" s="358"/>
      <c r="K309" s="358"/>
      <c r="L309" s="358"/>
      <c r="O309" s="490"/>
    </row>
    <row r="310" spans="1:15" outlineLevel="1">
      <c r="A310" s="488"/>
      <c r="B310" s="496" t="s">
        <v>25</v>
      </c>
      <c r="C310" s="489" t="s">
        <v>978</v>
      </c>
      <c r="D310" s="489"/>
      <c r="F310" s="490"/>
      <c r="G310" s="358"/>
      <c r="H310" s="358"/>
      <c r="I310" s="358"/>
      <c r="J310" s="358"/>
      <c r="K310" s="358"/>
      <c r="L310" s="358"/>
      <c r="O310" s="490"/>
    </row>
    <row r="311" spans="1:15" outlineLevel="1">
      <c r="A311" s="488"/>
      <c r="B311" s="496" t="s">
        <v>33</v>
      </c>
      <c r="C311" s="489" t="s">
        <v>979</v>
      </c>
      <c r="D311" s="489"/>
      <c r="F311" s="490"/>
      <c r="G311" s="358"/>
      <c r="H311" s="358"/>
      <c r="I311" s="358"/>
      <c r="J311" s="358"/>
      <c r="K311" s="358"/>
      <c r="L311" s="358"/>
      <c r="O311" s="490"/>
    </row>
    <row r="312" spans="1:15" outlineLevel="1">
      <c r="A312" s="488"/>
      <c r="B312" s="496" t="s">
        <v>51</v>
      </c>
      <c r="C312" s="489" t="s">
        <v>980</v>
      </c>
      <c r="D312" s="489"/>
      <c r="F312" s="490"/>
      <c r="G312" s="358"/>
      <c r="H312" s="358"/>
      <c r="I312" s="358"/>
      <c r="J312" s="358"/>
      <c r="K312" s="358"/>
      <c r="L312" s="358"/>
      <c r="O312" s="490"/>
    </row>
    <row r="313" spans="1:15" outlineLevel="1">
      <c r="A313" s="488"/>
      <c r="B313" s="496" t="s">
        <v>52</v>
      </c>
      <c r="C313" s="498" t="s">
        <v>788</v>
      </c>
      <c r="D313" s="489"/>
      <c r="F313" s="490"/>
      <c r="G313" s="358"/>
      <c r="H313" s="358"/>
      <c r="I313" s="358"/>
      <c r="J313" s="358"/>
      <c r="K313" s="358"/>
      <c r="L313" s="358"/>
      <c r="O313" s="490"/>
    </row>
    <row r="314" spans="1:15" outlineLevel="1">
      <c r="A314" s="488"/>
      <c r="B314" s="496" t="s">
        <v>55</v>
      </c>
      <c r="C314" s="489" t="s">
        <v>804</v>
      </c>
      <c r="D314" s="489"/>
      <c r="F314" s="490"/>
      <c r="G314" s="358"/>
      <c r="H314" s="358"/>
      <c r="I314" s="358"/>
      <c r="J314" s="358"/>
      <c r="K314" s="358"/>
      <c r="L314" s="358"/>
      <c r="O314" s="490"/>
    </row>
    <row r="315" spans="1:15" outlineLevel="1">
      <c r="A315" s="496"/>
      <c r="B315" s="496" t="s">
        <v>49</v>
      </c>
      <c r="C315" s="489" t="s">
        <v>789</v>
      </c>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6" thickBot="1">
      <c r="A324" s="360"/>
    </row>
    <row r="325" spans="1:44" ht="20.5" customHeight="1" thickBot="1">
      <c r="B325" s="362"/>
      <c r="C325" s="1201"/>
      <c r="D325" s="1202"/>
      <c r="E325" s="1202"/>
      <c r="F325" s="1202"/>
      <c r="G325" s="1202"/>
      <c r="H325" s="1202"/>
      <c r="I325" s="1202"/>
      <c r="J325" s="1202"/>
      <c r="K325" s="1202"/>
      <c r="L325" s="1203"/>
      <c r="M325" s="363"/>
      <c r="N325" s="363"/>
      <c r="P325" s="364"/>
      <c r="Q325" s="365"/>
      <c r="R325" s="366"/>
      <c r="S325" s="1143"/>
      <c r="T325" s="1147"/>
      <c r="U325" s="1148"/>
      <c r="V325" s="1147"/>
      <c r="W325" s="1148"/>
      <c r="X325" s="1147"/>
      <c r="Y325" s="1148"/>
      <c r="Z325" s="1147"/>
      <c r="AA325" s="1148"/>
      <c r="AB325" s="1147"/>
      <c r="AC325" s="1148"/>
      <c r="AE325" s="364"/>
      <c r="AF325" s="365"/>
      <c r="AG325" s="366"/>
      <c r="AH325" s="1143"/>
      <c r="AI325" s="1147"/>
      <c r="AJ325" s="1148"/>
      <c r="AK325" s="1147"/>
      <c r="AL325" s="1148"/>
      <c r="AM325" s="1147"/>
      <c r="AN325" s="1148"/>
      <c r="AO325" s="1147"/>
      <c r="AP325" s="1148"/>
      <c r="AQ325" s="1147"/>
      <c r="AR325" s="1148"/>
    </row>
    <row r="326" spans="1:44" ht="15" customHeight="1" thickBot="1">
      <c r="B326" s="1168"/>
      <c r="C326" s="1170"/>
      <c r="D326" s="1170"/>
      <c r="E326" s="1170"/>
      <c r="F326" s="1170"/>
      <c r="G326" s="1206"/>
      <c r="H326" s="1207"/>
      <c r="I326" s="1206"/>
      <c r="J326" s="1207"/>
      <c r="K326" s="1204"/>
      <c r="L326" s="1204"/>
      <c r="M326" s="367"/>
      <c r="N326" s="367"/>
      <c r="P326" s="1151"/>
      <c r="Q326" s="368"/>
      <c r="R326" s="368"/>
      <c r="S326" s="1144"/>
      <c r="T326" s="1149"/>
      <c r="U326" s="1150"/>
      <c r="V326" s="1149"/>
      <c r="W326" s="1150"/>
      <c r="X326" s="1149"/>
      <c r="Y326" s="1150"/>
      <c r="Z326" s="1149"/>
      <c r="AA326" s="1150"/>
      <c r="AB326" s="1149"/>
      <c r="AC326" s="1150"/>
      <c r="AE326" s="1151"/>
      <c r="AF326" s="368"/>
      <c r="AG326" s="368"/>
      <c r="AH326" s="1144"/>
      <c r="AI326" s="1149"/>
      <c r="AJ326" s="1150"/>
      <c r="AK326" s="1149"/>
      <c r="AL326" s="1150"/>
      <c r="AM326" s="1149"/>
      <c r="AN326" s="1150"/>
      <c r="AO326" s="1149"/>
      <c r="AP326" s="1150"/>
      <c r="AQ326" s="1149"/>
      <c r="AR326" s="1150"/>
    </row>
    <row r="327" spans="1:44" ht="15" customHeight="1" thickBot="1">
      <c r="B327" s="1169"/>
      <c r="C327" s="1171"/>
      <c r="D327" s="1171"/>
      <c r="E327" s="1171"/>
      <c r="F327" s="1171"/>
      <c r="G327" s="406"/>
      <c r="H327" s="406"/>
      <c r="I327" s="406"/>
      <c r="J327" s="406"/>
      <c r="K327" s="1205"/>
      <c r="L327" s="1205"/>
      <c r="M327" s="370"/>
      <c r="N327" s="370"/>
      <c r="P327" s="1152"/>
      <c r="Q327" s="1154"/>
      <c r="R327" s="1155"/>
      <c r="S327" s="1145"/>
      <c r="T327" s="1149"/>
      <c r="U327" s="1150"/>
      <c r="V327" s="1149"/>
      <c r="W327" s="1150"/>
      <c r="X327" s="1149"/>
      <c r="Y327" s="1150"/>
      <c r="Z327" s="1149"/>
      <c r="AA327" s="1150"/>
      <c r="AB327" s="1149"/>
      <c r="AC327" s="1150"/>
      <c r="AE327" s="1152"/>
      <c r="AF327" s="1154"/>
      <c r="AG327" s="1155"/>
      <c r="AH327" s="1145"/>
      <c r="AI327" s="1149"/>
      <c r="AJ327" s="1150"/>
      <c r="AK327" s="1149"/>
      <c r="AL327" s="1150"/>
      <c r="AM327" s="1149"/>
      <c r="AN327" s="1150"/>
      <c r="AO327" s="1149"/>
      <c r="AP327" s="1150"/>
      <c r="AQ327" s="1149"/>
      <c r="AR327" s="1150"/>
    </row>
    <row r="328" spans="1:44" ht="16" thickBot="1">
      <c r="B328" s="371"/>
      <c r="C328" s="372"/>
      <c r="D328" s="372"/>
      <c r="E328" s="372"/>
      <c r="F328" s="372"/>
      <c r="G328" s="372"/>
      <c r="H328" s="372"/>
      <c r="I328" s="372"/>
      <c r="J328" s="372"/>
      <c r="K328" s="372"/>
      <c r="L328" s="373"/>
      <c r="M328" s="370"/>
      <c r="N328" s="370"/>
      <c r="O328" s="74"/>
      <c r="P328" s="1153"/>
      <c r="Q328" s="1146"/>
      <c r="R328" s="1156"/>
      <c r="S328" s="1146"/>
      <c r="T328" s="374"/>
      <c r="U328" s="375"/>
      <c r="V328" s="374"/>
      <c r="W328" s="375"/>
      <c r="X328" s="374"/>
      <c r="Y328" s="375"/>
      <c r="Z328" s="374"/>
      <c r="AA328" s="375"/>
      <c r="AB328" s="374"/>
      <c r="AC328" s="375"/>
      <c r="AE328" s="1153"/>
      <c r="AF328" s="1146"/>
      <c r="AG328" s="1156"/>
      <c r="AH328" s="1146"/>
      <c r="AI328" s="374"/>
      <c r="AJ328" s="375"/>
      <c r="AK328" s="374"/>
      <c r="AL328" s="375"/>
      <c r="AM328" s="374"/>
      <c r="AN328" s="375"/>
      <c r="AO328" s="374"/>
      <c r="AP328" s="375"/>
      <c r="AQ328" s="374"/>
      <c r="AR328" s="375"/>
    </row>
    <row r="329" spans="1:44" ht="14.5" customHeight="1">
      <c r="B329" s="574"/>
      <c r="C329" s="575"/>
      <c r="D329" s="575"/>
      <c r="E329" s="575"/>
      <c r="F329" s="575"/>
      <c r="G329" s="576"/>
      <c r="H329" s="576"/>
      <c r="I329" s="576"/>
      <c r="J329" s="576"/>
      <c r="K329" s="372"/>
      <c r="L329" s="373"/>
      <c r="M329" s="370"/>
      <c r="N329" s="370"/>
      <c r="P329" s="1185"/>
      <c r="Q329" s="1188"/>
      <c r="R329" s="381"/>
      <c r="S329" s="382"/>
      <c r="T329" s="1191"/>
      <c r="U329" s="1179"/>
      <c r="V329" s="1191"/>
      <c r="W329" s="1179"/>
      <c r="X329" s="1191"/>
      <c r="Y329" s="1179"/>
      <c r="Z329" s="1191"/>
      <c r="AA329" s="1179"/>
      <c r="AB329" s="1182"/>
      <c r="AC329" s="1179"/>
      <c r="AE329" s="1185"/>
      <c r="AF329" s="1188"/>
      <c r="AG329" s="381"/>
      <c r="AH329" s="382"/>
      <c r="AI329" s="1191"/>
      <c r="AJ329" s="1179"/>
      <c r="AK329" s="1191"/>
      <c r="AL329" s="1179"/>
      <c r="AM329" s="1191"/>
      <c r="AN329" s="1179"/>
      <c r="AO329" s="1191"/>
      <c r="AP329" s="1179"/>
      <c r="AQ329" s="1182"/>
      <c r="AR329" s="1179"/>
    </row>
    <row r="330" spans="1:44">
      <c r="B330" s="383"/>
      <c r="C330" s="577"/>
      <c r="D330" s="577"/>
      <c r="E330" s="577"/>
      <c r="F330" s="577"/>
      <c r="G330" s="576"/>
      <c r="H330" s="576"/>
      <c r="I330" s="576"/>
      <c r="J330" s="576"/>
      <c r="K330" s="372"/>
      <c r="L330" s="373"/>
      <c r="M330" s="370"/>
      <c r="N330" s="370"/>
      <c r="O330" s="71"/>
      <c r="P330" s="1210"/>
      <c r="Q330" s="1189"/>
      <c r="R330" s="388"/>
      <c r="S330" s="389"/>
      <c r="T330" s="1192"/>
      <c r="U330" s="1180"/>
      <c r="V330" s="1192"/>
      <c r="W330" s="1180"/>
      <c r="X330" s="1192"/>
      <c r="Y330" s="1180"/>
      <c r="Z330" s="1192"/>
      <c r="AA330" s="1180"/>
      <c r="AB330" s="1183"/>
      <c r="AC330" s="1180"/>
      <c r="AE330" s="1210"/>
      <c r="AF330" s="1189"/>
      <c r="AG330" s="388"/>
      <c r="AH330" s="389"/>
      <c r="AI330" s="1192"/>
      <c r="AJ330" s="1180"/>
      <c r="AK330" s="1192"/>
      <c r="AL330" s="1180"/>
      <c r="AM330" s="1192"/>
      <c r="AN330" s="1180"/>
      <c r="AO330" s="1192"/>
      <c r="AP330" s="1180"/>
      <c r="AQ330" s="1183"/>
      <c r="AR330" s="1180"/>
    </row>
    <row r="331" spans="1:44" ht="16" thickBot="1">
      <c r="B331" s="574"/>
      <c r="C331" s="578"/>
      <c r="D331" s="578"/>
      <c r="E331" s="578"/>
      <c r="F331" s="578"/>
      <c r="G331" s="578"/>
      <c r="H331" s="578"/>
      <c r="I331" s="578"/>
      <c r="J331" s="578"/>
      <c r="K331" s="579"/>
      <c r="L331" s="580"/>
      <c r="M331" s="370"/>
      <c r="N331" s="370"/>
      <c r="O331" s="71"/>
      <c r="P331" s="1210"/>
      <c r="Q331" s="1190"/>
      <c r="R331" s="393"/>
      <c r="S331" s="394"/>
      <c r="T331" s="1193"/>
      <c r="U331" s="1181"/>
      <c r="V331" s="1193"/>
      <c r="W331" s="1181"/>
      <c r="X331" s="1193"/>
      <c r="Y331" s="1181"/>
      <c r="Z331" s="1193"/>
      <c r="AA331" s="1181"/>
      <c r="AB331" s="1184"/>
      <c r="AC331" s="1181"/>
      <c r="AE331" s="1210"/>
      <c r="AF331" s="1190"/>
      <c r="AG331" s="393"/>
      <c r="AH331" s="394"/>
      <c r="AI331" s="1193"/>
      <c r="AJ331" s="1181"/>
      <c r="AK331" s="1193"/>
      <c r="AL331" s="1181"/>
      <c r="AM331" s="1193"/>
      <c r="AN331" s="1181"/>
      <c r="AO331" s="1193"/>
      <c r="AP331" s="1181"/>
      <c r="AQ331" s="1184"/>
      <c r="AR331" s="1181"/>
    </row>
    <row r="332" spans="1:44" ht="14.5" customHeight="1">
      <c r="B332" s="574"/>
      <c r="C332" s="581"/>
      <c r="D332" s="581"/>
      <c r="E332" s="581"/>
      <c r="F332" s="581"/>
      <c r="G332" s="581"/>
      <c r="H332" s="581"/>
      <c r="I332" s="581"/>
      <c r="J332" s="581"/>
      <c r="K332" s="579"/>
      <c r="L332" s="580"/>
      <c r="M332" s="370"/>
      <c r="N332" s="370"/>
      <c r="O332" s="71"/>
      <c r="P332" s="1210"/>
      <c r="Q332" s="1212"/>
      <c r="R332" s="395"/>
      <c r="S332" s="396"/>
      <c r="T332" s="1191"/>
      <c r="U332" s="1191"/>
      <c r="V332" s="1191"/>
      <c r="W332" s="1191"/>
      <c r="X332" s="1191"/>
      <c r="Y332" s="1191"/>
      <c r="Z332" s="1191"/>
      <c r="AA332" s="1191"/>
      <c r="AB332" s="1191"/>
      <c r="AC332" s="1191"/>
      <c r="AE332" s="1210"/>
      <c r="AF332" s="1212"/>
      <c r="AG332" s="395"/>
      <c r="AH332" s="396"/>
      <c r="AI332" s="1191"/>
      <c r="AJ332" s="1191"/>
      <c r="AK332" s="1191"/>
      <c r="AL332" s="1191"/>
      <c r="AM332" s="1191"/>
      <c r="AN332" s="1191"/>
      <c r="AO332" s="1191"/>
      <c r="AP332" s="1191"/>
      <c r="AQ332" s="1191"/>
      <c r="AR332" s="1191"/>
    </row>
    <row r="333" spans="1:44">
      <c r="B333" s="574"/>
      <c r="C333" s="582"/>
      <c r="D333" s="582"/>
      <c r="E333" s="582"/>
      <c r="F333" s="582"/>
      <c r="G333" s="582"/>
      <c r="H333" s="582"/>
      <c r="I333" s="582"/>
      <c r="J333" s="582"/>
      <c r="K333" s="579"/>
      <c r="L333" s="580"/>
      <c r="M333" s="367"/>
      <c r="N333" s="367"/>
      <c r="O333" s="71"/>
      <c r="P333" s="1210"/>
      <c r="Q333" s="1213"/>
      <c r="R333" s="395"/>
      <c r="S333" s="396"/>
      <c r="T333" s="1208"/>
      <c r="U333" s="1208"/>
      <c r="V333" s="1208"/>
      <c r="W333" s="1208"/>
      <c r="X333" s="1208"/>
      <c r="Y333" s="1208"/>
      <c r="Z333" s="1208"/>
      <c r="AA333" s="1208"/>
      <c r="AB333" s="1192"/>
      <c r="AC333" s="1208"/>
      <c r="AE333" s="1210"/>
      <c r="AF333" s="1213"/>
      <c r="AG333" s="395"/>
      <c r="AH333" s="396"/>
      <c r="AI333" s="1208"/>
      <c r="AJ333" s="1208"/>
      <c r="AK333" s="1208"/>
      <c r="AL333" s="1208"/>
      <c r="AM333" s="1208"/>
      <c r="AN333" s="1208"/>
      <c r="AO333" s="1208"/>
      <c r="AP333" s="1208"/>
      <c r="AQ333" s="1192"/>
      <c r="AR333" s="1208"/>
    </row>
    <row r="334" spans="1:44">
      <c r="B334" s="383"/>
      <c r="C334" s="397"/>
      <c r="D334" s="397"/>
      <c r="E334" s="397"/>
      <c r="F334" s="397"/>
      <c r="G334" s="398"/>
      <c r="H334" s="398"/>
      <c r="I334" s="398"/>
      <c r="J334" s="398"/>
      <c r="K334" s="372"/>
      <c r="L334" s="373"/>
      <c r="M334" s="363"/>
      <c r="N334" s="363"/>
      <c r="P334" s="1210"/>
      <c r="Q334" s="1213"/>
      <c r="R334" s="395"/>
      <c r="S334" s="396"/>
      <c r="T334" s="1208"/>
      <c r="U334" s="1208"/>
      <c r="V334" s="1208"/>
      <c r="W334" s="1208"/>
      <c r="X334" s="1208"/>
      <c r="Y334" s="1208"/>
      <c r="Z334" s="1208"/>
      <c r="AA334" s="1208"/>
      <c r="AB334" s="1192"/>
      <c r="AC334" s="1208"/>
      <c r="AE334" s="1210"/>
      <c r="AF334" s="1213"/>
      <c r="AG334" s="395"/>
      <c r="AH334" s="396"/>
      <c r="AI334" s="1208"/>
      <c r="AJ334" s="1208"/>
      <c r="AK334" s="1208"/>
      <c r="AL334" s="1208"/>
      <c r="AM334" s="1208"/>
      <c r="AN334" s="1208"/>
      <c r="AO334" s="1208"/>
      <c r="AP334" s="1208"/>
      <c r="AQ334" s="1192"/>
      <c r="AR334" s="1208"/>
    </row>
    <row r="335" spans="1:44" ht="16" thickBot="1">
      <c r="B335" s="574"/>
      <c r="C335" s="582"/>
      <c r="D335" s="582"/>
      <c r="E335" s="582"/>
      <c r="F335" s="582"/>
      <c r="G335" s="582"/>
      <c r="H335" s="582"/>
      <c r="I335" s="582"/>
      <c r="J335" s="582"/>
      <c r="K335" s="372"/>
      <c r="L335" s="373"/>
      <c r="M335" s="363"/>
      <c r="N335" s="363"/>
      <c r="P335" s="1210"/>
      <c r="Q335" s="1213"/>
      <c r="R335" s="395"/>
      <c r="S335" s="396"/>
      <c r="T335" s="1208"/>
      <c r="U335" s="1208"/>
      <c r="V335" s="1208"/>
      <c r="W335" s="1208"/>
      <c r="X335" s="1208"/>
      <c r="Y335" s="1208"/>
      <c r="Z335" s="1208"/>
      <c r="AA335" s="1208"/>
      <c r="AB335" s="1192"/>
      <c r="AC335" s="1208"/>
      <c r="AE335" s="1210"/>
      <c r="AF335" s="1213"/>
      <c r="AG335" s="395"/>
      <c r="AH335" s="396"/>
      <c r="AI335" s="1208"/>
      <c r="AJ335" s="1208"/>
      <c r="AK335" s="1208"/>
      <c r="AL335" s="1208"/>
      <c r="AM335" s="1208"/>
      <c r="AN335" s="1208"/>
      <c r="AO335" s="1208"/>
      <c r="AP335" s="1208"/>
      <c r="AQ335" s="1192"/>
      <c r="AR335" s="1208"/>
    </row>
    <row r="336" spans="1:44" ht="16" thickBot="1">
      <c r="B336" s="401"/>
      <c r="C336" s="583"/>
      <c r="D336" s="584"/>
      <c r="E336" s="585"/>
      <c r="F336" s="586"/>
      <c r="G336" s="406"/>
      <c r="H336" s="406"/>
      <c r="I336" s="406"/>
      <c r="J336" s="406"/>
      <c r="K336" s="407"/>
      <c r="L336" s="587"/>
      <c r="M336" s="363"/>
      <c r="N336" s="363"/>
      <c r="P336" s="1210"/>
      <c r="Q336" s="1214"/>
      <c r="R336" s="409"/>
      <c r="S336" s="410"/>
      <c r="T336" s="1209"/>
      <c r="U336" s="1209"/>
      <c r="V336" s="1209"/>
      <c r="W336" s="1209"/>
      <c r="X336" s="1209"/>
      <c r="Y336" s="1209"/>
      <c r="Z336" s="1209"/>
      <c r="AA336" s="1209"/>
      <c r="AB336" s="1193"/>
      <c r="AC336" s="1209"/>
      <c r="AE336" s="1210"/>
      <c r="AF336" s="1214"/>
      <c r="AG336" s="409"/>
      <c r="AH336" s="410"/>
      <c r="AI336" s="1209"/>
      <c r="AJ336" s="1209"/>
      <c r="AK336" s="1209"/>
      <c r="AL336" s="1209"/>
      <c r="AM336" s="1209"/>
      <c r="AN336" s="1209"/>
      <c r="AO336" s="1209"/>
      <c r="AP336" s="1209"/>
      <c r="AQ336" s="1193"/>
      <c r="AR336" s="1209"/>
    </row>
    <row r="337" spans="1:44" ht="16" thickBot="1">
      <c r="B337" s="574"/>
      <c r="C337" s="588"/>
      <c r="D337" s="588"/>
      <c r="E337" s="588"/>
      <c r="F337" s="588"/>
      <c r="G337" s="589"/>
      <c r="H337" s="589"/>
      <c r="I337" s="590"/>
      <c r="J337" s="590"/>
      <c r="K337" s="579"/>
      <c r="L337" s="580"/>
      <c r="M337" s="363"/>
      <c r="N337" s="363"/>
      <c r="P337" s="1211"/>
      <c r="Q337" s="411"/>
      <c r="R337" s="412"/>
      <c r="S337" s="413"/>
      <c r="T337" s="591"/>
      <c r="U337" s="592"/>
      <c r="V337" s="593"/>
      <c r="W337" s="592"/>
      <c r="X337" s="593"/>
      <c r="Y337" s="592"/>
      <c r="Z337" s="593"/>
      <c r="AA337" s="592"/>
      <c r="AB337" s="593"/>
      <c r="AC337" s="594"/>
      <c r="AE337" s="1211"/>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6" thickBot="1">
      <c r="B345" s="429"/>
      <c r="C345" s="397"/>
      <c r="D345" s="397"/>
      <c r="E345" s="397"/>
      <c r="F345" s="397"/>
      <c r="G345" s="425"/>
      <c r="H345" s="425"/>
      <c r="I345" s="425"/>
      <c r="J345" s="425"/>
      <c r="K345" s="423"/>
      <c r="L345" s="427"/>
      <c r="M345" s="428"/>
      <c r="N345" s="428"/>
    </row>
    <row r="346" spans="1:44" ht="16"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450"/>
      <c r="N351" s="361"/>
      <c r="P351" s="1157"/>
      <c r="Q351" s="1135"/>
      <c r="R351" s="1135"/>
      <c r="S351" s="1135"/>
      <c r="T351" s="1135"/>
      <c r="U351" s="1158"/>
    </row>
    <row r="352" spans="1:44" ht="16" thickBot="1">
      <c r="B352" s="541"/>
      <c r="C352" s="552"/>
      <c r="D352" s="552"/>
      <c r="E352" s="552"/>
      <c r="F352" s="552"/>
      <c r="G352" s="553"/>
      <c r="H352" s="553"/>
      <c r="I352" s="553"/>
      <c r="J352" s="553"/>
      <c r="K352" s="547"/>
      <c r="L352" s="548"/>
      <c r="M352" s="450"/>
      <c r="N352" s="361"/>
      <c r="P352" s="1159"/>
      <c r="Q352" s="1160"/>
      <c r="R352" s="1160"/>
      <c r="S352" s="1160"/>
      <c r="T352" s="1160"/>
      <c r="U352" s="1161"/>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6"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6"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6"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R386"/>
  <sheetViews>
    <sheetView topLeftCell="N82" zoomScale="115" zoomScaleNormal="115" workbookViewId="0">
      <selection activeCell="P99" sqref="P9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Steam boiler, Coal</v>
      </c>
    </row>
    <row r="4" spans="1:44" ht="25" customHeight="1">
      <c r="E4" s="224" t="s">
        <v>358</v>
      </c>
      <c r="F4" s="359">
        <v>7.45</v>
      </c>
      <c r="G4" s="359" t="s">
        <v>328</v>
      </c>
    </row>
    <row r="5" spans="1:44" ht="15" customHeight="1">
      <c r="A5" s="360" t="s">
        <v>1095</v>
      </c>
      <c r="B5" s="1134"/>
      <c r="C5" s="1135"/>
      <c r="D5" s="1135"/>
      <c r="E5" s="1135"/>
      <c r="F5" s="1135"/>
      <c r="G5" s="1135"/>
      <c r="H5" s="1135"/>
      <c r="I5" s="1135"/>
      <c r="J5" s="1135"/>
      <c r="K5" s="1135"/>
      <c r="L5" s="1135"/>
      <c r="M5" s="1135"/>
      <c r="N5" s="693"/>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693"/>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1091</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20</v>
      </c>
      <c r="D10" s="372">
        <v>20</v>
      </c>
      <c r="E10" s="372">
        <v>20</v>
      </c>
      <c r="F10" s="372">
        <v>20</v>
      </c>
      <c r="G10" s="372">
        <v>1</v>
      </c>
      <c r="H10" s="372">
        <v>50</v>
      </c>
      <c r="I10" s="372">
        <v>1</v>
      </c>
      <c r="J10" s="372">
        <v>50</v>
      </c>
      <c r="K10" s="372" t="s">
        <v>6</v>
      </c>
      <c r="L10" s="373">
        <v>3</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90</v>
      </c>
      <c r="D11" s="639">
        <v>90</v>
      </c>
      <c r="E11" s="640">
        <v>91</v>
      </c>
      <c r="F11" s="639">
        <v>92</v>
      </c>
      <c r="G11" s="639">
        <v>88</v>
      </c>
      <c r="H11" s="639">
        <f>(D11*1.02)</f>
        <v>91.8</v>
      </c>
      <c r="I11" s="639">
        <v>88</v>
      </c>
      <c r="J11" s="639">
        <f>(F11*1.02)</f>
        <v>93.84</v>
      </c>
      <c r="K11" s="379" t="s">
        <v>59</v>
      </c>
      <c r="L11" s="380" t="s">
        <v>729</v>
      </c>
      <c r="M11" s="370"/>
      <c r="N11" s="370"/>
      <c r="P11" s="1185" t="str">
        <f>C7</f>
        <v>Steam boiler, Coal</v>
      </c>
      <c r="Q11" s="1188" t="s">
        <v>730</v>
      </c>
      <c r="R11" s="381" t="s">
        <v>731</v>
      </c>
      <c r="S11" s="382"/>
      <c r="T11" s="1191">
        <v>0</v>
      </c>
      <c r="U11" s="1179">
        <v>1</v>
      </c>
      <c r="V11" s="1182">
        <v>0</v>
      </c>
      <c r="W11" s="1179">
        <v>1</v>
      </c>
      <c r="X11" s="1182">
        <v>0</v>
      </c>
      <c r="Y11" s="1179">
        <v>1</v>
      </c>
      <c r="Z11" s="1182">
        <v>0</v>
      </c>
      <c r="AA11" s="1179">
        <v>1</v>
      </c>
      <c r="AB11" s="1182">
        <v>0</v>
      </c>
      <c r="AC11" s="1179">
        <v>1</v>
      </c>
      <c r="AE11" s="1185" t="str">
        <f>P11</f>
        <v>Steam boiler, Coal</v>
      </c>
      <c r="AF11" s="1188" t="s">
        <v>730</v>
      </c>
      <c r="AG11" s="381" t="s">
        <v>731</v>
      </c>
      <c r="AH11" s="382"/>
      <c r="AI11" s="1191">
        <v>0</v>
      </c>
      <c r="AJ11" s="1179">
        <v>1</v>
      </c>
      <c r="AK11" s="1182">
        <v>0</v>
      </c>
      <c r="AL11" s="1179">
        <v>1</v>
      </c>
      <c r="AM11" s="1182">
        <v>0</v>
      </c>
      <c r="AN11" s="1179">
        <v>1</v>
      </c>
      <c r="AO11" s="1182">
        <v>0</v>
      </c>
      <c r="AP11" s="1179">
        <v>1</v>
      </c>
      <c r="AQ11" s="1182">
        <v>0</v>
      </c>
      <c r="AR11" s="1179">
        <v>1</v>
      </c>
    </row>
    <row r="12" spans="1:44" ht="32.5" customHeight="1" outlineLevel="1">
      <c r="B12" s="383" t="s">
        <v>732</v>
      </c>
      <c r="C12" s="577">
        <f t="shared" ref="C12:J12" si="0">(C11-1)</f>
        <v>89</v>
      </c>
      <c r="D12" s="577">
        <f t="shared" si="0"/>
        <v>89</v>
      </c>
      <c r="E12" s="577">
        <f t="shared" si="0"/>
        <v>90</v>
      </c>
      <c r="F12" s="577">
        <f t="shared" si="0"/>
        <v>91</v>
      </c>
      <c r="G12" s="641">
        <f t="shared" si="0"/>
        <v>87</v>
      </c>
      <c r="H12" s="641">
        <f t="shared" si="0"/>
        <v>90.8</v>
      </c>
      <c r="I12" s="641">
        <f t="shared" si="0"/>
        <v>87</v>
      </c>
      <c r="J12" s="641">
        <f t="shared" si="0"/>
        <v>92.84</v>
      </c>
      <c r="K12" s="386"/>
      <c r="L12" s="387" t="s">
        <v>729</v>
      </c>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1.1000000000000001</v>
      </c>
      <c r="D13" s="391">
        <v>1.1000000000000001</v>
      </c>
      <c r="E13" s="391">
        <v>1.1000000000000001</v>
      </c>
      <c r="F13" s="392">
        <v>1.1000000000000001</v>
      </c>
      <c r="G13" s="391">
        <v>1</v>
      </c>
      <c r="H13" s="391">
        <v>1.5</v>
      </c>
      <c r="I13" s="391">
        <v>1</v>
      </c>
      <c r="J13" s="391">
        <v>1.5</v>
      </c>
      <c r="K13" s="379" t="s">
        <v>16</v>
      </c>
      <c r="L13" s="380">
        <v>3</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675">
        <f>0.2+1</f>
        <v>1.2</v>
      </c>
      <c r="D14" s="675">
        <f>0.2+1</f>
        <v>1.2</v>
      </c>
      <c r="E14" s="675">
        <f>0.2+1</f>
        <v>1.2</v>
      </c>
      <c r="F14" s="675">
        <f>0.2+1</f>
        <v>1.2</v>
      </c>
      <c r="G14" s="674">
        <v>0.1</v>
      </c>
      <c r="H14" s="675">
        <f>0.2+2</f>
        <v>2.2000000000000002</v>
      </c>
      <c r="I14" s="674">
        <v>0.1</v>
      </c>
      <c r="J14" s="675">
        <f>0.2+2</f>
        <v>2.2000000000000002</v>
      </c>
      <c r="K14" s="379" t="s">
        <v>20</v>
      </c>
      <c r="L14" s="380">
        <v>3</v>
      </c>
      <c r="M14" s="370"/>
      <c r="N14" s="370"/>
      <c r="O14" s="71"/>
      <c r="P14" s="1186"/>
      <c r="Q14" s="1188" t="s">
        <v>736</v>
      </c>
      <c r="R14" s="395" t="s">
        <v>737</v>
      </c>
      <c r="S14" s="396" t="s">
        <v>738</v>
      </c>
      <c r="T14" s="1191">
        <v>0</v>
      </c>
      <c r="U14" s="1191">
        <v>1</v>
      </c>
      <c r="V14" s="1191">
        <v>0</v>
      </c>
      <c r="W14" s="1191">
        <v>1</v>
      </c>
      <c r="X14" s="1191">
        <v>0</v>
      </c>
      <c r="Y14" s="1191">
        <v>0.97</v>
      </c>
      <c r="Z14" s="1191">
        <v>0</v>
      </c>
      <c r="AA14" s="1191">
        <v>1</v>
      </c>
      <c r="AB14" s="1191">
        <v>0</v>
      </c>
      <c r="AC14" s="1179">
        <v>1</v>
      </c>
      <c r="AE14" s="1186"/>
      <c r="AF14" s="1188" t="s">
        <v>736</v>
      </c>
      <c r="AG14" s="395" t="s">
        <v>737</v>
      </c>
      <c r="AH14" s="396" t="s">
        <v>738</v>
      </c>
      <c r="AI14" s="1191">
        <v>0</v>
      </c>
      <c r="AJ14" s="1191">
        <v>1</v>
      </c>
      <c r="AK14" s="1191">
        <v>0</v>
      </c>
      <c r="AL14" s="1191">
        <v>1</v>
      </c>
      <c r="AM14" s="1191">
        <v>0</v>
      </c>
      <c r="AN14" s="1191">
        <v>0.97</v>
      </c>
      <c r="AO14" s="1191">
        <v>0</v>
      </c>
      <c r="AP14" s="1191">
        <v>1</v>
      </c>
      <c r="AQ14" s="1191">
        <v>0</v>
      </c>
      <c r="AR14" s="1179">
        <v>1</v>
      </c>
    </row>
    <row r="15" spans="1:44" outlineLevel="1">
      <c r="B15" s="376" t="s">
        <v>658</v>
      </c>
      <c r="C15" s="390">
        <f>0.5+0.4</f>
        <v>0.9</v>
      </c>
      <c r="D15" s="390">
        <f>0.5+0.4</f>
        <v>0.9</v>
      </c>
      <c r="E15" s="390">
        <f>0.5+0.4</f>
        <v>0.9</v>
      </c>
      <c r="F15" s="390">
        <f>0.5+0.4</f>
        <v>0.9</v>
      </c>
      <c r="G15" s="390">
        <f>0.5+0.3</f>
        <v>0.8</v>
      </c>
      <c r="H15" s="390">
        <f>0.5+0.6</f>
        <v>1.1000000000000001</v>
      </c>
      <c r="I15" s="390">
        <f>0.5+0.3</f>
        <v>0.8</v>
      </c>
      <c r="J15" s="390">
        <f>0.5+0.6</f>
        <v>1.1000000000000001</v>
      </c>
      <c r="K15" s="379" t="s">
        <v>20</v>
      </c>
      <c r="L15" s="380">
        <v>3</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25</v>
      </c>
      <c r="D16" s="397">
        <v>25</v>
      </c>
      <c r="E16" s="397">
        <v>25</v>
      </c>
      <c r="F16" s="397">
        <v>25</v>
      </c>
      <c r="G16" s="398">
        <v>20</v>
      </c>
      <c r="H16" s="398">
        <v>30</v>
      </c>
      <c r="I16" s="398">
        <v>20</v>
      </c>
      <c r="J16" s="398">
        <v>30</v>
      </c>
      <c r="K16" s="372"/>
      <c r="L16" s="373" t="s">
        <v>740</v>
      </c>
      <c r="M16" s="363"/>
      <c r="N16" s="363"/>
      <c r="P16" s="1186"/>
      <c r="Q16" s="1189"/>
      <c r="R16" s="395" t="s">
        <v>741</v>
      </c>
      <c r="S16" s="396" t="s">
        <v>738</v>
      </c>
      <c r="T16" s="1194"/>
      <c r="U16" s="1194"/>
      <c r="V16" s="1194"/>
      <c r="W16" s="1194"/>
      <c r="X16" s="1194"/>
      <c r="Y16" s="1194"/>
      <c r="Z16" s="1194"/>
      <c r="AA16" s="1194"/>
      <c r="AB16" s="1194"/>
      <c r="AC16" s="1196"/>
      <c r="AE16" s="1186"/>
      <c r="AF16" s="1189"/>
      <c r="AG16" s="395" t="s">
        <v>741</v>
      </c>
      <c r="AH16" s="629" t="s">
        <v>738</v>
      </c>
      <c r="AI16" s="1194"/>
      <c r="AJ16" s="1194"/>
      <c r="AK16" s="1194"/>
      <c r="AL16" s="1194"/>
      <c r="AM16" s="1194"/>
      <c r="AN16" s="1194"/>
      <c r="AO16" s="1194"/>
      <c r="AP16" s="1194"/>
      <c r="AQ16" s="1194"/>
      <c r="AR16" s="1196"/>
    </row>
    <row r="17" spans="1:44" ht="16" outlineLevel="1" thickBot="1">
      <c r="B17" s="376" t="s">
        <v>273</v>
      </c>
      <c r="C17" s="399">
        <v>0.5</v>
      </c>
      <c r="D17" s="399">
        <v>0.5</v>
      </c>
      <c r="E17" s="399">
        <v>0.5</v>
      </c>
      <c r="F17" s="399">
        <v>0.5</v>
      </c>
      <c r="G17" s="399">
        <v>0.2</v>
      </c>
      <c r="H17" s="399">
        <v>0.7</v>
      </c>
      <c r="I17" s="399">
        <v>0.2</v>
      </c>
      <c r="J17" s="399">
        <v>0.7</v>
      </c>
      <c r="K17" s="372"/>
      <c r="L17" s="400"/>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
        <v>738</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
        <v>738</v>
      </c>
      <c r="AI18" s="1195"/>
      <c r="AJ18" s="1195"/>
      <c r="AK18" s="1195"/>
      <c r="AL18" s="1195"/>
      <c r="AM18" s="1195"/>
      <c r="AN18" s="1195"/>
      <c r="AO18" s="1195"/>
      <c r="AP18" s="1195"/>
      <c r="AQ18" s="1195"/>
      <c r="AR18" s="1197"/>
    </row>
    <row r="19" spans="1:44" ht="33" outlineLevel="1" thickBot="1">
      <c r="B19" s="376" t="s">
        <v>663</v>
      </c>
      <c r="C19" s="390">
        <v>15</v>
      </c>
      <c r="D19" s="390">
        <v>15</v>
      </c>
      <c r="E19" s="390">
        <v>15</v>
      </c>
      <c r="F19" s="390">
        <v>15</v>
      </c>
      <c r="G19" s="391"/>
      <c r="H19" s="391"/>
      <c r="I19" s="391"/>
      <c r="J19" s="391"/>
      <c r="K19" s="379"/>
      <c r="L19" s="380">
        <v>3</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811" t="s">
        <v>746</v>
      </c>
      <c r="AH19" s="812" t="s">
        <v>738</v>
      </c>
      <c r="AI19" s="416">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43">
        <v>8</v>
      </c>
      <c r="D23" s="1244">
        <v>8</v>
      </c>
      <c r="E23" s="1244">
        <v>8</v>
      </c>
      <c r="F23" s="1245">
        <v>8</v>
      </c>
      <c r="G23" s="422"/>
      <c r="H23" s="425"/>
      <c r="I23" s="425"/>
      <c r="J23" s="425"/>
      <c r="K23" s="426" t="s">
        <v>76</v>
      </c>
      <c r="L23" s="427" t="s">
        <v>748</v>
      </c>
      <c r="M23" s="428"/>
      <c r="N23" s="428"/>
    </row>
    <row r="24" spans="1:44" outlineLevel="1">
      <c r="B24" s="383" t="s">
        <v>749</v>
      </c>
      <c r="C24" s="1246">
        <v>2.1</v>
      </c>
      <c r="D24" s="1247">
        <v>2.1</v>
      </c>
      <c r="E24" s="1247">
        <v>2.1</v>
      </c>
      <c r="F24" s="1248">
        <v>2.1</v>
      </c>
      <c r="G24" s="425"/>
      <c r="H24" s="425"/>
      <c r="I24" s="425"/>
      <c r="J24" s="425"/>
      <c r="K24" s="423"/>
      <c r="L24" s="427">
        <v>9</v>
      </c>
      <c r="M24" s="428"/>
      <c r="N24" s="428"/>
    </row>
    <row r="25" spans="1:44" outlineLevel="1">
      <c r="B25" s="383" t="s">
        <v>844</v>
      </c>
      <c r="C25" s="1226">
        <v>35</v>
      </c>
      <c r="D25" s="1227">
        <v>35</v>
      </c>
      <c r="E25" s="1227">
        <v>35</v>
      </c>
      <c r="F25" s="1228">
        <v>35</v>
      </c>
      <c r="G25" s="425"/>
      <c r="H25" s="425"/>
      <c r="I25" s="425"/>
      <c r="J25" s="425"/>
      <c r="K25" s="423"/>
      <c r="L25" s="427" t="s">
        <v>748</v>
      </c>
      <c r="M25" s="428"/>
      <c r="N25" s="428"/>
    </row>
    <row r="26" spans="1:44" outlineLevel="1">
      <c r="B26" s="383" t="s">
        <v>366</v>
      </c>
      <c r="C26" s="1246">
        <v>1.5</v>
      </c>
      <c r="D26" s="1247">
        <v>1.5</v>
      </c>
      <c r="E26" s="1247">
        <v>1.5</v>
      </c>
      <c r="F26" s="1248">
        <v>1.5</v>
      </c>
      <c r="G26" s="425"/>
      <c r="H26" s="425"/>
      <c r="I26" s="425"/>
      <c r="J26" s="425"/>
      <c r="K26" s="423"/>
      <c r="L26" s="427" t="s">
        <v>748</v>
      </c>
      <c r="M26" s="428"/>
      <c r="N26" s="428"/>
    </row>
    <row r="27" spans="1:44" ht="16" outlineLevel="1" thickBot="1">
      <c r="B27" s="429" t="s">
        <v>367</v>
      </c>
      <c r="C27" s="1229">
        <v>0.8</v>
      </c>
      <c r="D27" s="1230">
        <v>0.8</v>
      </c>
      <c r="E27" s="1230">
        <v>0.8</v>
      </c>
      <c r="F27" s="1231">
        <v>0.8</v>
      </c>
      <c r="G27" s="425"/>
      <c r="H27" s="425"/>
      <c r="I27" s="425"/>
      <c r="J27" s="425"/>
      <c r="K27" s="423"/>
      <c r="L27" s="427" t="s">
        <v>748</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1092</v>
      </c>
      <c r="C29" s="551">
        <v>0.5</v>
      </c>
      <c r="D29" s="647">
        <v>0.46576380486506985</v>
      </c>
      <c r="E29" s="647">
        <v>0.44600000000000001</v>
      </c>
      <c r="F29" s="648">
        <v>0.44045618468049191</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32600</v>
      </c>
      <c r="E32" s="603">
        <f>(D32+F32)/2</f>
        <v>31600</v>
      </c>
      <c r="F32" s="604">
        <v>30600</v>
      </c>
      <c r="G32" s="425"/>
      <c r="H32" s="425"/>
      <c r="I32" s="425"/>
      <c r="J32" s="425"/>
      <c r="K32" s="448"/>
      <c r="L32" s="373">
        <v>3</v>
      </c>
      <c r="M32" s="420"/>
      <c r="N32" s="420"/>
    </row>
    <row r="33" spans="2:30" ht="37" customHeight="1" outlineLevel="1" thickBot="1">
      <c r="B33" s="383" t="s">
        <v>679</v>
      </c>
      <c r="C33" s="449">
        <f>C34+C35</f>
        <v>1.903</v>
      </c>
      <c r="D33" s="449">
        <f t="shared" ref="D33:F33" si="1">D34+D35</f>
        <v>1.9250000000000003</v>
      </c>
      <c r="E33" s="449">
        <f t="shared" si="1"/>
        <v>1.9360000000000002</v>
      </c>
      <c r="F33" s="449">
        <f t="shared" si="1"/>
        <v>1.9360000000000002</v>
      </c>
      <c r="G33" s="425"/>
      <c r="H33" s="425"/>
      <c r="I33" s="425"/>
      <c r="J33" s="425"/>
      <c r="K33" s="448"/>
      <c r="L33" s="373">
        <v>3</v>
      </c>
      <c r="M33" s="694"/>
      <c r="N33" s="693"/>
      <c r="P33" s="1157">
        <f>C33</f>
        <v>1.903</v>
      </c>
      <c r="Q33" s="1135"/>
      <c r="R33" s="1135"/>
      <c r="S33" s="1135"/>
      <c r="T33" s="1135"/>
      <c r="U33" s="1158"/>
    </row>
    <row r="34" spans="2:30" ht="15.75" customHeight="1" outlineLevel="1" thickBot="1">
      <c r="B34" s="451" t="s">
        <v>758</v>
      </c>
      <c r="C34" s="452">
        <f>C13/100*73</f>
        <v>0.80300000000000005</v>
      </c>
      <c r="D34" s="452">
        <f>D13/100*75</f>
        <v>0.82500000000000007</v>
      </c>
      <c r="E34" s="452">
        <f>E13/100*76</f>
        <v>0.83600000000000008</v>
      </c>
      <c r="F34" s="452">
        <f>F13/100*76</f>
        <v>0.83600000000000008</v>
      </c>
      <c r="G34" s="453"/>
      <c r="H34" s="453"/>
      <c r="I34" s="453"/>
      <c r="J34" s="453"/>
      <c r="K34" s="379" t="s">
        <v>52</v>
      </c>
      <c r="L34" s="380">
        <v>3</v>
      </c>
      <c r="M34" s="694"/>
      <c r="N34" s="693"/>
      <c r="P34" s="1159">
        <f>C34</f>
        <v>0.80300000000000005</v>
      </c>
      <c r="Q34" s="1160"/>
      <c r="R34" s="1160"/>
      <c r="S34" s="1160"/>
      <c r="T34" s="1160"/>
      <c r="U34" s="1161"/>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627"/>
      <c r="D37" s="814"/>
      <c r="E37" s="814"/>
      <c r="F37" s="815"/>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55</v>
      </c>
      <c r="L39" s="464"/>
      <c r="M39" s="363"/>
      <c r="N39" s="363"/>
      <c r="O39" s="465">
        <f>C12</f>
        <v>89</v>
      </c>
      <c r="P39" s="466">
        <f>C8</f>
        <v>2020</v>
      </c>
      <c r="Q39" s="58">
        <f>P39</f>
        <v>2020</v>
      </c>
      <c r="R39" s="466">
        <f>O39/100</f>
        <v>0.89</v>
      </c>
      <c r="S39" s="58"/>
      <c r="T39" s="466">
        <f>C16</f>
        <v>25</v>
      </c>
      <c r="U39" s="467">
        <f>C46</f>
        <v>3725</v>
      </c>
      <c r="V39" s="467">
        <f>C48</f>
        <v>251.065</v>
      </c>
      <c r="W39" s="467">
        <f>C49</f>
        <v>3.9381527777777778</v>
      </c>
      <c r="X39" s="58"/>
      <c r="Y39" s="58"/>
      <c r="Z39" s="466">
        <f>C23</f>
        <v>8</v>
      </c>
      <c r="AA39" s="468">
        <f>C25</f>
        <v>35</v>
      </c>
      <c r="AB39" s="468">
        <f>C26</f>
        <v>1.5</v>
      </c>
      <c r="AC39" s="468">
        <f>C27</f>
        <v>0.8</v>
      </c>
      <c r="AD39" s="468">
        <f>C24</f>
        <v>2.1</v>
      </c>
    </row>
    <row r="40" spans="2:30" ht="14.5" customHeight="1" outlineLevel="1">
      <c r="B40" s="376" t="s">
        <v>763</v>
      </c>
      <c r="C40" s="469" t="s">
        <v>36</v>
      </c>
      <c r="D40" s="470" t="s">
        <v>36</v>
      </c>
      <c r="E40" s="470" t="s">
        <v>36</v>
      </c>
      <c r="F40" s="471" t="s">
        <v>36</v>
      </c>
      <c r="G40" s="471"/>
      <c r="H40" s="471"/>
      <c r="I40" s="471"/>
      <c r="J40" s="471"/>
      <c r="K40" s="472" t="s">
        <v>55</v>
      </c>
      <c r="L40" s="464"/>
      <c r="M40" s="363"/>
      <c r="N40" s="363"/>
      <c r="O40" s="465">
        <f>D12</f>
        <v>89</v>
      </c>
      <c r="P40" s="466">
        <f>D8</f>
        <v>2030</v>
      </c>
      <c r="Q40" s="58"/>
      <c r="R40" s="466">
        <f>O40/100</f>
        <v>0.89</v>
      </c>
      <c r="S40" s="58"/>
      <c r="T40" s="466">
        <f>D16</f>
        <v>25</v>
      </c>
      <c r="U40" s="467">
        <f>D46</f>
        <v>3469.9403462447704</v>
      </c>
      <c r="V40" s="467">
        <f>D48</f>
        <v>242.87</v>
      </c>
      <c r="W40" s="467">
        <f>D49</f>
        <v>3.9836805555555559</v>
      </c>
      <c r="X40" s="58"/>
      <c r="Y40" s="58"/>
      <c r="Z40" s="466">
        <f>D23</f>
        <v>8</v>
      </c>
      <c r="AA40" s="468">
        <f>D25</f>
        <v>35</v>
      </c>
      <c r="AB40" s="468">
        <f>D26</f>
        <v>1.5</v>
      </c>
      <c r="AC40" s="468">
        <f>D27</f>
        <v>0.8</v>
      </c>
      <c r="AD40" s="468">
        <f>D24</f>
        <v>2.1</v>
      </c>
    </row>
    <row r="41" spans="2:30" outlineLevel="1">
      <c r="B41" s="376" t="s">
        <v>764</v>
      </c>
      <c r="C41" s="469" t="s">
        <v>36</v>
      </c>
      <c r="D41" s="470" t="s">
        <v>36</v>
      </c>
      <c r="E41" s="470" t="s">
        <v>36</v>
      </c>
      <c r="F41" s="471" t="s">
        <v>36</v>
      </c>
      <c r="G41" s="453"/>
      <c r="H41" s="453"/>
      <c r="I41" s="453"/>
      <c r="J41" s="453"/>
      <c r="K41" s="453"/>
      <c r="L41" s="380"/>
      <c r="M41" s="363"/>
      <c r="N41" s="363"/>
      <c r="O41" s="465">
        <f>E12</f>
        <v>90</v>
      </c>
      <c r="P41" s="466">
        <f>E8</f>
        <v>2040</v>
      </c>
      <c r="Q41" s="58"/>
      <c r="R41" s="466">
        <f>O41/100</f>
        <v>0.9</v>
      </c>
      <c r="S41" s="58"/>
      <c r="T41" s="466">
        <f>E16</f>
        <v>25</v>
      </c>
      <c r="U41" s="467">
        <f>E46</f>
        <v>3322.7000000000003</v>
      </c>
      <c r="V41" s="467">
        <f>E48</f>
        <v>235.42</v>
      </c>
      <c r="W41" s="467">
        <f>E49</f>
        <v>4.0064444444444449</v>
      </c>
      <c r="X41" s="58"/>
      <c r="Y41" s="58"/>
      <c r="Z41" s="466">
        <f>E23</f>
        <v>8</v>
      </c>
      <c r="AA41" s="468">
        <f>E25</f>
        <v>35</v>
      </c>
      <c r="AB41" s="468">
        <f>E26</f>
        <v>1.5</v>
      </c>
      <c r="AC41" s="468">
        <f>E27</f>
        <v>0.8</v>
      </c>
      <c r="AD41" s="468">
        <f>E24</f>
        <v>2.1</v>
      </c>
    </row>
    <row r="42" spans="2:30" ht="14.5" customHeight="1" outlineLevel="1">
      <c r="B42" s="376" t="s">
        <v>765</v>
      </c>
      <c r="C42" s="1232">
        <v>90</v>
      </c>
      <c r="D42" s="1233">
        <v>90</v>
      </c>
      <c r="E42" s="1233">
        <v>90</v>
      </c>
      <c r="F42" s="1234">
        <v>90</v>
      </c>
      <c r="G42" s="474"/>
      <c r="H42" s="474"/>
      <c r="I42" s="474"/>
      <c r="J42" s="474"/>
      <c r="K42" s="474"/>
      <c r="L42" s="380">
        <v>3</v>
      </c>
      <c r="M42" s="363"/>
      <c r="N42" s="363"/>
      <c r="O42" s="465">
        <f>F12</f>
        <v>91</v>
      </c>
      <c r="P42" s="466">
        <f>F8</f>
        <v>2050</v>
      </c>
      <c r="Q42" s="58"/>
      <c r="R42" s="466">
        <f>O42/100</f>
        <v>0.91</v>
      </c>
      <c r="S42" s="58"/>
      <c r="T42" s="466">
        <f>F16</f>
        <v>25</v>
      </c>
      <c r="U42" s="467">
        <f>F46</f>
        <v>3281.3985758696645</v>
      </c>
      <c r="V42" s="467">
        <f>F48</f>
        <v>227.97</v>
      </c>
      <c r="W42" s="467">
        <f>F49</f>
        <v>4.0064444444444449</v>
      </c>
      <c r="X42" s="58"/>
      <c r="Y42" s="58"/>
      <c r="Z42" s="466">
        <f>F23</f>
        <v>8</v>
      </c>
      <c r="AA42" s="468">
        <f>F25</f>
        <v>35</v>
      </c>
      <c r="AB42" s="468">
        <f>F26</f>
        <v>1.5</v>
      </c>
      <c r="AC42" s="468">
        <f>F27</f>
        <v>0.8</v>
      </c>
      <c r="AD42" s="468">
        <f>F24</f>
        <v>2.1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3725</v>
      </c>
      <c r="D46" s="483">
        <f t="shared" ref="D46:F46" si="2">D29*$F$4*1000</f>
        <v>3469.9403462447704</v>
      </c>
      <c r="E46" s="483">
        <f t="shared" si="2"/>
        <v>3322.7000000000003</v>
      </c>
      <c r="F46" s="483">
        <f t="shared" si="2"/>
        <v>3281.3985758696645</v>
      </c>
      <c r="G46" s="483"/>
      <c r="H46" s="484"/>
      <c r="I46" s="420" t="s">
        <v>332</v>
      </c>
      <c r="J46" s="420"/>
      <c r="K46" s="484"/>
      <c r="L46" s="484"/>
      <c r="N46" s="420"/>
    </row>
    <row r="47" spans="2:30" outlineLevel="1">
      <c r="B47" s="485" t="s">
        <v>770</v>
      </c>
      <c r="C47" s="486">
        <f>C46*$I47</f>
        <v>1862500</v>
      </c>
      <c r="D47" s="486">
        <f>D46*$I47</f>
        <v>1734970.1731223853</v>
      </c>
      <c r="E47" s="486">
        <f>E46*$I47</f>
        <v>1661350.0000000002</v>
      </c>
      <c r="F47" s="486">
        <f>F46*$I47</f>
        <v>1640699.2879348323</v>
      </c>
      <c r="G47" s="486"/>
      <c r="H47" s="484"/>
      <c r="I47" s="71">
        <v>500</v>
      </c>
      <c r="J47" s="420" t="s">
        <v>330</v>
      </c>
      <c r="K47" s="484"/>
      <c r="L47" s="484"/>
      <c r="N47" s="420"/>
    </row>
    <row r="48" spans="2:30" ht="48" outlineLevel="1">
      <c r="B48" s="461" t="s">
        <v>845</v>
      </c>
      <c r="C48" s="359">
        <f>C32*$F$4/1000</f>
        <v>251.065</v>
      </c>
      <c r="D48" s="359">
        <f t="shared" ref="D48:F48" si="3">D32*$F$4/1000</f>
        <v>242.87</v>
      </c>
      <c r="E48" s="359">
        <f t="shared" si="3"/>
        <v>235.42</v>
      </c>
      <c r="F48" s="359">
        <f t="shared" si="3"/>
        <v>227.97</v>
      </c>
      <c r="G48" s="359"/>
      <c r="I48" s="420" t="s">
        <v>333</v>
      </c>
      <c r="J48" s="420"/>
      <c r="N48" s="420"/>
    </row>
    <row r="49" spans="2:14" ht="48" outlineLevel="1">
      <c r="B49" s="461" t="s">
        <v>846</v>
      </c>
      <c r="C49" s="487">
        <f>C33*$F$4/3.6</f>
        <v>3.9381527777777778</v>
      </c>
      <c r="D49" s="487">
        <f t="shared" ref="D49:F49" si="4">D33*$F$4/3.6</f>
        <v>3.9836805555555559</v>
      </c>
      <c r="E49" s="487">
        <f t="shared" si="4"/>
        <v>4.0064444444444449</v>
      </c>
      <c r="F49" s="487">
        <f t="shared" si="4"/>
        <v>4.0064444444444449</v>
      </c>
      <c r="G49" s="359"/>
      <c r="M49" s="420"/>
      <c r="N49" s="420"/>
    </row>
    <row r="50" spans="2:14" outlineLevel="1"/>
    <row r="51" spans="2:14" outlineLevel="1"/>
    <row r="52" spans="2:14" outlineLevel="1"/>
    <row r="53" spans="2:14" outlineLevel="1"/>
    <row r="54" spans="2:14" outlineLevel="1">
      <c r="B54" s="488" t="s">
        <v>773</v>
      </c>
      <c r="C54" s="489"/>
      <c r="D54" s="489"/>
      <c r="E54" s="489"/>
      <c r="F54" s="358"/>
      <c r="G54" s="358"/>
      <c r="H54" s="358"/>
      <c r="I54" s="358"/>
      <c r="J54" s="358"/>
      <c r="K54" s="358"/>
      <c r="L54" s="358"/>
    </row>
    <row r="55" spans="2:14" outlineLevel="1">
      <c r="B55" s="491">
        <v>1</v>
      </c>
      <c r="C55" s="492" t="s">
        <v>774</v>
      </c>
      <c r="D55" s="489"/>
      <c r="E55" s="489"/>
      <c r="F55" s="358"/>
      <c r="G55" s="358"/>
      <c r="H55" s="358"/>
      <c r="I55" s="358"/>
      <c r="J55" s="358"/>
      <c r="K55" s="358"/>
      <c r="L55" s="358"/>
    </row>
    <row r="56" spans="2:14" outlineLevel="1">
      <c r="B56" s="491">
        <v>2</v>
      </c>
      <c r="C56" s="493" t="s">
        <v>775</v>
      </c>
      <c r="D56" s="489"/>
      <c r="E56" s="489"/>
      <c r="F56" s="358"/>
      <c r="G56" s="358"/>
      <c r="H56" s="358"/>
      <c r="I56" s="358"/>
      <c r="J56" s="358"/>
      <c r="K56" s="358"/>
      <c r="L56" s="358"/>
    </row>
    <row r="57" spans="2:14" outlineLevel="1">
      <c r="B57" s="491">
        <v>3</v>
      </c>
      <c r="C57" s="493" t="s">
        <v>776</v>
      </c>
      <c r="D57" s="489"/>
      <c r="E57" s="489"/>
      <c r="F57" s="358"/>
      <c r="G57" s="358"/>
      <c r="H57" s="358"/>
      <c r="I57" s="358"/>
      <c r="J57" s="358"/>
      <c r="K57" s="358"/>
      <c r="L57" s="358"/>
    </row>
    <row r="58" spans="2:14" outlineLevel="1">
      <c r="B58" s="491">
        <v>4</v>
      </c>
      <c r="C58" s="493" t="s">
        <v>777</v>
      </c>
      <c r="D58" s="489"/>
      <c r="E58" s="489"/>
      <c r="F58" s="358"/>
      <c r="G58" s="358"/>
      <c r="H58" s="358"/>
      <c r="I58" s="358"/>
      <c r="J58" s="358"/>
      <c r="K58" s="358"/>
      <c r="L58" s="358"/>
    </row>
    <row r="59" spans="2:14" outlineLevel="1">
      <c r="B59" s="489">
        <v>5</v>
      </c>
      <c r="C59" s="494" t="s">
        <v>778</v>
      </c>
      <c r="D59" s="489"/>
      <c r="E59" s="489"/>
      <c r="F59" s="358"/>
      <c r="G59" s="358"/>
      <c r="H59" s="358"/>
      <c r="I59" s="358"/>
      <c r="J59" s="358"/>
      <c r="K59" s="358"/>
      <c r="L59" s="358"/>
    </row>
    <row r="60" spans="2:14" outlineLevel="1">
      <c r="B60" s="489">
        <v>6</v>
      </c>
      <c r="C60" s="492" t="s">
        <v>779</v>
      </c>
      <c r="D60" s="489"/>
      <c r="E60" s="489"/>
      <c r="F60" s="358"/>
      <c r="G60" s="358"/>
      <c r="H60" s="358"/>
      <c r="I60" s="358"/>
      <c r="J60" s="358"/>
      <c r="K60" s="358"/>
      <c r="L60" s="358"/>
    </row>
    <row r="61" spans="2:14" outlineLevel="1">
      <c r="B61" s="489">
        <v>7</v>
      </c>
      <c r="C61" s="495" t="s">
        <v>774</v>
      </c>
      <c r="D61" s="489"/>
      <c r="E61" s="489"/>
      <c r="F61" s="358"/>
      <c r="G61" s="358"/>
      <c r="H61" s="358"/>
      <c r="I61" s="358"/>
      <c r="J61" s="358"/>
      <c r="K61" s="358"/>
      <c r="L61" s="358"/>
    </row>
    <row r="62" spans="2:14" outlineLevel="1">
      <c r="B62" s="489">
        <v>8</v>
      </c>
      <c r="C62" s="495" t="s">
        <v>780</v>
      </c>
      <c r="D62" s="490"/>
      <c r="E62" s="489"/>
      <c r="F62" s="358"/>
      <c r="G62" s="358"/>
      <c r="H62" s="358"/>
      <c r="I62" s="358"/>
      <c r="J62" s="358"/>
      <c r="K62" s="358"/>
      <c r="L62" s="358"/>
    </row>
    <row r="63" spans="2:14" outlineLevel="1">
      <c r="B63" s="489">
        <v>9</v>
      </c>
      <c r="C63" s="489" t="s">
        <v>781</v>
      </c>
      <c r="D63" s="490"/>
      <c r="E63" s="489"/>
      <c r="F63" s="358"/>
      <c r="G63" s="358"/>
      <c r="H63" s="358"/>
      <c r="I63" s="358"/>
      <c r="J63" s="358"/>
      <c r="K63" s="358"/>
      <c r="L63" s="358"/>
    </row>
    <row r="64" spans="2:14" outlineLevel="1">
      <c r="B64" s="489">
        <v>10</v>
      </c>
      <c r="C64" s="490" t="s">
        <v>782</v>
      </c>
      <c r="D64" s="490"/>
      <c r="E64" s="489"/>
      <c r="F64" s="358"/>
      <c r="G64" s="358"/>
      <c r="H64" s="358"/>
      <c r="I64" s="358"/>
      <c r="J64" s="358"/>
      <c r="K64" s="358"/>
      <c r="L64" s="358"/>
    </row>
    <row r="65" spans="2:12" outlineLevel="1">
      <c r="B65" s="488" t="s">
        <v>783</v>
      </c>
      <c r="C65" s="489"/>
      <c r="D65" s="358"/>
      <c r="E65" s="489"/>
      <c r="F65" s="358"/>
      <c r="G65" s="358"/>
      <c r="H65" s="358"/>
      <c r="I65" s="358"/>
      <c r="J65" s="358"/>
      <c r="K65" s="358"/>
      <c r="L65" s="358"/>
    </row>
    <row r="66" spans="2:12" outlineLevel="1">
      <c r="B66" s="496" t="s">
        <v>6</v>
      </c>
      <c r="C66" s="489" t="s">
        <v>1093</v>
      </c>
      <c r="D66" s="358"/>
      <c r="E66" s="489"/>
      <c r="F66" s="358"/>
      <c r="G66" s="358"/>
      <c r="H66" s="358"/>
      <c r="I66" s="358"/>
      <c r="J66" s="358"/>
      <c r="K66" s="358"/>
      <c r="L66" s="358"/>
    </row>
    <row r="67" spans="2:12" outlineLevel="1">
      <c r="B67" s="496" t="s">
        <v>59</v>
      </c>
      <c r="C67" s="489" t="s">
        <v>785</v>
      </c>
      <c r="D67" s="358"/>
      <c r="E67" s="489"/>
      <c r="F67" s="358"/>
      <c r="G67" s="358"/>
      <c r="H67" s="358"/>
      <c r="I67" s="358"/>
      <c r="J67" s="358"/>
      <c r="K67" s="358"/>
      <c r="L67" s="358"/>
    </row>
    <row r="68" spans="2:12" outlineLevel="1">
      <c r="B68" s="496" t="s">
        <v>16</v>
      </c>
      <c r="C68" s="489" t="s">
        <v>976</v>
      </c>
      <c r="D68" s="358"/>
      <c r="E68" s="489"/>
      <c r="F68" s="358"/>
      <c r="G68" s="358"/>
      <c r="H68" s="358"/>
      <c r="I68" s="358"/>
      <c r="J68" s="358"/>
      <c r="K68" s="358"/>
      <c r="L68" s="358"/>
    </row>
    <row r="69" spans="2:12" outlineLevel="1">
      <c r="B69" s="496" t="s">
        <v>20</v>
      </c>
      <c r="C69" s="489" t="s">
        <v>1094</v>
      </c>
      <c r="D69" s="358"/>
      <c r="E69" s="489"/>
      <c r="F69" s="358"/>
      <c r="G69" s="358"/>
      <c r="H69" s="358"/>
      <c r="I69" s="358"/>
      <c r="J69" s="358"/>
      <c r="K69" s="358"/>
      <c r="L69" s="358"/>
    </row>
    <row r="70" spans="2:12" outlineLevel="1">
      <c r="B70" s="496" t="s">
        <v>76</v>
      </c>
      <c r="C70" s="489" t="s">
        <v>786</v>
      </c>
      <c r="D70" s="358"/>
      <c r="E70" s="489"/>
      <c r="G70" s="358"/>
      <c r="H70" s="358"/>
      <c r="I70" s="358"/>
      <c r="J70" s="358"/>
      <c r="K70" s="358"/>
      <c r="L70" s="358"/>
    </row>
    <row r="71" spans="2:12" outlineLevel="1">
      <c r="B71" s="496" t="s">
        <v>25</v>
      </c>
      <c r="C71" s="489" t="s">
        <v>978</v>
      </c>
      <c r="D71" s="358"/>
      <c r="E71" s="489"/>
      <c r="G71" s="358"/>
      <c r="H71" s="358"/>
      <c r="I71" s="358"/>
      <c r="J71" s="358"/>
      <c r="K71" s="358"/>
      <c r="L71" s="358"/>
    </row>
    <row r="72" spans="2:12" outlineLevel="1">
      <c r="B72" s="496" t="s">
        <v>33</v>
      </c>
      <c r="C72" s="489" t="s">
        <v>979</v>
      </c>
      <c r="D72" s="358"/>
      <c r="E72" s="489"/>
      <c r="G72" s="358"/>
      <c r="H72" s="358"/>
      <c r="I72" s="358"/>
      <c r="J72" s="358"/>
      <c r="K72" s="358"/>
      <c r="L72" s="358"/>
    </row>
    <row r="73" spans="2:12" outlineLevel="1">
      <c r="B73" s="496" t="s">
        <v>51</v>
      </c>
      <c r="C73" s="489" t="s">
        <v>787</v>
      </c>
      <c r="D73" s="358"/>
      <c r="E73" s="489"/>
      <c r="G73" s="358"/>
      <c r="H73" s="358"/>
      <c r="I73" s="358"/>
      <c r="J73" s="358"/>
      <c r="K73" s="358"/>
      <c r="L73" s="358"/>
    </row>
    <row r="74" spans="2:12" outlineLevel="1">
      <c r="B74" s="496" t="s">
        <v>52</v>
      </c>
      <c r="C74" s="489" t="s">
        <v>788</v>
      </c>
      <c r="D74" s="358"/>
      <c r="E74" s="490"/>
      <c r="G74" s="358"/>
      <c r="H74" s="358"/>
      <c r="I74" s="358"/>
      <c r="J74" s="358"/>
      <c r="K74" s="358"/>
      <c r="L74" s="358"/>
    </row>
    <row r="75" spans="2:12" outlineLevel="1">
      <c r="B75" s="496" t="s">
        <v>55</v>
      </c>
      <c r="C75" s="489" t="s">
        <v>789</v>
      </c>
      <c r="D75" s="358"/>
      <c r="E75" s="490"/>
      <c r="G75" s="358"/>
      <c r="H75" s="358"/>
      <c r="I75" s="358"/>
      <c r="J75" s="358"/>
      <c r="K75" s="358"/>
      <c r="L75" s="358"/>
    </row>
    <row r="76" spans="2:12" outlineLevel="1">
      <c r="E76" s="490"/>
      <c r="G76" s="358"/>
      <c r="H76" s="358"/>
      <c r="I76" s="358"/>
      <c r="J76" s="358"/>
      <c r="K76" s="358"/>
      <c r="L76" s="358"/>
    </row>
    <row r="77" spans="2:12" outlineLevel="1">
      <c r="B77" s="496"/>
      <c r="C77" s="489"/>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Hot water boiler, Coal</v>
      </c>
    </row>
    <row r="84" spans="1:44">
      <c r="A84" s="360" t="s">
        <v>1098</v>
      </c>
      <c r="B84" s="1134"/>
      <c r="C84" s="1135"/>
      <c r="D84" s="1135"/>
      <c r="E84" s="1135"/>
      <c r="F84" s="1135"/>
      <c r="G84" s="1135"/>
      <c r="H84" s="1135"/>
      <c r="I84" s="1135"/>
      <c r="J84" s="1135"/>
      <c r="K84" s="1135"/>
      <c r="L84" s="1135"/>
      <c r="M84" s="1135"/>
      <c r="N84" s="693"/>
      <c r="P84" s="1135"/>
      <c r="Q84" s="1135"/>
      <c r="R84" s="1135"/>
      <c r="S84" s="1135"/>
      <c r="T84" s="1135"/>
      <c r="U84" s="1135"/>
    </row>
    <row r="85" spans="1:44" ht="16" outlineLevel="1" thickBot="1">
      <c r="B85" s="1134"/>
      <c r="C85" s="1135"/>
      <c r="D85" s="1135"/>
      <c r="E85" s="1135"/>
      <c r="F85" s="1135"/>
      <c r="G85" s="1135"/>
      <c r="H85" s="1135"/>
      <c r="I85" s="1135"/>
      <c r="J85" s="1135"/>
      <c r="K85" s="1135"/>
      <c r="L85" s="1135"/>
      <c r="M85" s="1135"/>
      <c r="N85" s="693"/>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176" t="s">
        <v>1096</v>
      </c>
      <c r="D86" s="1177"/>
      <c r="E86" s="1177"/>
      <c r="F86" s="1177"/>
      <c r="G86" s="1177"/>
      <c r="H86" s="1177"/>
      <c r="I86" s="1177"/>
      <c r="J86" s="1177"/>
      <c r="K86" s="1177"/>
      <c r="L86" s="1178"/>
      <c r="M86" s="363"/>
      <c r="N86" s="363"/>
      <c r="P86" s="364" t="s">
        <v>713</v>
      </c>
      <c r="Q86" s="365"/>
      <c r="R86" s="366"/>
      <c r="S86" s="1143" t="s">
        <v>714</v>
      </c>
      <c r="T86" s="1147" t="s">
        <v>715</v>
      </c>
      <c r="U86" s="1148"/>
      <c r="V86" s="1147" t="s">
        <v>716</v>
      </c>
      <c r="W86" s="1148"/>
      <c r="X86" s="1147" t="s">
        <v>717</v>
      </c>
      <c r="Y86" s="1148"/>
      <c r="Z86" s="1147" t="s">
        <v>718</v>
      </c>
      <c r="AA86" s="1148"/>
      <c r="AB86" s="1147" t="s">
        <v>719</v>
      </c>
      <c r="AC86" s="1148"/>
      <c r="AE86" s="364" t="s">
        <v>720</v>
      </c>
      <c r="AF86" s="365"/>
      <c r="AG86" s="366"/>
      <c r="AH86" s="1143" t="s">
        <v>714</v>
      </c>
      <c r="AI86" s="1147" t="s">
        <v>715</v>
      </c>
      <c r="AJ86" s="1148"/>
      <c r="AK86" s="1147" t="s">
        <v>716</v>
      </c>
      <c r="AL86" s="1148"/>
      <c r="AM86" s="1147" t="s">
        <v>717</v>
      </c>
      <c r="AN86" s="1148"/>
      <c r="AO86" s="1147" t="s">
        <v>718</v>
      </c>
      <c r="AP86" s="1148"/>
      <c r="AQ86" s="1147" t="s">
        <v>719</v>
      </c>
      <c r="AR86" s="1148"/>
    </row>
    <row r="87" spans="1:44" ht="15" customHeight="1" outlineLevel="1" thickBot="1">
      <c r="B87" s="1168" t="s">
        <v>4</v>
      </c>
      <c r="C87" s="1170">
        <v>2020</v>
      </c>
      <c r="D87" s="1170">
        <v>2030</v>
      </c>
      <c r="E87" s="1170">
        <v>2040</v>
      </c>
      <c r="F87" s="1170">
        <v>2050</v>
      </c>
      <c r="G87" s="1172" t="s">
        <v>721</v>
      </c>
      <c r="H87" s="1173"/>
      <c r="I87" s="1172" t="s">
        <v>648</v>
      </c>
      <c r="J87" s="1173"/>
      <c r="K87" s="1174" t="s">
        <v>2</v>
      </c>
      <c r="L87" s="1174" t="s">
        <v>3</v>
      </c>
      <c r="M87" s="367"/>
      <c r="N87" s="367"/>
      <c r="P87" s="1151" t="s">
        <v>0</v>
      </c>
      <c r="Q87" s="368"/>
      <c r="R87" s="368"/>
      <c r="S87" s="1144"/>
      <c r="T87" s="1149"/>
      <c r="U87" s="1150"/>
      <c r="V87" s="1149"/>
      <c r="W87" s="1150"/>
      <c r="X87" s="1149"/>
      <c r="Y87" s="1150"/>
      <c r="Z87" s="1149"/>
      <c r="AA87" s="1150"/>
      <c r="AB87" s="1149"/>
      <c r="AC87" s="1150"/>
      <c r="AE87" s="1151" t="s">
        <v>0</v>
      </c>
      <c r="AF87" s="368"/>
      <c r="AG87" s="368"/>
      <c r="AH87" s="1144"/>
      <c r="AI87" s="1149"/>
      <c r="AJ87" s="1150"/>
      <c r="AK87" s="1149"/>
      <c r="AL87" s="1150"/>
      <c r="AM87" s="1149"/>
      <c r="AN87" s="1150"/>
      <c r="AO87" s="1149"/>
      <c r="AP87" s="1150"/>
      <c r="AQ87" s="1149"/>
      <c r="AR87" s="1150"/>
    </row>
    <row r="88" spans="1:44" ht="15" customHeight="1" outlineLevel="1" thickBot="1">
      <c r="B88" s="1169"/>
      <c r="C88" s="1171"/>
      <c r="D88" s="1171"/>
      <c r="E88" s="1171"/>
      <c r="F88" s="1171"/>
      <c r="G88" s="499" t="s">
        <v>649</v>
      </c>
      <c r="H88" s="499" t="s">
        <v>650</v>
      </c>
      <c r="I88" s="499" t="s">
        <v>649</v>
      </c>
      <c r="J88" s="499" t="s">
        <v>650</v>
      </c>
      <c r="K88" s="1175"/>
      <c r="L88" s="1175"/>
      <c r="M88" s="370"/>
      <c r="N88" s="370"/>
      <c r="P88" s="1152"/>
      <c r="Q88" s="1154" t="s">
        <v>722</v>
      </c>
      <c r="R88" s="1155" t="s">
        <v>723</v>
      </c>
      <c r="S88" s="1145"/>
      <c r="T88" s="1149"/>
      <c r="U88" s="1150"/>
      <c r="V88" s="1149"/>
      <c r="W88" s="1150"/>
      <c r="X88" s="1149"/>
      <c r="Y88" s="1150"/>
      <c r="Z88" s="1149"/>
      <c r="AA88" s="1150"/>
      <c r="AB88" s="1149"/>
      <c r="AC88" s="1150"/>
      <c r="AE88" s="1152"/>
      <c r="AF88" s="1198" t="s">
        <v>722</v>
      </c>
      <c r="AG88" s="1155" t="s">
        <v>723</v>
      </c>
      <c r="AH88" s="1145"/>
      <c r="AI88" s="1149"/>
      <c r="AJ88" s="1150"/>
      <c r="AK88" s="1149"/>
      <c r="AL88" s="1150"/>
      <c r="AM88" s="1149"/>
      <c r="AN88" s="1150"/>
      <c r="AO88" s="1149"/>
      <c r="AP88" s="1150"/>
      <c r="AQ88" s="1149"/>
      <c r="AR88" s="1150"/>
    </row>
    <row r="89" spans="1:44" ht="33" outlineLevel="1" thickBot="1">
      <c r="B89" s="371" t="s">
        <v>651</v>
      </c>
      <c r="C89" s="372">
        <v>20</v>
      </c>
      <c r="D89" s="372">
        <v>20</v>
      </c>
      <c r="E89" s="372">
        <v>20</v>
      </c>
      <c r="F89" s="372">
        <v>20</v>
      </c>
      <c r="G89" s="372">
        <v>1</v>
      </c>
      <c r="H89" s="372">
        <v>50</v>
      </c>
      <c r="I89" s="372">
        <v>1</v>
      </c>
      <c r="J89" s="372">
        <v>50</v>
      </c>
      <c r="K89" s="372" t="s">
        <v>6</v>
      </c>
      <c r="L89" s="373">
        <v>3</v>
      </c>
      <c r="M89" s="370"/>
      <c r="N89" s="370"/>
      <c r="O89" s="74"/>
      <c r="P89" s="1153"/>
      <c r="Q89" s="1146"/>
      <c r="R89" s="1156"/>
      <c r="S89" s="1146"/>
      <c r="T89" s="374" t="s">
        <v>726</v>
      </c>
      <c r="U89" s="375" t="s">
        <v>727</v>
      </c>
      <c r="V89" s="374" t="s">
        <v>726</v>
      </c>
      <c r="W89" s="375" t="s">
        <v>727</v>
      </c>
      <c r="X89" s="374" t="s">
        <v>726</v>
      </c>
      <c r="Y89" s="375" t="s">
        <v>727</v>
      </c>
      <c r="Z89" s="374" t="s">
        <v>726</v>
      </c>
      <c r="AA89" s="375" t="s">
        <v>727</v>
      </c>
      <c r="AB89" s="374" t="s">
        <v>726</v>
      </c>
      <c r="AC89" s="375" t="s">
        <v>727</v>
      </c>
      <c r="AE89" s="1153"/>
      <c r="AF89" s="1199"/>
      <c r="AG89" s="1156"/>
      <c r="AH89" s="1146"/>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90</v>
      </c>
      <c r="D90" s="668">
        <v>90</v>
      </c>
      <c r="E90" s="669">
        <v>91</v>
      </c>
      <c r="F90" s="668">
        <v>92</v>
      </c>
      <c r="G90" s="668">
        <v>88</v>
      </c>
      <c r="H90" s="668">
        <f>(D90*1.02)</f>
        <v>91.8</v>
      </c>
      <c r="I90" s="668">
        <v>88</v>
      </c>
      <c r="J90" s="668">
        <f>(F90*1.01)</f>
        <v>92.92</v>
      </c>
      <c r="K90" s="503"/>
      <c r="L90" s="504" t="s">
        <v>729</v>
      </c>
      <c r="M90" s="370"/>
      <c r="N90" s="370"/>
      <c r="P90" s="1185" t="str">
        <f>C86</f>
        <v>Hot water boiler, Coal</v>
      </c>
      <c r="Q90" s="1188" t="s">
        <v>730</v>
      </c>
      <c r="R90" s="381" t="s">
        <v>731</v>
      </c>
      <c r="S90" s="382"/>
      <c r="T90" s="1191">
        <v>0</v>
      </c>
      <c r="U90" s="1179">
        <v>0</v>
      </c>
      <c r="V90" s="1182">
        <v>0</v>
      </c>
      <c r="W90" s="1179">
        <v>0</v>
      </c>
      <c r="X90" s="1182">
        <v>0</v>
      </c>
      <c r="Y90" s="1179">
        <v>0</v>
      </c>
      <c r="Z90" s="1182">
        <v>0</v>
      </c>
      <c r="AA90" s="1179">
        <v>0</v>
      </c>
      <c r="AB90" s="1182">
        <v>0</v>
      </c>
      <c r="AC90" s="1179">
        <v>0</v>
      </c>
      <c r="AE90" s="1185" t="str">
        <f>P90</f>
        <v>Hot water boiler, Coal</v>
      </c>
      <c r="AF90" s="1188" t="s">
        <v>730</v>
      </c>
      <c r="AG90" s="381" t="s">
        <v>731</v>
      </c>
      <c r="AH90" s="382"/>
      <c r="AI90" s="1191">
        <v>0</v>
      </c>
      <c r="AJ90" s="1179">
        <v>0</v>
      </c>
      <c r="AK90" s="1182">
        <v>0</v>
      </c>
      <c r="AL90" s="1179">
        <v>0</v>
      </c>
      <c r="AM90" s="1182">
        <v>0</v>
      </c>
      <c r="AN90" s="1179">
        <v>0</v>
      </c>
      <c r="AO90" s="1182">
        <v>0</v>
      </c>
      <c r="AP90" s="1179">
        <v>0</v>
      </c>
      <c r="AQ90" s="1182">
        <v>0</v>
      </c>
      <c r="AR90" s="1179">
        <v>0</v>
      </c>
    </row>
    <row r="91" spans="1:44" outlineLevel="1">
      <c r="B91" s="383" t="s">
        <v>732</v>
      </c>
      <c r="C91" s="577">
        <f t="shared" ref="C91:J91" si="5">(C90-1)</f>
        <v>89</v>
      </c>
      <c r="D91" s="577">
        <f t="shared" si="5"/>
        <v>89</v>
      </c>
      <c r="E91" s="577">
        <f t="shared" si="5"/>
        <v>90</v>
      </c>
      <c r="F91" s="577">
        <f t="shared" si="5"/>
        <v>91</v>
      </c>
      <c r="G91" s="576">
        <f t="shared" si="5"/>
        <v>87</v>
      </c>
      <c r="H91" s="576">
        <f t="shared" si="5"/>
        <v>90.8</v>
      </c>
      <c r="I91" s="576">
        <f t="shared" si="5"/>
        <v>87</v>
      </c>
      <c r="J91" s="576">
        <f t="shared" si="5"/>
        <v>91.92</v>
      </c>
      <c r="K91" s="372"/>
      <c r="L91" s="373" t="s">
        <v>729</v>
      </c>
      <c r="M91" s="370"/>
      <c r="N91" s="370"/>
      <c r="O91" s="71"/>
      <c r="P91" s="1186"/>
      <c r="Q91" s="1189"/>
      <c r="R91" s="388" t="s">
        <v>733</v>
      </c>
      <c r="S91" s="389"/>
      <c r="T91" s="1192"/>
      <c r="U91" s="1180"/>
      <c r="V91" s="1183"/>
      <c r="W91" s="1180"/>
      <c r="X91" s="1183"/>
      <c r="Y91" s="1180"/>
      <c r="Z91" s="1183"/>
      <c r="AA91" s="1180"/>
      <c r="AB91" s="1183"/>
      <c r="AC91" s="1180"/>
      <c r="AE91" s="1186"/>
      <c r="AF91" s="1189"/>
      <c r="AG91" s="388" t="s">
        <v>733</v>
      </c>
      <c r="AH91" s="389"/>
      <c r="AI91" s="1192"/>
      <c r="AJ91" s="1180"/>
      <c r="AK91" s="1183"/>
      <c r="AL91" s="1180"/>
      <c r="AM91" s="1183"/>
      <c r="AN91" s="1180"/>
      <c r="AO91" s="1183"/>
      <c r="AP91" s="1180"/>
      <c r="AQ91" s="1183"/>
      <c r="AR91" s="1180"/>
    </row>
    <row r="92" spans="1:44" ht="16" outlineLevel="1" thickBot="1">
      <c r="B92" s="500" t="s">
        <v>734</v>
      </c>
      <c r="C92" s="506">
        <v>1.1000000000000001</v>
      </c>
      <c r="D92" s="507">
        <v>1.1000000000000001</v>
      </c>
      <c r="E92" s="507">
        <v>1.1000000000000001</v>
      </c>
      <c r="F92" s="508">
        <v>1.1000000000000001</v>
      </c>
      <c r="G92" s="507">
        <v>1</v>
      </c>
      <c r="H92" s="507">
        <v>1.5</v>
      </c>
      <c r="I92" s="507">
        <v>1</v>
      </c>
      <c r="J92" s="507">
        <v>1.5</v>
      </c>
      <c r="K92" s="503" t="s">
        <v>59</v>
      </c>
      <c r="L92" s="504">
        <v>3</v>
      </c>
      <c r="M92" s="370"/>
      <c r="N92" s="370"/>
      <c r="O92" s="71"/>
      <c r="P92" s="1186"/>
      <c r="Q92" s="1190"/>
      <c r="R92" s="393" t="s">
        <v>735</v>
      </c>
      <c r="S92" s="394"/>
      <c r="T92" s="1193"/>
      <c r="U92" s="1181"/>
      <c r="V92" s="1184"/>
      <c r="W92" s="1181"/>
      <c r="X92" s="1184"/>
      <c r="Y92" s="1181"/>
      <c r="Z92" s="1184"/>
      <c r="AA92" s="1181"/>
      <c r="AB92" s="1184"/>
      <c r="AC92" s="1181"/>
      <c r="AE92" s="1186"/>
      <c r="AF92" s="1190"/>
      <c r="AG92" s="393" t="s">
        <v>735</v>
      </c>
      <c r="AH92" s="394"/>
      <c r="AI92" s="1193"/>
      <c r="AJ92" s="1181"/>
      <c r="AK92" s="1184"/>
      <c r="AL92" s="1181"/>
      <c r="AM92" s="1184"/>
      <c r="AN92" s="1181"/>
      <c r="AO92" s="1184"/>
      <c r="AP92" s="1181"/>
      <c r="AQ92" s="1184"/>
      <c r="AR92" s="1181"/>
    </row>
    <row r="93" spans="1:44" ht="15" customHeight="1" outlineLevel="1">
      <c r="B93" s="500" t="s">
        <v>657</v>
      </c>
      <c r="C93" s="816">
        <f>0.2+1</f>
        <v>1.2</v>
      </c>
      <c r="D93" s="816">
        <f>0.2+1</f>
        <v>1.2</v>
      </c>
      <c r="E93" s="816">
        <f>0.2+1</f>
        <v>1.2</v>
      </c>
      <c r="F93" s="816">
        <f>0.2+1</f>
        <v>1.2</v>
      </c>
      <c r="G93" s="817">
        <v>0.1</v>
      </c>
      <c r="H93" s="816">
        <f>0.2+2</f>
        <v>2.2000000000000002</v>
      </c>
      <c r="I93" s="817">
        <v>0.1</v>
      </c>
      <c r="J93" s="816">
        <f>0.2+2</f>
        <v>2.2000000000000002</v>
      </c>
      <c r="K93" s="503" t="s">
        <v>16</v>
      </c>
      <c r="L93" s="504">
        <v>3</v>
      </c>
      <c r="M93" s="370"/>
      <c r="N93" s="370"/>
      <c r="O93" s="71"/>
      <c r="P93" s="1186"/>
      <c r="Q93" s="1188" t="s">
        <v>736</v>
      </c>
      <c r="R93" s="395" t="s">
        <v>737</v>
      </c>
      <c r="S93" s="396" t="s">
        <v>738</v>
      </c>
      <c r="T93" s="1191">
        <v>0</v>
      </c>
      <c r="U93" s="1191">
        <v>0.67</v>
      </c>
      <c r="V93" s="1191">
        <v>0</v>
      </c>
      <c r="W93" s="1191">
        <v>0.56999999999999995</v>
      </c>
      <c r="X93" s="1191">
        <v>0</v>
      </c>
      <c r="Y93" s="1191">
        <v>0.5</v>
      </c>
      <c r="Z93" s="1191">
        <v>0</v>
      </c>
      <c r="AA93" s="1191">
        <v>0.51</v>
      </c>
      <c r="AB93" s="1191">
        <v>0</v>
      </c>
      <c r="AC93" s="1179">
        <v>0.41</v>
      </c>
      <c r="AE93" s="1186"/>
      <c r="AF93" s="1188" t="s">
        <v>736</v>
      </c>
      <c r="AG93" s="395" t="s">
        <v>737</v>
      </c>
      <c r="AH93" s="396" t="s">
        <v>738</v>
      </c>
      <c r="AI93" s="1191">
        <v>0</v>
      </c>
      <c r="AJ93" s="1191">
        <f>U93/4</f>
        <v>0.16750000000000001</v>
      </c>
      <c r="AK93" s="1191">
        <v>0</v>
      </c>
      <c r="AL93" s="1191">
        <f>W93/4</f>
        <v>0.14249999999999999</v>
      </c>
      <c r="AM93" s="1191">
        <v>0</v>
      </c>
      <c r="AN93" s="1191">
        <f>Y93/4</f>
        <v>0.125</v>
      </c>
      <c r="AO93" s="1191">
        <v>0</v>
      </c>
      <c r="AP93" s="1191">
        <f>AA93/4</f>
        <v>0.1275</v>
      </c>
      <c r="AQ93" s="1191">
        <v>0</v>
      </c>
      <c r="AR93" s="1179">
        <f>AC93/4</f>
        <v>0.10249999999999999</v>
      </c>
    </row>
    <row r="94" spans="1:44" outlineLevel="1">
      <c r="B94" s="500" t="s">
        <v>658</v>
      </c>
      <c r="C94" s="506">
        <f>0.5+0.4</f>
        <v>0.9</v>
      </c>
      <c r="D94" s="506">
        <f>0.5+0.4</f>
        <v>0.9</v>
      </c>
      <c r="E94" s="506">
        <f>0.5+0.4</f>
        <v>0.9</v>
      </c>
      <c r="F94" s="506">
        <f>0.5+0.4</f>
        <v>0.9</v>
      </c>
      <c r="G94" s="506">
        <f>0.5+0.3</f>
        <v>0.8</v>
      </c>
      <c r="H94" s="506">
        <f>0.5+0.6</f>
        <v>1.1000000000000001</v>
      </c>
      <c r="I94" s="506">
        <f>0.5+0.3</f>
        <v>0.8</v>
      </c>
      <c r="J94" s="506">
        <f>0.5+0.6</f>
        <v>1.1000000000000001</v>
      </c>
      <c r="K94" s="503" t="s">
        <v>16</v>
      </c>
      <c r="L94" s="504">
        <v>3</v>
      </c>
      <c r="M94" s="367"/>
      <c r="N94" s="367"/>
      <c r="O94" s="71"/>
      <c r="P94" s="1186"/>
      <c r="Q94" s="1189"/>
      <c r="R94" s="395" t="s">
        <v>739</v>
      </c>
      <c r="S94" s="396" t="s">
        <v>738</v>
      </c>
      <c r="T94" s="1194"/>
      <c r="U94" s="1194"/>
      <c r="V94" s="1194"/>
      <c r="W94" s="1194"/>
      <c r="X94" s="1194"/>
      <c r="Y94" s="1194"/>
      <c r="Z94" s="1194"/>
      <c r="AA94" s="1194"/>
      <c r="AB94" s="1194"/>
      <c r="AC94" s="1196"/>
      <c r="AE94" s="1186"/>
      <c r="AF94" s="1189"/>
      <c r="AG94" s="395" t="s">
        <v>739</v>
      </c>
      <c r="AH94" s="396" t="s">
        <v>738</v>
      </c>
      <c r="AI94" s="1194"/>
      <c r="AJ94" s="1194"/>
      <c r="AK94" s="1194"/>
      <c r="AL94" s="1194"/>
      <c r="AM94" s="1194"/>
      <c r="AN94" s="1194"/>
      <c r="AO94" s="1194"/>
      <c r="AP94" s="1194"/>
      <c r="AQ94" s="1194"/>
      <c r="AR94" s="1196"/>
    </row>
    <row r="95" spans="1:44" outlineLevel="1">
      <c r="B95" s="383" t="s">
        <v>11</v>
      </c>
      <c r="C95" s="397">
        <v>25</v>
      </c>
      <c r="D95" s="397">
        <v>25</v>
      </c>
      <c r="E95" s="397">
        <v>25</v>
      </c>
      <c r="F95" s="397">
        <v>25</v>
      </c>
      <c r="G95" s="399">
        <v>20</v>
      </c>
      <c r="H95" s="399">
        <v>30</v>
      </c>
      <c r="I95" s="399">
        <v>20</v>
      </c>
      <c r="J95" s="399">
        <v>30</v>
      </c>
      <c r="K95" s="372"/>
      <c r="L95" s="373" t="s">
        <v>740</v>
      </c>
      <c r="M95" s="363"/>
      <c r="N95" s="363"/>
      <c r="P95" s="1186"/>
      <c r="Q95" s="1189"/>
      <c r="R95" s="395" t="s">
        <v>741</v>
      </c>
      <c r="S95" s="396"/>
      <c r="T95" s="1194"/>
      <c r="U95" s="1194"/>
      <c r="V95" s="1194"/>
      <c r="W95" s="1194"/>
      <c r="X95" s="1194"/>
      <c r="Y95" s="1194"/>
      <c r="Z95" s="1194"/>
      <c r="AA95" s="1194"/>
      <c r="AB95" s="1194"/>
      <c r="AC95" s="1196"/>
      <c r="AE95" s="1186"/>
      <c r="AF95" s="1189"/>
      <c r="AG95" s="395" t="s">
        <v>741</v>
      </c>
      <c r="AH95" s="629" t="s">
        <v>738</v>
      </c>
      <c r="AI95" s="1194"/>
      <c r="AJ95" s="1194"/>
      <c r="AK95" s="1194"/>
      <c r="AL95" s="1194"/>
      <c r="AM95" s="1194"/>
      <c r="AN95" s="1194"/>
      <c r="AO95" s="1194"/>
      <c r="AP95" s="1194"/>
      <c r="AQ95" s="1194"/>
      <c r="AR95" s="1196"/>
    </row>
    <row r="96" spans="1:44" ht="16" outlineLevel="1" thickBot="1">
      <c r="B96" s="500" t="s">
        <v>273</v>
      </c>
      <c r="C96" s="506">
        <v>0.5</v>
      </c>
      <c r="D96" s="506">
        <v>0.5</v>
      </c>
      <c r="E96" s="506">
        <v>0.5</v>
      </c>
      <c r="F96" s="506">
        <v>0.5</v>
      </c>
      <c r="G96" s="506">
        <v>0.2</v>
      </c>
      <c r="H96" s="506">
        <v>0.7</v>
      </c>
      <c r="I96" s="506">
        <v>0.2</v>
      </c>
      <c r="J96" s="506">
        <v>0.7</v>
      </c>
      <c r="K96" s="372"/>
      <c r="L96" s="400"/>
      <c r="M96" s="363"/>
      <c r="N96" s="363"/>
      <c r="P96" s="1186"/>
      <c r="Q96" s="1189"/>
      <c r="R96" s="395" t="s">
        <v>742</v>
      </c>
      <c r="S96" s="396" t="s">
        <v>738</v>
      </c>
      <c r="T96" s="1194"/>
      <c r="U96" s="1194"/>
      <c r="V96" s="1194"/>
      <c r="W96" s="1194"/>
      <c r="X96" s="1194"/>
      <c r="Y96" s="1194"/>
      <c r="Z96" s="1194"/>
      <c r="AA96" s="1194"/>
      <c r="AB96" s="1194"/>
      <c r="AC96" s="1196"/>
      <c r="AE96" s="1186"/>
      <c r="AF96" s="1189"/>
      <c r="AG96" s="395" t="s">
        <v>742</v>
      </c>
      <c r="AH96" s="396"/>
      <c r="AI96" s="1194"/>
      <c r="AJ96" s="1194"/>
      <c r="AK96" s="1194"/>
      <c r="AL96" s="1194"/>
      <c r="AM96" s="1194"/>
      <c r="AN96" s="1194"/>
      <c r="AO96" s="1194"/>
      <c r="AP96" s="1194"/>
      <c r="AQ96" s="1194"/>
      <c r="AR96" s="1196"/>
    </row>
    <row r="97" spans="1:44" ht="16" outlineLevel="1" thickBot="1">
      <c r="B97" s="401" t="s">
        <v>743</v>
      </c>
      <c r="C97" s="402"/>
      <c r="D97" s="403"/>
      <c r="E97" s="404"/>
      <c r="F97" s="405"/>
      <c r="G97" s="406"/>
      <c r="H97" s="406"/>
      <c r="I97" s="406"/>
      <c r="J97" s="406"/>
      <c r="K97" s="407"/>
      <c r="L97" s="408"/>
      <c r="M97" s="363"/>
      <c r="N97" s="363"/>
      <c r="P97" s="1186"/>
      <c r="Q97" s="1190"/>
      <c r="R97" s="409" t="s">
        <v>863</v>
      </c>
      <c r="S97" s="410" t="s">
        <v>738</v>
      </c>
      <c r="T97" s="1195"/>
      <c r="U97" s="1195"/>
      <c r="V97" s="1195"/>
      <c r="W97" s="1195"/>
      <c r="X97" s="1195"/>
      <c r="Y97" s="1195"/>
      <c r="Z97" s="1195"/>
      <c r="AA97" s="1195"/>
      <c r="AB97" s="1195"/>
      <c r="AC97" s="1197"/>
      <c r="AE97" s="1186"/>
      <c r="AF97" s="1190"/>
      <c r="AG97" s="409" t="s">
        <v>863</v>
      </c>
      <c r="AH97" s="410" t="s">
        <v>738</v>
      </c>
      <c r="AI97" s="1195"/>
      <c r="AJ97" s="1195"/>
      <c r="AK97" s="1195"/>
      <c r="AL97" s="1195"/>
      <c r="AM97" s="1195"/>
      <c r="AN97" s="1195"/>
      <c r="AO97" s="1195"/>
      <c r="AP97" s="1195"/>
      <c r="AQ97" s="1195"/>
      <c r="AR97" s="1197"/>
    </row>
    <row r="98" spans="1:44" ht="33" outlineLevel="1" thickBot="1">
      <c r="B98" s="500" t="s">
        <v>663</v>
      </c>
      <c r="C98" s="506">
        <v>15</v>
      </c>
      <c r="D98" s="506">
        <v>15</v>
      </c>
      <c r="E98" s="506">
        <v>15</v>
      </c>
      <c r="F98" s="506">
        <v>15</v>
      </c>
      <c r="G98" s="507"/>
      <c r="H98" s="507"/>
      <c r="I98" s="507"/>
      <c r="J98" s="507"/>
      <c r="K98" s="503"/>
      <c r="L98" s="504">
        <v>3</v>
      </c>
      <c r="M98" s="363"/>
      <c r="N98" s="363"/>
      <c r="P98" s="1187"/>
      <c r="Q98" s="411" t="s">
        <v>745</v>
      </c>
      <c r="R98" s="412" t="s">
        <v>746</v>
      </c>
      <c r="S98" s="630" t="s">
        <v>738</v>
      </c>
      <c r="T98" s="416">
        <v>1</v>
      </c>
      <c r="U98" s="415">
        <v>1</v>
      </c>
      <c r="V98" s="416">
        <v>1</v>
      </c>
      <c r="W98" s="415">
        <v>1</v>
      </c>
      <c r="X98" s="416">
        <v>1</v>
      </c>
      <c r="Y98" s="415">
        <v>1</v>
      </c>
      <c r="Z98" s="416">
        <v>1</v>
      </c>
      <c r="AA98" s="415">
        <v>1</v>
      </c>
      <c r="AB98" s="416">
        <v>1</v>
      </c>
      <c r="AC98" s="417">
        <v>1</v>
      </c>
      <c r="AE98" s="1187"/>
      <c r="AF98" s="411" t="s">
        <v>745</v>
      </c>
      <c r="AG98" s="811" t="s">
        <v>746</v>
      </c>
      <c r="AH98" s="812" t="s">
        <v>738</v>
      </c>
      <c r="AI98" s="416">
        <v>1</v>
      </c>
      <c r="AJ98" s="415">
        <v>1</v>
      </c>
      <c r="AK98" s="416">
        <v>1</v>
      </c>
      <c r="AL98" s="415">
        <v>1</v>
      </c>
      <c r="AM98" s="416">
        <v>1</v>
      </c>
      <c r="AN98" s="415">
        <v>1</v>
      </c>
      <c r="AO98" s="416">
        <v>1</v>
      </c>
      <c r="AP98" s="415">
        <v>1</v>
      </c>
      <c r="AQ98" s="416">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818">
        <v>8</v>
      </c>
      <c r="D102" s="818">
        <v>8</v>
      </c>
      <c r="E102" s="818">
        <v>8</v>
      </c>
      <c r="F102" s="818">
        <v>8</v>
      </c>
      <c r="G102" s="422"/>
      <c r="H102" s="425"/>
      <c r="I102" s="425"/>
      <c r="J102" s="425"/>
      <c r="K102" s="426" t="s">
        <v>20</v>
      </c>
      <c r="L102" s="427" t="s">
        <v>748</v>
      </c>
      <c r="M102" s="428"/>
      <c r="N102" s="428"/>
    </row>
    <row r="103" spans="1:44" outlineLevel="1">
      <c r="B103" s="383" t="s">
        <v>749</v>
      </c>
      <c r="C103" s="818">
        <v>2.1</v>
      </c>
      <c r="D103" s="818">
        <v>2.1</v>
      </c>
      <c r="E103" s="818">
        <v>2.1</v>
      </c>
      <c r="F103" s="818">
        <v>2.1</v>
      </c>
      <c r="G103" s="425"/>
      <c r="H103" s="425"/>
      <c r="I103" s="425"/>
      <c r="J103" s="425"/>
      <c r="K103" s="423"/>
      <c r="L103" s="427">
        <v>9</v>
      </c>
      <c r="M103" s="428"/>
      <c r="N103" s="428"/>
    </row>
    <row r="104" spans="1:44" outlineLevel="1">
      <c r="B104" s="383" t="s">
        <v>844</v>
      </c>
      <c r="C104" s="397">
        <v>35</v>
      </c>
      <c r="D104" s="397">
        <v>35</v>
      </c>
      <c r="E104" s="397">
        <v>35</v>
      </c>
      <c r="F104" s="397">
        <v>35</v>
      </c>
      <c r="G104" s="425"/>
      <c r="H104" s="425"/>
      <c r="I104" s="425"/>
      <c r="J104" s="425"/>
      <c r="K104" s="423"/>
      <c r="L104" s="427" t="s">
        <v>748</v>
      </c>
      <c r="M104" s="428"/>
      <c r="N104" s="428"/>
    </row>
    <row r="105" spans="1:44" outlineLevel="1">
      <c r="B105" s="383" t="s">
        <v>366</v>
      </c>
      <c r="C105" s="818">
        <v>1.5</v>
      </c>
      <c r="D105" s="818">
        <v>1.5</v>
      </c>
      <c r="E105" s="818">
        <v>1.5</v>
      </c>
      <c r="F105" s="818">
        <v>1.5</v>
      </c>
      <c r="G105" s="425"/>
      <c r="H105" s="425"/>
      <c r="I105" s="425"/>
      <c r="J105" s="425"/>
      <c r="K105" s="423"/>
      <c r="L105" s="427" t="s">
        <v>748</v>
      </c>
      <c r="M105" s="428"/>
      <c r="N105" s="428"/>
    </row>
    <row r="106" spans="1:44" ht="16" outlineLevel="1" thickBot="1">
      <c r="B106" s="429" t="s">
        <v>367</v>
      </c>
      <c r="C106" s="810">
        <v>0.8</v>
      </c>
      <c r="D106" s="810">
        <v>0.8</v>
      </c>
      <c r="E106" s="810">
        <v>0.8</v>
      </c>
      <c r="F106" s="810">
        <v>0.8</v>
      </c>
      <c r="G106" s="425"/>
      <c r="H106" s="425"/>
      <c r="I106" s="425"/>
      <c r="J106" s="425"/>
      <c r="K106" s="423"/>
      <c r="L106" s="427" t="s">
        <v>748</v>
      </c>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1092</v>
      </c>
      <c r="C108" s="551">
        <f>0.5</f>
        <v>0.5</v>
      </c>
      <c r="D108" s="647">
        <f t="shared" ref="D108:F108" si="6">0.5</f>
        <v>0.5</v>
      </c>
      <c r="E108" s="647">
        <f t="shared" si="6"/>
        <v>0.5</v>
      </c>
      <c r="F108" s="648">
        <f t="shared" si="6"/>
        <v>0.5</v>
      </c>
      <c r="G108" s="425"/>
      <c r="H108" s="425"/>
      <c r="I108" s="425"/>
      <c r="J108" s="425"/>
      <c r="K108" s="426" t="s">
        <v>1097</v>
      </c>
      <c r="L108" s="440" t="s">
        <v>753</v>
      </c>
      <c r="M108" s="420"/>
      <c r="N108" s="420"/>
    </row>
    <row r="109" spans="1:44" outlineLevel="1">
      <c r="B109" s="441" t="s">
        <v>754</v>
      </c>
      <c r="C109" s="442">
        <v>60</v>
      </c>
      <c r="D109" s="443">
        <v>60</v>
      </c>
      <c r="E109" s="443">
        <v>60</v>
      </c>
      <c r="F109" s="443">
        <v>60</v>
      </c>
      <c r="G109" s="425"/>
      <c r="H109" s="425"/>
      <c r="I109" s="425"/>
      <c r="J109" s="425"/>
      <c r="K109" s="444"/>
      <c r="L109" s="373">
        <v>3</v>
      </c>
      <c r="M109" s="71"/>
      <c r="N109" s="420"/>
    </row>
    <row r="110" spans="1:44" outlineLevel="1">
      <c r="B110" s="441" t="s">
        <v>755</v>
      </c>
      <c r="C110" s="442">
        <f>100-C109</f>
        <v>40</v>
      </c>
      <c r="D110" s="442">
        <f>100-D109</f>
        <v>40</v>
      </c>
      <c r="E110" s="442">
        <f>100-E109</f>
        <v>40</v>
      </c>
      <c r="F110" s="442">
        <f>100-F109</f>
        <v>40</v>
      </c>
      <c r="G110" s="425"/>
      <c r="H110" s="425"/>
      <c r="I110" s="425"/>
      <c r="J110" s="425"/>
      <c r="K110" s="444"/>
      <c r="L110" s="373">
        <v>3</v>
      </c>
      <c r="M110" s="420"/>
      <c r="N110" s="420"/>
    </row>
    <row r="111" spans="1:44" outlineLevel="1">
      <c r="B111" s="383" t="s">
        <v>841</v>
      </c>
      <c r="C111" s="602">
        <v>33700</v>
      </c>
      <c r="D111" s="603">
        <v>32600</v>
      </c>
      <c r="E111" s="603">
        <f>(D111+F111)/2</f>
        <v>31600</v>
      </c>
      <c r="F111" s="604">
        <v>30600</v>
      </c>
      <c r="G111" s="425"/>
      <c r="H111" s="425"/>
      <c r="I111" s="425"/>
      <c r="J111" s="425"/>
      <c r="K111" s="448"/>
      <c r="L111" s="373">
        <v>3</v>
      </c>
      <c r="M111" s="420"/>
      <c r="N111" s="420"/>
    </row>
    <row r="112" spans="1:44" outlineLevel="1">
      <c r="B112" s="383" t="s">
        <v>679</v>
      </c>
      <c r="C112" s="449">
        <f>C113+C114</f>
        <v>1.903</v>
      </c>
      <c r="D112" s="449">
        <f t="shared" ref="D112:F112" si="7">D113+D114</f>
        <v>1.9250000000000003</v>
      </c>
      <c r="E112" s="449">
        <f t="shared" si="7"/>
        <v>1.9360000000000002</v>
      </c>
      <c r="F112" s="449">
        <f t="shared" si="7"/>
        <v>1.9360000000000002</v>
      </c>
      <c r="G112" s="425"/>
      <c r="H112" s="425"/>
      <c r="I112" s="425"/>
      <c r="J112" s="425"/>
      <c r="K112" s="448"/>
      <c r="L112" s="373">
        <v>3</v>
      </c>
      <c r="M112" s="694"/>
      <c r="N112" s="693"/>
      <c r="P112" s="1157">
        <f>C112</f>
        <v>1.903</v>
      </c>
      <c r="Q112" s="1135"/>
      <c r="R112" s="1135"/>
      <c r="S112" s="1135"/>
      <c r="T112" s="1135"/>
      <c r="U112" s="1158"/>
    </row>
    <row r="113" spans="2:30" ht="16" outlineLevel="1" thickBot="1">
      <c r="B113" s="500" t="s">
        <v>758</v>
      </c>
      <c r="C113" s="514">
        <f>C92/100*73</f>
        <v>0.80300000000000005</v>
      </c>
      <c r="D113" s="514">
        <f>D92/100*75</f>
        <v>0.82500000000000007</v>
      </c>
      <c r="E113" s="514">
        <f>E92/100*76</f>
        <v>0.83600000000000008</v>
      </c>
      <c r="F113" s="514">
        <f>F92/100*76</f>
        <v>0.83600000000000008</v>
      </c>
      <c r="G113" s="515"/>
      <c r="H113" s="515"/>
      <c r="I113" s="515"/>
      <c r="J113" s="515"/>
      <c r="K113" s="503" t="s">
        <v>33</v>
      </c>
      <c r="L113" s="504">
        <v>3</v>
      </c>
      <c r="M113" s="694"/>
      <c r="N113" s="693"/>
      <c r="P113" s="1159">
        <f>C113</f>
        <v>0.80300000000000005</v>
      </c>
      <c r="Q113" s="1160"/>
      <c r="R113" s="1160"/>
      <c r="S113" s="1160"/>
      <c r="T113" s="1160"/>
      <c r="U113" s="1161"/>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30"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627"/>
      <c r="D116" s="819"/>
      <c r="E116" s="819"/>
      <c r="F116" s="820"/>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v>3.5000000000000003E-2</v>
      </c>
      <c r="D118" s="670">
        <v>0.03</v>
      </c>
      <c r="E118" s="670">
        <v>0.03</v>
      </c>
      <c r="F118" s="670">
        <v>0.03</v>
      </c>
      <c r="G118" s="524"/>
      <c r="H118" s="524"/>
      <c r="I118" s="524"/>
      <c r="J118" s="524"/>
      <c r="K118" s="524" t="s">
        <v>51</v>
      </c>
      <c r="L118" s="525"/>
      <c r="M118" s="363"/>
      <c r="N118" s="363"/>
      <c r="O118" s="465">
        <f>C91</f>
        <v>89</v>
      </c>
      <c r="P118" s="466">
        <f>C87</f>
        <v>2020</v>
      </c>
      <c r="Q118" s="58">
        <f>P118</f>
        <v>2020</v>
      </c>
      <c r="R118" s="466">
        <f>O118/100</f>
        <v>0.89</v>
      </c>
      <c r="S118" s="58"/>
      <c r="T118" s="466">
        <f>C95</f>
        <v>25</v>
      </c>
      <c r="U118" s="467">
        <f>C125</f>
        <v>3725</v>
      </c>
      <c r="V118" s="467">
        <f>C127</f>
        <v>251.065</v>
      </c>
      <c r="W118" s="467">
        <f>C128</f>
        <v>3.9381527777777778</v>
      </c>
      <c r="X118" s="58"/>
      <c r="Y118" s="58"/>
      <c r="Z118" s="466">
        <f>C102</f>
        <v>8</v>
      </c>
      <c r="AA118" s="468">
        <f>C104</f>
        <v>35</v>
      </c>
      <c r="AB118" s="468">
        <f>C105</f>
        <v>1.5</v>
      </c>
      <c r="AC118" s="468">
        <f>C106</f>
        <v>0.8</v>
      </c>
      <c r="AD118" s="468">
        <f>C103</f>
        <v>2.1</v>
      </c>
    </row>
    <row r="119" spans="2:30" outlineLevel="1">
      <c r="B119" s="500" t="s">
        <v>763</v>
      </c>
      <c r="C119" s="526" t="s">
        <v>36</v>
      </c>
      <c r="D119" s="527" t="s">
        <v>36</v>
      </c>
      <c r="E119" s="527" t="s">
        <v>36</v>
      </c>
      <c r="F119" s="528" t="s">
        <v>36</v>
      </c>
      <c r="G119" s="528"/>
      <c r="H119" s="528"/>
      <c r="I119" s="528"/>
      <c r="J119" s="528"/>
      <c r="K119" s="529" t="s">
        <v>52</v>
      </c>
      <c r="L119" s="525"/>
      <c r="M119" s="363"/>
      <c r="N119" s="363"/>
      <c r="O119" s="465">
        <f>D91</f>
        <v>89</v>
      </c>
      <c r="P119" s="466">
        <f>D87</f>
        <v>2030</v>
      </c>
      <c r="Q119" s="58"/>
      <c r="R119" s="466">
        <f>O119/100</f>
        <v>0.89</v>
      </c>
      <c r="S119" s="58"/>
      <c r="T119" s="466">
        <f>D95</f>
        <v>25</v>
      </c>
      <c r="U119" s="467">
        <f>D125</f>
        <v>3725</v>
      </c>
      <c r="V119" s="467">
        <f>D127</f>
        <v>242.87</v>
      </c>
      <c r="W119" s="467">
        <f>D128</f>
        <v>3.9836805555555559</v>
      </c>
      <c r="X119" s="58"/>
      <c r="Y119" s="58"/>
      <c r="Z119" s="466">
        <f>D102</f>
        <v>8</v>
      </c>
      <c r="AA119" s="468">
        <f>D104</f>
        <v>35</v>
      </c>
      <c r="AB119" s="468">
        <f>D105</f>
        <v>1.5</v>
      </c>
      <c r="AC119" s="468">
        <f>D106</f>
        <v>0.8</v>
      </c>
      <c r="AD119" s="468">
        <f>D103</f>
        <v>2.1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90</v>
      </c>
      <c r="P120" s="466">
        <f>E87</f>
        <v>2040</v>
      </c>
      <c r="Q120" s="58"/>
      <c r="R120" s="466">
        <f>O120/100</f>
        <v>0.9</v>
      </c>
      <c r="S120" s="58"/>
      <c r="T120" s="466">
        <f>E95</f>
        <v>25</v>
      </c>
      <c r="U120" s="467">
        <f>E125</f>
        <v>3725</v>
      </c>
      <c r="V120" s="467">
        <f>E127</f>
        <v>235.42</v>
      </c>
      <c r="W120" s="467">
        <f>E128</f>
        <v>4.0064444444444449</v>
      </c>
      <c r="X120" s="58"/>
      <c r="Y120" s="58"/>
      <c r="Z120" s="466">
        <f>E102</f>
        <v>8</v>
      </c>
      <c r="AA120" s="468">
        <f>E104</f>
        <v>35</v>
      </c>
      <c r="AB120" s="468">
        <f>E105</f>
        <v>1.5</v>
      </c>
      <c r="AC120" s="468">
        <f>E106</f>
        <v>0.8</v>
      </c>
      <c r="AD120" s="468">
        <f>E103</f>
        <v>2.1</v>
      </c>
    </row>
    <row r="121" spans="2:30" outlineLevel="1">
      <c r="B121" s="500" t="s">
        <v>765</v>
      </c>
      <c r="C121" s="685">
        <v>90</v>
      </c>
      <c r="D121" s="530">
        <v>90</v>
      </c>
      <c r="E121" s="530">
        <v>90</v>
      </c>
      <c r="F121" s="530">
        <v>90</v>
      </c>
      <c r="G121" s="531"/>
      <c r="H121" s="531"/>
      <c r="I121" s="531"/>
      <c r="J121" s="531"/>
      <c r="K121" s="531"/>
      <c r="L121" s="504">
        <v>3</v>
      </c>
      <c r="M121" s="363"/>
      <c r="N121" s="363"/>
      <c r="O121" s="465">
        <f>F91</f>
        <v>91</v>
      </c>
      <c r="P121" s="466">
        <f>F87</f>
        <v>2050</v>
      </c>
      <c r="Q121" s="58"/>
      <c r="R121" s="466">
        <f>O121/100</f>
        <v>0.91</v>
      </c>
      <c r="S121" s="58"/>
      <c r="T121" s="466">
        <f>F95</f>
        <v>25</v>
      </c>
      <c r="U121" s="467">
        <f>F125</f>
        <v>3725</v>
      </c>
      <c r="V121" s="467">
        <f>F127</f>
        <v>227.97</v>
      </c>
      <c r="W121" s="467">
        <f>F128</f>
        <v>4.0064444444444449</v>
      </c>
      <c r="X121" s="58"/>
      <c r="Y121" s="58"/>
      <c r="Z121" s="466">
        <f>F102</f>
        <v>8</v>
      </c>
      <c r="AA121" s="468">
        <f>F104</f>
        <v>35</v>
      </c>
      <c r="AB121" s="468">
        <f>F105</f>
        <v>1.5</v>
      </c>
      <c r="AC121" s="468">
        <f>F106</f>
        <v>0.8</v>
      </c>
      <c r="AD121" s="468">
        <f>F103</f>
        <v>2.1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6" outlineLevel="1" thickBot="1">
      <c r="B124" s="534" t="s">
        <v>768</v>
      </c>
      <c r="C124" s="535"/>
      <c r="D124" s="536"/>
      <c r="E124" s="536"/>
      <c r="F124" s="537"/>
      <c r="G124" s="538"/>
      <c r="H124" s="538"/>
      <c r="I124" s="538"/>
      <c r="J124" s="538"/>
      <c r="K124" s="538"/>
      <c r="L124" s="539"/>
      <c r="M124" s="363"/>
      <c r="N124" s="363"/>
    </row>
    <row r="125" spans="2:30" ht="64" outlineLevel="1">
      <c r="B125" s="461" t="s">
        <v>769</v>
      </c>
      <c r="C125" s="483">
        <f>C108*$F$4*1000</f>
        <v>3725</v>
      </c>
      <c r="D125" s="483">
        <f t="shared" ref="D125:F125" si="8">D108*$F$4*1000</f>
        <v>3725</v>
      </c>
      <c r="E125" s="483">
        <f t="shared" si="8"/>
        <v>3725</v>
      </c>
      <c r="F125" s="483">
        <f t="shared" si="8"/>
        <v>3725</v>
      </c>
      <c r="G125" s="483"/>
      <c r="H125" s="484"/>
      <c r="I125" s="420" t="s">
        <v>332</v>
      </c>
      <c r="J125" s="420"/>
      <c r="K125" s="484"/>
      <c r="L125" s="484"/>
      <c r="N125" s="420"/>
    </row>
    <row r="126" spans="2:30" outlineLevel="1">
      <c r="B126" s="485" t="s">
        <v>770</v>
      </c>
      <c r="C126" s="486">
        <f>C125*$I126</f>
        <v>1862500</v>
      </c>
      <c r="D126" s="486">
        <f>D125*$I126</f>
        <v>1862500</v>
      </c>
      <c r="E126" s="486">
        <f>E125*$I126</f>
        <v>1862500</v>
      </c>
      <c r="F126" s="486">
        <f>F125*$I126</f>
        <v>1862500</v>
      </c>
      <c r="G126" s="486"/>
      <c r="H126" s="484"/>
      <c r="I126" s="71">
        <v>500</v>
      </c>
      <c r="J126" s="420" t="s">
        <v>330</v>
      </c>
      <c r="K126" s="484"/>
      <c r="L126" s="484"/>
      <c r="N126" s="420"/>
    </row>
    <row r="127" spans="2:30" ht="48" outlineLevel="1">
      <c r="B127" s="461" t="s">
        <v>845</v>
      </c>
      <c r="C127" s="359">
        <f>C111*$F$4/1000</f>
        <v>251.065</v>
      </c>
      <c r="D127" s="359">
        <f t="shared" ref="D127:F127" si="9">D111*$F$4/1000</f>
        <v>242.87</v>
      </c>
      <c r="E127" s="359">
        <f t="shared" si="9"/>
        <v>235.42</v>
      </c>
      <c r="F127" s="359">
        <f t="shared" si="9"/>
        <v>227.97</v>
      </c>
      <c r="G127" s="359"/>
      <c r="I127" s="420" t="s">
        <v>333</v>
      </c>
      <c r="J127" s="420"/>
      <c r="N127" s="420"/>
    </row>
    <row r="128" spans="2:30" ht="48" outlineLevel="1">
      <c r="B128" s="461" t="s">
        <v>846</v>
      </c>
      <c r="C128" s="487">
        <f>C112*$F$4/3.6</f>
        <v>3.9381527777777778</v>
      </c>
      <c r="D128" s="487">
        <f t="shared" ref="D128:F128" si="10">D112*$F$4/3.6</f>
        <v>3.9836805555555559</v>
      </c>
      <c r="E128" s="487">
        <f t="shared" si="10"/>
        <v>4.0064444444444449</v>
      </c>
      <c r="F128" s="487">
        <f t="shared" si="10"/>
        <v>4.0064444444444449</v>
      </c>
      <c r="G128" s="359"/>
      <c r="M128" s="420"/>
      <c r="N128" s="420"/>
    </row>
    <row r="129" spans="2:6" outlineLevel="1"/>
    <row r="130" spans="2:6" outlineLevel="1"/>
    <row r="131" spans="2:6" outlineLevel="1"/>
    <row r="132" spans="2:6" outlineLevel="1">
      <c r="B132" s="488" t="s">
        <v>773</v>
      </c>
      <c r="C132" s="489"/>
      <c r="E132" s="489"/>
      <c r="F132" s="489"/>
    </row>
    <row r="133" spans="2:6" outlineLevel="1">
      <c r="B133" s="491">
        <v>1</v>
      </c>
      <c r="C133" s="492" t="s">
        <v>774</v>
      </c>
      <c r="E133" s="489"/>
      <c r="F133" s="489"/>
    </row>
    <row r="134" spans="2:6" outlineLevel="1">
      <c r="B134" s="491">
        <v>2</v>
      </c>
      <c r="C134" s="493" t="s">
        <v>775</v>
      </c>
      <c r="E134" s="489"/>
      <c r="F134" s="489"/>
    </row>
    <row r="135" spans="2:6" outlineLevel="1">
      <c r="B135" s="491">
        <v>3</v>
      </c>
      <c r="C135" s="493" t="s">
        <v>776</v>
      </c>
      <c r="E135" s="489"/>
      <c r="F135" s="489"/>
    </row>
    <row r="136" spans="2:6" outlineLevel="1">
      <c r="B136" s="491">
        <v>4</v>
      </c>
      <c r="C136" s="493" t="s">
        <v>777</v>
      </c>
      <c r="E136" s="489"/>
      <c r="F136" s="489"/>
    </row>
    <row r="137" spans="2:6" outlineLevel="1">
      <c r="B137" s="358">
        <v>5</v>
      </c>
      <c r="C137" s="494" t="s">
        <v>778</v>
      </c>
      <c r="E137" s="489"/>
      <c r="F137" s="489"/>
    </row>
    <row r="138" spans="2:6" outlineLevel="1">
      <c r="B138" s="358">
        <v>6</v>
      </c>
      <c r="C138" s="492" t="s">
        <v>779</v>
      </c>
      <c r="E138" s="489"/>
      <c r="F138" s="489"/>
    </row>
    <row r="139" spans="2:6" outlineLevel="1">
      <c r="B139" s="358">
        <v>7</v>
      </c>
      <c r="C139" s="495" t="s">
        <v>774</v>
      </c>
      <c r="E139" s="489"/>
      <c r="F139" s="489"/>
    </row>
    <row r="140" spans="2:6" outlineLevel="1">
      <c r="B140" s="358">
        <v>8</v>
      </c>
      <c r="C140" s="495" t="s">
        <v>780</v>
      </c>
      <c r="E140" s="489"/>
      <c r="F140" s="489"/>
    </row>
    <row r="141" spans="2:6" outlineLevel="1">
      <c r="B141" s="358">
        <v>9</v>
      </c>
      <c r="C141" s="489" t="s">
        <v>781</v>
      </c>
      <c r="E141" s="489"/>
      <c r="F141" s="489"/>
    </row>
    <row r="142" spans="2:6" outlineLevel="1">
      <c r="B142" s="358">
        <v>10</v>
      </c>
      <c r="C142" s="490" t="s">
        <v>782</v>
      </c>
      <c r="E142" s="489"/>
      <c r="F142" s="489"/>
    </row>
    <row r="143" spans="2:6" outlineLevel="1">
      <c r="B143" s="488" t="s">
        <v>783</v>
      </c>
      <c r="C143" s="489"/>
      <c r="E143" s="489"/>
      <c r="F143" s="489"/>
    </row>
    <row r="144" spans="2:6" outlineLevel="1">
      <c r="B144" s="496" t="s">
        <v>6</v>
      </c>
      <c r="C144" s="489" t="s">
        <v>1093</v>
      </c>
      <c r="D144" s="489"/>
      <c r="F144" s="489"/>
    </row>
    <row r="145" spans="2:6" outlineLevel="1">
      <c r="B145" s="496" t="s">
        <v>59</v>
      </c>
      <c r="C145" s="489" t="s">
        <v>976</v>
      </c>
      <c r="D145" s="489"/>
      <c r="F145" s="489"/>
    </row>
    <row r="146" spans="2:6" outlineLevel="1">
      <c r="B146" s="496" t="s">
        <v>16</v>
      </c>
      <c r="C146" s="489" t="s">
        <v>1094</v>
      </c>
      <c r="D146" s="489"/>
      <c r="F146" s="489"/>
    </row>
    <row r="147" spans="2:6" outlineLevel="1">
      <c r="B147" s="496" t="s">
        <v>20</v>
      </c>
      <c r="C147" s="489" t="s">
        <v>786</v>
      </c>
      <c r="D147" s="489"/>
      <c r="F147" s="489"/>
    </row>
    <row r="148" spans="2:6" outlineLevel="1">
      <c r="B148" s="496" t="s">
        <v>76</v>
      </c>
      <c r="C148" s="489" t="s">
        <v>978</v>
      </c>
      <c r="D148" s="489"/>
      <c r="F148" s="489"/>
    </row>
    <row r="149" spans="2:6" outlineLevel="1">
      <c r="B149" s="496" t="s">
        <v>25</v>
      </c>
      <c r="C149" s="489" t="s">
        <v>979</v>
      </c>
      <c r="D149" s="489"/>
      <c r="F149" s="490"/>
    </row>
    <row r="150" spans="2:6" outlineLevel="1">
      <c r="B150" s="496" t="s">
        <v>33</v>
      </c>
      <c r="C150" s="498" t="s">
        <v>788</v>
      </c>
      <c r="D150" s="489"/>
      <c r="F150" s="821"/>
    </row>
    <row r="151" spans="2:6" outlineLevel="1">
      <c r="B151" s="496" t="s">
        <v>51</v>
      </c>
      <c r="C151" s="489" t="s">
        <v>804</v>
      </c>
      <c r="D151" s="489"/>
      <c r="F151" s="822"/>
    </row>
    <row r="152" spans="2:6" outlineLevel="1">
      <c r="B152" s="496" t="s">
        <v>52</v>
      </c>
      <c r="C152" s="489" t="s">
        <v>789</v>
      </c>
      <c r="D152" s="489"/>
    </row>
    <row r="153" spans="2:6" outlineLevel="1">
      <c r="B153" s="496"/>
      <c r="C153" s="498"/>
      <c r="E153" s="490"/>
      <c r="F153" s="490"/>
    </row>
    <row r="154" spans="2:6" outlineLevel="1">
      <c r="B154" s="496"/>
      <c r="C154" s="489"/>
      <c r="E154" s="490"/>
      <c r="F154" s="490"/>
    </row>
    <row r="155" spans="2:6" outlineLevel="1">
      <c r="E155" s="490"/>
      <c r="F155" s="490"/>
    </row>
    <row r="156" spans="2:6" outlineLevel="1">
      <c r="B156" s="496"/>
      <c r="E156" s="490"/>
      <c r="F156" s="490"/>
    </row>
    <row r="157" spans="2:6" outlineLevel="1">
      <c r="B157" s="496"/>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c r="B166" s="1134"/>
      <c r="C166" s="1135"/>
      <c r="D166" s="1135"/>
      <c r="E166" s="1135"/>
      <c r="F166" s="1135"/>
      <c r="G166" s="1135"/>
      <c r="H166" s="1135"/>
      <c r="I166" s="1135"/>
      <c r="J166" s="1135"/>
      <c r="K166" s="1135"/>
      <c r="L166" s="1135"/>
      <c r="M166" s="1135"/>
      <c r="N166" s="693"/>
      <c r="P166" s="1135"/>
      <c r="Q166" s="1135"/>
      <c r="R166" s="1135"/>
      <c r="S166" s="1135"/>
      <c r="T166" s="1135"/>
      <c r="U166" s="1135"/>
    </row>
    <row r="167" spans="1:44" ht="16" outlineLevel="1" thickBot="1">
      <c r="B167" s="1134"/>
      <c r="C167" s="1135"/>
      <c r="D167" s="1135"/>
      <c r="E167" s="1135"/>
      <c r="F167" s="1135"/>
      <c r="G167" s="1135"/>
      <c r="H167" s="1135"/>
      <c r="I167" s="1135"/>
      <c r="J167" s="1135"/>
      <c r="K167" s="1135"/>
      <c r="L167" s="1135"/>
      <c r="M167" s="1135"/>
      <c r="N167" s="693"/>
      <c r="P167" s="692"/>
      <c r="Q167" s="692"/>
      <c r="R167" s="692"/>
      <c r="S167" s="692"/>
      <c r="T167" s="692"/>
      <c r="U167" s="692"/>
      <c r="V167" s="692"/>
      <c r="W167" s="692"/>
      <c r="X167" s="692"/>
      <c r="Y167" s="692"/>
      <c r="Z167" s="692"/>
      <c r="AA167" s="692"/>
      <c r="AB167" s="692"/>
      <c r="AC167" s="692"/>
    </row>
    <row r="168" spans="1:44" ht="20.5" customHeight="1" outlineLevel="1" thickBot="1">
      <c r="B168" s="362"/>
      <c r="C168" s="1176"/>
      <c r="D168" s="1177"/>
      <c r="E168" s="1177"/>
      <c r="F168" s="1177"/>
      <c r="G168" s="1177"/>
      <c r="H168" s="1177"/>
      <c r="I168" s="1177"/>
      <c r="J168" s="1177"/>
      <c r="K168" s="1177"/>
      <c r="L168" s="1178"/>
      <c r="M168" s="363"/>
      <c r="N168" s="363"/>
      <c r="P168" s="364"/>
      <c r="Q168" s="365"/>
      <c r="R168" s="366"/>
      <c r="S168" s="1143"/>
      <c r="T168" s="1147"/>
      <c r="U168" s="1148"/>
      <c r="V168" s="1147"/>
      <c r="W168" s="1148"/>
      <c r="X168" s="1147"/>
      <c r="Y168" s="1148"/>
      <c r="Z168" s="1147"/>
      <c r="AA168" s="1148"/>
      <c r="AB168" s="1147"/>
      <c r="AC168" s="1148"/>
      <c r="AE168" s="364"/>
      <c r="AF168" s="365"/>
      <c r="AG168" s="366"/>
      <c r="AH168" s="1143"/>
      <c r="AI168" s="1147"/>
      <c r="AJ168" s="1148"/>
      <c r="AK168" s="1147"/>
      <c r="AL168" s="1148"/>
      <c r="AM168" s="1147"/>
      <c r="AN168" s="1148"/>
      <c r="AO168" s="1147"/>
      <c r="AP168" s="1148"/>
      <c r="AQ168" s="1147"/>
      <c r="AR168" s="1148"/>
    </row>
    <row r="169" spans="1:44" ht="15" customHeight="1" outlineLevel="1" thickBot="1">
      <c r="B169" s="1168"/>
      <c r="C169" s="1170"/>
      <c r="D169" s="1170"/>
      <c r="E169" s="1170"/>
      <c r="F169" s="1170"/>
      <c r="G169" s="1172"/>
      <c r="H169" s="1173"/>
      <c r="I169" s="1172"/>
      <c r="J169" s="1173"/>
      <c r="K169" s="1174"/>
      <c r="L169" s="1174"/>
      <c r="M169" s="367"/>
      <c r="N169" s="367"/>
      <c r="P169" s="1151"/>
      <c r="Q169" s="368"/>
      <c r="R169" s="368"/>
      <c r="S169" s="1144"/>
      <c r="T169" s="1149"/>
      <c r="U169" s="1150"/>
      <c r="V169" s="1149"/>
      <c r="W169" s="1150"/>
      <c r="X169" s="1149"/>
      <c r="Y169" s="1150"/>
      <c r="Z169" s="1149"/>
      <c r="AA169" s="1150"/>
      <c r="AB169" s="1149"/>
      <c r="AC169" s="1150"/>
      <c r="AE169" s="1151"/>
      <c r="AF169" s="368"/>
      <c r="AG169" s="368"/>
      <c r="AH169" s="1144"/>
      <c r="AI169" s="1149"/>
      <c r="AJ169" s="1150"/>
      <c r="AK169" s="1149"/>
      <c r="AL169" s="1150"/>
      <c r="AM169" s="1149"/>
      <c r="AN169" s="1150"/>
      <c r="AO169" s="1149"/>
      <c r="AP169" s="1150"/>
      <c r="AQ169" s="1149"/>
      <c r="AR169" s="1150"/>
    </row>
    <row r="170" spans="1:44" ht="15" customHeight="1" outlineLevel="1" thickBot="1">
      <c r="B170" s="1169"/>
      <c r="C170" s="1171"/>
      <c r="D170" s="1171"/>
      <c r="E170" s="1171"/>
      <c r="F170" s="1171"/>
      <c r="G170" s="499"/>
      <c r="H170" s="499"/>
      <c r="I170" s="499"/>
      <c r="J170" s="499"/>
      <c r="K170" s="1175"/>
      <c r="L170" s="1175"/>
      <c r="M170" s="370"/>
      <c r="N170" s="370"/>
      <c r="P170" s="1152"/>
      <c r="Q170" s="1154"/>
      <c r="R170" s="1155"/>
      <c r="S170" s="1145"/>
      <c r="T170" s="1149"/>
      <c r="U170" s="1150"/>
      <c r="V170" s="1149"/>
      <c r="W170" s="1150"/>
      <c r="X170" s="1149"/>
      <c r="Y170" s="1150"/>
      <c r="Z170" s="1149"/>
      <c r="AA170" s="1150"/>
      <c r="AB170" s="1149"/>
      <c r="AC170" s="1150"/>
      <c r="AE170" s="1152"/>
      <c r="AF170" s="1198"/>
      <c r="AG170" s="1155"/>
      <c r="AH170" s="1145"/>
      <c r="AI170" s="1149"/>
      <c r="AJ170" s="1150"/>
      <c r="AK170" s="1149"/>
      <c r="AL170" s="1150"/>
      <c r="AM170" s="1149"/>
      <c r="AN170" s="1150"/>
      <c r="AO170" s="1149"/>
      <c r="AP170" s="1150"/>
      <c r="AQ170" s="1149"/>
      <c r="AR170" s="1150"/>
    </row>
    <row r="171" spans="1:44" ht="16" outlineLevel="1" thickBot="1">
      <c r="B171" s="371"/>
      <c r="C171" s="372"/>
      <c r="D171" s="372"/>
      <c r="E171" s="372"/>
      <c r="F171" s="372"/>
      <c r="G171" s="372"/>
      <c r="H171" s="372"/>
      <c r="I171" s="372"/>
      <c r="J171" s="372"/>
      <c r="K171" s="372"/>
      <c r="L171" s="373"/>
      <c r="M171" s="370"/>
      <c r="N171" s="370"/>
      <c r="O171" s="74"/>
      <c r="P171" s="1153"/>
      <c r="Q171" s="1146"/>
      <c r="R171" s="1156"/>
      <c r="S171" s="1146"/>
      <c r="T171" s="374"/>
      <c r="U171" s="375"/>
      <c r="V171" s="374"/>
      <c r="W171" s="375"/>
      <c r="X171" s="374"/>
      <c r="Y171" s="375"/>
      <c r="Z171" s="374"/>
      <c r="AA171" s="375"/>
      <c r="AB171" s="374"/>
      <c r="AC171" s="375"/>
      <c r="AE171" s="1153"/>
      <c r="AF171" s="1199"/>
      <c r="AG171" s="1156"/>
      <c r="AH171" s="1146"/>
      <c r="AI171" s="374"/>
      <c r="AJ171" s="375"/>
      <c r="AK171" s="374"/>
      <c r="AL171" s="375"/>
      <c r="AM171" s="374"/>
      <c r="AN171" s="375"/>
      <c r="AO171" s="374"/>
      <c r="AP171" s="375"/>
      <c r="AQ171" s="374"/>
      <c r="AR171" s="375"/>
    </row>
    <row r="172" spans="1:44" ht="14.5" customHeight="1" outlineLevel="1">
      <c r="B172" s="500"/>
      <c r="C172" s="501"/>
      <c r="D172" s="501"/>
      <c r="E172" s="502"/>
      <c r="F172" s="501"/>
      <c r="G172" s="501"/>
      <c r="H172" s="501"/>
      <c r="I172" s="501"/>
      <c r="J172" s="501"/>
      <c r="K172" s="503"/>
      <c r="L172" s="504"/>
      <c r="M172" s="370"/>
      <c r="N172" s="370"/>
      <c r="P172" s="1200"/>
      <c r="Q172" s="1188"/>
      <c r="R172" s="381"/>
      <c r="S172" s="382"/>
      <c r="T172" s="1191"/>
      <c r="U172" s="1179"/>
      <c r="V172" s="1182"/>
      <c r="W172" s="1179"/>
      <c r="X172" s="1182"/>
      <c r="Y172" s="1179"/>
      <c r="Z172" s="1182"/>
      <c r="AA172" s="1179"/>
      <c r="AB172" s="1182"/>
      <c r="AC172" s="1179"/>
      <c r="AE172" s="1185"/>
      <c r="AF172" s="1188"/>
      <c r="AG172" s="381"/>
      <c r="AH172" s="382"/>
      <c r="AI172" s="1191"/>
      <c r="AJ172" s="1179"/>
      <c r="AK172" s="1182"/>
      <c r="AL172" s="1179"/>
      <c r="AM172" s="1182"/>
      <c r="AN172" s="1179"/>
      <c r="AO172" s="1182"/>
      <c r="AP172" s="1179"/>
      <c r="AQ172" s="1182"/>
      <c r="AR172" s="1179"/>
    </row>
    <row r="173" spans="1:44" outlineLevel="1">
      <c r="B173" s="383"/>
      <c r="C173" s="384"/>
      <c r="D173" s="384"/>
      <c r="E173" s="384"/>
      <c r="F173" s="384"/>
      <c r="G173" s="505"/>
      <c r="H173" s="505"/>
      <c r="I173" s="505"/>
      <c r="J173" s="505"/>
      <c r="K173" s="372"/>
      <c r="L173" s="373"/>
      <c r="M173" s="370"/>
      <c r="N173" s="370"/>
      <c r="O173" s="71"/>
      <c r="P173" s="1186"/>
      <c r="Q173" s="1189"/>
      <c r="R173" s="388"/>
      <c r="S173" s="389"/>
      <c r="T173" s="1192"/>
      <c r="U173" s="1180"/>
      <c r="V173" s="1183"/>
      <c r="W173" s="1180"/>
      <c r="X173" s="1183"/>
      <c r="Y173" s="1180"/>
      <c r="Z173" s="1183"/>
      <c r="AA173" s="1180"/>
      <c r="AB173" s="1183"/>
      <c r="AC173" s="1180"/>
      <c r="AE173" s="1186"/>
      <c r="AF173" s="1189"/>
      <c r="AG173" s="388"/>
      <c r="AH173" s="389"/>
      <c r="AI173" s="1192"/>
      <c r="AJ173" s="1180"/>
      <c r="AK173" s="1183"/>
      <c r="AL173" s="1180"/>
      <c r="AM173" s="1183"/>
      <c r="AN173" s="1180"/>
      <c r="AO173" s="1183"/>
      <c r="AP173" s="1180"/>
      <c r="AQ173" s="1183"/>
      <c r="AR173" s="1180"/>
    </row>
    <row r="174" spans="1:44" ht="16" outlineLevel="1" thickBot="1">
      <c r="B174" s="500"/>
      <c r="C174" s="506"/>
      <c r="D174" s="507"/>
      <c r="E174" s="507"/>
      <c r="F174" s="508"/>
      <c r="G174" s="507"/>
      <c r="H174" s="507"/>
      <c r="I174" s="507"/>
      <c r="J174" s="507"/>
      <c r="K174" s="503"/>
      <c r="L174" s="504"/>
      <c r="M174" s="370"/>
      <c r="N174" s="370"/>
      <c r="O174" s="71"/>
      <c r="P174" s="1186"/>
      <c r="Q174" s="1190"/>
      <c r="R174" s="393"/>
      <c r="S174" s="394"/>
      <c r="T174" s="1193"/>
      <c r="U174" s="1181"/>
      <c r="V174" s="1184"/>
      <c r="W174" s="1181"/>
      <c r="X174" s="1184"/>
      <c r="Y174" s="1181"/>
      <c r="Z174" s="1184"/>
      <c r="AA174" s="1181"/>
      <c r="AB174" s="1184"/>
      <c r="AC174" s="1181"/>
      <c r="AE174" s="1186"/>
      <c r="AF174" s="1190"/>
      <c r="AG174" s="393"/>
      <c r="AH174" s="394"/>
      <c r="AI174" s="1193"/>
      <c r="AJ174" s="1181"/>
      <c r="AK174" s="1184"/>
      <c r="AL174" s="1181"/>
      <c r="AM174" s="1184"/>
      <c r="AN174" s="1181"/>
      <c r="AO174" s="1184"/>
      <c r="AP174" s="1181"/>
      <c r="AQ174" s="1184"/>
      <c r="AR174" s="1181"/>
    </row>
    <row r="175" spans="1:44" ht="14.5" customHeight="1" outlineLevel="1">
      <c r="B175" s="500"/>
      <c r="C175" s="687"/>
      <c r="D175" s="687"/>
      <c r="E175" s="687"/>
      <c r="F175" s="687"/>
      <c r="G175" s="687"/>
      <c r="H175" s="687"/>
      <c r="I175" s="687"/>
      <c r="J175" s="687"/>
      <c r="K175" s="503"/>
      <c r="L175" s="504"/>
      <c r="M175" s="370"/>
      <c r="N175" s="370"/>
      <c r="O175" s="71"/>
      <c r="P175" s="1186"/>
      <c r="Q175" s="1188"/>
      <c r="R175" s="395"/>
      <c r="S175" s="396"/>
      <c r="T175" s="1191"/>
      <c r="U175" s="1191"/>
      <c r="V175" s="1191"/>
      <c r="W175" s="1191"/>
      <c r="X175" s="1191"/>
      <c r="Y175" s="1191"/>
      <c r="Z175" s="1191"/>
      <c r="AA175" s="1191"/>
      <c r="AB175" s="1191"/>
      <c r="AC175" s="1179"/>
      <c r="AE175" s="1186"/>
      <c r="AF175" s="1188"/>
      <c r="AG175" s="395"/>
      <c r="AH175" s="396"/>
      <c r="AI175" s="1191"/>
      <c r="AJ175" s="1191"/>
      <c r="AK175" s="1191"/>
      <c r="AL175" s="1191"/>
      <c r="AM175" s="1191"/>
      <c r="AN175" s="1191"/>
      <c r="AO175" s="1191"/>
      <c r="AP175" s="1191"/>
      <c r="AQ175" s="1191"/>
      <c r="AR175" s="1179"/>
    </row>
    <row r="176" spans="1:44" outlineLevel="1">
      <c r="B176" s="500"/>
      <c r="C176" s="506"/>
      <c r="D176" s="506"/>
      <c r="E176" s="506"/>
      <c r="F176" s="506"/>
      <c r="G176" s="506"/>
      <c r="H176" s="506"/>
      <c r="I176" s="506"/>
      <c r="J176" s="506"/>
      <c r="K176" s="503"/>
      <c r="L176" s="504"/>
      <c r="M176" s="367"/>
      <c r="N176" s="367"/>
      <c r="O176" s="71"/>
      <c r="P176" s="1186"/>
      <c r="Q176" s="1189"/>
      <c r="R176" s="395"/>
      <c r="S176" s="396"/>
      <c r="T176" s="1194"/>
      <c r="U176" s="1194"/>
      <c r="V176" s="1194"/>
      <c r="W176" s="1194"/>
      <c r="X176" s="1194"/>
      <c r="Y176" s="1194"/>
      <c r="Z176" s="1194"/>
      <c r="AA176" s="1194"/>
      <c r="AB176" s="1194"/>
      <c r="AC176" s="1196"/>
      <c r="AE176" s="1186"/>
      <c r="AF176" s="1189"/>
      <c r="AG176" s="395"/>
      <c r="AH176" s="396"/>
      <c r="AI176" s="1194"/>
      <c r="AJ176" s="1194"/>
      <c r="AK176" s="1194"/>
      <c r="AL176" s="1194"/>
      <c r="AM176" s="1194"/>
      <c r="AN176" s="1194"/>
      <c r="AO176" s="1194"/>
      <c r="AP176" s="1194"/>
      <c r="AQ176" s="1194"/>
      <c r="AR176" s="1196"/>
    </row>
    <row r="177" spans="1:44" outlineLevel="1">
      <c r="B177" s="383"/>
      <c r="C177" s="397"/>
      <c r="D177" s="397"/>
      <c r="E177" s="397"/>
      <c r="F177" s="397"/>
      <c r="G177" s="399"/>
      <c r="H177" s="399"/>
      <c r="I177" s="399"/>
      <c r="J177" s="399"/>
      <c r="K177" s="372"/>
      <c r="L177" s="373"/>
      <c r="M177" s="363"/>
      <c r="N177" s="363"/>
      <c r="P177" s="1186"/>
      <c r="Q177" s="1189"/>
      <c r="R177" s="395"/>
      <c r="S177" s="396"/>
      <c r="T177" s="1194"/>
      <c r="U177" s="1194"/>
      <c r="V177" s="1194"/>
      <c r="W177" s="1194"/>
      <c r="X177" s="1194"/>
      <c r="Y177" s="1194"/>
      <c r="Z177" s="1194"/>
      <c r="AA177" s="1194"/>
      <c r="AB177" s="1194"/>
      <c r="AC177" s="1196"/>
      <c r="AE177" s="1186"/>
      <c r="AF177" s="1189"/>
      <c r="AG177" s="395"/>
      <c r="AH177" s="629"/>
      <c r="AI177" s="1194"/>
      <c r="AJ177" s="1194"/>
      <c r="AK177" s="1194"/>
      <c r="AL177" s="1194"/>
      <c r="AM177" s="1194"/>
      <c r="AN177" s="1194"/>
      <c r="AO177" s="1194"/>
      <c r="AP177" s="1194"/>
      <c r="AQ177" s="1194"/>
      <c r="AR177" s="1196"/>
    </row>
    <row r="178" spans="1:44" ht="16" outlineLevel="1" thickBot="1">
      <c r="B178" s="500"/>
      <c r="C178" s="506"/>
      <c r="D178" s="506"/>
      <c r="E178" s="506"/>
      <c r="F178" s="506"/>
      <c r="G178" s="506"/>
      <c r="H178" s="506"/>
      <c r="I178" s="506"/>
      <c r="J178" s="506"/>
      <c r="K178" s="372"/>
      <c r="L178" s="400"/>
      <c r="M178" s="363"/>
      <c r="N178" s="363"/>
      <c r="P178" s="1186"/>
      <c r="Q178" s="1189"/>
      <c r="R178" s="395"/>
      <c r="S178" s="396"/>
      <c r="T178" s="1194"/>
      <c r="U178" s="1194"/>
      <c r="V178" s="1194"/>
      <c r="W178" s="1194"/>
      <c r="X178" s="1194"/>
      <c r="Y178" s="1194"/>
      <c r="Z178" s="1194"/>
      <c r="AA178" s="1194"/>
      <c r="AB178" s="1194"/>
      <c r="AC178" s="1196"/>
      <c r="AE178" s="1186"/>
      <c r="AF178" s="1189"/>
      <c r="AG178" s="395"/>
      <c r="AH178" s="396"/>
      <c r="AI178" s="1194"/>
      <c r="AJ178" s="1194"/>
      <c r="AK178" s="1194"/>
      <c r="AL178" s="1194"/>
      <c r="AM178" s="1194"/>
      <c r="AN178" s="1194"/>
      <c r="AO178" s="1194"/>
      <c r="AP178" s="1194"/>
      <c r="AQ178" s="1194"/>
      <c r="AR178" s="1196"/>
    </row>
    <row r="179" spans="1:44" ht="16" outlineLevel="1" thickBot="1">
      <c r="B179" s="401"/>
      <c r="C179" s="402"/>
      <c r="D179" s="403"/>
      <c r="E179" s="404"/>
      <c r="F179" s="405"/>
      <c r="G179" s="406"/>
      <c r="H179" s="406"/>
      <c r="I179" s="406"/>
      <c r="J179" s="406"/>
      <c r="K179" s="407"/>
      <c r="L179" s="408"/>
      <c r="M179" s="363"/>
      <c r="N179" s="363"/>
      <c r="P179" s="1186"/>
      <c r="Q179" s="1190"/>
      <c r="R179" s="409"/>
      <c r="S179" s="410"/>
      <c r="T179" s="1195"/>
      <c r="U179" s="1195"/>
      <c r="V179" s="1195"/>
      <c r="W179" s="1195"/>
      <c r="X179" s="1195"/>
      <c r="Y179" s="1195"/>
      <c r="Z179" s="1195"/>
      <c r="AA179" s="1195"/>
      <c r="AB179" s="1195"/>
      <c r="AC179" s="1197"/>
      <c r="AE179" s="1186"/>
      <c r="AF179" s="1190"/>
      <c r="AG179" s="409"/>
      <c r="AH179" s="410"/>
      <c r="AI179" s="1195"/>
      <c r="AJ179" s="1195"/>
      <c r="AK179" s="1195"/>
      <c r="AL179" s="1195"/>
      <c r="AM179" s="1195"/>
      <c r="AN179" s="1195"/>
      <c r="AO179" s="1195"/>
      <c r="AP179" s="1195"/>
      <c r="AQ179" s="1195"/>
      <c r="AR179" s="1197"/>
    </row>
    <row r="180" spans="1:44" ht="16" outlineLevel="1" thickBot="1">
      <c r="B180" s="500"/>
      <c r="C180" s="506"/>
      <c r="D180" s="506"/>
      <c r="E180" s="506"/>
      <c r="F180" s="506"/>
      <c r="G180" s="507"/>
      <c r="H180" s="507"/>
      <c r="I180" s="507"/>
      <c r="J180" s="507"/>
      <c r="K180" s="503"/>
      <c r="L180" s="504"/>
      <c r="M180" s="363"/>
      <c r="N180" s="363"/>
      <c r="P180" s="1187"/>
      <c r="Q180" s="411"/>
      <c r="R180" s="412"/>
      <c r="S180" s="630"/>
      <c r="T180" s="416"/>
      <c r="U180" s="415"/>
      <c r="V180" s="416"/>
      <c r="W180" s="415"/>
      <c r="X180" s="416"/>
      <c r="Y180" s="415"/>
      <c r="Z180" s="416"/>
      <c r="AA180" s="415"/>
      <c r="AB180" s="416"/>
      <c r="AC180" s="417"/>
      <c r="AE180" s="1187"/>
      <c r="AF180" s="411"/>
      <c r="AG180" s="695"/>
      <c r="AH180" s="696"/>
      <c r="AI180" s="416"/>
      <c r="AJ180" s="415"/>
      <c r="AK180" s="416"/>
      <c r="AL180" s="415"/>
      <c r="AM180" s="416"/>
      <c r="AN180" s="415"/>
      <c r="AO180" s="416"/>
      <c r="AP180" s="415"/>
      <c r="AQ180" s="416"/>
      <c r="AR180" s="417"/>
    </row>
    <row r="181" spans="1:44" outlineLevel="1">
      <c r="B181" s="500"/>
      <c r="C181" s="506"/>
      <c r="D181" s="506"/>
      <c r="E181" s="506"/>
      <c r="F181" s="506"/>
      <c r="G181" s="509"/>
      <c r="H181" s="509"/>
      <c r="I181" s="509"/>
      <c r="J181" s="509"/>
      <c r="K181" s="510"/>
      <c r="L181" s="504"/>
      <c r="M181" s="363"/>
      <c r="N181" s="363"/>
    </row>
    <row r="182" spans="1:44" outlineLevel="1">
      <c r="B182" s="500"/>
      <c r="C182" s="506"/>
      <c r="D182" s="506"/>
      <c r="E182" s="506"/>
      <c r="F182" s="506"/>
      <c r="G182" s="509"/>
      <c r="H182" s="509"/>
      <c r="I182" s="509"/>
      <c r="J182" s="509"/>
      <c r="K182" s="510"/>
      <c r="L182" s="504"/>
      <c r="M182" s="420"/>
      <c r="N182" s="363"/>
    </row>
    <row r="183" spans="1:44" outlineLevel="1">
      <c r="B183" s="421"/>
      <c r="C183" s="399"/>
      <c r="D183" s="399"/>
      <c r="E183" s="399"/>
      <c r="F183" s="399"/>
      <c r="G183" s="422"/>
      <c r="H183" s="422"/>
      <c r="I183" s="422"/>
      <c r="J183" s="422"/>
      <c r="K183" s="423"/>
      <c r="L183" s="424"/>
      <c r="M183" s="420"/>
      <c r="N183" s="420"/>
    </row>
    <row r="184" spans="1:44" outlineLevel="1">
      <c r="B184" s="383"/>
      <c r="C184" s="397"/>
      <c r="D184" s="397"/>
      <c r="E184" s="397"/>
      <c r="F184" s="397"/>
      <c r="G184" s="422"/>
      <c r="H184" s="425"/>
      <c r="I184" s="425"/>
      <c r="J184" s="425"/>
      <c r="K184" s="426"/>
      <c r="L184" s="427"/>
      <c r="M184" s="428"/>
      <c r="N184" s="428"/>
    </row>
    <row r="185" spans="1:44" outlineLevel="1">
      <c r="B185" s="383"/>
      <c r="C185" s="397"/>
      <c r="D185" s="397"/>
      <c r="E185" s="397"/>
      <c r="F185" s="397"/>
      <c r="G185" s="425"/>
      <c r="H185" s="425"/>
      <c r="I185" s="425"/>
      <c r="J185" s="425"/>
      <c r="K185" s="423"/>
      <c r="L185" s="427"/>
      <c r="M185" s="428"/>
      <c r="N185" s="428"/>
    </row>
    <row r="186" spans="1:44" outlineLevel="1">
      <c r="B186" s="383"/>
      <c r="C186" s="397"/>
      <c r="D186" s="397"/>
      <c r="E186" s="397"/>
      <c r="F186" s="397"/>
      <c r="G186" s="425"/>
      <c r="H186" s="425"/>
      <c r="I186" s="425"/>
      <c r="J186" s="425"/>
      <c r="K186" s="423"/>
      <c r="L186" s="427"/>
      <c r="M186" s="428"/>
      <c r="N186" s="428"/>
    </row>
    <row r="187" spans="1:44" outlineLevel="1">
      <c r="B187" s="383"/>
      <c r="C187" s="397"/>
      <c r="D187" s="397"/>
      <c r="E187" s="397"/>
      <c r="F187" s="397"/>
      <c r="G187" s="425"/>
      <c r="H187" s="425"/>
      <c r="I187" s="425"/>
      <c r="J187" s="425"/>
      <c r="K187" s="423"/>
      <c r="L187" s="427"/>
      <c r="M187" s="428"/>
      <c r="N187" s="428"/>
    </row>
    <row r="188" spans="1:44" ht="16" outlineLevel="1" thickBot="1">
      <c r="B188" s="429"/>
      <c r="C188" s="697"/>
      <c r="D188" s="697"/>
      <c r="E188" s="697"/>
      <c r="F188" s="697"/>
      <c r="G188" s="425"/>
      <c r="H188" s="425"/>
      <c r="I188" s="425"/>
      <c r="J188" s="425"/>
      <c r="K188" s="423"/>
      <c r="L188" s="427"/>
      <c r="M188" s="428"/>
      <c r="N188" s="428"/>
    </row>
    <row r="189" spans="1:44" ht="16" outlineLevel="1" thickBot="1">
      <c r="B189" s="431"/>
      <c r="C189" s="432"/>
      <c r="D189" s="403"/>
      <c r="E189" s="403"/>
      <c r="F189" s="433"/>
      <c r="G189" s="434"/>
      <c r="H189" s="406"/>
      <c r="I189" s="406"/>
      <c r="J189" s="406"/>
      <c r="K189" s="407"/>
      <c r="L189" s="408"/>
      <c r="M189" s="428"/>
      <c r="N189" s="428"/>
    </row>
    <row r="190" spans="1:44" outlineLevel="1">
      <c r="A190" s="435"/>
      <c r="B190" s="436"/>
      <c r="C190" s="551"/>
      <c r="D190" s="647"/>
      <c r="E190" s="647"/>
      <c r="F190" s="648"/>
      <c r="G190" s="425"/>
      <c r="H190" s="425"/>
      <c r="I190" s="425"/>
      <c r="J190" s="425"/>
      <c r="K190" s="426"/>
      <c r="L190" s="440"/>
      <c r="M190" s="420"/>
      <c r="N190" s="420"/>
    </row>
    <row r="191" spans="1:44" outlineLevel="1">
      <c r="B191" s="441"/>
      <c r="C191" s="442"/>
      <c r="D191" s="442"/>
      <c r="E191" s="442"/>
      <c r="F191" s="442"/>
      <c r="G191" s="425"/>
      <c r="H191" s="425"/>
      <c r="I191" s="425"/>
      <c r="J191" s="425"/>
      <c r="K191" s="444"/>
      <c r="L191" s="373"/>
      <c r="M191" s="71"/>
      <c r="N191" s="420"/>
    </row>
    <row r="192" spans="1:44" outlineLevel="1">
      <c r="B192" s="441"/>
      <c r="C192" s="442"/>
      <c r="D192" s="442"/>
      <c r="E192" s="442"/>
      <c r="F192" s="442"/>
      <c r="G192" s="425"/>
      <c r="H192" s="425"/>
      <c r="I192" s="425"/>
      <c r="J192" s="425"/>
      <c r="K192" s="444"/>
      <c r="L192" s="373"/>
      <c r="M192" s="420"/>
      <c r="N192" s="420"/>
    </row>
    <row r="193" spans="2:30" outlineLevel="1">
      <c r="B193" s="383"/>
      <c r="C193" s="602"/>
      <c r="D193" s="603"/>
      <c r="E193" s="603"/>
      <c r="F193" s="604"/>
      <c r="G193" s="425"/>
      <c r="H193" s="425"/>
      <c r="I193" s="425"/>
      <c r="J193" s="425"/>
      <c r="K193" s="448"/>
      <c r="L193" s="373"/>
      <c r="M193" s="420"/>
      <c r="N193" s="420"/>
    </row>
    <row r="194" spans="2:30" outlineLevel="1">
      <c r="B194" s="383"/>
      <c r="C194" s="449"/>
      <c r="D194" s="449"/>
      <c r="E194" s="449"/>
      <c r="F194" s="449"/>
      <c r="G194" s="425"/>
      <c r="H194" s="425"/>
      <c r="I194" s="425"/>
      <c r="J194" s="425"/>
      <c r="K194" s="448"/>
      <c r="L194" s="373"/>
      <c r="M194" s="694"/>
      <c r="N194" s="693"/>
      <c r="P194" s="1157"/>
      <c r="Q194" s="1135"/>
      <c r="R194" s="1135"/>
      <c r="S194" s="1135"/>
      <c r="T194" s="1135"/>
      <c r="U194" s="1158"/>
    </row>
    <row r="195" spans="2:30" ht="16" outlineLevel="1" thickBot="1">
      <c r="B195" s="500"/>
      <c r="C195" s="514"/>
      <c r="D195" s="514"/>
      <c r="E195" s="514"/>
      <c r="F195" s="514"/>
      <c r="G195" s="515"/>
      <c r="H195" s="515"/>
      <c r="I195" s="515"/>
      <c r="J195" s="515"/>
      <c r="K195" s="503"/>
      <c r="L195" s="504"/>
      <c r="M195" s="694"/>
      <c r="N195" s="693"/>
      <c r="P195" s="1159"/>
      <c r="Q195" s="1160"/>
      <c r="R195" s="1160"/>
      <c r="S195" s="1160"/>
      <c r="T195" s="1160"/>
      <c r="U195" s="1161"/>
    </row>
    <row r="196" spans="2:30" outlineLevel="1">
      <c r="B196" s="500"/>
      <c r="C196" s="516"/>
      <c r="D196" s="516"/>
      <c r="E196" s="516"/>
      <c r="F196" s="516"/>
      <c r="G196" s="515"/>
      <c r="H196" s="515"/>
      <c r="I196" s="515"/>
      <c r="J196" s="515"/>
      <c r="K196" s="517"/>
      <c r="L196" s="504"/>
      <c r="M196" s="363"/>
      <c r="N196" s="363"/>
      <c r="P196" s="53"/>
    </row>
    <row r="197" spans="2:30" outlineLevel="1">
      <c r="B197" s="441"/>
      <c r="C197" s="681"/>
      <c r="D197" s="681"/>
      <c r="E197" s="681"/>
      <c r="F197" s="681"/>
      <c r="G197" s="425"/>
      <c r="H197" s="425"/>
      <c r="I197" s="425"/>
      <c r="J197" s="425"/>
      <c r="K197" s="444"/>
      <c r="L197" s="424"/>
      <c r="M197" s="367"/>
      <c r="N197" s="367"/>
      <c r="P197" s="46"/>
      <c r="Q197" s="46"/>
      <c r="R197" s="47"/>
      <c r="S197" s="47"/>
      <c r="T197" s="47"/>
      <c r="U197" s="48"/>
      <c r="V197" s="49"/>
      <c r="W197" s="49"/>
      <c r="X197" s="49"/>
      <c r="Y197" s="49"/>
      <c r="Z197" s="49"/>
      <c r="AA197" s="49"/>
      <c r="AB197" s="49"/>
      <c r="AC197" s="49"/>
      <c r="AD197" s="49"/>
    </row>
    <row r="198" spans="2:30" ht="16" outlineLevel="1" thickBot="1">
      <c r="B198" s="519"/>
      <c r="C198" s="442"/>
      <c r="D198" s="520"/>
      <c r="E198" s="520"/>
      <c r="F198" s="521"/>
      <c r="G198" s="425"/>
      <c r="H198" s="425"/>
      <c r="I198" s="425"/>
      <c r="J198" s="425"/>
      <c r="K198" s="448"/>
      <c r="L198" s="424"/>
      <c r="M198" s="363"/>
      <c r="N198" s="363"/>
      <c r="P198" s="50"/>
      <c r="Q198" s="50"/>
      <c r="R198" s="51"/>
      <c r="S198" s="51"/>
      <c r="T198" s="51"/>
      <c r="U198" s="51"/>
      <c r="V198" s="50"/>
      <c r="W198" s="50"/>
      <c r="X198" s="50"/>
      <c r="Y198" s="50"/>
      <c r="Z198" s="50"/>
      <c r="AA198" s="50"/>
      <c r="AB198" s="50"/>
      <c r="AC198" s="50"/>
      <c r="AD198" s="50"/>
    </row>
    <row r="199" spans="2:30" ht="16" outlineLevel="1" thickBot="1">
      <c r="B199" s="401"/>
      <c r="C199" s="402"/>
      <c r="D199" s="403"/>
      <c r="E199" s="404"/>
      <c r="F199" s="405"/>
      <c r="G199" s="406"/>
      <c r="H199" s="406"/>
      <c r="I199" s="406"/>
      <c r="J199" s="406"/>
      <c r="K199" s="459"/>
      <c r="L199" s="460"/>
      <c r="M199" s="363"/>
      <c r="N199" s="363"/>
      <c r="O199" s="461"/>
      <c r="P199" s="56"/>
      <c r="Q199" s="56"/>
      <c r="R199" s="57"/>
      <c r="S199" s="57"/>
      <c r="T199" s="57"/>
      <c r="U199" s="56"/>
      <c r="V199" s="56"/>
      <c r="W199" s="56"/>
      <c r="X199" s="56"/>
      <c r="Y199" s="56"/>
      <c r="Z199" s="56"/>
      <c r="AA199" s="56"/>
      <c r="AB199" s="56"/>
      <c r="AC199" s="56"/>
      <c r="AD199" s="56"/>
    </row>
    <row r="200" spans="2:30" outlineLevel="1">
      <c r="B200" s="522"/>
      <c r="C200" s="670"/>
      <c r="D200" s="670"/>
      <c r="E200" s="670"/>
      <c r="F200" s="670"/>
      <c r="G200" s="524"/>
      <c r="H200" s="524"/>
      <c r="I200" s="524"/>
      <c r="J200" s="524"/>
      <c r="K200" s="524"/>
      <c r="L200" s="525"/>
      <c r="M200" s="363"/>
      <c r="N200" s="363"/>
      <c r="O200" s="465"/>
      <c r="P200" s="466"/>
      <c r="Q200" s="58"/>
      <c r="R200" s="466"/>
      <c r="S200" s="58"/>
      <c r="T200" s="466"/>
      <c r="U200" s="467"/>
      <c r="V200" s="467"/>
      <c r="W200" s="467"/>
      <c r="X200" s="58"/>
      <c r="Y200" s="58"/>
      <c r="Z200" s="466"/>
      <c r="AA200" s="468"/>
      <c r="AB200" s="468"/>
      <c r="AC200" s="468"/>
      <c r="AD200" s="468"/>
    </row>
    <row r="201" spans="2:30" outlineLevel="1">
      <c r="B201" s="500"/>
      <c r="C201" s="526"/>
      <c r="D201" s="527"/>
      <c r="E201" s="527"/>
      <c r="F201" s="528"/>
      <c r="G201" s="528"/>
      <c r="H201" s="528"/>
      <c r="I201" s="528"/>
      <c r="J201" s="528"/>
      <c r="K201" s="529"/>
      <c r="L201" s="525"/>
      <c r="M201" s="363"/>
      <c r="N201" s="363"/>
      <c r="O201" s="465"/>
      <c r="P201" s="466"/>
      <c r="Q201" s="58"/>
      <c r="R201" s="466"/>
      <c r="S201" s="58"/>
      <c r="T201" s="466"/>
      <c r="U201" s="467"/>
      <c r="V201" s="467"/>
      <c r="W201" s="467"/>
      <c r="X201" s="58"/>
      <c r="Y201" s="58"/>
      <c r="Z201" s="466"/>
      <c r="AA201" s="468"/>
      <c r="AB201" s="468"/>
      <c r="AC201" s="468"/>
      <c r="AD201" s="468"/>
    </row>
    <row r="202" spans="2:30" outlineLevel="1">
      <c r="B202" s="500"/>
      <c r="C202" s="526"/>
      <c r="D202" s="527"/>
      <c r="E202" s="527"/>
      <c r="F202" s="528"/>
      <c r="G202" s="515"/>
      <c r="H202" s="515"/>
      <c r="I202" s="515"/>
      <c r="J202" s="515"/>
      <c r="K202" s="515"/>
      <c r="L202" s="504"/>
      <c r="M202" s="363"/>
      <c r="N202" s="363"/>
      <c r="O202" s="465"/>
      <c r="P202" s="466"/>
      <c r="Q202" s="58"/>
      <c r="R202" s="466"/>
      <c r="S202" s="58"/>
      <c r="T202" s="466"/>
      <c r="U202" s="467"/>
      <c r="V202" s="467"/>
      <c r="W202" s="467"/>
      <c r="X202" s="58"/>
      <c r="Y202" s="58"/>
      <c r="Z202" s="466"/>
      <c r="AA202" s="468"/>
      <c r="AB202" s="468"/>
      <c r="AC202" s="468"/>
      <c r="AD202" s="468"/>
    </row>
    <row r="203" spans="2:30" outlineLevel="1">
      <c r="B203" s="500"/>
      <c r="C203" s="685"/>
      <c r="D203" s="530"/>
      <c r="E203" s="530"/>
      <c r="F203" s="530"/>
      <c r="G203" s="531"/>
      <c r="H203" s="531"/>
      <c r="I203" s="531"/>
      <c r="J203" s="531"/>
      <c r="K203" s="531"/>
      <c r="L203" s="504"/>
      <c r="M203" s="363"/>
      <c r="N203" s="363"/>
      <c r="O203" s="465"/>
      <c r="P203" s="466"/>
      <c r="Q203" s="58"/>
      <c r="R203" s="466"/>
      <c r="S203" s="58"/>
      <c r="T203" s="466"/>
      <c r="U203" s="467"/>
      <c r="V203" s="467"/>
      <c r="W203" s="467"/>
      <c r="X203" s="58"/>
      <c r="Y203" s="58"/>
      <c r="Z203" s="466"/>
      <c r="AA203" s="468"/>
      <c r="AB203" s="468"/>
      <c r="AC203" s="468"/>
      <c r="AD203" s="468"/>
    </row>
    <row r="204" spans="2:30" outlineLevel="1">
      <c r="B204" s="532"/>
      <c r="C204" s="526"/>
      <c r="D204" s="527"/>
      <c r="E204" s="527"/>
      <c r="F204" s="528"/>
      <c r="G204" s="531"/>
      <c r="H204" s="531"/>
      <c r="I204" s="531"/>
      <c r="J204" s="531"/>
      <c r="K204" s="531"/>
      <c r="L204" s="533"/>
      <c r="M204" s="367"/>
      <c r="N204" s="367"/>
    </row>
    <row r="205" spans="2:30" outlineLevel="1">
      <c r="B205" s="532"/>
      <c r="C205" s="526"/>
      <c r="D205" s="527"/>
      <c r="E205" s="527"/>
      <c r="F205" s="528"/>
      <c r="G205" s="531"/>
      <c r="H205" s="531"/>
      <c r="I205" s="531"/>
      <c r="J205" s="531"/>
      <c r="K205" s="531"/>
      <c r="L205" s="533"/>
      <c r="M205" s="363"/>
      <c r="N205" s="363"/>
    </row>
    <row r="206" spans="2:30" ht="16" outlineLevel="1" thickBot="1">
      <c r="B206" s="534"/>
      <c r="C206" s="535"/>
      <c r="D206" s="536"/>
      <c r="E206" s="536"/>
      <c r="F206" s="537"/>
      <c r="G206" s="538"/>
      <c r="H206" s="538"/>
      <c r="I206" s="538"/>
      <c r="J206" s="538"/>
      <c r="K206" s="538"/>
      <c r="L206" s="539"/>
      <c r="M206" s="363"/>
      <c r="N206" s="363"/>
    </row>
    <row r="207" spans="2:30" outlineLevel="1">
      <c r="B207" s="461"/>
      <c r="C207" s="483"/>
      <c r="D207" s="483"/>
      <c r="E207" s="483"/>
      <c r="F207" s="483"/>
      <c r="G207" s="483"/>
      <c r="H207" s="484"/>
      <c r="I207" s="420"/>
      <c r="J207" s="420"/>
      <c r="K207" s="484"/>
      <c r="L207" s="484"/>
      <c r="N207" s="420"/>
    </row>
    <row r="208" spans="2:30" outlineLevel="1">
      <c r="B208" s="485"/>
      <c r="C208" s="486"/>
      <c r="D208" s="486"/>
      <c r="E208" s="486"/>
      <c r="F208" s="486"/>
      <c r="G208" s="486"/>
      <c r="H208" s="484"/>
      <c r="I208" s="71"/>
      <c r="J208" s="420"/>
      <c r="K208" s="484"/>
      <c r="L208" s="484"/>
      <c r="N208" s="420"/>
    </row>
    <row r="209" spans="1:16" outlineLevel="1">
      <c r="B209" s="461"/>
      <c r="C209" s="359"/>
      <c r="D209" s="359"/>
      <c r="E209" s="359"/>
      <c r="F209" s="359"/>
      <c r="G209" s="359"/>
      <c r="I209" s="420"/>
      <c r="J209" s="420"/>
      <c r="N209" s="420"/>
    </row>
    <row r="210" spans="1:16" outlineLevel="1">
      <c r="B210" s="461"/>
      <c r="C210" s="487"/>
      <c r="D210" s="487"/>
      <c r="E210" s="487"/>
      <c r="F210" s="487"/>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c r="C215" s="489"/>
      <c r="E215" s="358"/>
      <c r="F215" s="490"/>
      <c r="G215" s="358"/>
      <c r="H215" s="358"/>
      <c r="I215" s="358"/>
      <c r="J215" s="358"/>
      <c r="K215" s="358"/>
      <c r="L215" s="358"/>
      <c r="N215" s="570"/>
      <c r="O215" s="489"/>
      <c r="P215" s="490"/>
    </row>
    <row r="216" spans="1:16" outlineLevel="1">
      <c r="A216" s="491"/>
      <c r="B216" s="491"/>
      <c r="C216" s="492"/>
      <c r="E216" s="358"/>
      <c r="F216" s="490"/>
      <c r="G216" s="358"/>
      <c r="H216" s="358"/>
      <c r="I216" s="358"/>
      <c r="J216" s="358"/>
      <c r="K216" s="358"/>
      <c r="L216" s="358"/>
      <c r="N216" s="570"/>
      <c r="O216" s="489"/>
      <c r="P216" s="490"/>
    </row>
    <row r="217" spans="1:16" outlineLevel="1">
      <c r="A217" s="358"/>
      <c r="B217" s="491"/>
      <c r="C217" s="493"/>
      <c r="E217" s="358"/>
      <c r="F217" s="490"/>
      <c r="G217" s="358"/>
      <c r="H217" s="358"/>
      <c r="I217" s="358"/>
      <c r="J217" s="358"/>
      <c r="K217" s="358"/>
      <c r="L217" s="358"/>
    </row>
    <row r="218" spans="1:16" outlineLevel="1">
      <c r="A218" s="358"/>
      <c r="B218" s="491"/>
      <c r="C218" s="493"/>
      <c r="E218" s="358"/>
      <c r="F218" s="490"/>
      <c r="G218" s="358"/>
      <c r="H218" s="358"/>
      <c r="I218" s="358"/>
      <c r="J218" s="358"/>
      <c r="K218" s="358"/>
      <c r="L218" s="358"/>
    </row>
    <row r="219" spans="1:16" outlineLevel="1">
      <c r="A219" s="358"/>
      <c r="B219" s="491"/>
      <c r="C219" s="493"/>
      <c r="E219" s="358"/>
      <c r="F219" s="490"/>
      <c r="G219" s="358"/>
      <c r="H219" s="358"/>
      <c r="I219" s="358"/>
      <c r="J219" s="358"/>
      <c r="K219" s="358"/>
      <c r="L219" s="358"/>
    </row>
    <row r="220" spans="1:16" outlineLevel="1">
      <c r="A220" s="358"/>
      <c r="B220" s="358"/>
      <c r="C220" s="494"/>
      <c r="F220" s="490"/>
      <c r="G220" s="358"/>
      <c r="H220" s="358"/>
      <c r="I220" s="358"/>
      <c r="J220" s="358"/>
      <c r="K220" s="358"/>
      <c r="L220" s="358"/>
    </row>
    <row r="221" spans="1:16" outlineLevel="1">
      <c r="A221" s="358"/>
      <c r="B221" s="358"/>
      <c r="C221" s="492"/>
      <c r="F221" s="490"/>
      <c r="G221" s="358"/>
      <c r="H221" s="358"/>
      <c r="I221" s="358"/>
      <c r="J221" s="358"/>
      <c r="K221" s="358"/>
      <c r="L221" s="358"/>
    </row>
    <row r="222" spans="1:16" outlineLevel="1">
      <c r="A222" s="358"/>
      <c r="B222" s="358"/>
      <c r="C222" s="495"/>
      <c r="F222" s="490"/>
      <c r="G222" s="358"/>
      <c r="H222" s="358"/>
      <c r="I222" s="358"/>
      <c r="J222" s="358"/>
      <c r="K222" s="358"/>
      <c r="L222" s="358"/>
    </row>
    <row r="223" spans="1:16" outlineLevel="1">
      <c r="A223" s="488"/>
      <c r="B223" s="358"/>
      <c r="C223" s="495"/>
      <c r="F223" s="490"/>
      <c r="G223" s="358"/>
      <c r="H223" s="358"/>
      <c r="I223" s="358"/>
      <c r="J223" s="358"/>
      <c r="K223" s="358"/>
      <c r="L223" s="358"/>
    </row>
    <row r="224" spans="1:16" outlineLevel="1">
      <c r="A224" s="496"/>
      <c r="B224" s="358"/>
      <c r="C224" s="489"/>
      <c r="F224" s="490"/>
      <c r="G224" s="358"/>
      <c r="H224" s="358"/>
      <c r="I224" s="358"/>
      <c r="J224" s="358"/>
      <c r="K224" s="358"/>
      <c r="L224" s="358"/>
      <c r="N224" s="570"/>
      <c r="O224" s="489"/>
      <c r="P224" s="490"/>
    </row>
    <row r="225" spans="1:16" outlineLevel="1">
      <c r="A225" s="496"/>
      <c r="B225" s="358"/>
      <c r="C225" s="490"/>
      <c r="F225" s="490"/>
      <c r="G225" s="358"/>
      <c r="H225" s="358"/>
      <c r="I225" s="358"/>
      <c r="J225" s="358"/>
      <c r="K225" s="358"/>
      <c r="L225" s="358"/>
      <c r="N225" s="570"/>
      <c r="O225" s="489"/>
      <c r="P225" s="490"/>
    </row>
    <row r="226" spans="1:16" outlineLevel="1">
      <c r="A226" s="496"/>
      <c r="B226" s="488"/>
      <c r="C226" s="489"/>
      <c r="F226" s="490"/>
      <c r="G226" s="358"/>
      <c r="H226" s="358"/>
      <c r="I226" s="358"/>
      <c r="J226" s="358"/>
      <c r="K226" s="358"/>
      <c r="L226" s="358"/>
      <c r="N226" s="570"/>
      <c r="O226" s="489"/>
      <c r="P226" s="490"/>
    </row>
    <row r="227" spans="1:16" outlineLevel="1">
      <c r="A227" s="496"/>
      <c r="B227" s="496"/>
      <c r="C227" s="497"/>
      <c r="D227" s="489"/>
      <c r="F227" s="490"/>
      <c r="G227" s="358"/>
      <c r="H227" s="358"/>
      <c r="I227" s="358"/>
      <c r="J227" s="358"/>
      <c r="K227" s="358"/>
      <c r="L227" s="358"/>
      <c r="N227" s="570"/>
      <c r="O227" s="489"/>
      <c r="P227" s="490"/>
    </row>
    <row r="228" spans="1:16" outlineLevel="1">
      <c r="A228" s="496"/>
      <c r="B228" s="496"/>
      <c r="C228" s="489"/>
      <c r="D228" s="489"/>
      <c r="F228" s="490"/>
      <c r="G228" s="358"/>
      <c r="H228" s="358"/>
      <c r="I228" s="358"/>
      <c r="J228" s="358"/>
      <c r="K228" s="358"/>
      <c r="L228" s="358"/>
      <c r="N228" s="570"/>
      <c r="O228" s="489"/>
      <c r="P228" s="490"/>
    </row>
    <row r="229" spans="1:16" outlineLevel="1">
      <c r="A229" s="496"/>
      <c r="B229" s="496"/>
      <c r="C229" s="489"/>
      <c r="D229" s="489"/>
      <c r="F229" s="490"/>
      <c r="G229" s="358"/>
      <c r="H229" s="358"/>
      <c r="I229" s="358"/>
      <c r="J229" s="358"/>
      <c r="K229" s="358"/>
      <c r="L229" s="358"/>
      <c r="N229" s="570"/>
      <c r="O229" s="489"/>
      <c r="P229" s="490"/>
    </row>
    <row r="230" spans="1:16" outlineLevel="1">
      <c r="A230" s="496"/>
      <c r="B230" s="496"/>
      <c r="C230" s="489"/>
      <c r="D230" s="489"/>
      <c r="F230" s="490"/>
      <c r="G230" s="358"/>
      <c r="H230" s="358"/>
      <c r="I230" s="358"/>
      <c r="J230" s="358"/>
      <c r="K230" s="358"/>
      <c r="L230" s="358"/>
      <c r="N230" s="570"/>
      <c r="O230" s="489"/>
      <c r="P230" s="490"/>
    </row>
    <row r="231" spans="1:16" outlineLevel="1">
      <c r="A231" s="496"/>
      <c r="B231" s="496"/>
      <c r="C231" s="489"/>
      <c r="D231" s="489"/>
      <c r="F231" s="490"/>
      <c r="G231" s="358"/>
      <c r="H231" s="358"/>
      <c r="I231" s="358"/>
      <c r="J231" s="358"/>
      <c r="K231" s="358"/>
      <c r="L231" s="358"/>
      <c r="N231" s="570"/>
      <c r="O231" s="489"/>
      <c r="P231" s="490"/>
    </row>
    <row r="232" spans="1:16" outlineLevel="1">
      <c r="A232" s="496"/>
      <c r="B232" s="496"/>
      <c r="C232" s="489"/>
      <c r="D232" s="489"/>
      <c r="F232" s="490"/>
      <c r="G232" s="358"/>
      <c r="H232" s="358"/>
      <c r="I232" s="358"/>
      <c r="J232" s="358"/>
      <c r="K232" s="358"/>
      <c r="L232" s="358"/>
      <c r="N232" s="570"/>
      <c r="O232" s="489"/>
      <c r="P232" s="490"/>
    </row>
    <row r="233" spans="1:16" outlineLevel="1">
      <c r="A233" s="496"/>
      <c r="B233" s="496"/>
      <c r="C233" s="489"/>
      <c r="D233" s="489"/>
      <c r="F233" s="490"/>
      <c r="G233" s="358"/>
      <c r="H233" s="358"/>
      <c r="I233" s="358"/>
      <c r="J233" s="358"/>
      <c r="K233" s="358"/>
      <c r="L233" s="358"/>
      <c r="N233" s="570"/>
      <c r="O233" s="489"/>
      <c r="P233" s="490"/>
    </row>
    <row r="234" spans="1:16" outlineLevel="1">
      <c r="A234" s="496"/>
      <c r="B234" s="496"/>
      <c r="C234" s="489"/>
      <c r="D234" s="489"/>
      <c r="F234" s="490"/>
      <c r="G234" s="358"/>
      <c r="H234" s="358"/>
      <c r="I234" s="358"/>
      <c r="J234" s="358"/>
      <c r="K234" s="358"/>
      <c r="L234" s="358"/>
      <c r="N234" s="570"/>
      <c r="O234" s="489"/>
      <c r="P234" s="490"/>
    </row>
    <row r="235" spans="1:16" outlineLevel="1">
      <c r="A235" s="496"/>
      <c r="B235" s="496"/>
      <c r="C235" s="498"/>
      <c r="D235" s="489"/>
      <c r="F235" s="490"/>
      <c r="G235" s="358"/>
      <c r="H235" s="358"/>
      <c r="I235" s="358"/>
      <c r="J235" s="358"/>
      <c r="K235" s="358"/>
      <c r="L235" s="358"/>
      <c r="N235" s="570"/>
      <c r="O235" s="489"/>
      <c r="P235" s="490"/>
    </row>
    <row r="236" spans="1:16" outlineLevel="1">
      <c r="A236" s="496"/>
      <c r="B236" s="496"/>
      <c r="C236" s="489"/>
      <c r="D236" s="489"/>
      <c r="F236" s="490"/>
      <c r="G236" s="358"/>
      <c r="H236" s="358"/>
      <c r="I236" s="358"/>
      <c r="J236" s="358"/>
      <c r="K236" s="358"/>
      <c r="L236" s="358"/>
      <c r="N236" s="571"/>
      <c r="O236" s="489"/>
      <c r="P236" s="490"/>
    </row>
    <row r="237" spans="1:16" outlineLevel="1">
      <c r="A237" s="496"/>
      <c r="B237" s="496"/>
      <c r="C237" s="489"/>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c r="B245" s="1134"/>
      <c r="C245" s="1135"/>
      <c r="D245" s="1135"/>
      <c r="E245" s="1135"/>
      <c r="F245" s="1135"/>
      <c r="G245" s="1135"/>
      <c r="H245" s="1135"/>
      <c r="I245" s="1135"/>
      <c r="J245" s="1135"/>
      <c r="K245" s="1135"/>
      <c r="L245" s="1135"/>
      <c r="M245" s="1135"/>
      <c r="N245" s="693"/>
      <c r="P245" s="1135"/>
      <c r="Q245" s="1135"/>
      <c r="R245" s="1135"/>
      <c r="S245" s="1135"/>
      <c r="T245" s="1135"/>
      <c r="U245" s="1135"/>
    </row>
    <row r="246" spans="1:44" ht="20.5" customHeight="1" outlineLevel="1" thickBot="1">
      <c r="B246" s="1134"/>
      <c r="C246" s="1135"/>
      <c r="D246" s="1135"/>
      <c r="E246" s="1135"/>
      <c r="F246" s="1135"/>
      <c r="G246" s="1135"/>
      <c r="H246" s="1135"/>
      <c r="I246" s="1135"/>
      <c r="J246" s="1135"/>
      <c r="K246" s="1135"/>
      <c r="L246" s="1135"/>
      <c r="M246" s="1135"/>
      <c r="N246" s="693"/>
      <c r="P246" s="692"/>
      <c r="Q246" s="692"/>
      <c r="R246" s="692"/>
      <c r="S246" s="692"/>
      <c r="T246" s="692"/>
      <c r="U246" s="692"/>
      <c r="V246" s="692"/>
      <c r="W246" s="692"/>
      <c r="X246" s="692"/>
      <c r="Y246" s="692"/>
      <c r="Z246" s="692"/>
      <c r="AA246" s="692"/>
      <c r="AB246" s="692"/>
      <c r="AC246" s="692"/>
    </row>
    <row r="247" spans="1:44" ht="15" customHeight="1" outlineLevel="1" thickBot="1">
      <c r="B247" s="362"/>
      <c r="C247" s="1176"/>
      <c r="D247" s="1177"/>
      <c r="E247" s="1177"/>
      <c r="F247" s="1177"/>
      <c r="G247" s="1177"/>
      <c r="H247" s="1177"/>
      <c r="I247" s="1177"/>
      <c r="J247" s="1177"/>
      <c r="K247" s="1177"/>
      <c r="L247" s="1178"/>
      <c r="M247" s="363"/>
      <c r="N247" s="363"/>
      <c r="P247" s="364"/>
      <c r="Q247" s="365"/>
      <c r="R247" s="366"/>
      <c r="S247" s="1143"/>
      <c r="T247" s="1147"/>
      <c r="U247" s="1148"/>
      <c r="V247" s="1147"/>
      <c r="W247" s="1148"/>
      <c r="X247" s="1147"/>
      <c r="Y247" s="1148"/>
      <c r="Z247" s="1147"/>
      <c r="AA247" s="1148"/>
      <c r="AB247" s="1147"/>
      <c r="AC247" s="1148"/>
      <c r="AE247" s="364"/>
      <c r="AF247" s="365"/>
      <c r="AG247" s="366"/>
      <c r="AH247" s="1143"/>
      <c r="AI247" s="1147"/>
      <c r="AJ247" s="1148"/>
      <c r="AK247" s="1147"/>
      <c r="AL247" s="1148"/>
      <c r="AM247" s="1147"/>
      <c r="AN247" s="1148"/>
      <c r="AO247" s="1147"/>
      <c r="AP247" s="1148"/>
      <c r="AQ247" s="1147"/>
      <c r="AR247" s="1148"/>
    </row>
    <row r="248" spans="1:44" ht="15" customHeight="1" outlineLevel="1" thickBot="1">
      <c r="B248" s="1168"/>
      <c r="C248" s="1170"/>
      <c r="D248" s="1170"/>
      <c r="E248" s="1170"/>
      <c r="F248" s="1170"/>
      <c r="G248" s="1172"/>
      <c r="H248" s="1173"/>
      <c r="I248" s="1172"/>
      <c r="J248" s="1173"/>
      <c r="K248" s="1174"/>
      <c r="L248" s="1174"/>
      <c r="M248" s="367"/>
      <c r="N248" s="367"/>
      <c r="P248" s="1151"/>
      <c r="Q248" s="368"/>
      <c r="R248" s="368"/>
      <c r="S248" s="1144"/>
      <c r="T248" s="1149"/>
      <c r="U248" s="1150"/>
      <c r="V248" s="1149"/>
      <c r="W248" s="1150"/>
      <c r="X248" s="1149"/>
      <c r="Y248" s="1150"/>
      <c r="Z248" s="1149"/>
      <c r="AA248" s="1150"/>
      <c r="AB248" s="1149"/>
      <c r="AC248" s="1150"/>
      <c r="AE248" s="1151"/>
      <c r="AF248" s="368"/>
      <c r="AG248" s="368"/>
      <c r="AH248" s="1144"/>
      <c r="AI248" s="1149"/>
      <c r="AJ248" s="1150"/>
      <c r="AK248" s="1149"/>
      <c r="AL248" s="1150"/>
      <c r="AM248" s="1149"/>
      <c r="AN248" s="1150"/>
      <c r="AO248" s="1149"/>
      <c r="AP248" s="1150"/>
      <c r="AQ248" s="1149"/>
      <c r="AR248" s="1150"/>
    </row>
    <row r="249" spans="1:44" ht="16" outlineLevel="1" thickBot="1">
      <c r="B249" s="1169"/>
      <c r="C249" s="1171"/>
      <c r="D249" s="1171"/>
      <c r="E249" s="1171"/>
      <c r="F249" s="1171"/>
      <c r="G249" s="499"/>
      <c r="H249" s="499"/>
      <c r="I249" s="499"/>
      <c r="J249" s="499"/>
      <c r="K249" s="1175"/>
      <c r="L249" s="1175"/>
      <c r="M249" s="370"/>
      <c r="N249" s="370"/>
      <c r="P249" s="1152"/>
      <c r="Q249" s="1154"/>
      <c r="R249" s="1155"/>
      <c r="S249" s="1145"/>
      <c r="T249" s="1149"/>
      <c r="U249" s="1150"/>
      <c r="V249" s="1149"/>
      <c r="W249" s="1150"/>
      <c r="X249" s="1149"/>
      <c r="Y249" s="1150"/>
      <c r="Z249" s="1149"/>
      <c r="AA249" s="1150"/>
      <c r="AB249" s="1149"/>
      <c r="AC249" s="1150"/>
      <c r="AE249" s="1152"/>
      <c r="AF249" s="1198"/>
      <c r="AG249" s="1155"/>
      <c r="AH249" s="1145"/>
      <c r="AI249" s="1149"/>
      <c r="AJ249" s="1150"/>
      <c r="AK249" s="1149"/>
      <c r="AL249" s="1150"/>
      <c r="AM249" s="1149"/>
      <c r="AN249" s="1150"/>
      <c r="AO249" s="1149"/>
      <c r="AP249" s="1150"/>
      <c r="AQ249" s="1149"/>
      <c r="AR249" s="1150"/>
    </row>
    <row r="250" spans="1:44" ht="14.5" customHeight="1" outlineLevel="1" thickBot="1">
      <c r="B250" s="371"/>
      <c r="C250" s="372"/>
      <c r="D250" s="372"/>
      <c r="E250" s="372"/>
      <c r="F250" s="372"/>
      <c r="G250" s="372"/>
      <c r="H250" s="372"/>
      <c r="I250" s="372"/>
      <c r="J250" s="372"/>
      <c r="K250" s="372"/>
      <c r="L250" s="373"/>
      <c r="M250" s="370"/>
      <c r="N250" s="370"/>
      <c r="O250" s="74"/>
      <c r="P250" s="1153"/>
      <c r="Q250" s="1146"/>
      <c r="R250" s="1156"/>
      <c r="S250" s="1146"/>
      <c r="T250" s="374"/>
      <c r="U250" s="375"/>
      <c r="V250" s="374"/>
      <c r="W250" s="375"/>
      <c r="X250" s="374"/>
      <c r="Y250" s="375"/>
      <c r="Z250" s="374"/>
      <c r="AA250" s="375"/>
      <c r="AB250" s="374"/>
      <c r="AC250" s="375"/>
      <c r="AE250" s="1153"/>
      <c r="AF250" s="1199"/>
      <c r="AG250" s="1156"/>
      <c r="AH250" s="1146"/>
      <c r="AI250" s="374"/>
      <c r="AJ250" s="375"/>
      <c r="AK250" s="374"/>
      <c r="AL250" s="375"/>
      <c r="AM250" s="374"/>
      <c r="AN250" s="375"/>
      <c r="AO250" s="374"/>
      <c r="AP250" s="375"/>
      <c r="AQ250" s="374"/>
      <c r="AR250" s="375"/>
    </row>
    <row r="251" spans="1:44" outlineLevel="1">
      <c r="B251" s="500"/>
      <c r="C251" s="668"/>
      <c r="D251" s="668"/>
      <c r="E251" s="669"/>
      <c r="F251" s="668"/>
      <c r="G251" s="501"/>
      <c r="H251" s="501"/>
      <c r="I251" s="501"/>
      <c r="J251" s="501"/>
      <c r="K251" s="503"/>
      <c r="L251" s="504"/>
      <c r="M251" s="370"/>
      <c r="N251" s="370"/>
      <c r="P251" s="1200"/>
      <c r="Q251" s="1188"/>
      <c r="R251" s="381"/>
      <c r="S251" s="382"/>
      <c r="T251" s="1191"/>
      <c r="U251" s="1179"/>
      <c r="V251" s="1182"/>
      <c r="W251" s="1179"/>
      <c r="X251" s="1182"/>
      <c r="Y251" s="1179"/>
      <c r="Z251" s="1182"/>
      <c r="AA251" s="1179"/>
      <c r="AB251" s="1182"/>
      <c r="AC251" s="1179"/>
      <c r="AE251" s="1185"/>
      <c r="AF251" s="1188"/>
      <c r="AG251" s="381"/>
      <c r="AH251" s="382"/>
      <c r="AI251" s="1191"/>
      <c r="AJ251" s="1179"/>
      <c r="AK251" s="1182"/>
      <c r="AL251" s="1179"/>
      <c r="AM251" s="1182"/>
      <c r="AN251" s="1179"/>
      <c r="AO251" s="1182"/>
      <c r="AP251" s="1179"/>
      <c r="AQ251" s="1182"/>
      <c r="AR251" s="1179"/>
    </row>
    <row r="252" spans="1:44" outlineLevel="1">
      <c r="B252" s="383"/>
      <c r="C252" s="577"/>
      <c r="D252" s="577"/>
      <c r="E252" s="577"/>
      <c r="F252" s="577"/>
      <c r="G252" s="505"/>
      <c r="H252" s="505"/>
      <c r="I252" s="505"/>
      <c r="J252" s="505"/>
      <c r="K252" s="372"/>
      <c r="L252" s="373"/>
      <c r="M252" s="370"/>
      <c r="N252" s="370"/>
      <c r="O252" s="71"/>
      <c r="P252" s="1186"/>
      <c r="Q252" s="1189"/>
      <c r="R252" s="388"/>
      <c r="S252" s="389"/>
      <c r="T252" s="1192"/>
      <c r="U252" s="1180"/>
      <c r="V252" s="1183"/>
      <c r="W252" s="1180"/>
      <c r="X252" s="1183"/>
      <c r="Y252" s="1180"/>
      <c r="Z252" s="1183"/>
      <c r="AA252" s="1180"/>
      <c r="AB252" s="1183"/>
      <c r="AC252" s="1180"/>
      <c r="AE252" s="1186"/>
      <c r="AF252" s="1189"/>
      <c r="AG252" s="388"/>
      <c r="AH252" s="389"/>
      <c r="AI252" s="1192"/>
      <c r="AJ252" s="1180"/>
      <c r="AK252" s="1183"/>
      <c r="AL252" s="1180"/>
      <c r="AM252" s="1183"/>
      <c r="AN252" s="1180"/>
      <c r="AO252" s="1183"/>
      <c r="AP252" s="1180"/>
      <c r="AQ252" s="1183"/>
      <c r="AR252" s="1180"/>
    </row>
    <row r="253" spans="1:44" ht="14.5" customHeight="1" outlineLevel="1" thickBot="1">
      <c r="B253" s="500"/>
      <c r="C253" s="506"/>
      <c r="D253" s="507"/>
      <c r="E253" s="507"/>
      <c r="F253" s="508"/>
      <c r="G253" s="507"/>
      <c r="H253" s="507"/>
      <c r="I253" s="507"/>
      <c r="J253" s="507"/>
      <c r="K253" s="503"/>
      <c r="L253" s="504"/>
      <c r="M253" s="370"/>
      <c r="N253" s="370"/>
      <c r="O253" s="71"/>
      <c r="P253" s="1186"/>
      <c r="Q253" s="1190"/>
      <c r="R253" s="393"/>
      <c r="S253" s="394"/>
      <c r="T253" s="1193"/>
      <c r="U253" s="1181"/>
      <c r="V253" s="1184"/>
      <c r="W253" s="1181"/>
      <c r="X253" s="1184"/>
      <c r="Y253" s="1181"/>
      <c r="Z253" s="1184"/>
      <c r="AA253" s="1181"/>
      <c r="AB253" s="1184"/>
      <c r="AC253" s="1181"/>
      <c r="AE253" s="1186"/>
      <c r="AF253" s="1190"/>
      <c r="AG253" s="393"/>
      <c r="AH253" s="394"/>
      <c r="AI253" s="1193"/>
      <c r="AJ253" s="1181"/>
      <c r="AK253" s="1184"/>
      <c r="AL253" s="1181"/>
      <c r="AM253" s="1184"/>
      <c r="AN253" s="1181"/>
      <c r="AO253" s="1184"/>
      <c r="AP253" s="1181"/>
      <c r="AQ253" s="1184"/>
      <c r="AR253" s="1181"/>
    </row>
    <row r="254" spans="1:44" outlineLevel="1">
      <c r="B254" s="500"/>
      <c r="C254" s="687"/>
      <c r="D254" s="687"/>
      <c r="E254" s="687"/>
      <c r="F254" s="687"/>
      <c r="G254" s="687"/>
      <c r="H254" s="687"/>
      <c r="I254" s="687"/>
      <c r="J254" s="687"/>
      <c r="K254" s="503"/>
      <c r="L254" s="504"/>
      <c r="M254" s="370"/>
      <c r="N254" s="370"/>
      <c r="O254" s="71"/>
      <c r="P254" s="1186"/>
      <c r="Q254" s="1188"/>
      <c r="R254" s="395"/>
      <c r="S254" s="396"/>
      <c r="T254" s="1191"/>
      <c r="U254" s="1191"/>
      <c r="V254" s="1191"/>
      <c r="W254" s="1191"/>
      <c r="X254" s="1191"/>
      <c r="Y254" s="1191"/>
      <c r="Z254" s="1191"/>
      <c r="AA254" s="1191"/>
      <c r="AB254" s="1191"/>
      <c r="AC254" s="1179"/>
      <c r="AE254" s="1186"/>
      <c r="AF254" s="1188"/>
      <c r="AG254" s="395"/>
      <c r="AH254" s="396"/>
      <c r="AI254" s="1191"/>
      <c r="AJ254" s="1191"/>
      <c r="AK254" s="1191"/>
      <c r="AL254" s="1191"/>
      <c r="AM254" s="1191"/>
      <c r="AN254" s="1191"/>
      <c r="AO254" s="1191"/>
      <c r="AP254" s="1191"/>
      <c r="AQ254" s="1191"/>
      <c r="AR254" s="1179"/>
    </row>
    <row r="255" spans="1:44" outlineLevel="1">
      <c r="B255" s="500"/>
      <c r="C255" s="506"/>
      <c r="D255" s="506"/>
      <c r="E255" s="506"/>
      <c r="F255" s="506"/>
      <c r="G255" s="506"/>
      <c r="H255" s="506"/>
      <c r="I255" s="506"/>
      <c r="J255" s="506"/>
      <c r="K255" s="503"/>
      <c r="L255" s="504"/>
      <c r="M255" s="367"/>
      <c r="N255" s="367"/>
      <c r="O255" s="71"/>
      <c r="P255" s="1186"/>
      <c r="Q255" s="1189"/>
      <c r="R255" s="395"/>
      <c r="S255" s="396"/>
      <c r="T255" s="1194"/>
      <c r="U255" s="1194"/>
      <c r="V255" s="1194"/>
      <c r="W255" s="1194"/>
      <c r="X255" s="1194"/>
      <c r="Y255" s="1194"/>
      <c r="Z255" s="1194"/>
      <c r="AA255" s="1194"/>
      <c r="AB255" s="1194"/>
      <c r="AC255" s="1196"/>
      <c r="AE255" s="1186"/>
      <c r="AF255" s="1189"/>
      <c r="AG255" s="395"/>
      <c r="AH255" s="396"/>
      <c r="AI255" s="1194"/>
      <c r="AJ255" s="1194"/>
      <c r="AK255" s="1194"/>
      <c r="AL255" s="1194"/>
      <c r="AM255" s="1194"/>
      <c r="AN255" s="1194"/>
      <c r="AO255" s="1194"/>
      <c r="AP255" s="1194"/>
      <c r="AQ255" s="1194"/>
      <c r="AR255" s="1196"/>
    </row>
    <row r="256" spans="1:44" outlineLevel="1">
      <c r="B256" s="383"/>
      <c r="C256" s="397"/>
      <c r="D256" s="397"/>
      <c r="E256" s="397"/>
      <c r="F256" s="397"/>
      <c r="G256" s="399"/>
      <c r="H256" s="399"/>
      <c r="I256" s="399"/>
      <c r="J256" s="399"/>
      <c r="K256" s="372"/>
      <c r="L256" s="373"/>
      <c r="M256" s="363"/>
      <c r="N256" s="363"/>
      <c r="P256" s="1186"/>
      <c r="Q256" s="1189"/>
      <c r="R256" s="395"/>
      <c r="S256" s="396"/>
      <c r="T256" s="1194"/>
      <c r="U256" s="1194"/>
      <c r="V256" s="1194"/>
      <c r="W256" s="1194"/>
      <c r="X256" s="1194"/>
      <c r="Y256" s="1194"/>
      <c r="Z256" s="1194"/>
      <c r="AA256" s="1194"/>
      <c r="AB256" s="1194"/>
      <c r="AC256" s="1196"/>
      <c r="AE256" s="1186"/>
      <c r="AF256" s="1189"/>
      <c r="AG256" s="395"/>
      <c r="AH256" s="629"/>
      <c r="AI256" s="1194"/>
      <c r="AJ256" s="1194"/>
      <c r="AK256" s="1194"/>
      <c r="AL256" s="1194"/>
      <c r="AM256" s="1194"/>
      <c r="AN256" s="1194"/>
      <c r="AO256" s="1194"/>
      <c r="AP256" s="1194"/>
      <c r="AQ256" s="1194"/>
      <c r="AR256" s="1196"/>
    </row>
    <row r="257" spans="1:44" ht="16" outlineLevel="1" thickBot="1">
      <c r="B257" s="500"/>
      <c r="C257" s="506"/>
      <c r="D257" s="506"/>
      <c r="E257" s="506"/>
      <c r="F257" s="506"/>
      <c r="G257" s="506"/>
      <c r="H257" s="506"/>
      <c r="I257" s="506"/>
      <c r="J257" s="506"/>
      <c r="K257" s="372"/>
      <c r="L257" s="400"/>
      <c r="M257" s="363"/>
      <c r="N257" s="363"/>
      <c r="P257" s="1186"/>
      <c r="Q257" s="1189"/>
      <c r="R257" s="395"/>
      <c r="S257" s="396"/>
      <c r="T257" s="1194"/>
      <c r="U257" s="1194"/>
      <c r="V257" s="1194"/>
      <c r="W257" s="1194"/>
      <c r="X257" s="1194"/>
      <c r="Y257" s="1194"/>
      <c r="Z257" s="1194"/>
      <c r="AA257" s="1194"/>
      <c r="AB257" s="1194"/>
      <c r="AC257" s="1196"/>
      <c r="AE257" s="1186"/>
      <c r="AF257" s="1189"/>
      <c r="AG257" s="395"/>
      <c r="AH257" s="396"/>
      <c r="AI257" s="1194"/>
      <c r="AJ257" s="1194"/>
      <c r="AK257" s="1194"/>
      <c r="AL257" s="1194"/>
      <c r="AM257" s="1194"/>
      <c r="AN257" s="1194"/>
      <c r="AO257" s="1194"/>
      <c r="AP257" s="1194"/>
      <c r="AQ257" s="1194"/>
      <c r="AR257" s="1196"/>
    </row>
    <row r="258" spans="1:44" ht="16" outlineLevel="1" thickBot="1">
      <c r="B258" s="401"/>
      <c r="C258" s="402"/>
      <c r="D258" s="403"/>
      <c r="E258" s="404"/>
      <c r="F258" s="405"/>
      <c r="G258" s="406"/>
      <c r="H258" s="406"/>
      <c r="I258" s="406"/>
      <c r="J258" s="406"/>
      <c r="K258" s="407"/>
      <c r="L258" s="408"/>
      <c r="M258" s="363"/>
      <c r="N258" s="363"/>
      <c r="P258" s="1186"/>
      <c r="Q258" s="1190"/>
      <c r="R258" s="409"/>
      <c r="S258" s="410"/>
      <c r="T258" s="1195"/>
      <c r="U258" s="1195"/>
      <c r="V258" s="1195"/>
      <c r="W258" s="1195"/>
      <c r="X258" s="1195"/>
      <c r="Y258" s="1195"/>
      <c r="Z258" s="1195"/>
      <c r="AA258" s="1195"/>
      <c r="AB258" s="1195"/>
      <c r="AC258" s="1197"/>
      <c r="AE258" s="1186"/>
      <c r="AF258" s="1190"/>
      <c r="AG258" s="409"/>
      <c r="AH258" s="410"/>
      <c r="AI258" s="1195"/>
      <c r="AJ258" s="1195"/>
      <c r="AK258" s="1195"/>
      <c r="AL258" s="1195"/>
      <c r="AM258" s="1195"/>
      <c r="AN258" s="1195"/>
      <c r="AO258" s="1195"/>
      <c r="AP258" s="1195"/>
      <c r="AQ258" s="1195"/>
      <c r="AR258" s="1197"/>
    </row>
    <row r="259" spans="1:44" ht="16" outlineLevel="1" thickBot="1">
      <c r="B259" s="500"/>
      <c r="C259" s="506"/>
      <c r="D259" s="506"/>
      <c r="E259" s="506"/>
      <c r="F259" s="506"/>
      <c r="G259" s="507"/>
      <c r="H259" s="507"/>
      <c r="I259" s="507"/>
      <c r="J259" s="507"/>
      <c r="K259" s="503"/>
      <c r="L259" s="504"/>
      <c r="M259" s="363"/>
      <c r="N259" s="363"/>
      <c r="P259" s="1187"/>
      <c r="Q259" s="411"/>
      <c r="R259" s="412"/>
      <c r="S259" s="630"/>
      <c r="T259" s="416"/>
      <c r="U259" s="415"/>
      <c r="V259" s="416"/>
      <c r="W259" s="415"/>
      <c r="X259" s="416"/>
      <c r="Y259" s="415"/>
      <c r="Z259" s="416"/>
      <c r="AA259" s="415"/>
      <c r="AB259" s="416"/>
      <c r="AC259" s="417"/>
      <c r="AE259" s="1187"/>
      <c r="AF259" s="411"/>
      <c r="AG259" s="695"/>
      <c r="AH259" s="696"/>
      <c r="AI259" s="416"/>
      <c r="AJ259" s="415"/>
      <c r="AK259" s="416"/>
      <c r="AL259" s="415"/>
      <c r="AM259" s="416"/>
      <c r="AN259" s="415"/>
      <c r="AO259" s="416"/>
      <c r="AP259" s="415"/>
      <c r="AQ259" s="416"/>
      <c r="AR259" s="417"/>
    </row>
    <row r="260" spans="1:44" outlineLevel="1">
      <c r="B260" s="500"/>
      <c r="C260" s="506"/>
      <c r="D260" s="506"/>
      <c r="E260" s="506"/>
      <c r="F260" s="506"/>
      <c r="G260" s="509"/>
      <c r="H260" s="509"/>
      <c r="I260" s="509"/>
      <c r="J260" s="509"/>
      <c r="K260" s="510"/>
      <c r="L260" s="504"/>
      <c r="M260" s="363"/>
      <c r="N260" s="363"/>
    </row>
    <row r="261" spans="1:44" outlineLevel="1">
      <c r="B261" s="500"/>
      <c r="C261" s="506"/>
      <c r="D261" s="506"/>
      <c r="E261" s="506"/>
      <c r="F261" s="506"/>
      <c r="G261" s="509"/>
      <c r="H261" s="509"/>
      <c r="I261" s="509"/>
      <c r="J261" s="509"/>
      <c r="K261" s="510"/>
      <c r="L261" s="504"/>
      <c r="M261" s="420"/>
      <c r="N261" s="363"/>
    </row>
    <row r="262" spans="1:44" outlineLevel="1">
      <c r="B262" s="421"/>
      <c r="C262" s="399"/>
      <c r="D262" s="399"/>
      <c r="E262" s="399"/>
      <c r="F262" s="399"/>
      <c r="G262" s="422"/>
      <c r="H262" s="422"/>
      <c r="I262" s="422"/>
      <c r="J262" s="422"/>
      <c r="K262" s="423"/>
      <c r="L262" s="424"/>
      <c r="M262" s="420"/>
      <c r="N262" s="420"/>
    </row>
    <row r="263" spans="1:44" outlineLevel="1">
      <c r="B263" s="383"/>
      <c r="C263" s="397"/>
      <c r="D263" s="397"/>
      <c r="E263" s="397"/>
      <c r="F263" s="397"/>
      <c r="G263" s="422"/>
      <c r="H263" s="425"/>
      <c r="I263" s="425"/>
      <c r="J263" s="425"/>
      <c r="K263" s="426"/>
      <c r="L263" s="427"/>
      <c r="M263" s="428"/>
      <c r="N263" s="428"/>
    </row>
    <row r="264" spans="1:44" outlineLevel="1">
      <c r="B264" s="383"/>
      <c r="C264" s="397"/>
      <c r="D264" s="397"/>
      <c r="E264" s="397"/>
      <c r="F264" s="397"/>
      <c r="G264" s="425"/>
      <c r="H264" s="425"/>
      <c r="I264" s="425"/>
      <c r="J264" s="425"/>
      <c r="K264" s="423"/>
      <c r="L264" s="427"/>
      <c r="M264" s="428"/>
      <c r="N264" s="428"/>
    </row>
    <row r="265" spans="1:44" outlineLevel="1">
      <c r="B265" s="383"/>
      <c r="C265" s="397"/>
      <c r="D265" s="397"/>
      <c r="E265" s="397"/>
      <c r="F265" s="397"/>
      <c r="G265" s="425"/>
      <c r="H265" s="425"/>
      <c r="I265" s="425"/>
      <c r="J265" s="425"/>
      <c r="K265" s="423"/>
      <c r="L265" s="427"/>
      <c r="M265" s="428"/>
      <c r="N265" s="428"/>
    </row>
    <row r="266" spans="1:44" outlineLevel="1">
      <c r="B266" s="383"/>
      <c r="C266" s="397"/>
      <c r="D266" s="397"/>
      <c r="E266" s="397"/>
      <c r="F266" s="397"/>
      <c r="G266" s="425"/>
      <c r="H266" s="425"/>
      <c r="I266" s="425"/>
      <c r="J266" s="425"/>
      <c r="K266" s="423"/>
      <c r="L266" s="427"/>
      <c r="M266" s="428"/>
      <c r="N266" s="428"/>
    </row>
    <row r="267" spans="1:44" ht="16" outlineLevel="1" thickBot="1">
      <c r="B267" s="429"/>
      <c r="C267" s="697"/>
      <c r="D267" s="697"/>
      <c r="E267" s="697"/>
      <c r="F267" s="697"/>
      <c r="G267" s="425"/>
      <c r="H267" s="425"/>
      <c r="I267" s="425"/>
      <c r="J267" s="425"/>
      <c r="K267" s="423"/>
      <c r="L267" s="427"/>
      <c r="M267" s="428"/>
      <c r="N267" s="428"/>
    </row>
    <row r="268" spans="1:44" ht="16" outlineLevel="1" thickBot="1">
      <c r="B268" s="431"/>
      <c r="C268" s="432"/>
      <c r="D268" s="403"/>
      <c r="E268" s="403"/>
      <c r="F268" s="433"/>
      <c r="G268" s="434"/>
      <c r="H268" s="406"/>
      <c r="I268" s="406"/>
      <c r="J268" s="406"/>
      <c r="K268" s="407"/>
      <c r="L268" s="408"/>
      <c r="M268" s="428"/>
      <c r="N268" s="428"/>
    </row>
    <row r="269" spans="1:44" outlineLevel="1">
      <c r="A269" s="435"/>
      <c r="B269" s="436"/>
      <c r="C269" s="551"/>
      <c r="D269" s="647"/>
      <c r="E269" s="647"/>
      <c r="F269" s="648"/>
      <c r="G269" s="425"/>
      <c r="H269" s="425"/>
      <c r="I269" s="425"/>
      <c r="J269" s="425"/>
      <c r="K269" s="426"/>
      <c r="L269" s="440"/>
      <c r="M269" s="420"/>
      <c r="N269" s="420"/>
    </row>
    <row r="270" spans="1:44" outlineLevel="1">
      <c r="B270" s="441"/>
      <c r="C270" s="442"/>
      <c r="D270" s="442"/>
      <c r="E270" s="442"/>
      <c r="F270" s="442"/>
      <c r="G270" s="425"/>
      <c r="H270" s="425"/>
      <c r="I270" s="425"/>
      <c r="J270" s="425"/>
      <c r="K270" s="444"/>
      <c r="L270" s="373"/>
      <c r="M270" s="71"/>
      <c r="N270" s="420"/>
    </row>
    <row r="271" spans="1:44" outlineLevel="1">
      <c r="B271" s="441"/>
      <c r="C271" s="442"/>
      <c r="D271" s="442"/>
      <c r="E271" s="442"/>
      <c r="F271" s="442"/>
      <c r="G271" s="425"/>
      <c r="H271" s="425"/>
      <c r="I271" s="425"/>
      <c r="J271" s="425"/>
      <c r="K271" s="444"/>
      <c r="L271" s="373"/>
      <c r="M271" s="420"/>
      <c r="N271" s="420"/>
    </row>
    <row r="272" spans="1:44" outlineLevel="1">
      <c r="B272" s="383"/>
      <c r="C272" s="445"/>
      <c r="D272" s="446"/>
      <c r="E272" s="446"/>
      <c r="F272" s="447"/>
      <c r="G272" s="425"/>
      <c r="H272" s="425"/>
      <c r="I272" s="425"/>
      <c r="J272" s="425"/>
      <c r="K272" s="448"/>
      <c r="L272" s="373"/>
      <c r="M272" s="420"/>
      <c r="N272" s="420"/>
    </row>
    <row r="273" spans="2:30" outlineLevel="1">
      <c r="B273" s="383"/>
      <c r="C273" s="449"/>
      <c r="D273" s="449"/>
      <c r="E273" s="449"/>
      <c r="F273" s="449"/>
      <c r="G273" s="425"/>
      <c r="H273" s="425"/>
      <c r="I273" s="425"/>
      <c r="J273" s="425"/>
      <c r="K273" s="448"/>
      <c r="L273" s="373"/>
      <c r="M273" s="694"/>
      <c r="N273" s="693"/>
      <c r="P273" s="1157"/>
      <c r="Q273" s="1135"/>
      <c r="R273" s="1135"/>
      <c r="S273" s="1135"/>
      <c r="T273" s="1135"/>
      <c r="U273" s="1158"/>
    </row>
    <row r="274" spans="2:30" ht="16" outlineLevel="1" thickBot="1">
      <c r="B274" s="500"/>
      <c r="C274" s="514"/>
      <c r="D274" s="514"/>
      <c r="E274" s="514"/>
      <c r="F274" s="514"/>
      <c r="G274" s="515"/>
      <c r="H274" s="515"/>
      <c r="I274" s="515"/>
      <c r="J274" s="515"/>
      <c r="K274" s="503"/>
      <c r="L274" s="504"/>
      <c r="M274" s="694"/>
      <c r="N274" s="693"/>
      <c r="P274" s="1159"/>
      <c r="Q274" s="1160"/>
      <c r="R274" s="1160"/>
      <c r="S274" s="1160"/>
      <c r="T274" s="1160"/>
      <c r="U274" s="1161"/>
    </row>
    <row r="275" spans="2:30" outlineLevel="1">
      <c r="B275" s="500"/>
      <c r="C275" s="516"/>
      <c r="D275" s="516"/>
      <c r="E275" s="516"/>
      <c r="F275" s="516"/>
      <c r="G275" s="515"/>
      <c r="H275" s="515"/>
      <c r="I275" s="515"/>
      <c r="J275" s="515"/>
      <c r="K275" s="517"/>
      <c r="L275" s="504"/>
      <c r="M275" s="363"/>
      <c r="N275" s="363"/>
      <c r="P275" s="53"/>
    </row>
    <row r="276" spans="2:30" outlineLevel="1">
      <c r="B276" s="441"/>
      <c r="C276" s="681"/>
      <c r="D276" s="681"/>
      <c r="E276" s="681"/>
      <c r="F276" s="681"/>
      <c r="G276" s="425"/>
      <c r="H276" s="425"/>
      <c r="I276" s="425"/>
      <c r="J276" s="425"/>
      <c r="K276" s="444"/>
      <c r="L276" s="424"/>
      <c r="M276" s="367"/>
      <c r="N276" s="367"/>
      <c r="P276" s="46"/>
      <c r="Q276" s="46"/>
      <c r="R276" s="47"/>
      <c r="S276" s="47"/>
      <c r="T276" s="47"/>
      <c r="U276" s="48"/>
      <c r="V276" s="49"/>
      <c r="W276" s="49"/>
      <c r="X276" s="49"/>
      <c r="Y276" s="49"/>
      <c r="Z276" s="49"/>
      <c r="AA276" s="49"/>
      <c r="AB276" s="49"/>
      <c r="AC276" s="49"/>
      <c r="AD276" s="49"/>
    </row>
    <row r="277" spans="2:30" ht="16" outlineLevel="1" thickBot="1">
      <c r="B277" s="519"/>
      <c r="C277" s="442"/>
      <c r="D277" s="520"/>
      <c r="E277" s="520"/>
      <c r="F277" s="521"/>
      <c r="G277" s="425"/>
      <c r="H277" s="425"/>
      <c r="I277" s="425"/>
      <c r="J277" s="425"/>
      <c r="K277" s="448"/>
      <c r="L277" s="424"/>
      <c r="M277" s="363"/>
      <c r="N277" s="363"/>
      <c r="P277" s="50"/>
      <c r="Q277" s="50"/>
      <c r="R277" s="51"/>
      <c r="S277" s="51"/>
      <c r="T277" s="51"/>
      <c r="U277" s="51"/>
      <c r="V277" s="50"/>
      <c r="W277" s="50"/>
      <c r="X277" s="50"/>
      <c r="Y277" s="50"/>
      <c r="Z277" s="50"/>
      <c r="AA277" s="50"/>
      <c r="AB277" s="50"/>
      <c r="AC277" s="50"/>
      <c r="AD277" s="50"/>
    </row>
    <row r="278" spans="2:30" ht="16" outlineLevel="1" thickBot="1">
      <c r="B278" s="401"/>
      <c r="C278" s="402"/>
      <c r="D278" s="403"/>
      <c r="E278" s="404"/>
      <c r="F278" s="405"/>
      <c r="G278" s="406"/>
      <c r="H278" s="406"/>
      <c r="I278" s="406"/>
      <c r="J278" s="406"/>
      <c r="K278" s="459"/>
      <c r="L278" s="460"/>
      <c r="M278" s="363"/>
      <c r="N278" s="363"/>
      <c r="O278" s="461"/>
      <c r="P278" s="56"/>
      <c r="Q278" s="56"/>
      <c r="R278" s="57"/>
      <c r="S278" s="57"/>
      <c r="T278" s="57"/>
      <c r="U278" s="56"/>
      <c r="V278" s="56"/>
      <c r="W278" s="56"/>
      <c r="X278" s="56"/>
      <c r="Y278" s="56"/>
      <c r="Z278" s="56"/>
      <c r="AA278" s="56"/>
      <c r="AB278" s="56"/>
      <c r="AC278" s="56"/>
      <c r="AD278" s="56"/>
    </row>
    <row r="279" spans="2:30" outlineLevel="1">
      <c r="B279" s="522"/>
      <c r="C279" s="670"/>
      <c r="D279" s="670"/>
      <c r="E279" s="670"/>
      <c r="F279" s="670"/>
      <c r="G279" s="524"/>
      <c r="H279" s="524"/>
      <c r="I279" s="524"/>
      <c r="J279" s="524"/>
      <c r="K279" s="524"/>
      <c r="L279" s="525"/>
      <c r="M279" s="363"/>
      <c r="N279" s="363"/>
      <c r="O279" s="465"/>
      <c r="P279" s="466"/>
      <c r="Q279" s="58"/>
      <c r="R279" s="466"/>
      <c r="S279" s="58"/>
      <c r="T279" s="466"/>
      <c r="U279" s="467"/>
      <c r="V279" s="467"/>
      <c r="W279" s="467"/>
      <c r="X279" s="58"/>
      <c r="Y279" s="58"/>
      <c r="Z279" s="466"/>
      <c r="AA279" s="468"/>
      <c r="AB279" s="468"/>
      <c r="AC279" s="468"/>
      <c r="AD279" s="468"/>
    </row>
    <row r="280" spans="2:30" outlineLevel="1">
      <c r="B280" s="500"/>
      <c r="C280" s="526"/>
      <c r="D280" s="527"/>
      <c r="E280" s="527"/>
      <c r="F280" s="528"/>
      <c r="G280" s="528"/>
      <c r="H280" s="528"/>
      <c r="I280" s="528"/>
      <c r="J280" s="528"/>
      <c r="K280" s="529"/>
      <c r="L280" s="525"/>
      <c r="M280" s="363"/>
      <c r="N280" s="363"/>
      <c r="O280" s="465"/>
      <c r="P280" s="466"/>
      <c r="Q280" s="58"/>
      <c r="R280" s="466"/>
      <c r="S280" s="58"/>
      <c r="T280" s="466"/>
      <c r="U280" s="467"/>
      <c r="V280" s="467"/>
      <c r="W280" s="467"/>
      <c r="X280" s="58"/>
      <c r="Y280" s="58"/>
      <c r="Z280" s="466"/>
      <c r="AA280" s="468"/>
      <c r="AB280" s="468"/>
      <c r="AC280" s="468"/>
      <c r="AD280" s="468"/>
    </row>
    <row r="281" spans="2:30" outlineLevel="1">
      <c r="B281" s="500"/>
      <c r="C281" s="526"/>
      <c r="D281" s="527"/>
      <c r="E281" s="527"/>
      <c r="F281" s="528"/>
      <c r="G281" s="515"/>
      <c r="H281" s="515"/>
      <c r="I281" s="515"/>
      <c r="J281" s="515"/>
      <c r="K281" s="515"/>
      <c r="L281" s="504"/>
      <c r="M281" s="363"/>
      <c r="N281" s="363"/>
      <c r="O281" s="465"/>
      <c r="P281" s="466"/>
      <c r="Q281" s="58"/>
      <c r="R281" s="466"/>
      <c r="S281" s="58"/>
      <c r="T281" s="466"/>
      <c r="U281" s="467"/>
      <c r="V281" s="467"/>
      <c r="W281" s="467"/>
      <c r="X281" s="58"/>
      <c r="Y281" s="58"/>
      <c r="Z281" s="466"/>
      <c r="AA281" s="468"/>
      <c r="AB281" s="468"/>
      <c r="AC281" s="468"/>
      <c r="AD281" s="468"/>
    </row>
    <row r="282" spans="2:30" outlineLevel="1">
      <c r="B282" s="500"/>
      <c r="C282" s="685"/>
      <c r="D282" s="530"/>
      <c r="E282" s="530"/>
      <c r="F282" s="530"/>
      <c r="G282" s="531"/>
      <c r="H282" s="531"/>
      <c r="I282" s="531"/>
      <c r="J282" s="531"/>
      <c r="K282" s="531"/>
      <c r="L282" s="504"/>
      <c r="M282" s="363"/>
      <c r="N282" s="363"/>
      <c r="O282" s="465"/>
      <c r="P282" s="466"/>
      <c r="Q282" s="58"/>
      <c r="R282" s="466"/>
      <c r="S282" s="58"/>
      <c r="T282" s="466"/>
      <c r="U282" s="467"/>
      <c r="V282" s="467"/>
      <c r="W282" s="467"/>
      <c r="X282" s="58"/>
      <c r="Y282" s="58"/>
      <c r="Z282" s="466"/>
      <c r="AA282" s="468"/>
      <c r="AB282" s="468"/>
      <c r="AC282" s="468"/>
      <c r="AD282" s="468"/>
    </row>
    <row r="283" spans="2:30" outlineLevel="1">
      <c r="B283" s="532"/>
      <c r="C283" s="526"/>
      <c r="D283" s="527"/>
      <c r="E283" s="527"/>
      <c r="F283" s="528"/>
      <c r="G283" s="531"/>
      <c r="H283" s="531"/>
      <c r="I283" s="531"/>
      <c r="J283" s="531"/>
      <c r="K283" s="531"/>
      <c r="L283" s="533"/>
      <c r="M283" s="367"/>
      <c r="N283" s="367"/>
    </row>
    <row r="284" spans="2:30" outlineLevel="1">
      <c r="B284" s="532"/>
      <c r="C284" s="526"/>
      <c r="D284" s="527"/>
      <c r="E284" s="527"/>
      <c r="F284" s="528"/>
      <c r="G284" s="531"/>
      <c r="H284" s="531"/>
      <c r="I284" s="531"/>
      <c r="J284" s="531"/>
      <c r="K284" s="531"/>
      <c r="L284" s="533"/>
      <c r="M284" s="363"/>
      <c r="N284" s="363"/>
    </row>
    <row r="285" spans="2:30" ht="16" outlineLevel="1" thickBot="1">
      <c r="B285" s="534"/>
      <c r="C285" s="535"/>
      <c r="D285" s="536"/>
      <c r="E285" s="536"/>
      <c r="F285" s="537"/>
      <c r="G285" s="538"/>
      <c r="H285" s="538"/>
      <c r="I285" s="538"/>
      <c r="J285" s="538"/>
      <c r="K285" s="538"/>
      <c r="L285" s="539"/>
      <c r="M285" s="363"/>
      <c r="N285" s="363"/>
    </row>
    <row r="286" spans="2:30" outlineLevel="1">
      <c r="B286" s="461"/>
      <c r="C286" s="483"/>
      <c r="D286" s="483"/>
      <c r="E286" s="483"/>
      <c r="F286" s="483"/>
      <c r="G286" s="483"/>
      <c r="H286" s="484"/>
      <c r="I286" s="420"/>
      <c r="J286" s="420"/>
      <c r="K286" s="484"/>
      <c r="L286" s="484"/>
      <c r="N286" s="420"/>
    </row>
    <row r="287" spans="2:30" outlineLevel="1">
      <c r="B287" s="485"/>
      <c r="C287" s="486"/>
      <c r="D287" s="486"/>
      <c r="E287" s="486"/>
      <c r="F287" s="486"/>
      <c r="G287" s="486"/>
      <c r="H287" s="484"/>
      <c r="I287" s="71"/>
      <c r="J287" s="420"/>
      <c r="K287" s="484"/>
      <c r="L287" s="484"/>
      <c r="N287" s="420"/>
    </row>
    <row r="288" spans="2:30" outlineLevel="1">
      <c r="B288" s="461"/>
      <c r="C288" s="359"/>
      <c r="D288" s="359"/>
      <c r="E288" s="359"/>
      <c r="F288" s="359"/>
      <c r="G288" s="359"/>
      <c r="I288" s="420"/>
      <c r="J288" s="420"/>
      <c r="N288" s="420"/>
    </row>
    <row r="289" spans="1:15" outlineLevel="1">
      <c r="B289" s="461"/>
      <c r="C289" s="487"/>
      <c r="D289" s="487"/>
      <c r="E289" s="487"/>
      <c r="F289" s="487"/>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c r="C293" s="489"/>
      <c r="E293" s="358"/>
      <c r="F293" s="490"/>
      <c r="G293" s="358"/>
      <c r="H293" s="358"/>
      <c r="I293" s="358"/>
      <c r="J293" s="358"/>
      <c r="K293" s="358"/>
      <c r="L293" s="358"/>
    </row>
    <row r="294" spans="1:15" outlineLevel="1">
      <c r="A294" s="491"/>
      <c r="B294" s="491"/>
      <c r="C294" s="492"/>
      <c r="E294" s="358"/>
      <c r="F294" s="490"/>
      <c r="G294" s="358"/>
      <c r="H294" s="358"/>
      <c r="I294" s="358"/>
      <c r="J294" s="358"/>
      <c r="K294" s="358"/>
      <c r="L294" s="358"/>
    </row>
    <row r="295" spans="1:15" outlineLevel="1">
      <c r="A295" s="358"/>
      <c r="B295" s="491"/>
      <c r="C295" s="493"/>
      <c r="E295" s="358"/>
      <c r="F295" s="490"/>
      <c r="G295" s="358"/>
      <c r="H295" s="358"/>
      <c r="I295" s="358"/>
      <c r="J295" s="358"/>
      <c r="K295" s="358"/>
      <c r="L295" s="358"/>
      <c r="M295" s="570"/>
      <c r="N295" s="489"/>
      <c r="O295" s="490"/>
    </row>
    <row r="296" spans="1:15" outlineLevel="1">
      <c r="A296" s="358"/>
      <c r="B296" s="491"/>
      <c r="C296" s="493"/>
      <c r="E296" s="358"/>
      <c r="F296" s="490"/>
      <c r="G296" s="358"/>
      <c r="H296" s="358"/>
      <c r="I296" s="358"/>
      <c r="J296" s="358"/>
      <c r="K296" s="358"/>
      <c r="L296" s="358"/>
      <c r="O296" s="490"/>
    </row>
    <row r="297" spans="1:15" outlineLevel="1">
      <c r="A297" s="358"/>
      <c r="B297" s="491"/>
      <c r="C297" s="493"/>
      <c r="E297" s="358"/>
      <c r="F297" s="490"/>
      <c r="G297" s="358"/>
      <c r="H297" s="358"/>
      <c r="I297" s="358"/>
      <c r="J297" s="358"/>
      <c r="K297" s="358"/>
      <c r="L297" s="358"/>
      <c r="O297" s="490"/>
    </row>
    <row r="298" spans="1:15" outlineLevel="1">
      <c r="A298" s="358"/>
      <c r="B298" s="358"/>
      <c r="C298" s="494"/>
      <c r="F298" s="490"/>
      <c r="G298" s="358"/>
      <c r="H298" s="358"/>
      <c r="I298" s="358"/>
      <c r="J298" s="358"/>
      <c r="K298" s="358"/>
      <c r="L298" s="358"/>
      <c r="O298" s="490"/>
    </row>
    <row r="299" spans="1:15" outlineLevel="1">
      <c r="A299" s="358"/>
      <c r="B299" s="358"/>
      <c r="C299" s="492"/>
      <c r="F299" s="490"/>
      <c r="G299" s="358"/>
      <c r="H299" s="358"/>
      <c r="I299" s="358"/>
      <c r="J299" s="358"/>
      <c r="K299" s="358"/>
      <c r="L299" s="358"/>
      <c r="O299" s="490"/>
    </row>
    <row r="300" spans="1:15" outlineLevel="1">
      <c r="A300" s="358"/>
      <c r="B300" s="358"/>
      <c r="C300" s="495"/>
      <c r="F300" s="490"/>
      <c r="G300" s="358"/>
      <c r="H300" s="358"/>
      <c r="I300" s="358"/>
      <c r="J300" s="358"/>
      <c r="K300" s="358"/>
      <c r="L300" s="358"/>
      <c r="O300" s="490"/>
    </row>
    <row r="301" spans="1:15" outlineLevel="1">
      <c r="A301" s="488"/>
      <c r="B301" s="358"/>
      <c r="C301" s="495"/>
      <c r="F301" s="490"/>
      <c r="G301" s="358"/>
      <c r="H301" s="358"/>
      <c r="I301" s="358"/>
      <c r="J301" s="358"/>
      <c r="K301" s="358"/>
      <c r="L301" s="358"/>
      <c r="O301" s="490"/>
    </row>
    <row r="302" spans="1:15" outlineLevel="1">
      <c r="A302" s="488"/>
      <c r="B302" s="358"/>
      <c r="C302" s="489"/>
      <c r="F302" s="490"/>
      <c r="G302" s="358"/>
      <c r="H302" s="358"/>
      <c r="I302" s="358"/>
      <c r="J302" s="358"/>
      <c r="K302" s="358"/>
      <c r="L302" s="358"/>
      <c r="O302" s="490"/>
    </row>
    <row r="303" spans="1:15" outlineLevel="1">
      <c r="A303" s="488"/>
      <c r="B303" s="358"/>
      <c r="C303" s="490"/>
      <c r="F303" s="490"/>
      <c r="G303" s="358"/>
      <c r="H303" s="358"/>
      <c r="I303" s="358"/>
      <c r="J303" s="358"/>
      <c r="K303" s="358"/>
      <c r="L303" s="358"/>
      <c r="O303" s="490"/>
    </row>
    <row r="304" spans="1:15" outlineLevel="1">
      <c r="A304" s="488"/>
      <c r="B304" s="488"/>
      <c r="C304" s="489"/>
      <c r="F304" s="490"/>
      <c r="G304" s="358"/>
      <c r="H304" s="358"/>
      <c r="I304" s="358"/>
      <c r="J304" s="358"/>
      <c r="K304" s="358"/>
      <c r="L304" s="358"/>
      <c r="O304" s="490"/>
    </row>
    <row r="305" spans="1:15" outlineLevel="1">
      <c r="A305" s="488"/>
      <c r="B305" s="496"/>
      <c r="C305" s="497"/>
      <c r="D305" s="489"/>
      <c r="F305" s="490"/>
      <c r="G305" s="358"/>
      <c r="H305" s="358"/>
      <c r="I305" s="358"/>
      <c r="J305" s="358"/>
      <c r="K305" s="358"/>
      <c r="L305" s="358"/>
      <c r="O305" s="490"/>
    </row>
    <row r="306" spans="1:15" outlineLevel="1">
      <c r="A306" s="488"/>
      <c r="B306" s="496"/>
      <c r="C306" s="489"/>
      <c r="D306" s="489"/>
      <c r="F306" s="490"/>
      <c r="G306" s="358"/>
      <c r="H306" s="358"/>
      <c r="I306" s="358"/>
      <c r="J306" s="358"/>
      <c r="K306" s="358"/>
      <c r="L306" s="358"/>
      <c r="O306" s="490"/>
    </row>
    <row r="307" spans="1:15" outlineLevel="1">
      <c r="A307" s="488"/>
      <c r="B307" s="496"/>
      <c r="C307" s="489"/>
      <c r="D307" s="489"/>
      <c r="F307" s="490"/>
      <c r="G307" s="358"/>
      <c r="H307" s="358"/>
      <c r="I307" s="358"/>
      <c r="J307" s="358"/>
      <c r="K307" s="358"/>
      <c r="L307" s="358"/>
      <c r="O307" s="490"/>
    </row>
    <row r="308" spans="1:15" outlineLevel="1">
      <c r="A308" s="488"/>
      <c r="B308" s="496"/>
      <c r="C308" s="489"/>
      <c r="D308" s="489"/>
      <c r="F308" s="490"/>
      <c r="G308" s="358"/>
      <c r="H308" s="358"/>
      <c r="I308" s="358"/>
      <c r="J308" s="358"/>
      <c r="K308" s="358"/>
      <c r="L308" s="358"/>
      <c r="O308" s="490"/>
    </row>
    <row r="309" spans="1:15" outlineLevel="1">
      <c r="A309" s="488"/>
      <c r="B309" s="496"/>
      <c r="C309" s="489"/>
      <c r="D309" s="489"/>
      <c r="F309" s="490"/>
      <c r="G309" s="358"/>
      <c r="H309" s="358"/>
      <c r="I309" s="358"/>
      <c r="J309" s="358"/>
      <c r="K309" s="358"/>
      <c r="L309" s="358"/>
      <c r="O309" s="490"/>
    </row>
    <row r="310" spans="1:15" outlineLevel="1">
      <c r="A310" s="488"/>
      <c r="B310" s="496"/>
      <c r="C310" s="489"/>
      <c r="D310" s="489"/>
      <c r="F310" s="490"/>
      <c r="G310" s="358"/>
      <c r="H310" s="358"/>
      <c r="I310" s="358"/>
      <c r="J310" s="358"/>
      <c r="K310" s="358"/>
      <c r="L310" s="358"/>
      <c r="O310" s="490"/>
    </row>
    <row r="311" spans="1:15" outlineLevel="1">
      <c r="A311" s="488"/>
      <c r="B311" s="496"/>
      <c r="C311" s="489"/>
      <c r="D311" s="489"/>
      <c r="F311" s="490"/>
      <c r="G311" s="358"/>
      <c r="H311" s="358"/>
      <c r="I311" s="358"/>
      <c r="J311" s="358"/>
      <c r="K311" s="358"/>
      <c r="L311" s="358"/>
      <c r="O311" s="490"/>
    </row>
    <row r="312" spans="1:15" outlineLevel="1">
      <c r="A312" s="488"/>
      <c r="B312" s="496"/>
      <c r="C312" s="489"/>
      <c r="D312" s="489"/>
      <c r="F312" s="490"/>
      <c r="G312" s="358"/>
      <c r="H312" s="358"/>
      <c r="I312" s="358"/>
      <c r="J312" s="358"/>
      <c r="K312" s="358"/>
      <c r="L312" s="358"/>
      <c r="O312" s="490"/>
    </row>
    <row r="313" spans="1:15" outlineLevel="1">
      <c r="A313" s="488"/>
      <c r="B313" s="496"/>
      <c r="C313" s="498"/>
      <c r="D313" s="489"/>
      <c r="F313" s="490"/>
      <c r="G313" s="358"/>
      <c r="H313" s="358"/>
      <c r="I313" s="358"/>
      <c r="J313" s="358"/>
      <c r="K313" s="358"/>
      <c r="L313" s="358"/>
      <c r="O313" s="490"/>
    </row>
    <row r="314" spans="1:15" outlineLevel="1">
      <c r="A314" s="488"/>
      <c r="B314" s="496"/>
      <c r="C314" s="489"/>
      <c r="D314" s="489"/>
      <c r="F314" s="490"/>
      <c r="G314" s="358"/>
      <c r="H314" s="358"/>
      <c r="I314" s="358"/>
      <c r="J314" s="358"/>
      <c r="K314" s="358"/>
      <c r="L314" s="358"/>
      <c r="O314" s="490"/>
    </row>
    <row r="315" spans="1:15" outlineLevel="1">
      <c r="A315" s="496"/>
      <c r="B315" s="496"/>
      <c r="C315" s="489"/>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6" thickBot="1">
      <c r="A324" s="360"/>
    </row>
    <row r="325" spans="1:44" ht="20.5" customHeight="1" thickBot="1">
      <c r="B325" s="362"/>
      <c r="C325" s="1201"/>
      <c r="D325" s="1202"/>
      <c r="E325" s="1202"/>
      <c r="F325" s="1202"/>
      <c r="G325" s="1202"/>
      <c r="H325" s="1202"/>
      <c r="I325" s="1202"/>
      <c r="J325" s="1202"/>
      <c r="K325" s="1202"/>
      <c r="L325" s="1203"/>
      <c r="M325" s="363"/>
      <c r="N325" s="363"/>
      <c r="P325" s="364"/>
      <c r="Q325" s="365"/>
      <c r="R325" s="366"/>
      <c r="S325" s="1143"/>
      <c r="T325" s="1147"/>
      <c r="U325" s="1148"/>
      <c r="V325" s="1147"/>
      <c r="W325" s="1148"/>
      <c r="X325" s="1147"/>
      <c r="Y325" s="1148"/>
      <c r="Z325" s="1147"/>
      <c r="AA325" s="1148"/>
      <c r="AB325" s="1147"/>
      <c r="AC325" s="1148"/>
      <c r="AE325" s="364"/>
      <c r="AF325" s="365"/>
      <c r="AG325" s="366"/>
      <c r="AH325" s="1143"/>
      <c r="AI325" s="1147"/>
      <c r="AJ325" s="1148"/>
      <c r="AK325" s="1147"/>
      <c r="AL325" s="1148"/>
      <c r="AM325" s="1147"/>
      <c r="AN325" s="1148"/>
      <c r="AO325" s="1147"/>
      <c r="AP325" s="1148"/>
      <c r="AQ325" s="1147"/>
      <c r="AR325" s="1148"/>
    </row>
    <row r="326" spans="1:44" ht="15" customHeight="1" thickBot="1">
      <c r="B326" s="1168"/>
      <c r="C326" s="1170"/>
      <c r="D326" s="1170"/>
      <c r="E326" s="1170"/>
      <c r="F326" s="1170"/>
      <c r="G326" s="1206"/>
      <c r="H326" s="1207"/>
      <c r="I326" s="1206"/>
      <c r="J326" s="1207"/>
      <c r="K326" s="1204"/>
      <c r="L326" s="1204"/>
      <c r="M326" s="367"/>
      <c r="N326" s="367"/>
      <c r="P326" s="1151"/>
      <c r="Q326" s="368"/>
      <c r="R326" s="368"/>
      <c r="S326" s="1144"/>
      <c r="T326" s="1149"/>
      <c r="U326" s="1150"/>
      <c r="V326" s="1149"/>
      <c r="W326" s="1150"/>
      <c r="X326" s="1149"/>
      <c r="Y326" s="1150"/>
      <c r="Z326" s="1149"/>
      <c r="AA326" s="1150"/>
      <c r="AB326" s="1149"/>
      <c r="AC326" s="1150"/>
      <c r="AE326" s="1151"/>
      <c r="AF326" s="368"/>
      <c r="AG326" s="368"/>
      <c r="AH326" s="1144"/>
      <c r="AI326" s="1149"/>
      <c r="AJ326" s="1150"/>
      <c r="AK326" s="1149"/>
      <c r="AL326" s="1150"/>
      <c r="AM326" s="1149"/>
      <c r="AN326" s="1150"/>
      <c r="AO326" s="1149"/>
      <c r="AP326" s="1150"/>
      <c r="AQ326" s="1149"/>
      <c r="AR326" s="1150"/>
    </row>
    <row r="327" spans="1:44" ht="15" customHeight="1" thickBot="1">
      <c r="B327" s="1169"/>
      <c r="C327" s="1171"/>
      <c r="D327" s="1171"/>
      <c r="E327" s="1171"/>
      <c r="F327" s="1171"/>
      <c r="G327" s="406"/>
      <c r="H327" s="406"/>
      <c r="I327" s="406"/>
      <c r="J327" s="406"/>
      <c r="K327" s="1205"/>
      <c r="L327" s="1205"/>
      <c r="M327" s="370"/>
      <c r="N327" s="370"/>
      <c r="P327" s="1152"/>
      <c r="Q327" s="1154"/>
      <c r="R327" s="1155"/>
      <c r="S327" s="1145"/>
      <c r="T327" s="1149"/>
      <c r="U327" s="1150"/>
      <c r="V327" s="1149"/>
      <c r="W327" s="1150"/>
      <c r="X327" s="1149"/>
      <c r="Y327" s="1150"/>
      <c r="Z327" s="1149"/>
      <c r="AA327" s="1150"/>
      <c r="AB327" s="1149"/>
      <c r="AC327" s="1150"/>
      <c r="AE327" s="1152"/>
      <c r="AF327" s="1154"/>
      <c r="AG327" s="1155"/>
      <c r="AH327" s="1145"/>
      <c r="AI327" s="1149"/>
      <c r="AJ327" s="1150"/>
      <c r="AK327" s="1149"/>
      <c r="AL327" s="1150"/>
      <c r="AM327" s="1149"/>
      <c r="AN327" s="1150"/>
      <c r="AO327" s="1149"/>
      <c r="AP327" s="1150"/>
      <c r="AQ327" s="1149"/>
      <c r="AR327" s="1150"/>
    </row>
    <row r="328" spans="1:44" ht="16" thickBot="1">
      <c r="B328" s="371"/>
      <c r="C328" s="372"/>
      <c r="D328" s="372"/>
      <c r="E328" s="372"/>
      <c r="F328" s="372"/>
      <c r="G328" s="372"/>
      <c r="H328" s="372"/>
      <c r="I328" s="372"/>
      <c r="J328" s="372"/>
      <c r="K328" s="372"/>
      <c r="L328" s="373"/>
      <c r="M328" s="370"/>
      <c r="N328" s="370"/>
      <c r="O328" s="74"/>
      <c r="P328" s="1153"/>
      <c r="Q328" s="1146"/>
      <c r="R328" s="1156"/>
      <c r="S328" s="1146"/>
      <c r="T328" s="374"/>
      <c r="U328" s="375"/>
      <c r="V328" s="374"/>
      <c r="W328" s="375"/>
      <c r="X328" s="374"/>
      <c r="Y328" s="375"/>
      <c r="Z328" s="374"/>
      <c r="AA328" s="375"/>
      <c r="AB328" s="374"/>
      <c r="AC328" s="375"/>
      <c r="AE328" s="1153"/>
      <c r="AF328" s="1146"/>
      <c r="AG328" s="1156"/>
      <c r="AH328" s="1146"/>
      <c r="AI328" s="374"/>
      <c r="AJ328" s="375"/>
      <c r="AK328" s="374"/>
      <c r="AL328" s="375"/>
      <c r="AM328" s="374"/>
      <c r="AN328" s="375"/>
      <c r="AO328" s="374"/>
      <c r="AP328" s="375"/>
      <c r="AQ328" s="374"/>
      <c r="AR328" s="375"/>
    </row>
    <row r="329" spans="1:44" ht="14.5" customHeight="1">
      <c r="B329" s="574"/>
      <c r="C329" s="575"/>
      <c r="D329" s="575"/>
      <c r="E329" s="575"/>
      <c r="F329" s="575"/>
      <c r="G329" s="576"/>
      <c r="H329" s="576"/>
      <c r="I329" s="576"/>
      <c r="J329" s="576"/>
      <c r="K329" s="372"/>
      <c r="L329" s="373"/>
      <c r="M329" s="370"/>
      <c r="N329" s="370"/>
      <c r="P329" s="1185"/>
      <c r="Q329" s="1188"/>
      <c r="R329" s="381"/>
      <c r="S329" s="382"/>
      <c r="T329" s="1191"/>
      <c r="U329" s="1179"/>
      <c r="V329" s="1191"/>
      <c r="W329" s="1179"/>
      <c r="X329" s="1191"/>
      <c r="Y329" s="1179"/>
      <c r="Z329" s="1191"/>
      <c r="AA329" s="1179"/>
      <c r="AB329" s="1182"/>
      <c r="AC329" s="1179"/>
      <c r="AE329" s="1185"/>
      <c r="AF329" s="1188"/>
      <c r="AG329" s="381"/>
      <c r="AH329" s="382"/>
      <c r="AI329" s="1191"/>
      <c r="AJ329" s="1179"/>
      <c r="AK329" s="1191"/>
      <c r="AL329" s="1179"/>
      <c r="AM329" s="1191"/>
      <c r="AN329" s="1179"/>
      <c r="AO329" s="1191"/>
      <c r="AP329" s="1179"/>
      <c r="AQ329" s="1182"/>
      <c r="AR329" s="1179"/>
    </row>
    <row r="330" spans="1:44">
      <c r="B330" s="383"/>
      <c r="C330" s="577"/>
      <c r="D330" s="577"/>
      <c r="E330" s="577"/>
      <c r="F330" s="577"/>
      <c r="G330" s="576"/>
      <c r="H330" s="576"/>
      <c r="I330" s="576"/>
      <c r="J330" s="576"/>
      <c r="K330" s="372"/>
      <c r="L330" s="373"/>
      <c r="M330" s="370"/>
      <c r="N330" s="370"/>
      <c r="O330" s="71"/>
      <c r="P330" s="1210"/>
      <c r="Q330" s="1189"/>
      <c r="R330" s="388"/>
      <c r="S330" s="389"/>
      <c r="T330" s="1192"/>
      <c r="U330" s="1180"/>
      <c r="V330" s="1192"/>
      <c r="W330" s="1180"/>
      <c r="X330" s="1192"/>
      <c r="Y330" s="1180"/>
      <c r="Z330" s="1192"/>
      <c r="AA330" s="1180"/>
      <c r="AB330" s="1183"/>
      <c r="AC330" s="1180"/>
      <c r="AE330" s="1210"/>
      <c r="AF330" s="1189"/>
      <c r="AG330" s="388"/>
      <c r="AH330" s="389"/>
      <c r="AI330" s="1192"/>
      <c r="AJ330" s="1180"/>
      <c r="AK330" s="1192"/>
      <c r="AL330" s="1180"/>
      <c r="AM330" s="1192"/>
      <c r="AN330" s="1180"/>
      <c r="AO330" s="1192"/>
      <c r="AP330" s="1180"/>
      <c r="AQ330" s="1183"/>
      <c r="AR330" s="1180"/>
    </row>
    <row r="331" spans="1:44" ht="16" thickBot="1">
      <c r="B331" s="574"/>
      <c r="C331" s="578"/>
      <c r="D331" s="578"/>
      <c r="E331" s="578"/>
      <c r="F331" s="578"/>
      <c r="G331" s="578"/>
      <c r="H331" s="578"/>
      <c r="I331" s="578"/>
      <c r="J331" s="578"/>
      <c r="K331" s="579"/>
      <c r="L331" s="580"/>
      <c r="M331" s="370"/>
      <c r="N331" s="370"/>
      <c r="O331" s="71"/>
      <c r="P331" s="1210"/>
      <c r="Q331" s="1190"/>
      <c r="R331" s="393"/>
      <c r="S331" s="394"/>
      <c r="T331" s="1193"/>
      <c r="U331" s="1181"/>
      <c r="V331" s="1193"/>
      <c r="W331" s="1181"/>
      <c r="X331" s="1193"/>
      <c r="Y331" s="1181"/>
      <c r="Z331" s="1193"/>
      <c r="AA331" s="1181"/>
      <c r="AB331" s="1184"/>
      <c r="AC331" s="1181"/>
      <c r="AE331" s="1210"/>
      <c r="AF331" s="1190"/>
      <c r="AG331" s="393"/>
      <c r="AH331" s="394"/>
      <c r="AI331" s="1193"/>
      <c r="AJ331" s="1181"/>
      <c r="AK331" s="1193"/>
      <c r="AL331" s="1181"/>
      <c r="AM331" s="1193"/>
      <c r="AN331" s="1181"/>
      <c r="AO331" s="1193"/>
      <c r="AP331" s="1181"/>
      <c r="AQ331" s="1184"/>
      <c r="AR331" s="1181"/>
    </row>
    <row r="332" spans="1:44" ht="14.5" customHeight="1">
      <c r="B332" s="574"/>
      <c r="C332" s="581"/>
      <c r="D332" s="581"/>
      <c r="E332" s="581"/>
      <c r="F332" s="581"/>
      <c r="G332" s="581"/>
      <c r="H332" s="581"/>
      <c r="I332" s="581"/>
      <c r="J332" s="581"/>
      <c r="K332" s="579"/>
      <c r="L332" s="580"/>
      <c r="M332" s="370"/>
      <c r="N332" s="370"/>
      <c r="O332" s="71"/>
      <c r="P332" s="1210"/>
      <c r="Q332" s="1212"/>
      <c r="R332" s="395"/>
      <c r="S332" s="396"/>
      <c r="T332" s="1191"/>
      <c r="U332" s="1191"/>
      <c r="V332" s="1191"/>
      <c r="W332" s="1191"/>
      <c r="X332" s="1191"/>
      <c r="Y332" s="1191"/>
      <c r="Z332" s="1191"/>
      <c r="AA332" s="1191"/>
      <c r="AB332" s="1191"/>
      <c r="AC332" s="1191"/>
      <c r="AE332" s="1210"/>
      <c r="AF332" s="1212"/>
      <c r="AG332" s="395"/>
      <c r="AH332" s="396"/>
      <c r="AI332" s="1191"/>
      <c r="AJ332" s="1191"/>
      <c r="AK332" s="1191"/>
      <c r="AL332" s="1191"/>
      <c r="AM332" s="1191"/>
      <c r="AN332" s="1191"/>
      <c r="AO332" s="1191"/>
      <c r="AP332" s="1191"/>
      <c r="AQ332" s="1191"/>
      <c r="AR332" s="1191"/>
    </row>
    <row r="333" spans="1:44">
      <c r="B333" s="574"/>
      <c r="C333" s="582"/>
      <c r="D333" s="582"/>
      <c r="E333" s="582"/>
      <c r="F333" s="582"/>
      <c r="G333" s="582"/>
      <c r="H333" s="582"/>
      <c r="I333" s="582"/>
      <c r="J333" s="582"/>
      <c r="K333" s="579"/>
      <c r="L333" s="580"/>
      <c r="M333" s="367"/>
      <c r="N333" s="367"/>
      <c r="O333" s="71"/>
      <c r="P333" s="1210"/>
      <c r="Q333" s="1213"/>
      <c r="R333" s="395"/>
      <c r="S333" s="396"/>
      <c r="T333" s="1208"/>
      <c r="U333" s="1208"/>
      <c r="V333" s="1208"/>
      <c r="W333" s="1208"/>
      <c r="X333" s="1208"/>
      <c r="Y333" s="1208"/>
      <c r="Z333" s="1208"/>
      <c r="AA333" s="1208"/>
      <c r="AB333" s="1192"/>
      <c r="AC333" s="1208"/>
      <c r="AE333" s="1210"/>
      <c r="AF333" s="1213"/>
      <c r="AG333" s="395"/>
      <c r="AH333" s="396"/>
      <c r="AI333" s="1208"/>
      <c r="AJ333" s="1208"/>
      <c r="AK333" s="1208"/>
      <c r="AL333" s="1208"/>
      <c r="AM333" s="1208"/>
      <c r="AN333" s="1208"/>
      <c r="AO333" s="1208"/>
      <c r="AP333" s="1208"/>
      <c r="AQ333" s="1192"/>
      <c r="AR333" s="1208"/>
    </row>
    <row r="334" spans="1:44">
      <c r="B334" s="383"/>
      <c r="C334" s="397"/>
      <c r="D334" s="397"/>
      <c r="E334" s="397"/>
      <c r="F334" s="397"/>
      <c r="G334" s="398"/>
      <c r="H334" s="398"/>
      <c r="I334" s="398"/>
      <c r="J334" s="398"/>
      <c r="K334" s="372"/>
      <c r="L334" s="373"/>
      <c r="M334" s="363"/>
      <c r="N334" s="363"/>
      <c r="P334" s="1210"/>
      <c r="Q334" s="1213"/>
      <c r="R334" s="395"/>
      <c r="S334" s="396"/>
      <c r="T334" s="1208"/>
      <c r="U334" s="1208"/>
      <c r="V334" s="1208"/>
      <c r="W334" s="1208"/>
      <c r="X334" s="1208"/>
      <c r="Y334" s="1208"/>
      <c r="Z334" s="1208"/>
      <c r="AA334" s="1208"/>
      <c r="AB334" s="1192"/>
      <c r="AC334" s="1208"/>
      <c r="AE334" s="1210"/>
      <c r="AF334" s="1213"/>
      <c r="AG334" s="395"/>
      <c r="AH334" s="396"/>
      <c r="AI334" s="1208"/>
      <c r="AJ334" s="1208"/>
      <c r="AK334" s="1208"/>
      <c r="AL334" s="1208"/>
      <c r="AM334" s="1208"/>
      <c r="AN334" s="1208"/>
      <c r="AO334" s="1208"/>
      <c r="AP334" s="1208"/>
      <c r="AQ334" s="1192"/>
      <c r="AR334" s="1208"/>
    </row>
    <row r="335" spans="1:44" ht="16" thickBot="1">
      <c r="B335" s="574"/>
      <c r="C335" s="582"/>
      <c r="D335" s="582"/>
      <c r="E335" s="582"/>
      <c r="F335" s="582"/>
      <c r="G335" s="582"/>
      <c r="H335" s="582"/>
      <c r="I335" s="582"/>
      <c r="J335" s="582"/>
      <c r="K335" s="372"/>
      <c r="L335" s="373"/>
      <c r="M335" s="363"/>
      <c r="N335" s="363"/>
      <c r="P335" s="1210"/>
      <c r="Q335" s="1213"/>
      <c r="R335" s="395"/>
      <c r="S335" s="396"/>
      <c r="T335" s="1208"/>
      <c r="U335" s="1208"/>
      <c r="V335" s="1208"/>
      <c r="W335" s="1208"/>
      <c r="X335" s="1208"/>
      <c r="Y335" s="1208"/>
      <c r="Z335" s="1208"/>
      <c r="AA335" s="1208"/>
      <c r="AB335" s="1192"/>
      <c r="AC335" s="1208"/>
      <c r="AE335" s="1210"/>
      <c r="AF335" s="1213"/>
      <c r="AG335" s="395"/>
      <c r="AH335" s="396"/>
      <c r="AI335" s="1208"/>
      <c r="AJ335" s="1208"/>
      <c r="AK335" s="1208"/>
      <c r="AL335" s="1208"/>
      <c r="AM335" s="1208"/>
      <c r="AN335" s="1208"/>
      <c r="AO335" s="1208"/>
      <c r="AP335" s="1208"/>
      <c r="AQ335" s="1192"/>
      <c r="AR335" s="1208"/>
    </row>
    <row r="336" spans="1:44" ht="16" thickBot="1">
      <c r="B336" s="401"/>
      <c r="C336" s="583"/>
      <c r="D336" s="584"/>
      <c r="E336" s="585"/>
      <c r="F336" s="586"/>
      <c r="G336" s="406"/>
      <c r="H336" s="406"/>
      <c r="I336" s="406"/>
      <c r="J336" s="406"/>
      <c r="K336" s="407"/>
      <c r="L336" s="587"/>
      <c r="M336" s="363"/>
      <c r="N336" s="363"/>
      <c r="P336" s="1210"/>
      <c r="Q336" s="1214"/>
      <c r="R336" s="409"/>
      <c r="S336" s="410"/>
      <c r="T336" s="1209"/>
      <c r="U336" s="1209"/>
      <c r="V336" s="1209"/>
      <c r="W336" s="1209"/>
      <c r="X336" s="1209"/>
      <c r="Y336" s="1209"/>
      <c r="Z336" s="1209"/>
      <c r="AA336" s="1209"/>
      <c r="AB336" s="1193"/>
      <c r="AC336" s="1209"/>
      <c r="AE336" s="1210"/>
      <c r="AF336" s="1214"/>
      <c r="AG336" s="409"/>
      <c r="AH336" s="410"/>
      <c r="AI336" s="1209"/>
      <c r="AJ336" s="1209"/>
      <c r="AK336" s="1209"/>
      <c r="AL336" s="1209"/>
      <c r="AM336" s="1209"/>
      <c r="AN336" s="1209"/>
      <c r="AO336" s="1209"/>
      <c r="AP336" s="1209"/>
      <c r="AQ336" s="1193"/>
      <c r="AR336" s="1209"/>
    </row>
    <row r="337" spans="1:44" ht="16" thickBot="1">
      <c r="B337" s="574"/>
      <c r="C337" s="588"/>
      <c r="D337" s="588"/>
      <c r="E337" s="588"/>
      <c r="F337" s="588"/>
      <c r="G337" s="589"/>
      <c r="H337" s="589"/>
      <c r="I337" s="590"/>
      <c r="J337" s="590"/>
      <c r="K337" s="579"/>
      <c r="L337" s="580"/>
      <c r="M337" s="363"/>
      <c r="N337" s="363"/>
      <c r="P337" s="1211"/>
      <c r="Q337" s="411"/>
      <c r="R337" s="412"/>
      <c r="S337" s="413"/>
      <c r="T337" s="591"/>
      <c r="U337" s="592"/>
      <c r="V337" s="593"/>
      <c r="W337" s="592"/>
      <c r="X337" s="593"/>
      <c r="Y337" s="592"/>
      <c r="Z337" s="593"/>
      <c r="AA337" s="592"/>
      <c r="AB337" s="593"/>
      <c r="AC337" s="594"/>
      <c r="AE337" s="1211"/>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6" thickBot="1">
      <c r="B345" s="429"/>
      <c r="C345" s="397"/>
      <c r="D345" s="397"/>
      <c r="E345" s="397"/>
      <c r="F345" s="397"/>
      <c r="G345" s="425"/>
      <c r="H345" s="425"/>
      <c r="I345" s="425"/>
      <c r="J345" s="425"/>
      <c r="K345" s="423"/>
      <c r="L345" s="427"/>
      <c r="M345" s="428"/>
      <c r="N345" s="428"/>
    </row>
    <row r="346" spans="1:44" ht="16"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694"/>
      <c r="N351" s="693"/>
      <c r="P351" s="1157"/>
      <c r="Q351" s="1135"/>
      <c r="R351" s="1135"/>
      <c r="S351" s="1135"/>
      <c r="T351" s="1135"/>
      <c r="U351" s="1158"/>
    </row>
    <row r="352" spans="1:44" ht="16" thickBot="1">
      <c r="B352" s="541"/>
      <c r="C352" s="552"/>
      <c r="D352" s="552"/>
      <c r="E352" s="552"/>
      <c r="F352" s="552"/>
      <c r="G352" s="553"/>
      <c r="H352" s="553"/>
      <c r="I352" s="553"/>
      <c r="J352" s="553"/>
      <c r="K352" s="547"/>
      <c r="L352" s="548"/>
      <c r="M352" s="694"/>
      <c r="N352" s="693"/>
      <c r="P352" s="1159"/>
      <c r="Q352" s="1160"/>
      <c r="R352" s="1160"/>
      <c r="S352" s="1160"/>
      <c r="T352" s="1160"/>
      <c r="U352" s="1161"/>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6"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6"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6"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B5:B6"/>
    <mergeCell ref="C5:M5"/>
    <mergeCell ref="P5:U5"/>
    <mergeCell ref="C6:M6"/>
    <mergeCell ref="C7:L7"/>
    <mergeCell ref="S7:S10"/>
    <mergeCell ref="T7:U9"/>
    <mergeCell ref="I8:J8"/>
    <mergeCell ref="K8:K9"/>
    <mergeCell ref="L8:L9"/>
    <mergeCell ref="AQ7:AR9"/>
    <mergeCell ref="B8:B9"/>
    <mergeCell ref="C8:C9"/>
    <mergeCell ref="D8:D9"/>
    <mergeCell ref="E8:E9"/>
    <mergeCell ref="F8:F9"/>
    <mergeCell ref="G8:H8"/>
    <mergeCell ref="V7:W9"/>
    <mergeCell ref="X7:Y9"/>
    <mergeCell ref="Z7:AA9"/>
    <mergeCell ref="AB7:AC9"/>
    <mergeCell ref="AH7:AH10"/>
    <mergeCell ref="AI7:AJ9"/>
    <mergeCell ref="P8:P10"/>
    <mergeCell ref="AE8:AE10"/>
    <mergeCell ref="Q9:Q10"/>
    <mergeCell ref="R9:R10"/>
    <mergeCell ref="AF9:AF10"/>
    <mergeCell ref="AG9:AG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68:AA170"/>
    <mergeCell ref="P169:P171"/>
    <mergeCell ref="Q170:Q171"/>
    <mergeCell ref="R170:R171"/>
    <mergeCell ref="P112:U112"/>
    <mergeCell ref="P113:U113"/>
    <mergeCell ref="B166:B167"/>
    <mergeCell ref="C166:M166"/>
    <mergeCell ref="P166:U166"/>
    <mergeCell ref="C167:M167"/>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P172:P180"/>
    <mergeCell ref="Q172:Q174"/>
    <mergeCell ref="T172:T174"/>
    <mergeCell ref="U172:U174"/>
    <mergeCell ref="V172:V174"/>
    <mergeCell ref="W172:W174"/>
    <mergeCell ref="Q175:Q179"/>
    <mergeCell ref="T175:T179"/>
    <mergeCell ref="U175:U179"/>
    <mergeCell ref="V175:V179"/>
    <mergeCell ref="W175:W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Z247:AA249"/>
    <mergeCell ref="P248:P250"/>
    <mergeCell ref="Q249:Q250"/>
    <mergeCell ref="R249:R250"/>
    <mergeCell ref="P194:U194"/>
    <mergeCell ref="P195:U195"/>
    <mergeCell ref="B245:B246"/>
    <mergeCell ref="C245:M245"/>
    <mergeCell ref="P245:U245"/>
    <mergeCell ref="C246:M246"/>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P251:P259"/>
    <mergeCell ref="Q251:Q253"/>
    <mergeCell ref="T251:T253"/>
    <mergeCell ref="U251:U253"/>
    <mergeCell ref="V251:V253"/>
    <mergeCell ref="W251:W253"/>
    <mergeCell ref="Q254:Q258"/>
    <mergeCell ref="T254:T258"/>
    <mergeCell ref="U254:U258"/>
    <mergeCell ref="V254:V258"/>
    <mergeCell ref="W254:W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P273:U273"/>
    <mergeCell ref="P274:U274"/>
    <mergeCell ref="C325:L325"/>
    <mergeCell ref="S325:S328"/>
    <mergeCell ref="T325:U327"/>
    <mergeCell ref="V325:W327"/>
    <mergeCell ref="K326:K327"/>
    <mergeCell ref="L326:L327"/>
    <mergeCell ref="P326:P328"/>
    <mergeCell ref="Q327:Q328"/>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R345"/>
  <sheetViews>
    <sheetView topLeftCell="G1" zoomScale="70" zoomScaleNormal="70" workbookViewId="0">
      <selection activeCell="AB26" sqref="AB26"/>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Heat pump, up to 80 °C, Temp lift = 60 K</v>
      </c>
    </row>
    <row r="4" spans="1:44" ht="25" customHeight="1">
      <c r="E4" s="224" t="s">
        <v>358</v>
      </c>
      <c r="F4" s="359">
        <v>7.45</v>
      </c>
      <c r="G4" s="359" t="s">
        <v>328</v>
      </c>
      <c r="R4" s="224">
        <f>MATCH(W4,P7:AC7)</f>
        <v>9</v>
      </c>
      <c r="W4" s="224" t="s">
        <v>717</v>
      </c>
      <c r="X4" s="224" cm="1">
        <f t="array" ref="X4">INDEX(X6:Y19,MATCH(W4,X6:X19)-1,2)</f>
        <v>10</v>
      </c>
    </row>
    <row r="5" spans="1:44" ht="15" customHeight="1">
      <c r="A5" s="360" t="s">
        <v>866</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865</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3</v>
      </c>
      <c r="D10" s="372">
        <v>3</v>
      </c>
      <c r="E10" s="372">
        <v>3</v>
      </c>
      <c r="F10" s="372">
        <v>3</v>
      </c>
      <c r="G10" s="372">
        <v>0.5</v>
      </c>
      <c r="H10" s="372">
        <v>5</v>
      </c>
      <c r="I10" s="372">
        <v>0.5</v>
      </c>
      <c r="J10" s="372">
        <v>5</v>
      </c>
      <c r="K10" s="372" t="s">
        <v>6</v>
      </c>
      <c r="L10" s="373" t="s">
        <v>837</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388</v>
      </c>
      <c r="D11" s="639">
        <v>399.64</v>
      </c>
      <c r="E11" s="640">
        <v>407.63279999999997</v>
      </c>
      <c r="F11" s="639">
        <v>411.70912799999996</v>
      </c>
      <c r="G11" s="377">
        <f>C11</f>
        <v>388</v>
      </c>
      <c r="H11" s="639">
        <f>C11*1.05</f>
        <v>407.40000000000003</v>
      </c>
      <c r="I11" s="639">
        <f>F11*0.97</f>
        <v>399.35785415999993</v>
      </c>
      <c r="J11" s="639">
        <f>F11*1.02</f>
        <v>419.94331055999999</v>
      </c>
      <c r="K11" s="379" t="s">
        <v>59</v>
      </c>
      <c r="L11" s="380" t="s">
        <v>837</v>
      </c>
      <c r="M11" s="370"/>
      <c r="N11" s="370"/>
      <c r="P11" s="1200" t="str">
        <f>C7</f>
        <v>Heat pump, up to 80 °C, Temp lift = 60 K</v>
      </c>
      <c r="Q11" s="1188" t="s">
        <v>730</v>
      </c>
      <c r="R11" s="381" t="s">
        <v>731</v>
      </c>
      <c r="S11" s="382"/>
      <c r="T11" s="1191">
        <v>0</v>
      </c>
      <c r="U11" s="1179">
        <v>0</v>
      </c>
      <c r="V11" s="1182">
        <v>0</v>
      </c>
      <c r="W11" s="1179">
        <v>0</v>
      </c>
      <c r="X11" s="1182">
        <v>0</v>
      </c>
      <c r="Y11" s="1179">
        <v>0</v>
      </c>
      <c r="Z11" s="1182">
        <v>0</v>
      </c>
      <c r="AA11" s="1179">
        <v>0</v>
      </c>
      <c r="AB11" s="1182">
        <v>0</v>
      </c>
      <c r="AC11" s="1179">
        <v>0</v>
      </c>
      <c r="AE11" s="1185" t="str">
        <f>P11</f>
        <v>Heat pump, up to 80 °C, Temp lift = 60 K</v>
      </c>
      <c r="AF11" s="1188" t="s">
        <v>730</v>
      </c>
      <c r="AG11" s="381" t="s">
        <v>731</v>
      </c>
      <c r="AH11" s="382"/>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577">
        <f>C11-5</f>
        <v>383</v>
      </c>
      <c r="D12" s="577">
        <f t="shared" ref="D12:J12" si="0">D11-5</f>
        <v>394.64</v>
      </c>
      <c r="E12" s="577">
        <f t="shared" si="0"/>
        <v>402.63279999999997</v>
      </c>
      <c r="F12" s="577">
        <f t="shared" si="0"/>
        <v>406.70912799999996</v>
      </c>
      <c r="G12" s="641">
        <f t="shared" si="0"/>
        <v>383</v>
      </c>
      <c r="H12" s="641">
        <f t="shared" si="0"/>
        <v>402.40000000000003</v>
      </c>
      <c r="I12" s="641">
        <f t="shared" si="0"/>
        <v>394.35785415999993</v>
      </c>
      <c r="J12" s="641">
        <f t="shared" si="0"/>
        <v>414.94331055999999</v>
      </c>
      <c r="K12" s="386" t="s">
        <v>838</v>
      </c>
      <c r="L12" s="387"/>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2</v>
      </c>
      <c r="D13" s="391">
        <v>2</v>
      </c>
      <c r="E13" s="391">
        <v>2</v>
      </c>
      <c r="F13" s="392">
        <v>2</v>
      </c>
      <c r="G13" s="391">
        <v>1</v>
      </c>
      <c r="H13" s="391">
        <v>4</v>
      </c>
      <c r="I13" s="391">
        <v>1</v>
      </c>
      <c r="J13" s="391">
        <v>4</v>
      </c>
      <c r="K13" s="379"/>
      <c r="L13" s="380">
        <v>1.4</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1</v>
      </c>
      <c r="I14" s="390">
        <v>0</v>
      </c>
      <c r="J14" s="390">
        <v>1</v>
      </c>
      <c r="K14" s="379" t="s">
        <v>20</v>
      </c>
      <c r="L14" s="380"/>
      <c r="M14" s="370"/>
      <c r="N14" s="370"/>
      <c r="O14" s="71"/>
      <c r="P14" s="1186"/>
      <c r="Q14" s="1188" t="s">
        <v>736</v>
      </c>
      <c r="R14" s="395" t="s">
        <v>737</v>
      </c>
      <c r="S14" s="396" t="s">
        <v>738</v>
      </c>
      <c r="T14" s="1191">
        <v>0</v>
      </c>
      <c r="U14" s="1191">
        <f>21%</f>
        <v>0.21</v>
      </c>
      <c r="V14" s="1191">
        <v>0</v>
      </c>
      <c r="W14" s="1191">
        <f>22%</f>
        <v>0.22</v>
      </c>
      <c r="X14" s="1191">
        <v>0</v>
      </c>
      <c r="Y14" s="1191">
        <f>15%</f>
        <v>0.15</v>
      </c>
      <c r="Z14" s="1191">
        <v>0</v>
      </c>
      <c r="AA14" s="1191">
        <f>14%</f>
        <v>0.14000000000000001</v>
      </c>
      <c r="AB14" s="1191">
        <v>0</v>
      </c>
      <c r="AC14" s="1179">
        <f>14%</f>
        <v>0.14000000000000001</v>
      </c>
      <c r="AE14" s="1186"/>
      <c r="AF14" s="1188" t="s">
        <v>736</v>
      </c>
      <c r="AG14" s="395" t="s">
        <v>737</v>
      </c>
      <c r="AH14" s="396" t="s">
        <v>738</v>
      </c>
      <c r="AI14" s="1191">
        <v>0</v>
      </c>
      <c r="AJ14" s="1191">
        <f>U14/4</f>
        <v>5.2499999999999998E-2</v>
      </c>
      <c r="AK14" s="1191">
        <v>0</v>
      </c>
      <c r="AL14" s="1191">
        <f>W14/4</f>
        <v>5.5E-2</v>
      </c>
      <c r="AM14" s="1191">
        <v>0</v>
      </c>
      <c r="AN14" s="1191">
        <f>Y14/4</f>
        <v>3.7499999999999999E-2</v>
      </c>
      <c r="AO14" s="1191">
        <v>0</v>
      </c>
      <c r="AP14" s="1191">
        <f>AA14/4</f>
        <v>3.5000000000000003E-2</v>
      </c>
      <c r="AQ14" s="1191">
        <v>0</v>
      </c>
      <c r="AR14" s="1179">
        <f>AC14/4</f>
        <v>3.5000000000000003E-2</v>
      </c>
    </row>
    <row r="15" spans="1:44" outlineLevel="1">
      <c r="B15" s="376" t="s">
        <v>658</v>
      </c>
      <c r="C15" s="390">
        <v>1</v>
      </c>
      <c r="D15" s="390">
        <v>1</v>
      </c>
      <c r="E15" s="390">
        <v>1</v>
      </c>
      <c r="F15" s="390">
        <v>1</v>
      </c>
      <c r="G15" s="390">
        <v>0.5</v>
      </c>
      <c r="H15" s="390">
        <v>2</v>
      </c>
      <c r="I15" s="390">
        <v>0.5</v>
      </c>
      <c r="J15" s="390">
        <v>2</v>
      </c>
      <c r="K15" s="379"/>
      <c r="L15" s="380">
        <v>1.4</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20</v>
      </c>
      <c r="D16" s="397">
        <v>20</v>
      </c>
      <c r="E16" s="397">
        <v>20</v>
      </c>
      <c r="F16" s="397">
        <v>20</v>
      </c>
      <c r="G16" s="398">
        <v>15</v>
      </c>
      <c r="H16" s="398">
        <v>30</v>
      </c>
      <c r="I16" s="398">
        <v>15</v>
      </c>
      <c r="J16" s="398">
        <v>30</v>
      </c>
      <c r="K16" s="372"/>
      <c r="L16" s="373">
        <v>4</v>
      </c>
      <c r="M16" s="363"/>
      <c r="N16" s="363"/>
      <c r="P16" s="1186"/>
      <c r="Q16" s="1189"/>
      <c r="R16" s="395" t="s">
        <v>741</v>
      </c>
      <c r="S16" s="396"/>
      <c r="T16" s="1194"/>
      <c r="U16" s="1194"/>
      <c r="V16" s="1194"/>
      <c r="W16" s="1194"/>
      <c r="X16" s="1194"/>
      <c r="Y16" s="1194"/>
      <c r="Z16" s="1194"/>
      <c r="AA16" s="1194"/>
      <c r="AB16" s="1194"/>
      <c r="AC16" s="1196"/>
      <c r="AE16" s="1186"/>
      <c r="AF16" s="1189"/>
      <c r="AG16" s="395" t="s">
        <v>741</v>
      </c>
      <c r="AH16" s="629"/>
      <c r="AI16" s="1194"/>
      <c r="AJ16" s="1194"/>
      <c r="AK16" s="1194"/>
      <c r="AL16" s="1194"/>
      <c r="AM16" s="1194"/>
      <c r="AN16" s="1194"/>
      <c r="AO16" s="1194"/>
      <c r="AP16" s="1194"/>
      <c r="AQ16" s="1194"/>
      <c r="AR16" s="1196"/>
    </row>
    <row r="17" spans="1:44" ht="16" outlineLevel="1" thickBot="1">
      <c r="B17" s="376" t="s">
        <v>273</v>
      </c>
      <c r="C17" s="399">
        <v>0.5</v>
      </c>
      <c r="D17" s="399">
        <v>0.5</v>
      </c>
      <c r="E17" s="399">
        <v>0.5</v>
      </c>
      <c r="F17" s="399">
        <v>0.5</v>
      </c>
      <c r="G17" s="399">
        <v>0.3</v>
      </c>
      <c r="H17" s="399">
        <v>0.7</v>
      </c>
      <c r="I17" s="399">
        <v>0.3</v>
      </c>
      <c r="J17" s="399">
        <v>0.7</v>
      </c>
      <c r="K17" s="372"/>
      <c r="L17" s="400">
        <v>4</v>
      </c>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
        <v>738</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
        <v>738</v>
      </c>
      <c r="AI18" s="1195"/>
      <c r="AJ18" s="1195"/>
      <c r="AK18" s="1195"/>
      <c r="AL18" s="1195"/>
      <c r="AM18" s="1195"/>
      <c r="AN18" s="1195"/>
      <c r="AO18" s="1195"/>
      <c r="AP18" s="1195"/>
      <c r="AQ18" s="1195"/>
      <c r="AR18" s="1197"/>
    </row>
    <row r="19" spans="1:44" ht="33" outlineLevel="1" thickBot="1">
      <c r="B19" s="376" t="s">
        <v>663</v>
      </c>
      <c r="C19" s="390">
        <v>10</v>
      </c>
      <c r="D19" s="390">
        <v>10</v>
      </c>
      <c r="E19" s="390">
        <v>10</v>
      </c>
      <c r="F19" s="390">
        <v>10</v>
      </c>
      <c r="G19" s="391"/>
      <c r="H19" s="391"/>
      <c r="I19" s="391"/>
      <c r="J19" s="391"/>
      <c r="K19" s="379"/>
      <c r="L19" s="380">
        <v>4</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1254" t="s">
        <v>746</v>
      </c>
      <c r="AH19" s="1255"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4</v>
      </c>
      <c r="M20" s="363"/>
      <c r="N20" s="363"/>
    </row>
    <row r="21" spans="1:44" outlineLevel="1">
      <c r="B21" s="376" t="s">
        <v>666</v>
      </c>
      <c r="C21" s="390">
        <v>1</v>
      </c>
      <c r="D21" s="390">
        <v>1</v>
      </c>
      <c r="E21" s="390">
        <v>1</v>
      </c>
      <c r="F21" s="390">
        <v>1</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c r="AF28" s="691"/>
    </row>
    <row r="29" spans="1:44" ht="52" customHeight="1" outlineLevel="1">
      <c r="A29" s="435"/>
      <c r="B29" s="436" t="s">
        <v>751</v>
      </c>
      <c r="C29" s="511">
        <v>0.73</v>
      </c>
      <c r="D29" s="512">
        <v>0.65</v>
      </c>
      <c r="E29" s="512">
        <v>0.6</v>
      </c>
      <c r="F29" s="513">
        <v>0.57999999999999996</v>
      </c>
      <c r="G29" s="425"/>
      <c r="H29" s="425"/>
      <c r="I29" s="425"/>
      <c r="J29" s="425"/>
      <c r="K29" s="426"/>
      <c r="L29" s="440">
        <v>1</v>
      </c>
      <c r="M29" s="420"/>
      <c r="N29" s="420"/>
    </row>
    <row r="30" spans="1:44" outlineLevel="1">
      <c r="B30" s="441" t="s">
        <v>839</v>
      </c>
      <c r="C30" s="442">
        <v>60</v>
      </c>
      <c r="D30" s="442">
        <v>60</v>
      </c>
      <c r="E30" s="442">
        <v>60</v>
      </c>
      <c r="F30" s="442">
        <v>60</v>
      </c>
      <c r="G30" s="425"/>
      <c r="H30" s="425"/>
      <c r="I30" s="425"/>
      <c r="J30" s="425"/>
      <c r="K30" s="444" t="s">
        <v>76</v>
      </c>
      <c r="L30" s="373">
        <v>6</v>
      </c>
      <c r="M30" s="71"/>
      <c r="N30" s="420"/>
    </row>
    <row r="31" spans="1:44" outlineLevel="1">
      <c r="B31" s="441" t="s">
        <v>840</v>
      </c>
      <c r="C31" s="442">
        <v>40</v>
      </c>
      <c r="D31" s="442">
        <v>40</v>
      </c>
      <c r="E31" s="442">
        <v>40</v>
      </c>
      <c r="F31" s="442">
        <v>40</v>
      </c>
      <c r="G31" s="425"/>
      <c r="H31" s="425"/>
      <c r="I31" s="425"/>
      <c r="J31" s="425"/>
      <c r="K31" s="444" t="s">
        <v>25</v>
      </c>
      <c r="L31" s="373">
        <v>6</v>
      </c>
      <c r="M31" s="420"/>
      <c r="N31" s="420"/>
    </row>
    <row r="32" spans="1:44" outlineLevel="1">
      <c r="B32" s="383" t="s">
        <v>841</v>
      </c>
      <c r="C32" s="445">
        <v>2000</v>
      </c>
      <c r="D32" s="446">
        <v>2000</v>
      </c>
      <c r="E32" s="446">
        <v>2000</v>
      </c>
      <c r="F32" s="447">
        <v>2000</v>
      </c>
      <c r="G32" s="425"/>
      <c r="H32" s="425"/>
      <c r="I32" s="425"/>
      <c r="J32" s="425"/>
      <c r="K32" s="448"/>
      <c r="L32" s="373">
        <v>4.5</v>
      </c>
      <c r="M32" s="420"/>
      <c r="N32" s="420"/>
    </row>
    <row r="33" spans="2:30" ht="37" customHeight="1" outlineLevel="1" thickBot="1">
      <c r="B33" s="383" t="s">
        <v>679</v>
      </c>
      <c r="C33" s="449">
        <f>SUM(C34:C35)</f>
        <v>3.26</v>
      </c>
      <c r="D33" s="449">
        <f>SUM(D34:D35)</f>
        <v>3.2</v>
      </c>
      <c r="E33" s="449">
        <f>(D33+F33)/2</f>
        <v>3.16</v>
      </c>
      <c r="F33" s="449">
        <f>SUM(F34:F35)</f>
        <v>3.12</v>
      </c>
      <c r="G33" s="425"/>
      <c r="H33" s="425"/>
      <c r="I33" s="425"/>
      <c r="J33" s="425"/>
      <c r="K33" s="448"/>
      <c r="L33" s="373">
        <v>4</v>
      </c>
      <c r="M33" s="450"/>
      <c r="N33" s="361"/>
      <c r="P33" s="1157">
        <f>C33</f>
        <v>3.26</v>
      </c>
      <c r="Q33" s="1135"/>
      <c r="R33" s="1135"/>
      <c r="S33" s="1135"/>
      <c r="T33" s="1135"/>
      <c r="U33" s="1158"/>
    </row>
    <row r="34" spans="2:30" ht="15.75" customHeight="1" outlineLevel="1" thickBot="1">
      <c r="B34" s="451" t="s">
        <v>758</v>
      </c>
      <c r="C34" s="452">
        <f>C13/100*73</f>
        <v>1.46</v>
      </c>
      <c r="D34" s="452">
        <f>D13/100*75</f>
        <v>1.5</v>
      </c>
      <c r="E34" s="452">
        <f>E13/100*76</f>
        <v>1.52</v>
      </c>
      <c r="F34" s="452">
        <f>F13/100*76</f>
        <v>1.52</v>
      </c>
      <c r="G34" s="453"/>
      <c r="H34" s="453"/>
      <c r="I34" s="453"/>
      <c r="J34" s="453"/>
      <c r="K34" s="379" t="s">
        <v>33</v>
      </c>
      <c r="L34" s="380">
        <v>4</v>
      </c>
      <c r="M34" s="450"/>
      <c r="N34" s="361"/>
      <c r="P34" s="1159">
        <f>C34</f>
        <v>1.46</v>
      </c>
      <c r="Q34" s="1160"/>
      <c r="R34" s="1160"/>
      <c r="S34" s="1160"/>
      <c r="T34" s="1160"/>
      <c r="U34" s="1161"/>
    </row>
    <row r="35" spans="2:30" outlineLevel="1">
      <c r="B35" s="451" t="s">
        <v>759</v>
      </c>
      <c r="C35" s="454">
        <v>1.8</v>
      </c>
      <c r="D35" s="454">
        <v>1.7</v>
      </c>
      <c r="E35" s="454">
        <f>(D35+F35)/2</f>
        <v>1.65</v>
      </c>
      <c r="F35" s="454">
        <v>1.6</v>
      </c>
      <c r="G35" s="453"/>
      <c r="H35" s="453"/>
      <c r="I35" s="453"/>
      <c r="J35" s="453"/>
      <c r="K35" s="455"/>
      <c r="L35" s="380">
        <v>4</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0.14599999999999999</v>
      </c>
      <c r="D39" s="633">
        <f>D29*0.2</f>
        <v>0.13</v>
      </c>
      <c r="E39" s="633">
        <f>E29*0.2</f>
        <v>0.12</v>
      </c>
      <c r="F39" s="633">
        <f>F29*0.2</f>
        <v>0.11599999999999999</v>
      </c>
      <c r="G39" s="643"/>
      <c r="H39" s="643"/>
      <c r="I39" s="643"/>
      <c r="J39" s="643"/>
      <c r="K39" s="643" t="s">
        <v>51</v>
      </c>
      <c r="L39" s="464"/>
      <c r="M39" s="363"/>
      <c r="N39" s="363"/>
      <c r="O39" s="465">
        <f>($C$12*$Y$14+O111*Y$86+O183*$Y$158)/(SUM($Y$14,$Y$86,$Y$158))</f>
        <v>447.54761904761898</v>
      </c>
      <c r="P39" s="466">
        <f>C8</f>
        <v>2020</v>
      </c>
      <c r="Q39" s="58">
        <f>P39</f>
        <v>2020</v>
      </c>
      <c r="R39" s="466">
        <f>O39/100</f>
        <v>4.4754761904761899</v>
      </c>
      <c r="S39" s="58"/>
      <c r="T39" s="466">
        <f>C16</f>
        <v>20</v>
      </c>
      <c r="U39" s="467">
        <f>C46</f>
        <v>5438.5</v>
      </c>
      <c r="V39" s="467">
        <f>C48</f>
        <v>14.9</v>
      </c>
      <c r="W39" s="690">
        <f>C49</f>
        <v>6.7463888888888883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($D$12*$U$14+O112*U$86+O184*$U$158)/(SUM($U$14,$U$86,$U$158))</f>
        <v>457.92982142857136</v>
      </c>
      <c r="P40" s="466">
        <f>D8</f>
        <v>2030</v>
      </c>
      <c r="Q40" s="58"/>
      <c r="R40" s="466">
        <f>O40/100</f>
        <v>4.5792982142857133</v>
      </c>
      <c r="S40" s="58"/>
      <c r="T40" s="466">
        <f>D16</f>
        <v>20</v>
      </c>
      <c r="U40" s="467">
        <f>D46</f>
        <v>4842.5</v>
      </c>
      <c r="V40" s="467">
        <f>D48</f>
        <v>14.9</v>
      </c>
      <c r="W40" s="690">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($E$12*$U$14+O113*U$86+O185*$U$158)/(SUM($U$14,$U$86,$U$158))</f>
        <v>467.18841785714284</v>
      </c>
      <c r="P41" s="466">
        <f>E8</f>
        <v>2040</v>
      </c>
      <c r="Q41" s="58"/>
      <c r="R41" s="466">
        <f>O41/100</f>
        <v>4.6718841785714282</v>
      </c>
      <c r="S41" s="58"/>
      <c r="T41" s="466">
        <f>E16</f>
        <v>20</v>
      </c>
      <c r="U41" s="467">
        <f>E46</f>
        <v>4470</v>
      </c>
      <c r="V41" s="467">
        <f>E48</f>
        <v>14.9</v>
      </c>
      <c r="W41" s="690">
        <f>E49</f>
        <v>6.5394444444444444</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($F$12*$U$14+O114*U$86+O186*$U$158)/(SUM($U$14,$U$86,$U$158))</f>
        <v>471.91030203571421</v>
      </c>
      <c r="P42" s="466">
        <f>F8</f>
        <v>2050</v>
      </c>
      <c r="Q42" s="58"/>
      <c r="R42" s="466">
        <f>O42/100</f>
        <v>4.7191030203571422</v>
      </c>
      <c r="S42" s="58"/>
      <c r="T42" s="466">
        <f>F16</f>
        <v>20</v>
      </c>
      <c r="U42" s="467">
        <f>F46</f>
        <v>4321</v>
      </c>
      <c r="V42" s="467">
        <f>F48</f>
        <v>14.9</v>
      </c>
      <c r="W42" s="690">
        <f>F49</f>
        <v>6.4566666666666661</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52</v>
      </c>
      <c r="L43" s="476"/>
      <c r="M43" s="367"/>
      <c r="N43" s="367"/>
    </row>
    <row r="44" spans="2:30" outlineLevel="1">
      <c r="B44" s="475" t="s">
        <v>767</v>
      </c>
      <c r="C44" s="469">
        <v>20</v>
      </c>
      <c r="D44" s="470">
        <v>20</v>
      </c>
      <c r="E44" s="470">
        <v>20</v>
      </c>
      <c r="F44" s="471">
        <v>20</v>
      </c>
      <c r="G44" s="474"/>
      <c r="H44" s="474"/>
      <c r="I44" s="474"/>
      <c r="J44" s="474"/>
      <c r="K44" s="474" t="s">
        <v>52</v>
      </c>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5438.5</v>
      </c>
      <c r="D46" s="483">
        <f t="shared" ref="D46:F46" si="1">D29*$F$4*1000</f>
        <v>4842.5</v>
      </c>
      <c r="E46" s="483">
        <f t="shared" si="1"/>
        <v>4470</v>
      </c>
      <c r="F46" s="483">
        <f t="shared" si="1"/>
        <v>4321</v>
      </c>
      <c r="G46" s="483"/>
      <c r="H46" s="484"/>
      <c r="I46" s="420" t="s">
        <v>332</v>
      </c>
      <c r="J46" s="420"/>
      <c r="K46" s="484"/>
      <c r="L46" s="484"/>
      <c r="N46" s="420"/>
    </row>
    <row r="47" spans="2:30" outlineLevel="1">
      <c r="B47" s="485" t="s">
        <v>770</v>
      </c>
      <c r="C47" s="486">
        <f>C46*$I47</f>
        <v>2719250</v>
      </c>
      <c r="D47" s="486">
        <f>D46*$I47</f>
        <v>2421250</v>
      </c>
      <c r="E47" s="486">
        <f>E46*$I47</f>
        <v>2235000</v>
      </c>
      <c r="F47" s="486">
        <f>F46*$I47</f>
        <v>2160500</v>
      </c>
      <c r="G47" s="486"/>
      <c r="H47" s="484"/>
      <c r="I47" s="71">
        <v>500</v>
      </c>
      <c r="J47" s="420" t="s">
        <v>330</v>
      </c>
      <c r="K47" s="484"/>
      <c r="L47" s="484"/>
      <c r="N47" s="420"/>
    </row>
    <row r="48" spans="2:30" ht="48" outlineLevel="1">
      <c r="B48" s="461" t="s">
        <v>845</v>
      </c>
      <c r="C48" s="359">
        <f>C32*$F$4/1000</f>
        <v>14.9</v>
      </c>
      <c r="D48" s="359">
        <f t="shared" ref="D48:F48" si="2">D32*$F$4/1000</f>
        <v>14.9</v>
      </c>
      <c r="E48" s="359">
        <f t="shared" si="2"/>
        <v>14.9</v>
      </c>
      <c r="F48" s="359">
        <f t="shared" si="2"/>
        <v>14.9</v>
      </c>
      <c r="G48" s="359"/>
      <c r="I48" s="420" t="s">
        <v>333</v>
      </c>
      <c r="J48" s="420"/>
      <c r="N48" s="420"/>
    </row>
    <row r="49" spans="2:14" ht="48" outlineLevel="1">
      <c r="B49" s="461" t="s">
        <v>846</v>
      </c>
      <c r="C49" s="487">
        <f>C33*$F$4/3.6</f>
        <v>6.7463888888888883</v>
      </c>
      <c r="D49" s="487">
        <f t="shared" ref="D49:F49" si="3">D33*$F$4/3.6</f>
        <v>6.6222222222222227</v>
      </c>
      <c r="E49" s="487">
        <f t="shared" si="3"/>
        <v>6.5394444444444444</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34" t="s">
        <v>773</v>
      </c>
      <c r="C55" s="490"/>
      <c r="D55" s="490"/>
      <c r="E55" s="358"/>
      <c r="F55" s="358"/>
      <c r="G55" s="358"/>
      <c r="H55" s="358"/>
      <c r="I55" s="358"/>
      <c r="J55" s="358"/>
      <c r="K55" s="358"/>
      <c r="L55" s="358"/>
    </row>
    <row r="56" spans="2:14" outlineLevel="1">
      <c r="B56" s="358">
        <v>1</v>
      </c>
      <c r="C56" s="635" t="s">
        <v>847</v>
      </c>
      <c r="D56" s="490"/>
      <c r="F56" s="358"/>
      <c r="G56" s="358"/>
      <c r="H56" s="358"/>
      <c r="I56" s="358"/>
      <c r="J56" s="358"/>
      <c r="K56" s="358"/>
      <c r="L56" s="358"/>
    </row>
    <row r="57" spans="2:14" outlineLevel="1">
      <c r="B57" s="358">
        <v>2</v>
      </c>
      <c r="C57" s="635" t="s">
        <v>848</v>
      </c>
      <c r="D57" s="490"/>
      <c r="F57" s="358"/>
      <c r="G57" s="358"/>
      <c r="H57" s="358"/>
      <c r="I57" s="358"/>
      <c r="J57" s="358"/>
      <c r="K57" s="358"/>
      <c r="L57" s="358"/>
    </row>
    <row r="58" spans="2:14" outlineLevel="1">
      <c r="B58" s="358">
        <v>3</v>
      </c>
      <c r="C58" s="490" t="s">
        <v>849</v>
      </c>
      <c r="D58" s="490"/>
      <c r="F58" s="358"/>
      <c r="G58" s="358"/>
      <c r="H58" s="358"/>
      <c r="I58" s="358"/>
      <c r="J58" s="358"/>
      <c r="K58" s="358"/>
      <c r="L58" s="358"/>
    </row>
    <row r="59" spans="2:14" outlineLevel="1">
      <c r="B59" s="358">
        <v>4</v>
      </c>
      <c r="C59" s="490" t="s">
        <v>850</v>
      </c>
      <c r="D59" s="490"/>
      <c r="F59" s="358"/>
      <c r="G59" s="358"/>
      <c r="H59" s="358"/>
      <c r="I59" s="358"/>
      <c r="J59" s="358"/>
      <c r="K59" s="358"/>
      <c r="L59" s="358"/>
    </row>
    <row r="60" spans="2:14" outlineLevel="1">
      <c r="B60" s="358">
        <v>5</v>
      </c>
      <c r="C60" s="636" t="s">
        <v>851</v>
      </c>
      <c r="D60" s="490"/>
      <c r="F60" s="358"/>
      <c r="G60" s="358"/>
      <c r="H60" s="358"/>
      <c r="I60" s="358"/>
      <c r="J60" s="358"/>
      <c r="K60" s="358"/>
      <c r="L60" s="358"/>
    </row>
    <row r="61" spans="2:14" outlineLevel="1">
      <c r="B61" s="358">
        <v>6</v>
      </c>
      <c r="C61" s="490" t="s">
        <v>852</v>
      </c>
      <c r="D61" s="490"/>
      <c r="F61" s="358"/>
      <c r="G61" s="358"/>
      <c r="H61" s="358"/>
      <c r="I61" s="358"/>
      <c r="J61" s="358"/>
      <c r="K61" s="358"/>
      <c r="L61" s="358"/>
    </row>
    <row r="62" spans="2:14" outlineLevel="1">
      <c r="B62" s="634" t="s">
        <v>783</v>
      </c>
      <c r="C62" s="358"/>
      <c r="D62" s="490"/>
      <c r="F62" s="358"/>
      <c r="G62" s="358"/>
      <c r="H62" s="358"/>
      <c r="I62" s="358"/>
      <c r="J62" s="358"/>
      <c r="K62" s="358"/>
      <c r="L62" s="358"/>
    </row>
    <row r="63" spans="2:14" outlineLevel="1">
      <c r="B63" s="637" t="s">
        <v>6</v>
      </c>
      <c r="C63" s="490" t="s">
        <v>853</v>
      </c>
      <c r="D63" s="490"/>
      <c r="F63" s="358"/>
      <c r="G63" s="358"/>
      <c r="H63" s="358"/>
      <c r="I63" s="358"/>
      <c r="J63" s="358"/>
      <c r="K63" s="358"/>
      <c r="L63" s="358"/>
    </row>
    <row r="64" spans="2:14" outlineLevel="1">
      <c r="B64" s="637" t="s">
        <v>59</v>
      </c>
      <c r="C64" s="490" t="s">
        <v>854</v>
      </c>
      <c r="D64" s="490"/>
      <c r="F64" s="358"/>
      <c r="G64" s="358"/>
      <c r="H64" s="358"/>
      <c r="I64" s="358"/>
      <c r="J64" s="358"/>
      <c r="K64" s="358"/>
      <c r="L64" s="358"/>
    </row>
    <row r="65" spans="1:44" outlineLevel="1">
      <c r="B65" s="637" t="s">
        <v>16</v>
      </c>
      <c r="C65" s="490" t="s">
        <v>855</v>
      </c>
      <c r="D65" s="490"/>
      <c r="F65" s="358"/>
      <c r="G65" s="358"/>
      <c r="H65" s="358"/>
      <c r="I65" s="358"/>
      <c r="J65" s="358"/>
      <c r="K65" s="358"/>
      <c r="L65" s="358"/>
    </row>
    <row r="66" spans="1:44" outlineLevel="1">
      <c r="B66" s="637" t="s">
        <v>20</v>
      </c>
      <c r="C66" s="490" t="s">
        <v>856</v>
      </c>
      <c r="D66" s="490"/>
      <c r="F66" s="358"/>
      <c r="G66" s="358"/>
      <c r="H66" s="358"/>
      <c r="I66" s="358"/>
      <c r="J66" s="358"/>
      <c r="K66" s="358"/>
      <c r="L66" s="358"/>
    </row>
    <row r="67" spans="1:44" outlineLevel="1">
      <c r="B67" s="637" t="s">
        <v>76</v>
      </c>
      <c r="C67" s="490" t="s">
        <v>857</v>
      </c>
      <c r="D67" s="490"/>
      <c r="F67" s="358"/>
      <c r="G67" s="358"/>
      <c r="H67" s="358"/>
      <c r="I67" s="358"/>
      <c r="J67" s="358"/>
      <c r="K67" s="358"/>
      <c r="L67" s="358"/>
    </row>
    <row r="68" spans="1:44" outlineLevel="1">
      <c r="B68" s="637" t="s">
        <v>25</v>
      </c>
      <c r="C68" s="490" t="s">
        <v>858</v>
      </c>
      <c r="D68" s="358"/>
      <c r="F68" s="358"/>
      <c r="G68" s="358"/>
      <c r="H68" s="358"/>
      <c r="I68" s="358"/>
      <c r="J68" s="358"/>
      <c r="K68" s="358"/>
      <c r="L68" s="358"/>
    </row>
    <row r="69" spans="1:44" outlineLevel="1">
      <c r="B69" s="637" t="s">
        <v>33</v>
      </c>
      <c r="C69" s="489" t="s">
        <v>788</v>
      </c>
      <c r="D69" s="358"/>
      <c r="F69" s="358"/>
      <c r="G69" s="358"/>
      <c r="H69" s="358"/>
      <c r="I69" s="358"/>
      <c r="J69" s="358"/>
      <c r="K69" s="358"/>
      <c r="L69" s="358"/>
    </row>
    <row r="70" spans="1:44" outlineLevel="1">
      <c r="B70" s="637" t="s">
        <v>51</v>
      </c>
      <c r="C70" s="490" t="s">
        <v>859</v>
      </c>
      <c r="D70" s="358"/>
      <c r="G70" s="358"/>
      <c r="H70" s="358"/>
      <c r="I70" s="358"/>
      <c r="J70" s="358"/>
      <c r="K70" s="358"/>
      <c r="L70" s="358"/>
    </row>
    <row r="71" spans="1:44" outlineLevel="1">
      <c r="B71" s="637" t="s">
        <v>52</v>
      </c>
      <c r="C71" s="490" t="s">
        <v>860</v>
      </c>
      <c r="E71" s="490"/>
      <c r="F71" s="490"/>
    </row>
    <row r="72" spans="1:44" outlineLevel="1"/>
    <row r="73" spans="1:44" outlineLevel="1"/>
    <row r="74" spans="1:44" outlineLevel="1"/>
    <row r="77" spans="1:44">
      <c r="A77" s="360" t="s">
        <v>864</v>
      </c>
      <c r="B77" s="1134"/>
      <c r="C77" s="1135"/>
      <c r="D77" s="1135"/>
      <c r="E77" s="1135"/>
      <c r="F77" s="1135"/>
      <c r="G77" s="1135"/>
      <c r="H77" s="1135"/>
      <c r="I77" s="1135"/>
      <c r="J77" s="1135"/>
      <c r="K77" s="1135"/>
      <c r="L77" s="1135"/>
      <c r="M77" s="1135"/>
      <c r="N77" s="689"/>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689"/>
      <c r="P78" s="1135"/>
      <c r="Q78" s="1135"/>
      <c r="R78" s="1135"/>
      <c r="S78" s="1135"/>
      <c r="T78" s="1135"/>
      <c r="U78" s="1135"/>
    </row>
    <row r="79" spans="1:44" ht="20.5" customHeight="1" outlineLevel="1" thickBot="1">
      <c r="B79" s="362" t="s">
        <v>0</v>
      </c>
      <c r="C79" s="1239" t="s">
        <v>862</v>
      </c>
      <c r="D79" s="1240"/>
      <c r="E79" s="1240"/>
      <c r="F79" s="1240"/>
      <c r="G79" s="1240"/>
      <c r="H79" s="1240"/>
      <c r="I79" s="1240"/>
      <c r="J79" s="1240"/>
      <c r="K79" s="1240"/>
      <c r="L79" s="1241"/>
      <c r="M79" s="363"/>
      <c r="N79" s="363"/>
      <c r="P79" s="364" t="s">
        <v>713</v>
      </c>
      <c r="Q79" s="365"/>
      <c r="R79" s="366"/>
      <c r="S79" s="1143" t="s">
        <v>714</v>
      </c>
      <c r="T79" s="1147" t="s">
        <v>715</v>
      </c>
      <c r="U79" s="1148"/>
      <c r="V79" s="1147" t="s">
        <v>716</v>
      </c>
      <c r="W79" s="1148"/>
      <c r="X79" s="1147" t="s">
        <v>717</v>
      </c>
      <c r="Y79" s="1148"/>
      <c r="Z79" s="1147" t="s">
        <v>718</v>
      </c>
      <c r="AA79" s="1148"/>
      <c r="AB79" s="1147" t="s">
        <v>719</v>
      </c>
      <c r="AC79" s="1148"/>
      <c r="AE79" s="364" t="s">
        <v>720</v>
      </c>
      <c r="AF79" s="365"/>
      <c r="AG79" s="366"/>
      <c r="AH79" s="1143" t="s">
        <v>714</v>
      </c>
      <c r="AI79" s="1147" t="s">
        <v>715</v>
      </c>
      <c r="AJ79" s="1148"/>
      <c r="AK79" s="1147" t="s">
        <v>716</v>
      </c>
      <c r="AL79" s="1148"/>
      <c r="AM79" s="1147" t="s">
        <v>717</v>
      </c>
      <c r="AN79" s="1148"/>
      <c r="AO79" s="1147" t="s">
        <v>718</v>
      </c>
      <c r="AP79" s="1148"/>
      <c r="AQ79" s="1147" t="s">
        <v>719</v>
      </c>
      <c r="AR79" s="1148"/>
    </row>
    <row r="80" spans="1:44" ht="15" customHeight="1" outlineLevel="1" thickBot="1">
      <c r="B80" s="1168" t="s">
        <v>4</v>
      </c>
      <c r="C80" s="1170">
        <v>2020</v>
      </c>
      <c r="D80" s="1170">
        <v>2030</v>
      </c>
      <c r="E80" s="1170">
        <v>2040</v>
      </c>
      <c r="F80" s="1170">
        <v>2050</v>
      </c>
      <c r="G80" s="1237" t="s">
        <v>721</v>
      </c>
      <c r="H80" s="1220"/>
      <c r="I80" s="1219" t="s">
        <v>648</v>
      </c>
      <c r="J80" s="1242"/>
      <c r="K80" s="1221" t="s">
        <v>2</v>
      </c>
      <c r="L80" s="1221" t="s">
        <v>3</v>
      </c>
      <c r="M80" s="367"/>
      <c r="N80" s="367"/>
      <c r="P80" s="1151" t="s">
        <v>0</v>
      </c>
      <c r="Q80" s="368"/>
      <c r="R80" s="368"/>
      <c r="S80" s="1144"/>
      <c r="T80" s="1149"/>
      <c r="U80" s="1150"/>
      <c r="V80" s="1149"/>
      <c r="W80" s="1150"/>
      <c r="X80" s="1149"/>
      <c r="Y80" s="1150"/>
      <c r="Z80" s="1149"/>
      <c r="AA80" s="1150"/>
      <c r="AB80" s="1149"/>
      <c r="AC80" s="1150"/>
      <c r="AE80" s="1151" t="s">
        <v>0</v>
      </c>
      <c r="AF80" s="368"/>
      <c r="AG80" s="368"/>
      <c r="AH80" s="1144"/>
      <c r="AI80" s="1149"/>
      <c r="AJ80" s="1150"/>
      <c r="AK80" s="1149"/>
      <c r="AL80" s="1150"/>
      <c r="AM80" s="1149"/>
      <c r="AN80" s="1150"/>
      <c r="AO80" s="1149"/>
      <c r="AP80" s="1150"/>
      <c r="AQ80" s="1149"/>
      <c r="AR80" s="1150"/>
    </row>
    <row r="81" spans="2:44" ht="15" customHeight="1" outlineLevel="1" thickBot="1">
      <c r="B81" s="1235"/>
      <c r="C81" s="1236"/>
      <c r="D81" s="1236"/>
      <c r="E81" s="1236"/>
      <c r="F81" s="1236"/>
      <c r="G81" s="369" t="s">
        <v>649</v>
      </c>
      <c r="H81" s="369" t="s">
        <v>650</v>
      </c>
      <c r="I81" s="369" t="s">
        <v>649</v>
      </c>
      <c r="J81" s="369" t="s">
        <v>650</v>
      </c>
      <c r="K81" s="1238"/>
      <c r="L81" s="1238"/>
      <c r="M81" s="370"/>
      <c r="N81" s="370"/>
      <c r="P81" s="1152"/>
      <c r="Q81" s="1154" t="s">
        <v>722</v>
      </c>
      <c r="R81" s="1155" t="s">
        <v>723</v>
      </c>
      <c r="S81" s="1145"/>
      <c r="T81" s="1149"/>
      <c r="U81" s="1150"/>
      <c r="V81" s="1149"/>
      <c r="W81" s="1150"/>
      <c r="X81" s="1149"/>
      <c r="Y81" s="1150"/>
      <c r="Z81" s="1149"/>
      <c r="AA81" s="1150"/>
      <c r="AB81" s="1149"/>
      <c r="AC81" s="1150"/>
      <c r="AE81" s="1152"/>
      <c r="AF81" s="1198" t="s">
        <v>722</v>
      </c>
      <c r="AG81" s="1155" t="s">
        <v>723</v>
      </c>
      <c r="AH81" s="1145"/>
      <c r="AI81" s="1149"/>
      <c r="AJ81" s="1150"/>
      <c r="AK81" s="1149"/>
      <c r="AL81" s="1150"/>
      <c r="AM81" s="1149"/>
      <c r="AN81" s="1150"/>
      <c r="AO81" s="1149"/>
      <c r="AP81" s="1150"/>
      <c r="AQ81" s="1149"/>
      <c r="AR81" s="1150"/>
    </row>
    <row r="82" spans="2:44" ht="33" outlineLevel="1" thickBot="1">
      <c r="B82" s="371" t="s">
        <v>651</v>
      </c>
      <c r="C82" s="372">
        <v>3</v>
      </c>
      <c r="D82" s="372">
        <v>3</v>
      </c>
      <c r="E82" s="372">
        <v>3</v>
      </c>
      <c r="F82" s="372">
        <v>3</v>
      </c>
      <c r="G82" s="372">
        <v>0.5</v>
      </c>
      <c r="H82" s="372">
        <v>5</v>
      </c>
      <c r="I82" s="372">
        <v>0.5</v>
      </c>
      <c r="J82" s="372">
        <v>5</v>
      </c>
      <c r="K82" s="372" t="s">
        <v>6</v>
      </c>
      <c r="L82" s="373" t="s">
        <v>837</v>
      </c>
      <c r="M82" s="370"/>
      <c r="N82" s="370"/>
      <c r="O82" s="74"/>
      <c r="P82" s="1153"/>
      <c r="Q82" s="1146"/>
      <c r="R82" s="1156"/>
      <c r="S82" s="1146"/>
      <c r="T82" s="374" t="s">
        <v>726</v>
      </c>
      <c r="U82" s="375" t="s">
        <v>727</v>
      </c>
      <c r="V82" s="374" t="s">
        <v>726</v>
      </c>
      <c r="W82" s="375" t="s">
        <v>727</v>
      </c>
      <c r="X82" s="374" t="s">
        <v>726</v>
      </c>
      <c r="Y82" s="375" t="s">
        <v>727</v>
      </c>
      <c r="Z82" s="374" t="s">
        <v>726</v>
      </c>
      <c r="AA82" s="375" t="s">
        <v>727</v>
      </c>
      <c r="AB82" s="374" t="s">
        <v>726</v>
      </c>
      <c r="AC82" s="375" t="s">
        <v>727</v>
      </c>
      <c r="AE82" s="1153"/>
      <c r="AF82" s="1199"/>
      <c r="AG82" s="1156"/>
      <c r="AH82" s="1146"/>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376" t="s">
        <v>728</v>
      </c>
      <c r="C83" s="639">
        <v>447</v>
      </c>
      <c r="D83" s="639">
        <v>460.41</v>
      </c>
      <c r="E83" s="640">
        <v>469.61820000000006</v>
      </c>
      <c r="F83" s="639">
        <v>474.31438200000008</v>
      </c>
      <c r="G83" s="377">
        <f>C83</f>
        <v>447</v>
      </c>
      <c r="H83" s="639">
        <f>C83*1.05</f>
        <v>469.35</v>
      </c>
      <c r="I83" s="639">
        <f>F83*0.97</f>
        <v>460.08495054000008</v>
      </c>
      <c r="J83" s="639">
        <f>F83*1.02</f>
        <v>483.80066964000008</v>
      </c>
      <c r="K83" s="379" t="s">
        <v>59</v>
      </c>
      <c r="L83" s="380" t="s">
        <v>837</v>
      </c>
      <c r="M83" s="370"/>
      <c r="N83" s="370"/>
      <c r="P83" s="1200" t="str">
        <f>C79</f>
        <v>Heat pump, up to 70 °C, Temp lift = 50 K</v>
      </c>
      <c r="Q83" s="1188" t="s">
        <v>730</v>
      </c>
      <c r="R83" s="381" t="s">
        <v>731</v>
      </c>
      <c r="S83" s="382"/>
      <c r="T83" s="1191">
        <v>0</v>
      </c>
      <c r="U83" s="1179">
        <v>0</v>
      </c>
      <c r="V83" s="1182">
        <v>0</v>
      </c>
      <c r="W83" s="1179">
        <v>0</v>
      </c>
      <c r="X83" s="1182">
        <v>0</v>
      </c>
      <c r="Y83" s="1179">
        <v>0</v>
      </c>
      <c r="Z83" s="1182">
        <v>0</v>
      </c>
      <c r="AA83" s="1179">
        <v>0</v>
      </c>
      <c r="AB83" s="1182">
        <v>0</v>
      </c>
      <c r="AC83" s="1179">
        <v>0</v>
      </c>
      <c r="AE83" s="1185" t="str">
        <f>P83</f>
        <v>Heat pump, up to 70 °C, Temp lift = 50 K</v>
      </c>
      <c r="AF83" s="1188" t="s">
        <v>730</v>
      </c>
      <c r="AG83" s="381" t="s">
        <v>731</v>
      </c>
      <c r="AH83" s="382"/>
      <c r="AI83" s="1191">
        <v>0</v>
      </c>
      <c r="AJ83" s="1179">
        <v>0</v>
      </c>
      <c r="AK83" s="1182">
        <v>0</v>
      </c>
      <c r="AL83" s="1179">
        <v>0</v>
      </c>
      <c r="AM83" s="1182">
        <v>0</v>
      </c>
      <c r="AN83" s="1179">
        <v>0</v>
      </c>
      <c r="AO83" s="1182">
        <v>0</v>
      </c>
      <c r="AP83" s="1179">
        <v>0</v>
      </c>
      <c r="AQ83" s="1182">
        <v>0</v>
      </c>
      <c r="AR83" s="1179">
        <v>0</v>
      </c>
    </row>
    <row r="84" spans="2:44" outlineLevel="1">
      <c r="B84" s="383" t="s">
        <v>732</v>
      </c>
      <c r="C84" s="577">
        <f>C83-5</f>
        <v>442</v>
      </c>
      <c r="D84" s="577">
        <f t="shared" ref="D84:J84" si="4">D83-5</f>
        <v>455.41</v>
      </c>
      <c r="E84" s="577">
        <f t="shared" si="4"/>
        <v>464.61820000000006</v>
      </c>
      <c r="F84" s="577">
        <f t="shared" si="4"/>
        <v>469.31438200000008</v>
      </c>
      <c r="G84" s="641">
        <f t="shared" si="4"/>
        <v>442</v>
      </c>
      <c r="H84" s="641">
        <f t="shared" si="4"/>
        <v>464.35</v>
      </c>
      <c r="I84" s="641">
        <f t="shared" si="4"/>
        <v>455.08495054000008</v>
      </c>
      <c r="J84" s="641">
        <f t="shared" si="4"/>
        <v>478.80066964000008</v>
      </c>
      <c r="K84" s="386" t="s">
        <v>838</v>
      </c>
      <c r="L84" s="387"/>
      <c r="M84" s="370"/>
      <c r="N84" s="370"/>
      <c r="O84" s="71"/>
      <c r="P84" s="1186"/>
      <c r="Q84" s="1189"/>
      <c r="R84" s="388" t="s">
        <v>733</v>
      </c>
      <c r="S84" s="389"/>
      <c r="T84" s="1192"/>
      <c r="U84" s="1180"/>
      <c r="V84" s="1183"/>
      <c r="W84" s="1180"/>
      <c r="X84" s="1183"/>
      <c r="Y84" s="1180"/>
      <c r="Z84" s="1183"/>
      <c r="AA84" s="1180"/>
      <c r="AB84" s="1183"/>
      <c r="AC84" s="1180"/>
      <c r="AE84" s="1186"/>
      <c r="AF84" s="1189"/>
      <c r="AG84" s="388" t="s">
        <v>733</v>
      </c>
      <c r="AH84" s="389"/>
      <c r="AI84" s="1192"/>
      <c r="AJ84" s="1180"/>
      <c r="AK84" s="1183"/>
      <c r="AL84" s="1180"/>
      <c r="AM84" s="1183"/>
      <c r="AN84" s="1180"/>
      <c r="AO84" s="1183"/>
      <c r="AP84" s="1180"/>
      <c r="AQ84" s="1183"/>
      <c r="AR84" s="1180"/>
    </row>
    <row r="85" spans="2:44" ht="16" outlineLevel="1" thickBot="1">
      <c r="B85" s="376" t="s">
        <v>734</v>
      </c>
      <c r="C85" s="390">
        <v>2</v>
      </c>
      <c r="D85" s="391">
        <v>2</v>
      </c>
      <c r="E85" s="391">
        <v>2</v>
      </c>
      <c r="F85" s="392">
        <v>2</v>
      </c>
      <c r="G85" s="391">
        <v>1</v>
      </c>
      <c r="H85" s="391">
        <v>4</v>
      </c>
      <c r="I85" s="391">
        <v>1</v>
      </c>
      <c r="J85" s="391">
        <v>4</v>
      </c>
      <c r="K85" s="379"/>
      <c r="L85" s="380">
        <v>1.4</v>
      </c>
      <c r="M85" s="370"/>
      <c r="N85" s="370"/>
      <c r="O85" s="71"/>
      <c r="P85" s="1186"/>
      <c r="Q85" s="1190"/>
      <c r="R85" s="393" t="s">
        <v>735</v>
      </c>
      <c r="S85" s="394"/>
      <c r="T85" s="1193"/>
      <c r="U85" s="1181"/>
      <c r="V85" s="1184"/>
      <c r="W85" s="1181"/>
      <c r="X85" s="1184"/>
      <c r="Y85" s="1181"/>
      <c r="Z85" s="1184"/>
      <c r="AA85" s="1181"/>
      <c r="AB85" s="1184"/>
      <c r="AC85" s="1181"/>
      <c r="AE85" s="1186"/>
      <c r="AF85" s="1190"/>
      <c r="AG85" s="393" t="s">
        <v>735</v>
      </c>
      <c r="AH85" s="394"/>
      <c r="AI85" s="1193"/>
      <c r="AJ85" s="1181"/>
      <c r="AK85" s="1184"/>
      <c r="AL85" s="1181"/>
      <c r="AM85" s="1184"/>
      <c r="AN85" s="1181"/>
      <c r="AO85" s="1184"/>
      <c r="AP85" s="1181"/>
      <c r="AQ85" s="1184"/>
      <c r="AR85" s="1181"/>
    </row>
    <row r="86" spans="2:44" ht="15" customHeight="1" outlineLevel="1">
      <c r="B86" s="376" t="s">
        <v>657</v>
      </c>
      <c r="C86" s="390">
        <v>0</v>
      </c>
      <c r="D86" s="390">
        <v>0</v>
      </c>
      <c r="E86" s="390">
        <v>0</v>
      </c>
      <c r="F86" s="390">
        <v>0</v>
      </c>
      <c r="G86" s="390">
        <v>0</v>
      </c>
      <c r="H86" s="390">
        <v>1</v>
      </c>
      <c r="I86" s="390">
        <v>0</v>
      </c>
      <c r="J86" s="390">
        <v>1</v>
      </c>
      <c r="K86" s="379" t="s">
        <v>20</v>
      </c>
      <c r="L86" s="380"/>
      <c r="M86" s="370"/>
      <c r="N86" s="370"/>
      <c r="O86" s="71"/>
      <c r="P86" s="1186"/>
      <c r="Q86" s="1188" t="s">
        <v>736</v>
      </c>
      <c r="R86" s="395" t="s">
        <v>737</v>
      </c>
      <c r="S86" s="396" t="s">
        <v>738</v>
      </c>
      <c r="T86" s="1191">
        <v>0</v>
      </c>
      <c r="U86" s="1191">
        <f>19%</f>
        <v>0.19</v>
      </c>
      <c r="V86" s="1191">
        <v>0</v>
      </c>
      <c r="W86" s="1191">
        <f>19%</f>
        <v>0.19</v>
      </c>
      <c r="X86" s="1191">
        <v>0</v>
      </c>
      <c r="Y86" s="1191">
        <f>14%</f>
        <v>0.14000000000000001</v>
      </c>
      <c r="Z86" s="1191">
        <v>0</v>
      </c>
      <c r="AA86" s="1191">
        <f>11%</f>
        <v>0.11</v>
      </c>
      <c r="AB86" s="1191">
        <v>0</v>
      </c>
      <c r="AC86" s="1179">
        <f>12%</f>
        <v>0.12</v>
      </c>
      <c r="AE86" s="1186"/>
      <c r="AF86" s="1188" t="s">
        <v>736</v>
      </c>
      <c r="AG86" s="395" t="s">
        <v>737</v>
      </c>
      <c r="AH86" s="396" t="s">
        <v>738</v>
      </c>
      <c r="AI86" s="1191">
        <v>0</v>
      </c>
      <c r="AJ86" s="1191">
        <f>U86/4</f>
        <v>4.7500000000000001E-2</v>
      </c>
      <c r="AK86" s="1191">
        <v>0</v>
      </c>
      <c r="AL86" s="1191">
        <f>W86/4</f>
        <v>4.7500000000000001E-2</v>
      </c>
      <c r="AM86" s="1191">
        <v>0</v>
      </c>
      <c r="AN86" s="1191">
        <f>Y86/4</f>
        <v>3.5000000000000003E-2</v>
      </c>
      <c r="AO86" s="1191">
        <v>0</v>
      </c>
      <c r="AP86" s="1191">
        <f>AA86/4</f>
        <v>2.75E-2</v>
      </c>
      <c r="AQ86" s="1191">
        <v>0</v>
      </c>
      <c r="AR86" s="1179">
        <f>AC86/4</f>
        <v>0.03</v>
      </c>
    </row>
    <row r="87" spans="2:44" outlineLevel="1">
      <c r="B87" s="376" t="s">
        <v>658</v>
      </c>
      <c r="C87" s="390">
        <v>1</v>
      </c>
      <c r="D87" s="390">
        <v>1</v>
      </c>
      <c r="E87" s="390">
        <v>1</v>
      </c>
      <c r="F87" s="390">
        <v>1</v>
      </c>
      <c r="G87" s="390">
        <v>0.5</v>
      </c>
      <c r="H87" s="390">
        <v>2</v>
      </c>
      <c r="I87" s="390">
        <v>0.5</v>
      </c>
      <c r="J87" s="390">
        <v>2</v>
      </c>
      <c r="K87" s="379"/>
      <c r="L87" s="380">
        <v>1.4</v>
      </c>
      <c r="M87" s="367"/>
      <c r="N87" s="367"/>
      <c r="O87" s="71"/>
      <c r="P87" s="1186"/>
      <c r="Q87" s="1189"/>
      <c r="R87" s="395" t="s">
        <v>739</v>
      </c>
      <c r="S87" s="396" t="s">
        <v>738</v>
      </c>
      <c r="T87" s="1194"/>
      <c r="U87" s="1194"/>
      <c r="V87" s="1194"/>
      <c r="W87" s="1194"/>
      <c r="X87" s="1194"/>
      <c r="Y87" s="1194"/>
      <c r="Z87" s="1194"/>
      <c r="AA87" s="1194"/>
      <c r="AB87" s="1194"/>
      <c r="AC87" s="1196"/>
      <c r="AE87" s="1186"/>
      <c r="AF87" s="1189"/>
      <c r="AG87" s="395" t="s">
        <v>739</v>
      </c>
      <c r="AH87" s="396" t="s">
        <v>738</v>
      </c>
      <c r="AI87" s="1194"/>
      <c r="AJ87" s="1194"/>
      <c r="AK87" s="1194"/>
      <c r="AL87" s="1194"/>
      <c r="AM87" s="1194"/>
      <c r="AN87" s="1194"/>
      <c r="AO87" s="1194"/>
      <c r="AP87" s="1194"/>
      <c r="AQ87" s="1194"/>
      <c r="AR87" s="1196"/>
    </row>
    <row r="88" spans="2:44" outlineLevel="1">
      <c r="B88" s="383" t="s">
        <v>11</v>
      </c>
      <c r="C88" s="397">
        <v>20</v>
      </c>
      <c r="D88" s="397">
        <v>20</v>
      </c>
      <c r="E88" s="397">
        <v>20</v>
      </c>
      <c r="F88" s="397">
        <v>20</v>
      </c>
      <c r="G88" s="398">
        <v>15</v>
      </c>
      <c r="H88" s="398">
        <v>30</v>
      </c>
      <c r="I88" s="398">
        <v>15</v>
      </c>
      <c r="J88" s="398">
        <v>30</v>
      </c>
      <c r="K88" s="372"/>
      <c r="L88" s="373">
        <v>4</v>
      </c>
      <c r="M88" s="363"/>
      <c r="N88" s="363"/>
      <c r="P88" s="1186"/>
      <c r="Q88" s="1189"/>
      <c r="R88" s="395" t="s">
        <v>741</v>
      </c>
      <c r="S88" s="396"/>
      <c r="T88" s="1194"/>
      <c r="U88" s="1194"/>
      <c r="V88" s="1194"/>
      <c r="W88" s="1194"/>
      <c r="X88" s="1194"/>
      <c r="Y88" s="1194"/>
      <c r="Z88" s="1194"/>
      <c r="AA88" s="1194"/>
      <c r="AB88" s="1194"/>
      <c r="AC88" s="1196"/>
      <c r="AE88" s="1186"/>
      <c r="AF88" s="1189"/>
      <c r="AG88" s="395" t="s">
        <v>741</v>
      </c>
      <c r="AH88" s="629"/>
      <c r="AI88" s="1194"/>
      <c r="AJ88" s="1194"/>
      <c r="AK88" s="1194"/>
      <c r="AL88" s="1194"/>
      <c r="AM88" s="1194"/>
      <c r="AN88" s="1194"/>
      <c r="AO88" s="1194"/>
      <c r="AP88" s="1194"/>
      <c r="AQ88" s="1194"/>
      <c r="AR88" s="1196"/>
    </row>
    <row r="89" spans="2:44" ht="16" outlineLevel="1" thickBot="1">
      <c r="B89" s="376" t="s">
        <v>273</v>
      </c>
      <c r="C89" s="399">
        <v>0.5</v>
      </c>
      <c r="D89" s="399">
        <v>0.5</v>
      </c>
      <c r="E89" s="399">
        <v>0.5</v>
      </c>
      <c r="F89" s="399">
        <v>0.5</v>
      </c>
      <c r="G89" s="399">
        <v>0.3</v>
      </c>
      <c r="H89" s="399">
        <v>0.7</v>
      </c>
      <c r="I89" s="399">
        <v>0.3</v>
      </c>
      <c r="J89" s="399">
        <v>0.7</v>
      </c>
      <c r="K89" s="372"/>
      <c r="L89" s="400">
        <v>4</v>
      </c>
      <c r="M89" s="363"/>
      <c r="N89" s="363"/>
      <c r="P89" s="1186"/>
      <c r="Q89" s="1189"/>
      <c r="R89" s="395" t="s">
        <v>742</v>
      </c>
      <c r="S89" s="396" t="s">
        <v>738</v>
      </c>
      <c r="T89" s="1194"/>
      <c r="U89" s="1194"/>
      <c r="V89" s="1194"/>
      <c r="W89" s="1194"/>
      <c r="X89" s="1194"/>
      <c r="Y89" s="1194"/>
      <c r="Z89" s="1194"/>
      <c r="AA89" s="1194"/>
      <c r="AB89" s="1194"/>
      <c r="AC89" s="1196"/>
      <c r="AE89" s="1186"/>
      <c r="AF89" s="1189"/>
      <c r="AG89" s="395" t="s">
        <v>742</v>
      </c>
      <c r="AH89" s="396" t="s">
        <v>738</v>
      </c>
      <c r="AI89" s="1194"/>
      <c r="AJ89" s="1194"/>
      <c r="AK89" s="1194"/>
      <c r="AL89" s="1194"/>
      <c r="AM89" s="1194"/>
      <c r="AN89" s="1194"/>
      <c r="AO89" s="1194"/>
      <c r="AP89" s="1194"/>
      <c r="AQ89" s="1194"/>
      <c r="AR89" s="1196"/>
    </row>
    <row r="90" spans="2:44" ht="16" outlineLevel="1" thickBot="1">
      <c r="B90" s="401" t="s">
        <v>743</v>
      </c>
      <c r="C90" s="402"/>
      <c r="D90" s="403"/>
      <c r="E90" s="404"/>
      <c r="F90" s="405"/>
      <c r="G90" s="406"/>
      <c r="H90" s="406"/>
      <c r="I90" s="406"/>
      <c r="J90" s="406"/>
      <c r="K90" s="407"/>
      <c r="L90" s="408"/>
      <c r="M90" s="363"/>
      <c r="N90" s="363"/>
      <c r="P90" s="1186"/>
      <c r="Q90" s="1190"/>
      <c r="R90" s="409" t="s">
        <v>863</v>
      </c>
      <c r="S90" s="410" t="s">
        <v>738</v>
      </c>
      <c r="T90" s="1195"/>
      <c r="U90" s="1195"/>
      <c r="V90" s="1195"/>
      <c r="W90" s="1195"/>
      <c r="X90" s="1195"/>
      <c r="Y90" s="1195"/>
      <c r="Z90" s="1195"/>
      <c r="AA90" s="1195"/>
      <c r="AB90" s="1195"/>
      <c r="AC90" s="1197"/>
      <c r="AE90" s="1186"/>
      <c r="AF90" s="1190"/>
      <c r="AG90" s="409" t="s">
        <v>863</v>
      </c>
      <c r="AH90" s="410" t="s">
        <v>738</v>
      </c>
      <c r="AI90" s="1195"/>
      <c r="AJ90" s="1195"/>
      <c r="AK90" s="1195"/>
      <c r="AL90" s="1195"/>
      <c r="AM90" s="1195"/>
      <c r="AN90" s="1195"/>
      <c r="AO90" s="1195"/>
      <c r="AP90" s="1195"/>
      <c r="AQ90" s="1195"/>
      <c r="AR90" s="1197"/>
    </row>
    <row r="91" spans="2:44" ht="33" outlineLevel="1" thickBot="1">
      <c r="B91" s="376" t="s">
        <v>663</v>
      </c>
      <c r="C91" s="390">
        <v>10</v>
      </c>
      <c r="D91" s="390">
        <v>10</v>
      </c>
      <c r="E91" s="390">
        <v>10</v>
      </c>
      <c r="F91" s="390">
        <v>10</v>
      </c>
      <c r="G91" s="391"/>
      <c r="H91" s="391"/>
      <c r="I91" s="391"/>
      <c r="J91" s="391"/>
      <c r="K91" s="379"/>
      <c r="L91" s="380">
        <v>4</v>
      </c>
      <c r="M91" s="363"/>
      <c r="N91" s="363"/>
      <c r="P91" s="1187"/>
      <c r="Q91" s="411" t="s">
        <v>745</v>
      </c>
      <c r="R91" s="412" t="s">
        <v>746</v>
      </c>
      <c r="S91" s="630" t="s">
        <v>738</v>
      </c>
      <c r="T91" s="416">
        <v>0</v>
      </c>
      <c r="U91" s="415">
        <f>T91</f>
        <v>0</v>
      </c>
      <c r="V91" s="416">
        <v>0</v>
      </c>
      <c r="W91" s="415">
        <f>V91</f>
        <v>0</v>
      </c>
      <c r="X91" s="416">
        <v>0</v>
      </c>
      <c r="Y91" s="415">
        <f>X91</f>
        <v>0</v>
      </c>
      <c r="Z91" s="416">
        <v>0</v>
      </c>
      <c r="AA91" s="415">
        <f>Z91</f>
        <v>0</v>
      </c>
      <c r="AB91" s="416">
        <v>0</v>
      </c>
      <c r="AC91" s="417">
        <f>AB91</f>
        <v>0</v>
      </c>
      <c r="AE91" s="1187"/>
      <c r="AF91" s="411" t="s">
        <v>745</v>
      </c>
      <c r="AG91" s="1254" t="s">
        <v>746</v>
      </c>
      <c r="AH91" s="1255" t="s">
        <v>738</v>
      </c>
      <c r="AI91" s="416">
        <v>0</v>
      </c>
      <c r="AJ91" s="415">
        <f>AI91</f>
        <v>0</v>
      </c>
      <c r="AK91" s="416">
        <v>0</v>
      </c>
      <c r="AL91" s="415">
        <f>AK91</f>
        <v>0</v>
      </c>
      <c r="AM91" s="416">
        <v>0</v>
      </c>
      <c r="AN91" s="415">
        <f>AM91</f>
        <v>0</v>
      </c>
      <c r="AO91" s="416">
        <v>0</v>
      </c>
      <c r="AP91" s="415">
        <f>AO91</f>
        <v>0</v>
      </c>
      <c r="AQ91" s="416">
        <v>0</v>
      </c>
      <c r="AR91" s="417">
        <f>AQ91</f>
        <v>0</v>
      </c>
    </row>
    <row r="92" spans="2:44" outlineLevel="1">
      <c r="B92" s="376" t="s">
        <v>664</v>
      </c>
      <c r="C92" s="390">
        <v>0.25</v>
      </c>
      <c r="D92" s="390">
        <v>0.25</v>
      </c>
      <c r="E92" s="390">
        <v>0.25</v>
      </c>
      <c r="F92" s="390">
        <v>0.25</v>
      </c>
      <c r="G92" s="418"/>
      <c r="H92" s="418"/>
      <c r="I92" s="418"/>
      <c r="J92" s="418"/>
      <c r="K92" s="419"/>
      <c r="L92" s="380">
        <v>4</v>
      </c>
      <c r="M92" s="363"/>
      <c r="N92" s="363"/>
    </row>
    <row r="93" spans="2:44" outlineLevel="1">
      <c r="B93" s="376" t="s">
        <v>666</v>
      </c>
      <c r="C93" s="390">
        <v>1</v>
      </c>
      <c r="D93" s="390">
        <v>1</v>
      </c>
      <c r="E93" s="390">
        <v>1</v>
      </c>
      <c r="F93" s="390">
        <v>1</v>
      </c>
      <c r="G93" s="418"/>
      <c r="H93" s="418"/>
      <c r="I93" s="418"/>
      <c r="J93" s="418"/>
      <c r="K93" s="419"/>
      <c r="L93" s="380">
        <v>1</v>
      </c>
      <c r="M93" s="420"/>
      <c r="N93" s="363"/>
    </row>
    <row r="94" spans="2:44" outlineLevel="1">
      <c r="B94" s="421" t="s">
        <v>12</v>
      </c>
      <c r="C94" s="399"/>
      <c r="D94" s="399"/>
      <c r="E94" s="399"/>
      <c r="F94" s="399"/>
      <c r="G94" s="422"/>
      <c r="H94" s="422"/>
      <c r="I94" s="422"/>
      <c r="J94" s="422"/>
      <c r="K94" s="423"/>
      <c r="L94" s="424"/>
      <c r="M94" s="420"/>
      <c r="N94" s="420"/>
    </row>
    <row r="95" spans="2:44" outlineLevel="1">
      <c r="B95" s="383" t="s">
        <v>843</v>
      </c>
      <c r="C95" s="1223" t="s">
        <v>669</v>
      </c>
      <c r="D95" s="1224"/>
      <c r="E95" s="1224"/>
      <c r="F95" s="1225"/>
      <c r="G95" s="422"/>
      <c r="H95" s="425"/>
      <c r="I95" s="425"/>
      <c r="J95" s="425"/>
      <c r="K95" s="426"/>
      <c r="L95" s="427"/>
      <c r="M95" s="428"/>
      <c r="N95" s="428"/>
    </row>
    <row r="96" spans="2:44" outlineLevel="1">
      <c r="B96" s="383" t="s">
        <v>749</v>
      </c>
      <c r="C96" s="1226"/>
      <c r="D96" s="1227"/>
      <c r="E96" s="1227"/>
      <c r="F96" s="1228"/>
      <c r="G96" s="425"/>
      <c r="H96" s="425"/>
      <c r="I96" s="425"/>
      <c r="J96" s="425"/>
      <c r="K96" s="423"/>
      <c r="L96" s="427"/>
      <c r="M96" s="428"/>
      <c r="N96" s="428"/>
    </row>
    <row r="97" spans="1:30" outlineLevel="1">
      <c r="B97" s="383" t="s">
        <v>844</v>
      </c>
      <c r="C97" s="1226"/>
      <c r="D97" s="1227"/>
      <c r="E97" s="1227"/>
      <c r="F97" s="1228"/>
      <c r="G97" s="425"/>
      <c r="H97" s="425"/>
      <c r="I97" s="425"/>
      <c r="J97" s="425"/>
      <c r="K97" s="423"/>
      <c r="L97" s="427"/>
      <c r="M97" s="428"/>
      <c r="N97" s="428"/>
    </row>
    <row r="98" spans="1:30" outlineLevel="1">
      <c r="B98" s="383" t="s">
        <v>366</v>
      </c>
      <c r="C98" s="1226"/>
      <c r="D98" s="1227"/>
      <c r="E98" s="1227"/>
      <c r="F98" s="1228"/>
      <c r="G98" s="425"/>
      <c r="H98" s="425"/>
      <c r="I98" s="425"/>
      <c r="J98" s="425"/>
      <c r="K98" s="423"/>
      <c r="L98" s="427"/>
      <c r="M98" s="428"/>
      <c r="N98" s="428"/>
    </row>
    <row r="99" spans="1:30" ht="16" outlineLevel="1" thickBot="1">
      <c r="B99" s="429" t="s">
        <v>367</v>
      </c>
      <c r="C99" s="1229"/>
      <c r="D99" s="1230"/>
      <c r="E99" s="1230"/>
      <c r="F99" s="1231"/>
      <c r="G99" s="425"/>
      <c r="H99" s="425"/>
      <c r="I99" s="425"/>
      <c r="J99" s="425"/>
      <c r="K99" s="423"/>
      <c r="L99" s="427"/>
      <c r="M99" s="428"/>
      <c r="N99" s="428"/>
    </row>
    <row r="100" spans="1:30" ht="16" outlineLevel="1" thickBot="1">
      <c r="B100" s="431" t="s">
        <v>674</v>
      </c>
      <c r="C100" s="432"/>
      <c r="D100" s="403"/>
      <c r="E100" s="403"/>
      <c r="F100" s="433"/>
      <c r="G100" s="434"/>
      <c r="H100" s="406"/>
      <c r="I100" s="406"/>
      <c r="J100" s="406"/>
      <c r="K100" s="407"/>
      <c r="L100" s="408"/>
      <c r="M100" s="428"/>
      <c r="N100" s="428"/>
    </row>
    <row r="101" spans="1:30" outlineLevel="1">
      <c r="A101" s="435"/>
      <c r="B101" s="436" t="s">
        <v>751</v>
      </c>
      <c r="C101" s="511">
        <v>0.73</v>
      </c>
      <c r="D101" s="512">
        <v>0.65</v>
      </c>
      <c r="E101" s="512">
        <v>0.6</v>
      </c>
      <c r="F101" s="513">
        <v>0.57999999999999996</v>
      </c>
      <c r="G101" s="425"/>
      <c r="H101" s="425"/>
      <c r="I101" s="425"/>
      <c r="J101" s="425"/>
      <c r="K101" s="426"/>
      <c r="L101" s="440">
        <v>1</v>
      </c>
      <c r="M101" s="420"/>
      <c r="N101" s="420"/>
    </row>
    <row r="102" spans="1:30" outlineLevel="1">
      <c r="B102" s="441" t="s">
        <v>839</v>
      </c>
      <c r="C102" s="442">
        <v>60</v>
      </c>
      <c r="D102" s="442">
        <v>60</v>
      </c>
      <c r="E102" s="442">
        <v>60</v>
      </c>
      <c r="F102" s="442">
        <v>60</v>
      </c>
      <c r="G102" s="425"/>
      <c r="H102" s="425"/>
      <c r="I102" s="425"/>
      <c r="J102" s="425"/>
      <c r="K102" s="444" t="s">
        <v>76</v>
      </c>
      <c r="L102" s="373">
        <v>6</v>
      </c>
      <c r="M102" s="71"/>
      <c r="N102" s="420"/>
    </row>
    <row r="103" spans="1:30" outlineLevel="1">
      <c r="B103" s="441" t="s">
        <v>840</v>
      </c>
      <c r="C103" s="442">
        <v>40</v>
      </c>
      <c r="D103" s="442">
        <v>40</v>
      </c>
      <c r="E103" s="442">
        <v>40</v>
      </c>
      <c r="F103" s="442">
        <v>40</v>
      </c>
      <c r="G103" s="425"/>
      <c r="H103" s="425"/>
      <c r="I103" s="425"/>
      <c r="J103" s="425"/>
      <c r="K103" s="444" t="s">
        <v>25</v>
      </c>
      <c r="L103" s="373">
        <v>6</v>
      </c>
      <c r="M103" s="420"/>
      <c r="N103" s="420"/>
    </row>
    <row r="104" spans="1:30" outlineLevel="1">
      <c r="B104" s="383" t="s">
        <v>841</v>
      </c>
      <c r="C104" s="445">
        <v>2000</v>
      </c>
      <c r="D104" s="446">
        <v>2000</v>
      </c>
      <c r="E104" s="446">
        <v>2000</v>
      </c>
      <c r="F104" s="447">
        <v>2000</v>
      </c>
      <c r="G104" s="425"/>
      <c r="H104" s="425"/>
      <c r="I104" s="425"/>
      <c r="J104" s="425"/>
      <c r="K104" s="448"/>
      <c r="L104" s="373">
        <v>4.5</v>
      </c>
      <c r="M104" s="420"/>
      <c r="N104" s="420"/>
    </row>
    <row r="105" spans="1:30" ht="16" outlineLevel="1" thickBot="1">
      <c r="B105" s="383" t="s">
        <v>679</v>
      </c>
      <c r="C105" s="449">
        <f>SUM(C106:C107)</f>
        <v>3.26</v>
      </c>
      <c r="D105" s="449">
        <f>SUM(D106:D107)</f>
        <v>3.2</v>
      </c>
      <c r="E105" s="449">
        <f>(D105+F105)/2</f>
        <v>3.16</v>
      </c>
      <c r="F105" s="449">
        <f>SUM(F106:F107)</f>
        <v>3.12</v>
      </c>
      <c r="G105" s="425"/>
      <c r="H105" s="425"/>
      <c r="I105" s="425"/>
      <c r="J105" s="425"/>
      <c r="K105" s="448"/>
      <c r="L105" s="373">
        <v>4</v>
      </c>
      <c r="M105" s="688"/>
      <c r="N105" s="689"/>
      <c r="P105" s="1157">
        <f>C105</f>
        <v>3.26</v>
      </c>
      <c r="Q105" s="1135"/>
      <c r="R105" s="1135"/>
      <c r="S105" s="1135"/>
      <c r="T105" s="1135"/>
      <c r="U105" s="1158"/>
    </row>
    <row r="106" spans="1:30" ht="16" outlineLevel="1" thickBot="1">
      <c r="B106" s="451" t="s">
        <v>758</v>
      </c>
      <c r="C106" s="452">
        <f>C85/100*73</f>
        <v>1.46</v>
      </c>
      <c r="D106" s="452">
        <f>D85/100*75</f>
        <v>1.5</v>
      </c>
      <c r="E106" s="452">
        <f>E85/100*76</f>
        <v>1.52</v>
      </c>
      <c r="F106" s="452">
        <f>F85/100*76</f>
        <v>1.52</v>
      </c>
      <c r="G106" s="453"/>
      <c r="H106" s="453"/>
      <c r="I106" s="453"/>
      <c r="J106" s="453"/>
      <c r="K106" s="379" t="s">
        <v>33</v>
      </c>
      <c r="L106" s="380">
        <v>4</v>
      </c>
      <c r="M106" s="688"/>
      <c r="N106" s="689"/>
      <c r="P106" s="1159">
        <f>C106</f>
        <v>1.46</v>
      </c>
      <c r="Q106" s="1160"/>
      <c r="R106" s="1160"/>
      <c r="S106" s="1160"/>
      <c r="T106" s="1160"/>
      <c r="U106" s="1161"/>
    </row>
    <row r="107" spans="1:30" outlineLevel="1">
      <c r="B107" s="451" t="s">
        <v>759</v>
      </c>
      <c r="C107" s="454">
        <v>1.8</v>
      </c>
      <c r="D107" s="454">
        <v>1.7</v>
      </c>
      <c r="E107" s="454">
        <f>(D107+F107)/2</f>
        <v>1.65</v>
      </c>
      <c r="F107" s="454">
        <v>1.6</v>
      </c>
      <c r="G107" s="453"/>
      <c r="H107" s="453"/>
      <c r="I107" s="453"/>
      <c r="J107" s="453"/>
      <c r="K107" s="455"/>
      <c r="L107" s="380">
        <v>4</v>
      </c>
      <c r="M107" s="363"/>
      <c r="N107" s="363"/>
      <c r="P107" s="53" t="s">
        <v>357</v>
      </c>
    </row>
    <row r="108" spans="1:30" ht="30" outlineLevel="1">
      <c r="B108" s="441"/>
      <c r="C108" s="642"/>
      <c r="D108" s="642"/>
      <c r="E108" s="642"/>
      <c r="F108" s="642"/>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441"/>
      <c r="C109" s="442"/>
      <c r="D109" s="457"/>
      <c r="E109" s="457"/>
      <c r="F109" s="458"/>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33"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451" t="s">
        <v>762</v>
      </c>
      <c r="C111" s="633">
        <f>C101*0.2</f>
        <v>0.14599999999999999</v>
      </c>
      <c r="D111" s="633">
        <f>D101*0.2</f>
        <v>0.13</v>
      </c>
      <c r="E111" s="633">
        <f>E101*0.2</f>
        <v>0.12</v>
      </c>
      <c r="F111" s="633">
        <f>F101*0.2</f>
        <v>0.11599999999999999</v>
      </c>
      <c r="G111" s="643"/>
      <c r="H111" s="643"/>
      <c r="I111" s="643"/>
      <c r="J111" s="643"/>
      <c r="K111" s="643" t="s">
        <v>51</v>
      </c>
      <c r="L111" s="464"/>
      <c r="M111" s="363"/>
      <c r="N111" s="363"/>
      <c r="O111" s="465">
        <f>C84</f>
        <v>442</v>
      </c>
      <c r="P111" s="466">
        <f>C80</f>
        <v>2020</v>
      </c>
      <c r="Q111" s="58">
        <f>P111</f>
        <v>2020</v>
      </c>
      <c r="R111" s="466">
        <f>O111/100</f>
        <v>4.42</v>
      </c>
      <c r="S111" s="58"/>
      <c r="T111" s="466">
        <f>C88</f>
        <v>20</v>
      </c>
      <c r="U111" s="467">
        <f>C118</f>
        <v>5438.5</v>
      </c>
      <c r="V111" s="467">
        <f>C120</f>
        <v>14.9</v>
      </c>
      <c r="W111" s="467">
        <f>C121</f>
        <v>6.7463888888888883</v>
      </c>
      <c r="X111" s="58"/>
      <c r="Y111" s="58"/>
      <c r="Z111" s="466" t="str">
        <f>C95</f>
        <v>Cf. the utilized electricity</v>
      </c>
      <c r="AA111" s="468">
        <f>C97</f>
        <v>0</v>
      </c>
      <c r="AB111" s="468">
        <f>C98</f>
        <v>0</v>
      </c>
      <c r="AC111" s="468">
        <f>C99</f>
        <v>0</v>
      </c>
      <c r="AD111" s="468">
        <f>C96</f>
        <v>0</v>
      </c>
    </row>
    <row r="112" spans="1:30" outlineLevel="1">
      <c r="B112" s="376" t="s">
        <v>763</v>
      </c>
      <c r="C112" s="469" t="s">
        <v>36</v>
      </c>
      <c r="D112" s="470" t="s">
        <v>36</v>
      </c>
      <c r="E112" s="470" t="s">
        <v>36</v>
      </c>
      <c r="F112" s="471" t="s">
        <v>36</v>
      </c>
      <c r="G112" s="471"/>
      <c r="H112" s="471"/>
      <c r="I112" s="471"/>
      <c r="J112" s="471"/>
      <c r="K112" s="472"/>
      <c r="L112" s="464"/>
      <c r="M112" s="363"/>
      <c r="N112" s="363"/>
      <c r="O112" s="465">
        <f>D84</f>
        <v>455.41</v>
      </c>
      <c r="P112" s="466">
        <f>D80</f>
        <v>2030</v>
      </c>
      <c r="Q112" s="58"/>
      <c r="R112" s="466">
        <f>O112/100</f>
        <v>4.5541</v>
      </c>
      <c r="S112" s="58"/>
      <c r="T112" s="466">
        <f>D88</f>
        <v>20</v>
      </c>
      <c r="U112" s="467">
        <f>D118</f>
        <v>4842.5</v>
      </c>
      <c r="V112" s="467">
        <f>D120</f>
        <v>14.9</v>
      </c>
      <c r="W112" s="467">
        <f>D121</f>
        <v>6.6222222222222227</v>
      </c>
      <c r="X112" s="58"/>
      <c r="Y112" s="58"/>
      <c r="Z112" s="466">
        <f>D95</f>
        <v>0</v>
      </c>
      <c r="AA112" s="468">
        <f>D97</f>
        <v>0</v>
      </c>
      <c r="AB112" s="468">
        <f>D98</f>
        <v>0</v>
      </c>
      <c r="AC112" s="468">
        <f>D99</f>
        <v>0</v>
      </c>
      <c r="AD112" s="468">
        <f>D96</f>
        <v>0</v>
      </c>
    </row>
    <row r="113" spans="2:30" outlineLevel="1">
      <c r="B113" s="376" t="s">
        <v>764</v>
      </c>
      <c r="C113" s="469" t="s">
        <v>36</v>
      </c>
      <c r="D113" s="470" t="s">
        <v>36</v>
      </c>
      <c r="E113" s="470" t="s">
        <v>36</v>
      </c>
      <c r="F113" s="471" t="s">
        <v>36</v>
      </c>
      <c r="G113" s="453"/>
      <c r="H113" s="453"/>
      <c r="I113" s="453"/>
      <c r="J113" s="453"/>
      <c r="K113" s="453"/>
      <c r="L113" s="380"/>
      <c r="M113" s="363"/>
      <c r="N113" s="363"/>
      <c r="O113" s="465">
        <f>E84</f>
        <v>464.61820000000006</v>
      </c>
      <c r="P113" s="466">
        <f>E80</f>
        <v>2040</v>
      </c>
      <c r="Q113" s="58"/>
      <c r="R113" s="466">
        <f>O113/100</f>
        <v>4.6461820000000005</v>
      </c>
      <c r="S113" s="58"/>
      <c r="T113" s="466">
        <f>E88</f>
        <v>20</v>
      </c>
      <c r="U113" s="467">
        <f>E118</f>
        <v>4470</v>
      </c>
      <c r="V113" s="467">
        <f>E120</f>
        <v>14.9</v>
      </c>
      <c r="W113" s="467">
        <f>E121</f>
        <v>6.5394444444444444</v>
      </c>
      <c r="X113" s="58"/>
      <c r="Y113" s="58"/>
      <c r="Z113" s="466">
        <f>E95</f>
        <v>0</v>
      </c>
      <c r="AA113" s="468">
        <f>E97</f>
        <v>0</v>
      </c>
      <c r="AB113" s="468">
        <f>E98</f>
        <v>0</v>
      </c>
      <c r="AC113" s="468">
        <f>E99</f>
        <v>0</v>
      </c>
      <c r="AD113" s="468">
        <f>E96</f>
        <v>0</v>
      </c>
    </row>
    <row r="114" spans="2:30" outlineLevel="1">
      <c r="B114" s="376" t="s">
        <v>765</v>
      </c>
      <c r="C114" s="1232" t="s">
        <v>669</v>
      </c>
      <c r="D114" s="1233"/>
      <c r="E114" s="1233"/>
      <c r="F114" s="1234"/>
      <c r="G114" s="474"/>
      <c r="H114" s="474"/>
      <c r="I114" s="474"/>
      <c r="J114" s="474"/>
      <c r="K114" s="474"/>
      <c r="L114" s="380"/>
      <c r="M114" s="363"/>
      <c r="N114" s="363"/>
      <c r="O114" s="465">
        <f>F84</f>
        <v>469.31438200000008</v>
      </c>
      <c r="P114" s="466">
        <f>F80</f>
        <v>2050</v>
      </c>
      <c r="Q114" s="58"/>
      <c r="R114" s="466">
        <f>O114/100</f>
        <v>4.6931438200000004</v>
      </c>
      <c r="S114" s="58"/>
      <c r="T114" s="466">
        <f>F88</f>
        <v>20</v>
      </c>
      <c r="U114" s="467">
        <f>F118</f>
        <v>4321</v>
      </c>
      <c r="V114" s="467">
        <f>F120</f>
        <v>14.9</v>
      </c>
      <c r="W114" s="467">
        <f>F121</f>
        <v>6.4566666666666661</v>
      </c>
      <c r="X114" s="58"/>
      <c r="Y114" s="58"/>
      <c r="Z114" s="466">
        <f>F95</f>
        <v>0</v>
      </c>
      <c r="AA114" s="468">
        <f>F97</f>
        <v>0</v>
      </c>
      <c r="AB114" s="468">
        <f>F98</f>
        <v>0</v>
      </c>
      <c r="AC114" s="468">
        <f>F99</f>
        <v>0</v>
      </c>
      <c r="AD114" s="468">
        <f>F96</f>
        <v>0</v>
      </c>
    </row>
    <row r="115" spans="2:30" outlineLevel="1">
      <c r="B115" s="475" t="s">
        <v>766</v>
      </c>
      <c r="C115" s="469">
        <v>30</v>
      </c>
      <c r="D115" s="470">
        <v>30</v>
      </c>
      <c r="E115" s="470">
        <v>30</v>
      </c>
      <c r="F115" s="471">
        <v>30</v>
      </c>
      <c r="G115" s="474"/>
      <c r="H115" s="474"/>
      <c r="I115" s="474"/>
      <c r="J115" s="474"/>
      <c r="K115" s="474" t="s">
        <v>52</v>
      </c>
      <c r="L115" s="476"/>
      <c r="M115" s="367"/>
      <c r="N115" s="367"/>
    </row>
    <row r="116" spans="2:30" outlineLevel="1">
      <c r="B116" s="475" t="s">
        <v>767</v>
      </c>
      <c r="C116" s="469">
        <v>20</v>
      </c>
      <c r="D116" s="470">
        <v>20</v>
      </c>
      <c r="E116" s="470">
        <v>20</v>
      </c>
      <c r="F116" s="471">
        <v>20</v>
      </c>
      <c r="G116" s="474"/>
      <c r="H116" s="474"/>
      <c r="I116" s="474"/>
      <c r="J116" s="474"/>
      <c r="K116" s="474" t="s">
        <v>52</v>
      </c>
      <c r="L116" s="476"/>
      <c r="M116" s="363"/>
      <c r="N116" s="363"/>
    </row>
    <row r="117" spans="2:30" ht="16" outlineLevel="1" thickBot="1">
      <c r="B117" s="477" t="s">
        <v>768</v>
      </c>
      <c r="C117" s="478" t="s">
        <v>36</v>
      </c>
      <c r="D117" s="479" t="s">
        <v>36</v>
      </c>
      <c r="E117" s="479" t="s">
        <v>36</v>
      </c>
      <c r="F117" s="480" t="s">
        <v>36</v>
      </c>
      <c r="G117" s="481"/>
      <c r="H117" s="481"/>
      <c r="I117" s="481"/>
      <c r="J117" s="481"/>
      <c r="K117" s="481"/>
      <c r="L117" s="482"/>
      <c r="M117" s="363"/>
      <c r="N117" s="363"/>
    </row>
    <row r="118" spans="2:30" ht="64" outlineLevel="1">
      <c r="B118" s="461" t="s">
        <v>769</v>
      </c>
      <c r="C118" s="483">
        <f>C101*$F$4*1000</f>
        <v>5438.5</v>
      </c>
      <c r="D118" s="483">
        <f t="shared" ref="D118:F118" si="5">D101*$F$4*1000</f>
        <v>4842.5</v>
      </c>
      <c r="E118" s="483">
        <f t="shared" si="5"/>
        <v>4470</v>
      </c>
      <c r="F118" s="483">
        <f t="shared" si="5"/>
        <v>4321</v>
      </c>
      <c r="G118" s="483"/>
      <c r="H118" s="484"/>
      <c r="I118" s="420" t="s">
        <v>332</v>
      </c>
      <c r="J118" s="420"/>
      <c r="K118" s="484"/>
      <c r="L118" s="484"/>
      <c r="N118" s="420"/>
    </row>
    <row r="119" spans="2:30" outlineLevel="1">
      <c r="B119" s="485" t="s">
        <v>770</v>
      </c>
      <c r="C119" s="486">
        <f>C118*$I119</f>
        <v>2719250</v>
      </c>
      <c r="D119" s="486">
        <f>D118*$I119</f>
        <v>2421250</v>
      </c>
      <c r="E119" s="486">
        <f>E118*$I119</f>
        <v>2235000</v>
      </c>
      <c r="F119" s="486">
        <f>F118*$I119</f>
        <v>2160500</v>
      </c>
      <c r="G119" s="486"/>
      <c r="H119" s="484"/>
      <c r="I119" s="71">
        <v>500</v>
      </c>
      <c r="J119" s="420" t="s">
        <v>330</v>
      </c>
      <c r="K119" s="484"/>
      <c r="L119" s="484"/>
      <c r="N119" s="420"/>
    </row>
    <row r="120" spans="2:30" ht="48" outlineLevel="1">
      <c r="B120" s="461" t="s">
        <v>845</v>
      </c>
      <c r="C120" s="359">
        <f>C104*$F$4/1000</f>
        <v>14.9</v>
      </c>
      <c r="D120" s="359">
        <f t="shared" ref="D120:F120" si="6">D104*$F$4/1000</f>
        <v>14.9</v>
      </c>
      <c r="E120" s="359">
        <f t="shared" si="6"/>
        <v>14.9</v>
      </c>
      <c r="F120" s="359">
        <f t="shared" si="6"/>
        <v>14.9</v>
      </c>
      <c r="G120" s="359"/>
      <c r="I120" s="420" t="s">
        <v>333</v>
      </c>
      <c r="J120" s="420"/>
      <c r="N120" s="420"/>
    </row>
    <row r="121" spans="2:30" ht="48" outlineLevel="1">
      <c r="B121" s="461" t="s">
        <v>846</v>
      </c>
      <c r="C121" s="487">
        <f>C105*$F$4/3.6</f>
        <v>6.7463888888888883</v>
      </c>
      <c r="D121" s="487">
        <f t="shared" ref="D121:F121" si="7">D105*$F$4/3.6</f>
        <v>6.6222222222222227</v>
      </c>
      <c r="E121" s="487">
        <f t="shared" si="7"/>
        <v>6.5394444444444444</v>
      </c>
      <c r="F121" s="487">
        <f t="shared" si="7"/>
        <v>6.4566666666666661</v>
      </c>
      <c r="G121" s="359"/>
      <c r="M121" s="420"/>
      <c r="N121" s="420"/>
    </row>
    <row r="122" spans="2:30" outlineLevel="1"/>
    <row r="123" spans="2:30" outlineLevel="1"/>
    <row r="124" spans="2:30" outlineLevel="1"/>
    <row r="125" spans="2:30" outlineLevel="1"/>
    <row r="126" spans="2:30" outlineLevel="1">
      <c r="E126" s="358"/>
      <c r="F126" s="358"/>
      <c r="G126" s="358"/>
      <c r="H126" s="358"/>
      <c r="I126" s="358"/>
      <c r="J126" s="358"/>
      <c r="K126" s="358"/>
      <c r="L126" s="358"/>
    </row>
    <row r="127" spans="2:30" outlineLevel="1">
      <c r="B127" s="634" t="s">
        <v>773</v>
      </c>
      <c r="C127" s="490"/>
      <c r="D127" s="490"/>
      <c r="E127" s="358"/>
      <c r="F127" s="358"/>
      <c r="G127" s="358"/>
      <c r="H127" s="358"/>
      <c r="I127" s="358"/>
      <c r="J127" s="358"/>
      <c r="K127" s="358"/>
      <c r="L127" s="358"/>
    </row>
    <row r="128" spans="2:30" outlineLevel="1">
      <c r="B128" s="358">
        <v>1</v>
      </c>
      <c r="C128" s="635" t="s">
        <v>847</v>
      </c>
      <c r="D128" s="490"/>
      <c r="F128" s="358"/>
      <c r="G128" s="358"/>
      <c r="H128" s="358"/>
      <c r="I128" s="358"/>
      <c r="J128" s="358"/>
      <c r="K128" s="358"/>
      <c r="L128" s="358"/>
    </row>
    <row r="129" spans="2:12" outlineLevel="1">
      <c r="B129" s="358">
        <v>2</v>
      </c>
      <c r="C129" s="635" t="s">
        <v>848</v>
      </c>
      <c r="D129" s="490"/>
      <c r="F129" s="358"/>
      <c r="G129" s="358"/>
      <c r="H129" s="358"/>
      <c r="I129" s="358"/>
      <c r="J129" s="358"/>
      <c r="K129" s="358"/>
      <c r="L129" s="358"/>
    </row>
    <row r="130" spans="2:12" outlineLevel="1">
      <c r="B130" s="358">
        <v>3</v>
      </c>
      <c r="C130" s="490" t="s">
        <v>849</v>
      </c>
      <c r="D130" s="490"/>
      <c r="F130" s="358"/>
      <c r="G130" s="358"/>
      <c r="H130" s="358"/>
      <c r="I130" s="358"/>
      <c r="J130" s="358"/>
      <c r="K130" s="358"/>
      <c r="L130" s="358"/>
    </row>
    <row r="131" spans="2:12" outlineLevel="1">
      <c r="B131" s="358">
        <v>4</v>
      </c>
      <c r="C131" s="490" t="s">
        <v>850</v>
      </c>
      <c r="D131" s="490"/>
      <c r="F131" s="358"/>
      <c r="G131" s="358"/>
      <c r="H131" s="358"/>
      <c r="I131" s="358"/>
      <c r="J131" s="358"/>
      <c r="K131" s="358"/>
      <c r="L131" s="358"/>
    </row>
    <row r="132" spans="2:12" outlineLevel="1">
      <c r="B132" s="358">
        <v>5</v>
      </c>
      <c r="C132" s="636" t="s">
        <v>851</v>
      </c>
      <c r="D132" s="490"/>
      <c r="F132" s="358"/>
      <c r="G132" s="358"/>
      <c r="H132" s="358"/>
      <c r="I132" s="358"/>
      <c r="J132" s="358"/>
      <c r="K132" s="358"/>
      <c r="L132" s="358"/>
    </row>
    <row r="133" spans="2:12" outlineLevel="1">
      <c r="B133" s="358">
        <v>6</v>
      </c>
      <c r="C133" s="490" t="s">
        <v>852</v>
      </c>
      <c r="D133" s="490"/>
      <c r="F133" s="358"/>
      <c r="G133" s="358"/>
      <c r="H133" s="358"/>
      <c r="I133" s="358"/>
      <c r="J133" s="358"/>
      <c r="K133" s="358"/>
      <c r="L133" s="358"/>
    </row>
    <row r="134" spans="2:12" outlineLevel="1">
      <c r="B134" s="634" t="s">
        <v>783</v>
      </c>
      <c r="C134" s="358"/>
      <c r="D134" s="490"/>
      <c r="F134" s="358"/>
      <c r="G134" s="358"/>
      <c r="H134" s="358"/>
      <c r="I134" s="358"/>
      <c r="J134" s="358"/>
      <c r="K134" s="358"/>
      <c r="L134" s="358"/>
    </row>
    <row r="135" spans="2:12" outlineLevel="1">
      <c r="B135" s="637" t="s">
        <v>6</v>
      </c>
      <c r="C135" s="490" t="s">
        <v>853</v>
      </c>
      <c r="D135" s="490"/>
      <c r="F135" s="358"/>
      <c r="G135" s="358"/>
      <c r="H135" s="358"/>
      <c r="I135" s="358"/>
      <c r="J135" s="358"/>
      <c r="K135" s="358"/>
      <c r="L135" s="358"/>
    </row>
    <row r="136" spans="2:12" outlineLevel="1">
      <c r="B136" s="637" t="s">
        <v>59</v>
      </c>
      <c r="C136" s="490" t="s">
        <v>854</v>
      </c>
      <c r="D136" s="490"/>
      <c r="F136" s="358"/>
      <c r="G136" s="358"/>
      <c r="H136" s="358"/>
      <c r="I136" s="358"/>
      <c r="J136" s="358"/>
      <c r="K136" s="358"/>
      <c r="L136" s="358"/>
    </row>
    <row r="137" spans="2:12" outlineLevel="1">
      <c r="B137" s="637" t="s">
        <v>16</v>
      </c>
      <c r="C137" s="490" t="s">
        <v>855</v>
      </c>
      <c r="D137" s="490"/>
      <c r="F137" s="358"/>
      <c r="G137" s="358"/>
      <c r="H137" s="358"/>
      <c r="I137" s="358"/>
      <c r="J137" s="358"/>
      <c r="K137" s="358"/>
      <c r="L137" s="358"/>
    </row>
    <row r="138" spans="2:12" outlineLevel="1">
      <c r="B138" s="637" t="s">
        <v>20</v>
      </c>
      <c r="C138" s="490" t="s">
        <v>856</v>
      </c>
      <c r="D138" s="490"/>
      <c r="F138" s="358"/>
      <c r="G138" s="358"/>
      <c r="H138" s="358"/>
      <c r="I138" s="358"/>
      <c r="J138" s="358"/>
      <c r="K138" s="358"/>
      <c r="L138" s="358"/>
    </row>
    <row r="139" spans="2:12" outlineLevel="1">
      <c r="B139" s="637" t="s">
        <v>76</v>
      </c>
      <c r="C139" s="490" t="s">
        <v>857</v>
      </c>
      <c r="D139" s="490"/>
      <c r="F139" s="358"/>
      <c r="G139" s="358"/>
      <c r="H139" s="358"/>
      <c r="I139" s="358"/>
      <c r="J139" s="358"/>
      <c r="K139" s="358"/>
      <c r="L139" s="358"/>
    </row>
    <row r="140" spans="2:12" outlineLevel="1">
      <c r="B140" s="637" t="s">
        <v>25</v>
      </c>
      <c r="C140" s="490" t="s">
        <v>858</v>
      </c>
      <c r="D140" s="358"/>
      <c r="F140" s="358"/>
      <c r="G140" s="358"/>
      <c r="H140" s="358"/>
      <c r="I140" s="358"/>
      <c r="J140" s="358"/>
      <c r="K140" s="358"/>
      <c r="L140" s="358"/>
    </row>
    <row r="141" spans="2:12" outlineLevel="1">
      <c r="B141" s="637" t="s">
        <v>33</v>
      </c>
      <c r="C141" s="489" t="s">
        <v>788</v>
      </c>
      <c r="D141" s="358"/>
      <c r="F141" s="358"/>
      <c r="G141" s="358"/>
      <c r="H141" s="358"/>
      <c r="I141" s="358"/>
      <c r="J141" s="358"/>
      <c r="K141" s="358"/>
      <c r="L141" s="358"/>
    </row>
    <row r="142" spans="2:12" outlineLevel="1">
      <c r="B142" s="637" t="s">
        <v>51</v>
      </c>
      <c r="C142" s="490" t="s">
        <v>859</v>
      </c>
      <c r="D142" s="358"/>
      <c r="G142" s="358"/>
      <c r="H142" s="358"/>
      <c r="I142" s="358"/>
      <c r="J142" s="358"/>
      <c r="K142" s="358"/>
      <c r="L142" s="358"/>
    </row>
    <row r="143" spans="2:12" outlineLevel="1">
      <c r="B143" s="637" t="s">
        <v>52</v>
      </c>
      <c r="C143" s="490" t="s">
        <v>860</v>
      </c>
      <c r="E143" s="490"/>
      <c r="F143" s="490"/>
    </row>
    <row r="144" spans="2:12" outlineLevel="1"/>
    <row r="145" spans="1:44" outlineLevel="1">
      <c r="M145" s="214"/>
    </row>
    <row r="146" spans="1:44" outlineLevel="1"/>
    <row r="149" spans="1:44">
      <c r="A149" s="360" t="s">
        <v>861</v>
      </c>
      <c r="B149" s="1134"/>
      <c r="C149" s="1135"/>
      <c r="D149" s="1135"/>
      <c r="E149" s="1135"/>
      <c r="F149" s="1135"/>
      <c r="G149" s="1135"/>
      <c r="H149" s="1135"/>
      <c r="I149" s="1135"/>
      <c r="J149" s="1135"/>
      <c r="K149" s="1135"/>
      <c r="L149" s="1135"/>
      <c r="M149" s="1135"/>
      <c r="N149" s="689"/>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689"/>
      <c r="P150" s="1135"/>
      <c r="Q150" s="1135"/>
      <c r="R150" s="1135"/>
      <c r="S150" s="1135"/>
      <c r="T150" s="1135"/>
      <c r="U150" s="1135"/>
    </row>
    <row r="151" spans="1:44" ht="20.5" customHeight="1" outlineLevel="1" thickBot="1">
      <c r="B151" s="362" t="s">
        <v>0</v>
      </c>
      <c r="C151" s="1251" t="s">
        <v>836</v>
      </c>
      <c r="D151" s="1252"/>
      <c r="E151" s="1252"/>
      <c r="F151" s="1252"/>
      <c r="G151" s="1252"/>
      <c r="H151" s="1252"/>
      <c r="I151" s="1252"/>
      <c r="J151" s="1252"/>
      <c r="K151" s="1252"/>
      <c r="L151" s="1253"/>
      <c r="M151" s="363"/>
      <c r="N151" s="363"/>
      <c r="P151" s="364" t="s">
        <v>713</v>
      </c>
      <c r="Q151" s="365"/>
      <c r="R151" s="366"/>
      <c r="S151" s="1143" t="s">
        <v>714</v>
      </c>
      <c r="T151" s="1147" t="s">
        <v>715</v>
      </c>
      <c r="U151" s="1148"/>
      <c r="V151" s="1147" t="s">
        <v>716</v>
      </c>
      <c r="W151" s="1148"/>
      <c r="X151" s="1147" t="s">
        <v>717</v>
      </c>
      <c r="Y151" s="1148"/>
      <c r="Z151" s="1147" t="s">
        <v>718</v>
      </c>
      <c r="AA151" s="1148"/>
      <c r="AB151" s="1147" t="s">
        <v>719</v>
      </c>
      <c r="AC151" s="1148"/>
      <c r="AE151" s="364" t="s">
        <v>720</v>
      </c>
      <c r="AF151" s="365"/>
      <c r="AG151" s="366"/>
      <c r="AH151" s="1143" t="s">
        <v>714</v>
      </c>
      <c r="AI151" s="1147" t="s">
        <v>715</v>
      </c>
      <c r="AJ151" s="1148"/>
      <c r="AK151" s="1147" t="s">
        <v>716</v>
      </c>
      <c r="AL151" s="1148"/>
      <c r="AM151" s="1147" t="s">
        <v>717</v>
      </c>
      <c r="AN151" s="1148"/>
      <c r="AO151" s="1147" t="s">
        <v>718</v>
      </c>
      <c r="AP151" s="1148"/>
      <c r="AQ151" s="1147" t="s">
        <v>719</v>
      </c>
      <c r="AR151" s="1148"/>
    </row>
    <row r="152" spans="1:44" ht="15" customHeight="1" outlineLevel="1" thickBot="1">
      <c r="B152" s="1168" t="s">
        <v>4</v>
      </c>
      <c r="C152" s="1170">
        <v>2020</v>
      </c>
      <c r="D152" s="1170">
        <v>2030</v>
      </c>
      <c r="E152" s="1170">
        <v>2040</v>
      </c>
      <c r="F152" s="1170">
        <v>2050</v>
      </c>
      <c r="G152" s="1237" t="s">
        <v>721</v>
      </c>
      <c r="H152" s="1220"/>
      <c r="I152" s="1219" t="s">
        <v>648</v>
      </c>
      <c r="J152" s="1242"/>
      <c r="K152" s="1221" t="s">
        <v>2</v>
      </c>
      <c r="L152" s="1221" t="s">
        <v>3</v>
      </c>
      <c r="M152" s="367"/>
      <c r="N152" s="367"/>
      <c r="P152" s="1151" t="s">
        <v>0</v>
      </c>
      <c r="Q152" s="368"/>
      <c r="R152" s="368"/>
      <c r="S152" s="1144"/>
      <c r="T152" s="1149"/>
      <c r="U152" s="1150"/>
      <c r="V152" s="1149"/>
      <c r="W152" s="1150"/>
      <c r="X152" s="1149"/>
      <c r="Y152" s="1150"/>
      <c r="Z152" s="1149"/>
      <c r="AA152" s="1150"/>
      <c r="AB152" s="1149"/>
      <c r="AC152" s="1150"/>
      <c r="AE152" s="1151" t="s">
        <v>0</v>
      </c>
      <c r="AF152" s="368"/>
      <c r="AG152" s="368"/>
      <c r="AH152" s="1144"/>
      <c r="AI152" s="1149"/>
      <c r="AJ152" s="1150"/>
      <c r="AK152" s="1149"/>
      <c r="AL152" s="1150"/>
      <c r="AM152" s="1149"/>
      <c r="AN152" s="1150"/>
      <c r="AO152" s="1149"/>
      <c r="AP152" s="1150"/>
      <c r="AQ152" s="1149"/>
      <c r="AR152" s="1150"/>
    </row>
    <row r="153" spans="1:44" ht="15" customHeight="1" outlineLevel="1" thickBot="1">
      <c r="B153" s="1235"/>
      <c r="C153" s="1236"/>
      <c r="D153" s="1236"/>
      <c r="E153" s="1236"/>
      <c r="F153" s="1236"/>
      <c r="G153" s="369" t="s">
        <v>649</v>
      </c>
      <c r="H153" s="369" t="s">
        <v>650</v>
      </c>
      <c r="I153" s="369" t="s">
        <v>649</v>
      </c>
      <c r="J153" s="369" t="s">
        <v>650</v>
      </c>
      <c r="K153" s="1238"/>
      <c r="L153" s="1238"/>
      <c r="M153" s="370"/>
      <c r="N153" s="370"/>
      <c r="P153" s="1152"/>
      <c r="Q153" s="1154" t="s">
        <v>722</v>
      </c>
      <c r="R153" s="1155" t="s">
        <v>723</v>
      </c>
      <c r="S153" s="1145"/>
      <c r="T153" s="1149"/>
      <c r="U153" s="1150"/>
      <c r="V153" s="1149"/>
      <c r="W153" s="1150"/>
      <c r="X153" s="1149"/>
      <c r="Y153" s="1150"/>
      <c r="Z153" s="1149"/>
      <c r="AA153" s="1150"/>
      <c r="AB153" s="1149"/>
      <c r="AC153" s="1150"/>
      <c r="AE153" s="1152"/>
      <c r="AF153" s="1198" t="s">
        <v>722</v>
      </c>
      <c r="AG153" s="1155" t="s">
        <v>723</v>
      </c>
      <c r="AH153" s="1145"/>
      <c r="AI153" s="1149"/>
      <c r="AJ153" s="1150"/>
      <c r="AK153" s="1149"/>
      <c r="AL153" s="1150"/>
      <c r="AM153" s="1149"/>
      <c r="AN153" s="1150"/>
      <c r="AO153" s="1149"/>
      <c r="AP153" s="1150"/>
      <c r="AQ153" s="1149"/>
      <c r="AR153" s="1150"/>
    </row>
    <row r="154" spans="1:44" ht="33" outlineLevel="1" thickBot="1">
      <c r="B154" s="371" t="s">
        <v>651</v>
      </c>
      <c r="C154" s="372">
        <v>3</v>
      </c>
      <c r="D154" s="372">
        <v>3</v>
      </c>
      <c r="E154" s="372">
        <v>3</v>
      </c>
      <c r="F154" s="372">
        <v>3</v>
      </c>
      <c r="G154" s="372">
        <v>0.5</v>
      </c>
      <c r="H154" s="372">
        <v>5</v>
      </c>
      <c r="I154" s="372">
        <v>0.5</v>
      </c>
      <c r="J154" s="372">
        <v>5</v>
      </c>
      <c r="K154" s="372" t="s">
        <v>6</v>
      </c>
      <c r="L154" s="373" t="s">
        <v>837</v>
      </c>
      <c r="M154" s="370"/>
      <c r="N154" s="370"/>
      <c r="O154" s="74"/>
      <c r="P154" s="1153"/>
      <c r="Q154" s="1146"/>
      <c r="R154" s="1156"/>
      <c r="S154" s="1146"/>
      <c r="T154" s="374" t="s">
        <v>726</v>
      </c>
      <c r="U154" s="375" t="s">
        <v>727</v>
      </c>
      <c r="V154" s="374" t="s">
        <v>726</v>
      </c>
      <c r="W154" s="375" t="s">
        <v>727</v>
      </c>
      <c r="X154" s="374" t="s">
        <v>726</v>
      </c>
      <c r="Y154" s="375" t="s">
        <v>727</v>
      </c>
      <c r="Z154" s="374" t="s">
        <v>726</v>
      </c>
      <c r="AA154" s="375" t="s">
        <v>727</v>
      </c>
      <c r="AB154" s="374" t="s">
        <v>726</v>
      </c>
      <c r="AC154" s="375" t="s">
        <v>727</v>
      </c>
      <c r="AE154" s="1153"/>
      <c r="AF154" s="1199"/>
      <c r="AG154" s="1156"/>
      <c r="AH154" s="1146"/>
      <c r="AI154" s="374" t="s">
        <v>726</v>
      </c>
      <c r="AJ154" s="375" t="s">
        <v>727</v>
      </c>
      <c r="AK154" s="374" t="s">
        <v>726</v>
      </c>
      <c r="AL154" s="375" t="s">
        <v>727</v>
      </c>
      <c r="AM154" s="374" t="s">
        <v>726</v>
      </c>
      <c r="AN154" s="375" t="s">
        <v>727</v>
      </c>
      <c r="AO154" s="374" t="s">
        <v>726</v>
      </c>
      <c r="AP154" s="375" t="s">
        <v>727</v>
      </c>
      <c r="AQ154" s="374" t="s">
        <v>726</v>
      </c>
      <c r="AR154" s="375" t="s">
        <v>727</v>
      </c>
    </row>
    <row r="155" spans="1:44" ht="14.5" customHeight="1" outlineLevel="1">
      <c r="B155" s="376" t="s">
        <v>728</v>
      </c>
      <c r="C155" s="377">
        <v>533</v>
      </c>
      <c r="D155" s="377">
        <f>C155*1.03</f>
        <v>548.99</v>
      </c>
      <c r="E155" s="378">
        <f>D155*1.02</f>
        <v>559.96979999999996</v>
      </c>
      <c r="F155" s="377">
        <f>E155*1.01</f>
        <v>565.56949799999995</v>
      </c>
      <c r="G155" s="377">
        <f>C155</f>
        <v>533</v>
      </c>
      <c r="H155" s="377">
        <f>C155*1.05</f>
        <v>559.65</v>
      </c>
      <c r="I155" s="377">
        <f>F155*0.97</f>
        <v>548.60241305999989</v>
      </c>
      <c r="J155" s="377">
        <f>F155*1.02</f>
        <v>576.88088796</v>
      </c>
      <c r="K155" s="379" t="s">
        <v>59</v>
      </c>
      <c r="L155" s="380" t="s">
        <v>837</v>
      </c>
      <c r="M155" s="370"/>
      <c r="N155" s="370"/>
      <c r="P155" s="1200" t="str">
        <f>C151</f>
        <v>Heat pump, up to 60 °C, Temp lift = 40 K</v>
      </c>
      <c r="Q155" s="1188" t="s">
        <v>730</v>
      </c>
      <c r="R155" s="381" t="s">
        <v>731</v>
      </c>
      <c r="S155" s="382"/>
      <c r="T155" s="1191">
        <v>0</v>
      </c>
      <c r="U155" s="1179">
        <v>0</v>
      </c>
      <c r="V155" s="1191">
        <v>0</v>
      </c>
      <c r="W155" s="1179">
        <v>0</v>
      </c>
      <c r="X155" s="1191">
        <v>0</v>
      </c>
      <c r="Y155" s="1179">
        <v>0</v>
      </c>
      <c r="Z155" s="1191">
        <v>0</v>
      </c>
      <c r="AA155" s="1179">
        <v>0</v>
      </c>
      <c r="AB155" s="1191">
        <v>0</v>
      </c>
      <c r="AC155" s="1179">
        <v>0</v>
      </c>
      <c r="AE155" s="1185" t="str">
        <f>P155</f>
        <v>Heat pump, up to 60 °C, Temp lift = 40 K</v>
      </c>
      <c r="AF155" s="1188" t="s">
        <v>730</v>
      </c>
      <c r="AG155" s="381" t="s">
        <v>731</v>
      </c>
      <c r="AH155" s="382"/>
      <c r="AI155" s="1191">
        <v>0</v>
      </c>
      <c r="AJ155" s="1179">
        <v>0</v>
      </c>
      <c r="AK155" s="1191">
        <v>0</v>
      </c>
      <c r="AL155" s="1179">
        <v>0</v>
      </c>
      <c r="AM155" s="1191">
        <v>0</v>
      </c>
      <c r="AN155" s="1179">
        <v>0</v>
      </c>
      <c r="AO155" s="1191">
        <v>0</v>
      </c>
      <c r="AP155" s="1179">
        <v>0</v>
      </c>
      <c r="AQ155" s="1191">
        <v>0</v>
      </c>
      <c r="AR155" s="1179">
        <v>0</v>
      </c>
    </row>
    <row r="156" spans="1:44" outlineLevel="1">
      <c r="B156" s="383" t="s">
        <v>732</v>
      </c>
      <c r="C156" s="384">
        <f>C155-5</f>
        <v>528</v>
      </c>
      <c r="D156" s="384">
        <f t="shared" ref="D156:J156" si="8">D155-5</f>
        <v>543.99</v>
      </c>
      <c r="E156" s="384">
        <f t="shared" si="8"/>
        <v>554.96979999999996</v>
      </c>
      <c r="F156" s="384">
        <f t="shared" si="8"/>
        <v>560.56949799999995</v>
      </c>
      <c r="G156" s="385">
        <f t="shared" si="8"/>
        <v>528</v>
      </c>
      <c r="H156" s="385">
        <f t="shared" si="8"/>
        <v>554.65</v>
      </c>
      <c r="I156" s="385">
        <f t="shared" si="8"/>
        <v>543.60241305999989</v>
      </c>
      <c r="J156" s="385">
        <f t="shared" si="8"/>
        <v>571.88088796</v>
      </c>
      <c r="K156" s="386" t="s">
        <v>838</v>
      </c>
      <c r="L156" s="387"/>
      <c r="M156" s="370"/>
      <c r="N156" s="370"/>
      <c r="O156" s="71"/>
      <c r="P156" s="1186"/>
      <c r="Q156" s="1189"/>
      <c r="R156" s="388" t="s">
        <v>733</v>
      </c>
      <c r="S156" s="389"/>
      <c r="T156" s="1192"/>
      <c r="U156" s="1180"/>
      <c r="V156" s="1192"/>
      <c r="W156" s="1180"/>
      <c r="X156" s="1192"/>
      <c r="Y156" s="1180"/>
      <c r="Z156" s="1192"/>
      <c r="AA156" s="1180"/>
      <c r="AB156" s="1192"/>
      <c r="AC156" s="1180"/>
      <c r="AE156" s="1186"/>
      <c r="AF156" s="1189"/>
      <c r="AG156" s="388" t="s">
        <v>733</v>
      </c>
      <c r="AH156" s="389"/>
      <c r="AI156" s="1192"/>
      <c r="AJ156" s="1180"/>
      <c r="AK156" s="1192"/>
      <c r="AL156" s="1180"/>
      <c r="AM156" s="1192"/>
      <c r="AN156" s="1180"/>
      <c r="AO156" s="1192"/>
      <c r="AP156" s="1180"/>
      <c r="AQ156" s="1192"/>
      <c r="AR156" s="1180"/>
    </row>
    <row r="157" spans="1:44" ht="16" outlineLevel="1" thickBot="1">
      <c r="B157" s="376" t="s">
        <v>734</v>
      </c>
      <c r="C157" s="390">
        <v>2</v>
      </c>
      <c r="D157" s="391">
        <v>2</v>
      </c>
      <c r="E157" s="391">
        <v>2</v>
      </c>
      <c r="F157" s="392">
        <v>2</v>
      </c>
      <c r="G157" s="391">
        <v>1</v>
      </c>
      <c r="H157" s="391">
        <v>4</v>
      </c>
      <c r="I157" s="391">
        <v>1</v>
      </c>
      <c r="J157" s="391">
        <v>4</v>
      </c>
      <c r="K157" s="379"/>
      <c r="L157" s="380">
        <v>1.4</v>
      </c>
      <c r="M157" s="370"/>
      <c r="N157" s="370"/>
      <c r="O157" s="71"/>
      <c r="P157" s="1186"/>
      <c r="Q157" s="1190"/>
      <c r="R157" s="393" t="s">
        <v>735</v>
      </c>
      <c r="S157" s="394"/>
      <c r="T157" s="1193"/>
      <c r="U157" s="1181"/>
      <c r="V157" s="1193"/>
      <c r="W157" s="1181"/>
      <c r="X157" s="1193"/>
      <c r="Y157" s="1181"/>
      <c r="Z157" s="1193"/>
      <c r="AA157" s="1181"/>
      <c r="AB157" s="1193"/>
      <c r="AC157" s="1181"/>
      <c r="AE157" s="1186"/>
      <c r="AF157" s="1190"/>
      <c r="AG157" s="393" t="s">
        <v>735</v>
      </c>
      <c r="AH157" s="394"/>
      <c r="AI157" s="1193"/>
      <c r="AJ157" s="1181"/>
      <c r="AK157" s="1193"/>
      <c r="AL157" s="1181"/>
      <c r="AM157" s="1193"/>
      <c r="AN157" s="1181"/>
      <c r="AO157" s="1193"/>
      <c r="AP157" s="1181"/>
      <c r="AQ157" s="1193"/>
      <c r="AR157" s="1181"/>
    </row>
    <row r="158" spans="1:44" ht="14.5" customHeight="1" outlineLevel="1">
      <c r="B158" s="376" t="s">
        <v>657</v>
      </c>
      <c r="C158" s="390">
        <v>0</v>
      </c>
      <c r="D158" s="390">
        <v>0</v>
      </c>
      <c r="E158" s="390">
        <v>0</v>
      </c>
      <c r="F158" s="390">
        <v>0</v>
      </c>
      <c r="G158" s="390">
        <v>0</v>
      </c>
      <c r="H158" s="390">
        <v>1</v>
      </c>
      <c r="I158" s="390">
        <v>0</v>
      </c>
      <c r="J158" s="390">
        <v>1</v>
      </c>
      <c r="K158" s="379" t="s">
        <v>20</v>
      </c>
      <c r="L158" s="380"/>
      <c r="M158" s="370"/>
      <c r="N158" s="370"/>
      <c r="O158" s="71"/>
      <c r="P158" s="1186"/>
      <c r="Q158" s="1188" t="s">
        <v>736</v>
      </c>
      <c r="R158" s="395" t="s">
        <v>737</v>
      </c>
      <c r="S158" s="396" t="s">
        <v>738</v>
      </c>
      <c r="T158" s="1191">
        <v>0</v>
      </c>
      <c r="U158" s="1191">
        <v>0.16</v>
      </c>
      <c r="V158" s="1191">
        <v>0</v>
      </c>
      <c r="W158" s="1191">
        <v>0.16</v>
      </c>
      <c r="X158" s="1191">
        <v>0</v>
      </c>
      <c r="Y158" s="1191">
        <v>0.13</v>
      </c>
      <c r="Z158" s="1191">
        <v>0</v>
      </c>
      <c r="AA158" s="1191">
        <v>7.0000000000000007E-2</v>
      </c>
      <c r="AB158" s="1191">
        <v>0</v>
      </c>
      <c r="AC158" s="1179">
        <v>0.11</v>
      </c>
      <c r="AE158" s="1186"/>
      <c r="AF158" s="1188" t="s">
        <v>736</v>
      </c>
      <c r="AG158" s="395" t="s">
        <v>737</v>
      </c>
      <c r="AH158" s="396" t="s">
        <v>738</v>
      </c>
      <c r="AI158" s="1191">
        <v>0</v>
      </c>
      <c r="AJ158" s="1191">
        <f>U158/4</f>
        <v>0.04</v>
      </c>
      <c r="AK158" s="1191">
        <v>0</v>
      </c>
      <c r="AL158" s="1191">
        <f>W158/4</f>
        <v>0.04</v>
      </c>
      <c r="AM158" s="1191">
        <v>0</v>
      </c>
      <c r="AN158" s="1191">
        <f>Y158/4</f>
        <v>3.2500000000000001E-2</v>
      </c>
      <c r="AO158" s="1191">
        <v>0</v>
      </c>
      <c r="AP158" s="1191">
        <f>AA158/4</f>
        <v>1.7500000000000002E-2</v>
      </c>
      <c r="AQ158" s="1191">
        <v>0</v>
      </c>
      <c r="AR158" s="1179">
        <f>AC158/4</f>
        <v>2.75E-2</v>
      </c>
    </row>
    <row r="159" spans="1:44" outlineLevel="1">
      <c r="B159" s="376" t="s">
        <v>658</v>
      </c>
      <c r="C159" s="390">
        <v>1</v>
      </c>
      <c r="D159" s="390">
        <v>1</v>
      </c>
      <c r="E159" s="390">
        <v>1</v>
      </c>
      <c r="F159" s="390">
        <v>1</v>
      </c>
      <c r="G159" s="390">
        <v>0.5</v>
      </c>
      <c r="H159" s="390">
        <v>2</v>
      </c>
      <c r="I159" s="390">
        <v>0.5</v>
      </c>
      <c r="J159" s="390">
        <v>2</v>
      </c>
      <c r="K159" s="379"/>
      <c r="L159" s="380">
        <v>1.4</v>
      </c>
      <c r="M159" s="367"/>
      <c r="N159" s="367"/>
      <c r="O159" s="71"/>
      <c r="P159" s="1186"/>
      <c r="Q159" s="1189"/>
      <c r="R159" s="395" t="s">
        <v>739</v>
      </c>
      <c r="S159" s="396" t="s">
        <v>738</v>
      </c>
      <c r="T159" s="1208"/>
      <c r="U159" s="1208"/>
      <c r="V159" s="1208"/>
      <c r="W159" s="1208"/>
      <c r="X159" s="1208"/>
      <c r="Y159" s="1208"/>
      <c r="Z159" s="1208"/>
      <c r="AA159" s="1208"/>
      <c r="AB159" s="1208"/>
      <c r="AC159" s="1249"/>
      <c r="AE159" s="1186"/>
      <c r="AF159" s="1189"/>
      <c r="AG159" s="395" t="s">
        <v>739</v>
      </c>
      <c r="AH159" s="396" t="s">
        <v>738</v>
      </c>
      <c r="AI159" s="1208"/>
      <c r="AJ159" s="1208"/>
      <c r="AK159" s="1208"/>
      <c r="AL159" s="1208"/>
      <c r="AM159" s="1208"/>
      <c r="AN159" s="1208"/>
      <c r="AO159" s="1208"/>
      <c r="AP159" s="1208"/>
      <c r="AQ159" s="1208"/>
      <c r="AR159" s="1249"/>
    </row>
    <row r="160" spans="1:44" outlineLevel="1">
      <c r="B160" s="383" t="s">
        <v>11</v>
      </c>
      <c r="C160" s="397">
        <v>20</v>
      </c>
      <c r="D160" s="397">
        <v>20</v>
      </c>
      <c r="E160" s="397">
        <v>20</v>
      </c>
      <c r="F160" s="397">
        <v>20</v>
      </c>
      <c r="G160" s="398">
        <v>15</v>
      </c>
      <c r="H160" s="398">
        <v>30</v>
      </c>
      <c r="I160" s="398">
        <v>15</v>
      </c>
      <c r="J160" s="398">
        <v>30</v>
      </c>
      <c r="K160" s="372"/>
      <c r="L160" s="373">
        <v>4</v>
      </c>
      <c r="M160" s="363"/>
      <c r="N160" s="363"/>
      <c r="P160" s="1186"/>
      <c r="Q160" s="1189"/>
      <c r="R160" s="395" t="s">
        <v>741</v>
      </c>
      <c r="S160" s="396"/>
      <c r="T160" s="1208"/>
      <c r="U160" s="1208"/>
      <c r="V160" s="1208"/>
      <c r="W160" s="1208"/>
      <c r="X160" s="1208"/>
      <c r="Y160" s="1208"/>
      <c r="Z160" s="1208"/>
      <c r="AA160" s="1208"/>
      <c r="AB160" s="1208"/>
      <c r="AC160" s="1249"/>
      <c r="AE160" s="1186"/>
      <c r="AF160" s="1189"/>
      <c r="AG160" s="395" t="s">
        <v>741</v>
      </c>
      <c r="AH160" s="629" t="s">
        <v>842</v>
      </c>
      <c r="AI160" s="1208"/>
      <c r="AJ160" s="1208"/>
      <c r="AK160" s="1208"/>
      <c r="AL160" s="1208"/>
      <c r="AM160" s="1208"/>
      <c r="AN160" s="1208"/>
      <c r="AO160" s="1208"/>
      <c r="AP160" s="1208"/>
      <c r="AQ160" s="1208"/>
      <c r="AR160" s="1249"/>
    </row>
    <row r="161" spans="1:44" ht="16" outlineLevel="1" thickBot="1">
      <c r="B161" s="376" t="s">
        <v>273</v>
      </c>
      <c r="C161" s="399">
        <v>0.5</v>
      </c>
      <c r="D161" s="399">
        <v>0.5</v>
      </c>
      <c r="E161" s="399">
        <v>0.5</v>
      </c>
      <c r="F161" s="399">
        <v>0.5</v>
      </c>
      <c r="G161" s="399">
        <v>0.3</v>
      </c>
      <c r="H161" s="399">
        <v>0.7</v>
      </c>
      <c r="I161" s="399">
        <v>0.3</v>
      </c>
      <c r="J161" s="399">
        <v>0.7</v>
      </c>
      <c r="K161" s="372"/>
      <c r="L161" s="400">
        <v>4</v>
      </c>
      <c r="M161" s="363"/>
      <c r="N161" s="363"/>
      <c r="P161" s="1186"/>
      <c r="Q161" s="1189"/>
      <c r="R161" s="395" t="s">
        <v>742</v>
      </c>
      <c r="S161" s="396"/>
      <c r="T161" s="1208"/>
      <c r="U161" s="1208"/>
      <c r="V161" s="1208"/>
      <c r="W161" s="1208"/>
      <c r="X161" s="1208"/>
      <c r="Y161" s="1208"/>
      <c r="Z161" s="1208"/>
      <c r="AA161" s="1208"/>
      <c r="AB161" s="1208"/>
      <c r="AC161" s="1249"/>
      <c r="AE161" s="1186"/>
      <c r="AF161" s="1189"/>
      <c r="AG161" s="395" t="s">
        <v>742</v>
      </c>
      <c r="AH161" s="396" t="s">
        <v>738</v>
      </c>
      <c r="AI161" s="1208"/>
      <c r="AJ161" s="1208"/>
      <c r="AK161" s="1208"/>
      <c r="AL161" s="1208"/>
      <c r="AM161" s="1208"/>
      <c r="AN161" s="1208"/>
      <c r="AO161" s="1208"/>
      <c r="AP161" s="1208"/>
      <c r="AQ161" s="1208"/>
      <c r="AR161" s="1249"/>
    </row>
    <row r="162" spans="1:44" ht="16" outlineLevel="1" thickBot="1">
      <c r="B162" s="401" t="s">
        <v>743</v>
      </c>
      <c r="C162" s="402"/>
      <c r="D162" s="403"/>
      <c r="E162" s="404"/>
      <c r="F162" s="405"/>
      <c r="G162" s="406"/>
      <c r="H162" s="406"/>
      <c r="I162" s="406"/>
      <c r="J162" s="406"/>
      <c r="K162" s="407"/>
      <c r="L162" s="408"/>
      <c r="M162" s="363"/>
      <c r="N162" s="363"/>
      <c r="P162" s="1186"/>
      <c r="Q162" s="1189"/>
      <c r="R162" s="409" t="s">
        <v>744</v>
      </c>
      <c r="S162" s="410" t="s">
        <v>738</v>
      </c>
      <c r="T162" s="1209"/>
      <c r="U162" s="1209"/>
      <c r="V162" s="1209"/>
      <c r="W162" s="1209"/>
      <c r="X162" s="1209"/>
      <c r="Y162" s="1209"/>
      <c r="Z162" s="1209"/>
      <c r="AA162" s="1209"/>
      <c r="AB162" s="1209"/>
      <c r="AC162" s="1250"/>
      <c r="AE162" s="1186"/>
      <c r="AF162" s="1189"/>
      <c r="AG162" s="409" t="s">
        <v>744</v>
      </c>
      <c r="AH162" s="410" t="s">
        <v>738</v>
      </c>
      <c r="AI162" s="1209"/>
      <c r="AJ162" s="1209"/>
      <c r="AK162" s="1209"/>
      <c r="AL162" s="1209"/>
      <c r="AM162" s="1209"/>
      <c r="AN162" s="1209"/>
      <c r="AO162" s="1209"/>
      <c r="AP162" s="1209"/>
      <c r="AQ162" s="1209"/>
      <c r="AR162" s="1250"/>
    </row>
    <row r="163" spans="1:44" ht="33" outlineLevel="1" thickBot="1">
      <c r="B163" s="376" t="s">
        <v>663</v>
      </c>
      <c r="C163" s="390">
        <v>10</v>
      </c>
      <c r="D163" s="390">
        <v>10</v>
      </c>
      <c r="E163" s="390">
        <v>10</v>
      </c>
      <c r="F163" s="390">
        <v>10</v>
      </c>
      <c r="G163" s="391"/>
      <c r="H163" s="391"/>
      <c r="I163" s="391"/>
      <c r="J163" s="391"/>
      <c r="K163" s="379"/>
      <c r="L163" s="380">
        <v>4</v>
      </c>
      <c r="M163" s="363"/>
      <c r="N163" s="363"/>
      <c r="P163" s="1187"/>
      <c r="Q163" s="411" t="s">
        <v>745</v>
      </c>
      <c r="R163" s="412" t="s">
        <v>746</v>
      </c>
      <c r="S163" s="630" t="s">
        <v>738</v>
      </c>
      <c r="T163" s="416">
        <v>0</v>
      </c>
      <c r="U163" s="415">
        <f>T163</f>
        <v>0</v>
      </c>
      <c r="V163" s="416">
        <v>0</v>
      </c>
      <c r="W163" s="415">
        <f>V163</f>
        <v>0</v>
      </c>
      <c r="X163" s="416">
        <v>0</v>
      </c>
      <c r="Y163" s="415">
        <f>X163</f>
        <v>0</v>
      </c>
      <c r="Z163" s="416">
        <v>0</v>
      </c>
      <c r="AA163" s="415">
        <f>Z163</f>
        <v>0</v>
      </c>
      <c r="AB163" s="416">
        <v>0</v>
      </c>
      <c r="AC163" s="417">
        <f>AB163</f>
        <v>0</v>
      </c>
      <c r="AE163" s="1187"/>
      <c r="AF163" s="411" t="s">
        <v>745</v>
      </c>
      <c r="AG163" s="1254" t="s">
        <v>746</v>
      </c>
      <c r="AH163" s="1255"/>
      <c r="AI163" s="416">
        <v>0</v>
      </c>
      <c r="AJ163" s="415">
        <f>AI163</f>
        <v>0</v>
      </c>
      <c r="AK163" s="416">
        <v>0</v>
      </c>
      <c r="AL163" s="415">
        <f>AK163</f>
        <v>0</v>
      </c>
      <c r="AM163" s="416">
        <v>0</v>
      </c>
      <c r="AN163" s="415">
        <f>AM163</f>
        <v>0</v>
      </c>
      <c r="AO163" s="416">
        <v>0</v>
      </c>
      <c r="AP163" s="415">
        <f>AO163</f>
        <v>0</v>
      </c>
      <c r="AQ163" s="416">
        <v>0</v>
      </c>
      <c r="AR163" s="417">
        <f>AQ163</f>
        <v>0</v>
      </c>
    </row>
    <row r="164" spans="1:44" outlineLevel="1">
      <c r="B164" s="376" t="s">
        <v>664</v>
      </c>
      <c r="C164" s="390">
        <v>0.25</v>
      </c>
      <c r="D164" s="390">
        <v>0.25</v>
      </c>
      <c r="E164" s="390">
        <v>0.25</v>
      </c>
      <c r="F164" s="390">
        <v>0.25</v>
      </c>
      <c r="G164" s="418"/>
      <c r="H164" s="418"/>
      <c r="I164" s="418"/>
      <c r="J164" s="418"/>
      <c r="K164" s="419"/>
      <c r="L164" s="380">
        <v>4</v>
      </c>
      <c r="M164" s="363"/>
      <c r="N164" s="363"/>
    </row>
    <row r="165" spans="1:44" outlineLevel="1">
      <c r="B165" s="376" t="s">
        <v>666</v>
      </c>
      <c r="C165" s="390">
        <v>1</v>
      </c>
      <c r="D165" s="390">
        <v>1</v>
      </c>
      <c r="E165" s="390">
        <v>1</v>
      </c>
      <c r="F165" s="390">
        <v>1</v>
      </c>
      <c r="G165" s="418"/>
      <c r="H165" s="418"/>
      <c r="I165" s="418"/>
      <c r="J165" s="418"/>
      <c r="K165" s="419"/>
      <c r="L165" s="380">
        <v>1</v>
      </c>
      <c r="M165" s="420"/>
      <c r="N165" s="363"/>
    </row>
    <row r="166" spans="1:44" outlineLevel="1">
      <c r="B166" s="421" t="s">
        <v>12</v>
      </c>
      <c r="C166" s="399"/>
      <c r="D166" s="399"/>
      <c r="E166" s="399"/>
      <c r="F166" s="399"/>
      <c r="G166" s="422"/>
      <c r="H166" s="422"/>
      <c r="I166" s="422"/>
      <c r="J166" s="422"/>
      <c r="K166" s="423"/>
      <c r="L166" s="424"/>
      <c r="M166" s="420"/>
      <c r="N166" s="420"/>
    </row>
    <row r="167" spans="1:44" outlineLevel="1">
      <c r="B167" s="383" t="s">
        <v>843</v>
      </c>
      <c r="C167" s="1223" t="s">
        <v>669</v>
      </c>
      <c r="D167" s="1224"/>
      <c r="E167" s="1224"/>
      <c r="F167" s="1225"/>
      <c r="G167" s="422"/>
      <c r="H167" s="425"/>
      <c r="I167" s="425"/>
      <c r="J167" s="425"/>
      <c r="K167" s="426"/>
      <c r="L167" s="427"/>
      <c r="M167" s="428"/>
      <c r="N167" s="428"/>
    </row>
    <row r="168" spans="1:44" outlineLevel="1">
      <c r="B168" s="383" t="s">
        <v>749</v>
      </c>
      <c r="C168" s="1226"/>
      <c r="D168" s="1256"/>
      <c r="E168" s="1256"/>
      <c r="F168" s="1228"/>
      <c r="G168" s="425"/>
      <c r="H168" s="425"/>
      <c r="I168" s="425"/>
      <c r="J168" s="425"/>
      <c r="K168" s="423"/>
      <c r="L168" s="427"/>
      <c r="M168" s="428"/>
      <c r="N168" s="428"/>
    </row>
    <row r="169" spans="1:44" outlineLevel="1">
      <c r="B169" s="383" t="s">
        <v>844</v>
      </c>
      <c r="C169" s="1226"/>
      <c r="D169" s="1256"/>
      <c r="E169" s="1256"/>
      <c r="F169" s="1228"/>
      <c r="G169" s="425"/>
      <c r="H169" s="425"/>
      <c r="I169" s="425"/>
      <c r="J169" s="425"/>
      <c r="K169" s="423"/>
      <c r="L169" s="427"/>
      <c r="M169" s="428"/>
      <c r="N169" s="428"/>
    </row>
    <row r="170" spans="1:44" outlineLevel="1">
      <c r="B170" s="383" t="s">
        <v>366</v>
      </c>
      <c r="C170" s="1226"/>
      <c r="D170" s="1256"/>
      <c r="E170" s="1256"/>
      <c r="F170" s="1228"/>
      <c r="G170" s="425"/>
      <c r="H170" s="425"/>
      <c r="I170" s="425"/>
      <c r="J170" s="425"/>
      <c r="K170" s="423"/>
      <c r="L170" s="427"/>
      <c r="M170" s="428"/>
      <c r="N170" s="428"/>
    </row>
    <row r="171" spans="1:44" ht="16" outlineLevel="1" thickBot="1">
      <c r="B171" s="429" t="s">
        <v>367</v>
      </c>
      <c r="C171" s="1229"/>
      <c r="D171" s="1230"/>
      <c r="E171" s="1230"/>
      <c r="F171" s="1231"/>
      <c r="G171" s="425"/>
      <c r="H171" s="425"/>
      <c r="I171" s="425"/>
      <c r="J171" s="425"/>
      <c r="K171" s="423"/>
      <c r="L171" s="427"/>
      <c r="M171" s="428"/>
      <c r="N171" s="428"/>
    </row>
    <row r="172" spans="1:44" ht="16" outlineLevel="1" thickBot="1">
      <c r="B172" s="431" t="s">
        <v>674</v>
      </c>
      <c r="C172" s="432"/>
      <c r="D172" s="403"/>
      <c r="E172" s="403"/>
      <c r="F172" s="433"/>
      <c r="G172" s="434"/>
      <c r="H172" s="406"/>
      <c r="I172" s="406"/>
      <c r="J172" s="406"/>
      <c r="K172" s="407"/>
      <c r="L172" s="408"/>
      <c r="M172" s="428"/>
      <c r="N172" s="428"/>
    </row>
    <row r="173" spans="1:44" outlineLevel="1">
      <c r="A173" s="435"/>
      <c r="B173" s="436" t="s">
        <v>751</v>
      </c>
      <c r="C173" s="437">
        <v>0.73</v>
      </c>
      <c r="D173" s="438">
        <v>0.65</v>
      </c>
      <c r="E173" s="438">
        <v>0.6</v>
      </c>
      <c r="F173" s="439">
        <v>0.57999999999999996</v>
      </c>
      <c r="G173" s="425"/>
      <c r="H173" s="425"/>
      <c r="I173" s="425"/>
      <c r="J173" s="425"/>
      <c r="K173" s="426"/>
      <c r="L173" s="440">
        <v>1</v>
      </c>
      <c r="M173" s="420"/>
      <c r="N173" s="420"/>
    </row>
    <row r="174" spans="1:44" outlineLevel="1">
      <c r="B174" s="441" t="s">
        <v>839</v>
      </c>
      <c r="C174" s="627">
        <v>60</v>
      </c>
      <c r="D174" s="443">
        <v>60</v>
      </c>
      <c r="E174" s="443">
        <v>60</v>
      </c>
      <c r="F174" s="443">
        <v>60</v>
      </c>
      <c r="G174" s="425"/>
      <c r="H174" s="425"/>
      <c r="I174" s="425"/>
      <c r="J174" s="425"/>
      <c r="K174" s="444" t="s">
        <v>76</v>
      </c>
      <c r="L174" s="373">
        <v>6</v>
      </c>
      <c r="M174" s="71"/>
      <c r="N174" s="420"/>
    </row>
    <row r="175" spans="1:44" outlineLevel="1">
      <c r="B175" s="441" t="s">
        <v>840</v>
      </c>
      <c r="C175" s="627">
        <v>40</v>
      </c>
      <c r="D175" s="627">
        <v>40</v>
      </c>
      <c r="E175" s="627">
        <v>40</v>
      </c>
      <c r="F175" s="627">
        <v>40</v>
      </c>
      <c r="G175" s="425"/>
      <c r="H175" s="425"/>
      <c r="I175" s="425"/>
      <c r="J175" s="425"/>
      <c r="K175" s="444" t="s">
        <v>25</v>
      </c>
      <c r="L175" s="373">
        <v>6</v>
      </c>
      <c r="M175" s="420"/>
      <c r="N175" s="420"/>
    </row>
    <row r="176" spans="1:44" outlineLevel="1">
      <c r="B176" s="383" t="s">
        <v>841</v>
      </c>
      <c r="C176" s="445">
        <v>2000</v>
      </c>
      <c r="D176" s="446">
        <v>2000</v>
      </c>
      <c r="E176" s="446">
        <v>2000</v>
      </c>
      <c r="F176" s="447">
        <v>2000</v>
      </c>
      <c r="G176" s="425"/>
      <c r="H176" s="425"/>
      <c r="I176" s="425"/>
      <c r="J176" s="425"/>
      <c r="K176" s="448"/>
      <c r="L176" s="373">
        <v>4.5</v>
      </c>
      <c r="M176" s="420"/>
      <c r="N176" s="420"/>
    </row>
    <row r="177" spans="2:30" ht="16" outlineLevel="1" thickBot="1">
      <c r="B177" s="383" t="s">
        <v>679</v>
      </c>
      <c r="C177" s="449">
        <f>SUM(C178:C179)</f>
        <v>3.26</v>
      </c>
      <c r="D177" s="449">
        <f>SUM(D178:D179)</f>
        <v>3.2</v>
      </c>
      <c r="E177" s="449">
        <f>(D177+F177)/2</f>
        <v>3.16</v>
      </c>
      <c r="F177" s="449">
        <f>SUM(F178:F179)</f>
        <v>3.12</v>
      </c>
      <c r="G177" s="425"/>
      <c r="H177" s="425"/>
      <c r="I177" s="425"/>
      <c r="J177" s="425"/>
      <c r="K177" s="448"/>
      <c r="L177" s="373">
        <v>4</v>
      </c>
      <c r="M177" s="688"/>
      <c r="N177" s="689"/>
      <c r="P177" s="1157">
        <f>C177</f>
        <v>3.26</v>
      </c>
      <c r="Q177" s="1135"/>
      <c r="R177" s="1135"/>
      <c r="S177" s="1135"/>
      <c r="T177" s="1135"/>
      <c r="U177" s="1158"/>
    </row>
    <row r="178" spans="2:30" ht="16" outlineLevel="1" thickBot="1">
      <c r="B178" s="451" t="s">
        <v>758</v>
      </c>
      <c r="C178" s="452">
        <f>C157/100*73</f>
        <v>1.46</v>
      </c>
      <c r="D178" s="452">
        <f>D157/100*75</f>
        <v>1.5</v>
      </c>
      <c r="E178" s="452">
        <f>E157/100*76</f>
        <v>1.52</v>
      </c>
      <c r="F178" s="452">
        <f>F157/100*76</f>
        <v>1.52</v>
      </c>
      <c r="G178" s="453"/>
      <c r="H178" s="453"/>
      <c r="I178" s="453"/>
      <c r="J178" s="453"/>
      <c r="K178" s="379" t="s">
        <v>33</v>
      </c>
      <c r="L178" s="380">
        <v>4</v>
      </c>
      <c r="M178" s="688"/>
      <c r="N178" s="689"/>
      <c r="P178" s="1159">
        <f>C178</f>
        <v>1.46</v>
      </c>
      <c r="Q178" s="1160"/>
      <c r="R178" s="1160"/>
      <c r="S178" s="1160"/>
      <c r="T178" s="1160"/>
      <c r="U178" s="1161"/>
    </row>
    <row r="179" spans="2:30" outlineLevel="1">
      <c r="B179" s="451" t="s">
        <v>759</v>
      </c>
      <c r="C179" s="454">
        <v>1.8</v>
      </c>
      <c r="D179" s="454">
        <v>1.7</v>
      </c>
      <c r="E179" s="454">
        <f>(D179+F179)/2</f>
        <v>1.65</v>
      </c>
      <c r="F179" s="454">
        <v>1.6</v>
      </c>
      <c r="G179" s="453"/>
      <c r="H179" s="453"/>
      <c r="I179" s="453"/>
      <c r="J179" s="453"/>
      <c r="K179" s="455"/>
      <c r="L179" s="380">
        <v>4</v>
      </c>
      <c r="M179" s="363"/>
      <c r="N179" s="363"/>
      <c r="P179" s="53" t="s">
        <v>357</v>
      </c>
    </row>
    <row r="180" spans="2:30" ht="30" outlineLevel="1">
      <c r="B180" s="441"/>
      <c r="C180" s="456"/>
      <c r="D180" s="456"/>
      <c r="E180" s="456"/>
      <c r="F180" s="456"/>
      <c r="G180" s="425"/>
      <c r="H180" s="425"/>
      <c r="I180" s="425"/>
      <c r="J180" s="425"/>
      <c r="K180" s="444"/>
      <c r="L180" s="424"/>
      <c r="M180" s="367"/>
      <c r="N180" s="367"/>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7" outlineLevel="1" thickBot="1">
      <c r="B181" s="441"/>
      <c r="C181" s="442"/>
      <c r="D181" s="457"/>
      <c r="E181" s="457"/>
      <c r="F181" s="458"/>
      <c r="G181" s="425"/>
      <c r="H181" s="425"/>
      <c r="I181" s="425"/>
      <c r="J181" s="425"/>
      <c r="K181" s="448"/>
      <c r="L181" s="424"/>
      <c r="M181" s="363"/>
      <c r="N181" s="363"/>
      <c r="P181" s="50"/>
      <c r="Q181" s="50"/>
      <c r="R181" s="51"/>
      <c r="S181" s="51"/>
      <c r="T181" s="51"/>
      <c r="U181" s="51" t="s">
        <v>760</v>
      </c>
      <c r="V181" s="50" t="s">
        <v>761</v>
      </c>
      <c r="W181" s="50"/>
      <c r="X181" s="50"/>
      <c r="Y181" s="50"/>
      <c r="Z181" s="50"/>
      <c r="AA181" s="50"/>
      <c r="AB181" s="50"/>
      <c r="AC181" s="50"/>
      <c r="AD181" s="50"/>
    </row>
    <row r="182" spans="2:30" ht="33" outlineLevel="1" thickBot="1">
      <c r="B182" s="401" t="s">
        <v>682</v>
      </c>
      <c r="C182" s="402"/>
      <c r="D182" s="403"/>
      <c r="E182" s="404"/>
      <c r="F182" s="405"/>
      <c r="G182" s="406"/>
      <c r="H182" s="406"/>
      <c r="I182" s="406"/>
      <c r="J182" s="406"/>
      <c r="K182" s="459"/>
      <c r="L182" s="460"/>
      <c r="M182" s="363"/>
      <c r="N182" s="363"/>
      <c r="O182" s="461" t="s">
        <v>732</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451" t="s">
        <v>762</v>
      </c>
      <c r="C183" s="633">
        <f>C173*0.2</f>
        <v>0.14599999999999999</v>
      </c>
      <c r="D183" s="633">
        <f>D173*0.2</f>
        <v>0.13</v>
      </c>
      <c r="E183" s="633">
        <f>E173*0.2</f>
        <v>0.12</v>
      </c>
      <c r="F183" s="633">
        <f>F173*0.2</f>
        <v>0.11599999999999999</v>
      </c>
      <c r="G183" s="463"/>
      <c r="H183" s="463"/>
      <c r="I183" s="463"/>
      <c r="J183" s="463"/>
      <c r="K183" s="463" t="s">
        <v>51</v>
      </c>
      <c r="L183" s="464"/>
      <c r="M183" s="363"/>
      <c r="N183" s="363"/>
      <c r="O183" s="465">
        <f>C156</f>
        <v>528</v>
      </c>
      <c r="P183" s="466">
        <f>C152</f>
        <v>2020</v>
      </c>
      <c r="Q183" s="58">
        <f>P183</f>
        <v>2020</v>
      </c>
      <c r="R183" s="466">
        <f>O183/100</f>
        <v>5.28</v>
      </c>
      <c r="S183" s="58"/>
      <c r="T183" s="466">
        <f>C160</f>
        <v>20</v>
      </c>
      <c r="U183" s="467">
        <f>C190</f>
        <v>5438.5</v>
      </c>
      <c r="V183" s="467">
        <f>C192</f>
        <v>14.9</v>
      </c>
      <c r="W183" s="467">
        <f>C193</f>
        <v>6.7463888888888883</v>
      </c>
      <c r="X183" s="58"/>
      <c r="Y183" s="58"/>
      <c r="Z183" s="466" t="str">
        <f>C167</f>
        <v>Cf. the utilized electricity</v>
      </c>
      <c r="AA183" s="468">
        <f>C169</f>
        <v>0</v>
      </c>
      <c r="AB183" s="468">
        <f>C170</f>
        <v>0</v>
      </c>
      <c r="AC183" s="468">
        <f>C171</f>
        <v>0</v>
      </c>
      <c r="AD183" s="468">
        <f>C168</f>
        <v>0</v>
      </c>
    </row>
    <row r="184" spans="2:30" outlineLevel="1">
      <c r="B184" s="376" t="s">
        <v>763</v>
      </c>
      <c r="C184" s="469" t="s">
        <v>36</v>
      </c>
      <c r="D184" s="470" t="s">
        <v>36</v>
      </c>
      <c r="E184" s="470" t="s">
        <v>36</v>
      </c>
      <c r="F184" s="471" t="s">
        <v>36</v>
      </c>
      <c r="G184" s="471"/>
      <c r="H184" s="471"/>
      <c r="I184" s="471"/>
      <c r="J184" s="471"/>
      <c r="K184" s="472"/>
      <c r="L184" s="464"/>
      <c r="M184" s="363"/>
      <c r="N184" s="363"/>
      <c r="O184" s="465">
        <f>D156</f>
        <v>543.99</v>
      </c>
      <c r="P184" s="466">
        <f>D152</f>
        <v>2030</v>
      </c>
      <c r="Q184" s="58"/>
      <c r="R184" s="466">
        <f>O184/100</f>
        <v>5.4398999999999997</v>
      </c>
      <c r="S184" s="58"/>
      <c r="T184" s="466">
        <f>D160</f>
        <v>20</v>
      </c>
      <c r="U184" s="467">
        <f>D190</f>
        <v>4842.5</v>
      </c>
      <c r="V184" s="467">
        <f>D192</f>
        <v>14.9</v>
      </c>
      <c r="W184" s="467">
        <f>D193</f>
        <v>6.6222222222222227</v>
      </c>
      <c r="X184" s="58"/>
      <c r="Y184" s="58"/>
      <c r="Z184" s="466">
        <f>D167</f>
        <v>0</v>
      </c>
      <c r="AA184" s="468">
        <f>D169</f>
        <v>0</v>
      </c>
      <c r="AB184" s="468">
        <f>D170</f>
        <v>0</v>
      </c>
      <c r="AC184" s="468">
        <f>D171</f>
        <v>0</v>
      </c>
      <c r="AD184" s="468">
        <f>D168</f>
        <v>0</v>
      </c>
    </row>
    <row r="185" spans="2:30" outlineLevel="1">
      <c r="B185" s="376" t="s">
        <v>764</v>
      </c>
      <c r="C185" s="469" t="s">
        <v>36</v>
      </c>
      <c r="D185" s="470" t="s">
        <v>36</v>
      </c>
      <c r="E185" s="470" t="s">
        <v>36</v>
      </c>
      <c r="F185" s="471" t="s">
        <v>36</v>
      </c>
      <c r="G185" s="453"/>
      <c r="H185" s="453"/>
      <c r="I185" s="453"/>
      <c r="J185" s="453"/>
      <c r="K185" s="453"/>
      <c r="L185" s="380"/>
      <c r="M185" s="363"/>
      <c r="N185" s="363"/>
      <c r="O185" s="465">
        <f>E156</f>
        <v>554.96979999999996</v>
      </c>
      <c r="P185" s="466">
        <f>E152</f>
        <v>2040</v>
      </c>
      <c r="Q185" s="58"/>
      <c r="R185" s="466">
        <f>O185/100</f>
        <v>5.5496979999999994</v>
      </c>
      <c r="S185" s="58"/>
      <c r="T185" s="466">
        <f>E160</f>
        <v>20</v>
      </c>
      <c r="U185" s="467">
        <f>E190</f>
        <v>4470</v>
      </c>
      <c r="V185" s="467">
        <f>E192</f>
        <v>14.9</v>
      </c>
      <c r="W185" s="467">
        <f>E193</f>
        <v>6.5394444444444444</v>
      </c>
      <c r="X185" s="58"/>
      <c r="Y185" s="58"/>
      <c r="Z185" s="466">
        <f>E167</f>
        <v>0</v>
      </c>
      <c r="AA185" s="468">
        <f>E169</f>
        <v>0</v>
      </c>
      <c r="AB185" s="468">
        <f>E170</f>
        <v>0</v>
      </c>
      <c r="AC185" s="468">
        <f>E171</f>
        <v>0</v>
      </c>
      <c r="AD185" s="468">
        <f>E168</f>
        <v>0</v>
      </c>
    </row>
    <row r="186" spans="2:30" outlineLevel="1">
      <c r="B186" s="376" t="s">
        <v>765</v>
      </c>
      <c r="C186" s="1232" t="s">
        <v>669</v>
      </c>
      <c r="D186" s="1233"/>
      <c r="E186" s="1233"/>
      <c r="F186" s="1234"/>
      <c r="G186" s="474"/>
      <c r="H186" s="474"/>
      <c r="I186" s="474"/>
      <c r="J186" s="474"/>
      <c r="K186" s="474"/>
      <c r="L186" s="380"/>
      <c r="M186" s="363"/>
      <c r="N186" s="363"/>
      <c r="O186" s="465">
        <f>F156</f>
        <v>560.56949799999995</v>
      </c>
      <c r="P186" s="466">
        <f>F152</f>
        <v>2050</v>
      </c>
      <c r="Q186" s="58"/>
      <c r="R186" s="466">
        <f>O186/100</f>
        <v>5.6056949799999991</v>
      </c>
      <c r="S186" s="58"/>
      <c r="T186" s="466">
        <f>F160</f>
        <v>20</v>
      </c>
      <c r="U186" s="467">
        <f>F190</f>
        <v>4321</v>
      </c>
      <c r="V186" s="467">
        <f>F192</f>
        <v>14.9</v>
      </c>
      <c r="W186" s="467">
        <f>F193</f>
        <v>6.4566666666666661</v>
      </c>
      <c r="X186" s="58"/>
      <c r="Y186" s="58"/>
      <c r="Z186" s="466">
        <f>F167</f>
        <v>0</v>
      </c>
      <c r="AA186" s="468">
        <f>F169</f>
        <v>0</v>
      </c>
      <c r="AB186" s="468">
        <f>F170</f>
        <v>0</v>
      </c>
      <c r="AC186" s="468">
        <f>F171</f>
        <v>0</v>
      </c>
      <c r="AD186" s="468">
        <f>F168</f>
        <v>0</v>
      </c>
    </row>
    <row r="187" spans="2:30" outlineLevel="1">
      <c r="B187" s="475" t="s">
        <v>766</v>
      </c>
      <c r="C187" s="469">
        <v>30</v>
      </c>
      <c r="D187" s="470">
        <v>30</v>
      </c>
      <c r="E187" s="470">
        <v>30</v>
      </c>
      <c r="F187" s="471">
        <v>30</v>
      </c>
      <c r="G187" s="474"/>
      <c r="H187" s="474"/>
      <c r="I187" s="474"/>
      <c r="J187" s="474"/>
      <c r="K187" s="474" t="s">
        <v>52</v>
      </c>
      <c r="L187" s="476"/>
      <c r="M187" s="367"/>
      <c r="N187" s="367"/>
    </row>
    <row r="188" spans="2:30" outlineLevel="1">
      <c r="B188" s="475" t="s">
        <v>767</v>
      </c>
      <c r="C188" s="469">
        <v>20</v>
      </c>
      <c r="D188" s="470">
        <v>20</v>
      </c>
      <c r="E188" s="470">
        <v>20</v>
      </c>
      <c r="F188" s="471">
        <v>20</v>
      </c>
      <c r="G188" s="474"/>
      <c r="H188" s="474"/>
      <c r="I188" s="474"/>
      <c r="J188" s="474"/>
      <c r="K188" s="474" t="s">
        <v>52</v>
      </c>
      <c r="L188" s="476"/>
      <c r="M188" s="363"/>
      <c r="N188" s="363"/>
    </row>
    <row r="189" spans="2:30" ht="16" outlineLevel="1" thickBot="1">
      <c r="B189" s="477" t="s">
        <v>768</v>
      </c>
      <c r="C189" s="478" t="s">
        <v>36</v>
      </c>
      <c r="D189" s="479" t="s">
        <v>36</v>
      </c>
      <c r="E189" s="479" t="s">
        <v>36</v>
      </c>
      <c r="F189" s="480" t="s">
        <v>36</v>
      </c>
      <c r="G189" s="481"/>
      <c r="H189" s="481"/>
      <c r="I189" s="481"/>
      <c r="J189" s="481"/>
      <c r="K189" s="481"/>
      <c r="L189" s="482"/>
      <c r="M189" s="363"/>
      <c r="N189" s="363"/>
    </row>
    <row r="190" spans="2:30" ht="64" outlineLevel="1">
      <c r="B190" s="461" t="s">
        <v>769</v>
      </c>
      <c r="C190" s="483">
        <f>C173*$F$4*1000</f>
        <v>5438.5</v>
      </c>
      <c r="D190" s="483">
        <f t="shared" ref="D190:F190" si="9">D173*$F$4*1000</f>
        <v>4842.5</v>
      </c>
      <c r="E190" s="483">
        <f t="shared" si="9"/>
        <v>4470</v>
      </c>
      <c r="F190" s="483">
        <f t="shared" si="9"/>
        <v>4321</v>
      </c>
      <c r="G190" s="483"/>
      <c r="H190" s="484"/>
      <c r="I190" s="420" t="s">
        <v>332</v>
      </c>
      <c r="J190" s="420"/>
      <c r="K190" s="484"/>
      <c r="L190" s="484"/>
      <c r="N190" s="420"/>
    </row>
    <row r="191" spans="2:30" outlineLevel="1">
      <c r="B191" s="485" t="s">
        <v>770</v>
      </c>
      <c r="C191" s="486">
        <f>C190*$I191</f>
        <v>2719250</v>
      </c>
      <c r="D191" s="486">
        <f>D190*$I191</f>
        <v>2421250</v>
      </c>
      <c r="E191" s="486">
        <f>E190*$I191</f>
        <v>2235000</v>
      </c>
      <c r="F191" s="486">
        <f>F190*$I191</f>
        <v>2160500</v>
      </c>
      <c r="G191" s="486"/>
      <c r="H191" s="484"/>
      <c r="I191" s="71">
        <v>500</v>
      </c>
      <c r="J191" s="420" t="s">
        <v>330</v>
      </c>
      <c r="K191" s="484"/>
      <c r="L191" s="484"/>
      <c r="N191" s="420"/>
    </row>
    <row r="192" spans="2:30" ht="48" outlineLevel="1">
      <c r="B192" s="461" t="s">
        <v>845</v>
      </c>
      <c r="C192" s="359">
        <f>C176*$F$4/1000</f>
        <v>14.9</v>
      </c>
      <c r="D192" s="359">
        <f t="shared" ref="D192:F192" si="10">D176*$F$4/1000</f>
        <v>14.9</v>
      </c>
      <c r="E192" s="359">
        <f t="shared" si="10"/>
        <v>14.9</v>
      </c>
      <c r="F192" s="359">
        <f t="shared" si="10"/>
        <v>14.9</v>
      </c>
      <c r="G192" s="359"/>
      <c r="I192" s="420" t="s">
        <v>333</v>
      </c>
      <c r="J192" s="420"/>
      <c r="N192" s="420"/>
    </row>
    <row r="193" spans="2:14" ht="48" outlineLevel="1">
      <c r="B193" s="461" t="s">
        <v>846</v>
      </c>
      <c r="C193" s="487">
        <f>C177*$F$4/3.6</f>
        <v>6.7463888888888883</v>
      </c>
      <c r="D193" s="487">
        <f t="shared" ref="D193:F193" si="11">D177*$F$4/3.6</f>
        <v>6.6222222222222227</v>
      </c>
      <c r="E193" s="487">
        <f t="shared" si="11"/>
        <v>6.5394444444444444</v>
      </c>
      <c r="F193" s="487">
        <f t="shared" si="11"/>
        <v>6.4566666666666661</v>
      </c>
      <c r="G193" s="359"/>
      <c r="M193" s="420"/>
      <c r="N193" s="420"/>
    </row>
    <row r="194" spans="2:14" outlineLevel="1"/>
    <row r="195" spans="2:14" outlineLevel="1"/>
    <row r="196" spans="2:14" outlineLevel="1"/>
    <row r="197" spans="2:14" outlineLevel="1"/>
    <row r="198" spans="2:14" outlineLevel="1">
      <c r="E198" s="358"/>
      <c r="F198" s="358"/>
      <c r="G198" s="358"/>
      <c r="H198" s="358"/>
      <c r="I198" s="358"/>
      <c r="J198" s="358"/>
      <c r="K198" s="358"/>
      <c r="L198" s="358"/>
    </row>
    <row r="199" spans="2:14" outlineLevel="1">
      <c r="B199" s="634" t="s">
        <v>773</v>
      </c>
      <c r="C199" s="490"/>
      <c r="D199" s="490"/>
      <c r="E199" s="358"/>
      <c r="F199" s="358"/>
      <c r="G199" s="358"/>
      <c r="H199" s="358"/>
      <c r="I199" s="358"/>
      <c r="J199" s="358"/>
      <c r="K199" s="358"/>
      <c r="L199" s="358"/>
    </row>
    <row r="200" spans="2:14" outlineLevel="1">
      <c r="B200" s="358">
        <v>1</v>
      </c>
      <c r="C200" s="635" t="s">
        <v>847</v>
      </c>
      <c r="D200" s="490"/>
      <c r="F200" s="358"/>
      <c r="G200" s="358"/>
      <c r="H200" s="358"/>
      <c r="I200" s="358"/>
      <c r="J200" s="358"/>
      <c r="K200" s="358"/>
      <c r="L200" s="358"/>
    </row>
    <row r="201" spans="2:14" outlineLevel="1">
      <c r="B201" s="358">
        <v>2</v>
      </c>
      <c r="C201" s="635" t="s">
        <v>848</v>
      </c>
      <c r="D201" s="490"/>
      <c r="F201" s="358"/>
      <c r="G201" s="358"/>
      <c r="H201" s="358"/>
      <c r="I201" s="358"/>
      <c r="J201" s="358"/>
      <c r="K201" s="358"/>
      <c r="L201" s="358"/>
    </row>
    <row r="202" spans="2:14" outlineLevel="1">
      <c r="B202" s="358">
        <v>3</v>
      </c>
      <c r="C202" s="490" t="s">
        <v>849</v>
      </c>
      <c r="D202" s="490"/>
      <c r="F202" s="358"/>
      <c r="G202" s="358"/>
      <c r="H202" s="358"/>
      <c r="I202" s="358"/>
      <c r="J202" s="358"/>
      <c r="K202" s="358"/>
      <c r="L202" s="358"/>
    </row>
    <row r="203" spans="2:14" outlineLevel="1">
      <c r="B203" s="358">
        <v>4</v>
      </c>
      <c r="C203" s="490" t="s">
        <v>850</v>
      </c>
      <c r="D203" s="490"/>
      <c r="F203" s="358"/>
      <c r="G203" s="358"/>
      <c r="H203" s="358"/>
      <c r="I203" s="358"/>
      <c r="J203" s="358"/>
      <c r="K203" s="358"/>
      <c r="L203" s="358"/>
    </row>
    <row r="204" spans="2:14" outlineLevel="1">
      <c r="B204" s="358">
        <v>5</v>
      </c>
      <c r="C204" s="636" t="s">
        <v>851</v>
      </c>
      <c r="D204" s="490"/>
      <c r="F204" s="358"/>
      <c r="G204" s="358"/>
      <c r="H204" s="358"/>
      <c r="I204" s="358"/>
      <c r="J204" s="358"/>
      <c r="K204" s="358"/>
      <c r="L204" s="358"/>
    </row>
    <row r="205" spans="2:14" outlineLevel="1">
      <c r="B205" s="358">
        <v>6</v>
      </c>
      <c r="C205" s="490" t="s">
        <v>852</v>
      </c>
      <c r="D205" s="490"/>
      <c r="F205" s="358"/>
      <c r="G205" s="358"/>
      <c r="H205" s="358"/>
      <c r="I205" s="358"/>
      <c r="J205" s="358"/>
      <c r="K205" s="358"/>
      <c r="L205" s="358"/>
    </row>
    <row r="206" spans="2:14" outlineLevel="1">
      <c r="B206" s="634" t="s">
        <v>783</v>
      </c>
      <c r="C206" s="358"/>
      <c r="D206" s="490"/>
      <c r="F206" s="358"/>
      <c r="G206" s="358"/>
      <c r="H206" s="358"/>
      <c r="I206" s="358"/>
      <c r="J206" s="358"/>
      <c r="K206" s="358"/>
      <c r="L206" s="358"/>
    </row>
    <row r="207" spans="2:14" outlineLevel="1">
      <c r="B207" s="637" t="s">
        <v>6</v>
      </c>
      <c r="C207" s="490" t="s">
        <v>853</v>
      </c>
      <c r="D207" s="490"/>
      <c r="F207" s="358"/>
      <c r="G207" s="358"/>
      <c r="H207" s="358"/>
      <c r="I207" s="358"/>
      <c r="J207" s="358"/>
      <c r="K207" s="358"/>
      <c r="L207" s="358"/>
    </row>
    <row r="208" spans="2:14" outlineLevel="1">
      <c r="B208" s="637" t="s">
        <v>59</v>
      </c>
      <c r="C208" s="490" t="s">
        <v>854</v>
      </c>
      <c r="D208" s="490"/>
      <c r="F208" s="358"/>
      <c r="G208" s="358"/>
      <c r="H208" s="358"/>
      <c r="I208" s="358"/>
      <c r="J208" s="358"/>
      <c r="K208" s="358"/>
      <c r="L208" s="358"/>
    </row>
    <row r="209" spans="1:44" outlineLevel="1">
      <c r="B209" s="637" t="s">
        <v>16</v>
      </c>
      <c r="C209" s="490" t="s">
        <v>855</v>
      </c>
      <c r="D209" s="490"/>
      <c r="F209" s="358"/>
      <c r="G209" s="358"/>
      <c r="H209" s="358"/>
      <c r="I209" s="358"/>
      <c r="J209" s="358"/>
      <c r="K209" s="358"/>
      <c r="L209" s="358"/>
    </row>
    <row r="210" spans="1:44" outlineLevel="1">
      <c r="B210" s="637" t="s">
        <v>20</v>
      </c>
      <c r="C210" s="490" t="s">
        <v>856</v>
      </c>
      <c r="D210" s="490"/>
      <c r="F210" s="358"/>
      <c r="G210" s="358"/>
      <c r="H210" s="358"/>
      <c r="I210" s="358"/>
      <c r="J210" s="358"/>
      <c r="K210" s="358"/>
      <c r="L210" s="358"/>
    </row>
    <row r="211" spans="1:44" outlineLevel="1">
      <c r="B211" s="637" t="s">
        <v>76</v>
      </c>
      <c r="C211" s="490" t="s">
        <v>857</v>
      </c>
      <c r="D211" s="490"/>
      <c r="F211" s="358"/>
      <c r="G211" s="358"/>
      <c r="H211" s="358"/>
      <c r="I211" s="358"/>
      <c r="J211" s="358"/>
      <c r="K211" s="358"/>
      <c r="L211" s="358"/>
    </row>
    <row r="212" spans="1:44" outlineLevel="1">
      <c r="B212" s="637" t="s">
        <v>25</v>
      </c>
      <c r="C212" s="490" t="s">
        <v>858</v>
      </c>
      <c r="D212" s="358"/>
      <c r="F212" s="358"/>
      <c r="G212" s="358"/>
      <c r="H212" s="358"/>
      <c r="I212" s="358"/>
      <c r="J212" s="358"/>
      <c r="K212" s="358"/>
      <c r="L212" s="358"/>
    </row>
    <row r="213" spans="1:44" outlineLevel="1">
      <c r="B213" s="637" t="s">
        <v>33</v>
      </c>
      <c r="C213" s="489" t="s">
        <v>788</v>
      </c>
      <c r="D213" s="358"/>
      <c r="F213" s="358"/>
      <c r="G213" s="358"/>
      <c r="H213" s="358"/>
      <c r="I213" s="358"/>
      <c r="J213" s="358"/>
      <c r="K213" s="358"/>
      <c r="L213" s="358"/>
    </row>
    <row r="214" spans="1:44" outlineLevel="1">
      <c r="B214" s="637" t="s">
        <v>51</v>
      </c>
      <c r="C214" s="490" t="s">
        <v>859</v>
      </c>
      <c r="D214" s="358"/>
      <c r="G214" s="358"/>
      <c r="H214" s="358"/>
      <c r="I214" s="358"/>
      <c r="J214" s="358"/>
      <c r="K214" s="358"/>
      <c r="L214" s="358"/>
    </row>
    <row r="215" spans="1:44" outlineLevel="1">
      <c r="B215" s="637" t="s">
        <v>52</v>
      </c>
      <c r="C215" s="490" t="s">
        <v>860</v>
      </c>
      <c r="E215" s="490"/>
      <c r="F215" s="490"/>
    </row>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403">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R345"/>
  <sheetViews>
    <sheetView topLeftCell="G4" zoomScale="70" zoomScaleNormal="70" workbookViewId="0">
      <selection activeCell="AB7" sqref="T7:AC9"/>
    </sheetView>
  </sheetViews>
  <sheetFormatPr baseColWidth="10" defaultColWidth="8.83203125" defaultRowHeight="15" outlineLevelRow="1"/>
  <cols>
    <col min="1" max="1" width="29.6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Heat driven heat pumps, up to 80 °C</v>
      </c>
    </row>
    <row r="4" spans="1:44" ht="25" customHeight="1">
      <c r="E4" s="224" t="s">
        <v>358</v>
      </c>
      <c r="F4" s="359">
        <v>7.45</v>
      </c>
      <c r="G4" s="359" t="s">
        <v>328</v>
      </c>
    </row>
    <row r="5" spans="1:44" ht="15" customHeight="1">
      <c r="A5" s="360" t="s">
        <v>884</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874</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12</v>
      </c>
      <c r="D10" s="372">
        <v>12</v>
      </c>
      <c r="E10" s="372">
        <v>12</v>
      </c>
      <c r="F10" s="372">
        <v>12</v>
      </c>
      <c r="G10" s="372">
        <v>1</v>
      </c>
      <c r="H10" s="372">
        <v>20</v>
      </c>
      <c r="I10" s="372">
        <v>1</v>
      </c>
      <c r="J10" s="372">
        <v>30</v>
      </c>
      <c r="K10" s="372" t="s">
        <v>102</v>
      </c>
      <c r="L10" s="373">
        <v>1</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170</v>
      </c>
      <c r="D11" s="377">
        <v>171</v>
      </c>
      <c r="E11" s="378">
        <v>172</v>
      </c>
      <c r="F11" s="377">
        <v>173</v>
      </c>
      <c r="G11" s="377">
        <v>170</v>
      </c>
      <c r="H11" s="639">
        <v>180</v>
      </c>
      <c r="I11" s="377">
        <v>170</v>
      </c>
      <c r="J11" s="639">
        <v>180</v>
      </c>
      <c r="K11" s="379"/>
      <c r="L11" s="380">
        <v>1</v>
      </c>
      <c r="M11" s="370"/>
      <c r="N11" s="370"/>
      <c r="P11" s="1200" t="str">
        <f>C7</f>
        <v>Heat driven heat pumps, up to 80 °C</v>
      </c>
      <c r="Q11" s="1188" t="s">
        <v>730</v>
      </c>
      <c r="R11" s="381" t="s">
        <v>731</v>
      </c>
      <c r="S11" s="382" t="s">
        <v>842</v>
      </c>
      <c r="T11" s="1191">
        <v>0</v>
      </c>
      <c r="U11" s="1179">
        <v>0</v>
      </c>
      <c r="V11" s="1182">
        <v>0</v>
      </c>
      <c r="W11" s="1179">
        <v>0</v>
      </c>
      <c r="X11" s="1182">
        <v>0</v>
      </c>
      <c r="Y11" s="1179">
        <v>0</v>
      </c>
      <c r="Z11" s="1182">
        <v>0</v>
      </c>
      <c r="AA11" s="1179">
        <v>0</v>
      </c>
      <c r="AB11" s="1182">
        <v>0</v>
      </c>
      <c r="AC11" s="1179">
        <v>0</v>
      </c>
      <c r="AE11" s="1185" t="str">
        <f>P11</f>
        <v>Heat driven heat pumps, up to 80 °C</v>
      </c>
      <c r="AF11" s="1188" t="s">
        <v>730</v>
      </c>
      <c r="AG11" s="381" t="s">
        <v>731</v>
      </c>
      <c r="AH11" s="382" t="str">
        <f t="shared" ref="AH11:AH13" si="0">S11</f>
        <v/>
      </c>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577">
        <v>168</v>
      </c>
      <c r="D12" s="577">
        <v>169</v>
      </c>
      <c r="E12" s="577">
        <v>170</v>
      </c>
      <c r="F12" s="577">
        <v>171</v>
      </c>
      <c r="G12" s="641">
        <v>168</v>
      </c>
      <c r="H12" s="641">
        <v>178</v>
      </c>
      <c r="I12" s="641">
        <v>168</v>
      </c>
      <c r="J12" s="641">
        <v>178</v>
      </c>
      <c r="K12" s="386" t="s">
        <v>16</v>
      </c>
      <c r="L12" s="387"/>
      <c r="M12" s="370"/>
      <c r="N12" s="370"/>
      <c r="O12" s="71"/>
      <c r="P12" s="1186"/>
      <c r="Q12" s="1189"/>
      <c r="R12" s="388" t="s">
        <v>733</v>
      </c>
      <c r="S12" s="389" t="s">
        <v>842</v>
      </c>
      <c r="T12" s="1192"/>
      <c r="U12" s="1180"/>
      <c r="V12" s="1183"/>
      <c r="W12" s="1180"/>
      <c r="X12" s="1183"/>
      <c r="Y12" s="1180"/>
      <c r="Z12" s="1183"/>
      <c r="AA12" s="1180"/>
      <c r="AB12" s="1183"/>
      <c r="AC12" s="1180"/>
      <c r="AE12" s="1186"/>
      <c r="AF12" s="1189"/>
      <c r="AG12" s="388" t="s">
        <v>733</v>
      </c>
      <c r="AH12" s="389" t="str">
        <f t="shared" si="0"/>
        <v/>
      </c>
      <c r="AI12" s="1192"/>
      <c r="AJ12" s="1180"/>
      <c r="AK12" s="1183"/>
      <c r="AL12" s="1180"/>
      <c r="AM12" s="1183"/>
      <c r="AN12" s="1180"/>
      <c r="AO12" s="1183"/>
      <c r="AP12" s="1180"/>
      <c r="AQ12" s="1183"/>
      <c r="AR12" s="1180"/>
    </row>
    <row r="13" spans="1:44" ht="16" outlineLevel="1" thickBot="1">
      <c r="B13" s="376" t="s">
        <v>734</v>
      </c>
      <c r="C13" s="390">
        <v>1</v>
      </c>
      <c r="D13" s="391">
        <v>1</v>
      </c>
      <c r="E13" s="391">
        <v>1</v>
      </c>
      <c r="F13" s="392">
        <v>1</v>
      </c>
      <c r="G13" s="391">
        <v>1</v>
      </c>
      <c r="H13" s="391">
        <v>3</v>
      </c>
      <c r="I13" s="391">
        <v>1</v>
      </c>
      <c r="J13" s="391">
        <v>3</v>
      </c>
      <c r="K13" s="379"/>
      <c r="L13" s="380">
        <v>1</v>
      </c>
      <c r="M13" s="370"/>
      <c r="N13" s="370"/>
      <c r="O13" s="71"/>
      <c r="P13" s="1186"/>
      <c r="Q13" s="1190"/>
      <c r="R13" s="393" t="s">
        <v>735</v>
      </c>
      <c r="S13" s="394" t="s">
        <v>842</v>
      </c>
      <c r="T13" s="1193"/>
      <c r="U13" s="1181"/>
      <c r="V13" s="1184"/>
      <c r="W13" s="1181"/>
      <c r="X13" s="1184"/>
      <c r="Y13" s="1181"/>
      <c r="Z13" s="1184"/>
      <c r="AA13" s="1181"/>
      <c r="AB13" s="1184"/>
      <c r="AC13" s="1181"/>
      <c r="AE13" s="1186"/>
      <c r="AF13" s="1190"/>
      <c r="AG13" s="393" t="s">
        <v>735</v>
      </c>
      <c r="AH13" s="394" t="str">
        <f t="shared" si="0"/>
        <v/>
      </c>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86"/>
      <c r="Q14" s="1188" t="s">
        <v>736</v>
      </c>
      <c r="R14" s="395" t="s">
        <v>737</v>
      </c>
      <c r="S14" s="396" t="s">
        <v>738</v>
      </c>
      <c r="T14" s="1191">
        <v>0</v>
      </c>
      <c r="U14" s="1191">
        <v>0.02</v>
      </c>
      <c r="V14" s="1191">
        <v>0</v>
      </c>
      <c r="W14" s="1191">
        <v>0.02</v>
      </c>
      <c r="X14" s="1191">
        <v>0</v>
      </c>
      <c r="Y14" s="1191">
        <v>0.01</v>
      </c>
      <c r="Z14" s="1191">
        <v>0</v>
      </c>
      <c r="AA14" s="1191">
        <v>0.01</v>
      </c>
      <c r="AB14" s="1191">
        <v>0</v>
      </c>
      <c r="AC14" s="1179">
        <v>0.01</v>
      </c>
      <c r="AE14" s="1186"/>
      <c r="AF14" s="1188" t="s">
        <v>736</v>
      </c>
      <c r="AG14" s="395" t="s">
        <v>737</v>
      </c>
      <c r="AH14" s="396" t="str">
        <f>S14</f>
        <v>x</v>
      </c>
      <c r="AI14" s="1191">
        <v>0</v>
      </c>
      <c r="AJ14" s="1191">
        <f>U14</f>
        <v>0.02</v>
      </c>
      <c r="AK14" s="1191">
        <v>0</v>
      </c>
      <c r="AL14" s="1191">
        <f>W14</f>
        <v>0.02</v>
      </c>
      <c r="AM14" s="1191">
        <v>0</v>
      </c>
      <c r="AN14" s="1191">
        <f>Y14</f>
        <v>0.01</v>
      </c>
      <c r="AO14" s="1191">
        <v>0</v>
      </c>
      <c r="AP14" s="1191">
        <f>AA14</f>
        <v>0.01</v>
      </c>
      <c r="AQ14" s="1191">
        <v>0</v>
      </c>
      <c r="AR14" s="1179">
        <f>AC14</f>
        <v>0.01</v>
      </c>
    </row>
    <row r="15" spans="1:44" outlineLevel="1">
      <c r="B15" s="376" t="s">
        <v>658</v>
      </c>
      <c r="C15" s="390">
        <v>0</v>
      </c>
      <c r="D15" s="390">
        <v>0</v>
      </c>
      <c r="E15" s="390">
        <v>0</v>
      </c>
      <c r="F15" s="390">
        <v>0</v>
      </c>
      <c r="G15" s="390">
        <v>0</v>
      </c>
      <c r="H15" s="390">
        <v>1</v>
      </c>
      <c r="I15" s="390">
        <v>0</v>
      </c>
      <c r="J15" s="390">
        <v>1</v>
      </c>
      <c r="K15" s="379"/>
      <c r="L15" s="380">
        <v>1</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tr">
        <f>S15</f>
        <v>x</v>
      </c>
      <c r="AI15" s="1194"/>
      <c r="AJ15" s="1194"/>
      <c r="AK15" s="1194"/>
      <c r="AL15" s="1194"/>
      <c r="AM15" s="1194"/>
      <c r="AN15" s="1194"/>
      <c r="AO15" s="1194"/>
      <c r="AP15" s="1194"/>
      <c r="AQ15" s="1194"/>
      <c r="AR15" s="1196"/>
    </row>
    <row r="16" spans="1:44" outlineLevel="1">
      <c r="B16" s="383" t="s">
        <v>11</v>
      </c>
      <c r="C16" s="397">
        <v>20</v>
      </c>
      <c r="D16" s="397">
        <v>20</v>
      </c>
      <c r="E16" s="397">
        <v>20</v>
      </c>
      <c r="F16" s="397">
        <v>20</v>
      </c>
      <c r="G16" s="398">
        <v>20</v>
      </c>
      <c r="H16" s="398">
        <v>30</v>
      </c>
      <c r="I16" s="398">
        <v>20</v>
      </c>
      <c r="J16" s="398">
        <v>30</v>
      </c>
      <c r="K16" s="372"/>
      <c r="L16" s="373">
        <v>2</v>
      </c>
      <c r="M16" s="363"/>
      <c r="N16" s="363"/>
      <c r="P16" s="1186"/>
      <c r="Q16" s="1189"/>
      <c r="R16" s="395" t="s">
        <v>741</v>
      </c>
      <c r="S16" s="396" t="s">
        <v>842</v>
      </c>
      <c r="T16" s="1194"/>
      <c r="U16" s="1194"/>
      <c r="V16" s="1194"/>
      <c r="W16" s="1194"/>
      <c r="X16" s="1194"/>
      <c r="Y16" s="1194"/>
      <c r="Z16" s="1194"/>
      <c r="AA16" s="1194"/>
      <c r="AB16" s="1194"/>
      <c r="AC16" s="1196"/>
      <c r="AE16" s="1186"/>
      <c r="AF16" s="1189"/>
      <c r="AG16" s="395" t="s">
        <v>741</v>
      </c>
      <c r="AH16" s="629" t="str">
        <f>S16</f>
        <v/>
      </c>
      <c r="AI16" s="1194"/>
      <c r="AJ16" s="1194"/>
      <c r="AK16" s="1194"/>
      <c r="AL16" s="1194"/>
      <c r="AM16" s="1194"/>
      <c r="AN16" s="1194"/>
      <c r="AO16" s="1194"/>
      <c r="AP16" s="1194"/>
      <c r="AQ16" s="1194"/>
      <c r="AR16" s="1196"/>
    </row>
    <row r="17" spans="1:44" ht="16" outlineLevel="1" thickBot="1">
      <c r="B17" s="376" t="s">
        <v>273</v>
      </c>
      <c r="C17" s="399">
        <v>0.5</v>
      </c>
      <c r="D17" s="399">
        <v>0.5</v>
      </c>
      <c r="E17" s="399">
        <v>0.5</v>
      </c>
      <c r="F17" s="399">
        <v>0.5</v>
      </c>
      <c r="G17" s="399">
        <v>0.3</v>
      </c>
      <c r="H17" s="399">
        <v>0.7</v>
      </c>
      <c r="I17" s="399">
        <v>0.3</v>
      </c>
      <c r="J17" s="399">
        <v>0.7</v>
      </c>
      <c r="K17" s="372"/>
      <c r="L17" s="400">
        <v>1</v>
      </c>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tr">
        <f>S17</f>
        <v>x</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tr">
        <f>S18</f>
        <v>x</v>
      </c>
      <c r="AI18" s="1195"/>
      <c r="AJ18" s="1195"/>
      <c r="AK18" s="1195"/>
      <c r="AL18" s="1195"/>
      <c r="AM18" s="1195"/>
      <c r="AN18" s="1195"/>
      <c r="AO18" s="1195"/>
      <c r="AP18" s="1195"/>
      <c r="AQ18" s="1195"/>
      <c r="AR18" s="1197"/>
    </row>
    <row r="19" spans="1:44" ht="33" outlineLevel="1" thickBot="1">
      <c r="B19" s="376" t="s">
        <v>663</v>
      </c>
      <c r="C19" s="390"/>
      <c r="D19" s="390"/>
      <c r="E19" s="390"/>
      <c r="F19" s="390"/>
      <c r="G19" s="391"/>
      <c r="H19" s="391"/>
      <c r="I19" s="391"/>
      <c r="J19" s="391"/>
      <c r="K19" s="379"/>
      <c r="L19" s="380">
        <v>1</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1254" t="s">
        <v>746</v>
      </c>
      <c r="AH19" s="1255" t="s">
        <v>738</v>
      </c>
      <c r="AI19" s="416">
        <v>1</v>
      </c>
      <c r="AJ19" s="415">
        <v>1</v>
      </c>
      <c r="AK19" s="416">
        <v>1</v>
      </c>
      <c r="AL19" s="415">
        <v>1</v>
      </c>
      <c r="AM19" s="416">
        <v>1</v>
      </c>
      <c r="AN19" s="415">
        <v>1</v>
      </c>
      <c r="AO19" s="416">
        <v>1</v>
      </c>
      <c r="AP19" s="415">
        <v>1</v>
      </c>
      <c r="AQ19" s="416">
        <v>1</v>
      </c>
      <c r="AR19" s="417">
        <v>1</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0.5</v>
      </c>
      <c r="D21" s="390">
        <v>0.5</v>
      </c>
      <c r="E21" s="390">
        <v>0.5</v>
      </c>
      <c r="F21" s="390">
        <v>0.5</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875</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11">
        <v>0.56000000000000005</v>
      </c>
      <c r="D29" s="512">
        <v>0.51</v>
      </c>
      <c r="E29" s="512">
        <v>0.48</v>
      </c>
      <c r="F29" s="513">
        <v>0.46</v>
      </c>
      <c r="G29" s="425"/>
      <c r="H29" s="425"/>
      <c r="I29" s="425"/>
      <c r="J29" s="425"/>
      <c r="K29" s="426"/>
      <c r="L29" s="440">
        <v>1</v>
      </c>
      <c r="M29" s="420"/>
      <c r="N29" s="420"/>
    </row>
    <row r="30" spans="1:44" outlineLevel="1">
      <c r="B30" s="441" t="s">
        <v>839</v>
      </c>
      <c r="C30" s="442">
        <v>50</v>
      </c>
      <c r="D30" s="442">
        <v>50</v>
      </c>
      <c r="E30" s="442">
        <v>50</v>
      </c>
      <c r="F30" s="442">
        <v>50</v>
      </c>
      <c r="G30" s="425"/>
      <c r="H30" s="425"/>
      <c r="I30" s="425"/>
      <c r="J30" s="425"/>
      <c r="K30" s="444"/>
      <c r="L30" s="373">
        <v>2</v>
      </c>
      <c r="M30" s="71"/>
      <c r="N30" s="420"/>
    </row>
    <row r="31" spans="1:44" outlineLevel="1">
      <c r="B31" s="441" t="s">
        <v>840</v>
      </c>
      <c r="C31" s="442">
        <v>50</v>
      </c>
      <c r="D31" s="442">
        <v>50</v>
      </c>
      <c r="E31" s="442">
        <v>50</v>
      </c>
      <c r="F31" s="442">
        <v>50</v>
      </c>
      <c r="G31" s="425"/>
      <c r="H31" s="425"/>
      <c r="I31" s="425"/>
      <c r="J31" s="425"/>
      <c r="K31" s="444"/>
      <c r="L31" s="373">
        <v>2</v>
      </c>
      <c r="M31" s="420"/>
      <c r="N31" s="420"/>
    </row>
    <row r="32" spans="1:44" outlineLevel="1">
      <c r="B32" s="383" t="s">
        <v>841</v>
      </c>
      <c r="C32" s="445">
        <v>2000</v>
      </c>
      <c r="D32" s="446">
        <v>2000</v>
      </c>
      <c r="E32" s="446">
        <v>2000</v>
      </c>
      <c r="F32" s="447">
        <v>2000</v>
      </c>
      <c r="G32" s="425"/>
      <c r="H32" s="425"/>
      <c r="I32" s="425"/>
      <c r="J32" s="425"/>
      <c r="K32" s="448"/>
      <c r="L32" s="373">
        <v>1</v>
      </c>
      <c r="M32" s="420"/>
      <c r="N32" s="420"/>
    </row>
    <row r="33" spans="2:30" ht="37" customHeight="1" outlineLevel="1" thickBot="1">
      <c r="B33" s="383" t="s">
        <v>679</v>
      </c>
      <c r="C33" s="449">
        <f>C34+C35</f>
        <v>1.01</v>
      </c>
      <c r="D33" s="449">
        <f t="shared" ref="D33:F33" si="1">D34+D35</f>
        <v>1</v>
      </c>
      <c r="E33" s="449">
        <f t="shared" si="1"/>
        <v>1</v>
      </c>
      <c r="F33" s="449">
        <f t="shared" si="1"/>
        <v>0.99</v>
      </c>
      <c r="G33" s="425"/>
      <c r="H33" s="425"/>
      <c r="I33" s="425"/>
      <c r="J33" s="425"/>
      <c r="K33" s="448"/>
      <c r="L33" s="373">
        <v>1</v>
      </c>
      <c r="M33" s="450"/>
      <c r="N33" s="361"/>
      <c r="P33" s="1157">
        <f>C33</f>
        <v>1.01</v>
      </c>
      <c r="Q33" s="1135"/>
      <c r="R33" s="1135"/>
      <c r="S33" s="1135"/>
      <c r="T33" s="1135"/>
      <c r="U33" s="1158"/>
    </row>
    <row r="34" spans="2:30" ht="15.75" customHeight="1" outlineLevel="1" thickBot="1">
      <c r="B34" s="451" t="s">
        <v>758</v>
      </c>
      <c r="C34" s="452">
        <f>C13/100*73</f>
        <v>0.73</v>
      </c>
      <c r="D34" s="452">
        <f>D13/100*75</f>
        <v>0.75</v>
      </c>
      <c r="E34" s="452">
        <f>E13/100*76</f>
        <v>0.76</v>
      </c>
      <c r="F34" s="452">
        <f>F13/100*76</f>
        <v>0.76</v>
      </c>
      <c r="G34" s="453"/>
      <c r="H34" s="453"/>
      <c r="I34" s="453"/>
      <c r="J34" s="453"/>
      <c r="K34" s="379" t="s">
        <v>20</v>
      </c>
      <c r="L34" s="380"/>
      <c r="M34" s="450"/>
      <c r="N34" s="361"/>
      <c r="P34" s="1159">
        <f>C34</f>
        <v>0.73</v>
      </c>
      <c r="Q34" s="1160"/>
      <c r="R34" s="1160"/>
      <c r="S34" s="1160"/>
      <c r="T34" s="1160"/>
      <c r="U34" s="1161"/>
    </row>
    <row r="35" spans="2:30" outlineLevel="1">
      <c r="B35" s="451" t="s">
        <v>759</v>
      </c>
      <c r="C35" s="655">
        <v>0.28000000000000003</v>
      </c>
      <c r="D35" s="655">
        <v>0.25</v>
      </c>
      <c r="E35" s="655">
        <v>0.24</v>
      </c>
      <c r="F35" s="655">
        <v>0.23</v>
      </c>
      <c r="G35" s="453"/>
      <c r="H35" s="453"/>
      <c r="I35" s="453"/>
      <c r="J35" s="453"/>
      <c r="K35" s="455"/>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168</v>
      </c>
      <c r="P39" s="466">
        <f>C8</f>
        <v>2020</v>
      </c>
      <c r="Q39" s="58">
        <f>P39</f>
        <v>2020</v>
      </c>
      <c r="R39" s="466">
        <f>O39/100</f>
        <v>1.68</v>
      </c>
      <c r="S39" s="58"/>
      <c r="T39" s="466">
        <f>C16</f>
        <v>20</v>
      </c>
      <c r="U39" s="467">
        <f>C46</f>
        <v>4172.0000000000009</v>
      </c>
      <c r="V39" s="467">
        <f>C48</f>
        <v>14.9</v>
      </c>
      <c r="W39" s="467">
        <f>C49</f>
        <v>2.0901388888888892</v>
      </c>
      <c r="X39" s="58"/>
      <c r="Y39" s="58"/>
      <c r="Z39" s="466">
        <v>0</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76</v>
      </c>
      <c r="L40" s="464"/>
      <c r="M40" s="363"/>
      <c r="N40" s="363"/>
      <c r="O40" s="465">
        <f>D12</f>
        <v>169</v>
      </c>
      <c r="P40" s="466">
        <f>D8</f>
        <v>2030</v>
      </c>
      <c r="Q40" s="58"/>
      <c r="R40" s="466">
        <f>O40/100</f>
        <v>1.69</v>
      </c>
      <c r="S40" s="58"/>
      <c r="T40" s="466">
        <f>D16</f>
        <v>20</v>
      </c>
      <c r="U40" s="467">
        <f>D46</f>
        <v>3799.5</v>
      </c>
      <c r="V40" s="467">
        <f>D48</f>
        <v>14.9</v>
      </c>
      <c r="W40" s="467">
        <f>D49</f>
        <v>2.0694444444444446</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170</v>
      </c>
      <c r="P41" s="466">
        <f>E8</f>
        <v>2040</v>
      </c>
      <c r="Q41" s="58"/>
      <c r="R41" s="466">
        <f>O41/100</f>
        <v>1.7</v>
      </c>
      <c r="S41" s="58"/>
      <c r="T41" s="466">
        <f>E16</f>
        <v>20</v>
      </c>
      <c r="U41" s="467">
        <f>E46</f>
        <v>3576</v>
      </c>
      <c r="V41" s="467">
        <f>E48</f>
        <v>14.9</v>
      </c>
      <c r="W41" s="467">
        <f>E49</f>
        <v>2.0694444444444446</v>
      </c>
      <c r="X41" s="58"/>
      <c r="Y41" s="58"/>
      <c r="Z41" s="466">
        <f>E23</f>
        <v>0</v>
      </c>
      <c r="AA41" s="468">
        <f>E25</f>
        <v>0</v>
      </c>
      <c r="AB41" s="468">
        <f>E26</f>
        <v>0</v>
      </c>
      <c r="AC41" s="468">
        <f>E27</f>
        <v>0</v>
      </c>
      <c r="AD41" s="468">
        <f>E24</f>
        <v>0</v>
      </c>
    </row>
    <row r="42" spans="2:30" ht="14.5" customHeight="1" outlineLevel="1">
      <c r="B42" s="376" t="s">
        <v>765</v>
      </c>
      <c r="C42" s="1232" t="s">
        <v>875</v>
      </c>
      <c r="D42" s="1233"/>
      <c r="E42" s="1233"/>
      <c r="F42" s="1234"/>
      <c r="G42" s="474"/>
      <c r="H42" s="474"/>
      <c r="I42" s="474"/>
      <c r="J42" s="474"/>
      <c r="K42" s="474"/>
      <c r="L42" s="380"/>
      <c r="M42" s="363"/>
      <c r="N42" s="363"/>
      <c r="O42" s="465">
        <f>F12</f>
        <v>171</v>
      </c>
      <c r="P42" s="466">
        <f>F8</f>
        <v>2050</v>
      </c>
      <c r="Q42" s="58"/>
      <c r="R42" s="466">
        <f>O42/100</f>
        <v>1.71</v>
      </c>
      <c r="S42" s="58"/>
      <c r="T42" s="466">
        <f>F16</f>
        <v>20</v>
      </c>
      <c r="U42" s="467">
        <f>F46</f>
        <v>3427</v>
      </c>
      <c r="V42" s="467">
        <f>F48</f>
        <v>14.9</v>
      </c>
      <c r="W42" s="467">
        <f>F49</f>
        <v>2.0487500000000001</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644">
        <f>C10-C10/C11*100</f>
        <v>4.9411764705882355</v>
      </c>
      <c r="D45" s="645">
        <f t="shared" ref="D45:F45" si="2">D10-D10/D11*100</f>
        <v>4.9824561403508776</v>
      </c>
      <c r="E45" s="645">
        <f t="shared" si="2"/>
        <v>5.0232558139534884</v>
      </c>
      <c r="F45" s="646">
        <f t="shared" si="2"/>
        <v>5.0635838150289025</v>
      </c>
      <c r="G45" s="481"/>
      <c r="H45" s="481"/>
      <c r="I45" s="481"/>
      <c r="J45" s="481"/>
      <c r="K45" s="481" t="s">
        <v>25</v>
      </c>
      <c r="L45" s="482"/>
      <c r="M45" s="363"/>
      <c r="N45" s="363"/>
    </row>
    <row r="46" spans="2:30" ht="64" outlineLevel="1">
      <c r="B46" s="461" t="s">
        <v>769</v>
      </c>
      <c r="C46" s="483">
        <f>C29*$F$4*1000</f>
        <v>4172.0000000000009</v>
      </c>
      <c r="D46" s="483">
        <f t="shared" ref="D46:F46" si="3">D29*$F$4*1000</f>
        <v>3799.5</v>
      </c>
      <c r="E46" s="483">
        <f t="shared" si="3"/>
        <v>3576</v>
      </c>
      <c r="F46" s="483">
        <f t="shared" si="3"/>
        <v>3427</v>
      </c>
      <c r="G46" s="483"/>
      <c r="H46" s="484"/>
      <c r="I46" s="420" t="s">
        <v>332</v>
      </c>
      <c r="J46" s="420"/>
      <c r="K46" s="484"/>
      <c r="L46" s="484"/>
      <c r="N46" s="420"/>
    </row>
    <row r="47" spans="2:30" outlineLevel="1">
      <c r="B47" s="485" t="s">
        <v>770</v>
      </c>
      <c r="C47" s="486">
        <f>C46*$I47</f>
        <v>2086000.0000000005</v>
      </c>
      <c r="D47" s="486">
        <f>D46*$I47</f>
        <v>1899750</v>
      </c>
      <c r="E47" s="486">
        <f>E46*$I47</f>
        <v>1788000</v>
      </c>
      <c r="F47" s="486">
        <f>F46*$I47</f>
        <v>1713500</v>
      </c>
      <c r="G47" s="486"/>
      <c r="H47" s="484"/>
      <c r="I47" s="71">
        <v>500</v>
      </c>
      <c r="J47" s="420" t="s">
        <v>330</v>
      </c>
      <c r="K47" s="484"/>
      <c r="L47" s="484"/>
      <c r="N47" s="420"/>
    </row>
    <row r="48" spans="2:30" ht="48" outlineLevel="1">
      <c r="B48" s="461" t="s">
        <v>845</v>
      </c>
      <c r="C48" s="359">
        <f>C32*$F$4/1000</f>
        <v>14.9</v>
      </c>
      <c r="D48" s="359">
        <f t="shared" ref="D48:F48" si="4">D32*$F$4/1000</f>
        <v>14.9</v>
      </c>
      <c r="E48" s="359">
        <f t="shared" si="4"/>
        <v>14.9</v>
      </c>
      <c r="F48" s="359">
        <f t="shared" si="4"/>
        <v>14.9</v>
      </c>
      <c r="G48" s="359"/>
      <c r="I48" s="420" t="s">
        <v>333</v>
      </c>
      <c r="J48" s="420"/>
      <c r="N48" s="420"/>
    </row>
    <row r="49" spans="2:14" ht="48" outlineLevel="1">
      <c r="B49" s="461" t="s">
        <v>846</v>
      </c>
      <c r="C49" s="487">
        <f>C33*$F$4/3.6</f>
        <v>2.0901388888888892</v>
      </c>
      <c r="D49" s="487">
        <f t="shared" ref="D49:F49" si="5">D33*$F$4/3.6</f>
        <v>2.0694444444444446</v>
      </c>
      <c r="E49" s="487">
        <f t="shared" si="5"/>
        <v>2.0694444444444446</v>
      </c>
      <c r="F49" s="487">
        <f t="shared" si="5"/>
        <v>2.0487500000000001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490"/>
      <c r="E55" s="358"/>
      <c r="F55" s="358"/>
      <c r="G55" s="358"/>
      <c r="H55" s="358"/>
      <c r="I55" s="358"/>
      <c r="J55" s="358"/>
      <c r="K55" s="358"/>
      <c r="L55" s="358"/>
    </row>
    <row r="56" spans="2:14" outlineLevel="1">
      <c r="B56" s="650">
        <v>1</v>
      </c>
      <c r="C56" s="651" t="s">
        <v>850</v>
      </c>
      <c r="D56" s="490"/>
      <c r="F56" s="358"/>
      <c r="G56" s="358"/>
      <c r="H56" s="358"/>
      <c r="I56" s="358"/>
      <c r="J56" s="358"/>
      <c r="K56" s="358"/>
      <c r="L56" s="358"/>
    </row>
    <row r="57" spans="2:14" outlineLevel="1">
      <c r="B57" s="650">
        <v>2</v>
      </c>
      <c r="C57" s="652" t="s">
        <v>847</v>
      </c>
      <c r="D57" s="490"/>
      <c r="F57" s="358"/>
      <c r="G57" s="358"/>
      <c r="H57" s="358"/>
      <c r="I57" s="358"/>
      <c r="J57" s="358"/>
      <c r="K57" s="358"/>
      <c r="L57" s="358"/>
    </row>
    <row r="58" spans="2:14" outlineLevel="1">
      <c r="B58" s="358" t="s">
        <v>783</v>
      </c>
      <c r="C58" s="358"/>
      <c r="D58" s="490"/>
      <c r="F58" s="358"/>
      <c r="G58" s="358"/>
      <c r="H58" s="358"/>
      <c r="I58" s="358"/>
      <c r="J58" s="358"/>
      <c r="K58" s="358"/>
      <c r="L58" s="358"/>
    </row>
    <row r="59" spans="2:14" outlineLevel="1">
      <c r="B59" s="653" t="s">
        <v>6</v>
      </c>
      <c r="C59" s="651" t="s">
        <v>870</v>
      </c>
      <c r="D59" s="490"/>
      <c r="F59" s="358"/>
      <c r="G59" s="358"/>
      <c r="H59" s="358"/>
      <c r="I59" s="358"/>
      <c r="J59" s="358"/>
      <c r="K59" s="358"/>
      <c r="L59" s="358"/>
    </row>
    <row r="60" spans="2:14" outlineLevel="1">
      <c r="B60" s="653" t="s">
        <v>59</v>
      </c>
      <c r="C60" s="652" t="s">
        <v>871</v>
      </c>
      <c r="D60" s="490"/>
      <c r="F60" s="358"/>
      <c r="G60" s="358"/>
      <c r="H60" s="358"/>
      <c r="I60" s="358"/>
      <c r="J60" s="358"/>
      <c r="K60" s="358"/>
      <c r="L60" s="358"/>
    </row>
    <row r="61" spans="2:14" outlineLevel="1">
      <c r="B61" s="653" t="s">
        <v>16</v>
      </c>
      <c r="C61" s="651" t="s">
        <v>872</v>
      </c>
      <c r="D61" s="490"/>
      <c r="F61" s="358"/>
      <c r="G61" s="358"/>
      <c r="H61" s="358"/>
      <c r="I61" s="358"/>
      <c r="J61" s="358"/>
      <c r="K61" s="358"/>
      <c r="L61" s="358"/>
    </row>
    <row r="62" spans="2:14" outlineLevel="1">
      <c r="B62" s="654" t="s">
        <v>20</v>
      </c>
      <c r="C62" s="489" t="s">
        <v>788</v>
      </c>
      <c r="D62" s="490"/>
      <c r="F62" s="358"/>
      <c r="G62" s="358"/>
      <c r="H62" s="358"/>
      <c r="I62" s="358"/>
      <c r="J62" s="358"/>
      <c r="K62" s="358"/>
      <c r="L62" s="358"/>
    </row>
    <row r="63" spans="2:14" outlineLevel="1">
      <c r="B63" s="653" t="s">
        <v>76</v>
      </c>
      <c r="C63" s="651" t="s">
        <v>789</v>
      </c>
      <c r="D63" s="490"/>
      <c r="F63" s="358"/>
      <c r="G63" s="358"/>
      <c r="H63" s="358"/>
      <c r="I63" s="358"/>
      <c r="J63" s="358"/>
      <c r="K63" s="358"/>
      <c r="L63" s="358"/>
    </row>
    <row r="64" spans="2:14" outlineLevel="1">
      <c r="B64" s="637" t="s">
        <v>25</v>
      </c>
      <c r="C64" s="358" t="s">
        <v>873</v>
      </c>
      <c r="D64" s="490"/>
      <c r="F64" s="358"/>
      <c r="G64" s="358"/>
      <c r="H64" s="358"/>
      <c r="I64" s="358"/>
      <c r="J64" s="358"/>
      <c r="K64" s="358"/>
      <c r="L64" s="358"/>
    </row>
    <row r="65" spans="1:44" outlineLevel="1">
      <c r="B65" s="656"/>
      <c r="C65" s="490"/>
      <c r="D65" s="490"/>
      <c r="F65" s="358"/>
      <c r="G65" s="358"/>
      <c r="H65" s="358"/>
      <c r="I65" s="358"/>
      <c r="J65" s="358"/>
      <c r="K65" s="358"/>
      <c r="L65" s="358"/>
    </row>
    <row r="66" spans="1:44" outlineLevel="1">
      <c r="B66" s="637"/>
      <c r="C66" s="490"/>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R345"/>
  <sheetViews>
    <sheetView topLeftCell="J1" zoomScale="55" zoomScaleNormal="55" workbookViewId="0">
      <selection activeCell="Y19" sqref="Y19"/>
    </sheetView>
  </sheetViews>
  <sheetFormatPr baseColWidth="10" defaultColWidth="8.83203125" defaultRowHeight="15" outlineLevelRow="1"/>
  <cols>
    <col min="1" max="1" width="35.16406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1" spans="1:44" ht="20" thickBot="1">
      <c r="A1" s="672" t="s">
        <v>918</v>
      </c>
      <c r="B1" s="673"/>
    </row>
    <row r="2" spans="1:44">
      <c r="B2" s="638" t="str">
        <f>C7</f>
        <v>High temperature heat pumps, up to 125 °C</v>
      </c>
    </row>
    <row r="4" spans="1:44" ht="25" customHeight="1">
      <c r="E4" s="224" t="s">
        <v>358</v>
      </c>
      <c r="F4" s="359">
        <v>7.45</v>
      </c>
      <c r="G4" s="359" t="s">
        <v>328</v>
      </c>
    </row>
    <row r="5" spans="1:44" ht="15" customHeight="1">
      <c r="A5" s="360" t="s">
        <v>909</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900</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1.5</v>
      </c>
      <c r="D10" s="372">
        <v>1.5</v>
      </c>
      <c r="E10" s="372">
        <v>1.5</v>
      </c>
      <c r="F10" s="372">
        <v>1.5</v>
      </c>
      <c r="G10" s="372">
        <v>0.5</v>
      </c>
      <c r="H10" s="372">
        <v>5</v>
      </c>
      <c r="I10" s="372">
        <v>0.5</v>
      </c>
      <c r="J10" s="372">
        <v>5</v>
      </c>
      <c r="K10" s="372" t="s">
        <v>6</v>
      </c>
      <c r="L10" s="373"/>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639">
        <v>260</v>
      </c>
      <c r="D11" s="639">
        <f>415-140</f>
        <v>275</v>
      </c>
      <c r="E11" s="640">
        <f>425-140</f>
        <v>285</v>
      </c>
      <c r="F11" s="639">
        <f>430-140</f>
        <v>290</v>
      </c>
      <c r="G11" s="639">
        <f>C11</f>
        <v>260</v>
      </c>
      <c r="H11" s="639">
        <f>D11*1.1</f>
        <v>302.5</v>
      </c>
      <c r="I11" s="639">
        <f>C11</f>
        <v>260</v>
      </c>
      <c r="J11" s="639">
        <f>F11*1.1</f>
        <v>319</v>
      </c>
      <c r="K11" s="379"/>
      <c r="L11" s="380">
        <v>1.5</v>
      </c>
      <c r="M11" s="370"/>
      <c r="N11" s="370"/>
      <c r="P11" s="1200" t="str">
        <f>C7</f>
        <v>High temperature heat pumps, up to 125 °C</v>
      </c>
      <c r="Q11" s="1188" t="s">
        <v>730</v>
      </c>
      <c r="R11" s="381" t="s">
        <v>731</v>
      </c>
      <c r="S11" s="382"/>
      <c r="T11" s="1191">
        <v>0</v>
      </c>
      <c r="U11" s="1179">
        <v>0</v>
      </c>
      <c r="V11" s="1182">
        <v>0</v>
      </c>
      <c r="W11" s="1179">
        <v>0</v>
      </c>
      <c r="X11" s="1182">
        <v>0</v>
      </c>
      <c r="Y11" s="1179">
        <v>0</v>
      </c>
      <c r="Z11" s="1182">
        <v>0</v>
      </c>
      <c r="AA11" s="1179">
        <v>0</v>
      </c>
      <c r="AB11" s="1182">
        <v>0</v>
      </c>
      <c r="AC11" s="1179">
        <v>0</v>
      </c>
      <c r="AE11" s="1185" t="str">
        <f>P11</f>
        <v>High temperature heat pumps, up to 125 °C</v>
      </c>
      <c r="AF11" s="1188" t="s">
        <v>730</v>
      </c>
      <c r="AG11" s="381" t="s">
        <v>731</v>
      </c>
      <c r="AH11" s="382"/>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577">
        <f>C11-5</f>
        <v>255</v>
      </c>
      <c r="D12" s="577">
        <f t="shared" ref="D12:J12" si="0">D11-5</f>
        <v>270</v>
      </c>
      <c r="E12" s="577">
        <f t="shared" si="0"/>
        <v>280</v>
      </c>
      <c r="F12" s="577">
        <f t="shared" si="0"/>
        <v>285</v>
      </c>
      <c r="G12" s="641">
        <f t="shared" si="0"/>
        <v>255</v>
      </c>
      <c r="H12" s="641">
        <f t="shared" si="0"/>
        <v>297.5</v>
      </c>
      <c r="I12" s="641">
        <f t="shared" si="0"/>
        <v>255</v>
      </c>
      <c r="J12" s="641">
        <f t="shared" si="0"/>
        <v>314</v>
      </c>
      <c r="K12" s="386" t="s">
        <v>59</v>
      </c>
      <c r="L12" s="387"/>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2</v>
      </c>
      <c r="D13" s="391">
        <v>2</v>
      </c>
      <c r="E13" s="391">
        <v>2</v>
      </c>
      <c r="F13" s="392">
        <v>2</v>
      </c>
      <c r="G13" s="391">
        <v>1</v>
      </c>
      <c r="H13" s="391">
        <v>7</v>
      </c>
      <c r="I13" s="391">
        <v>1</v>
      </c>
      <c r="J13" s="391">
        <v>7</v>
      </c>
      <c r="K13" s="379"/>
      <c r="L13" s="380">
        <v>2</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0.01</v>
      </c>
      <c r="I14" s="390">
        <v>0</v>
      </c>
      <c r="J14" s="390">
        <v>0.01</v>
      </c>
      <c r="K14" s="379" t="s">
        <v>16</v>
      </c>
      <c r="L14" s="380">
        <v>2</v>
      </c>
      <c r="M14" s="370"/>
      <c r="N14" s="370"/>
      <c r="O14" s="71"/>
      <c r="P14" s="1186"/>
      <c r="Q14" s="1188" t="s">
        <v>736</v>
      </c>
      <c r="R14" s="395" t="s">
        <v>737</v>
      </c>
      <c r="S14" s="396" t="s">
        <v>738</v>
      </c>
      <c r="T14" s="1191">
        <v>0</v>
      </c>
      <c r="U14" s="1191">
        <f>0.23</f>
        <v>0.23</v>
      </c>
      <c r="V14" s="1191">
        <v>0</v>
      </c>
      <c r="W14" s="1191">
        <f>0.26</f>
        <v>0.26</v>
      </c>
      <c r="X14" s="1191">
        <v>0</v>
      </c>
      <c r="Y14" s="1191">
        <f>0.16</f>
        <v>0.16</v>
      </c>
      <c r="Z14" s="1191">
        <v>0</v>
      </c>
      <c r="AA14" s="1191">
        <v>0.17</v>
      </c>
      <c r="AB14" s="1191">
        <v>0</v>
      </c>
      <c r="AC14" s="1179">
        <f>0.16</f>
        <v>0.16</v>
      </c>
      <c r="AE14" s="1186"/>
      <c r="AF14" s="1188" t="s">
        <v>736</v>
      </c>
      <c r="AG14" s="395" t="s">
        <v>737</v>
      </c>
      <c r="AH14" s="396" t="s">
        <v>738</v>
      </c>
      <c r="AI14" s="1191">
        <v>0</v>
      </c>
      <c r="AJ14" s="1191">
        <f>U14/4</f>
        <v>5.7500000000000002E-2</v>
      </c>
      <c r="AK14" s="1191">
        <v>0</v>
      </c>
      <c r="AL14" s="1191">
        <f>W14/4</f>
        <v>6.5000000000000002E-2</v>
      </c>
      <c r="AM14" s="1191">
        <v>0</v>
      </c>
      <c r="AN14" s="1191">
        <f>Y14/4</f>
        <v>0.04</v>
      </c>
      <c r="AO14" s="1191">
        <v>0</v>
      </c>
      <c r="AP14" s="1191">
        <f>AA14/4</f>
        <v>4.2500000000000003E-2</v>
      </c>
      <c r="AQ14" s="1191">
        <v>0</v>
      </c>
      <c r="AR14" s="1179">
        <f>AC14/4</f>
        <v>0.04</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20</v>
      </c>
      <c r="D16" s="397">
        <v>20</v>
      </c>
      <c r="E16" s="397">
        <v>20</v>
      </c>
      <c r="F16" s="397">
        <v>20</v>
      </c>
      <c r="G16" s="398">
        <v>15</v>
      </c>
      <c r="H16" s="398">
        <v>30</v>
      </c>
      <c r="I16" s="398">
        <v>15</v>
      </c>
      <c r="J16" s="398">
        <v>30</v>
      </c>
      <c r="K16" s="372"/>
      <c r="L16" s="373">
        <v>2</v>
      </c>
      <c r="M16" s="363"/>
      <c r="N16" s="363"/>
      <c r="P16" s="1186"/>
      <c r="Q16" s="1189"/>
      <c r="R16" s="395" t="s">
        <v>741</v>
      </c>
      <c r="S16" s="396"/>
      <c r="T16" s="1194"/>
      <c r="U16" s="1194"/>
      <c r="V16" s="1194"/>
      <c r="W16" s="1194"/>
      <c r="X16" s="1194"/>
      <c r="Y16" s="1194"/>
      <c r="Z16" s="1194"/>
      <c r="AA16" s="1194"/>
      <c r="AB16" s="1194"/>
      <c r="AC16" s="1196"/>
      <c r="AE16" s="1186"/>
      <c r="AF16" s="1189"/>
      <c r="AG16" s="395" t="s">
        <v>741</v>
      </c>
      <c r="AH16" s="629"/>
      <c r="AI16" s="1194"/>
      <c r="AJ16" s="1194"/>
      <c r="AK16" s="1194"/>
      <c r="AL16" s="1194"/>
      <c r="AM16" s="1194"/>
      <c r="AN16" s="1194"/>
      <c r="AO16" s="1194"/>
      <c r="AP16" s="1194"/>
      <c r="AQ16" s="1194"/>
      <c r="AR16" s="1196"/>
    </row>
    <row r="17" spans="1:44" ht="16" outlineLevel="1" thickBot="1">
      <c r="B17" s="376" t="s">
        <v>273</v>
      </c>
      <c r="C17" s="399">
        <v>0.6</v>
      </c>
      <c r="D17" s="399">
        <v>0.6</v>
      </c>
      <c r="E17" s="399">
        <v>0.6</v>
      </c>
      <c r="F17" s="399">
        <v>0.6</v>
      </c>
      <c r="G17" s="399">
        <v>0.4</v>
      </c>
      <c r="H17" s="399">
        <v>0.8</v>
      </c>
      <c r="I17" s="399">
        <v>0.4</v>
      </c>
      <c r="J17" s="399">
        <v>0.8</v>
      </c>
      <c r="K17" s="372" t="s">
        <v>20</v>
      </c>
      <c r="L17" s="400">
        <v>2</v>
      </c>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
        <v>738</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
        <v>738</v>
      </c>
      <c r="AI18" s="1195"/>
      <c r="AJ18" s="1195"/>
      <c r="AK18" s="1195"/>
      <c r="AL18" s="1195"/>
      <c r="AM18" s="1195"/>
      <c r="AN18" s="1195"/>
      <c r="AO18" s="1195"/>
      <c r="AP18" s="1195"/>
      <c r="AQ18" s="1195"/>
      <c r="AR18" s="1197"/>
    </row>
    <row r="19" spans="1:44" ht="33" outlineLevel="1" thickBot="1">
      <c r="B19" s="376" t="s">
        <v>663</v>
      </c>
      <c r="C19" s="390">
        <v>25</v>
      </c>
      <c r="D19" s="390">
        <v>25</v>
      </c>
      <c r="E19" s="390">
        <v>25</v>
      </c>
      <c r="F19" s="390">
        <v>25</v>
      </c>
      <c r="G19" s="391"/>
      <c r="H19" s="391"/>
      <c r="I19" s="391"/>
      <c r="J19" s="391"/>
      <c r="K19" s="379" t="s">
        <v>76</v>
      </c>
      <c r="L19" s="380">
        <v>4</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1254" t="s">
        <v>746</v>
      </c>
      <c r="AH19" s="1255"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9</v>
      </c>
      <c r="M20" s="363"/>
      <c r="N20" s="363"/>
    </row>
    <row r="21" spans="1:44" outlineLevel="1">
      <c r="B21" s="376" t="s">
        <v>666</v>
      </c>
      <c r="C21" s="390">
        <v>1</v>
      </c>
      <c r="D21" s="390">
        <v>1</v>
      </c>
      <c r="E21" s="390">
        <v>1</v>
      </c>
      <c r="F21" s="390">
        <v>1</v>
      </c>
      <c r="G21" s="418"/>
      <c r="H21" s="418"/>
      <c r="I21" s="418"/>
      <c r="J21" s="418"/>
      <c r="K21" s="419"/>
      <c r="L21" s="380">
        <v>9</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0.87120000000000009</v>
      </c>
      <c r="D29" s="647">
        <v>0.77880000000000005</v>
      </c>
      <c r="E29" s="647">
        <v>0.73</v>
      </c>
      <c r="F29" s="513">
        <v>0.7</v>
      </c>
      <c r="G29" s="425"/>
      <c r="H29" s="425"/>
      <c r="I29" s="425"/>
      <c r="J29" s="425"/>
      <c r="K29" s="426"/>
      <c r="L29" s="440" t="s">
        <v>901</v>
      </c>
      <c r="M29" s="420"/>
      <c r="N29" s="420"/>
    </row>
    <row r="30" spans="1:44" outlineLevel="1">
      <c r="B30" s="441" t="s">
        <v>839</v>
      </c>
      <c r="C30" s="442">
        <v>40</v>
      </c>
      <c r="D30" s="442">
        <v>40</v>
      </c>
      <c r="E30" s="442">
        <v>40</v>
      </c>
      <c r="F30" s="442">
        <v>40</v>
      </c>
      <c r="G30" s="425"/>
      <c r="H30" s="425"/>
      <c r="I30" s="425"/>
      <c r="J30" s="425"/>
      <c r="K30" s="444"/>
      <c r="L30" s="373">
        <v>4</v>
      </c>
      <c r="M30" s="71"/>
      <c r="N30" s="420"/>
    </row>
    <row r="31" spans="1:44" outlineLevel="1">
      <c r="B31" s="441" t="s">
        <v>840</v>
      </c>
      <c r="C31" s="442">
        <v>60</v>
      </c>
      <c r="D31" s="442">
        <v>60</v>
      </c>
      <c r="E31" s="442">
        <v>60</v>
      </c>
      <c r="F31" s="442">
        <v>60</v>
      </c>
      <c r="G31" s="425"/>
      <c r="H31" s="425"/>
      <c r="I31" s="425"/>
      <c r="J31" s="425"/>
      <c r="K31" s="444"/>
      <c r="L31" s="373">
        <v>4</v>
      </c>
      <c r="M31" s="420"/>
      <c r="N31" s="420"/>
    </row>
    <row r="32" spans="1:44" outlineLevel="1">
      <c r="B32" s="383" t="s">
        <v>841</v>
      </c>
      <c r="C32" s="445">
        <v>970</v>
      </c>
      <c r="D32" s="446">
        <v>870</v>
      </c>
      <c r="E32" s="446">
        <v>800</v>
      </c>
      <c r="F32" s="447">
        <v>720</v>
      </c>
      <c r="G32" s="425"/>
      <c r="H32" s="425"/>
      <c r="I32" s="425"/>
      <c r="J32" s="425"/>
      <c r="K32" s="448"/>
      <c r="L32" s="373">
        <v>5</v>
      </c>
      <c r="M32" s="420"/>
      <c r="N32" s="420"/>
    </row>
    <row r="33" spans="2:30" ht="37" customHeight="1" outlineLevel="1" thickBot="1">
      <c r="B33" s="383" t="s">
        <v>679</v>
      </c>
      <c r="C33" s="449">
        <f>SUM(C34:C35)</f>
        <v>3.26</v>
      </c>
      <c r="D33" s="449">
        <f>SUM(D34:D35)</f>
        <v>3.2</v>
      </c>
      <c r="E33" s="449">
        <f>SUM(E34:E35)</f>
        <v>3.2199999999999998</v>
      </c>
      <c r="F33" s="449">
        <f>SUM(F34:F35)</f>
        <v>3.12</v>
      </c>
      <c r="G33" s="425"/>
      <c r="H33" s="425"/>
      <c r="I33" s="425"/>
      <c r="J33" s="425"/>
      <c r="K33" s="448"/>
      <c r="L33" s="373"/>
      <c r="M33" s="450"/>
      <c r="N33" s="361"/>
      <c r="P33" s="1157">
        <f>C33</f>
        <v>3.26</v>
      </c>
      <c r="Q33" s="1135"/>
      <c r="R33" s="1135"/>
      <c r="S33" s="1135"/>
      <c r="T33" s="1135"/>
      <c r="U33" s="1158"/>
    </row>
    <row r="34" spans="2:30" ht="15.75" customHeight="1" outlineLevel="1" thickBot="1">
      <c r="B34" s="451" t="s">
        <v>758</v>
      </c>
      <c r="C34" s="452">
        <f>C13/100*73</f>
        <v>1.46</v>
      </c>
      <c r="D34" s="452">
        <f>D13/100*75</f>
        <v>1.5</v>
      </c>
      <c r="E34" s="452">
        <f>E13/100*76</f>
        <v>1.52</v>
      </c>
      <c r="F34" s="452">
        <f>F13/100*76</f>
        <v>1.52</v>
      </c>
      <c r="G34" s="453"/>
      <c r="H34" s="453"/>
      <c r="I34" s="453"/>
      <c r="J34" s="453"/>
      <c r="K34" s="379" t="s">
        <v>25</v>
      </c>
      <c r="L34" s="380">
        <v>3</v>
      </c>
      <c r="M34" s="450"/>
      <c r="N34" s="361"/>
      <c r="P34" s="1159">
        <f>C34</f>
        <v>1.46</v>
      </c>
      <c r="Q34" s="1160"/>
      <c r="R34" s="1160"/>
      <c r="S34" s="1160"/>
      <c r="T34" s="1160"/>
      <c r="U34" s="1161"/>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0.17424000000000003</v>
      </c>
      <c r="D39" s="633">
        <f>D29*0.2</f>
        <v>0.15576000000000001</v>
      </c>
      <c r="E39" s="633">
        <f>E29*0.2</f>
        <v>0.14599999999999999</v>
      </c>
      <c r="F39" s="633">
        <f>F29*0.2</f>
        <v>0.13999999999999999</v>
      </c>
      <c r="G39" s="643"/>
      <c r="H39" s="643"/>
      <c r="I39" s="643"/>
      <c r="J39" s="643"/>
      <c r="K39" s="643" t="s">
        <v>33</v>
      </c>
      <c r="L39" s="464"/>
      <c r="M39" s="363"/>
      <c r="N39" s="363"/>
      <c r="O39" s="465">
        <f>(C12+C84)/2</f>
        <v>275</v>
      </c>
      <c r="P39" s="466">
        <f>C8</f>
        <v>2020</v>
      </c>
      <c r="Q39" s="58">
        <f>P39</f>
        <v>2020</v>
      </c>
      <c r="R39" s="466">
        <f>O39/100</f>
        <v>2.75</v>
      </c>
      <c r="S39" s="58"/>
      <c r="T39" s="466">
        <f>C16</f>
        <v>20</v>
      </c>
      <c r="U39" s="467">
        <f>(C46+C118)/2</f>
        <v>7139.4840000000004</v>
      </c>
      <c r="V39" s="467">
        <f>C48</f>
        <v>7.2264999999999997</v>
      </c>
      <c r="W39" s="467">
        <f>C49</f>
        <v>6.7463888888888883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(D12+D84)/2</f>
        <v>287.5</v>
      </c>
      <c r="P40" s="466">
        <f>D8</f>
        <v>2030</v>
      </c>
      <c r="Q40" s="58"/>
      <c r="R40" s="466">
        <f>O40/100</f>
        <v>2.875</v>
      </c>
      <c r="S40" s="58"/>
      <c r="T40" s="466">
        <f>D16</f>
        <v>20</v>
      </c>
      <c r="U40" s="467">
        <f>(D46+D118)/2</f>
        <v>6382.2660000000014</v>
      </c>
      <c r="V40" s="467">
        <f>D48</f>
        <v>6.4814999999999996</v>
      </c>
      <c r="W40" s="467">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(E12+E84)/2</f>
        <v>297.5</v>
      </c>
      <c r="P41" s="466">
        <f>E8</f>
        <v>2040</v>
      </c>
      <c r="Q41" s="58"/>
      <c r="R41" s="466">
        <f>O41/100</f>
        <v>2.9750000000000001</v>
      </c>
      <c r="S41" s="58"/>
      <c r="T41" s="466">
        <f>E16</f>
        <v>20</v>
      </c>
      <c r="U41" s="467">
        <f>(E46+E118)/2</f>
        <v>5982.35</v>
      </c>
      <c r="V41" s="467">
        <f>E48</f>
        <v>5.96</v>
      </c>
      <c r="W41" s="467">
        <f>E49</f>
        <v>6.66361111111111</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(F12+F84)/2</f>
        <v>302.5</v>
      </c>
      <c r="P42" s="466">
        <f>F8</f>
        <v>2050</v>
      </c>
      <c r="Q42" s="58"/>
      <c r="R42" s="466">
        <f>O42/100</f>
        <v>3.0249999999999999</v>
      </c>
      <c r="S42" s="58"/>
      <c r="T42" s="466">
        <f>F16</f>
        <v>20</v>
      </c>
      <c r="U42" s="467">
        <f>(F46+F118)/2</f>
        <v>5736.5</v>
      </c>
      <c r="V42" s="467">
        <f>F48</f>
        <v>5.3639999999999999</v>
      </c>
      <c r="W42" s="467">
        <f>F49</f>
        <v>6.4566666666666661</v>
      </c>
      <c r="X42" s="58"/>
      <c r="Y42" s="58"/>
      <c r="Z42" s="466">
        <f>F23</f>
        <v>0</v>
      </c>
      <c r="AA42" s="468">
        <f>F25</f>
        <v>0</v>
      </c>
      <c r="AB42" s="468">
        <f>F26</f>
        <v>0</v>
      </c>
      <c r="AC42" s="468">
        <f>F27</f>
        <v>0</v>
      </c>
      <c r="AD42" s="468">
        <f>F24</f>
        <v>0</v>
      </c>
    </row>
    <row r="43" spans="2:30" outlineLevel="1">
      <c r="B43" s="475" t="s">
        <v>766</v>
      </c>
      <c r="C43" s="469">
        <v>40</v>
      </c>
      <c r="D43" s="470">
        <v>40</v>
      </c>
      <c r="E43" s="470">
        <v>40</v>
      </c>
      <c r="F43" s="471">
        <v>40</v>
      </c>
      <c r="G43" s="474"/>
      <c r="H43" s="474"/>
      <c r="I43" s="474"/>
      <c r="J43" s="474"/>
      <c r="K43" s="474" t="s">
        <v>51</v>
      </c>
      <c r="L43" s="476"/>
      <c r="M43" s="367"/>
      <c r="N43" s="367"/>
    </row>
    <row r="44" spans="2:30" outlineLevel="1">
      <c r="B44" s="475" t="s">
        <v>767</v>
      </c>
      <c r="C44" s="469">
        <v>10</v>
      </c>
      <c r="D44" s="470">
        <v>10</v>
      </c>
      <c r="E44" s="470">
        <v>10</v>
      </c>
      <c r="F44" s="471">
        <v>10</v>
      </c>
      <c r="G44" s="474"/>
      <c r="H44" s="474"/>
      <c r="I44" s="474"/>
      <c r="J44" s="474"/>
      <c r="K44" s="474" t="s">
        <v>51</v>
      </c>
      <c r="L44" s="476"/>
      <c r="M44" s="363"/>
      <c r="N44" s="363"/>
      <c r="O44" s="8" t="s">
        <v>919</v>
      </c>
    </row>
    <row r="45" spans="2:30" ht="16" outlineLevel="1" thickBot="1">
      <c r="B45" s="477" t="s">
        <v>768</v>
      </c>
      <c r="C45" s="478"/>
      <c r="D45" s="479"/>
      <c r="E45" s="479"/>
      <c r="F45" s="480"/>
      <c r="G45" s="481"/>
      <c r="H45" s="481"/>
      <c r="I45" s="481"/>
      <c r="J45" s="481"/>
      <c r="K45" s="481"/>
      <c r="L45" s="482"/>
      <c r="M45" s="363"/>
      <c r="N45" s="363"/>
    </row>
    <row r="46" spans="2:30" ht="64" outlineLevel="1">
      <c r="B46" s="461" t="s">
        <v>769</v>
      </c>
      <c r="C46" s="483">
        <f>C29*$F$4*1000</f>
        <v>6490.4400000000005</v>
      </c>
      <c r="D46" s="483">
        <f t="shared" ref="D46:F46" si="1">D29*$F$4*1000</f>
        <v>5802.0600000000013</v>
      </c>
      <c r="E46" s="483">
        <f t="shared" si="1"/>
        <v>5438.5</v>
      </c>
      <c r="F46" s="483">
        <f t="shared" si="1"/>
        <v>5215</v>
      </c>
      <c r="G46" s="483"/>
      <c r="H46" s="484"/>
      <c r="I46" s="420" t="s">
        <v>332</v>
      </c>
      <c r="J46" s="420"/>
      <c r="K46" s="484"/>
      <c r="L46" s="484"/>
      <c r="N46" s="420"/>
    </row>
    <row r="47" spans="2:30" outlineLevel="1">
      <c r="B47" s="485" t="s">
        <v>770</v>
      </c>
      <c r="C47" s="486">
        <f>C46*$I47</f>
        <v>3245220.0000000005</v>
      </c>
      <c r="D47" s="486">
        <f>D46*$I47</f>
        <v>2901030.0000000005</v>
      </c>
      <c r="E47" s="486">
        <f>E46*$I47</f>
        <v>2719250</v>
      </c>
      <c r="F47" s="486">
        <f>F46*$I47</f>
        <v>2607500</v>
      </c>
      <c r="G47" s="486"/>
      <c r="H47" s="484"/>
      <c r="I47" s="71">
        <v>500</v>
      </c>
      <c r="J47" s="420" t="s">
        <v>330</v>
      </c>
      <c r="K47" s="484"/>
      <c r="L47" s="484"/>
      <c r="N47" s="420"/>
    </row>
    <row r="48" spans="2:30" ht="48" outlineLevel="1">
      <c r="B48" s="461" t="s">
        <v>845</v>
      </c>
      <c r="C48" s="359">
        <f>C32*$F$4/1000</f>
        <v>7.2264999999999997</v>
      </c>
      <c r="D48" s="359">
        <f t="shared" ref="D48:F48" si="2">D32*$F$4/1000</f>
        <v>6.4814999999999996</v>
      </c>
      <c r="E48" s="359">
        <f t="shared" si="2"/>
        <v>5.96</v>
      </c>
      <c r="F48" s="359">
        <f t="shared" si="2"/>
        <v>5.3639999999999999</v>
      </c>
      <c r="G48" s="359"/>
      <c r="I48" s="420" t="s">
        <v>333</v>
      </c>
      <c r="J48" s="420"/>
      <c r="N48" s="420"/>
    </row>
    <row r="49" spans="2:14" ht="48" outlineLevel="1">
      <c r="B49" s="461" t="s">
        <v>846</v>
      </c>
      <c r="C49" s="487">
        <f>C33*$F$4/3.6</f>
        <v>6.7463888888888883</v>
      </c>
      <c r="D49" s="487">
        <f t="shared" ref="D49:F49" si="3">D33*$F$4/3.6</f>
        <v>6.6222222222222227</v>
      </c>
      <c r="E49" s="487">
        <f t="shared" si="3"/>
        <v>6.66361111111111</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8" t="s">
        <v>773</v>
      </c>
      <c r="F55" s="358"/>
      <c r="G55" s="358"/>
      <c r="H55" s="358"/>
      <c r="I55" s="358"/>
      <c r="J55" s="358"/>
      <c r="K55" s="358"/>
      <c r="L55" s="358"/>
    </row>
    <row r="56" spans="2:14" outlineLevel="1">
      <c r="B56" s="358">
        <v>1</v>
      </c>
      <c r="C56" s="490" t="s">
        <v>878</v>
      </c>
      <c r="D56" s="358"/>
      <c r="E56" s="490"/>
      <c r="F56" s="358"/>
      <c r="G56" s="358"/>
      <c r="H56" s="358"/>
      <c r="I56" s="358"/>
      <c r="J56" s="358"/>
      <c r="K56" s="358"/>
      <c r="L56" s="358"/>
    </row>
    <row r="57" spans="2:14" outlineLevel="1">
      <c r="B57" s="358">
        <v>2</v>
      </c>
      <c r="C57" s="636" t="s">
        <v>902</v>
      </c>
      <c r="D57" s="358"/>
      <c r="E57" s="490"/>
      <c r="F57" s="358"/>
      <c r="G57" s="358"/>
      <c r="H57" s="358"/>
      <c r="I57" s="358"/>
      <c r="J57" s="358"/>
      <c r="K57" s="358"/>
      <c r="L57" s="358"/>
    </row>
    <row r="58" spans="2:14" outlineLevel="1">
      <c r="B58" s="666">
        <v>3</v>
      </c>
      <c r="C58" s="667" t="s">
        <v>903</v>
      </c>
      <c r="D58" s="358"/>
      <c r="E58" s="490"/>
      <c r="F58" s="358"/>
      <c r="G58" s="358"/>
      <c r="H58" s="358"/>
      <c r="I58" s="358"/>
      <c r="J58" s="358"/>
      <c r="K58" s="358"/>
      <c r="L58" s="358"/>
    </row>
    <row r="59" spans="2:14" outlineLevel="1">
      <c r="B59" s="490">
        <v>4</v>
      </c>
      <c r="C59" s="667" t="s">
        <v>904</v>
      </c>
      <c r="D59" s="358"/>
      <c r="E59" s="490"/>
      <c r="F59" s="358"/>
      <c r="G59" s="358"/>
      <c r="H59" s="358"/>
      <c r="I59" s="358"/>
      <c r="J59" s="358"/>
      <c r="K59" s="358"/>
      <c r="L59" s="358"/>
    </row>
    <row r="60" spans="2:14" outlineLevel="1">
      <c r="B60" s="490">
        <v>5</v>
      </c>
      <c r="C60" s="493" t="s">
        <v>905</v>
      </c>
      <c r="D60" s="358"/>
      <c r="E60" s="490"/>
      <c r="F60" s="358"/>
      <c r="G60" s="358"/>
      <c r="H60" s="358"/>
      <c r="I60" s="358"/>
      <c r="J60" s="358"/>
      <c r="K60" s="358"/>
      <c r="L60" s="358"/>
    </row>
    <row r="61" spans="2:14" outlineLevel="1">
      <c r="B61" s="8" t="s">
        <v>783</v>
      </c>
      <c r="D61" s="358"/>
      <c r="E61" s="490"/>
      <c r="F61" s="358"/>
      <c r="G61" s="358"/>
      <c r="H61" s="358"/>
      <c r="I61" s="358"/>
      <c r="J61" s="358"/>
      <c r="K61" s="358"/>
      <c r="L61" s="358"/>
    </row>
    <row r="62" spans="2:14" outlineLevel="1">
      <c r="B62" s="637" t="s">
        <v>6</v>
      </c>
      <c r="C62" s="358" t="s">
        <v>853</v>
      </c>
      <c r="D62" s="358"/>
      <c r="E62" s="490"/>
      <c r="F62" s="358"/>
      <c r="G62" s="358"/>
      <c r="H62" s="358"/>
      <c r="I62" s="358"/>
      <c r="J62" s="358"/>
      <c r="K62" s="358"/>
      <c r="L62" s="358"/>
    </row>
    <row r="63" spans="2:14" outlineLevel="1">
      <c r="B63" s="637" t="s">
        <v>59</v>
      </c>
      <c r="C63" s="358" t="s">
        <v>906</v>
      </c>
      <c r="D63" s="358"/>
      <c r="E63" s="490"/>
      <c r="F63" s="358"/>
      <c r="G63" s="358"/>
      <c r="H63" s="358"/>
      <c r="I63" s="358"/>
      <c r="J63" s="358"/>
      <c r="K63" s="358"/>
      <c r="L63" s="358"/>
    </row>
    <row r="64" spans="2:14" outlineLevel="1">
      <c r="B64" s="637" t="s">
        <v>16</v>
      </c>
      <c r="C64" s="358" t="s">
        <v>856</v>
      </c>
      <c r="D64" s="358"/>
      <c r="E64" s="490"/>
      <c r="F64" s="358"/>
      <c r="G64" s="358"/>
      <c r="H64" s="358"/>
      <c r="I64" s="358"/>
      <c r="J64" s="358"/>
      <c r="K64" s="358"/>
      <c r="L64" s="358"/>
    </row>
    <row r="65" spans="1:44" outlineLevel="1">
      <c r="B65" s="637" t="s">
        <v>20</v>
      </c>
      <c r="C65" s="358" t="s">
        <v>907</v>
      </c>
      <c r="F65" s="358"/>
      <c r="G65" s="358"/>
      <c r="H65" s="358"/>
      <c r="I65" s="358"/>
      <c r="J65" s="358"/>
      <c r="K65" s="358"/>
      <c r="L65" s="358"/>
    </row>
    <row r="66" spans="1:44" outlineLevel="1">
      <c r="B66" s="666" t="s">
        <v>76</v>
      </c>
      <c r="C66" s="358" t="s">
        <v>908</v>
      </c>
      <c r="D66" s="358"/>
      <c r="E66" s="490"/>
      <c r="F66" s="358"/>
      <c r="G66" s="358"/>
      <c r="H66" s="358"/>
      <c r="I66" s="358"/>
      <c r="J66" s="358"/>
      <c r="K66" s="358"/>
      <c r="L66" s="358"/>
    </row>
    <row r="67" spans="1:44" outlineLevel="1">
      <c r="B67" s="637" t="s">
        <v>25</v>
      </c>
      <c r="C67" s="498" t="s">
        <v>788</v>
      </c>
      <c r="D67" s="498"/>
      <c r="E67" s="490"/>
      <c r="F67" s="358"/>
      <c r="G67" s="358"/>
      <c r="H67" s="358"/>
      <c r="I67" s="358"/>
      <c r="J67" s="358"/>
      <c r="K67" s="358"/>
      <c r="L67" s="358"/>
    </row>
    <row r="68" spans="1:44" outlineLevel="1">
      <c r="B68" s="656" t="s">
        <v>33</v>
      </c>
      <c r="C68" s="490" t="s">
        <v>859</v>
      </c>
      <c r="E68" s="490"/>
      <c r="F68" s="358"/>
      <c r="G68" s="358"/>
      <c r="H68" s="358"/>
      <c r="I68" s="358"/>
      <c r="J68" s="358"/>
      <c r="K68" s="358"/>
      <c r="L68" s="358"/>
    </row>
    <row r="69" spans="1:44" outlineLevel="1">
      <c r="B69" s="637" t="s">
        <v>51</v>
      </c>
      <c r="C69" s="490" t="s">
        <v>860</v>
      </c>
      <c r="E69" s="490"/>
      <c r="F69" s="358"/>
      <c r="G69" s="358"/>
      <c r="H69" s="358"/>
      <c r="I69" s="358"/>
      <c r="J69" s="358"/>
      <c r="K69" s="358"/>
      <c r="L69" s="358"/>
    </row>
    <row r="70" spans="1:44" outlineLevel="1">
      <c r="E70" s="490"/>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t="s">
        <v>916</v>
      </c>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692">
        <v>1</v>
      </c>
      <c r="Q78" s="692">
        <v>2</v>
      </c>
      <c r="R78" s="692">
        <v>3</v>
      </c>
      <c r="S78" s="692">
        <v>4</v>
      </c>
      <c r="T78" s="692">
        <v>5</v>
      </c>
      <c r="U78" s="692">
        <v>6</v>
      </c>
      <c r="V78" s="692">
        <v>7</v>
      </c>
      <c r="W78" s="692">
        <v>8</v>
      </c>
      <c r="X78" s="692">
        <v>9</v>
      </c>
      <c r="Y78" s="692">
        <v>10</v>
      </c>
      <c r="Z78" s="692">
        <v>11</v>
      </c>
      <c r="AA78" s="692">
        <v>12</v>
      </c>
      <c r="AB78" s="692">
        <v>13</v>
      </c>
      <c r="AC78" s="692">
        <v>14</v>
      </c>
    </row>
    <row r="79" spans="1:44" ht="20.5" customHeight="1" outlineLevel="1" thickBot="1">
      <c r="B79" s="362" t="s">
        <v>0</v>
      </c>
      <c r="C79" s="1176" t="s">
        <v>915</v>
      </c>
      <c r="D79" s="1177"/>
      <c r="E79" s="1177"/>
      <c r="F79" s="1177"/>
      <c r="G79" s="1177"/>
      <c r="H79" s="1177"/>
      <c r="I79" s="1177"/>
      <c r="J79" s="1177"/>
      <c r="K79" s="1177"/>
      <c r="L79" s="1178"/>
      <c r="M79" s="363"/>
      <c r="N79" s="363"/>
      <c r="P79" s="364" t="s">
        <v>713</v>
      </c>
      <c r="Q79" s="365"/>
      <c r="R79" s="366"/>
      <c r="S79" s="1143" t="s">
        <v>714</v>
      </c>
      <c r="T79" s="1147" t="s">
        <v>715</v>
      </c>
      <c r="U79" s="1148"/>
      <c r="V79" s="1147" t="s">
        <v>716</v>
      </c>
      <c r="W79" s="1148"/>
      <c r="X79" s="1147" t="s">
        <v>717</v>
      </c>
      <c r="Y79" s="1148"/>
      <c r="Z79" s="1147" t="s">
        <v>718</v>
      </c>
      <c r="AA79" s="1148"/>
      <c r="AB79" s="1147" t="s">
        <v>719</v>
      </c>
      <c r="AC79" s="1148"/>
      <c r="AE79" s="364" t="s">
        <v>720</v>
      </c>
      <c r="AF79" s="365"/>
      <c r="AG79" s="366"/>
      <c r="AH79" s="1143" t="s">
        <v>714</v>
      </c>
      <c r="AI79" s="1147" t="s">
        <v>715</v>
      </c>
      <c r="AJ79" s="1148"/>
      <c r="AK79" s="1147" t="s">
        <v>716</v>
      </c>
      <c r="AL79" s="1148"/>
      <c r="AM79" s="1147" t="s">
        <v>717</v>
      </c>
      <c r="AN79" s="1148"/>
      <c r="AO79" s="1147" t="s">
        <v>718</v>
      </c>
      <c r="AP79" s="1148"/>
      <c r="AQ79" s="1147" t="s">
        <v>719</v>
      </c>
      <c r="AR79" s="1148"/>
    </row>
    <row r="80" spans="1:44" ht="15" customHeight="1" outlineLevel="1" thickBot="1">
      <c r="B80" s="1168" t="s">
        <v>4</v>
      </c>
      <c r="C80" s="1170">
        <v>2020</v>
      </c>
      <c r="D80" s="1170">
        <v>2030</v>
      </c>
      <c r="E80" s="1170">
        <v>2040</v>
      </c>
      <c r="F80" s="1170">
        <v>2050</v>
      </c>
      <c r="G80" s="1172" t="s">
        <v>721</v>
      </c>
      <c r="H80" s="1173"/>
      <c r="I80" s="1172" t="s">
        <v>648</v>
      </c>
      <c r="J80" s="1173"/>
      <c r="K80" s="1174" t="s">
        <v>2</v>
      </c>
      <c r="L80" s="1174" t="s">
        <v>3</v>
      </c>
      <c r="M80" s="367"/>
      <c r="N80" s="367"/>
      <c r="P80" s="1151" t="s">
        <v>0</v>
      </c>
      <c r="Q80" s="368"/>
      <c r="R80" s="368"/>
      <c r="S80" s="1144"/>
      <c r="T80" s="1149"/>
      <c r="U80" s="1150"/>
      <c r="V80" s="1149"/>
      <c r="W80" s="1150"/>
      <c r="X80" s="1149"/>
      <c r="Y80" s="1150"/>
      <c r="Z80" s="1149"/>
      <c r="AA80" s="1150"/>
      <c r="AB80" s="1149"/>
      <c r="AC80" s="1150"/>
      <c r="AE80" s="1151" t="s">
        <v>0</v>
      </c>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t="s">
        <v>649</v>
      </c>
      <c r="H81" s="499" t="s">
        <v>650</v>
      </c>
      <c r="I81" s="499" t="s">
        <v>649</v>
      </c>
      <c r="J81" s="499" t="s">
        <v>650</v>
      </c>
      <c r="K81" s="1175"/>
      <c r="L81" s="1175"/>
      <c r="M81" s="370"/>
      <c r="N81" s="370"/>
      <c r="P81" s="1152"/>
      <c r="Q81" s="1154" t="s">
        <v>722</v>
      </c>
      <c r="R81" s="1155" t="s">
        <v>723</v>
      </c>
      <c r="S81" s="1145"/>
      <c r="T81" s="1149"/>
      <c r="U81" s="1150"/>
      <c r="V81" s="1149"/>
      <c r="W81" s="1150"/>
      <c r="X81" s="1149"/>
      <c r="Y81" s="1150"/>
      <c r="Z81" s="1149"/>
      <c r="AA81" s="1150"/>
      <c r="AB81" s="1149"/>
      <c r="AC81" s="1150"/>
      <c r="AE81" s="1152"/>
      <c r="AF81" s="1198" t="s">
        <v>722</v>
      </c>
      <c r="AG81" s="1155" t="s">
        <v>723</v>
      </c>
      <c r="AH81" s="1145"/>
      <c r="AI81" s="1149"/>
      <c r="AJ81" s="1150"/>
      <c r="AK81" s="1149"/>
      <c r="AL81" s="1150"/>
      <c r="AM81" s="1149"/>
      <c r="AN81" s="1150"/>
      <c r="AO81" s="1149"/>
      <c r="AP81" s="1150"/>
      <c r="AQ81" s="1149"/>
      <c r="AR81" s="1150"/>
    </row>
    <row r="82" spans="2:44" ht="33" outlineLevel="1" thickBot="1">
      <c r="B82" s="371" t="s">
        <v>651</v>
      </c>
      <c r="C82" s="372">
        <v>1.5</v>
      </c>
      <c r="D82" s="372">
        <v>1.5</v>
      </c>
      <c r="E82" s="372">
        <v>1.5</v>
      </c>
      <c r="F82" s="372">
        <v>1.5</v>
      </c>
      <c r="G82" s="372">
        <v>0.5</v>
      </c>
      <c r="H82" s="372">
        <v>5</v>
      </c>
      <c r="I82" s="372">
        <v>0.5</v>
      </c>
      <c r="J82" s="372">
        <v>5</v>
      </c>
      <c r="K82" s="372" t="s">
        <v>6</v>
      </c>
      <c r="L82" s="373"/>
      <c r="M82" s="370"/>
      <c r="N82" s="370"/>
      <c r="O82" s="74"/>
      <c r="P82" s="1153"/>
      <c r="Q82" s="1146"/>
      <c r="R82" s="1156"/>
      <c r="S82" s="1146"/>
      <c r="T82" s="374" t="s">
        <v>726</v>
      </c>
      <c r="U82" s="375" t="s">
        <v>727</v>
      </c>
      <c r="V82" s="374" t="s">
        <v>726</v>
      </c>
      <c r="W82" s="375" t="s">
        <v>727</v>
      </c>
      <c r="X82" s="374" t="s">
        <v>726</v>
      </c>
      <c r="Y82" s="375" t="s">
        <v>727</v>
      </c>
      <c r="Z82" s="374" t="s">
        <v>726</v>
      </c>
      <c r="AA82" s="375" t="s">
        <v>727</v>
      </c>
      <c r="AB82" s="374" t="s">
        <v>726</v>
      </c>
      <c r="AC82" s="375" t="s">
        <v>727</v>
      </c>
      <c r="AE82" s="1153"/>
      <c r="AF82" s="1199"/>
      <c r="AG82" s="1156"/>
      <c r="AH82" s="1146"/>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500" t="s">
        <v>728</v>
      </c>
      <c r="C83" s="668">
        <v>300</v>
      </c>
      <c r="D83" s="668">
        <v>310</v>
      </c>
      <c r="E83" s="669">
        <v>320</v>
      </c>
      <c r="F83" s="668">
        <v>325</v>
      </c>
      <c r="G83" s="668">
        <f>D83</f>
        <v>310</v>
      </c>
      <c r="H83" s="668">
        <f>D83*1.1</f>
        <v>341</v>
      </c>
      <c r="I83" s="668">
        <f>D83</f>
        <v>310</v>
      </c>
      <c r="J83" s="668">
        <f>F83*1.1</f>
        <v>357.50000000000006</v>
      </c>
      <c r="K83" s="503"/>
      <c r="L83" s="504">
        <v>1.5</v>
      </c>
      <c r="M83" s="370"/>
      <c r="N83" s="370"/>
      <c r="P83" s="1185" t="str">
        <f>C79</f>
        <v>High temperature heat pumps, up to 150 °C</v>
      </c>
      <c r="Q83" s="1188" t="s">
        <v>730</v>
      </c>
      <c r="R83" s="381" t="s">
        <v>731</v>
      </c>
      <c r="S83" s="382"/>
      <c r="T83" s="1191">
        <v>0</v>
      </c>
      <c r="U83" s="1179">
        <v>0</v>
      </c>
      <c r="V83" s="1191">
        <v>0</v>
      </c>
      <c r="W83" s="1179">
        <v>0</v>
      </c>
      <c r="X83" s="1191">
        <v>0</v>
      </c>
      <c r="Y83" s="1179">
        <v>0</v>
      </c>
      <c r="Z83" s="1191">
        <v>0</v>
      </c>
      <c r="AA83" s="1179">
        <v>0</v>
      </c>
      <c r="AB83" s="1191">
        <v>0</v>
      </c>
      <c r="AC83" s="1179">
        <v>0</v>
      </c>
      <c r="AE83" s="1185" t="str">
        <f>P83</f>
        <v>High temperature heat pumps, up to 150 °C</v>
      </c>
      <c r="AF83" s="1188" t="s">
        <v>730</v>
      </c>
      <c r="AG83" s="381" t="s">
        <v>731</v>
      </c>
      <c r="AH83" s="382"/>
      <c r="AI83" s="1191">
        <v>0</v>
      </c>
      <c r="AJ83" s="1179">
        <v>0</v>
      </c>
      <c r="AK83" s="1191">
        <v>0</v>
      </c>
      <c r="AL83" s="1179">
        <v>0</v>
      </c>
      <c r="AM83" s="1191">
        <v>0</v>
      </c>
      <c r="AN83" s="1179">
        <v>0</v>
      </c>
      <c r="AO83" s="1191">
        <v>0</v>
      </c>
      <c r="AP83" s="1179">
        <v>0</v>
      </c>
      <c r="AQ83" s="1191">
        <v>0</v>
      </c>
      <c r="AR83" s="1179">
        <v>0</v>
      </c>
    </row>
    <row r="84" spans="2:44" outlineLevel="1">
      <c r="B84" s="383" t="s">
        <v>732</v>
      </c>
      <c r="C84" s="577">
        <f>C83-5</f>
        <v>295</v>
      </c>
      <c r="D84" s="577">
        <f t="shared" ref="D84:J84" si="4">D83-5</f>
        <v>305</v>
      </c>
      <c r="E84" s="577">
        <f t="shared" si="4"/>
        <v>315</v>
      </c>
      <c r="F84" s="577">
        <f t="shared" si="4"/>
        <v>320</v>
      </c>
      <c r="G84" s="576">
        <f t="shared" si="4"/>
        <v>305</v>
      </c>
      <c r="H84" s="576">
        <f t="shared" si="4"/>
        <v>336</v>
      </c>
      <c r="I84" s="576">
        <f t="shared" si="4"/>
        <v>305</v>
      </c>
      <c r="J84" s="576">
        <f t="shared" si="4"/>
        <v>352.50000000000006</v>
      </c>
      <c r="K84" s="372" t="s">
        <v>59</v>
      </c>
      <c r="L84" s="373"/>
      <c r="M84" s="370"/>
      <c r="N84" s="370"/>
      <c r="O84" s="71"/>
      <c r="P84" s="1186"/>
      <c r="Q84" s="1189"/>
      <c r="R84" s="388" t="s">
        <v>733</v>
      </c>
      <c r="S84" s="389"/>
      <c r="T84" s="1192"/>
      <c r="U84" s="1180"/>
      <c r="V84" s="1192"/>
      <c r="W84" s="1180"/>
      <c r="X84" s="1192"/>
      <c r="Y84" s="1180"/>
      <c r="Z84" s="1192"/>
      <c r="AA84" s="1180"/>
      <c r="AB84" s="1192"/>
      <c r="AC84" s="1180"/>
      <c r="AE84" s="1186"/>
      <c r="AF84" s="1189"/>
      <c r="AG84" s="388" t="s">
        <v>733</v>
      </c>
      <c r="AH84" s="389"/>
      <c r="AI84" s="1192"/>
      <c r="AJ84" s="1180"/>
      <c r="AK84" s="1192"/>
      <c r="AL84" s="1180"/>
      <c r="AM84" s="1192"/>
      <c r="AN84" s="1180"/>
      <c r="AO84" s="1192"/>
      <c r="AP84" s="1180"/>
      <c r="AQ84" s="1192"/>
      <c r="AR84" s="1180"/>
    </row>
    <row r="85" spans="2:44" ht="16" outlineLevel="1" thickBot="1">
      <c r="B85" s="500" t="s">
        <v>734</v>
      </c>
      <c r="C85" s="506">
        <v>2</v>
      </c>
      <c r="D85" s="507">
        <v>2</v>
      </c>
      <c r="E85" s="507">
        <v>2</v>
      </c>
      <c r="F85" s="508">
        <v>2</v>
      </c>
      <c r="G85" s="507">
        <v>1</v>
      </c>
      <c r="H85" s="507">
        <v>7</v>
      </c>
      <c r="I85" s="507">
        <v>1</v>
      </c>
      <c r="J85" s="507">
        <v>7</v>
      </c>
      <c r="K85" s="503"/>
      <c r="L85" s="504">
        <v>2</v>
      </c>
      <c r="M85" s="370"/>
      <c r="N85" s="370"/>
      <c r="O85" s="71"/>
      <c r="P85" s="1186"/>
      <c r="Q85" s="1190"/>
      <c r="R85" s="393" t="s">
        <v>735</v>
      </c>
      <c r="S85" s="394"/>
      <c r="T85" s="1193"/>
      <c r="U85" s="1181"/>
      <c r="V85" s="1193"/>
      <c r="W85" s="1181"/>
      <c r="X85" s="1193"/>
      <c r="Y85" s="1181"/>
      <c r="Z85" s="1193"/>
      <c r="AA85" s="1181"/>
      <c r="AB85" s="1193"/>
      <c r="AC85" s="1181"/>
      <c r="AE85" s="1186"/>
      <c r="AF85" s="1190"/>
      <c r="AG85" s="393" t="s">
        <v>735</v>
      </c>
      <c r="AH85" s="394"/>
      <c r="AI85" s="1193"/>
      <c r="AJ85" s="1181"/>
      <c r="AK85" s="1193"/>
      <c r="AL85" s="1181"/>
      <c r="AM85" s="1193"/>
      <c r="AN85" s="1181"/>
      <c r="AO85" s="1193"/>
      <c r="AP85" s="1181"/>
      <c r="AQ85" s="1193"/>
      <c r="AR85" s="1181"/>
    </row>
    <row r="86" spans="2:44" ht="15" customHeight="1" outlineLevel="1">
      <c r="B86" s="500" t="s">
        <v>657</v>
      </c>
      <c r="C86" s="506">
        <v>0</v>
      </c>
      <c r="D86" s="506">
        <v>0</v>
      </c>
      <c r="E86" s="506">
        <v>0</v>
      </c>
      <c r="F86" s="506">
        <v>0</v>
      </c>
      <c r="G86" s="506">
        <v>0</v>
      </c>
      <c r="H86" s="506">
        <v>1</v>
      </c>
      <c r="I86" s="506">
        <v>0</v>
      </c>
      <c r="J86" s="506">
        <v>1</v>
      </c>
      <c r="K86" s="503" t="s">
        <v>16</v>
      </c>
      <c r="L86" s="504">
        <v>2</v>
      </c>
      <c r="M86" s="370"/>
      <c r="N86" s="370"/>
      <c r="O86" s="71"/>
      <c r="P86" s="1186"/>
      <c r="Q86" s="1188" t="s">
        <v>736</v>
      </c>
      <c r="R86" s="395" t="s">
        <v>737</v>
      </c>
      <c r="S86" s="396" t="s">
        <v>738</v>
      </c>
      <c r="T86" s="1191">
        <v>0</v>
      </c>
      <c r="U86" s="1191">
        <v>0.09</v>
      </c>
      <c r="V86" s="1191">
        <v>0</v>
      </c>
      <c r="W86" s="1191">
        <v>0.1</v>
      </c>
      <c r="X86" s="1191">
        <v>0</v>
      </c>
      <c r="Y86" s="1191">
        <v>0.03</v>
      </c>
      <c r="Z86" s="1191">
        <v>0</v>
      </c>
      <c r="AA86" s="1191">
        <v>0.05</v>
      </c>
      <c r="AB86" s="1191">
        <v>0</v>
      </c>
      <c r="AC86" s="1191">
        <v>7.0000000000000007E-2</v>
      </c>
      <c r="AE86" s="1186"/>
      <c r="AF86" s="1188" t="s">
        <v>736</v>
      </c>
      <c r="AG86" s="395" t="s">
        <v>737</v>
      </c>
      <c r="AH86" s="396" t="s">
        <v>738</v>
      </c>
      <c r="AI86" s="1191">
        <v>0</v>
      </c>
      <c r="AJ86" s="1191">
        <f>U86/4</f>
        <v>2.2499999999999999E-2</v>
      </c>
      <c r="AK86" s="1191">
        <v>0</v>
      </c>
      <c r="AL86" s="1191">
        <f>W86/4</f>
        <v>2.5000000000000001E-2</v>
      </c>
      <c r="AM86" s="1191">
        <v>0</v>
      </c>
      <c r="AN86" s="1191">
        <f>Y86/4</f>
        <v>7.4999999999999997E-3</v>
      </c>
      <c r="AO86" s="1191">
        <v>0</v>
      </c>
      <c r="AP86" s="1191">
        <f>AA86/4</f>
        <v>1.2500000000000001E-2</v>
      </c>
      <c r="AQ86" s="1191">
        <v>0</v>
      </c>
      <c r="AR86" s="1191">
        <f>AC86/4</f>
        <v>1.7500000000000002E-2</v>
      </c>
    </row>
    <row r="87" spans="2:44" outlineLevel="1">
      <c r="B87" s="500" t="s">
        <v>658</v>
      </c>
      <c r="C87" s="506">
        <v>0.5</v>
      </c>
      <c r="D87" s="506">
        <v>0.5</v>
      </c>
      <c r="E87" s="506">
        <v>0.5</v>
      </c>
      <c r="F87" s="506">
        <v>0.5</v>
      </c>
      <c r="G87" s="506">
        <v>0</v>
      </c>
      <c r="H87" s="506">
        <v>1</v>
      </c>
      <c r="I87" s="506">
        <v>0</v>
      </c>
      <c r="J87" s="506">
        <v>1</v>
      </c>
      <c r="K87" s="503"/>
      <c r="L87" s="504">
        <v>2</v>
      </c>
      <c r="M87" s="367"/>
      <c r="N87" s="367"/>
      <c r="O87" s="71"/>
      <c r="P87" s="1186"/>
      <c r="Q87" s="1189"/>
      <c r="R87" s="395" t="s">
        <v>739</v>
      </c>
      <c r="S87" s="396" t="s">
        <v>738</v>
      </c>
      <c r="T87" s="1208"/>
      <c r="U87" s="1208"/>
      <c r="V87" s="1208"/>
      <c r="W87" s="1208"/>
      <c r="X87" s="1208"/>
      <c r="Y87" s="1208"/>
      <c r="Z87" s="1208"/>
      <c r="AA87" s="1208"/>
      <c r="AB87" s="1208"/>
      <c r="AC87" s="1208"/>
      <c r="AE87" s="1186"/>
      <c r="AF87" s="1189"/>
      <c r="AG87" s="395" t="s">
        <v>739</v>
      </c>
      <c r="AH87" s="396" t="s">
        <v>738</v>
      </c>
      <c r="AI87" s="1208"/>
      <c r="AJ87" s="1208"/>
      <c r="AK87" s="1208"/>
      <c r="AL87" s="1208"/>
      <c r="AM87" s="1208"/>
      <c r="AN87" s="1208"/>
      <c r="AO87" s="1208"/>
      <c r="AP87" s="1208"/>
      <c r="AQ87" s="1208"/>
      <c r="AR87" s="1208"/>
    </row>
    <row r="88" spans="2:44" outlineLevel="1">
      <c r="B88" s="383" t="s">
        <v>11</v>
      </c>
      <c r="C88" s="397">
        <v>20</v>
      </c>
      <c r="D88" s="397">
        <v>20</v>
      </c>
      <c r="E88" s="397">
        <v>20</v>
      </c>
      <c r="F88" s="397">
        <v>20</v>
      </c>
      <c r="G88" s="399">
        <v>15</v>
      </c>
      <c r="H88" s="399">
        <v>30</v>
      </c>
      <c r="I88" s="399">
        <v>15</v>
      </c>
      <c r="J88" s="399">
        <v>30</v>
      </c>
      <c r="K88" s="372"/>
      <c r="L88" s="373">
        <v>2</v>
      </c>
      <c r="M88" s="363"/>
      <c r="N88" s="363"/>
      <c r="P88" s="1186"/>
      <c r="Q88" s="1189"/>
      <c r="R88" s="395" t="s">
        <v>741</v>
      </c>
      <c r="S88" s="396"/>
      <c r="T88" s="1208"/>
      <c r="U88" s="1208"/>
      <c r="V88" s="1208"/>
      <c r="W88" s="1208"/>
      <c r="X88" s="1208"/>
      <c r="Y88" s="1208"/>
      <c r="Z88" s="1208"/>
      <c r="AA88" s="1208"/>
      <c r="AB88" s="1208"/>
      <c r="AC88" s="1208"/>
      <c r="AE88" s="1186"/>
      <c r="AF88" s="1189"/>
      <c r="AG88" s="395" t="s">
        <v>741</v>
      </c>
      <c r="AH88" s="396"/>
      <c r="AI88" s="1208"/>
      <c r="AJ88" s="1208"/>
      <c r="AK88" s="1208"/>
      <c r="AL88" s="1208"/>
      <c r="AM88" s="1208"/>
      <c r="AN88" s="1208"/>
      <c r="AO88" s="1208"/>
      <c r="AP88" s="1208"/>
      <c r="AQ88" s="1208"/>
      <c r="AR88" s="1208"/>
    </row>
    <row r="89" spans="2:44" ht="16" outlineLevel="1" thickBot="1">
      <c r="B89" s="500" t="s">
        <v>273</v>
      </c>
      <c r="C89" s="506">
        <v>0.6</v>
      </c>
      <c r="D89" s="506">
        <v>0.6</v>
      </c>
      <c r="E89" s="506">
        <v>0.6</v>
      </c>
      <c r="F89" s="506">
        <v>0.6</v>
      </c>
      <c r="G89" s="506">
        <v>0.4</v>
      </c>
      <c r="H89" s="506">
        <v>0.8</v>
      </c>
      <c r="I89" s="506">
        <v>0.4</v>
      </c>
      <c r="J89" s="506">
        <v>0.8</v>
      </c>
      <c r="K89" s="372" t="s">
        <v>20</v>
      </c>
      <c r="L89" s="400">
        <v>2</v>
      </c>
      <c r="M89" s="363"/>
      <c r="N89" s="363"/>
      <c r="P89" s="1186"/>
      <c r="Q89" s="1189"/>
      <c r="R89" s="395" t="s">
        <v>742</v>
      </c>
      <c r="S89" s="396" t="s">
        <v>738</v>
      </c>
      <c r="T89" s="1208"/>
      <c r="U89" s="1208"/>
      <c r="V89" s="1208"/>
      <c r="W89" s="1208"/>
      <c r="X89" s="1208"/>
      <c r="Y89" s="1208"/>
      <c r="Z89" s="1208"/>
      <c r="AA89" s="1208"/>
      <c r="AB89" s="1208"/>
      <c r="AC89" s="1208"/>
      <c r="AE89" s="1186"/>
      <c r="AF89" s="1189"/>
      <c r="AG89" s="395" t="s">
        <v>742</v>
      </c>
      <c r="AH89" s="396" t="s">
        <v>738</v>
      </c>
      <c r="AI89" s="1208"/>
      <c r="AJ89" s="1208"/>
      <c r="AK89" s="1208"/>
      <c r="AL89" s="1208"/>
      <c r="AM89" s="1208"/>
      <c r="AN89" s="1208"/>
      <c r="AO89" s="1208"/>
      <c r="AP89" s="1208"/>
      <c r="AQ89" s="1208"/>
      <c r="AR89" s="1208"/>
    </row>
    <row r="90" spans="2:44" ht="16" outlineLevel="1" thickBot="1">
      <c r="B90" s="401" t="s">
        <v>743</v>
      </c>
      <c r="C90" s="402"/>
      <c r="D90" s="403"/>
      <c r="E90" s="404"/>
      <c r="F90" s="405"/>
      <c r="G90" s="406"/>
      <c r="H90" s="406"/>
      <c r="I90" s="406"/>
      <c r="J90" s="406"/>
      <c r="K90" s="407"/>
      <c r="L90" s="408"/>
      <c r="M90" s="363"/>
      <c r="N90" s="363"/>
      <c r="P90" s="1186"/>
      <c r="Q90" s="1189"/>
      <c r="R90" s="409" t="s">
        <v>863</v>
      </c>
      <c r="S90" s="410" t="s">
        <v>738</v>
      </c>
      <c r="T90" s="1209"/>
      <c r="U90" s="1209"/>
      <c r="V90" s="1209"/>
      <c r="W90" s="1209"/>
      <c r="X90" s="1209"/>
      <c r="Y90" s="1209"/>
      <c r="Z90" s="1209"/>
      <c r="AA90" s="1209"/>
      <c r="AB90" s="1209"/>
      <c r="AC90" s="1209"/>
      <c r="AE90" s="1186"/>
      <c r="AF90" s="1189"/>
      <c r="AG90" s="409" t="s">
        <v>863</v>
      </c>
      <c r="AH90" s="410" t="s">
        <v>738</v>
      </c>
      <c r="AI90" s="1209"/>
      <c r="AJ90" s="1209"/>
      <c r="AK90" s="1209"/>
      <c r="AL90" s="1209"/>
      <c r="AM90" s="1209"/>
      <c r="AN90" s="1209"/>
      <c r="AO90" s="1209"/>
      <c r="AP90" s="1209"/>
      <c r="AQ90" s="1209"/>
      <c r="AR90" s="1209"/>
    </row>
    <row r="91" spans="2:44" ht="33" outlineLevel="1" thickBot="1">
      <c r="B91" s="500" t="s">
        <v>663</v>
      </c>
      <c r="C91" s="506">
        <v>25</v>
      </c>
      <c r="D91" s="506">
        <v>25</v>
      </c>
      <c r="E91" s="506">
        <v>25</v>
      </c>
      <c r="F91" s="506">
        <v>25</v>
      </c>
      <c r="G91" s="507"/>
      <c r="H91" s="507"/>
      <c r="I91" s="507"/>
      <c r="J91" s="507"/>
      <c r="K91" s="503" t="s">
        <v>76</v>
      </c>
      <c r="L91" s="504">
        <v>4</v>
      </c>
      <c r="M91" s="363"/>
      <c r="N91" s="363"/>
      <c r="P91" s="1187"/>
      <c r="Q91" s="411" t="s">
        <v>745</v>
      </c>
      <c r="R91" s="412" t="s">
        <v>746</v>
      </c>
      <c r="S91" s="413" t="s">
        <v>738</v>
      </c>
      <c r="T91" s="414">
        <v>1</v>
      </c>
      <c r="U91" s="415">
        <v>1</v>
      </c>
      <c r="V91" s="416">
        <v>1</v>
      </c>
      <c r="W91" s="415">
        <v>1</v>
      </c>
      <c r="X91" s="416">
        <v>1</v>
      </c>
      <c r="Y91" s="415">
        <v>1</v>
      </c>
      <c r="Z91" s="416">
        <v>1</v>
      </c>
      <c r="AA91" s="415">
        <v>1</v>
      </c>
      <c r="AB91" s="416">
        <v>1</v>
      </c>
      <c r="AC91" s="417">
        <v>1</v>
      </c>
      <c r="AE91" s="1187"/>
      <c r="AF91" s="411" t="s">
        <v>745</v>
      </c>
      <c r="AG91" s="412" t="s">
        <v>746</v>
      </c>
      <c r="AH91" s="413" t="s">
        <v>738</v>
      </c>
      <c r="AI91" s="414">
        <v>1</v>
      </c>
      <c r="AJ91" s="415">
        <v>1</v>
      </c>
      <c r="AK91" s="414">
        <v>1</v>
      </c>
      <c r="AL91" s="415">
        <v>1</v>
      </c>
      <c r="AM91" s="414">
        <v>1</v>
      </c>
      <c r="AN91" s="415">
        <v>1</v>
      </c>
      <c r="AO91" s="414">
        <v>1</v>
      </c>
      <c r="AP91" s="415">
        <v>1</v>
      </c>
      <c r="AQ91" s="414">
        <v>1</v>
      </c>
      <c r="AR91" s="417">
        <v>1</v>
      </c>
    </row>
    <row r="92" spans="2:44" outlineLevel="1">
      <c r="B92" s="500" t="s">
        <v>664</v>
      </c>
      <c r="C92" s="506">
        <v>0.25</v>
      </c>
      <c r="D92" s="506">
        <v>0.25</v>
      </c>
      <c r="E92" s="506">
        <v>0.25</v>
      </c>
      <c r="F92" s="506">
        <v>0.25</v>
      </c>
      <c r="G92" s="509"/>
      <c r="H92" s="509"/>
      <c r="I92" s="509"/>
      <c r="J92" s="509"/>
      <c r="K92" s="510"/>
      <c r="L92" s="504">
        <v>9</v>
      </c>
      <c r="M92" s="363"/>
      <c r="N92" s="363"/>
    </row>
    <row r="93" spans="2:44" outlineLevel="1">
      <c r="B93" s="500" t="s">
        <v>666</v>
      </c>
      <c r="C93" s="506">
        <v>1</v>
      </c>
      <c r="D93" s="506">
        <v>1</v>
      </c>
      <c r="E93" s="506">
        <v>1</v>
      </c>
      <c r="F93" s="506">
        <v>1</v>
      </c>
      <c r="G93" s="509"/>
      <c r="H93" s="509"/>
      <c r="I93" s="509"/>
      <c r="J93" s="509"/>
      <c r="K93" s="510"/>
      <c r="L93" s="504">
        <v>9</v>
      </c>
      <c r="M93" s="420"/>
      <c r="N93" s="363"/>
    </row>
    <row r="94" spans="2:44" outlineLevel="1">
      <c r="B94" s="421" t="s">
        <v>12</v>
      </c>
      <c r="C94" s="399"/>
      <c r="D94" s="399"/>
      <c r="E94" s="399"/>
      <c r="F94" s="399"/>
      <c r="G94" s="422"/>
      <c r="H94" s="422"/>
      <c r="I94" s="422"/>
      <c r="J94" s="422"/>
      <c r="K94" s="423"/>
      <c r="L94" s="424"/>
      <c r="M94" s="420"/>
      <c r="N94" s="420"/>
    </row>
    <row r="95" spans="2:44" ht="42" outlineLevel="1">
      <c r="B95" s="383" t="s">
        <v>843</v>
      </c>
      <c r="C95" s="397" t="s">
        <v>669</v>
      </c>
      <c r="D95" s="397"/>
      <c r="E95" s="397"/>
      <c r="F95" s="397"/>
      <c r="G95" s="422"/>
      <c r="H95" s="425"/>
      <c r="I95" s="425"/>
      <c r="J95" s="425"/>
      <c r="K95" s="426"/>
      <c r="L95" s="427"/>
      <c r="M95" s="428"/>
      <c r="N95" s="428"/>
    </row>
    <row r="96" spans="2:44" outlineLevel="1">
      <c r="B96" s="383" t="s">
        <v>749</v>
      </c>
      <c r="C96" s="397"/>
      <c r="D96" s="397"/>
      <c r="E96" s="397"/>
      <c r="F96" s="397"/>
      <c r="G96" s="425"/>
      <c r="H96" s="425"/>
      <c r="I96" s="425"/>
      <c r="J96" s="425"/>
      <c r="K96" s="423"/>
      <c r="L96" s="427"/>
      <c r="M96" s="428"/>
      <c r="N96" s="428"/>
    </row>
    <row r="97" spans="1:30" outlineLevel="1">
      <c r="B97" s="383" t="s">
        <v>844</v>
      </c>
      <c r="C97" s="397"/>
      <c r="D97" s="397"/>
      <c r="E97" s="397"/>
      <c r="F97" s="397"/>
      <c r="G97" s="425"/>
      <c r="H97" s="425"/>
      <c r="I97" s="425"/>
      <c r="J97" s="425"/>
      <c r="K97" s="423"/>
      <c r="L97" s="427"/>
      <c r="M97" s="428"/>
      <c r="N97" s="428"/>
    </row>
    <row r="98" spans="1:30" outlineLevel="1">
      <c r="B98" s="383" t="s">
        <v>366</v>
      </c>
      <c r="C98" s="397"/>
      <c r="D98" s="397"/>
      <c r="E98" s="397"/>
      <c r="F98" s="397"/>
      <c r="G98" s="425"/>
      <c r="H98" s="425"/>
      <c r="I98" s="425"/>
      <c r="J98" s="425"/>
      <c r="K98" s="423"/>
      <c r="L98" s="427"/>
      <c r="M98" s="428"/>
      <c r="N98" s="428"/>
    </row>
    <row r="99" spans="1:30" ht="16" outlineLevel="1" thickBot="1">
      <c r="B99" s="429" t="s">
        <v>367</v>
      </c>
      <c r="C99" s="430"/>
      <c r="D99" s="430"/>
      <c r="E99" s="430"/>
      <c r="F99" s="430"/>
      <c r="G99" s="425"/>
      <c r="H99" s="425"/>
      <c r="I99" s="425"/>
      <c r="J99" s="425"/>
      <c r="K99" s="423"/>
      <c r="L99" s="427"/>
      <c r="M99" s="428"/>
      <c r="N99" s="428"/>
    </row>
    <row r="100" spans="1:30" ht="16" outlineLevel="1" thickBot="1">
      <c r="B100" s="431" t="s">
        <v>674</v>
      </c>
      <c r="C100" s="432"/>
      <c r="D100" s="403"/>
      <c r="E100" s="403"/>
      <c r="F100" s="433"/>
      <c r="G100" s="434"/>
      <c r="H100" s="406"/>
      <c r="I100" s="406"/>
      <c r="J100" s="406"/>
      <c r="K100" s="407"/>
      <c r="L100" s="408"/>
      <c r="M100" s="428"/>
      <c r="N100" s="428"/>
    </row>
    <row r="101" spans="1:30" outlineLevel="1">
      <c r="A101" s="435"/>
      <c r="B101" s="436" t="s">
        <v>910</v>
      </c>
      <c r="C101" s="551">
        <f>0.8712*(1+0.1+0.1)</f>
        <v>1.0454400000000001</v>
      </c>
      <c r="D101" s="647">
        <f>0.7788*(1+0.1+0.1)</f>
        <v>0.93456000000000017</v>
      </c>
      <c r="E101" s="647">
        <f>0.73*(1+0.1+0.1)</f>
        <v>0.87600000000000011</v>
      </c>
      <c r="F101" s="513">
        <f>0.7*(1+0.1+0.1)</f>
        <v>0.84000000000000008</v>
      </c>
      <c r="G101" s="425"/>
      <c r="H101" s="425"/>
      <c r="I101" s="425"/>
      <c r="J101" s="425"/>
      <c r="K101" s="426" t="s">
        <v>25</v>
      </c>
      <c r="L101" s="440" t="s">
        <v>901</v>
      </c>
      <c r="M101" s="420"/>
      <c r="N101" s="420"/>
    </row>
    <row r="102" spans="1:30" outlineLevel="1">
      <c r="B102" s="441" t="s">
        <v>839</v>
      </c>
      <c r="C102" s="442">
        <v>40</v>
      </c>
      <c r="D102" s="442">
        <v>40</v>
      </c>
      <c r="E102" s="442">
        <v>40</v>
      </c>
      <c r="F102" s="442">
        <v>40</v>
      </c>
      <c r="G102" s="425"/>
      <c r="H102" s="425"/>
      <c r="I102" s="425"/>
      <c r="J102" s="425"/>
      <c r="K102" s="444"/>
      <c r="L102" s="373">
        <v>4</v>
      </c>
      <c r="M102" s="71"/>
      <c r="N102" s="420"/>
    </row>
    <row r="103" spans="1:30" outlineLevel="1">
      <c r="B103" s="441" t="s">
        <v>840</v>
      </c>
      <c r="C103" s="442">
        <v>60</v>
      </c>
      <c r="D103" s="442">
        <v>60</v>
      </c>
      <c r="E103" s="442">
        <v>60</v>
      </c>
      <c r="F103" s="442">
        <v>60</v>
      </c>
      <c r="G103" s="425"/>
      <c r="H103" s="425"/>
      <c r="I103" s="425"/>
      <c r="J103" s="425"/>
      <c r="K103" s="444"/>
      <c r="L103" s="373">
        <v>4</v>
      </c>
      <c r="M103" s="420"/>
      <c r="N103" s="420"/>
    </row>
    <row r="104" spans="1:30" outlineLevel="1">
      <c r="B104" s="383" t="s">
        <v>841</v>
      </c>
      <c r="C104" s="445">
        <v>970</v>
      </c>
      <c r="D104" s="446">
        <v>870</v>
      </c>
      <c r="E104" s="446">
        <v>800</v>
      </c>
      <c r="F104" s="447">
        <v>720</v>
      </c>
      <c r="G104" s="425"/>
      <c r="H104" s="425"/>
      <c r="I104" s="425"/>
      <c r="J104" s="425"/>
      <c r="K104" s="448"/>
      <c r="L104" s="373">
        <v>5</v>
      </c>
      <c r="M104" s="420"/>
      <c r="N104" s="420"/>
    </row>
    <row r="105" spans="1:30" outlineLevel="1">
      <c r="B105" s="383" t="s">
        <v>679</v>
      </c>
      <c r="C105" s="449">
        <f>SUM(C106:C107)</f>
        <v>3.26</v>
      </c>
      <c r="D105" s="449">
        <f>SUM(D106:D107)</f>
        <v>3.2</v>
      </c>
      <c r="E105" s="449">
        <f>SUM(E106:E107)</f>
        <v>3.2199999999999998</v>
      </c>
      <c r="F105" s="449">
        <f>SUM(F106:F107)</f>
        <v>3.12</v>
      </c>
      <c r="G105" s="425"/>
      <c r="H105" s="425"/>
      <c r="I105" s="425"/>
      <c r="J105" s="425"/>
      <c r="K105" s="448"/>
      <c r="L105" s="373"/>
      <c r="M105" s="450"/>
      <c r="N105" s="361"/>
      <c r="P105" s="1157">
        <f>C105</f>
        <v>3.26</v>
      </c>
      <c r="Q105" s="1135"/>
      <c r="R105" s="1135"/>
      <c r="S105" s="1135"/>
      <c r="T105" s="1135"/>
      <c r="U105" s="1158"/>
    </row>
    <row r="106" spans="1:30" ht="16" outlineLevel="1" thickBot="1">
      <c r="B106" s="500" t="s">
        <v>758</v>
      </c>
      <c r="C106" s="514">
        <f>C85/100*73</f>
        <v>1.46</v>
      </c>
      <c r="D106" s="514">
        <f>D85/100*75</f>
        <v>1.5</v>
      </c>
      <c r="E106" s="514">
        <f>E85/100*76</f>
        <v>1.52</v>
      </c>
      <c r="F106" s="514">
        <f>F85/100*76</f>
        <v>1.52</v>
      </c>
      <c r="G106" s="515"/>
      <c r="H106" s="515"/>
      <c r="I106" s="515"/>
      <c r="J106" s="515"/>
      <c r="K106" s="503" t="s">
        <v>33</v>
      </c>
      <c r="L106" s="504">
        <v>3</v>
      </c>
      <c r="M106" s="450"/>
      <c r="N106" s="361"/>
      <c r="P106" s="1159">
        <f>C106</f>
        <v>1.46</v>
      </c>
      <c r="Q106" s="1160"/>
      <c r="R106" s="1160"/>
      <c r="S106" s="1160"/>
      <c r="T106" s="1160"/>
      <c r="U106" s="1161"/>
    </row>
    <row r="107" spans="1:30" outlineLevel="1">
      <c r="B107" s="500" t="s">
        <v>759</v>
      </c>
      <c r="C107" s="516">
        <v>1.8</v>
      </c>
      <c r="D107" s="516">
        <v>1.7</v>
      </c>
      <c r="E107" s="516">
        <v>1.7</v>
      </c>
      <c r="F107" s="516">
        <v>1.6</v>
      </c>
      <c r="G107" s="515"/>
      <c r="H107" s="515"/>
      <c r="I107" s="515"/>
      <c r="J107" s="515"/>
      <c r="K107" s="517"/>
      <c r="L107" s="504">
        <v>2</v>
      </c>
      <c r="M107" s="363"/>
      <c r="N107" s="363"/>
      <c r="P107" s="53" t="s">
        <v>357</v>
      </c>
    </row>
    <row r="108" spans="1:30" ht="30" outlineLevel="1">
      <c r="B108" s="441"/>
      <c r="C108" s="518"/>
      <c r="D108" s="518"/>
      <c r="E108" s="518"/>
      <c r="F108" s="518"/>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7" outlineLevel="1" thickBot="1">
      <c r="B109" s="519"/>
      <c r="C109" s="442"/>
      <c r="D109" s="520"/>
      <c r="E109" s="520"/>
      <c r="F109" s="521"/>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33"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22" t="s">
        <v>762</v>
      </c>
      <c r="C111" s="670">
        <f>C101*0.2</f>
        <v>0.20908800000000005</v>
      </c>
      <c r="D111" s="670">
        <f>D101*0.2</f>
        <v>0.18691200000000005</v>
      </c>
      <c r="E111" s="670">
        <f>E101*0.2</f>
        <v>0.17520000000000002</v>
      </c>
      <c r="F111" s="670">
        <f>F101*0.2</f>
        <v>0.16800000000000004</v>
      </c>
      <c r="G111" s="671"/>
      <c r="H111" s="671"/>
      <c r="I111" s="671"/>
      <c r="J111" s="671"/>
      <c r="K111" s="671" t="s">
        <v>51</v>
      </c>
      <c r="L111" s="525"/>
      <c r="M111" s="363"/>
      <c r="N111" s="363"/>
      <c r="O111" s="465">
        <f>C84</f>
        <v>295</v>
      </c>
      <c r="P111" s="466">
        <f>C80</f>
        <v>2020</v>
      </c>
      <c r="Q111" s="58">
        <f>P111</f>
        <v>2020</v>
      </c>
      <c r="R111" s="466">
        <f>O111/100</f>
        <v>2.95</v>
      </c>
      <c r="S111" s="58"/>
      <c r="T111" s="466">
        <f>C88</f>
        <v>20</v>
      </c>
      <c r="U111" s="467">
        <f>C118</f>
        <v>7788.5280000000012</v>
      </c>
      <c r="V111" s="467">
        <f>C120</f>
        <v>7.2264999999999997</v>
      </c>
      <c r="W111" s="467">
        <f>C121</f>
        <v>6.7463888888888883</v>
      </c>
      <c r="X111" s="58"/>
      <c r="Y111" s="58"/>
      <c r="Z111" s="466" t="str">
        <f>C95</f>
        <v>Cf. the utilized electricity</v>
      </c>
      <c r="AA111" s="468">
        <f>C97</f>
        <v>0</v>
      </c>
      <c r="AB111" s="468">
        <f>C98</f>
        <v>0</v>
      </c>
      <c r="AC111" s="468">
        <f>C99</f>
        <v>0</v>
      </c>
      <c r="AD111" s="468">
        <f>C96</f>
        <v>0</v>
      </c>
    </row>
    <row r="112" spans="1:30" outlineLevel="1">
      <c r="B112" s="500" t="s">
        <v>763</v>
      </c>
      <c r="C112" s="526" t="s">
        <v>36</v>
      </c>
      <c r="D112" s="527" t="s">
        <v>36</v>
      </c>
      <c r="E112" s="527" t="s">
        <v>36</v>
      </c>
      <c r="F112" s="528" t="s">
        <v>36</v>
      </c>
      <c r="G112" s="528"/>
      <c r="H112" s="528"/>
      <c r="I112" s="528"/>
      <c r="J112" s="528"/>
      <c r="K112" s="529"/>
      <c r="L112" s="525"/>
      <c r="M112" s="363"/>
      <c r="N112" s="363"/>
      <c r="O112" s="465">
        <f>D84</f>
        <v>305</v>
      </c>
      <c r="P112" s="466">
        <f>D80</f>
        <v>2030</v>
      </c>
      <c r="Q112" s="58"/>
      <c r="R112" s="466">
        <f>O112/100</f>
        <v>3.05</v>
      </c>
      <c r="S112" s="58"/>
      <c r="T112" s="466">
        <f>D88</f>
        <v>20</v>
      </c>
      <c r="U112" s="467">
        <f>D118</f>
        <v>6962.4720000000016</v>
      </c>
      <c r="V112" s="467">
        <f>D120</f>
        <v>6.4814999999999996</v>
      </c>
      <c r="W112" s="467">
        <f>D121</f>
        <v>6.6222222222222227</v>
      </c>
      <c r="X112" s="58"/>
      <c r="Y112" s="58"/>
      <c r="Z112" s="466">
        <f>D95</f>
        <v>0</v>
      </c>
      <c r="AA112" s="468">
        <f>D97</f>
        <v>0</v>
      </c>
      <c r="AB112" s="468">
        <f>D98</f>
        <v>0</v>
      </c>
      <c r="AC112" s="468">
        <f>D99</f>
        <v>0</v>
      </c>
      <c r="AD112" s="468">
        <f>D96</f>
        <v>0</v>
      </c>
    </row>
    <row r="113" spans="2:30" outlineLevel="1">
      <c r="B113" s="500" t="s">
        <v>764</v>
      </c>
      <c r="C113" s="526" t="s">
        <v>36</v>
      </c>
      <c r="D113" s="527" t="s">
        <v>36</v>
      </c>
      <c r="E113" s="527" t="s">
        <v>36</v>
      </c>
      <c r="F113" s="528" t="s">
        <v>36</v>
      </c>
      <c r="G113" s="515"/>
      <c r="H113" s="515"/>
      <c r="I113" s="515"/>
      <c r="J113" s="515"/>
      <c r="K113" s="515"/>
      <c r="L113" s="504"/>
      <c r="M113" s="363"/>
      <c r="N113" s="363"/>
      <c r="O113" s="465">
        <f>E84</f>
        <v>315</v>
      </c>
      <c r="P113" s="466">
        <f>E80</f>
        <v>2040</v>
      </c>
      <c r="Q113" s="58"/>
      <c r="R113" s="466">
        <f>O113/100</f>
        <v>3.15</v>
      </c>
      <c r="S113" s="58"/>
      <c r="T113" s="466">
        <f>E88</f>
        <v>20</v>
      </c>
      <c r="U113" s="467">
        <f>E118</f>
        <v>6526.2000000000007</v>
      </c>
      <c r="V113" s="467">
        <f>E120</f>
        <v>5.96</v>
      </c>
      <c r="W113" s="467">
        <f>E121</f>
        <v>6.66361111111111</v>
      </c>
      <c r="X113" s="58"/>
      <c r="Y113" s="58"/>
      <c r="Z113" s="466">
        <f>E95</f>
        <v>0</v>
      </c>
      <c r="AA113" s="468">
        <f>E97</f>
        <v>0</v>
      </c>
      <c r="AB113" s="468">
        <f>E98</f>
        <v>0</v>
      </c>
      <c r="AC113" s="468">
        <f>E99</f>
        <v>0</v>
      </c>
      <c r="AD113" s="468">
        <f>E96</f>
        <v>0</v>
      </c>
    </row>
    <row r="114" spans="2:30" outlineLevel="1">
      <c r="B114" s="500" t="s">
        <v>765</v>
      </c>
      <c r="C114" s="530" t="s">
        <v>669</v>
      </c>
      <c r="D114" s="530"/>
      <c r="E114" s="530"/>
      <c r="F114" s="530"/>
      <c r="G114" s="531"/>
      <c r="H114" s="531"/>
      <c r="I114" s="531"/>
      <c r="J114" s="531"/>
      <c r="K114" s="531"/>
      <c r="L114" s="504"/>
      <c r="M114" s="363"/>
      <c r="N114" s="363"/>
      <c r="O114" s="465">
        <f>F84</f>
        <v>320</v>
      </c>
      <c r="P114" s="466">
        <f>F80</f>
        <v>2050</v>
      </c>
      <c r="Q114" s="58"/>
      <c r="R114" s="466">
        <f>O114/100</f>
        <v>3.2</v>
      </c>
      <c r="S114" s="58"/>
      <c r="T114" s="466">
        <f>F88</f>
        <v>20</v>
      </c>
      <c r="U114" s="467">
        <f>F118</f>
        <v>6258.0000000000009</v>
      </c>
      <c r="V114" s="467">
        <f>F120</f>
        <v>5.3639999999999999</v>
      </c>
      <c r="W114" s="467">
        <f>F121</f>
        <v>6.4566666666666661</v>
      </c>
      <c r="X114" s="58"/>
      <c r="Y114" s="58"/>
      <c r="Z114" s="466">
        <f>F95</f>
        <v>0</v>
      </c>
      <c r="AA114" s="468">
        <f>F97</f>
        <v>0</v>
      </c>
      <c r="AB114" s="468">
        <f>F98</f>
        <v>0</v>
      </c>
      <c r="AC114" s="468">
        <f>F99</f>
        <v>0</v>
      </c>
      <c r="AD114" s="468">
        <f>F96</f>
        <v>0</v>
      </c>
    </row>
    <row r="115" spans="2:30" outlineLevel="1">
      <c r="B115" s="532" t="s">
        <v>766</v>
      </c>
      <c r="C115" s="526">
        <v>80</v>
      </c>
      <c r="D115" s="527">
        <v>80</v>
      </c>
      <c r="E115" s="527">
        <v>80</v>
      </c>
      <c r="F115" s="528">
        <v>80</v>
      </c>
      <c r="G115" s="531"/>
      <c r="H115" s="531"/>
      <c r="I115" s="531"/>
      <c r="J115" s="531"/>
      <c r="K115" s="531" t="s">
        <v>52</v>
      </c>
      <c r="L115" s="533"/>
      <c r="M115" s="367"/>
      <c r="N115" s="367"/>
    </row>
    <row r="116" spans="2:30" outlineLevel="1">
      <c r="B116" s="532" t="s">
        <v>767</v>
      </c>
      <c r="C116" s="526">
        <v>50</v>
      </c>
      <c r="D116" s="527">
        <v>50</v>
      </c>
      <c r="E116" s="527">
        <v>50</v>
      </c>
      <c r="F116" s="528">
        <v>50</v>
      </c>
      <c r="G116" s="531"/>
      <c r="H116" s="531"/>
      <c r="I116" s="531"/>
      <c r="J116" s="531"/>
      <c r="K116" s="531" t="s">
        <v>52</v>
      </c>
      <c r="L116" s="533"/>
      <c r="M116" s="363"/>
      <c r="N116" s="363"/>
    </row>
    <row r="117" spans="2:30" ht="16" outlineLevel="1" thickBot="1">
      <c r="B117" s="534" t="s">
        <v>768</v>
      </c>
      <c r="C117" s="535" t="s">
        <v>36</v>
      </c>
      <c r="D117" s="536" t="s">
        <v>36</v>
      </c>
      <c r="E117" s="536" t="s">
        <v>36</v>
      </c>
      <c r="F117" s="537" t="s">
        <v>36</v>
      </c>
      <c r="G117" s="538"/>
      <c r="H117" s="538"/>
      <c r="I117" s="538"/>
      <c r="J117" s="538"/>
      <c r="K117" s="538"/>
      <c r="L117" s="539"/>
      <c r="M117" s="363"/>
      <c r="N117" s="363"/>
    </row>
    <row r="118" spans="2:30" ht="64" outlineLevel="1">
      <c r="B118" s="461" t="s">
        <v>911</v>
      </c>
      <c r="C118" s="483">
        <f>C101*$F$4*1000</f>
        <v>7788.5280000000012</v>
      </c>
      <c r="D118" s="483">
        <f t="shared" ref="D118:F118" si="5">D101*$F$4*1000</f>
        <v>6962.4720000000016</v>
      </c>
      <c r="E118" s="483">
        <f t="shared" si="5"/>
        <v>6526.2000000000007</v>
      </c>
      <c r="F118" s="483">
        <f t="shared" si="5"/>
        <v>6258.0000000000009</v>
      </c>
      <c r="G118" s="483"/>
      <c r="H118" s="484"/>
      <c r="I118" s="420" t="s">
        <v>332</v>
      </c>
      <c r="J118" s="420"/>
      <c r="K118" s="484"/>
      <c r="L118" s="484"/>
      <c r="N118" s="420"/>
    </row>
    <row r="119" spans="2:30" outlineLevel="1">
      <c r="B119" s="485" t="s">
        <v>912</v>
      </c>
      <c r="C119" s="486">
        <f>C118*$I119</f>
        <v>3894264.0000000005</v>
      </c>
      <c r="D119" s="486">
        <f>D118*$I119</f>
        <v>3481236.0000000009</v>
      </c>
      <c r="E119" s="486">
        <f>E118*$I119</f>
        <v>3263100.0000000005</v>
      </c>
      <c r="F119" s="486">
        <f>F118*$I119</f>
        <v>3129000.0000000005</v>
      </c>
      <c r="G119" s="486"/>
      <c r="H119" s="484"/>
      <c r="I119" s="71">
        <v>500</v>
      </c>
      <c r="J119" s="420" t="s">
        <v>330</v>
      </c>
      <c r="K119" s="484"/>
      <c r="L119" s="484"/>
      <c r="N119" s="420"/>
    </row>
    <row r="120" spans="2:30" ht="48" outlineLevel="1">
      <c r="B120" s="461" t="s">
        <v>913</v>
      </c>
      <c r="C120" s="359">
        <f>C104*$F$4/1000</f>
        <v>7.2264999999999997</v>
      </c>
      <c r="D120" s="359">
        <f t="shared" ref="D120:F120" si="6">D104*$F$4/1000</f>
        <v>6.4814999999999996</v>
      </c>
      <c r="E120" s="359">
        <f t="shared" si="6"/>
        <v>5.96</v>
      </c>
      <c r="F120" s="359">
        <f t="shared" si="6"/>
        <v>5.3639999999999999</v>
      </c>
      <c r="G120" s="359"/>
      <c r="I120" s="420" t="s">
        <v>333</v>
      </c>
      <c r="J120" s="420"/>
      <c r="N120" s="420"/>
    </row>
    <row r="121" spans="2:30" ht="48" outlineLevel="1">
      <c r="B121" s="461" t="s">
        <v>914</v>
      </c>
      <c r="C121" s="487">
        <f>C105*$F$4/3.6</f>
        <v>6.7463888888888883</v>
      </c>
      <c r="D121" s="487">
        <f t="shared" ref="D121:F121" si="7">D105*$F$4/3.6</f>
        <v>6.6222222222222227</v>
      </c>
      <c r="E121" s="487">
        <f t="shared" si="7"/>
        <v>6.66361111111111</v>
      </c>
      <c r="F121" s="487">
        <f t="shared" si="7"/>
        <v>6.4566666666666661</v>
      </c>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94" t="s">
        <v>773</v>
      </c>
      <c r="H127" s="490"/>
    </row>
    <row r="128" spans="2:30" outlineLevel="1">
      <c r="B128" s="358">
        <v>1</v>
      </c>
      <c r="C128" s="490" t="s">
        <v>878</v>
      </c>
      <c r="D128" s="358"/>
      <c r="E128" s="490"/>
      <c r="H128" s="490"/>
    </row>
    <row r="129" spans="2:8" outlineLevel="1">
      <c r="B129" s="358">
        <v>2</v>
      </c>
      <c r="C129" s="636" t="s">
        <v>902</v>
      </c>
      <c r="D129" s="358"/>
      <c r="E129" s="490"/>
      <c r="F129" s="490"/>
      <c r="G129" s="490"/>
      <c r="H129" s="490"/>
    </row>
    <row r="130" spans="2:8" outlineLevel="1">
      <c r="B130" s="666">
        <v>3</v>
      </c>
      <c r="C130" s="667" t="s">
        <v>903</v>
      </c>
      <c r="D130" s="358"/>
      <c r="E130" s="490"/>
      <c r="F130" s="490"/>
      <c r="G130" s="490"/>
      <c r="H130" s="490"/>
    </row>
    <row r="131" spans="2:8" outlineLevel="1">
      <c r="B131" s="490">
        <v>4</v>
      </c>
      <c r="C131" s="667" t="s">
        <v>904</v>
      </c>
      <c r="D131" s="358"/>
      <c r="E131" s="490"/>
      <c r="F131" s="490"/>
      <c r="G131" s="490"/>
      <c r="H131" s="490"/>
    </row>
    <row r="132" spans="2:8" outlineLevel="1">
      <c r="B132" s="490">
        <v>5</v>
      </c>
      <c r="C132" s="493" t="s">
        <v>905</v>
      </c>
      <c r="D132" s="358"/>
      <c r="E132" s="490"/>
      <c r="F132" s="490"/>
      <c r="G132" s="490"/>
      <c r="H132" s="490"/>
    </row>
    <row r="133" spans="2:8" outlineLevel="1">
      <c r="B133" s="94" t="s">
        <v>783</v>
      </c>
      <c r="D133" s="358"/>
      <c r="E133" s="490"/>
      <c r="F133" s="490"/>
      <c r="G133" s="490"/>
      <c r="H133" s="490"/>
    </row>
    <row r="134" spans="2:8" outlineLevel="1">
      <c r="B134" s="637" t="s">
        <v>6</v>
      </c>
      <c r="C134" s="358" t="s">
        <v>853</v>
      </c>
      <c r="D134" s="358"/>
      <c r="E134" s="490"/>
      <c r="F134" s="490"/>
      <c r="G134" s="490"/>
      <c r="H134" s="490"/>
    </row>
    <row r="135" spans="2:8" outlineLevel="1">
      <c r="B135" s="637" t="s">
        <v>59</v>
      </c>
      <c r="C135" s="358" t="s">
        <v>906</v>
      </c>
      <c r="D135" s="358"/>
      <c r="E135" s="490"/>
      <c r="F135" s="490"/>
      <c r="G135" s="490"/>
      <c r="H135" s="490"/>
    </row>
    <row r="136" spans="2:8" outlineLevel="1">
      <c r="B136" s="637" t="s">
        <v>16</v>
      </c>
      <c r="C136" s="358" t="s">
        <v>856</v>
      </c>
      <c r="D136" s="358"/>
      <c r="E136" s="490"/>
      <c r="F136" s="490"/>
      <c r="G136" s="490"/>
      <c r="H136" s="490"/>
    </row>
    <row r="137" spans="2:8" outlineLevel="1">
      <c r="B137" s="637" t="s">
        <v>20</v>
      </c>
      <c r="C137" s="358" t="s">
        <v>907</v>
      </c>
      <c r="F137" s="490"/>
      <c r="G137" s="490"/>
      <c r="H137" s="490"/>
    </row>
    <row r="138" spans="2:8" outlineLevel="1">
      <c r="B138" s="666" t="s">
        <v>76</v>
      </c>
      <c r="C138" s="358" t="s">
        <v>908</v>
      </c>
      <c r="D138" s="358"/>
      <c r="E138" s="490"/>
      <c r="F138" s="490"/>
      <c r="G138" s="490"/>
      <c r="H138" s="490"/>
    </row>
    <row r="139" spans="2:8" outlineLevel="1">
      <c r="B139" s="666" t="s">
        <v>25</v>
      </c>
      <c r="C139" s="358" t="s">
        <v>917</v>
      </c>
      <c r="D139" s="358"/>
      <c r="E139" s="490"/>
      <c r="F139" s="490"/>
      <c r="G139" s="490"/>
      <c r="H139" s="490"/>
    </row>
    <row r="140" spans="2:8" outlineLevel="1">
      <c r="B140" s="637" t="s">
        <v>33</v>
      </c>
      <c r="C140" s="358" t="s">
        <v>788</v>
      </c>
      <c r="E140" s="490"/>
      <c r="F140" s="490"/>
      <c r="G140" s="490"/>
      <c r="H140" s="490"/>
    </row>
    <row r="141" spans="2:8" outlineLevel="1">
      <c r="B141" s="656" t="s">
        <v>51</v>
      </c>
      <c r="C141" s="490" t="s">
        <v>859</v>
      </c>
      <c r="E141" s="490"/>
      <c r="F141" s="490"/>
      <c r="G141" s="490"/>
      <c r="H141" s="490"/>
    </row>
    <row r="142" spans="2:8" outlineLevel="1">
      <c r="B142" s="637" t="s">
        <v>52</v>
      </c>
      <c r="C142" s="490" t="s">
        <v>860</v>
      </c>
      <c r="E142" s="490"/>
      <c r="F142" s="490"/>
      <c r="G142" s="490"/>
      <c r="H142" s="490"/>
    </row>
    <row r="143" spans="2:8" outlineLevel="1">
      <c r="E143" s="490"/>
      <c r="F143" s="490"/>
      <c r="G143" s="490"/>
      <c r="H143" s="490"/>
    </row>
    <row r="144" spans="2:8"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R345"/>
  <sheetViews>
    <sheetView topLeftCell="M4" zoomScale="85" zoomScaleNormal="85" workbookViewId="0">
      <selection activeCell="V29" sqref="V29"/>
    </sheetView>
  </sheetViews>
  <sheetFormatPr baseColWidth="10" defaultColWidth="8.83203125" defaultRowHeight="15" outlineLevelRow="1"/>
  <cols>
    <col min="1" max="1" width="27.3320312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Booster heat pump, up to 150 °C, Temp lift = 130 K, steam</v>
      </c>
    </row>
    <row r="4" spans="1:44" ht="25" customHeight="1">
      <c r="E4" s="224" t="s">
        <v>358</v>
      </c>
      <c r="F4" s="359">
        <v>7.45</v>
      </c>
      <c r="G4" s="359" t="s">
        <v>328</v>
      </c>
    </row>
    <row r="5" spans="1:44" ht="15" customHeight="1">
      <c r="A5" s="360" t="s">
        <v>899</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885</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4</v>
      </c>
      <c r="D10" s="372">
        <v>4</v>
      </c>
      <c r="E10" s="372">
        <v>4</v>
      </c>
      <c r="F10" s="372">
        <v>4</v>
      </c>
      <c r="G10" s="372">
        <v>1</v>
      </c>
      <c r="H10" s="372">
        <v>10</v>
      </c>
      <c r="I10" s="372">
        <v>1</v>
      </c>
      <c r="J10" s="372">
        <v>15</v>
      </c>
      <c r="K10" s="372" t="s">
        <v>6</v>
      </c>
      <c r="L10" s="373"/>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198</v>
      </c>
      <c r="D11" s="639">
        <v>203.94</v>
      </c>
      <c r="E11" s="640">
        <v>208.0188</v>
      </c>
      <c r="F11" s="639">
        <v>210.09898799999999</v>
      </c>
      <c r="G11" s="377">
        <v>198</v>
      </c>
      <c r="H11" s="639">
        <v>207.9</v>
      </c>
      <c r="I11" s="639">
        <v>203.79601835999998</v>
      </c>
      <c r="J11" s="639">
        <v>214.30096775999999</v>
      </c>
      <c r="K11" s="379" t="s">
        <v>838</v>
      </c>
      <c r="L11" s="380"/>
      <c r="M11" s="370"/>
      <c r="N11" s="370"/>
      <c r="P11" s="1200" t="str">
        <f>C7</f>
        <v>Booster heat pump, up to 150 °C, Temp lift = 130 K, steam</v>
      </c>
      <c r="Q11" s="1188" t="s">
        <v>730</v>
      </c>
      <c r="R11" s="381" t="s">
        <v>731</v>
      </c>
      <c r="S11" s="382" t="s">
        <v>842</v>
      </c>
      <c r="T11" s="1191">
        <v>0</v>
      </c>
      <c r="U11" s="1179">
        <v>0</v>
      </c>
      <c r="V11" s="1182">
        <v>0</v>
      </c>
      <c r="W11" s="1179">
        <v>0</v>
      </c>
      <c r="X11" s="1182">
        <v>0</v>
      </c>
      <c r="Y11" s="1179">
        <v>0</v>
      </c>
      <c r="Z11" s="1182">
        <v>0</v>
      </c>
      <c r="AA11" s="1179">
        <v>0</v>
      </c>
      <c r="AB11" s="1182">
        <v>0</v>
      </c>
      <c r="AC11" s="1179">
        <v>0</v>
      </c>
      <c r="AE11" s="1185" t="str">
        <f>P11</f>
        <v>Booster heat pump, up to 150 °C, Temp lift = 130 K, steam</v>
      </c>
      <c r="AF11" s="1188" t="s">
        <v>730</v>
      </c>
      <c r="AG11" s="381" t="s">
        <v>731</v>
      </c>
      <c r="AH11" s="382" t="str">
        <f t="shared" ref="AH11:AH13" si="0">S11</f>
        <v/>
      </c>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577">
        <v>193</v>
      </c>
      <c r="D12" s="577">
        <v>198.94</v>
      </c>
      <c r="E12" s="577">
        <v>203.0188</v>
      </c>
      <c r="F12" s="577">
        <v>205.09898799999999</v>
      </c>
      <c r="G12" s="641">
        <v>193</v>
      </c>
      <c r="H12" s="641">
        <v>202.9</v>
      </c>
      <c r="I12" s="641">
        <v>198.79601835999998</v>
      </c>
      <c r="J12" s="641">
        <v>209.30096775999999</v>
      </c>
      <c r="K12" s="386" t="s">
        <v>20</v>
      </c>
      <c r="L12" s="387"/>
      <c r="M12" s="370"/>
      <c r="N12" s="370"/>
      <c r="O12" s="71"/>
      <c r="P12" s="1186"/>
      <c r="Q12" s="1189"/>
      <c r="R12" s="388" t="s">
        <v>733</v>
      </c>
      <c r="S12" s="389" t="s">
        <v>842</v>
      </c>
      <c r="T12" s="1192"/>
      <c r="U12" s="1180"/>
      <c r="V12" s="1183"/>
      <c r="W12" s="1180"/>
      <c r="X12" s="1183"/>
      <c r="Y12" s="1180"/>
      <c r="Z12" s="1183"/>
      <c r="AA12" s="1180"/>
      <c r="AB12" s="1183"/>
      <c r="AC12" s="1180"/>
      <c r="AE12" s="1186"/>
      <c r="AF12" s="1189"/>
      <c r="AG12" s="388" t="s">
        <v>733</v>
      </c>
      <c r="AH12" s="389" t="str">
        <f t="shared" si="0"/>
        <v/>
      </c>
      <c r="AI12" s="1192"/>
      <c r="AJ12" s="1180"/>
      <c r="AK12" s="1183"/>
      <c r="AL12" s="1180"/>
      <c r="AM12" s="1183"/>
      <c r="AN12" s="1180"/>
      <c r="AO12" s="1183"/>
      <c r="AP12" s="1180"/>
      <c r="AQ12" s="1183"/>
      <c r="AR12" s="1180"/>
    </row>
    <row r="13" spans="1:44" ht="16" outlineLevel="1" thickBot="1">
      <c r="B13" s="376" t="s">
        <v>734</v>
      </c>
      <c r="C13" s="390">
        <v>2</v>
      </c>
      <c r="D13" s="391">
        <v>2</v>
      </c>
      <c r="E13" s="391">
        <v>2</v>
      </c>
      <c r="F13" s="392">
        <v>2</v>
      </c>
      <c r="G13" s="391">
        <v>1</v>
      </c>
      <c r="H13" s="391">
        <v>4</v>
      </c>
      <c r="I13" s="391">
        <v>1</v>
      </c>
      <c r="J13" s="391">
        <v>4</v>
      </c>
      <c r="K13" s="379" t="s">
        <v>76</v>
      </c>
      <c r="L13" s="380"/>
      <c r="M13" s="370"/>
      <c r="N13" s="370"/>
      <c r="O13" s="71"/>
      <c r="P13" s="1186"/>
      <c r="Q13" s="1190"/>
      <c r="R13" s="393" t="s">
        <v>735</v>
      </c>
      <c r="S13" s="394" t="s">
        <v>842</v>
      </c>
      <c r="T13" s="1193"/>
      <c r="U13" s="1181"/>
      <c r="V13" s="1184"/>
      <c r="W13" s="1181"/>
      <c r="X13" s="1184"/>
      <c r="Y13" s="1181"/>
      <c r="Z13" s="1184"/>
      <c r="AA13" s="1181"/>
      <c r="AB13" s="1184"/>
      <c r="AC13" s="1181"/>
      <c r="AE13" s="1186"/>
      <c r="AF13" s="1190"/>
      <c r="AG13" s="393" t="s">
        <v>735</v>
      </c>
      <c r="AH13" s="394" t="str">
        <f t="shared" si="0"/>
        <v/>
      </c>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1</v>
      </c>
      <c r="I14" s="390">
        <v>0</v>
      </c>
      <c r="J14" s="390">
        <v>1</v>
      </c>
      <c r="K14" s="379" t="s">
        <v>76</v>
      </c>
      <c r="L14" s="380"/>
      <c r="M14" s="370"/>
      <c r="N14" s="370"/>
      <c r="O14" s="71"/>
      <c r="P14" s="1186"/>
      <c r="Q14" s="1188" t="s">
        <v>736</v>
      </c>
      <c r="R14" s="395" t="s">
        <v>737</v>
      </c>
      <c r="S14" s="396" t="s">
        <v>738</v>
      </c>
      <c r="T14" s="1191">
        <v>0</v>
      </c>
      <c r="U14" s="1191">
        <v>0.63</v>
      </c>
      <c r="V14" s="1191">
        <v>0</v>
      </c>
      <c r="W14" s="1191">
        <v>0.36</v>
      </c>
      <c r="X14" s="1191">
        <v>0</v>
      </c>
      <c r="Y14" s="1191">
        <v>0.23</v>
      </c>
      <c r="Z14" s="1191">
        <v>0</v>
      </c>
      <c r="AA14" s="1191">
        <v>0.66</v>
      </c>
      <c r="AB14" s="1191">
        <v>0</v>
      </c>
      <c r="AC14" s="1179">
        <v>0.47</v>
      </c>
      <c r="AE14" s="1186"/>
      <c r="AF14" s="1188" t="s">
        <v>736</v>
      </c>
      <c r="AG14" s="395" t="s">
        <v>737</v>
      </c>
      <c r="AH14" s="396" t="str">
        <f>S14</f>
        <v>x</v>
      </c>
      <c r="AI14" s="1191">
        <v>0</v>
      </c>
      <c r="AJ14" s="1191">
        <f>U14/4</f>
        <v>0.1575</v>
      </c>
      <c r="AK14" s="1191">
        <v>0</v>
      </c>
      <c r="AL14" s="1191">
        <f>W14/4</f>
        <v>0.09</v>
      </c>
      <c r="AM14" s="1191">
        <v>0</v>
      </c>
      <c r="AN14" s="1191">
        <f>Y14/4</f>
        <v>5.7500000000000002E-2</v>
      </c>
      <c r="AO14" s="1191">
        <v>0</v>
      </c>
      <c r="AP14" s="1191">
        <f>AA14/4</f>
        <v>0.16500000000000001</v>
      </c>
      <c r="AQ14" s="1191">
        <v>0</v>
      </c>
      <c r="AR14" s="1179">
        <f>AC14/4</f>
        <v>0.11749999999999999</v>
      </c>
    </row>
    <row r="15" spans="1:44" outlineLevel="1">
      <c r="B15" s="376" t="s">
        <v>658</v>
      </c>
      <c r="C15" s="390">
        <v>1</v>
      </c>
      <c r="D15" s="390">
        <v>1</v>
      </c>
      <c r="E15" s="390">
        <v>1</v>
      </c>
      <c r="F15" s="390">
        <v>1</v>
      </c>
      <c r="G15" s="390">
        <v>0.5</v>
      </c>
      <c r="H15" s="390">
        <v>2</v>
      </c>
      <c r="I15" s="390">
        <v>0.5</v>
      </c>
      <c r="J15" s="390">
        <v>2</v>
      </c>
      <c r="K15" s="379" t="s">
        <v>76</v>
      </c>
      <c r="L15" s="380"/>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tr">
        <f>S15</f>
        <v>x</v>
      </c>
      <c r="AI15" s="1194"/>
      <c r="AJ15" s="1194"/>
      <c r="AK15" s="1194"/>
      <c r="AL15" s="1194"/>
      <c r="AM15" s="1194"/>
      <c r="AN15" s="1194"/>
      <c r="AO15" s="1194"/>
      <c r="AP15" s="1194"/>
      <c r="AQ15" s="1194"/>
      <c r="AR15" s="1196"/>
    </row>
    <row r="16" spans="1:44" outlineLevel="1">
      <c r="B16" s="383" t="s">
        <v>11</v>
      </c>
      <c r="C16" s="397">
        <v>20</v>
      </c>
      <c r="D16" s="397">
        <v>20</v>
      </c>
      <c r="E16" s="397">
        <v>20</v>
      </c>
      <c r="F16" s="397">
        <v>20</v>
      </c>
      <c r="G16" s="398">
        <v>15</v>
      </c>
      <c r="H16" s="398">
        <v>30</v>
      </c>
      <c r="I16" s="398">
        <v>15</v>
      </c>
      <c r="J16" s="398">
        <v>30</v>
      </c>
      <c r="K16" s="372" t="s">
        <v>76</v>
      </c>
      <c r="L16" s="373"/>
      <c r="M16" s="363"/>
      <c r="N16" s="363"/>
      <c r="P16" s="1186"/>
      <c r="Q16" s="1189"/>
      <c r="R16" s="395" t="s">
        <v>741</v>
      </c>
      <c r="S16" s="396" t="s">
        <v>738</v>
      </c>
      <c r="T16" s="1194"/>
      <c r="U16" s="1194"/>
      <c r="V16" s="1194"/>
      <c r="W16" s="1194"/>
      <c r="X16" s="1194"/>
      <c r="Y16" s="1194"/>
      <c r="Z16" s="1194"/>
      <c r="AA16" s="1194"/>
      <c r="AB16" s="1194"/>
      <c r="AC16" s="1196"/>
      <c r="AE16" s="1186"/>
      <c r="AF16" s="1189"/>
      <c r="AG16" s="395" t="s">
        <v>741</v>
      </c>
      <c r="AH16" s="629" t="str">
        <f>S16</f>
        <v>x</v>
      </c>
      <c r="AI16" s="1194"/>
      <c r="AJ16" s="1194"/>
      <c r="AK16" s="1194"/>
      <c r="AL16" s="1194"/>
      <c r="AM16" s="1194"/>
      <c r="AN16" s="1194"/>
      <c r="AO16" s="1194"/>
      <c r="AP16" s="1194"/>
      <c r="AQ16" s="1194"/>
      <c r="AR16" s="1196"/>
    </row>
    <row r="17" spans="1:44" ht="16" outlineLevel="1" thickBot="1">
      <c r="B17" s="376" t="s">
        <v>273</v>
      </c>
      <c r="C17" s="399">
        <v>0.6</v>
      </c>
      <c r="D17" s="399">
        <v>0.6</v>
      </c>
      <c r="E17" s="399">
        <v>0.6</v>
      </c>
      <c r="F17" s="399">
        <v>0.6</v>
      </c>
      <c r="G17" s="399">
        <v>0.4</v>
      </c>
      <c r="H17" s="399">
        <v>0.8</v>
      </c>
      <c r="I17" s="399">
        <v>0.4</v>
      </c>
      <c r="J17" s="399">
        <v>0.8</v>
      </c>
      <c r="K17" s="372" t="s">
        <v>25</v>
      </c>
      <c r="L17" s="400"/>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tr">
        <f>S17</f>
        <v>x</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tr">
        <f>S18</f>
        <v>x</v>
      </c>
      <c r="AI18" s="1195"/>
      <c r="AJ18" s="1195"/>
      <c r="AK18" s="1195"/>
      <c r="AL18" s="1195"/>
      <c r="AM18" s="1195"/>
      <c r="AN18" s="1195"/>
      <c r="AO18" s="1195"/>
      <c r="AP18" s="1195"/>
      <c r="AQ18" s="1195"/>
      <c r="AR18" s="1197"/>
    </row>
    <row r="19" spans="1:44" ht="33" outlineLevel="1" thickBot="1">
      <c r="B19" s="376" t="s">
        <v>663</v>
      </c>
      <c r="C19" s="390"/>
      <c r="D19" s="390"/>
      <c r="E19" s="390"/>
      <c r="F19" s="390"/>
      <c r="G19" s="391"/>
      <c r="H19" s="391"/>
      <c r="I19" s="391"/>
      <c r="J19" s="391"/>
      <c r="K19" s="379"/>
      <c r="L19" s="380">
        <v>1</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1254" t="s">
        <v>746</v>
      </c>
      <c r="AH19" s="1255" t="s">
        <v>738</v>
      </c>
      <c r="AI19" s="416">
        <v>1</v>
      </c>
      <c r="AJ19" s="415">
        <v>1</v>
      </c>
      <c r="AK19" s="416">
        <v>1</v>
      </c>
      <c r="AL19" s="415">
        <v>1</v>
      </c>
      <c r="AM19" s="416">
        <v>1</v>
      </c>
      <c r="AN19" s="415">
        <v>1</v>
      </c>
      <c r="AO19" s="416">
        <v>1</v>
      </c>
      <c r="AP19" s="415">
        <v>1</v>
      </c>
      <c r="AQ19" s="416">
        <v>1</v>
      </c>
      <c r="AR19" s="417">
        <v>1</v>
      </c>
    </row>
    <row r="20" spans="1:44" outlineLevel="1">
      <c r="B20" s="376" t="s">
        <v>664</v>
      </c>
      <c r="C20" s="390">
        <v>0.5</v>
      </c>
      <c r="D20" s="390">
        <v>0.5</v>
      </c>
      <c r="E20" s="390">
        <v>0.5</v>
      </c>
      <c r="F20" s="390">
        <v>0.5</v>
      </c>
      <c r="G20" s="418"/>
      <c r="H20" s="418"/>
      <c r="I20" s="418"/>
      <c r="J20" s="418"/>
      <c r="K20" s="419" t="s">
        <v>76</v>
      </c>
      <c r="L20" s="380"/>
      <c r="M20" s="363"/>
      <c r="N20" s="363"/>
    </row>
    <row r="21" spans="1:44" outlineLevel="1">
      <c r="B21" s="376" t="s">
        <v>666</v>
      </c>
      <c r="C21" s="390">
        <v>1</v>
      </c>
      <c r="D21" s="390">
        <v>1</v>
      </c>
      <c r="E21" s="390">
        <v>1</v>
      </c>
      <c r="F21" s="390">
        <v>1</v>
      </c>
      <c r="G21" s="418"/>
      <c r="H21" s="418"/>
      <c r="I21" s="418"/>
      <c r="J21" s="418"/>
      <c r="K21" s="419" t="s">
        <v>76</v>
      </c>
      <c r="L21" s="380"/>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1.6320658640726422</v>
      </c>
      <c r="D29" s="647">
        <v>1.3230944850997819</v>
      </c>
      <c r="E29" s="647">
        <v>1.0369854809541614</v>
      </c>
      <c r="F29" s="648">
        <v>0.93368259858177483</v>
      </c>
      <c r="G29" s="425"/>
      <c r="H29" s="425"/>
      <c r="I29" s="425"/>
      <c r="J29" s="425"/>
      <c r="K29" s="426" t="s">
        <v>33</v>
      </c>
      <c r="L29" s="440"/>
      <c r="M29" s="420"/>
      <c r="N29" s="420"/>
    </row>
    <row r="30" spans="1:44" outlineLevel="1">
      <c r="B30" s="441" t="s">
        <v>839</v>
      </c>
      <c r="C30" s="442">
        <v>50</v>
      </c>
      <c r="D30" s="442">
        <v>50</v>
      </c>
      <c r="E30" s="442">
        <v>50</v>
      </c>
      <c r="F30" s="442">
        <v>50</v>
      </c>
      <c r="G30" s="425"/>
      <c r="H30" s="425"/>
      <c r="I30" s="425"/>
      <c r="J30" s="425"/>
      <c r="K30" s="444" t="s">
        <v>51</v>
      </c>
      <c r="L30" s="373"/>
      <c r="M30" s="71"/>
      <c r="N30" s="420"/>
    </row>
    <row r="31" spans="1:44" outlineLevel="1">
      <c r="B31" s="441" t="s">
        <v>840</v>
      </c>
      <c r="C31" s="442">
        <v>50</v>
      </c>
      <c r="D31" s="442">
        <v>50</v>
      </c>
      <c r="E31" s="442">
        <v>50</v>
      </c>
      <c r="F31" s="442">
        <v>50</v>
      </c>
      <c r="G31" s="425"/>
      <c r="H31" s="425"/>
      <c r="I31" s="425"/>
      <c r="J31" s="425"/>
      <c r="K31" s="444" t="s">
        <v>52</v>
      </c>
      <c r="L31" s="373"/>
      <c r="M31" s="420"/>
      <c r="N31" s="420"/>
    </row>
    <row r="32" spans="1:44" outlineLevel="1">
      <c r="B32" s="383" t="s">
        <v>841</v>
      </c>
      <c r="C32" s="445">
        <v>2000</v>
      </c>
      <c r="D32" s="446">
        <v>2000</v>
      </c>
      <c r="E32" s="446">
        <v>2000</v>
      </c>
      <c r="F32" s="447">
        <v>2000</v>
      </c>
      <c r="G32" s="425"/>
      <c r="H32" s="425"/>
      <c r="I32" s="425"/>
      <c r="J32" s="425"/>
      <c r="K32" s="448" t="s">
        <v>76</v>
      </c>
      <c r="L32" s="373"/>
      <c r="M32" s="420"/>
      <c r="N32" s="420"/>
    </row>
    <row r="33" spans="2:30" ht="37" customHeight="1" outlineLevel="1" thickBot="1">
      <c r="B33" s="383" t="s">
        <v>679</v>
      </c>
      <c r="C33" s="449">
        <f>C34+C35</f>
        <v>3.4400000000000004</v>
      </c>
      <c r="D33" s="449">
        <f t="shared" ref="D33:F33" si="1">D34+D35</f>
        <v>3.37</v>
      </c>
      <c r="E33" s="449">
        <f t="shared" si="1"/>
        <v>3.335</v>
      </c>
      <c r="F33" s="449">
        <f t="shared" si="1"/>
        <v>3.2800000000000002</v>
      </c>
      <c r="G33" s="425"/>
      <c r="H33" s="425"/>
      <c r="I33" s="425"/>
      <c r="J33" s="425"/>
      <c r="K33" s="448"/>
      <c r="L33" s="373"/>
      <c r="M33" s="450"/>
      <c r="N33" s="361"/>
      <c r="P33" s="1157">
        <f>C33</f>
        <v>3.4400000000000004</v>
      </c>
      <c r="Q33" s="1135"/>
      <c r="R33" s="1135"/>
      <c r="S33" s="1135"/>
      <c r="T33" s="1135"/>
      <c r="U33" s="1158"/>
    </row>
    <row r="34" spans="2:30" ht="15.75" customHeight="1" outlineLevel="1" thickBot="1">
      <c r="B34" s="451" t="s">
        <v>758</v>
      </c>
      <c r="C34" s="452">
        <f>C13/100*73</f>
        <v>1.46</v>
      </c>
      <c r="D34" s="452">
        <f>D13/100*75</f>
        <v>1.5</v>
      </c>
      <c r="E34" s="452">
        <f>E13/100*76</f>
        <v>1.52</v>
      </c>
      <c r="F34" s="452">
        <f>F13/100*76</f>
        <v>1.52</v>
      </c>
      <c r="G34" s="453"/>
      <c r="H34" s="453"/>
      <c r="I34" s="453"/>
      <c r="J34" s="453"/>
      <c r="K34" s="379" t="s">
        <v>55</v>
      </c>
      <c r="L34" s="380"/>
      <c r="M34" s="450"/>
      <c r="N34" s="361"/>
      <c r="P34" s="1159">
        <f>C34</f>
        <v>1.46</v>
      </c>
      <c r="Q34" s="1160"/>
      <c r="R34" s="1160"/>
      <c r="S34" s="1160"/>
      <c r="T34" s="1160"/>
      <c r="U34" s="1161"/>
    </row>
    <row r="35" spans="2:30" outlineLevel="1">
      <c r="B35" s="451" t="s">
        <v>759</v>
      </c>
      <c r="C35" s="454">
        <v>1.9800000000000002</v>
      </c>
      <c r="D35" s="454">
        <v>1.87</v>
      </c>
      <c r="E35" s="454">
        <v>1.8149999999999999</v>
      </c>
      <c r="F35" s="454">
        <v>1.7600000000000002</v>
      </c>
      <c r="G35" s="453"/>
      <c r="H35" s="453"/>
      <c r="I35" s="453"/>
      <c r="J35" s="453"/>
      <c r="K35" s="455" t="s">
        <v>49</v>
      </c>
      <c r="L35" s="380"/>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v>0.32641317281452847</v>
      </c>
      <c r="D39" s="633">
        <v>0.26461889701995639</v>
      </c>
      <c r="E39" s="633">
        <v>0.2073970961908323</v>
      </c>
      <c r="F39" s="633">
        <v>0.18673651971635497</v>
      </c>
      <c r="G39" s="643"/>
      <c r="H39" s="643"/>
      <c r="I39" s="643"/>
      <c r="J39" s="643"/>
      <c r="K39" s="643" t="s">
        <v>374</v>
      </c>
      <c r="L39" s="464"/>
      <c r="M39" s="363"/>
      <c r="N39" s="363"/>
      <c r="O39" s="465">
        <f>C12</f>
        <v>193</v>
      </c>
      <c r="P39" s="466">
        <f>C8</f>
        <v>2020</v>
      </c>
      <c r="Q39" s="58">
        <f>P39</f>
        <v>2020</v>
      </c>
      <c r="R39" s="466">
        <f>O39/100</f>
        <v>1.93</v>
      </c>
      <c r="S39" s="58"/>
      <c r="T39" s="466">
        <f>C16</f>
        <v>20</v>
      </c>
      <c r="U39" s="467">
        <f>C46</f>
        <v>12158.890687341185</v>
      </c>
      <c r="V39" s="467">
        <f>C48</f>
        <v>14.9</v>
      </c>
      <c r="W39" s="467">
        <f>C49</f>
        <v>7.1188888888888897</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886</v>
      </c>
      <c r="L40" s="464"/>
      <c r="M40" s="363"/>
      <c r="N40" s="363"/>
      <c r="O40" s="465">
        <f>D12</f>
        <v>198.94</v>
      </c>
      <c r="P40" s="466">
        <f>D8</f>
        <v>2030</v>
      </c>
      <c r="Q40" s="58"/>
      <c r="R40" s="466">
        <f>O40/100</f>
        <v>1.9894000000000001</v>
      </c>
      <c r="S40" s="58"/>
      <c r="T40" s="466">
        <f>D16</f>
        <v>20</v>
      </c>
      <c r="U40" s="467">
        <f>D46</f>
        <v>9857.0539139933753</v>
      </c>
      <c r="V40" s="467">
        <f>D48</f>
        <v>14.9</v>
      </c>
      <c r="W40" s="467">
        <f>D49</f>
        <v>6.9740277777777777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203.0188</v>
      </c>
      <c r="P41" s="466">
        <f>E8</f>
        <v>2040</v>
      </c>
      <c r="Q41" s="58"/>
      <c r="R41" s="466">
        <f>O41/100</f>
        <v>2.0301879999999999</v>
      </c>
      <c r="S41" s="58"/>
      <c r="T41" s="466">
        <f>E16</f>
        <v>20</v>
      </c>
      <c r="U41" s="467">
        <f>E46</f>
        <v>7725.5418331085029</v>
      </c>
      <c r="V41" s="467">
        <f>E48</f>
        <v>14.9</v>
      </c>
      <c r="W41" s="467">
        <f>E49</f>
        <v>6.9015972222222217</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
        <v>205.09898799999999</v>
      </c>
      <c r="P42" s="466">
        <f>F8</f>
        <v>2050</v>
      </c>
      <c r="Q42" s="58"/>
      <c r="R42" s="466">
        <f>O42/100</f>
        <v>2.0509898799999999</v>
      </c>
      <c r="S42" s="58"/>
      <c r="T42" s="466">
        <f>F16</f>
        <v>20</v>
      </c>
      <c r="U42" s="467">
        <f>F46</f>
        <v>6955.9353594342228</v>
      </c>
      <c r="V42" s="467">
        <f>F48</f>
        <v>14.9</v>
      </c>
      <c r="W42" s="467">
        <f>F49</f>
        <v>6.7877777777777784</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887</v>
      </c>
      <c r="L43" s="476"/>
      <c r="M43" s="367"/>
      <c r="N43" s="367"/>
    </row>
    <row r="44" spans="2:30" outlineLevel="1">
      <c r="B44" s="475" t="s">
        <v>767</v>
      </c>
      <c r="C44" s="469">
        <v>20</v>
      </c>
      <c r="D44" s="470">
        <v>20</v>
      </c>
      <c r="E44" s="470">
        <v>20</v>
      </c>
      <c r="F44" s="471">
        <v>20</v>
      </c>
      <c r="G44" s="474"/>
      <c r="H44" s="474"/>
      <c r="I44" s="474"/>
      <c r="J44" s="474"/>
      <c r="K44" s="474" t="s">
        <v>887</v>
      </c>
      <c r="L44" s="476"/>
      <c r="M44" s="363"/>
      <c r="N44" s="363"/>
    </row>
    <row r="45" spans="2:30" ht="16" outlineLevel="1" thickBot="1">
      <c r="B45" s="477" t="s">
        <v>768</v>
      </c>
      <c r="C45" s="644" t="s">
        <v>36</v>
      </c>
      <c r="D45" s="645" t="s">
        <v>36</v>
      </c>
      <c r="E45" s="645" t="s">
        <v>36</v>
      </c>
      <c r="F45" s="646" t="s">
        <v>36</v>
      </c>
      <c r="G45" s="481"/>
      <c r="H45" s="481"/>
      <c r="I45" s="481"/>
      <c r="J45" s="481"/>
      <c r="K45" s="481"/>
      <c r="L45" s="482"/>
      <c r="M45" s="363"/>
      <c r="N45" s="363"/>
    </row>
    <row r="46" spans="2:30" ht="64" outlineLevel="1">
      <c r="B46" s="461" t="s">
        <v>769</v>
      </c>
      <c r="C46" s="483">
        <f>C29*$F$4*1000</f>
        <v>12158.890687341185</v>
      </c>
      <c r="D46" s="483">
        <f t="shared" ref="D46:F46" si="2">D29*$F$4*1000</f>
        <v>9857.0539139933753</v>
      </c>
      <c r="E46" s="483">
        <f t="shared" si="2"/>
        <v>7725.5418331085029</v>
      </c>
      <c r="F46" s="483">
        <f t="shared" si="2"/>
        <v>6955.9353594342228</v>
      </c>
      <c r="G46" s="483"/>
      <c r="H46" s="484"/>
      <c r="I46" s="420" t="s">
        <v>332</v>
      </c>
      <c r="J46" s="420"/>
      <c r="K46" s="484"/>
      <c r="L46" s="484"/>
      <c r="N46" s="420"/>
    </row>
    <row r="47" spans="2:30" outlineLevel="1">
      <c r="B47" s="485" t="s">
        <v>770</v>
      </c>
      <c r="C47" s="486">
        <f>C46*$I47</f>
        <v>6079445.3436705926</v>
      </c>
      <c r="D47" s="486">
        <f>D46*$I47</f>
        <v>4928526.9569966877</v>
      </c>
      <c r="E47" s="486">
        <f>E46*$I47</f>
        <v>3862770.9165542517</v>
      </c>
      <c r="F47" s="486">
        <f>F46*$I47</f>
        <v>3477967.6797171114</v>
      </c>
      <c r="G47" s="486"/>
      <c r="H47" s="484"/>
      <c r="I47" s="71">
        <v>500</v>
      </c>
      <c r="J47" s="420" t="s">
        <v>330</v>
      </c>
      <c r="K47" s="484"/>
      <c r="L47" s="484"/>
      <c r="N47" s="420"/>
    </row>
    <row r="48" spans="2:30" ht="48" outlineLevel="1">
      <c r="B48" s="461" t="s">
        <v>845</v>
      </c>
      <c r="C48" s="359">
        <f>C32*$F$4/1000</f>
        <v>14.9</v>
      </c>
      <c r="D48" s="359">
        <f t="shared" ref="D48:F48" si="3">D32*$F$4/1000</f>
        <v>14.9</v>
      </c>
      <c r="E48" s="359">
        <f t="shared" si="3"/>
        <v>14.9</v>
      </c>
      <c r="F48" s="359">
        <f t="shared" si="3"/>
        <v>14.9</v>
      </c>
      <c r="G48" s="359"/>
      <c r="I48" s="420" t="s">
        <v>333</v>
      </c>
      <c r="J48" s="420"/>
      <c r="N48" s="420"/>
    </row>
    <row r="49" spans="2:14" ht="48" outlineLevel="1">
      <c r="B49" s="461" t="s">
        <v>846</v>
      </c>
      <c r="C49" s="487">
        <f>C33*$F$4/3.6</f>
        <v>7.1188888888888897</v>
      </c>
      <c r="D49" s="487">
        <f t="shared" ref="D49:F49" si="4">D33*$F$4/3.6</f>
        <v>6.9740277777777777</v>
      </c>
      <c r="E49" s="487">
        <f t="shared" si="4"/>
        <v>6.9015972222222217</v>
      </c>
      <c r="F49" s="487">
        <f t="shared" si="4"/>
        <v>6.7877777777777784</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64" t="s">
        <v>773</v>
      </c>
      <c r="E55" s="358"/>
      <c r="F55" s="358"/>
      <c r="G55" s="358"/>
      <c r="H55" s="358"/>
      <c r="I55" s="358"/>
      <c r="J55" s="358"/>
      <c r="K55" s="358"/>
      <c r="L55" s="358"/>
    </row>
    <row r="56" spans="2:14" outlineLevel="1">
      <c r="B56" s="490">
        <v>1</v>
      </c>
      <c r="C56" s="636" t="s">
        <v>888</v>
      </c>
      <c r="D56" s="490"/>
      <c r="F56" s="358"/>
      <c r="G56" s="358"/>
      <c r="H56" s="358"/>
      <c r="I56" s="358"/>
      <c r="J56" s="358"/>
      <c r="K56" s="358"/>
      <c r="L56" s="358"/>
    </row>
    <row r="57" spans="2:14" outlineLevel="1">
      <c r="B57" s="490">
        <v>2</v>
      </c>
      <c r="C57" s="490" t="s">
        <v>850</v>
      </c>
      <c r="D57" s="490"/>
      <c r="F57" s="358"/>
      <c r="G57" s="358"/>
      <c r="H57" s="358"/>
      <c r="I57" s="358"/>
      <c r="J57" s="358"/>
      <c r="K57" s="358"/>
      <c r="L57" s="358"/>
    </row>
    <row r="58" spans="2:14" outlineLevel="1">
      <c r="B58" s="490">
        <v>3</v>
      </c>
      <c r="C58" s="490" t="s">
        <v>889</v>
      </c>
      <c r="D58" s="490"/>
      <c r="F58" s="358"/>
      <c r="G58" s="358"/>
      <c r="H58" s="358"/>
      <c r="I58" s="358"/>
      <c r="J58" s="358"/>
      <c r="K58" s="358"/>
      <c r="L58" s="358"/>
    </row>
    <row r="59" spans="2:14" outlineLevel="1">
      <c r="B59" s="224" t="s">
        <v>783</v>
      </c>
      <c r="F59" s="358"/>
      <c r="G59" s="358"/>
      <c r="H59" s="358"/>
      <c r="I59" s="358"/>
      <c r="J59" s="358"/>
      <c r="K59" s="358"/>
      <c r="L59" s="358"/>
    </row>
    <row r="60" spans="2:14" outlineLevel="1">
      <c r="B60" s="665" t="s">
        <v>6</v>
      </c>
      <c r="C60" s="490" t="s">
        <v>890</v>
      </c>
      <c r="D60" s="490"/>
      <c r="F60" s="358"/>
      <c r="G60" s="358"/>
      <c r="H60" s="358"/>
      <c r="I60" s="358"/>
      <c r="J60" s="358"/>
      <c r="K60" s="358"/>
      <c r="L60" s="358"/>
    </row>
    <row r="61" spans="2:14" outlineLevel="1">
      <c r="B61" s="665" t="s">
        <v>59</v>
      </c>
      <c r="C61" s="490" t="s">
        <v>891</v>
      </c>
      <c r="D61" s="490"/>
      <c r="F61" s="358"/>
      <c r="G61" s="358"/>
      <c r="H61" s="358"/>
      <c r="I61" s="358"/>
      <c r="J61" s="358"/>
      <c r="K61" s="358"/>
      <c r="L61" s="358"/>
    </row>
    <row r="62" spans="2:14" outlineLevel="1">
      <c r="B62" s="666" t="s">
        <v>16</v>
      </c>
      <c r="C62" s="490" t="s">
        <v>892</v>
      </c>
      <c r="D62" s="490"/>
      <c r="F62" s="358"/>
      <c r="G62" s="358"/>
      <c r="H62" s="358"/>
      <c r="I62" s="358"/>
      <c r="J62" s="358"/>
      <c r="K62" s="358"/>
      <c r="L62" s="358"/>
    </row>
    <row r="63" spans="2:14" outlineLevel="1">
      <c r="B63" s="665" t="s">
        <v>20</v>
      </c>
      <c r="C63" s="490" t="s">
        <v>872</v>
      </c>
      <c r="D63" s="490"/>
      <c r="F63" s="358"/>
      <c r="G63" s="358"/>
      <c r="H63" s="358"/>
      <c r="I63" s="358"/>
      <c r="J63" s="358"/>
      <c r="K63" s="358"/>
      <c r="L63" s="358"/>
    </row>
    <row r="64" spans="2:14" outlineLevel="1">
      <c r="B64" s="665" t="s">
        <v>76</v>
      </c>
      <c r="C64" s="490" t="s">
        <v>893</v>
      </c>
      <c r="D64" s="490"/>
      <c r="F64" s="358"/>
      <c r="G64" s="358"/>
      <c r="H64" s="358"/>
      <c r="I64" s="358"/>
      <c r="J64" s="358"/>
      <c r="K64" s="358"/>
      <c r="L64" s="358"/>
    </row>
    <row r="65" spans="1:44" outlineLevel="1">
      <c r="B65" s="665" t="s">
        <v>25</v>
      </c>
      <c r="C65" s="490" t="s">
        <v>894</v>
      </c>
      <c r="D65" s="490"/>
      <c r="F65" s="358"/>
      <c r="G65" s="358"/>
      <c r="H65" s="358"/>
      <c r="I65" s="358"/>
      <c r="J65" s="358"/>
      <c r="K65" s="358"/>
      <c r="L65" s="358"/>
    </row>
    <row r="66" spans="1:44" outlineLevel="1">
      <c r="B66" s="665" t="s">
        <v>33</v>
      </c>
      <c r="C66" s="490" t="str">
        <f>"From ["&amp;B57&amp;"], cost correlations and learing curves ["&amp;B58&amp;"] (Not commercially avaiable at the moment)"</f>
        <v>From [2], cost correlations and learing curves [3] (Not commercially avaiable at the moment)</v>
      </c>
      <c r="D66" s="490"/>
      <c r="F66" s="358"/>
      <c r="G66" s="358"/>
      <c r="H66" s="358"/>
      <c r="I66" s="358"/>
      <c r="J66" s="358"/>
      <c r="K66" s="358"/>
      <c r="L66" s="358"/>
    </row>
    <row r="67" spans="1:44" outlineLevel="1">
      <c r="B67" s="665" t="s">
        <v>51</v>
      </c>
      <c r="C67" s="490" t="s">
        <v>895</v>
      </c>
      <c r="D67" s="490"/>
      <c r="F67" s="358"/>
      <c r="G67" s="358"/>
      <c r="H67" s="358"/>
      <c r="I67" s="358"/>
      <c r="J67" s="358"/>
      <c r="K67" s="358"/>
      <c r="L67" s="358"/>
    </row>
    <row r="68" spans="1:44" outlineLevel="1">
      <c r="B68" s="665" t="s">
        <v>52</v>
      </c>
      <c r="C68" s="490" t="s">
        <v>896</v>
      </c>
      <c r="D68" s="490"/>
      <c r="F68" s="358"/>
      <c r="G68" s="358"/>
      <c r="H68" s="358"/>
      <c r="I68" s="358"/>
      <c r="J68" s="358"/>
      <c r="K68" s="358"/>
      <c r="L68" s="358"/>
    </row>
    <row r="69" spans="1:44" outlineLevel="1">
      <c r="B69" s="665" t="s">
        <v>55</v>
      </c>
      <c r="C69" s="498" t="s">
        <v>788</v>
      </c>
      <c r="D69" s="490"/>
      <c r="F69" s="358"/>
      <c r="G69" s="358"/>
      <c r="H69" s="358"/>
      <c r="I69" s="358"/>
      <c r="J69" s="358"/>
      <c r="K69" s="358"/>
      <c r="L69" s="358"/>
    </row>
    <row r="70" spans="1:44" outlineLevel="1">
      <c r="B70" s="665" t="s">
        <v>49</v>
      </c>
      <c r="C70" s="498" t="s">
        <v>897</v>
      </c>
      <c r="D70" s="490"/>
      <c r="G70" s="358"/>
      <c r="H70" s="358"/>
      <c r="I70" s="358"/>
      <c r="J70" s="358"/>
      <c r="K70" s="358"/>
      <c r="L70" s="358"/>
    </row>
    <row r="71" spans="1:44" outlineLevel="1">
      <c r="B71" s="665" t="s">
        <v>374</v>
      </c>
      <c r="C71" s="490" t="s">
        <v>898</v>
      </c>
      <c r="E71" s="490"/>
      <c r="F71" s="490"/>
    </row>
    <row r="72" spans="1:44" outlineLevel="1">
      <c r="B72" s="665" t="s">
        <v>886</v>
      </c>
      <c r="C72" s="490" t="s">
        <v>789</v>
      </c>
    </row>
    <row r="73" spans="1:44" outlineLevel="1">
      <c r="B73" s="637" t="s">
        <v>887</v>
      </c>
      <c r="C73" s="490" t="s">
        <v>860</v>
      </c>
    </row>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56" r:id="rId1" xr:uid="{5740F5FA-C62E-41E9-9228-DEBCAB387C1F}"/>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R345"/>
  <sheetViews>
    <sheetView topLeftCell="M1" zoomScale="85" zoomScaleNormal="85" workbookViewId="0">
      <selection activeCell="AL26" sqref="AL2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 xml:space="preserve"> Mechanical vapor recompression</v>
      </c>
    </row>
    <row r="4" spans="1:44" ht="25" customHeight="1">
      <c r="E4" s="224" t="s">
        <v>358</v>
      </c>
      <c r="F4" s="359">
        <v>7.45</v>
      </c>
      <c r="G4" s="359" t="s">
        <v>328</v>
      </c>
    </row>
    <row r="5" spans="1:44" ht="15" customHeight="1">
      <c r="A5" s="360" t="s">
        <v>869</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867</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20</v>
      </c>
      <c r="D10" s="372">
        <v>20</v>
      </c>
      <c r="E10" s="372">
        <v>20</v>
      </c>
      <c r="F10" s="372">
        <v>20</v>
      </c>
      <c r="G10" s="372">
        <v>5</v>
      </c>
      <c r="H10" s="372">
        <v>50</v>
      </c>
      <c r="I10" s="372">
        <v>5</v>
      </c>
      <c r="J10" s="372">
        <v>50</v>
      </c>
      <c r="K10" s="372" t="s">
        <v>6</v>
      </c>
      <c r="L10" s="373">
        <v>1</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1260</v>
      </c>
      <c r="D11" s="377">
        <v>1320</v>
      </c>
      <c r="E11" s="378">
        <v>1380</v>
      </c>
      <c r="F11" s="377">
        <v>1430</v>
      </c>
      <c r="G11" s="377">
        <v>1000</v>
      </c>
      <c r="H11" s="377">
        <v>1512</v>
      </c>
      <c r="I11" s="377">
        <v>1056</v>
      </c>
      <c r="J11" s="377">
        <v>1716</v>
      </c>
      <c r="K11" s="379" t="s">
        <v>59</v>
      </c>
      <c r="L11" s="380">
        <v>1</v>
      </c>
      <c r="M11" s="370"/>
      <c r="N11" s="370"/>
      <c r="P11" s="1200" t="str">
        <f>C7</f>
        <v xml:space="preserve"> Mechanical vapor recompression</v>
      </c>
      <c r="Q11" s="1188" t="s">
        <v>730</v>
      </c>
      <c r="R11" s="381" t="s">
        <v>731</v>
      </c>
      <c r="S11" s="382"/>
      <c r="T11" s="1191">
        <v>0</v>
      </c>
      <c r="U11" s="1179">
        <v>0</v>
      </c>
      <c r="V11" s="1182">
        <v>0</v>
      </c>
      <c r="W11" s="1179">
        <v>0</v>
      </c>
      <c r="X11" s="1182">
        <v>0</v>
      </c>
      <c r="Y11" s="1179">
        <v>0</v>
      </c>
      <c r="Z11" s="1182">
        <v>0</v>
      </c>
      <c r="AA11" s="1179">
        <v>0</v>
      </c>
      <c r="AB11" s="1182">
        <v>0</v>
      </c>
      <c r="AC11" s="1179">
        <v>0</v>
      </c>
      <c r="AE11" s="1185" t="str">
        <f>P11</f>
        <v xml:space="preserve"> Mechanical vapor recompression</v>
      </c>
      <c r="AF11" s="1188" t="s">
        <v>730</v>
      </c>
      <c r="AG11" s="381" t="s">
        <v>731</v>
      </c>
      <c r="AH11" s="382"/>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384">
        <f t="shared" ref="C12:J12" si="0">C11-50</f>
        <v>1210</v>
      </c>
      <c r="D12" s="384">
        <f t="shared" si="0"/>
        <v>1270</v>
      </c>
      <c r="E12" s="384">
        <f t="shared" si="0"/>
        <v>1330</v>
      </c>
      <c r="F12" s="384">
        <f t="shared" si="0"/>
        <v>1380</v>
      </c>
      <c r="G12" s="385">
        <f t="shared" si="0"/>
        <v>950</v>
      </c>
      <c r="H12" s="385">
        <f t="shared" si="0"/>
        <v>1462</v>
      </c>
      <c r="I12" s="385">
        <f t="shared" si="0"/>
        <v>1006</v>
      </c>
      <c r="J12" s="385">
        <f t="shared" si="0"/>
        <v>1666</v>
      </c>
      <c r="K12" s="386"/>
      <c r="L12" s="387"/>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1</v>
      </c>
      <c r="D13" s="391">
        <v>1</v>
      </c>
      <c r="E13" s="391">
        <v>1</v>
      </c>
      <c r="F13" s="392">
        <v>1</v>
      </c>
      <c r="G13" s="391">
        <v>0</v>
      </c>
      <c r="H13" s="391">
        <v>2</v>
      </c>
      <c r="I13" s="391">
        <v>0</v>
      </c>
      <c r="J13" s="391">
        <v>2</v>
      </c>
      <c r="K13" s="379"/>
      <c r="L13" s="380">
        <v>3</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1</v>
      </c>
      <c r="I14" s="390">
        <v>0</v>
      </c>
      <c r="J14" s="390">
        <v>1</v>
      </c>
      <c r="K14" s="379"/>
      <c r="L14" s="380">
        <v>2</v>
      </c>
      <c r="M14" s="370"/>
      <c r="N14" s="370"/>
      <c r="O14" s="71"/>
      <c r="P14" s="1186"/>
      <c r="Q14" s="1188" t="s">
        <v>868</v>
      </c>
      <c r="R14" s="395" t="s">
        <v>737</v>
      </c>
      <c r="S14" s="396" t="s">
        <v>738</v>
      </c>
      <c r="T14" s="1191">
        <v>0</v>
      </c>
      <c r="U14" s="1191">
        <v>0.31</v>
      </c>
      <c r="V14" s="1191">
        <v>0</v>
      </c>
      <c r="W14" s="1191">
        <v>0.05</v>
      </c>
      <c r="X14" s="1191">
        <v>0</v>
      </c>
      <c r="Y14" s="1191">
        <v>0.37</v>
      </c>
      <c r="Z14" s="1191">
        <v>0</v>
      </c>
      <c r="AA14" s="1191">
        <v>0.41</v>
      </c>
      <c r="AB14" s="1191">
        <v>0</v>
      </c>
      <c r="AC14" s="1179">
        <v>0.06</v>
      </c>
      <c r="AE14" s="1186"/>
      <c r="AF14" s="1188" t="s">
        <v>868</v>
      </c>
      <c r="AG14" s="395" t="s">
        <v>737</v>
      </c>
      <c r="AH14" s="396" t="s">
        <v>738</v>
      </c>
      <c r="AI14" s="1191">
        <v>0</v>
      </c>
      <c r="AJ14" s="1191">
        <v>0.31</v>
      </c>
      <c r="AK14" s="1191">
        <v>0</v>
      </c>
      <c r="AL14" s="1191">
        <v>0.05</v>
      </c>
      <c r="AM14" s="1191">
        <v>0</v>
      </c>
      <c r="AN14" s="1191">
        <v>0.37</v>
      </c>
      <c r="AO14" s="1191">
        <v>0</v>
      </c>
      <c r="AP14" s="1191">
        <v>0.41</v>
      </c>
      <c r="AQ14" s="1191">
        <v>0</v>
      </c>
      <c r="AR14" s="1179">
        <v>0.06</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86"/>
      <c r="Q15" s="1189"/>
      <c r="R15" s="395" t="s">
        <v>739</v>
      </c>
      <c r="S15" s="396" t="s">
        <v>738</v>
      </c>
      <c r="T15" s="1192"/>
      <c r="U15" s="1194"/>
      <c r="V15" s="1192"/>
      <c r="W15" s="1194"/>
      <c r="X15" s="1192"/>
      <c r="Y15" s="1194"/>
      <c r="Z15" s="1192"/>
      <c r="AA15" s="1194"/>
      <c r="AB15" s="1192"/>
      <c r="AC15" s="1196"/>
      <c r="AE15" s="1186"/>
      <c r="AF15" s="1189"/>
      <c r="AG15" s="395" t="s">
        <v>739</v>
      </c>
      <c r="AH15" s="396" t="s">
        <v>738</v>
      </c>
      <c r="AI15" s="1192"/>
      <c r="AJ15" s="1194"/>
      <c r="AK15" s="1192"/>
      <c r="AL15" s="1194"/>
      <c r="AM15" s="1192"/>
      <c r="AN15" s="1194"/>
      <c r="AO15" s="1192"/>
      <c r="AP15" s="1194"/>
      <c r="AQ15" s="1192"/>
      <c r="AR15" s="1196"/>
    </row>
    <row r="16" spans="1:44" outlineLevel="1">
      <c r="B16" s="383" t="s">
        <v>11</v>
      </c>
      <c r="C16" s="397">
        <v>25</v>
      </c>
      <c r="D16" s="397">
        <v>25</v>
      </c>
      <c r="E16" s="397">
        <v>25</v>
      </c>
      <c r="F16" s="397">
        <v>25</v>
      </c>
      <c r="G16" s="398">
        <v>15</v>
      </c>
      <c r="H16" s="398">
        <v>35</v>
      </c>
      <c r="I16" s="398">
        <v>15</v>
      </c>
      <c r="J16" s="398">
        <v>35</v>
      </c>
      <c r="K16" s="372"/>
      <c r="L16" s="373">
        <v>1.2</v>
      </c>
      <c r="M16" s="363"/>
      <c r="N16" s="363"/>
      <c r="P16" s="1186"/>
      <c r="Q16" s="1189"/>
      <c r="R16" s="395" t="s">
        <v>741</v>
      </c>
      <c r="S16" s="396" t="s">
        <v>738</v>
      </c>
      <c r="T16" s="1192"/>
      <c r="U16" s="1194"/>
      <c r="V16" s="1192"/>
      <c r="W16" s="1194"/>
      <c r="X16" s="1192"/>
      <c r="Y16" s="1194"/>
      <c r="Z16" s="1192"/>
      <c r="AA16" s="1194"/>
      <c r="AB16" s="1192"/>
      <c r="AC16" s="1196"/>
      <c r="AE16" s="1186"/>
      <c r="AF16" s="1189"/>
      <c r="AG16" s="395" t="s">
        <v>741</v>
      </c>
      <c r="AH16" s="629" t="s">
        <v>738</v>
      </c>
      <c r="AI16" s="1192"/>
      <c r="AJ16" s="1194"/>
      <c r="AK16" s="1192"/>
      <c r="AL16" s="1194"/>
      <c r="AM16" s="1192"/>
      <c r="AN16" s="1194"/>
      <c r="AO16" s="1192"/>
      <c r="AP16" s="1194"/>
      <c r="AQ16" s="1192"/>
      <c r="AR16" s="1196"/>
    </row>
    <row r="17" spans="1:44" ht="16" outlineLevel="1" thickBot="1">
      <c r="B17" s="376" t="s">
        <v>273</v>
      </c>
      <c r="C17" s="399">
        <v>0.1</v>
      </c>
      <c r="D17" s="399">
        <v>0.1</v>
      </c>
      <c r="E17" s="399">
        <v>0.1</v>
      </c>
      <c r="F17" s="399">
        <v>0.1</v>
      </c>
      <c r="G17" s="399">
        <v>0.05</v>
      </c>
      <c r="H17" s="399">
        <v>0.2</v>
      </c>
      <c r="I17" s="399">
        <v>0.05</v>
      </c>
      <c r="J17" s="399">
        <v>0.2</v>
      </c>
      <c r="K17" s="372"/>
      <c r="L17" s="400">
        <v>1.3</v>
      </c>
      <c r="M17" s="363"/>
      <c r="N17" s="363"/>
      <c r="P17" s="1186"/>
      <c r="Q17" s="1189"/>
      <c r="R17" s="395" t="s">
        <v>742</v>
      </c>
      <c r="S17" s="396" t="s">
        <v>738</v>
      </c>
      <c r="T17" s="1192"/>
      <c r="U17" s="1194"/>
      <c r="V17" s="1192"/>
      <c r="W17" s="1194"/>
      <c r="X17" s="1192"/>
      <c r="Y17" s="1194"/>
      <c r="Z17" s="1192"/>
      <c r="AA17" s="1194"/>
      <c r="AB17" s="1192"/>
      <c r="AC17" s="1196"/>
      <c r="AE17" s="1186"/>
      <c r="AF17" s="1189"/>
      <c r="AG17" s="395" t="s">
        <v>742</v>
      </c>
      <c r="AH17" s="396" t="s">
        <v>738</v>
      </c>
      <c r="AI17" s="1192"/>
      <c r="AJ17" s="1194"/>
      <c r="AK17" s="1192"/>
      <c r="AL17" s="1194"/>
      <c r="AM17" s="1192"/>
      <c r="AN17" s="1194"/>
      <c r="AO17" s="1192"/>
      <c r="AP17" s="1194"/>
      <c r="AQ17" s="1192"/>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3"/>
      <c r="U18" s="1195"/>
      <c r="V18" s="1193"/>
      <c r="W18" s="1195"/>
      <c r="X18" s="1193"/>
      <c r="Y18" s="1195"/>
      <c r="Z18" s="1193"/>
      <c r="AA18" s="1195"/>
      <c r="AB18" s="1193"/>
      <c r="AC18" s="1197"/>
      <c r="AE18" s="1186"/>
      <c r="AF18" s="1190"/>
      <c r="AG18" s="409" t="s">
        <v>863</v>
      </c>
      <c r="AH18" s="410" t="s">
        <v>738</v>
      </c>
      <c r="AI18" s="1193"/>
      <c r="AJ18" s="1195"/>
      <c r="AK18" s="1193"/>
      <c r="AL18" s="1195"/>
      <c r="AM18" s="1193"/>
      <c r="AN18" s="1195"/>
      <c r="AO18" s="1193"/>
      <c r="AP18" s="1195"/>
      <c r="AQ18" s="1193"/>
      <c r="AR18" s="1197"/>
    </row>
    <row r="19" spans="1:44" ht="33" outlineLevel="1" thickBot="1">
      <c r="B19" s="376" t="s">
        <v>663</v>
      </c>
      <c r="C19" s="390">
        <v>15</v>
      </c>
      <c r="D19" s="390">
        <v>15</v>
      </c>
      <c r="E19" s="390">
        <v>15</v>
      </c>
      <c r="F19" s="390">
        <v>15</v>
      </c>
      <c r="G19" s="391"/>
      <c r="H19" s="391"/>
      <c r="I19" s="391"/>
      <c r="J19" s="391"/>
      <c r="K19" s="379"/>
      <c r="L19" s="380">
        <v>4</v>
      </c>
      <c r="M19" s="363"/>
      <c r="N19" s="363"/>
      <c r="P19" s="1187"/>
      <c r="Q19" s="411" t="s">
        <v>745</v>
      </c>
      <c r="R19" s="412" t="s">
        <v>746</v>
      </c>
      <c r="S19" s="630"/>
      <c r="T19" s="416">
        <v>0</v>
      </c>
      <c r="U19" s="415">
        <f>T19</f>
        <v>0</v>
      </c>
      <c r="V19" s="416">
        <v>0</v>
      </c>
      <c r="W19" s="415">
        <f>V19</f>
        <v>0</v>
      </c>
      <c r="X19" s="416">
        <v>0</v>
      </c>
      <c r="Y19" s="415">
        <f>X19</f>
        <v>0</v>
      </c>
      <c r="Z19" s="416">
        <v>0</v>
      </c>
      <c r="AA19" s="415">
        <f>Z19</f>
        <v>0</v>
      </c>
      <c r="AB19" s="416">
        <v>0</v>
      </c>
      <c r="AC19" s="417">
        <f>AB19</f>
        <v>0</v>
      </c>
      <c r="AE19" s="1187"/>
      <c r="AF19" s="411" t="s">
        <v>745</v>
      </c>
      <c r="AG19" s="631" t="s">
        <v>746</v>
      </c>
      <c r="AH19" s="632"/>
      <c r="AI19" s="416">
        <v>0</v>
      </c>
      <c r="AJ19" s="415">
        <f>AI19</f>
        <v>0</v>
      </c>
      <c r="AK19" s="416">
        <v>0</v>
      </c>
      <c r="AL19" s="415">
        <f>AK19</f>
        <v>0</v>
      </c>
      <c r="AM19" s="416">
        <v>0</v>
      </c>
      <c r="AN19" s="415">
        <f>AM19</f>
        <v>0</v>
      </c>
      <c r="AO19" s="416">
        <v>0</v>
      </c>
      <c r="AP19" s="415">
        <f>AO19</f>
        <v>0</v>
      </c>
      <c r="AQ19" s="416">
        <v>0</v>
      </c>
      <c r="AR19" s="417">
        <f>AQ19</f>
        <v>0</v>
      </c>
    </row>
    <row r="20" spans="1:44" outlineLevel="1">
      <c r="B20" s="376" t="s">
        <v>664</v>
      </c>
      <c r="C20" s="390">
        <v>0.5</v>
      </c>
      <c r="D20" s="390">
        <v>0.5</v>
      </c>
      <c r="E20" s="390">
        <v>0.5</v>
      </c>
      <c r="F20" s="390">
        <v>0.5</v>
      </c>
      <c r="G20" s="418"/>
      <c r="H20" s="418"/>
      <c r="I20" s="418"/>
      <c r="J20" s="418"/>
      <c r="K20" s="419"/>
      <c r="L20" s="380">
        <v>3</v>
      </c>
      <c r="M20" s="363"/>
      <c r="N20" s="363"/>
    </row>
    <row r="21" spans="1:44" outlineLevel="1">
      <c r="B21" s="376" t="s">
        <v>666</v>
      </c>
      <c r="C21" s="390">
        <v>1</v>
      </c>
      <c r="D21" s="390">
        <v>1</v>
      </c>
      <c r="E21" s="390">
        <v>1</v>
      </c>
      <c r="F21" s="390">
        <v>1</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0.35</v>
      </c>
      <c r="D29" s="647">
        <v>0.33</v>
      </c>
      <c r="E29" s="647">
        <v>0.32</v>
      </c>
      <c r="F29" s="648">
        <v>0.31</v>
      </c>
      <c r="G29" s="425"/>
      <c r="H29" s="425"/>
      <c r="I29" s="425"/>
      <c r="J29" s="425"/>
      <c r="K29" s="426"/>
      <c r="L29" s="440">
        <v>1.5</v>
      </c>
      <c r="M29" s="420"/>
      <c r="N29" s="420"/>
    </row>
    <row r="30" spans="1:44" outlineLevel="1">
      <c r="B30" s="441" t="s">
        <v>839</v>
      </c>
      <c r="C30" s="442">
        <v>60</v>
      </c>
      <c r="D30" s="442">
        <v>60</v>
      </c>
      <c r="E30" s="442">
        <v>60</v>
      </c>
      <c r="F30" s="442">
        <v>60</v>
      </c>
      <c r="G30" s="425"/>
      <c r="H30" s="425"/>
      <c r="I30" s="425"/>
      <c r="J30" s="425"/>
      <c r="K30" s="444"/>
      <c r="L30" s="373">
        <v>1.5</v>
      </c>
      <c r="M30" s="71"/>
      <c r="N30" s="420"/>
    </row>
    <row r="31" spans="1:44" outlineLevel="1">
      <c r="B31" s="441" t="s">
        <v>840</v>
      </c>
      <c r="C31" s="443">
        <v>40</v>
      </c>
      <c r="D31" s="443">
        <v>40</v>
      </c>
      <c r="E31" s="443">
        <v>40</v>
      </c>
      <c r="F31" s="443">
        <v>40</v>
      </c>
      <c r="G31" s="425"/>
      <c r="H31" s="425"/>
      <c r="I31" s="425"/>
      <c r="J31" s="425"/>
      <c r="K31" s="444"/>
      <c r="L31" s="373">
        <v>1.5</v>
      </c>
      <c r="M31" s="420"/>
      <c r="N31" s="420"/>
    </row>
    <row r="32" spans="1:44" outlineLevel="1">
      <c r="B32" s="383" t="s">
        <v>841</v>
      </c>
      <c r="C32" s="445">
        <v>2000</v>
      </c>
      <c r="D32" s="446">
        <v>2000</v>
      </c>
      <c r="E32" s="446">
        <v>200</v>
      </c>
      <c r="F32" s="447">
        <v>2000</v>
      </c>
      <c r="G32" s="425"/>
      <c r="H32" s="425"/>
      <c r="I32" s="425"/>
      <c r="J32" s="425"/>
      <c r="K32" s="448"/>
      <c r="L32" s="373">
        <v>2</v>
      </c>
      <c r="M32" s="420"/>
      <c r="N32" s="420"/>
    </row>
    <row r="33" spans="2:30" ht="37" customHeight="1" outlineLevel="1" thickBot="1">
      <c r="B33" s="383" t="s">
        <v>679</v>
      </c>
      <c r="C33" s="449">
        <f>C34+C35</f>
        <v>2.5300000000000002</v>
      </c>
      <c r="D33" s="449">
        <f t="shared" ref="D33:F33" si="1">D34+D35</f>
        <v>2.4500000000000002</v>
      </c>
      <c r="E33" s="449">
        <f t="shared" si="1"/>
        <v>2.46</v>
      </c>
      <c r="F33" s="449">
        <f t="shared" si="1"/>
        <v>2.3600000000000003</v>
      </c>
      <c r="G33" s="425"/>
      <c r="H33" s="425"/>
      <c r="I33" s="425"/>
      <c r="J33" s="425"/>
      <c r="K33" s="448"/>
      <c r="L33" s="373">
        <v>2</v>
      </c>
      <c r="M33" s="450"/>
      <c r="N33" s="361"/>
      <c r="P33" s="1157">
        <f>C33</f>
        <v>2.5300000000000002</v>
      </c>
      <c r="Q33" s="1135"/>
      <c r="R33" s="1135"/>
      <c r="S33" s="1135"/>
      <c r="T33" s="1135"/>
      <c r="U33" s="1158"/>
    </row>
    <row r="34" spans="2:30" ht="15.75" customHeight="1" outlineLevel="1" thickBot="1">
      <c r="B34" s="451" t="s">
        <v>758</v>
      </c>
      <c r="C34" s="452">
        <f>C13/100*73</f>
        <v>0.73</v>
      </c>
      <c r="D34" s="452">
        <f>D13/100*75</f>
        <v>0.75</v>
      </c>
      <c r="E34" s="452">
        <f>E13/100*76</f>
        <v>0.76</v>
      </c>
      <c r="F34" s="452">
        <f>F13/100*76</f>
        <v>0.76</v>
      </c>
      <c r="G34" s="453"/>
      <c r="H34" s="453"/>
      <c r="I34" s="453"/>
      <c r="J34" s="453"/>
      <c r="K34" s="379" t="s">
        <v>16</v>
      </c>
      <c r="L34" s="380">
        <v>2</v>
      </c>
      <c r="M34" s="450"/>
      <c r="N34" s="361"/>
      <c r="P34" s="1159">
        <f>C34</f>
        <v>0.73</v>
      </c>
      <c r="Q34" s="1160"/>
      <c r="R34" s="1160"/>
      <c r="S34" s="1160"/>
      <c r="T34" s="1160"/>
      <c r="U34" s="1161"/>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20</v>
      </c>
      <c r="L39" s="464"/>
      <c r="M39" s="363"/>
      <c r="N39" s="363"/>
      <c r="O39" s="465">
        <f>C12</f>
        <v>1210</v>
      </c>
      <c r="P39" s="466">
        <f>C8</f>
        <v>2020</v>
      </c>
      <c r="Q39" s="58">
        <f>P39</f>
        <v>2020</v>
      </c>
      <c r="R39" s="466">
        <f>O39/100</f>
        <v>12.1</v>
      </c>
      <c r="S39" s="58"/>
      <c r="T39" s="466">
        <f>C16</f>
        <v>25</v>
      </c>
      <c r="U39" s="467">
        <f>C46</f>
        <v>2607.5</v>
      </c>
      <c r="V39" s="467">
        <f>C48</f>
        <v>14.9</v>
      </c>
      <c r="W39" s="467">
        <f>C49</f>
        <v>5.2356944444444444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20</v>
      </c>
      <c r="L40" s="464"/>
      <c r="M40" s="363"/>
      <c r="N40" s="363"/>
      <c r="O40" s="465">
        <f>D12</f>
        <v>1270</v>
      </c>
      <c r="P40" s="466">
        <f>D8</f>
        <v>2030</v>
      </c>
      <c r="Q40" s="58"/>
      <c r="R40" s="466">
        <f>O40/100</f>
        <v>12.7</v>
      </c>
      <c r="S40" s="58"/>
      <c r="T40" s="466">
        <f>D16</f>
        <v>25</v>
      </c>
      <c r="U40" s="467">
        <f>D46</f>
        <v>2458.5000000000005</v>
      </c>
      <c r="V40" s="467">
        <f>D48</f>
        <v>14.9</v>
      </c>
      <c r="W40" s="467">
        <f>D49</f>
        <v>5.0701388888888888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1330</v>
      </c>
      <c r="P41" s="466">
        <f>E8</f>
        <v>2040</v>
      </c>
      <c r="Q41" s="58"/>
      <c r="R41" s="466">
        <f>O41/100</f>
        <v>13.3</v>
      </c>
      <c r="S41" s="58"/>
      <c r="T41" s="466">
        <f>E16</f>
        <v>25</v>
      </c>
      <c r="U41" s="467">
        <f>E46</f>
        <v>2384</v>
      </c>
      <c r="V41" s="467">
        <f>E48</f>
        <v>1.49</v>
      </c>
      <c r="W41" s="467">
        <f>E49</f>
        <v>5.0908333333333333</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
        <v>1380</v>
      </c>
      <c r="P42" s="466">
        <f>F8</f>
        <v>2050</v>
      </c>
      <c r="Q42" s="58"/>
      <c r="R42" s="466">
        <f>O42/100</f>
        <v>13.8</v>
      </c>
      <c r="S42" s="58"/>
      <c r="T42" s="466">
        <f>F16</f>
        <v>25</v>
      </c>
      <c r="U42" s="467">
        <f>F46</f>
        <v>2309.5</v>
      </c>
      <c r="V42" s="467">
        <f>F48</f>
        <v>14.9</v>
      </c>
      <c r="W42" s="467">
        <f>F49</f>
        <v>4.8838888888888903</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2607.5</v>
      </c>
      <c r="D46" s="483">
        <f t="shared" ref="D46:F46" si="2">D29*$F$4*1000</f>
        <v>2458.5000000000005</v>
      </c>
      <c r="E46" s="483">
        <f t="shared" si="2"/>
        <v>2384</v>
      </c>
      <c r="F46" s="483">
        <f t="shared" si="2"/>
        <v>2309.5</v>
      </c>
      <c r="G46" s="483"/>
      <c r="H46" s="484"/>
      <c r="I46" s="420" t="s">
        <v>332</v>
      </c>
      <c r="J46" s="420"/>
      <c r="K46" s="484"/>
      <c r="L46" s="484"/>
      <c r="N46" s="420"/>
    </row>
    <row r="47" spans="2:30" outlineLevel="1">
      <c r="B47" s="485" t="s">
        <v>770</v>
      </c>
      <c r="C47" s="486">
        <f>C46*$I47</f>
        <v>1303750</v>
      </c>
      <c r="D47" s="486">
        <f>D46*$I47</f>
        <v>1229250.0000000002</v>
      </c>
      <c r="E47" s="486">
        <f>E46*$I47</f>
        <v>1192000</v>
      </c>
      <c r="F47" s="486">
        <f>F46*$I47</f>
        <v>1154750</v>
      </c>
      <c r="G47" s="486"/>
      <c r="H47" s="484"/>
      <c r="I47" s="71">
        <v>500</v>
      </c>
      <c r="J47" s="420" t="s">
        <v>330</v>
      </c>
      <c r="K47" s="484"/>
      <c r="L47" s="484"/>
      <c r="N47" s="420"/>
    </row>
    <row r="48" spans="2:30" ht="48" outlineLevel="1">
      <c r="B48" s="461" t="s">
        <v>845</v>
      </c>
      <c r="C48" s="359">
        <f>C32*$F$4/1000</f>
        <v>14.9</v>
      </c>
      <c r="D48" s="359">
        <f t="shared" ref="D48:F48" si="3">D32*$F$4/1000</f>
        <v>14.9</v>
      </c>
      <c r="E48" s="359">
        <f t="shared" si="3"/>
        <v>1.49</v>
      </c>
      <c r="F48" s="359">
        <f t="shared" si="3"/>
        <v>14.9</v>
      </c>
      <c r="G48" s="359"/>
      <c r="I48" s="420" t="s">
        <v>333</v>
      </c>
      <c r="J48" s="420"/>
      <c r="N48" s="420"/>
    </row>
    <row r="49" spans="2:14" ht="48" outlineLevel="1">
      <c r="B49" s="461" t="s">
        <v>846</v>
      </c>
      <c r="C49" s="487">
        <f>C33*$F$4/3.6</f>
        <v>5.2356944444444444</v>
      </c>
      <c r="D49" s="487">
        <f t="shared" ref="D49:F49" si="4">D33*$F$4/3.6</f>
        <v>5.0701388888888888</v>
      </c>
      <c r="E49" s="487">
        <f t="shared" si="4"/>
        <v>5.0908333333333333</v>
      </c>
      <c r="F49" s="487">
        <f t="shared" si="4"/>
        <v>4.8838888888888903</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57" t="s">
        <v>773</v>
      </c>
      <c r="C55" s="628"/>
      <c r="D55" s="490"/>
      <c r="E55" s="358"/>
      <c r="F55" s="358"/>
      <c r="G55" s="358"/>
      <c r="H55" s="358"/>
      <c r="I55" s="358"/>
      <c r="J55" s="358"/>
      <c r="K55" s="358"/>
      <c r="L55" s="358"/>
    </row>
    <row r="56" spans="2:14" outlineLevel="1">
      <c r="B56" s="628">
        <v>1</v>
      </c>
      <c r="C56" s="658" t="s">
        <v>876</v>
      </c>
      <c r="D56" s="490"/>
      <c r="F56" s="358"/>
      <c r="G56" s="358"/>
      <c r="H56" s="358"/>
      <c r="I56" s="358"/>
      <c r="J56" s="358"/>
      <c r="K56" s="358"/>
      <c r="L56" s="358"/>
    </row>
    <row r="57" spans="2:14" outlineLevel="1">
      <c r="B57" s="659">
        <v>2</v>
      </c>
      <c r="C57" s="658" t="s">
        <v>877</v>
      </c>
      <c r="D57" s="490"/>
      <c r="F57" s="358"/>
      <c r="G57" s="358"/>
      <c r="H57" s="358"/>
      <c r="I57" s="358"/>
      <c r="J57" s="358"/>
      <c r="K57" s="358"/>
      <c r="L57" s="358"/>
    </row>
    <row r="58" spans="2:14" outlineLevel="1">
      <c r="B58" s="660">
        <v>3</v>
      </c>
      <c r="C58" s="660" t="s">
        <v>878</v>
      </c>
      <c r="D58" s="490"/>
      <c r="F58" s="358"/>
      <c r="G58" s="358"/>
      <c r="H58" s="358"/>
      <c r="I58" s="358"/>
      <c r="J58" s="358"/>
      <c r="K58" s="358"/>
      <c r="L58" s="358"/>
    </row>
    <row r="59" spans="2:14" outlineLevel="1">
      <c r="B59" s="660">
        <v>4</v>
      </c>
      <c r="C59" s="660" t="s">
        <v>879</v>
      </c>
      <c r="D59" s="490"/>
      <c r="F59" s="358"/>
      <c r="G59" s="358"/>
      <c r="H59" s="358"/>
      <c r="I59" s="358"/>
      <c r="J59" s="358"/>
      <c r="K59" s="358"/>
      <c r="L59" s="358"/>
    </row>
    <row r="60" spans="2:14" outlineLevel="1">
      <c r="B60" s="660">
        <v>5</v>
      </c>
      <c r="C60" s="628" t="s">
        <v>880</v>
      </c>
      <c r="D60" s="490"/>
      <c r="F60" s="358"/>
      <c r="G60" s="358"/>
      <c r="H60" s="358"/>
      <c r="I60" s="358"/>
      <c r="J60" s="358"/>
      <c r="K60" s="358"/>
      <c r="L60" s="358"/>
    </row>
    <row r="61" spans="2:14" outlineLevel="1">
      <c r="B61" s="628" t="s">
        <v>783</v>
      </c>
      <c r="C61" s="628"/>
      <c r="D61" s="490"/>
      <c r="F61" s="358"/>
      <c r="G61" s="358"/>
      <c r="H61" s="358"/>
      <c r="I61" s="358"/>
      <c r="J61" s="358"/>
      <c r="K61" s="358"/>
      <c r="L61" s="358"/>
    </row>
    <row r="62" spans="2:14" outlineLevel="1">
      <c r="B62" s="661" t="s">
        <v>6</v>
      </c>
      <c r="C62" s="625" t="s">
        <v>881</v>
      </c>
      <c r="D62" s="490"/>
      <c r="F62" s="358"/>
      <c r="G62" s="358"/>
      <c r="H62" s="358"/>
      <c r="I62" s="358"/>
      <c r="J62" s="358"/>
      <c r="K62" s="358"/>
      <c r="L62" s="358"/>
    </row>
    <row r="63" spans="2:14" outlineLevel="1">
      <c r="B63" s="662" t="s">
        <v>59</v>
      </c>
      <c r="C63" s="625" t="s">
        <v>882</v>
      </c>
      <c r="D63" s="490"/>
      <c r="F63" s="358"/>
      <c r="G63" s="358"/>
      <c r="H63" s="358"/>
      <c r="I63" s="358"/>
      <c r="J63" s="358"/>
      <c r="K63" s="358"/>
      <c r="L63" s="358"/>
    </row>
    <row r="64" spans="2:14" outlineLevel="1">
      <c r="B64" s="662" t="s">
        <v>16</v>
      </c>
      <c r="C64" s="628" t="s">
        <v>788</v>
      </c>
      <c r="D64" s="490"/>
      <c r="F64" s="358"/>
      <c r="G64" s="358"/>
      <c r="H64" s="358"/>
      <c r="I64" s="358"/>
      <c r="J64" s="358"/>
      <c r="K64" s="358"/>
      <c r="L64" s="358"/>
    </row>
    <row r="65" spans="1:44" outlineLevel="1">
      <c r="B65" s="663" t="s">
        <v>20</v>
      </c>
      <c r="C65" s="628" t="s">
        <v>883</v>
      </c>
      <c r="D65" s="490"/>
      <c r="F65" s="358"/>
      <c r="G65" s="358"/>
      <c r="H65" s="358"/>
      <c r="I65" s="358"/>
      <c r="J65" s="358"/>
      <c r="K65" s="358"/>
      <c r="L65" s="358"/>
    </row>
    <row r="66" spans="1:44" outlineLevel="1">
      <c r="B66" s="637"/>
      <c r="C66" s="358"/>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R345"/>
  <sheetViews>
    <sheetView topLeftCell="M10" zoomScale="85" zoomScaleNormal="85" workbookViewId="0">
      <selection activeCell="AE29" sqref="AE29"/>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Hotdisc</v>
      </c>
    </row>
    <row r="4" spans="1:44" ht="25" customHeight="1">
      <c r="E4" s="224" t="s">
        <v>358</v>
      </c>
      <c r="F4" s="359">
        <v>7.45</v>
      </c>
      <c r="G4" s="359" t="s">
        <v>328</v>
      </c>
    </row>
    <row r="5" spans="1:44" ht="15" customHeight="1">
      <c r="A5" s="360" t="s">
        <v>970</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920</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50</v>
      </c>
      <c r="D10" s="372">
        <v>50</v>
      </c>
      <c r="E10" s="372">
        <v>50</v>
      </c>
      <c r="F10" s="372">
        <v>50</v>
      </c>
      <c r="G10" s="372">
        <v>10</v>
      </c>
      <c r="H10" s="372">
        <v>100</v>
      </c>
      <c r="I10" s="372">
        <v>10</v>
      </c>
      <c r="J10" s="372">
        <v>100</v>
      </c>
      <c r="K10" s="372" t="s">
        <v>6</v>
      </c>
      <c r="L10" s="373">
        <v>1</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90</v>
      </c>
      <c r="D11" s="377">
        <v>91</v>
      </c>
      <c r="E11" s="378">
        <v>92</v>
      </c>
      <c r="F11" s="377">
        <v>93</v>
      </c>
      <c r="G11" s="377">
        <v>90</v>
      </c>
      <c r="H11" s="639">
        <v>98</v>
      </c>
      <c r="I11" s="377">
        <v>90</v>
      </c>
      <c r="J11" s="639">
        <v>98</v>
      </c>
      <c r="K11" s="379"/>
      <c r="L11" s="380">
        <v>1</v>
      </c>
      <c r="M11" s="370"/>
      <c r="N11" s="370"/>
      <c r="P11" s="1200" t="str">
        <f>C7</f>
        <v>Hotdisc</v>
      </c>
      <c r="Q11" s="1188" t="s">
        <v>730</v>
      </c>
      <c r="R11" s="381" t="s">
        <v>731</v>
      </c>
      <c r="S11" s="382" t="s">
        <v>738</v>
      </c>
      <c r="T11" s="1191">
        <v>0</v>
      </c>
      <c r="U11" s="1179">
        <v>0</v>
      </c>
      <c r="V11" s="1182">
        <v>0</v>
      </c>
      <c r="W11" s="1179">
        <v>0</v>
      </c>
      <c r="X11" s="1182">
        <v>0.15</v>
      </c>
      <c r="Y11" s="1179">
        <v>0</v>
      </c>
      <c r="Z11" s="1182">
        <v>0</v>
      </c>
      <c r="AA11" s="1179">
        <v>0</v>
      </c>
      <c r="AB11" s="1182">
        <v>0</v>
      </c>
      <c r="AC11" s="1179">
        <v>0</v>
      </c>
      <c r="AE11" s="1185" t="str">
        <f>P11</f>
        <v>Hotdisc</v>
      </c>
      <c r="AF11" s="1188" t="s">
        <v>730</v>
      </c>
      <c r="AG11" s="381" t="s">
        <v>731</v>
      </c>
      <c r="AH11" s="382" t="s">
        <v>738</v>
      </c>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577">
        <v>90</v>
      </c>
      <c r="D12" s="577">
        <v>91</v>
      </c>
      <c r="E12" s="577">
        <v>92</v>
      </c>
      <c r="F12" s="577">
        <v>93</v>
      </c>
      <c r="G12" s="641">
        <v>90</v>
      </c>
      <c r="H12" s="641">
        <v>98</v>
      </c>
      <c r="I12" s="641">
        <v>90</v>
      </c>
      <c r="J12" s="641">
        <v>98</v>
      </c>
      <c r="K12" s="386"/>
      <c r="L12" s="387">
        <v>1</v>
      </c>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1</v>
      </c>
      <c r="D13" s="391">
        <v>1</v>
      </c>
      <c r="E13" s="391">
        <v>1</v>
      </c>
      <c r="F13" s="392">
        <v>1</v>
      </c>
      <c r="G13" s="391">
        <v>1</v>
      </c>
      <c r="H13" s="391">
        <v>1</v>
      </c>
      <c r="I13" s="391">
        <v>1</v>
      </c>
      <c r="J13" s="391">
        <v>1</v>
      </c>
      <c r="K13" s="379"/>
      <c r="L13" s="380">
        <v>1</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86"/>
      <c r="Q14" s="1188" t="s">
        <v>736</v>
      </c>
      <c r="R14" s="395" t="s">
        <v>737</v>
      </c>
      <c r="S14" s="396"/>
      <c r="T14" s="1191">
        <v>0</v>
      </c>
      <c r="U14" s="1191">
        <v>0</v>
      </c>
      <c r="V14" s="1191">
        <v>0</v>
      </c>
      <c r="W14" s="1191">
        <v>0</v>
      </c>
      <c r="X14" s="1191">
        <v>0</v>
      </c>
      <c r="Y14" s="1191">
        <v>0</v>
      </c>
      <c r="Z14" s="1191">
        <v>0</v>
      </c>
      <c r="AA14" s="1191">
        <v>0</v>
      </c>
      <c r="AB14" s="1191">
        <v>0</v>
      </c>
      <c r="AC14" s="1179">
        <v>0</v>
      </c>
      <c r="AE14" s="1186"/>
      <c r="AF14" s="1188" t="s">
        <v>736</v>
      </c>
      <c r="AG14" s="395" t="s">
        <v>737</v>
      </c>
      <c r="AH14" s="396"/>
      <c r="AI14" s="1191">
        <v>0</v>
      </c>
      <c r="AJ14" s="1191">
        <f>U14/4</f>
        <v>0</v>
      </c>
      <c r="AK14" s="1191">
        <v>0</v>
      </c>
      <c r="AL14" s="1191">
        <f>W14/4</f>
        <v>0</v>
      </c>
      <c r="AM14" s="1191">
        <v>0</v>
      </c>
      <c r="AN14" s="1191">
        <f>Y14/4</f>
        <v>0</v>
      </c>
      <c r="AO14" s="1191">
        <v>0</v>
      </c>
      <c r="AP14" s="1191">
        <f>AA14/4</f>
        <v>0</v>
      </c>
      <c r="AQ14" s="1191">
        <v>0</v>
      </c>
      <c r="AR14" s="1179">
        <f>AC14/4</f>
        <v>0</v>
      </c>
    </row>
    <row r="15" spans="1:44" outlineLevel="1">
      <c r="B15" s="376" t="s">
        <v>658</v>
      </c>
      <c r="C15" s="390">
        <v>4</v>
      </c>
      <c r="D15" s="390">
        <v>4</v>
      </c>
      <c r="E15" s="390">
        <v>4</v>
      </c>
      <c r="F15" s="390">
        <v>4</v>
      </c>
      <c r="G15" s="390">
        <v>4</v>
      </c>
      <c r="H15" s="390">
        <v>4</v>
      </c>
      <c r="I15" s="390">
        <v>4</v>
      </c>
      <c r="J15" s="390">
        <v>4</v>
      </c>
      <c r="K15" s="379"/>
      <c r="L15" s="380">
        <v>1</v>
      </c>
      <c r="M15" s="367"/>
      <c r="N15" s="367"/>
      <c r="O15" s="71"/>
      <c r="P15" s="1186"/>
      <c r="Q15" s="1189"/>
      <c r="R15" s="395" t="s">
        <v>739</v>
      </c>
      <c r="S15" s="396"/>
      <c r="T15" s="1194"/>
      <c r="U15" s="1194"/>
      <c r="V15" s="1194"/>
      <c r="W15" s="1194"/>
      <c r="X15" s="1194"/>
      <c r="Y15" s="1194"/>
      <c r="Z15" s="1194"/>
      <c r="AA15" s="1194"/>
      <c r="AB15" s="1194"/>
      <c r="AC15" s="1196"/>
      <c r="AE15" s="1186"/>
      <c r="AF15" s="1189"/>
      <c r="AG15" s="395" t="s">
        <v>739</v>
      </c>
      <c r="AH15" s="396"/>
      <c r="AI15" s="1194"/>
      <c r="AJ15" s="1194"/>
      <c r="AK15" s="1194"/>
      <c r="AL15" s="1194"/>
      <c r="AM15" s="1194"/>
      <c r="AN15" s="1194"/>
      <c r="AO15" s="1194"/>
      <c r="AP15" s="1194"/>
      <c r="AQ15" s="1194"/>
      <c r="AR15" s="1196"/>
    </row>
    <row r="16" spans="1:44" outlineLevel="1">
      <c r="B16" s="383" t="s">
        <v>11</v>
      </c>
      <c r="C16" s="397">
        <v>20</v>
      </c>
      <c r="D16" s="397">
        <v>20</v>
      </c>
      <c r="E16" s="397">
        <v>20</v>
      </c>
      <c r="F16" s="397">
        <v>20</v>
      </c>
      <c r="G16" s="398">
        <v>20</v>
      </c>
      <c r="H16" s="398">
        <v>30</v>
      </c>
      <c r="I16" s="398">
        <v>20</v>
      </c>
      <c r="J16" s="398">
        <v>30</v>
      </c>
      <c r="K16" s="372"/>
      <c r="L16" s="373">
        <v>1</v>
      </c>
      <c r="M16" s="363"/>
      <c r="N16" s="363"/>
      <c r="P16" s="1186"/>
      <c r="Q16" s="1189"/>
      <c r="R16" s="395" t="s">
        <v>741</v>
      </c>
      <c r="S16" s="396"/>
      <c r="T16" s="1194"/>
      <c r="U16" s="1194"/>
      <c r="V16" s="1194"/>
      <c r="W16" s="1194"/>
      <c r="X16" s="1194"/>
      <c r="Y16" s="1194"/>
      <c r="Z16" s="1194"/>
      <c r="AA16" s="1194"/>
      <c r="AB16" s="1194"/>
      <c r="AC16" s="1196"/>
      <c r="AE16" s="1186"/>
      <c r="AF16" s="1189"/>
      <c r="AG16" s="395" t="s">
        <v>741</v>
      </c>
      <c r="AH16" s="629"/>
      <c r="AI16" s="1194"/>
      <c r="AJ16" s="1194"/>
      <c r="AK16" s="1194"/>
      <c r="AL16" s="1194"/>
      <c r="AM16" s="1194"/>
      <c r="AN16" s="1194"/>
      <c r="AO16" s="1194"/>
      <c r="AP16" s="1194"/>
      <c r="AQ16" s="1194"/>
      <c r="AR16" s="1196"/>
    </row>
    <row r="17" spans="1:44" ht="16" outlineLevel="1" thickBot="1">
      <c r="B17" s="376" t="s">
        <v>273</v>
      </c>
      <c r="C17" s="399">
        <v>0.75</v>
      </c>
      <c r="D17" s="399">
        <v>0.75</v>
      </c>
      <c r="E17" s="399">
        <v>0.75</v>
      </c>
      <c r="F17" s="399">
        <v>0.75</v>
      </c>
      <c r="G17" s="399">
        <v>0.75</v>
      </c>
      <c r="H17" s="399">
        <v>1</v>
      </c>
      <c r="I17" s="399">
        <v>0.75</v>
      </c>
      <c r="J17" s="399">
        <v>1</v>
      </c>
      <c r="K17" s="372"/>
      <c r="L17" s="400">
        <v>1</v>
      </c>
      <c r="M17" s="363"/>
      <c r="N17" s="363"/>
      <c r="P17" s="1186"/>
      <c r="Q17" s="1189"/>
      <c r="R17" s="395" t="s">
        <v>742</v>
      </c>
      <c r="S17" s="396"/>
      <c r="T17" s="1194"/>
      <c r="U17" s="1194"/>
      <c r="V17" s="1194"/>
      <c r="W17" s="1194"/>
      <c r="X17" s="1194"/>
      <c r="Y17" s="1194"/>
      <c r="Z17" s="1194"/>
      <c r="AA17" s="1194"/>
      <c r="AB17" s="1194"/>
      <c r="AC17" s="1196"/>
      <c r="AE17" s="1186"/>
      <c r="AF17" s="1189"/>
      <c r="AG17" s="395" t="s">
        <v>742</v>
      </c>
      <c r="AH17" s="396"/>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c r="T18" s="1195"/>
      <c r="U18" s="1195"/>
      <c r="V18" s="1195"/>
      <c r="W18" s="1195"/>
      <c r="X18" s="1195"/>
      <c r="Y18" s="1195"/>
      <c r="Z18" s="1195"/>
      <c r="AA18" s="1195"/>
      <c r="AB18" s="1195"/>
      <c r="AC18" s="1197"/>
      <c r="AE18" s="1186"/>
      <c r="AF18" s="1190"/>
      <c r="AG18" s="409" t="s">
        <v>863</v>
      </c>
      <c r="AH18" s="410"/>
      <c r="AI18" s="1195"/>
      <c r="AJ18" s="1195"/>
      <c r="AK18" s="1195"/>
      <c r="AL18" s="1195"/>
      <c r="AM18" s="1195"/>
      <c r="AN18" s="1195"/>
      <c r="AO18" s="1195"/>
      <c r="AP18" s="1195"/>
      <c r="AQ18" s="1195"/>
      <c r="AR18" s="1197"/>
    </row>
    <row r="19" spans="1:44" ht="33" outlineLevel="1" thickBot="1">
      <c r="B19" s="376" t="s">
        <v>663</v>
      </c>
      <c r="C19" s="390">
        <v>10</v>
      </c>
      <c r="D19" s="390">
        <v>10</v>
      </c>
      <c r="E19" s="390">
        <v>10</v>
      </c>
      <c r="F19" s="390">
        <v>10</v>
      </c>
      <c r="G19" s="391"/>
      <c r="H19" s="391"/>
      <c r="I19" s="391"/>
      <c r="J19" s="391"/>
      <c r="K19" s="379"/>
      <c r="L19" s="380">
        <v>1</v>
      </c>
      <c r="M19" s="363"/>
      <c r="N19" s="363"/>
      <c r="P19" s="1187"/>
      <c r="Q19" s="411" t="s">
        <v>745</v>
      </c>
      <c r="R19" s="412" t="s">
        <v>746</v>
      </c>
      <c r="S19" s="630"/>
      <c r="T19" s="416">
        <v>0</v>
      </c>
      <c r="U19" s="415">
        <v>0</v>
      </c>
      <c r="V19" s="416">
        <v>0</v>
      </c>
      <c r="W19" s="415">
        <v>0</v>
      </c>
      <c r="X19" s="416">
        <v>0</v>
      </c>
      <c r="Y19" s="415">
        <v>0</v>
      </c>
      <c r="Z19" s="416">
        <v>0</v>
      </c>
      <c r="AA19" s="415">
        <v>0</v>
      </c>
      <c r="AB19" s="416">
        <v>0</v>
      </c>
      <c r="AC19" s="417">
        <v>0</v>
      </c>
      <c r="AE19" s="1187"/>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54</v>
      </c>
      <c r="D21" s="390">
        <v>54</v>
      </c>
      <c r="E21" s="390">
        <v>54</v>
      </c>
      <c r="F21" s="390">
        <v>54</v>
      </c>
      <c r="G21" s="418"/>
      <c r="H21" s="418"/>
      <c r="I21" s="418"/>
      <c r="J21" s="418"/>
      <c r="K21" s="419" t="s">
        <v>59</v>
      </c>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v>8.3000000000000007</v>
      </c>
      <c r="D23" s="1224">
        <v>8.3000000000000007</v>
      </c>
      <c r="E23" s="1224">
        <v>8.3000000000000007</v>
      </c>
      <c r="F23" s="1225">
        <v>8.3000000000000007</v>
      </c>
      <c r="G23" s="422"/>
      <c r="H23" s="425"/>
      <c r="I23" s="425"/>
      <c r="J23" s="425"/>
      <c r="K23" s="426" t="s">
        <v>16</v>
      </c>
      <c r="L23" s="427">
        <v>2</v>
      </c>
      <c r="M23" s="428"/>
      <c r="N23" s="428"/>
    </row>
    <row r="24" spans="1:44" outlineLevel="1">
      <c r="B24" s="383" t="s">
        <v>749</v>
      </c>
      <c r="C24" s="1226">
        <v>0.28999999999999998</v>
      </c>
      <c r="D24" s="1227">
        <v>0.28999999999999998</v>
      </c>
      <c r="E24" s="1227">
        <v>0.28999999999999998</v>
      </c>
      <c r="F24" s="1228">
        <v>0.28999999999999998</v>
      </c>
      <c r="G24" s="425"/>
      <c r="H24" s="425"/>
      <c r="I24" s="425"/>
      <c r="J24" s="425"/>
      <c r="K24" s="423" t="s">
        <v>16</v>
      </c>
      <c r="L24" s="427">
        <v>2</v>
      </c>
      <c r="M24" s="428"/>
      <c r="N24" s="428"/>
    </row>
    <row r="25" spans="1:44" outlineLevel="1">
      <c r="B25" s="383" t="s">
        <v>844</v>
      </c>
      <c r="C25" s="1226">
        <v>56</v>
      </c>
      <c r="D25" s="1227">
        <v>45</v>
      </c>
      <c r="E25" s="1227">
        <v>28</v>
      </c>
      <c r="F25" s="1228">
        <v>11</v>
      </c>
      <c r="G25" s="425"/>
      <c r="H25" s="425"/>
      <c r="I25" s="425"/>
      <c r="J25" s="425"/>
      <c r="K25" s="423" t="s">
        <v>16</v>
      </c>
      <c r="L25" s="427">
        <v>3</v>
      </c>
      <c r="M25" s="428"/>
      <c r="N25" s="428"/>
    </row>
    <row r="26" spans="1:44" outlineLevel="1">
      <c r="B26" s="383" t="s">
        <v>366</v>
      </c>
      <c r="C26" s="1226">
        <v>0.1</v>
      </c>
      <c r="D26" s="1227">
        <v>0.1</v>
      </c>
      <c r="E26" s="1227">
        <v>0.1</v>
      </c>
      <c r="F26" s="1228">
        <v>0.1</v>
      </c>
      <c r="G26" s="425"/>
      <c r="H26" s="425"/>
      <c r="I26" s="425"/>
      <c r="J26" s="425"/>
      <c r="K26" s="423" t="s">
        <v>16</v>
      </c>
      <c r="L26" s="427">
        <v>3</v>
      </c>
      <c r="M26" s="428"/>
      <c r="N26" s="428"/>
    </row>
    <row r="27" spans="1:44" ht="16" outlineLevel="1" thickBot="1">
      <c r="B27" s="429" t="s">
        <v>367</v>
      </c>
      <c r="C27" s="1229">
        <v>1</v>
      </c>
      <c r="D27" s="1230">
        <v>1</v>
      </c>
      <c r="E27" s="1230">
        <v>1</v>
      </c>
      <c r="F27" s="1231">
        <v>1</v>
      </c>
      <c r="G27" s="425"/>
      <c r="H27" s="425"/>
      <c r="I27" s="425"/>
      <c r="J27" s="425"/>
      <c r="K27" s="423" t="s">
        <v>16</v>
      </c>
      <c r="L27" s="427">
        <v>3</v>
      </c>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0.5</v>
      </c>
      <c r="D29" s="647">
        <v>0.46500000000000002</v>
      </c>
      <c r="E29" s="647">
        <v>0.48499999999999999</v>
      </c>
      <c r="F29" s="648">
        <v>0.45</v>
      </c>
      <c r="G29" s="425"/>
      <c r="H29" s="425"/>
      <c r="I29" s="425"/>
      <c r="J29" s="425"/>
      <c r="K29" s="426" t="s">
        <v>20</v>
      </c>
      <c r="L29" s="440"/>
      <c r="M29" s="420"/>
      <c r="N29" s="420"/>
    </row>
    <row r="30" spans="1:44" outlineLevel="1">
      <c r="B30" s="441" t="s">
        <v>839</v>
      </c>
      <c r="C30" s="442">
        <v>50</v>
      </c>
      <c r="D30" s="442">
        <v>50</v>
      </c>
      <c r="E30" s="442">
        <v>50</v>
      </c>
      <c r="F30" s="442">
        <v>50</v>
      </c>
      <c r="G30" s="425"/>
      <c r="H30" s="425"/>
      <c r="I30" s="425"/>
      <c r="J30" s="425"/>
      <c r="K30" s="444"/>
      <c r="L30" s="373"/>
      <c r="M30" s="71"/>
      <c r="N30" s="420"/>
    </row>
    <row r="31" spans="1:44" outlineLevel="1">
      <c r="B31" s="441" t="s">
        <v>840</v>
      </c>
      <c r="C31" s="442">
        <v>50</v>
      </c>
      <c r="D31" s="442">
        <v>50</v>
      </c>
      <c r="E31" s="442">
        <v>50</v>
      </c>
      <c r="F31" s="442">
        <v>50</v>
      </c>
      <c r="G31" s="425"/>
      <c r="H31" s="425"/>
      <c r="I31" s="425"/>
      <c r="J31" s="425"/>
      <c r="K31" s="444"/>
      <c r="L31" s="373"/>
      <c r="M31" s="420"/>
      <c r="N31" s="420"/>
    </row>
    <row r="32" spans="1:44" outlineLevel="1">
      <c r="B32" s="383" t="s">
        <v>841</v>
      </c>
      <c r="C32" s="445">
        <v>400</v>
      </c>
      <c r="D32" s="446">
        <v>400</v>
      </c>
      <c r="E32" s="446">
        <v>400</v>
      </c>
      <c r="F32" s="447">
        <v>400</v>
      </c>
      <c r="G32" s="425"/>
      <c r="H32" s="425"/>
      <c r="I32" s="425"/>
      <c r="J32" s="425"/>
      <c r="K32" s="448"/>
      <c r="L32" s="373"/>
      <c r="M32" s="420"/>
      <c r="N32" s="420"/>
    </row>
    <row r="33" spans="2:30" ht="37" customHeight="1" outlineLevel="1" thickBot="1">
      <c r="B33" s="383" t="s">
        <v>679</v>
      </c>
      <c r="C33" s="449">
        <f>C34+C35</f>
        <v>1.175</v>
      </c>
      <c r="D33" s="449">
        <f t="shared" ref="D33:F33" si="0">D34+D35</f>
        <v>1.1950000000000001</v>
      </c>
      <c r="E33" s="449">
        <f t="shared" si="0"/>
        <v>1.2050000000000001</v>
      </c>
      <c r="F33" s="449">
        <f t="shared" si="0"/>
        <v>1.2050000000000001</v>
      </c>
      <c r="G33" s="425"/>
      <c r="H33" s="425"/>
      <c r="I33" s="425"/>
      <c r="J33" s="425"/>
      <c r="K33" s="448"/>
      <c r="L33" s="373"/>
      <c r="M33" s="450"/>
      <c r="N33" s="361"/>
      <c r="P33" s="1157">
        <f>C33</f>
        <v>1.175</v>
      </c>
      <c r="Q33" s="1135"/>
      <c r="R33" s="1135"/>
      <c r="S33" s="1135"/>
      <c r="T33" s="1135"/>
      <c r="U33" s="1158"/>
    </row>
    <row r="34" spans="2:30" ht="15.75" customHeight="1" outlineLevel="1" thickBot="1">
      <c r="B34" s="451" t="s">
        <v>758</v>
      </c>
      <c r="C34" s="452">
        <f>C13/100*73</f>
        <v>0.73</v>
      </c>
      <c r="D34" s="452">
        <f>D13/100*75</f>
        <v>0.75</v>
      </c>
      <c r="E34" s="452">
        <f>E13/100*76</f>
        <v>0.76</v>
      </c>
      <c r="F34" s="452">
        <f>F13/100*76</f>
        <v>0.76</v>
      </c>
      <c r="G34" s="453"/>
      <c r="H34" s="453"/>
      <c r="I34" s="453"/>
      <c r="J34" s="453"/>
      <c r="K34" s="379"/>
      <c r="L34" s="380"/>
      <c r="M34" s="450"/>
      <c r="N34" s="361"/>
      <c r="P34" s="1159">
        <f>C34</f>
        <v>0.73</v>
      </c>
      <c r="Q34" s="1160"/>
      <c r="R34" s="1160"/>
      <c r="S34" s="1160"/>
      <c r="T34" s="1160"/>
      <c r="U34" s="1161"/>
    </row>
    <row r="35" spans="2:30" outlineLevel="1">
      <c r="B35" s="451" t="s">
        <v>759</v>
      </c>
      <c r="C35" s="655">
        <v>0.44500000000000001</v>
      </c>
      <c r="D35" s="655">
        <v>0.44500000000000001</v>
      </c>
      <c r="E35" s="655">
        <v>0.44500000000000001</v>
      </c>
      <c r="F35" s="655">
        <v>0.44500000000000001</v>
      </c>
      <c r="G35" s="453"/>
      <c r="H35" s="453"/>
      <c r="I35" s="453"/>
      <c r="J35" s="453"/>
      <c r="K35" s="455"/>
      <c r="L35" s="380"/>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v>0.18</v>
      </c>
      <c r="D39" s="643">
        <v>0.18</v>
      </c>
      <c r="E39" s="643">
        <v>0.18</v>
      </c>
      <c r="F39" s="643">
        <v>0.18</v>
      </c>
      <c r="G39" s="643"/>
      <c r="H39" s="643"/>
      <c r="I39" s="643"/>
      <c r="J39" s="643"/>
      <c r="K39" s="643" t="s">
        <v>76</v>
      </c>
      <c r="L39" s="464"/>
      <c r="M39" s="363"/>
      <c r="N39" s="363"/>
      <c r="O39" s="465">
        <f>C12</f>
        <v>90</v>
      </c>
      <c r="P39" s="466">
        <f>C8</f>
        <v>2020</v>
      </c>
      <c r="Q39" s="58">
        <f>P39</f>
        <v>2020</v>
      </c>
      <c r="R39" s="466">
        <f>O39/100</f>
        <v>0.9</v>
      </c>
      <c r="S39" s="58"/>
      <c r="T39" s="466">
        <f>C16</f>
        <v>20</v>
      </c>
      <c r="U39" s="467">
        <f>C46</f>
        <v>3725</v>
      </c>
      <c r="V39" s="467">
        <f>C48</f>
        <v>2.98</v>
      </c>
      <c r="W39" s="467">
        <f>C49</f>
        <v>2.4315972222222224</v>
      </c>
      <c r="X39" s="58"/>
      <c r="Y39" s="58"/>
      <c r="Z39" s="466">
        <f>C23</f>
        <v>8.3000000000000007</v>
      </c>
      <c r="AA39" s="468">
        <f>C25</f>
        <v>56</v>
      </c>
      <c r="AB39" s="468">
        <f>C26</f>
        <v>0.1</v>
      </c>
      <c r="AC39" s="468">
        <f>C27</f>
        <v>1</v>
      </c>
      <c r="AD39" s="468">
        <f>C24</f>
        <v>0.28999999999999998</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f>
        <v>91</v>
      </c>
      <c r="P40" s="466">
        <f>D8</f>
        <v>2030</v>
      </c>
      <c r="Q40" s="58"/>
      <c r="R40" s="466">
        <f>O40/100</f>
        <v>0.91</v>
      </c>
      <c r="S40" s="58"/>
      <c r="T40" s="466">
        <f>D16</f>
        <v>20</v>
      </c>
      <c r="U40" s="467">
        <f>D46</f>
        <v>3464.2500000000005</v>
      </c>
      <c r="V40" s="467">
        <f>D48</f>
        <v>2.98</v>
      </c>
      <c r="W40" s="467">
        <f>D49</f>
        <v>2.4729861111111116</v>
      </c>
      <c r="X40" s="58"/>
      <c r="Y40" s="58"/>
      <c r="Z40" s="466">
        <f>D23</f>
        <v>8.3000000000000007</v>
      </c>
      <c r="AA40" s="468">
        <f>D25</f>
        <v>45</v>
      </c>
      <c r="AB40" s="468">
        <f>D26</f>
        <v>0.1</v>
      </c>
      <c r="AC40" s="468">
        <f>D27</f>
        <v>1</v>
      </c>
      <c r="AD40" s="468">
        <f>D24</f>
        <v>0.28999999999999998</v>
      </c>
    </row>
    <row r="41" spans="2:30" outlineLevel="1">
      <c r="B41" s="376" t="s">
        <v>764</v>
      </c>
      <c r="C41" s="469"/>
      <c r="D41" s="470"/>
      <c r="E41" s="470"/>
      <c r="F41" s="471"/>
      <c r="G41" s="453"/>
      <c r="H41" s="453"/>
      <c r="I41" s="453"/>
      <c r="J41" s="453"/>
      <c r="K41" s="453"/>
      <c r="L41" s="380"/>
      <c r="M41" s="363"/>
      <c r="N41" s="363"/>
      <c r="O41" s="465">
        <f>E12</f>
        <v>92</v>
      </c>
      <c r="P41" s="466">
        <f>E8</f>
        <v>2040</v>
      </c>
      <c r="Q41" s="58"/>
      <c r="R41" s="466">
        <f>O41/100</f>
        <v>0.92</v>
      </c>
      <c r="S41" s="58"/>
      <c r="T41" s="466">
        <f>E16</f>
        <v>20</v>
      </c>
      <c r="U41" s="467">
        <f>E46</f>
        <v>3613.25</v>
      </c>
      <c r="V41" s="467">
        <f>E48</f>
        <v>2.98</v>
      </c>
      <c r="W41" s="467">
        <f>E49</f>
        <v>2.4936805555555561</v>
      </c>
      <c r="X41" s="58"/>
      <c r="Y41" s="58"/>
      <c r="Z41" s="466">
        <f>E23</f>
        <v>8.3000000000000007</v>
      </c>
      <c r="AA41" s="468">
        <f>E25</f>
        <v>28</v>
      </c>
      <c r="AB41" s="468">
        <f>E26</f>
        <v>0.1</v>
      </c>
      <c r="AC41" s="468">
        <f>E27</f>
        <v>1</v>
      </c>
      <c r="AD41" s="468">
        <f>E24</f>
        <v>0.28999999999999998</v>
      </c>
    </row>
    <row r="42" spans="2:30" ht="14.5" customHeight="1" outlineLevel="1">
      <c r="B42" s="376" t="s">
        <v>765</v>
      </c>
      <c r="C42" s="1232">
        <v>90</v>
      </c>
      <c r="D42" s="1233">
        <v>90</v>
      </c>
      <c r="E42" s="1233">
        <v>90</v>
      </c>
      <c r="F42" s="1234">
        <v>90</v>
      </c>
      <c r="G42" s="474"/>
      <c r="H42" s="474"/>
      <c r="I42" s="474"/>
      <c r="J42" s="474"/>
      <c r="K42" s="474" t="s">
        <v>25</v>
      </c>
      <c r="L42" s="380" t="s">
        <v>921</v>
      </c>
      <c r="M42" s="363"/>
      <c r="N42" s="363"/>
      <c r="O42" s="465">
        <f>F12</f>
        <v>93</v>
      </c>
      <c r="P42" s="466">
        <f>F8</f>
        <v>2050</v>
      </c>
      <c r="Q42" s="58"/>
      <c r="R42" s="466">
        <f>O42/100</f>
        <v>0.93</v>
      </c>
      <c r="S42" s="58"/>
      <c r="T42" s="466">
        <f>F16</f>
        <v>20</v>
      </c>
      <c r="U42" s="467">
        <f>F46</f>
        <v>3352.5</v>
      </c>
      <c r="V42" s="467">
        <f>F48</f>
        <v>2.98</v>
      </c>
      <c r="W42" s="467">
        <f>F49</f>
        <v>2.4936805555555561</v>
      </c>
      <c r="X42" s="58"/>
      <c r="Y42" s="58"/>
      <c r="Z42" s="466">
        <f>F23</f>
        <v>8.3000000000000007</v>
      </c>
      <c r="AA42" s="468">
        <f>F25</f>
        <v>11</v>
      </c>
      <c r="AB42" s="468">
        <f>F26</f>
        <v>0.1</v>
      </c>
      <c r="AC42" s="468">
        <f>F27</f>
        <v>1</v>
      </c>
      <c r="AD42" s="468">
        <f>F24</f>
        <v>0.28999999999999998</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3725</v>
      </c>
      <c r="D46" s="483">
        <f t="shared" ref="D46:F46" si="1">D29*$F$4*1000</f>
        <v>3464.2500000000005</v>
      </c>
      <c r="E46" s="483">
        <f t="shared" si="1"/>
        <v>3613.25</v>
      </c>
      <c r="F46" s="483">
        <f t="shared" si="1"/>
        <v>3352.5</v>
      </c>
      <c r="G46" s="483"/>
      <c r="H46" s="484"/>
      <c r="I46" s="420" t="s">
        <v>332</v>
      </c>
      <c r="J46" s="420"/>
      <c r="K46" s="484"/>
      <c r="L46" s="484"/>
      <c r="N46" s="420"/>
    </row>
    <row r="47" spans="2:30" outlineLevel="1">
      <c r="B47" s="485" t="s">
        <v>770</v>
      </c>
      <c r="C47" s="486">
        <f>C46*$I47</f>
        <v>1862500</v>
      </c>
      <c r="D47" s="486">
        <f>D46*$I47</f>
        <v>1732125.0000000002</v>
      </c>
      <c r="E47" s="486">
        <f>E46*$I47</f>
        <v>1806625</v>
      </c>
      <c r="F47" s="486">
        <f>F46*$I47</f>
        <v>1676250</v>
      </c>
      <c r="G47" s="486"/>
      <c r="H47" s="484"/>
      <c r="I47" s="71">
        <v>500</v>
      </c>
      <c r="J47" s="420" t="s">
        <v>330</v>
      </c>
      <c r="K47" s="484"/>
      <c r="L47" s="484"/>
      <c r="N47" s="420"/>
    </row>
    <row r="48" spans="2:30" ht="48" outlineLevel="1">
      <c r="B48" s="461" t="s">
        <v>845</v>
      </c>
      <c r="C48" s="359">
        <f>C32*$F$4/1000</f>
        <v>2.98</v>
      </c>
      <c r="D48" s="359">
        <f t="shared" ref="D48:F48" si="2">D32*$F$4/1000</f>
        <v>2.98</v>
      </c>
      <c r="E48" s="359">
        <f t="shared" si="2"/>
        <v>2.98</v>
      </c>
      <c r="F48" s="359">
        <f t="shared" si="2"/>
        <v>2.98</v>
      </c>
      <c r="G48" s="359"/>
      <c r="I48" s="420" t="s">
        <v>333</v>
      </c>
      <c r="J48" s="420"/>
      <c r="N48" s="420"/>
    </row>
    <row r="49" spans="2:14" ht="48" outlineLevel="1">
      <c r="B49" s="461" t="s">
        <v>846</v>
      </c>
      <c r="C49" s="487">
        <f>C33*$F$4/3.6</f>
        <v>2.4315972222222224</v>
      </c>
      <c r="D49" s="487">
        <f t="shared" ref="D49:F49" si="3">D33*$F$4/3.6</f>
        <v>2.4729861111111116</v>
      </c>
      <c r="E49" s="487">
        <f t="shared" si="3"/>
        <v>2.4936805555555561</v>
      </c>
      <c r="F49" s="487">
        <f t="shared" si="3"/>
        <v>2.4936805555555561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660" t="s">
        <v>940</v>
      </c>
      <c r="F56" s="358"/>
      <c r="G56" s="358"/>
      <c r="H56" s="358"/>
      <c r="I56" s="358"/>
      <c r="J56" s="358"/>
      <c r="K56" s="358"/>
      <c r="L56" s="358"/>
    </row>
    <row r="57" spans="2:14" outlineLevel="1">
      <c r="B57" s="358">
        <v>2</v>
      </c>
      <c r="C57" s="658" t="s">
        <v>781</v>
      </c>
      <c r="F57" s="358"/>
      <c r="G57" s="358"/>
      <c r="H57" s="358"/>
      <c r="I57" s="358"/>
      <c r="J57" s="358"/>
      <c r="K57" s="358"/>
      <c r="L57" s="358"/>
    </row>
    <row r="58" spans="2:14" outlineLevel="1">
      <c r="B58" s="358">
        <v>3</v>
      </c>
      <c r="C58" s="660" t="s">
        <v>850</v>
      </c>
      <c r="F58" s="358"/>
      <c r="G58" s="358"/>
      <c r="H58" s="358"/>
      <c r="I58" s="358"/>
      <c r="J58" s="358"/>
      <c r="K58" s="358"/>
      <c r="L58" s="358"/>
    </row>
    <row r="59" spans="2:14" outlineLevel="1">
      <c r="B59" s="358">
        <v>4</v>
      </c>
      <c r="C59" s="658" t="s">
        <v>941</v>
      </c>
      <c r="F59" s="358"/>
      <c r="G59" s="358"/>
      <c r="H59" s="358"/>
      <c r="I59" s="358"/>
      <c r="J59" s="358"/>
      <c r="K59" s="358"/>
      <c r="L59" s="358"/>
    </row>
    <row r="60" spans="2:14" outlineLevel="1">
      <c r="B60" s="358">
        <v>5</v>
      </c>
      <c r="C60" s="658" t="s">
        <v>942</v>
      </c>
      <c r="D60" s="489"/>
      <c r="F60" s="358"/>
      <c r="G60" s="358"/>
      <c r="H60" s="358"/>
      <c r="I60" s="358"/>
      <c r="J60" s="358"/>
      <c r="K60" s="358"/>
      <c r="L60" s="358"/>
    </row>
    <row r="61" spans="2:14" outlineLevel="1">
      <c r="B61" s="488" t="s">
        <v>783</v>
      </c>
      <c r="C61" s="625"/>
      <c r="D61" s="489"/>
      <c r="F61" s="358"/>
      <c r="G61" s="358"/>
      <c r="H61" s="358"/>
      <c r="I61" s="358"/>
      <c r="J61" s="358"/>
      <c r="K61" s="358"/>
      <c r="L61" s="358"/>
    </row>
    <row r="62" spans="2:14" outlineLevel="1">
      <c r="B62" s="496" t="s">
        <v>6</v>
      </c>
      <c r="C62" s="660" t="s">
        <v>943</v>
      </c>
      <c r="D62" s="489"/>
      <c r="F62" s="358"/>
      <c r="G62" s="358"/>
      <c r="H62" s="358"/>
      <c r="I62" s="358"/>
      <c r="J62" s="358"/>
      <c r="K62" s="358"/>
      <c r="L62" s="358"/>
    </row>
    <row r="63" spans="2:14" outlineLevel="1">
      <c r="B63" s="496" t="s">
        <v>59</v>
      </c>
      <c r="C63" s="660" t="s">
        <v>944</v>
      </c>
      <c r="D63" s="489"/>
      <c r="F63" s="358"/>
      <c r="G63" s="358"/>
      <c r="H63" s="358"/>
      <c r="I63" s="358"/>
      <c r="J63" s="358"/>
      <c r="K63" s="358"/>
      <c r="L63" s="358"/>
    </row>
    <row r="64" spans="2:14" outlineLevel="1">
      <c r="B64" s="496" t="s">
        <v>16</v>
      </c>
      <c r="C64" s="658" t="s">
        <v>945</v>
      </c>
      <c r="D64" s="489"/>
      <c r="F64" s="358"/>
      <c r="G64" s="358"/>
      <c r="H64" s="358"/>
      <c r="I64" s="358"/>
      <c r="J64" s="358"/>
      <c r="K64" s="358"/>
      <c r="L64" s="358"/>
    </row>
    <row r="65" spans="1:44" outlineLevel="1">
      <c r="B65" s="496" t="s">
        <v>20</v>
      </c>
      <c r="C65" s="658" t="s">
        <v>946</v>
      </c>
      <c r="D65" s="489"/>
      <c r="F65" s="358"/>
      <c r="G65" s="358"/>
      <c r="H65" s="358"/>
      <c r="I65" s="358"/>
      <c r="J65" s="358"/>
      <c r="K65" s="358"/>
      <c r="L65" s="358"/>
    </row>
    <row r="66" spans="1:44" outlineLevel="1">
      <c r="B66" s="496" t="s">
        <v>76</v>
      </c>
      <c r="C66" s="628" t="s">
        <v>947</v>
      </c>
      <c r="D66" s="490"/>
      <c r="F66" s="358"/>
      <c r="G66" s="358"/>
      <c r="H66" s="358"/>
      <c r="I66" s="358"/>
      <c r="J66" s="358"/>
      <c r="K66" s="358"/>
      <c r="L66" s="358"/>
    </row>
    <row r="67" spans="1:44" outlineLevel="1">
      <c r="B67" s="496" t="s">
        <v>25</v>
      </c>
      <c r="C67" s="660" t="s">
        <v>948</v>
      </c>
      <c r="D67" s="490"/>
      <c r="F67" s="358"/>
      <c r="G67" s="358"/>
      <c r="H67" s="358"/>
      <c r="I67" s="358"/>
      <c r="J67" s="358"/>
      <c r="K67" s="358"/>
      <c r="L67" s="358"/>
    </row>
    <row r="68" spans="1:44" outlineLevel="1">
      <c r="B68" s="496" t="s">
        <v>33</v>
      </c>
      <c r="C68" s="625" t="s">
        <v>949</v>
      </c>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R345"/>
  <sheetViews>
    <sheetView topLeftCell="D1" zoomScale="85" zoomScaleNormal="85" workbookViewId="0">
      <selection activeCell="AA11" sqref="AA11:AA1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Dielectric heating</v>
      </c>
    </row>
    <row r="4" spans="1:44" ht="25" customHeight="1">
      <c r="E4" s="224" t="s">
        <v>358</v>
      </c>
      <c r="F4" s="359">
        <v>7.45</v>
      </c>
      <c r="G4" s="359" t="s">
        <v>328</v>
      </c>
    </row>
    <row r="5" spans="1:44" ht="15" customHeight="1">
      <c r="A5" s="360" t="s">
        <v>969</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922</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95</v>
      </c>
      <c r="D11" s="377">
        <v>95</v>
      </c>
      <c r="E11" s="378">
        <v>95</v>
      </c>
      <c r="F11" s="377">
        <v>95</v>
      </c>
      <c r="G11" s="377">
        <v>85</v>
      </c>
      <c r="H11" s="377">
        <v>100</v>
      </c>
      <c r="I11" s="377">
        <v>85</v>
      </c>
      <c r="J11" s="377">
        <v>100</v>
      </c>
      <c r="K11" s="379" t="s">
        <v>59</v>
      </c>
      <c r="L11" s="380">
        <v>2</v>
      </c>
      <c r="M11" s="370"/>
      <c r="N11" s="370"/>
      <c r="P11" s="1200" t="str">
        <f>C7</f>
        <v>Dielectric heating</v>
      </c>
      <c r="Q11" s="1188" t="s">
        <v>730</v>
      </c>
      <c r="R11" s="381" t="s">
        <v>731</v>
      </c>
      <c r="S11" s="382"/>
      <c r="T11" s="1191">
        <v>0</v>
      </c>
      <c r="U11" s="1179">
        <v>0</v>
      </c>
      <c r="V11" s="1182">
        <v>0</v>
      </c>
      <c r="W11" s="1179">
        <v>0</v>
      </c>
      <c r="X11" s="1182">
        <v>0</v>
      </c>
      <c r="Y11" s="1179">
        <v>0</v>
      </c>
      <c r="Z11" s="1182">
        <v>0</v>
      </c>
      <c r="AA11" s="1179">
        <v>0</v>
      </c>
      <c r="AB11" s="1182">
        <v>0</v>
      </c>
      <c r="AC11" s="1179">
        <v>0</v>
      </c>
      <c r="AE11" s="1185" t="str">
        <f>P11</f>
        <v>Dielectric heating</v>
      </c>
      <c r="AF11" s="1188" t="s">
        <v>730</v>
      </c>
      <c r="AG11" s="381" t="s">
        <v>731</v>
      </c>
      <c r="AH11" s="382"/>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384">
        <v>95</v>
      </c>
      <c r="D12" s="384">
        <v>95</v>
      </c>
      <c r="E12" s="384">
        <v>95</v>
      </c>
      <c r="F12" s="384">
        <v>95</v>
      </c>
      <c r="G12" s="385">
        <v>85</v>
      </c>
      <c r="H12" s="385">
        <v>100</v>
      </c>
      <c r="I12" s="385">
        <v>85</v>
      </c>
      <c r="J12" s="385">
        <v>100</v>
      </c>
      <c r="K12" s="386"/>
      <c r="L12" s="387"/>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0.1</v>
      </c>
      <c r="D13" s="391">
        <v>0.1</v>
      </c>
      <c r="E13" s="391">
        <v>0.1</v>
      </c>
      <c r="F13" s="392">
        <v>0.1</v>
      </c>
      <c r="G13" s="391">
        <v>0</v>
      </c>
      <c r="H13" s="391">
        <v>0.2</v>
      </c>
      <c r="I13" s="391">
        <v>0</v>
      </c>
      <c r="J13" s="391">
        <v>0.2</v>
      </c>
      <c r="K13" s="379"/>
      <c r="L13" s="380">
        <v>3</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86"/>
      <c r="Q14" s="1188" t="s">
        <v>736</v>
      </c>
      <c r="R14" s="395" t="s">
        <v>737</v>
      </c>
      <c r="S14" s="396" t="s">
        <v>738</v>
      </c>
      <c r="T14" s="1191">
        <v>0.05</v>
      </c>
      <c r="U14" s="1191">
        <v>0.04</v>
      </c>
      <c r="V14" s="1191">
        <v>0.05</v>
      </c>
      <c r="W14" s="1191">
        <v>0.05</v>
      </c>
      <c r="X14" s="1191">
        <v>0.05</v>
      </c>
      <c r="Y14" s="1191">
        <v>0.02</v>
      </c>
      <c r="Z14" s="1191">
        <v>0.03</v>
      </c>
      <c r="AA14" s="1191">
        <v>0.01</v>
      </c>
      <c r="AB14" s="1191">
        <v>0</v>
      </c>
      <c r="AC14" s="1179">
        <v>0</v>
      </c>
      <c r="AE14" s="1186"/>
      <c r="AF14" s="1188" t="s">
        <v>736</v>
      </c>
      <c r="AG14" s="395" t="s">
        <v>737</v>
      </c>
      <c r="AH14" s="396" t="s">
        <v>738</v>
      </c>
      <c r="AI14" s="1191">
        <v>0.05</v>
      </c>
      <c r="AJ14" s="1191">
        <v>0.04</v>
      </c>
      <c r="AK14" s="1191">
        <v>0.05</v>
      </c>
      <c r="AL14" s="1191">
        <v>0.05</v>
      </c>
      <c r="AM14" s="1191">
        <v>0.05</v>
      </c>
      <c r="AN14" s="1191">
        <v>0.02</v>
      </c>
      <c r="AO14" s="1191">
        <v>0.03</v>
      </c>
      <c r="AP14" s="1191">
        <v>0.01</v>
      </c>
      <c r="AQ14" s="1191">
        <v>0</v>
      </c>
      <c r="AR14" s="1179">
        <v>0</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30</v>
      </c>
      <c r="D16" s="397">
        <v>30</v>
      </c>
      <c r="E16" s="397">
        <v>30</v>
      </c>
      <c r="F16" s="397">
        <v>30</v>
      </c>
      <c r="G16" s="398">
        <v>20</v>
      </c>
      <c r="H16" s="398">
        <v>35</v>
      </c>
      <c r="I16" s="398">
        <v>20</v>
      </c>
      <c r="J16" s="398">
        <v>35</v>
      </c>
      <c r="K16" s="372"/>
      <c r="L16" s="373">
        <v>4</v>
      </c>
      <c r="M16" s="363"/>
      <c r="N16" s="363"/>
      <c r="P16" s="1186"/>
      <c r="Q16" s="1189"/>
      <c r="R16" s="395" t="s">
        <v>741</v>
      </c>
      <c r="S16" s="396"/>
      <c r="T16" s="1194"/>
      <c r="U16" s="1194"/>
      <c r="V16" s="1194"/>
      <c r="W16" s="1194"/>
      <c r="X16" s="1194"/>
      <c r="Y16" s="1194"/>
      <c r="Z16" s="1194"/>
      <c r="AA16" s="1194"/>
      <c r="AB16" s="1194"/>
      <c r="AC16" s="1196"/>
      <c r="AE16" s="1186"/>
      <c r="AF16" s="1189"/>
      <c r="AG16" s="395" t="s">
        <v>741</v>
      </c>
      <c r="AH16" s="629"/>
      <c r="AI16" s="1194"/>
      <c r="AJ16" s="1194"/>
      <c r="AK16" s="1194"/>
      <c r="AL16" s="1194"/>
      <c r="AM16" s="1194"/>
      <c r="AN16" s="1194"/>
      <c r="AO16" s="1194"/>
      <c r="AP16" s="1194"/>
      <c r="AQ16" s="1194"/>
      <c r="AR16" s="1196"/>
    </row>
    <row r="17" spans="1:44" ht="16" outlineLevel="1" thickBot="1">
      <c r="B17" s="376" t="s">
        <v>273</v>
      </c>
      <c r="C17" s="399">
        <v>0.1</v>
      </c>
      <c r="D17" s="399">
        <v>0.1</v>
      </c>
      <c r="E17" s="399">
        <v>0.1</v>
      </c>
      <c r="F17" s="399">
        <v>0.1</v>
      </c>
      <c r="G17" s="399">
        <v>0.05</v>
      </c>
      <c r="H17" s="399">
        <v>0.1</v>
      </c>
      <c r="I17" s="399">
        <v>0.05</v>
      </c>
      <c r="J17" s="399">
        <v>0.1</v>
      </c>
      <c r="K17" s="372"/>
      <c r="L17" s="400">
        <v>3</v>
      </c>
      <c r="M17" s="363"/>
      <c r="N17" s="363"/>
      <c r="P17" s="1186"/>
      <c r="Q17" s="1189"/>
      <c r="R17" s="395" t="s">
        <v>742</v>
      </c>
      <c r="S17" s="396"/>
      <c r="T17" s="1194"/>
      <c r="U17" s="1194"/>
      <c r="V17" s="1194"/>
      <c r="W17" s="1194"/>
      <c r="X17" s="1194"/>
      <c r="Y17" s="1194"/>
      <c r="Z17" s="1194"/>
      <c r="AA17" s="1194"/>
      <c r="AB17" s="1194"/>
      <c r="AC17" s="1196"/>
      <c r="AE17" s="1186"/>
      <c r="AF17" s="1189"/>
      <c r="AG17" s="395" t="s">
        <v>742</v>
      </c>
      <c r="AH17" s="396"/>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c r="T18" s="1195"/>
      <c r="U18" s="1195"/>
      <c r="V18" s="1195"/>
      <c r="W18" s="1195"/>
      <c r="X18" s="1195"/>
      <c r="Y18" s="1195"/>
      <c r="Z18" s="1195"/>
      <c r="AA18" s="1195"/>
      <c r="AB18" s="1195"/>
      <c r="AC18" s="1197"/>
      <c r="AE18" s="1186"/>
      <c r="AF18" s="1190"/>
      <c r="AG18" s="409" t="s">
        <v>863</v>
      </c>
      <c r="AH18" s="410"/>
      <c r="AI18" s="1195"/>
      <c r="AJ18" s="1195"/>
      <c r="AK18" s="1195"/>
      <c r="AL18" s="1195"/>
      <c r="AM18" s="1195"/>
      <c r="AN18" s="1195"/>
      <c r="AO18" s="1195"/>
      <c r="AP18" s="1195"/>
      <c r="AQ18" s="1195"/>
      <c r="AR18" s="1197"/>
    </row>
    <row r="19" spans="1:44" ht="33" outlineLevel="1" thickBot="1">
      <c r="B19" s="376" t="s">
        <v>663</v>
      </c>
      <c r="C19" s="390">
        <v>10</v>
      </c>
      <c r="D19" s="390">
        <v>10</v>
      </c>
      <c r="E19" s="390">
        <v>10</v>
      </c>
      <c r="F19" s="390">
        <v>10</v>
      </c>
      <c r="G19" s="391"/>
      <c r="H19" s="391"/>
      <c r="I19" s="391"/>
      <c r="J19" s="391"/>
      <c r="K19" s="379" t="s">
        <v>16</v>
      </c>
      <c r="L19" s="380">
        <v>5</v>
      </c>
      <c r="M19" s="363"/>
      <c r="N19" s="363"/>
      <c r="P19" s="1187"/>
      <c r="Q19" s="411" t="s">
        <v>745</v>
      </c>
      <c r="R19" s="412" t="s">
        <v>746</v>
      </c>
      <c r="S19" s="630"/>
      <c r="T19" s="416">
        <v>0</v>
      </c>
      <c r="U19" s="415">
        <v>0</v>
      </c>
      <c r="V19" s="416">
        <v>0</v>
      </c>
      <c r="W19" s="415">
        <v>0</v>
      </c>
      <c r="X19" s="416">
        <v>0</v>
      </c>
      <c r="Y19" s="415">
        <v>0</v>
      </c>
      <c r="Z19" s="416">
        <v>0</v>
      </c>
      <c r="AA19" s="415">
        <v>0</v>
      </c>
      <c r="AB19" s="416">
        <v>0</v>
      </c>
      <c r="AC19" s="417">
        <v>0</v>
      </c>
      <c r="AE19" s="1187"/>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5</v>
      </c>
      <c r="M20" s="363"/>
      <c r="N20" s="363"/>
    </row>
    <row r="21" spans="1:44" outlineLevel="1">
      <c r="B21" s="376" t="s">
        <v>666</v>
      </c>
      <c r="C21" s="390">
        <v>0</v>
      </c>
      <c r="D21" s="390">
        <v>0</v>
      </c>
      <c r="E21" s="390">
        <v>0</v>
      </c>
      <c r="F21" s="390">
        <v>0</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2.7</v>
      </c>
      <c r="D29" s="647">
        <v>2.6190000000000002</v>
      </c>
      <c r="E29" s="647">
        <v>2.5379999999999998</v>
      </c>
      <c r="F29" s="648">
        <v>2.4300000000000002</v>
      </c>
      <c r="G29" s="425"/>
      <c r="H29" s="425"/>
      <c r="I29" s="425"/>
      <c r="J29" s="425"/>
      <c r="K29" s="426" t="s">
        <v>20</v>
      </c>
      <c r="L29" s="440" t="s">
        <v>923</v>
      </c>
      <c r="M29" s="420"/>
      <c r="N29" s="420"/>
    </row>
    <row r="30" spans="1:44" outlineLevel="1">
      <c r="B30" s="441" t="s">
        <v>839</v>
      </c>
      <c r="C30" s="442">
        <v>85</v>
      </c>
      <c r="D30" s="442">
        <v>85</v>
      </c>
      <c r="E30" s="442">
        <v>85</v>
      </c>
      <c r="F30" s="442">
        <v>85</v>
      </c>
      <c r="G30" s="425"/>
      <c r="H30" s="425"/>
      <c r="I30" s="425"/>
      <c r="J30" s="425"/>
      <c r="K30" s="444"/>
      <c r="L30" s="373">
        <v>9</v>
      </c>
      <c r="M30" s="71"/>
      <c r="N30" s="420"/>
    </row>
    <row r="31" spans="1:44" outlineLevel="1">
      <c r="B31" s="441" t="s">
        <v>840</v>
      </c>
      <c r="C31" s="442">
        <v>15</v>
      </c>
      <c r="D31" s="442">
        <v>15</v>
      </c>
      <c r="E31" s="442">
        <v>15</v>
      </c>
      <c r="F31" s="442">
        <v>15</v>
      </c>
      <c r="G31" s="425"/>
      <c r="H31" s="425"/>
      <c r="I31" s="425"/>
      <c r="J31" s="425"/>
      <c r="K31" s="444"/>
      <c r="L31" s="373">
        <v>9</v>
      </c>
      <c r="M31" s="420"/>
      <c r="N31" s="420"/>
    </row>
    <row r="32" spans="1:44" outlineLevel="1">
      <c r="B32" s="383" t="s">
        <v>841</v>
      </c>
      <c r="C32" s="602">
        <v>0</v>
      </c>
      <c r="D32" s="603">
        <v>0</v>
      </c>
      <c r="E32" s="603">
        <v>0</v>
      </c>
      <c r="F32" s="604">
        <v>0</v>
      </c>
      <c r="G32" s="425"/>
      <c r="H32" s="425"/>
      <c r="I32" s="425"/>
      <c r="J32" s="425"/>
      <c r="K32" s="448"/>
      <c r="L32" s="373"/>
      <c r="M32" s="420"/>
      <c r="N32" s="420"/>
    </row>
    <row r="33" spans="2:30" ht="37" customHeight="1" outlineLevel="1" thickBot="1">
      <c r="B33" s="383" t="s">
        <v>679</v>
      </c>
      <c r="C33" s="449">
        <f>C34+C35</f>
        <v>45.823</v>
      </c>
      <c r="D33" s="449">
        <f t="shared" ref="D33:F33" si="0">D34+D35</f>
        <v>45.825000000000003</v>
      </c>
      <c r="E33" s="449">
        <f t="shared" si="0"/>
        <v>45.826000000000001</v>
      </c>
      <c r="F33" s="449">
        <f t="shared" si="0"/>
        <v>45.826000000000001</v>
      </c>
      <c r="G33" s="425"/>
      <c r="H33" s="425"/>
      <c r="I33" s="425"/>
      <c r="J33" s="425"/>
      <c r="K33" s="448"/>
      <c r="L33" s="373"/>
      <c r="M33" s="450"/>
      <c r="N33" s="361"/>
      <c r="P33" s="1157">
        <f>C33</f>
        <v>45.823</v>
      </c>
      <c r="Q33" s="1135"/>
      <c r="R33" s="1135"/>
      <c r="S33" s="1135"/>
      <c r="T33" s="1135"/>
      <c r="U33" s="1158"/>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76</v>
      </c>
      <c r="L34" s="380"/>
      <c r="M34" s="450"/>
      <c r="N34" s="361"/>
      <c r="P34" s="1159">
        <f>C34</f>
        <v>7.2999999999999995E-2</v>
      </c>
      <c r="Q34" s="1160"/>
      <c r="R34" s="1160"/>
      <c r="S34" s="1160"/>
      <c r="T34" s="1160"/>
      <c r="U34" s="1161"/>
    </row>
    <row r="35" spans="2:30" outlineLevel="1">
      <c r="B35" s="451" t="s">
        <v>759</v>
      </c>
      <c r="C35" s="454">
        <v>45.75</v>
      </c>
      <c r="D35" s="454">
        <v>45.75</v>
      </c>
      <c r="E35" s="454">
        <v>45.75</v>
      </c>
      <c r="F35" s="454">
        <v>45.75</v>
      </c>
      <c r="G35" s="453"/>
      <c r="H35" s="453"/>
      <c r="I35" s="453"/>
      <c r="J35" s="453"/>
      <c r="K35" s="455" t="s">
        <v>25</v>
      </c>
      <c r="L35" s="380">
        <v>6</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33</v>
      </c>
      <c r="L39" s="464"/>
      <c r="M39" s="363"/>
      <c r="N39" s="363"/>
      <c r="O39" s="465">
        <f>C12</f>
        <v>95</v>
      </c>
      <c r="P39" s="466">
        <f>C8</f>
        <v>2020</v>
      </c>
      <c r="Q39" s="58">
        <f>P39</f>
        <v>2020</v>
      </c>
      <c r="R39" s="466">
        <f>O39/100</f>
        <v>0.95</v>
      </c>
      <c r="S39" s="58"/>
      <c r="T39" s="466">
        <f>C16</f>
        <v>30</v>
      </c>
      <c r="U39" s="467">
        <f>C46</f>
        <v>20115.000000000004</v>
      </c>
      <c r="V39" s="467">
        <f>C48</f>
        <v>0</v>
      </c>
      <c r="W39" s="467">
        <f>C49</f>
        <v>94.828152777777774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924</v>
      </c>
      <c r="L40" s="464"/>
      <c r="M40" s="363"/>
      <c r="N40" s="363"/>
      <c r="O40" s="465">
        <f>D12</f>
        <v>95</v>
      </c>
      <c r="P40" s="466">
        <f>D8</f>
        <v>2030</v>
      </c>
      <c r="Q40" s="58"/>
      <c r="R40" s="466">
        <f>O40/100</f>
        <v>0.95</v>
      </c>
      <c r="S40" s="58"/>
      <c r="T40" s="466">
        <f>D16</f>
        <v>30</v>
      </c>
      <c r="U40" s="467">
        <f>D46</f>
        <v>19511.550000000003</v>
      </c>
      <c r="V40" s="467">
        <f>D48</f>
        <v>0</v>
      </c>
      <c r="W40" s="467">
        <f>D49</f>
        <v>94.832291666666663</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95</v>
      </c>
      <c r="P41" s="466">
        <f>E8</f>
        <v>2040</v>
      </c>
      <c r="Q41" s="58"/>
      <c r="R41" s="466">
        <f>O41/100</f>
        <v>0.95</v>
      </c>
      <c r="S41" s="58"/>
      <c r="T41" s="466">
        <f>E16</f>
        <v>30</v>
      </c>
      <c r="U41" s="467">
        <f>E46</f>
        <v>18908.099999999999</v>
      </c>
      <c r="V41" s="467">
        <f>E48</f>
        <v>0</v>
      </c>
      <c r="W41" s="467">
        <f>E49</f>
        <v>94.834361111111107</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
        <v>95</v>
      </c>
      <c r="P42" s="466">
        <f>F8</f>
        <v>2050</v>
      </c>
      <c r="Q42" s="58"/>
      <c r="R42" s="466">
        <f>O42/100</f>
        <v>0.95</v>
      </c>
      <c r="S42" s="58"/>
      <c r="T42" s="466">
        <f>F16</f>
        <v>30</v>
      </c>
      <c r="U42" s="467">
        <f>F46</f>
        <v>18103.5</v>
      </c>
      <c r="V42" s="467">
        <f>F48</f>
        <v>0</v>
      </c>
      <c r="W42" s="467">
        <f>F49</f>
        <v>94.834361111111107</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20115.000000000004</v>
      </c>
      <c r="D46" s="483">
        <f t="shared" ref="D46:F46" si="1">D29*$F$4*1000</f>
        <v>19511.550000000003</v>
      </c>
      <c r="E46" s="483">
        <f t="shared" si="1"/>
        <v>18908.099999999999</v>
      </c>
      <c r="F46" s="483">
        <f t="shared" si="1"/>
        <v>18103.5</v>
      </c>
      <c r="G46" s="483"/>
      <c r="H46" s="484"/>
      <c r="I46" s="420" t="s">
        <v>332</v>
      </c>
      <c r="J46" s="420"/>
      <c r="K46" s="484"/>
      <c r="L46" s="484"/>
      <c r="N46" s="420"/>
    </row>
    <row r="47" spans="2:30" outlineLevel="1">
      <c r="B47" s="485" t="s">
        <v>770</v>
      </c>
      <c r="C47" s="486">
        <f>C46*$I47</f>
        <v>10057500.000000002</v>
      </c>
      <c r="D47" s="486">
        <f>D46*$I47</f>
        <v>9755775.0000000019</v>
      </c>
      <c r="E47" s="486">
        <f>E46*$I47</f>
        <v>9454050</v>
      </c>
      <c r="F47" s="486">
        <f>F46*$I47</f>
        <v>9051750</v>
      </c>
      <c r="G47" s="486"/>
      <c r="H47" s="484"/>
      <c r="I47" s="71">
        <v>500</v>
      </c>
      <c r="J47" s="420" t="s">
        <v>330</v>
      </c>
      <c r="K47" s="484"/>
      <c r="L47" s="484"/>
      <c r="N47" s="420"/>
    </row>
    <row r="48" spans="2:30" ht="48" outlineLevel="1">
      <c r="B48" s="461" t="s">
        <v>845</v>
      </c>
      <c r="C48" s="359">
        <f>C32*$F$4/1000</f>
        <v>0</v>
      </c>
      <c r="D48" s="359">
        <f t="shared" ref="D48:F48" si="2">D32*$F$4/1000</f>
        <v>0</v>
      </c>
      <c r="E48" s="359">
        <f t="shared" si="2"/>
        <v>0</v>
      </c>
      <c r="F48" s="359">
        <f t="shared" si="2"/>
        <v>0</v>
      </c>
      <c r="G48" s="359"/>
      <c r="I48" s="420" t="s">
        <v>333</v>
      </c>
      <c r="J48" s="420"/>
      <c r="N48" s="420"/>
    </row>
    <row r="49" spans="2:14" ht="48" outlineLevel="1">
      <c r="B49" s="461" t="s">
        <v>846</v>
      </c>
      <c r="C49" s="487">
        <f>C33*$F$4/3.6</f>
        <v>94.828152777777774</v>
      </c>
      <c r="D49" s="487">
        <f t="shared" ref="D49:F49" si="3">D33*$F$4/3.6</f>
        <v>94.832291666666663</v>
      </c>
      <c r="E49" s="487">
        <f t="shared" si="3"/>
        <v>94.834361111111107</v>
      </c>
      <c r="F49" s="487">
        <f t="shared" si="3"/>
        <v>94.834361111111107</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925</v>
      </c>
      <c r="F56" s="358"/>
      <c r="G56" s="358"/>
      <c r="H56" s="358"/>
      <c r="I56" s="358"/>
      <c r="J56" s="358"/>
      <c r="K56" s="358"/>
      <c r="L56" s="358"/>
    </row>
    <row r="57" spans="2:14" outlineLevel="1">
      <c r="B57" s="358">
        <v>2</v>
      </c>
      <c r="C57" s="490" t="s">
        <v>926</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927</v>
      </c>
      <c r="F59" s="358"/>
      <c r="G59" s="358"/>
      <c r="H59" s="358"/>
      <c r="I59" s="358"/>
      <c r="J59" s="358"/>
      <c r="K59" s="358"/>
      <c r="L59" s="358"/>
    </row>
    <row r="60" spans="2:14" outlineLevel="1">
      <c r="B60" s="358">
        <v>5</v>
      </c>
      <c r="C60" s="490" t="s">
        <v>928</v>
      </c>
      <c r="F60" s="358"/>
      <c r="G60" s="358"/>
      <c r="H60" s="358"/>
      <c r="I60" s="358"/>
      <c r="J60" s="358"/>
      <c r="K60" s="358"/>
      <c r="L60" s="358"/>
    </row>
    <row r="61" spans="2:14" outlineLevel="1">
      <c r="B61" s="358">
        <v>6</v>
      </c>
      <c r="C61" s="490" t="s">
        <v>929</v>
      </c>
      <c r="F61" s="358"/>
      <c r="G61" s="358"/>
      <c r="H61" s="358"/>
      <c r="I61" s="358"/>
      <c r="J61" s="358"/>
      <c r="K61" s="358"/>
      <c r="L61" s="358"/>
    </row>
    <row r="62" spans="2:14" outlineLevel="1">
      <c r="B62" s="358">
        <v>7</v>
      </c>
      <c r="C62" s="490" t="s">
        <v>930</v>
      </c>
      <c r="F62" s="358"/>
      <c r="G62" s="358"/>
      <c r="H62" s="358"/>
      <c r="I62" s="358"/>
      <c r="J62" s="358"/>
      <c r="K62" s="358"/>
      <c r="L62" s="358"/>
    </row>
    <row r="63" spans="2:14" outlineLevel="1">
      <c r="B63" s="358">
        <v>8</v>
      </c>
      <c r="C63" s="625" t="s">
        <v>931</v>
      </c>
      <c r="F63" s="358"/>
      <c r="G63" s="358"/>
      <c r="H63" s="358"/>
      <c r="I63" s="358"/>
      <c r="J63" s="358"/>
      <c r="K63" s="358"/>
      <c r="L63" s="358"/>
    </row>
    <row r="64" spans="2:14" outlineLevel="1">
      <c r="B64" s="358">
        <v>9</v>
      </c>
      <c r="C64" s="490" t="s">
        <v>932</v>
      </c>
      <c r="F64" s="358"/>
      <c r="G64" s="358"/>
      <c r="H64" s="358"/>
      <c r="I64" s="358"/>
      <c r="J64" s="358"/>
      <c r="K64" s="358"/>
      <c r="L64" s="358"/>
    </row>
    <row r="65" spans="1:44" outlineLevel="1">
      <c r="B65" s="488" t="s">
        <v>783</v>
      </c>
      <c r="C65" s="489"/>
      <c r="F65" s="358"/>
      <c r="G65" s="358"/>
      <c r="H65" s="358"/>
      <c r="I65" s="358"/>
      <c r="J65" s="358"/>
      <c r="K65" s="358"/>
      <c r="L65" s="358"/>
    </row>
    <row r="66" spans="1:44" outlineLevel="1">
      <c r="B66" s="496" t="s">
        <v>6</v>
      </c>
      <c r="C66" s="490" t="s">
        <v>933</v>
      </c>
      <c r="D66" s="489"/>
      <c r="F66" s="358"/>
      <c r="G66" s="358"/>
      <c r="H66" s="358"/>
      <c r="I66" s="358"/>
      <c r="J66" s="358"/>
      <c r="K66" s="358"/>
      <c r="L66" s="358"/>
    </row>
    <row r="67" spans="1:44" outlineLevel="1">
      <c r="B67" s="496" t="s">
        <v>59</v>
      </c>
      <c r="C67" s="490" t="s">
        <v>934</v>
      </c>
      <c r="D67" s="489"/>
      <c r="F67" s="358"/>
      <c r="G67" s="358"/>
      <c r="H67" s="358"/>
      <c r="I67" s="358"/>
      <c r="J67" s="358"/>
      <c r="K67" s="358"/>
      <c r="L67" s="358"/>
    </row>
    <row r="68" spans="1:44" outlineLevel="1">
      <c r="B68" s="496" t="s">
        <v>16</v>
      </c>
      <c r="C68" s="490" t="s">
        <v>935</v>
      </c>
      <c r="D68" s="489"/>
      <c r="F68" s="358"/>
      <c r="G68" s="358"/>
      <c r="H68" s="358"/>
      <c r="I68" s="358"/>
      <c r="J68" s="358"/>
      <c r="K68" s="358"/>
      <c r="L68" s="358"/>
    </row>
    <row r="69" spans="1:44" outlineLevel="1">
      <c r="B69" s="496" t="s">
        <v>20</v>
      </c>
      <c r="C69" s="490" t="s">
        <v>936</v>
      </c>
      <c r="D69" s="489"/>
      <c r="F69" s="358"/>
      <c r="G69" s="358"/>
      <c r="H69" s="358"/>
      <c r="I69" s="358"/>
      <c r="J69" s="358"/>
      <c r="K69" s="358"/>
      <c r="L69" s="358"/>
    </row>
    <row r="70" spans="1:44" outlineLevel="1">
      <c r="B70" s="496" t="s">
        <v>76</v>
      </c>
      <c r="C70" s="628" t="s">
        <v>788</v>
      </c>
      <c r="D70" s="489"/>
      <c r="G70" s="358"/>
      <c r="H70" s="358"/>
      <c r="I70" s="358"/>
      <c r="J70" s="358"/>
      <c r="K70" s="358"/>
      <c r="L70" s="358"/>
    </row>
    <row r="71" spans="1:44" outlineLevel="1">
      <c r="B71" s="496" t="s">
        <v>25</v>
      </c>
      <c r="C71" s="490" t="s">
        <v>937</v>
      </c>
      <c r="D71" s="489"/>
      <c r="E71" s="490"/>
      <c r="F71" s="490"/>
    </row>
    <row r="72" spans="1:44" outlineLevel="1">
      <c r="B72" s="496" t="s">
        <v>33</v>
      </c>
      <c r="C72" s="490" t="s">
        <v>883</v>
      </c>
      <c r="D72" s="489"/>
    </row>
    <row r="73" spans="1:44" outlineLevel="1">
      <c r="B73" s="496" t="s">
        <v>51</v>
      </c>
      <c r="C73" s="490" t="s">
        <v>938</v>
      </c>
      <c r="D73" s="489"/>
    </row>
    <row r="74" spans="1:44" outlineLevel="1">
      <c r="B74" s="496" t="s">
        <v>52</v>
      </c>
      <c r="C74" s="490" t="s">
        <v>939</v>
      </c>
      <c r="D74" s="489"/>
    </row>
    <row r="75" spans="1:44">
      <c r="B75" s="496"/>
      <c r="C75" s="498"/>
      <c r="D75" s="489"/>
    </row>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R345"/>
  <sheetViews>
    <sheetView zoomScale="70" zoomScaleNormal="70" workbookViewId="0">
      <selection activeCell="C33" sqref="C33"/>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Infrared heating</v>
      </c>
    </row>
    <row r="4" spans="1:44" ht="25" customHeight="1">
      <c r="E4" s="224" t="s">
        <v>358</v>
      </c>
      <c r="F4" s="359">
        <v>7.45</v>
      </c>
      <c r="G4" s="359" t="s">
        <v>328</v>
      </c>
    </row>
    <row r="5" spans="1:44" ht="15" customHeight="1">
      <c r="A5" s="360" t="s">
        <v>968</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950</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96</v>
      </c>
      <c r="D11" s="377">
        <v>96</v>
      </c>
      <c r="E11" s="378">
        <v>96</v>
      </c>
      <c r="F11" s="377">
        <v>96</v>
      </c>
      <c r="G11" s="377">
        <v>90</v>
      </c>
      <c r="H11" s="377">
        <v>100</v>
      </c>
      <c r="I11" s="377">
        <v>90</v>
      </c>
      <c r="J11" s="377">
        <v>100</v>
      </c>
      <c r="K11" s="379" t="s">
        <v>838</v>
      </c>
      <c r="L11" s="380">
        <v>2</v>
      </c>
      <c r="M11" s="370"/>
      <c r="N11" s="370"/>
      <c r="P11" s="1200" t="str">
        <f>C7</f>
        <v>Infrared heating</v>
      </c>
      <c r="Q11" s="1188" t="s">
        <v>730</v>
      </c>
      <c r="R11" s="381" t="s">
        <v>731</v>
      </c>
      <c r="S11" s="382"/>
      <c r="T11" s="1191">
        <v>0</v>
      </c>
      <c r="U11" s="1179">
        <v>0</v>
      </c>
      <c r="V11" s="1182">
        <v>0</v>
      </c>
      <c r="W11" s="1179">
        <v>0</v>
      </c>
      <c r="X11" s="1182">
        <v>0</v>
      </c>
      <c r="Y11" s="1179">
        <v>0</v>
      </c>
      <c r="Z11" s="1182">
        <v>0</v>
      </c>
      <c r="AA11" s="1179">
        <v>0</v>
      </c>
      <c r="AB11" s="1182">
        <v>0</v>
      </c>
      <c r="AC11" s="1179">
        <v>0</v>
      </c>
      <c r="AE11" s="1185" t="str">
        <f>P11</f>
        <v>Infrared heating</v>
      </c>
      <c r="AF11" s="1188" t="s">
        <v>730</v>
      </c>
      <c r="AG11" s="381" t="s">
        <v>731</v>
      </c>
      <c r="AH11" s="382"/>
      <c r="AI11" s="1191">
        <v>0</v>
      </c>
      <c r="AJ11" s="1179">
        <v>0</v>
      </c>
      <c r="AK11" s="1182">
        <v>0</v>
      </c>
      <c r="AL11" s="1179">
        <v>0</v>
      </c>
      <c r="AM11" s="1182">
        <v>0</v>
      </c>
      <c r="AN11" s="1179">
        <v>0</v>
      </c>
      <c r="AO11" s="1182">
        <v>0</v>
      </c>
      <c r="AP11" s="1179">
        <v>0</v>
      </c>
      <c r="AQ11" s="1182">
        <v>0</v>
      </c>
      <c r="AR11" s="1179">
        <v>0</v>
      </c>
    </row>
    <row r="12" spans="1:44" ht="32.5" customHeight="1" outlineLevel="1">
      <c r="B12" s="383" t="s">
        <v>732</v>
      </c>
      <c r="C12" s="384">
        <v>96</v>
      </c>
      <c r="D12" s="384">
        <v>96</v>
      </c>
      <c r="E12" s="384">
        <v>96</v>
      </c>
      <c r="F12" s="384">
        <v>96</v>
      </c>
      <c r="G12" s="385">
        <v>90</v>
      </c>
      <c r="H12" s="385">
        <v>100</v>
      </c>
      <c r="I12" s="385">
        <v>90</v>
      </c>
      <c r="J12" s="385">
        <v>100</v>
      </c>
      <c r="K12" s="386"/>
      <c r="L12" s="387"/>
      <c r="M12" s="370"/>
      <c r="N12" s="370"/>
      <c r="O12" s="71"/>
      <c r="P12" s="1186"/>
      <c r="Q12" s="1189"/>
      <c r="R12" s="388" t="s">
        <v>733</v>
      </c>
      <c r="S12" s="389"/>
      <c r="T12" s="1192"/>
      <c r="U12" s="1180"/>
      <c r="V12" s="1183"/>
      <c r="W12" s="1180"/>
      <c r="X12" s="1183"/>
      <c r="Y12" s="1180"/>
      <c r="Z12" s="1183"/>
      <c r="AA12" s="1180"/>
      <c r="AB12" s="1183"/>
      <c r="AC12" s="1180"/>
      <c r="AE12" s="1186"/>
      <c r="AF12" s="1189"/>
      <c r="AG12" s="388" t="s">
        <v>733</v>
      </c>
      <c r="AH12" s="389"/>
      <c r="AI12" s="1192"/>
      <c r="AJ12" s="1180"/>
      <c r="AK12" s="1183"/>
      <c r="AL12" s="1180"/>
      <c r="AM12" s="1183"/>
      <c r="AN12" s="1180"/>
      <c r="AO12" s="1183"/>
      <c r="AP12" s="1180"/>
      <c r="AQ12" s="1183"/>
      <c r="AR12" s="1180"/>
    </row>
    <row r="13" spans="1:44" ht="16" outlineLevel="1" thickBot="1">
      <c r="B13" s="376" t="s">
        <v>734</v>
      </c>
      <c r="C13" s="390">
        <v>0.1</v>
      </c>
      <c r="D13" s="391">
        <v>0.1</v>
      </c>
      <c r="E13" s="391">
        <v>0.1</v>
      </c>
      <c r="F13" s="392">
        <v>0.1</v>
      </c>
      <c r="G13" s="391">
        <v>0</v>
      </c>
      <c r="H13" s="391">
        <v>0.2</v>
      </c>
      <c r="I13" s="391">
        <v>0</v>
      </c>
      <c r="J13" s="391">
        <v>0.2</v>
      </c>
      <c r="K13" s="379"/>
      <c r="L13" s="380">
        <v>3</v>
      </c>
      <c r="M13" s="370"/>
      <c r="N13" s="370"/>
      <c r="O13" s="71"/>
      <c r="P13" s="1186"/>
      <c r="Q13" s="1190"/>
      <c r="R13" s="393" t="s">
        <v>735</v>
      </c>
      <c r="S13" s="394"/>
      <c r="T13" s="1193"/>
      <c r="U13" s="1181"/>
      <c r="V13" s="1184"/>
      <c r="W13" s="1181"/>
      <c r="X13" s="1184"/>
      <c r="Y13" s="1181"/>
      <c r="Z13" s="1184"/>
      <c r="AA13" s="1181"/>
      <c r="AB13" s="1184"/>
      <c r="AC13" s="1181"/>
      <c r="AE13" s="1186"/>
      <c r="AF13" s="1190"/>
      <c r="AG13" s="393" t="s">
        <v>735</v>
      </c>
      <c r="AH13" s="394"/>
      <c r="AI13" s="1193"/>
      <c r="AJ13" s="1181"/>
      <c r="AK13" s="1184"/>
      <c r="AL13" s="1181"/>
      <c r="AM13" s="1184"/>
      <c r="AN13" s="1181"/>
      <c r="AO13" s="1184"/>
      <c r="AP13" s="1181"/>
      <c r="AQ13" s="1184"/>
      <c r="AR13" s="1181"/>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86"/>
      <c r="Q14" s="1188" t="s">
        <v>736</v>
      </c>
      <c r="R14" s="395" t="s">
        <v>737</v>
      </c>
      <c r="S14" s="396" t="s">
        <v>738</v>
      </c>
      <c r="T14" s="1191">
        <v>0.05</v>
      </c>
      <c r="U14" s="1191">
        <v>0.04</v>
      </c>
      <c r="V14" s="1191">
        <v>0.05</v>
      </c>
      <c r="W14" s="1191">
        <v>0.05</v>
      </c>
      <c r="X14" s="1191">
        <v>0.03</v>
      </c>
      <c r="Y14" s="1191">
        <v>0.02</v>
      </c>
      <c r="Z14" s="1191">
        <v>0.03</v>
      </c>
      <c r="AA14" s="1191">
        <v>0.01</v>
      </c>
      <c r="AB14" s="1191">
        <v>0</v>
      </c>
      <c r="AC14" s="1179">
        <v>0.05</v>
      </c>
      <c r="AE14" s="1186"/>
      <c r="AF14" s="1188" t="s">
        <v>736</v>
      </c>
      <c r="AG14" s="395" t="s">
        <v>737</v>
      </c>
      <c r="AH14" s="396" t="s">
        <v>738</v>
      </c>
      <c r="AI14" s="1191">
        <v>0.05</v>
      </c>
      <c r="AJ14" s="1191">
        <v>0.04</v>
      </c>
      <c r="AK14" s="1191">
        <v>0.05</v>
      </c>
      <c r="AL14" s="1191">
        <v>0.05</v>
      </c>
      <c r="AM14" s="1191">
        <v>0.03</v>
      </c>
      <c r="AN14" s="1191">
        <v>0.02</v>
      </c>
      <c r="AO14" s="1191">
        <v>0.03</v>
      </c>
      <c r="AP14" s="1191">
        <v>0.01</v>
      </c>
      <c r="AQ14" s="1191">
        <v>0</v>
      </c>
      <c r="AR14" s="1179">
        <v>0.05</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
        <v>738</v>
      </c>
      <c r="AI15" s="1194"/>
      <c r="AJ15" s="1194"/>
      <c r="AK15" s="1194"/>
      <c r="AL15" s="1194"/>
      <c r="AM15" s="1194"/>
      <c r="AN15" s="1194"/>
      <c r="AO15" s="1194"/>
      <c r="AP15" s="1194"/>
      <c r="AQ15" s="1194"/>
      <c r="AR15" s="1196"/>
    </row>
    <row r="16" spans="1:44" outlineLevel="1">
      <c r="B16" s="383" t="s">
        <v>11</v>
      </c>
      <c r="C16" s="397">
        <v>30</v>
      </c>
      <c r="D16" s="397">
        <v>30</v>
      </c>
      <c r="E16" s="397">
        <v>30</v>
      </c>
      <c r="F16" s="397">
        <v>30</v>
      </c>
      <c r="G16" s="398">
        <v>20</v>
      </c>
      <c r="H16" s="398">
        <v>35</v>
      </c>
      <c r="I16" s="398">
        <v>20</v>
      </c>
      <c r="J16" s="398">
        <v>35</v>
      </c>
      <c r="K16" s="372"/>
      <c r="L16" s="373">
        <v>4</v>
      </c>
      <c r="M16" s="363"/>
      <c r="N16" s="363"/>
      <c r="P16" s="1186"/>
      <c r="Q16" s="1189"/>
      <c r="R16" s="395" t="s">
        <v>741</v>
      </c>
      <c r="S16" s="396"/>
      <c r="T16" s="1194"/>
      <c r="U16" s="1194"/>
      <c r="V16" s="1194"/>
      <c r="W16" s="1194"/>
      <c r="X16" s="1194"/>
      <c r="Y16" s="1194"/>
      <c r="Z16" s="1194"/>
      <c r="AA16" s="1194"/>
      <c r="AB16" s="1194"/>
      <c r="AC16" s="1196"/>
      <c r="AE16" s="1186"/>
      <c r="AF16" s="1189"/>
      <c r="AG16" s="395" t="s">
        <v>741</v>
      </c>
      <c r="AH16" s="629"/>
      <c r="AI16" s="1194"/>
      <c r="AJ16" s="1194"/>
      <c r="AK16" s="1194"/>
      <c r="AL16" s="1194"/>
      <c r="AM16" s="1194"/>
      <c r="AN16" s="1194"/>
      <c r="AO16" s="1194"/>
      <c r="AP16" s="1194"/>
      <c r="AQ16" s="1194"/>
      <c r="AR16" s="1196"/>
    </row>
    <row r="17" spans="1:44" ht="16" outlineLevel="1" thickBot="1">
      <c r="B17" s="376" t="s">
        <v>273</v>
      </c>
      <c r="C17" s="399">
        <v>0.1</v>
      </c>
      <c r="D17" s="399">
        <v>0.1</v>
      </c>
      <c r="E17" s="399">
        <v>0.1</v>
      </c>
      <c r="F17" s="399">
        <v>0.1</v>
      </c>
      <c r="G17" s="399">
        <v>0.05</v>
      </c>
      <c r="H17" s="399">
        <v>0.1</v>
      </c>
      <c r="I17" s="399">
        <v>0.05</v>
      </c>
      <c r="J17" s="399">
        <v>0.1</v>
      </c>
      <c r="K17" s="372"/>
      <c r="L17" s="400">
        <v>3</v>
      </c>
      <c r="M17" s="363"/>
      <c r="N17" s="363"/>
      <c r="P17" s="1186"/>
      <c r="Q17" s="1189"/>
      <c r="R17" s="395" t="s">
        <v>742</v>
      </c>
      <c r="S17" s="396"/>
      <c r="T17" s="1194"/>
      <c r="U17" s="1194"/>
      <c r="V17" s="1194"/>
      <c r="W17" s="1194"/>
      <c r="X17" s="1194"/>
      <c r="Y17" s="1194"/>
      <c r="Z17" s="1194"/>
      <c r="AA17" s="1194"/>
      <c r="AB17" s="1194"/>
      <c r="AC17" s="1196"/>
      <c r="AE17" s="1186"/>
      <c r="AF17" s="1189"/>
      <c r="AG17" s="395" t="s">
        <v>742</v>
      </c>
      <c r="AH17" s="396"/>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c r="T18" s="1195"/>
      <c r="U18" s="1195"/>
      <c r="V18" s="1195"/>
      <c r="W18" s="1195"/>
      <c r="X18" s="1195"/>
      <c r="Y18" s="1195"/>
      <c r="Z18" s="1195"/>
      <c r="AA18" s="1195"/>
      <c r="AB18" s="1195"/>
      <c r="AC18" s="1197"/>
      <c r="AE18" s="1186"/>
      <c r="AF18" s="1190"/>
      <c r="AG18" s="409" t="s">
        <v>863</v>
      </c>
      <c r="AH18" s="410"/>
      <c r="AI18" s="1195"/>
      <c r="AJ18" s="1195"/>
      <c r="AK18" s="1195"/>
      <c r="AL18" s="1195"/>
      <c r="AM18" s="1195"/>
      <c r="AN18" s="1195"/>
      <c r="AO18" s="1195"/>
      <c r="AP18" s="1195"/>
      <c r="AQ18" s="1195"/>
      <c r="AR18" s="1197"/>
    </row>
    <row r="19" spans="1:44" ht="33" outlineLevel="1" thickBot="1">
      <c r="B19" s="376" t="s">
        <v>663</v>
      </c>
      <c r="C19" s="390">
        <v>10</v>
      </c>
      <c r="D19" s="390">
        <v>10</v>
      </c>
      <c r="E19" s="390">
        <v>10</v>
      </c>
      <c r="F19" s="390">
        <v>10</v>
      </c>
      <c r="G19" s="391"/>
      <c r="H19" s="391"/>
      <c r="I19" s="391"/>
      <c r="J19" s="391"/>
      <c r="K19" s="379" t="s">
        <v>20</v>
      </c>
      <c r="L19" s="380"/>
      <c r="M19" s="363"/>
      <c r="N19" s="363"/>
      <c r="P19" s="1187"/>
      <c r="Q19" s="411" t="s">
        <v>745</v>
      </c>
      <c r="R19" s="412" t="s">
        <v>746</v>
      </c>
      <c r="S19" s="630"/>
      <c r="T19" s="416">
        <v>0</v>
      </c>
      <c r="U19" s="415">
        <v>0</v>
      </c>
      <c r="V19" s="416">
        <v>0</v>
      </c>
      <c r="W19" s="415">
        <v>0</v>
      </c>
      <c r="X19" s="416">
        <v>0</v>
      </c>
      <c r="Y19" s="415">
        <v>0</v>
      </c>
      <c r="Z19" s="416">
        <v>0</v>
      </c>
      <c r="AA19" s="415">
        <v>0</v>
      </c>
      <c r="AB19" s="416">
        <v>0</v>
      </c>
      <c r="AC19" s="417">
        <v>0</v>
      </c>
      <c r="AE19" s="1187"/>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2</v>
      </c>
      <c r="M20" s="363"/>
      <c r="N20" s="363"/>
    </row>
    <row r="21" spans="1:44" outlineLevel="1">
      <c r="B21" s="376" t="s">
        <v>666</v>
      </c>
      <c r="C21" s="390">
        <v>0</v>
      </c>
      <c r="D21" s="390">
        <v>0</v>
      </c>
      <c r="E21" s="390">
        <v>0</v>
      </c>
      <c r="F21" s="390">
        <v>0</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51">
        <v>0.35</v>
      </c>
      <c r="D29" s="647">
        <v>0.34</v>
      </c>
      <c r="E29" s="647">
        <v>0.33</v>
      </c>
      <c r="F29" s="648">
        <v>0.315</v>
      </c>
      <c r="G29" s="425"/>
      <c r="H29" s="425"/>
      <c r="I29" s="425"/>
      <c r="J29" s="425"/>
      <c r="K29" s="426" t="s">
        <v>76</v>
      </c>
      <c r="L29" s="440">
        <v>1</v>
      </c>
      <c r="M29" s="420"/>
      <c r="N29" s="420"/>
    </row>
    <row r="30" spans="1:44" outlineLevel="1">
      <c r="B30" s="441" t="s">
        <v>839</v>
      </c>
      <c r="C30" s="442">
        <v>85</v>
      </c>
      <c r="D30" s="442">
        <v>85</v>
      </c>
      <c r="E30" s="442">
        <v>85</v>
      </c>
      <c r="F30" s="442">
        <v>85</v>
      </c>
      <c r="G30" s="425"/>
      <c r="H30" s="425"/>
      <c r="I30" s="425"/>
      <c r="J30" s="425"/>
      <c r="K30" s="444" t="s">
        <v>76</v>
      </c>
      <c r="L30" s="373">
        <v>2</v>
      </c>
      <c r="M30" s="71"/>
      <c r="N30" s="420"/>
    </row>
    <row r="31" spans="1:44" outlineLevel="1">
      <c r="B31" s="441" t="s">
        <v>840</v>
      </c>
      <c r="C31" s="442">
        <v>15</v>
      </c>
      <c r="D31" s="442">
        <v>15</v>
      </c>
      <c r="E31" s="442">
        <v>15</v>
      </c>
      <c r="F31" s="442">
        <v>15</v>
      </c>
      <c r="G31" s="425"/>
      <c r="H31" s="425"/>
      <c r="I31" s="425"/>
      <c r="J31" s="425"/>
      <c r="K31" s="444" t="s">
        <v>76</v>
      </c>
      <c r="L31" s="373">
        <v>2</v>
      </c>
      <c r="M31" s="420"/>
      <c r="N31" s="420"/>
    </row>
    <row r="32" spans="1:44" outlineLevel="1">
      <c r="B32" s="383" t="s">
        <v>841</v>
      </c>
      <c r="C32" s="602">
        <v>0</v>
      </c>
      <c r="D32" s="603">
        <v>0</v>
      </c>
      <c r="E32" s="603">
        <v>0</v>
      </c>
      <c r="F32" s="604">
        <v>0</v>
      </c>
      <c r="G32" s="425"/>
      <c r="H32" s="425"/>
      <c r="I32" s="425"/>
      <c r="J32" s="425"/>
      <c r="K32" s="448"/>
      <c r="L32" s="373"/>
      <c r="M32" s="420"/>
      <c r="N32" s="420"/>
    </row>
    <row r="33" spans="2:30" ht="37" customHeight="1" outlineLevel="1" thickBot="1">
      <c r="B33" s="383" t="s">
        <v>679</v>
      </c>
      <c r="C33" s="449">
        <f>C34+C35</f>
        <v>117.07299999999999</v>
      </c>
      <c r="D33" s="449">
        <f t="shared" ref="D33:F33" si="0">D34+D35</f>
        <v>117.075</v>
      </c>
      <c r="E33" s="449">
        <f t="shared" si="0"/>
        <v>117.07599999999999</v>
      </c>
      <c r="F33" s="449">
        <f t="shared" si="0"/>
        <v>117.07599999999999</v>
      </c>
      <c r="G33" s="425"/>
      <c r="H33" s="425"/>
      <c r="I33" s="425"/>
      <c r="J33" s="425"/>
      <c r="K33" s="448"/>
      <c r="L33" s="373"/>
      <c r="M33" s="450"/>
      <c r="N33" s="361"/>
      <c r="P33" s="1157">
        <f>C33</f>
        <v>117.07299999999999</v>
      </c>
      <c r="Q33" s="1135"/>
      <c r="R33" s="1135"/>
      <c r="S33" s="1135"/>
      <c r="T33" s="1135"/>
      <c r="U33" s="1158"/>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25</v>
      </c>
      <c r="L34" s="380"/>
      <c r="M34" s="450"/>
      <c r="N34" s="361"/>
      <c r="P34" s="1159">
        <f>C34</f>
        <v>7.2999999999999995E-2</v>
      </c>
      <c r="Q34" s="1160"/>
      <c r="R34" s="1160"/>
      <c r="S34" s="1160"/>
      <c r="T34" s="1160"/>
      <c r="U34" s="1161"/>
    </row>
    <row r="35" spans="2:30" outlineLevel="1">
      <c r="B35" s="451" t="s">
        <v>759</v>
      </c>
      <c r="C35" s="454">
        <v>117</v>
      </c>
      <c r="D35" s="454">
        <v>117</v>
      </c>
      <c r="E35" s="454">
        <v>117</v>
      </c>
      <c r="F35" s="454">
        <v>117</v>
      </c>
      <c r="G35" s="453"/>
      <c r="H35" s="453"/>
      <c r="I35" s="453"/>
      <c r="J35" s="453"/>
      <c r="K35" s="455" t="s">
        <v>33</v>
      </c>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51</v>
      </c>
      <c r="L39" s="464"/>
      <c r="M39" s="363"/>
      <c r="N39" s="363"/>
      <c r="O39" s="465">
        <f>C12</f>
        <v>96</v>
      </c>
      <c r="P39" s="466">
        <f>C8</f>
        <v>2020</v>
      </c>
      <c r="Q39" s="58">
        <f>P39</f>
        <v>2020</v>
      </c>
      <c r="R39" s="466">
        <f>O39/100</f>
        <v>0.96</v>
      </c>
      <c r="S39" s="58"/>
      <c r="T39" s="466">
        <f>C16</f>
        <v>30</v>
      </c>
      <c r="U39" s="467">
        <f>C46</f>
        <v>2607.5</v>
      </c>
      <c r="V39" s="467">
        <f>C48</f>
        <v>0</v>
      </c>
      <c r="W39" s="467">
        <f>C49</f>
        <v>242.27606944444443</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951</v>
      </c>
      <c r="L40" s="464"/>
      <c r="M40" s="363"/>
      <c r="N40" s="363"/>
      <c r="O40" s="465">
        <f>D12</f>
        <v>96</v>
      </c>
      <c r="P40" s="466">
        <f>D8</f>
        <v>2030</v>
      </c>
      <c r="Q40" s="58"/>
      <c r="R40" s="466">
        <f>O40/100</f>
        <v>0.96</v>
      </c>
      <c r="S40" s="58"/>
      <c r="T40" s="466">
        <f>D16</f>
        <v>30</v>
      </c>
      <c r="U40" s="467">
        <f>D46</f>
        <v>2533.0000000000005</v>
      </c>
      <c r="V40" s="467">
        <f>D48</f>
        <v>0</v>
      </c>
      <c r="W40" s="467">
        <f>D49</f>
        <v>242.28020833333332</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30</v>
      </c>
      <c r="U41" s="467">
        <f>E46</f>
        <v>2458.5000000000005</v>
      </c>
      <c r="V41" s="467">
        <f>E48</f>
        <v>0</v>
      </c>
      <c r="W41" s="467">
        <f>E49</f>
        <v>242.28227777777775</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
        <v>96</v>
      </c>
      <c r="P42" s="466">
        <f>F8</f>
        <v>2050</v>
      </c>
      <c r="Q42" s="58"/>
      <c r="R42" s="466">
        <f>O42/100</f>
        <v>0.96</v>
      </c>
      <c r="S42" s="58"/>
      <c r="T42" s="466">
        <f>F16</f>
        <v>30</v>
      </c>
      <c r="U42" s="467">
        <f>F46</f>
        <v>2346.75</v>
      </c>
      <c r="V42" s="467">
        <f>F48</f>
        <v>0</v>
      </c>
      <c r="W42" s="467">
        <f>F49</f>
        <v>242.28227777777775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2607.5</v>
      </c>
      <c r="D46" s="483">
        <f t="shared" ref="D46:F46" si="1">D29*$F$4*1000</f>
        <v>2533.0000000000005</v>
      </c>
      <c r="E46" s="483">
        <f t="shared" si="1"/>
        <v>2458.5000000000005</v>
      </c>
      <c r="F46" s="483">
        <f t="shared" si="1"/>
        <v>2346.75</v>
      </c>
      <c r="G46" s="483"/>
      <c r="H46" s="484"/>
      <c r="I46" s="420" t="s">
        <v>332</v>
      </c>
      <c r="J46" s="420"/>
      <c r="K46" s="484"/>
      <c r="L46" s="484"/>
      <c r="N46" s="420"/>
    </row>
    <row r="47" spans="2:30" outlineLevel="1">
      <c r="B47" s="485" t="s">
        <v>770</v>
      </c>
      <c r="C47" s="486">
        <f>C46*$I47</f>
        <v>1303750</v>
      </c>
      <c r="D47" s="486">
        <f>D46*$I47</f>
        <v>1266500.0000000002</v>
      </c>
      <c r="E47" s="486">
        <f>E46*$I47</f>
        <v>1229250.0000000002</v>
      </c>
      <c r="F47" s="486">
        <f>F46*$I47</f>
        <v>1173375</v>
      </c>
      <c r="G47" s="486"/>
      <c r="H47" s="484"/>
      <c r="I47" s="71">
        <v>500</v>
      </c>
      <c r="J47" s="420" t="s">
        <v>330</v>
      </c>
      <c r="K47" s="484"/>
      <c r="L47" s="484"/>
      <c r="N47" s="420"/>
    </row>
    <row r="48" spans="2:30" ht="48" outlineLevel="1">
      <c r="B48" s="461" t="s">
        <v>845</v>
      </c>
      <c r="C48" s="359">
        <f>C32*$F$4/1000</f>
        <v>0</v>
      </c>
      <c r="D48" s="359">
        <f t="shared" ref="D48:F48" si="2">D32*$F$4/1000</f>
        <v>0</v>
      </c>
      <c r="E48" s="359">
        <f t="shared" si="2"/>
        <v>0</v>
      </c>
      <c r="F48" s="359">
        <f t="shared" si="2"/>
        <v>0</v>
      </c>
      <c r="G48" s="359"/>
      <c r="I48" s="420" t="s">
        <v>333</v>
      </c>
      <c r="J48" s="420"/>
      <c r="N48" s="420"/>
    </row>
    <row r="49" spans="2:14" ht="48" outlineLevel="1">
      <c r="B49" s="461" t="s">
        <v>846</v>
      </c>
      <c r="C49" s="487">
        <f>C33*$F$4/3.6</f>
        <v>242.27606944444443</v>
      </c>
      <c r="D49" s="487">
        <f t="shared" ref="D49:F49" si="3">D33*$F$4/3.6</f>
        <v>242.28020833333332</v>
      </c>
      <c r="E49" s="487">
        <f t="shared" si="3"/>
        <v>242.28227777777775</v>
      </c>
      <c r="F49" s="487">
        <f t="shared" si="3"/>
        <v>242.28227777777775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952</v>
      </c>
      <c r="F56" s="358"/>
      <c r="G56" s="358"/>
      <c r="H56" s="358"/>
      <c r="I56" s="358"/>
      <c r="J56" s="358"/>
      <c r="K56" s="358"/>
      <c r="L56" s="358"/>
    </row>
    <row r="57" spans="2:14" outlineLevel="1">
      <c r="B57" s="358">
        <v>2</v>
      </c>
      <c r="C57" s="490" t="s">
        <v>932</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953</v>
      </c>
      <c r="F59" s="358"/>
      <c r="G59" s="358"/>
      <c r="H59" s="358"/>
      <c r="I59" s="358"/>
      <c r="J59" s="358"/>
      <c r="K59" s="358"/>
      <c r="L59" s="358"/>
    </row>
    <row r="60" spans="2:14" outlineLevel="1">
      <c r="B60" s="358">
        <v>5</v>
      </c>
      <c r="C60" s="676" t="s">
        <v>954</v>
      </c>
      <c r="F60" s="358"/>
      <c r="G60" s="358"/>
      <c r="H60" s="358"/>
      <c r="I60" s="358"/>
      <c r="J60" s="358"/>
      <c r="K60" s="358"/>
      <c r="L60" s="358"/>
    </row>
    <row r="61" spans="2:14" outlineLevel="1">
      <c r="B61" s="488" t="s">
        <v>783</v>
      </c>
      <c r="C61" s="489"/>
      <c r="F61" s="358"/>
      <c r="G61" s="358"/>
      <c r="H61" s="358"/>
      <c r="I61" s="358"/>
      <c r="J61" s="358"/>
      <c r="K61" s="358"/>
      <c r="L61" s="358"/>
    </row>
    <row r="62" spans="2:14" outlineLevel="1">
      <c r="B62" s="496" t="s">
        <v>6</v>
      </c>
      <c r="C62" s="497" t="s">
        <v>933</v>
      </c>
      <c r="D62" s="489"/>
      <c r="F62" s="358"/>
      <c r="G62" s="358"/>
      <c r="H62" s="358"/>
      <c r="I62" s="358"/>
      <c r="J62" s="358"/>
      <c r="K62" s="358"/>
      <c r="L62" s="358"/>
    </row>
    <row r="63" spans="2:14" outlineLevel="1">
      <c r="B63" s="496" t="s">
        <v>59</v>
      </c>
      <c r="C63" s="489" t="s">
        <v>955</v>
      </c>
      <c r="D63" s="489"/>
      <c r="F63" s="358"/>
      <c r="G63" s="358"/>
      <c r="H63" s="358"/>
      <c r="I63" s="358"/>
      <c r="J63" s="358"/>
      <c r="K63" s="358"/>
      <c r="L63" s="358"/>
    </row>
    <row r="64" spans="2:14" outlineLevel="1">
      <c r="B64" s="496" t="s">
        <v>16</v>
      </c>
      <c r="C64" s="489" t="s">
        <v>956</v>
      </c>
      <c r="D64" s="489"/>
      <c r="F64" s="358"/>
      <c r="G64" s="358"/>
      <c r="H64" s="358"/>
      <c r="I64" s="358"/>
      <c r="J64" s="358"/>
      <c r="K64" s="358"/>
      <c r="L64" s="358"/>
    </row>
    <row r="65" spans="1:44" outlineLevel="1">
      <c r="B65" s="496" t="s">
        <v>20</v>
      </c>
      <c r="C65" s="489" t="s">
        <v>957</v>
      </c>
      <c r="D65" s="489"/>
      <c r="F65" s="358"/>
      <c r="G65" s="358"/>
      <c r="H65" s="358"/>
      <c r="I65" s="358"/>
      <c r="J65" s="358"/>
      <c r="K65" s="358"/>
      <c r="L65" s="358"/>
    </row>
    <row r="66" spans="1:44" outlineLevel="1">
      <c r="B66" s="496" t="s">
        <v>76</v>
      </c>
      <c r="C66" s="489" t="s">
        <v>936</v>
      </c>
      <c r="D66" s="489"/>
      <c r="F66" s="358"/>
      <c r="G66" s="358"/>
      <c r="H66" s="358"/>
      <c r="I66" s="358"/>
      <c r="J66" s="358"/>
      <c r="K66" s="358"/>
      <c r="L66" s="358"/>
    </row>
    <row r="67" spans="1:44" outlineLevel="1">
      <c r="B67" s="496" t="s">
        <v>25</v>
      </c>
      <c r="C67" s="489" t="s">
        <v>788</v>
      </c>
      <c r="D67" s="489"/>
      <c r="F67" s="358"/>
      <c r="G67" s="358"/>
      <c r="H67" s="358"/>
      <c r="I67" s="358"/>
      <c r="J67" s="358"/>
      <c r="K67" s="358"/>
      <c r="L67" s="358"/>
    </row>
    <row r="68" spans="1:44" outlineLevel="1">
      <c r="B68" s="496" t="s">
        <v>33</v>
      </c>
      <c r="C68" s="489" t="s">
        <v>958</v>
      </c>
      <c r="D68" s="489"/>
      <c r="F68" s="358"/>
      <c r="G68" s="358"/>
      <c r="H68" s="358"/>
      <c r="I68" s="358"/>
      <c r="J68" s="358"/>
      <c r="K68" s="358"/>
      <c r="L68" s="358"/>
    </row>
    <row r="69" spans="1:44" outlineLevel="1">
      <c r="B69" s="496" t="s">
        <v>51</v>
      </c>
      <c r="C69" s="489" t="s">
        <v>883</v>
      </c>
      <c r="D69" s="489"/>
      <c r="F69" s="358"/>
      <c r="G69" s="358"/>
      <c r="H69" s="358"/>
      <c r="I69" s="358"/>
      <c r="J69" s="358"/>
      <c r="K69" s="358"/>
      <c r="L69" s="358"/>
    </row>
    <row r="70" spans="1:44" outlineLevel="1">
      <c r="B70" s="496" t="s">
        <v>52</v>
      </c>
      <c r="C70" s="489" t="s">
        <v>938</v>
      </c>
      <c r="D70" s="489"/>
      <c r="G70" s="358"/>
      <c r="H70" s="358"/>
      <c r="I70" s="358"/>
      <c r="J70" s="358"/>
      <c r="K70" s="358"/>
      <c r="L70" s="358"/>
    </row>
    <row r="71" spans="1:44" outlineLevel="1">
      <c r="B71" s="496" t="s">
        <v>55</v>
      </c>
      <c r="C71" s="498" t="s">
        <v>959</v>
      </c>
      <c r="D71" s="489"/>
      <c r="E71" s="490"/>
      <c r="F71" s="490"/>
    </row>
    <row r="72" spans="1:44" outlineLevel="1">
      <c r="B72" s="496"/>
      <c r="C72" s="489"/>
      <c r="D72" s="489"/>
    </row>
    <row r="73" spans="1:44" outlineLevel="1">
      <c r="B73" s="496"/>
      <c r="C73" s="489"/>
      <c r="D73" s="489"/>
    </row>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R352"/>
  <sheetViews>
    <sheetView topLeftCell="G76" zoomScale="70" zoomScaleNormal="70" workbookViewId="0">
      <selection activeCell="AC106" sqref="AC106"/>
    </sheetView>
  </sheetViews>
  <sheetFormatPr baseColWidth="10" defaultColWidth="8.83203125" defaultRowHeight="15" outlineLevelRow="1"/>
  <cols>
    <col min="1" max="1" width="35" style="224" bestFit="1"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638" t="str">
        <f>C7</f>
        <v>Electric boiler, 10 kV, steam</v>
      </c>
    </row>
    <row r="4" spans="1:44" ht="25" customHeight="1">
      <c r="E4" s="224" t="s">
        <v>358</v>
      </c>
      <c r="F4" s="359">
        <v>7.45</v>
      </c>
      <c r="G4" s="359" t="s">
        <v>328</v>
      </c>
    </row>
    <row r="5" spans="1:44" ht="15" customHeight="1">
      <c r="A5" s="360" t="s">
        <v>967</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39" t="s">
        <v>960</v>
      </c>
      <c r="D7" s="1240"/>
      <c r="E7" s="1240"/>
      <c r="F7" s="1240"/>
      <c r="G7" s="1240"/>
      <c r="H7" s="1240"/>
      <c r="I7" s="1240"/>
      <c r="J7" s="1240"/>
      <c r="K7" s="1240"/>
      <c r="L7" s="1241"/>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5" customHeight="1" outlineLevel="1" thickBot="1">
      <c r="B8" s="1168" t="s">
        <v>4</v>
      </c>
      <c r="C8" s="1170">
        <v>2020</v>
      </c>
      <c r="D8" s="1170">
        <v>2030</v>
      </c>
      <c r="E8" s="1170">
        <v>2040</v>
      </c>
      <c r="F8" s="1170">
        <v>2050</v>
      </c>
      <c r="G8" s="1237" t="s">
        <v>721</v>
      </c>
      <c r="H8" s="1220"/>
      <c r="I8" s="1219" t="s">
        <v>648</v>
      </c>
      <c r="J8" s="1242"/>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235"/>
      <c r="C9" s="1236"/>
      <c r="D9" s="1236"/>
      <c r="E9" s="1236"/>
      <c r="F9" s="1236"/>
      <c r="G9" s="369" t="s">
        <v>649</v>
      </c>
      <c r="H9" s="369" t="s">
        <v>650</v>
      </c>
      <c r="I9" s="369" t="s">
        <v>649</v>
      </c>
      <c r="J9" s="369" t="s">
        <v>650</v>
      </c>
      <c r="K9" s="1238"/>
      <c r="L9" s="1238"/>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651</v>
      </c>
      <c r="C10" s="372">
        <v>15</v>
      </c>
      <c r="D10" s="372">
        <v>15</v>
      </c>
      <c r="E10" s="372">
        <v>15</v>
      </c>
      <c r="F10" s="372">
        <v>15</v>
      </c>
      <c r="G10" s="372">
        <v>10</v>
      </c>
      <c r="H10" s="372">
        <v>60</v>
      </c>
      <c r="I10" s="372">
        <v>10</v>
      </c>
      <c r="J10" s="372">
        <v>60</v>
      </c>
      <c r="K10" s="372" t="s">
        <v>6</v>
      </c>
      <c r="L10" s="373"/>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99</v>
      </c>
      <c r="D11" s="377">
        <v>99</v>
      </c>
      <c r="E11" s="378">
        <v>99</v>
      </c>
      <c r="F11" s="377">
        <v>99</v>
      </c>
      <c r="G11" s="377">
        <v>98</v>
      </c>
      <c r="H11" s="377">
        <v>100</v>
      </c>
      <c r="I11" s="377">
        <v>98</v>
      </c>
      <c r="J11" s="377">
        <v>100</v>
      </c>
      <c r="K11" s="379"/>
      <c r="L11" s="380" t="s">
        <v>961</v>
      </c>
      <c r="M11" s="370"/>
      <c r="N11" s="370"/>
      <c r="P11" s="1200" t="str">
        <f>C7</f>
        <v>Electric boiler, 10 kV, steam</v>
      </c>
      <c r="Q11" s="1188" t="s">
        <v>730</v>
      </c>
      <c r="R11" s="381" t="s">
        <v>731</v>
      </c>
      <c r="S11" s="382" t="s">
        <v>842</v>
      </c>
      <c r="T11" s="1191">
        <v>0</v>
      </c>
      <c r="U11" s="1179">
        <v>1</v>
      </c>
      <c r="V11" s="1182">
        <v>0</v>
      </c>
      <c r="W11" s="1179">
        <v>1</v>
      </c>
      <c r="X11" s="1182">
        <v>0</v>
      </c>
      <c r="Y11" s="1179">
        <v>1</v>
      </c>
      <c r="Z11" s="1182">
        <v>0</v>
      </c>
      <c r="AA11" s="1179">
        <v>1</v>
      </c>
      <c r="AB11" s="1182">
        <v>0</v>
      </c>
      <c r="AC11" s="1179">
        <v>1</v>
      </c>
      <c r="AE11" s="1185" t="str">
        <f>P11</f>
        <v>Electric boiler, 10 kV, steam</v>
      </c>
      <c r="AF11" s="1188" t="s">
        <v>730</v>
      </c>
      <c r="AG11" s="381" t="s">
        <v>731</v>
      </c>
      <c r="AH11" s="382" t="str">
        <f t="shared" ref="AH11:AR14" si="0">S11</f>
        <v/>
      </c>
      <c r="AI11" s="1191">
        <f t="shared" si="0"/>
        <v>0</v>
      </c>
      <c r="AJ11" s="1179">
        <f t="shared" si="0"/>
        <v>1</v>
      </c>
      <c r="AK11" s="1182">
        <f t="shared" si="0"/>
        <v>0</v>
      </c>
      <c r="AL11" s="1179">
        <f t="shared" si="0"/>
        <v>1</v>
      </c>
      <c r="AM11" s="1182">
        <f t="shared" si="0"/>
        <v>0</v>
      </c>
      <c r="AN11" s="1179">
        <f t="shared" si="0"/>
        <v>1</v>
      </c>
      <c r="AO11" s="1182">
        <f t="shared" si="0"/>
        <v>0</v>
      </c>
      <c r="AP11" s="1179">
        <f t="shared" si="0"/>
        <v>1</v>
      </c>
      <c r="AQ11" s="1182">
        <f t="shared" si="0"/>
        <v>0</v>
      </c>
      <c r="AR11" s="1179">
        <f t="shared" si="0"/>
        <v>1</v>
      </c>
    </row>
    <row r="12" spans="1:44" ht="32.5" customHeight="1" outlineLevel="1">
      <c r="B12" s="383" t="s">
        <v>732</v>
      </c>
      <c r="C12" s="577">
        <v>99</v>
      </c>
      <c r="D12" s="577">
        <v>99</v>
      </c>
      <c r="E12" s="577">
        <v>99</v>
      </c>
      <c r="F12" s="577">
        <v>99</v>
      </c>
      <c r="G12" s="641">
        <v>98</v>
      </c>
      <c r="H12" s="641">
        <v>99</v>
      </c>
      <c r="I12" s="641">
        <v>98</v>
      </c>
      <c r="J12" s="641">
        <v>99</v>
      </c>
      <c r="K12" s="386"/>
      <c r="L12" s="387" t="s">
        <v>961</v>
      </c>
      <c r="M12" s="370"/>
      <c r="N12" s="370"/>
      <c r="O12" s="71"/>
      <c r="P12" s="1186"/>
      <c r="Q12" s="1189"/>
      <c r="R12" s="388" t="s">
        <v>733</v>
      </c>
      <c r="S12" s="389" t="s">
        <v>842</v>
      </c>
      <c r="T12" s="1192"/>
      <c r="U12" s="1180"/>
      <c r="V12" s="1183"/>
      <c r="W12" s="1180"/>
      <c r="X12" s="1183"/>
      <c r="Y12" s="1180"/>
      <c r="Z12" s="1183"/>
      <c r="AA12" s="1180"/>
      <c r="AB12" s="1183"/>
      <c r="AC12" s="1180"/>
      <c r="AE12" s="1186"/>
      <c r="AF12" s="1189"/>
      <c r="AG12" s="388" t="s">
        <v>733</v>
      </c>
      <c r="AH12" s="389" t="str">
        <f t="shared" si="0"/>
        <v/>
      </c>
      <c r="AI12" s="1192"/>
      <c r="AJ12" s="1180"/>
      <c r="AK12" s="1183"/>
      <c r="AL12" s="1180"/>
      <c r="AM12" s="1183"/>
      <c r="AN12" s="1180"/>
      <c r="AO12" s="1183"/>
      <c r="AP12" s="1180"/>
      <c r="AQ12" s="1183"/>
      <c r="AR12" s="1180"/>
    </row>
    <row r="13" spans="1:44" ht="16" outlineLevel="1" thickBot="1">
      <c r="B13" s="376" t="s">
        <v>734</v>
      </c>
      <c r="C13" s="390">
        <v>0.5</v>
      </c>
      <c r="D13" s="391">
        <v>0.5</v>
      </c>
      <c r="E13" s="391">
        <v>0.5</v>
      </c>
      <c r="F13" s="392">
        <v>0.5</v>
      </c>
      <c r="G13" s="391">
        <v>0.1</v>
      </c>
      <c r="H13" s="391">
        <v>0.5</v>
      </c>
      <c r="I13" s="391">
        <v>0.1</v>
      </c>
      <c r="J13" s="391">
        <v>0.5</v>
      </c>
      <c r="K13" s="379"/>
      <c r="L13" s="380" t="s">
        <v>961</v>
      </c>
      <c r="M13" s="370"/>
      <c r="N13" s="370"/>
      <c r="O13" s="71"/>
      <c r="P13" s="1186"/>
      <c r="Q13" s="1190"/>
      <c r="R13" s="393" t="s">
        <v>735</v>
      </c>
      <c r="S13" s="394" t="s">
        <v>738</v>
      </c>
      <c r="T13" s="1193"/>
      <c r="U13" s="1181"/>
      <c r="V13" s="1184"/>
      <c r="W13" s="1181"/>
      <c r="X13" s="1184"/>
      <c r="Y13" s="1181"/>
      <c r="Z13" s="1184"/>
      <c r="AA13" s="1181"/>
      <c r="AB13" s="1184"/>
      <c r="AC13" s="1181"/>
      <c r="AE13" s="1186"/>
      <c r="AF13" s="1190"/>
      <c r="AG13" s="393" t="s">
        <v>735</v>
      </c>
      <c r="AH13" s="394" t="str">
        <f t="shared" si="0"/>
        <v>x</v>
      </c>
      <c r="AI13" s="1193"/>
      <c r="AJ13" s="1181"/>
      <c r="AK13" s="1184"/>
      <c r="AL13" s="1181"/>
      <c r="AM13" s="1184"/>
      <c r="AN13" s="1181"/>
      <c r="AO13" s="1184"/>
      <c r="AP13" s="1181"/>
      <c r="AQ13" s="1184"/>
      <c r="AR13" s="1181"/>
    </row>
    <row r="14" spans="1:44" ht="15" customHeight="1" outlineLevel="1">
      <c r="B14" s="376" t="s">
        <v>657</v>
      </c>
      <c r="C14" s="390">
        <v>1</v>
      </c>
      <c r="D14" s="390">
        <v>1</v>
      </c>
      <c r="E14" s="390">
        <v>1</v>
      </c>
      <c r="F14" s="390">
        <v>1</v>
      </c>
      <c r="G14" s="390">
        <v>0.5</v>
      </c>
      <c r="H14" s="390">
        <v>1</v>
      </c>
      <c r="I14" s="390">
        <v>0.5</v>
      </c>
      <c r="J14" s="390">
        <v>1</v>
      </c>
      <c r="K14" s="379"/>
      <c r="L14" s="380" t="s">
        <v>961</v>
      </c>
      <c r="M14" s="370"/>
      <c r="N14" s="370"/>
      <c r="O14" s="71"/>
      <c r="P14" s="1186"/>
      <c r="Q14" s="1188" t="s">
        <v>736</v>
      </c>
      <c r="R14" s="395" t="s">
        <v>737</v>
      </c>
      <c r="S14" s="396" t="s">
        <v>738</v>
      </c>
      <c r="T14" s="1191">
        <v>0</v>
      </c>
      <c r="U14" s="1191">
        <v>1</v>
      </c>
      <c r="V14" s="1191">
        <v>0</v>
      </c>
      <c r="W14" s="1191">
        <v>1</v>
      </c>
      <c r="X14" s="1191">
        <v>0</v>
      </c>
      <c r="Y14" s="1191">
        <v>1</v>
      </c>
      <c r="Z14" s="1191">
        <v>0</v>
      </c>
      <c r="AA14" s="1191">
        <v>1</v>
      </c>
      <c r="AB14" s="1191">
        <v>0</v>
      </c>
      <c r="AC14" s="1179">
        <v>1</v>
      </c>
      <c r="AE14" s="1186"/>
      <c r="AF14" s="1188" t="s">
        <v>736</v>
      </c>
      <c r="AG14" s="395" t="s">
        <v>737</v>
      </c>
      <c r="AH14" s="396" t="str">
        <f t="shared" si="0"/>
        <v>x</v>
      </c>
      <c r="AI14" s="1191">
        <f t="shared" si="0"/>
        <v>0</v>
      </c>
      <c r="AJ14" s="1191">
        <f t="shared" si="0"/>
        <v>1</v>
      </c>
      <c r="AK14" s="1191">
        <f t="shared" si="0"/>
        <v>0</v>
      </c>
      <c r="AL14" s="1191">
        <f t="shared" si="0"/>
        <v>1</v>
      </c>
      <c r="AM14" s="1191">
        <f t="shared" si="0"/>
        <v>0</v>
      </c>
      <c r="AN14" s="1191">
        <f t="shared" si="0"/>
        <v>1</v>
      </c>
      <c r="AO14" s="1191">
        <f t="shared" si="0"/>
        <v>0</v>
      </c>
      <c r="AP14" s="1191">
        <f t="shared" si="0"/>
        <v>1</v>
      </c>
      <c r="AQ14" s="1191">
        <f t="shared" si="0"/>
        <v>0</v>
      </c>
      <c r="AR14" s="1179">
        <f t="shared" si="0"/>
        <v>1</v>
      </c>
    </row>
    <row r="15" spans="1:44" outlineLevel="1">
      <c r="B15" s="376" t="s">
        <v>658</v>
      </c>
      <c r="C15" s="390">
        <v>0.2</v>
      </c>
      <c r="D15" s="390">
        <v>0.2</v>
      </c>
      <c r="E15" s="390">
        <v>0.2</v>
      </c>
      <c r="F15" s="390">
        <v>0.2</v>
      </c>
      <c r="G15" s="390">
        <v>0.2</v>
      </c>
      <c r="H15" s="390">
        <v>0.2</v>
      </c>
      <c r="I15" s="390">
        <v>0.2</v>
      </c>
      <c r="J15" s="390">
        <v>0.2</v>
      </c>
      <c r="K15" s="379"/>
      <c r="L15" s="380">
        <v>2</v>
      </c>
      <c r="M15" s="367"/>
      <c r="N15" s="367"/>
      <c r="O15" s="71"/>
      <c r="P15" s="1186"/>
      <c r="Q15" s="1189"/>
      <c r="R15" s="395" t="s">
        <v>739</v>
      </c>
      <c r="S15" s="396" t="s">
        <v>738</v>
      </c>
      <c r="T15" s="1194"/>
      <c r="U15" s="1194"/>
      <c r="V15" s="1194"/>
      <c r="W15" s="1194"/>
      <c r="X15" s="1194"/>
      <c r="Y15" s="1194"/>
      <c r="Z15" s="1194"/>
      <c r="AA15" s="1194"/>
      <c r="AB15" s="1194"/>
      <c r="AC15" s="1196"/>
      <c r="AE15" s="1186"/>
      <c r="AF15" s="1189"/>
      <c r="AG15" s="395" t="s">
        <v>739</v>
      </c>
      <c r="AH15" s="396" t="str">
        <f>S15</f>
        <v>x</v>
      </c>
      <c r="AI15" s="1194"/>
      <c r="AJ15" s="1194"/>
      <c r="AK15" s="1194"/>
      <c r="AL15" s="1194"/>
      <c r="AM15" s="1194"/>
      <c r="AN15" s="1194"/>
      <c r="AO15" s="1194"/>
      <c r="AP15" s="1194"/>
      <c r="AQ15" s="1194"/>
      <c r="AR15" s="1196"/>
    </row>
    <row r="16" spans="1:44" outlineLevel="1">
      <c r="B16" s="383" t="s">
        <v>11</v>
      </c>
      <c r="C16" s="397">
        <v>25</v>
      </c>
      <c r="D16" s="397">
        <v>25</v>
      </c>
      <c r="E16" s="397">
        <v>25</v>
      </c>
      <c r="F16" s="397">
        <v>25</v>
      </c>
      <c r="G16" s="398">
        <v>20</v>
      </c>
      <c r="H16" s="398">
        <v>25</v>
      </c>
      <c r="I16" s="398">
        <v>20</v>
      </c>
      <c r="J16" s="398">
        <v>25</v>
      </c>
      <c r="K16" s="372"/>
      <c r="L16" s="373">
        <v>2</v>
      </c>
      <c r="M16" s="363"/>
      <c r="N16" s="363"/>
      <c r="P16" s="1186"/>
      <c r="Q16" s="1189"/>
      <c r="R16" s="395" t="s">
        <v>741</v>
      </c>
      <c r="S16" s="396" t="s">
        <v>738</v>
      </c>
      <c r="T16" s="1194"/>
      <c r="U16" s="1194"/>
      <c r="V16" s="1194"/>
      <c r="W16" s="1194"/>
      <c r="X16" s="1194"/>
      <c r="Y16" s="1194"/>
      <c r="Z16" s="1194"/>
      <c r="AA16" s="1194"/>
      <c r="AB16" s="1194"/>
      <c r="AC16" s="1196"/>
      <c r="AE16" s="1186"/>
      <c r="AF16" s="1189"/>
      <c r="AG16" s="395" t="s">
        <v>741</v>
      </c>
      <c r="AH16" s="629" t="str">
        <f>S16</f>
        <v>x</v>
      </c>
      <c r="AI16" s="1194"/>
      <c r="AJ16" s="1194"/>
      <c r="AK16" s="1194"/>
      <c r="AL16" s="1194"/>
      <c r="AM16" s="1194"/>
      <c r="AN16" s="1194"/>
      <c r="AO16" s="1194"/>
      <c r="AP16" s="1194"/>
      <c r="AQ16" s="1194"/>
      <c r="AR16" s="1196"/>
    </row>
    <row r="17" spans="1:44" ht="16" outlineLevel="1" thickBot="1">
      <c r="B17" s="376" t="s">
        <v>273</v>
      </c>
      <c r="C17" s="399">
        <v>0.5</v>
      </c>
      <c r="D17" s="399">
        <v>0.5</v>
      </c>
      <c r="E17" s="399">
        <v>0.5</v>
      </c>
      <c r="F17" s="399">
        <v>0.5</v>
      </c>
      <c r="G17" s="399">
        <v>0.5</v>
      </c>
      <c r="H17" s="399">
        <v>1</v>
      </c>
      <c r="I17" s="399">
        <v>0.5</v>
      </c>
      <c r="J17" s="399">
        <v>1</v>
      </c>
      <c r="K17" s="372"/>
      <c r="L17" s="400">
        <v>1</v>
      </c>
      <c r="M17" s="363"/>
      <c r="N17" s="363"/>
      <c r="P17" s="1186"/>
      <c r="Q17" s="1189"/>
      <c r="R17" s="395" t="s">
        <v>742</v>
      </c>
      <c r="S17" s="396" t="s">
        <v>738</v>
      </c>
      <c r="T17" s="1194"/>
      <c r="U17" s="1194"/>
      <c r="V17" s="1194"/>
      <c r="W17" s="1194"/>
      <c r="X17" s="1194"/>
      <c r="Y17" s="1194"/>
      <c r="Z17" s="1194"/>
      <c r="AA17" s="1194"/>
      <c r="AB17" s="1194"/>
      <c r="AC17" s="1196"/>
      <c r="AE17" s="1186"/>
      <c r="AF17" s="1189"/>
      <c r="AG17" s="395" t="s">
        <v>742</v>
      </c>
      <c r="AH17" s="396" t="str">
        <f>S17</f>
        <v>x</v>
      </c>
      <c r="AI17" s="1194"/>
      <c r="AJ17" s="1194"/>
      <c r="AK17" s="1194"/>
      <c r="AL17" s="1194"/>
      <c r="AM17" s="1194"/>
      <c r="AN17" s="1194"/>
      <c r="AO17" s="1194"/>
      <c r="AP17" s="1194"/>
      <c r="AQ17" s="1194"/>
      <c r="AR17" s="1196"/>
    </row>
    <row r="18" spans="1:44" ht="16" outlineLevel="1" thickBot="1">
      <c r="B18" s="401" t="s">
        <v>743</v>
      </c>
      <c r="C18" s="402"/>
      <c r="D18" s="403"/>
      <c r="E18" s="404"/>
      <c r="F18" s="405"/>
      <c r="G18" s="406"/>
      <c r="H18" s="406"/>
      <c r="I18" s="406"/>
      <c r="J18" s="406"/>
      <c r="K18" s="407"/>
      <c r="L18" s="408"/>
      <c r="M18" s="363"/>
      <c r="N18" s="363"/>
      <c r="P18" s="1186"/>
      <c r="Q18" s="1190"/>
      <c r="R18" s="409" t="s">
        <v>863</v>
      </c>
      <c r="S18" s="410" t="s">
        <v>738</v>
      </c>
      <c r="T18" s="1195"/>
      <c r="U18" s="1195"/>
      <c r="V18" s="1195"/>
      <c r="W18" s="1195"/>
      <c r="X18" s="1195"/>
      <c r="Y18" s="1195"/>
      <c r="Z18" s="1195"/>
      <c r="AA18" s="1195"/>
      <c r="AB18" s="1195"/>
      <c r="AC18" s="1197"/>
      <c r="AE18" s="1186"/>
      <c r="AF18" s="1190"/>
      <c r="AG18" s="409" t="s">
        <v>863</v>
      </c>
      <c r="AH18" s="410" t="str">
        <f>S18</f>
        <v>x</v>
      </c>
      <c r="AI18" s="1195"/>
      <c r="AJ18" s="1195"/>
      <c r="AK18" s="1195"/>
      <c r="AL18" s="1195"/>
      <c r="AM18" s="1195"/>
      <c r="AN18" s="1195"/>
      <c r="AO18" s="1195"/>
      <c r="AP18" s="1195"/>
      <c r="AQ18" s="1195"/>
      <c r="AR18" s="1197"/>
    </row>
    <row r="19" spans="1:44" ht="33" outlineLevel="1" thickBot="1">
      <c r="B19" s="376" t="s">
        <v>663</v>
      </c>
      <c r="C19" s="390">
        <v>2</v>
      </c>
      <c r="D19" s="390">
        <v>2</v>
      </c>
      <c r="E19" s="390">
        <v>2</v>
      </c>
      <c r="F19" s="390">
        <v>2</v>
      </c>
      <c r="G19" s="391"/>
      <c r="H19" s="391"/>
      <c r="I19" s="391"/>
      <c r="J19" s="391"/>
      <c r="K19" s="379"/>
      <c r="L19" s="380">
        <v>2</v>
      </c>
      <c r="M19" s="363"/>
      <c r="N19" s="363"/>
      <c r="P19" s="1187"/>
      <c r="Q19" s="411" t="s">
        <v>745</v>
      </c>
      <c r="R19" s="412" t="s">
        <v>746</v>
      </c>
      <c r="S19" s="630" t="s">
        <v>738</v>
      </c>
      <c r="T19" s="416">
        <v>1</v>
      </c>
      <c r="U19" s="415">
        <v>1</v>
      </c>
      <c r="V19" s="416">
        <v>1</v>
      </c>
      <c r="W19" s="415">
        <v>1</v>
      </c>
      <c r="X19" s="416">
        <v>1</v>
      </c>
      <c r="Y19" s="415">
        <v>1</v>
      </c>
      <c r="Z19" s="416">
        <v>1</v>
      </c>
      <c r="AA19" s="415">
        <v>1</v>
      </c>
      <c r="AB19" s="416">
        <v>1</v>
      </c>
      <c r="AC19" s="417">
        <v>1</v>
      </c>
      <c r="AE19" s="1187"/>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0.03</v>
      </c>
      <c r="D20" s="390">
        <v>0.03</v>
      </c>
      <c r="E20" s="390">
        <v>0.03</v>
      </c>
      <c r="F20" s="390">
        <v>0.03</v>
      </c>
      <c r="G20" s="418"/>
      <c r="H20" s="418"/>
      <c r="I20" s="418"/>
      <c r="J20" s="418"/>
      <c r="K20" s="419"/>
      <c r="L20" s="380">
        <v>2</v>
      </c>
      <c r="M20" s="363"/>
      <c r="N20" s="363"/>
    </row>
    <row r="21" spans="1:44" outlineLevel="1">
      <c r="B21" s="376" t="s">
        <v>666</v>
      </c>
      <c r="C21" s="390">
        <v>0.17</v>
      </c>
      <c r="D21" s="390">
        <v>0.17</v>
      </c>
      <c r="E21" s="390">
        <v>0.17</v>
      </c>
      <c r="F21" s="390">
        <v>0.17</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23" t="s">
        <v>669</v>
      </c>
      <c r="D23" s="1224"/>
      <c r="E23" s="1224"/>
      <c r="F23" s="1225"/>
      <c r="G23" s="422"/>
      <c r="H23" s="425"/>
      <c r="I23" s="425"/>
      <c r="J23" s="425"/>
      <c r="K23" s="426"/>
      <c r="L23" s="427"/>
      <c r="M23" s="428"/>
      <c r="N23" s="428"/>
    </row>
    <row r="24" spans="1:44" outlineLevel="1">
      <c r="B24" s="383" t="s">
        <v>749</v>
      </c>
      <c r="C24" s="1226"/>
      <c r="D24" s="1227"/>
      <c r="E24" s="1227"/>
      <c r="F24" s="1228"/>
      <c r="G24" s="425"/>
      <c r="H24" s="425"/>
      <c r="I24" s="425"/>
      <c r="J24" s="425"/>
      <c r="K24" s="423"/>
      <c r="L24" s="427"/>
      <c r="M24" s="428"/>
      <c r="N24" s="428"/>
    </row>
    <row r="25" spans="1:44" outlineLevel="1">
      <c r="B25" s="383" t="s">
        <v>844</v>
      </c>
      <c r="C25" s="1226"/>
      <c r="D25" s="1227"/>
      <c r="E25" s="1227"/>
      <c r="F25" s="1228"/>
      <c r="G25" s="425"/>
      <c r="H25" s="425"/>
      <c r="I25" s="425"/>
      <c r="J25" s="425"/>
      <c r="K25" s="423"/>
      <c r="L25" s="427"/>
      <c r="M25" s="428"/>
      <c r="N25" s="428"/>
    </row>
    <row r="26" spans="1:44" outlineLevel="1">
      <c r="B26" s="383" t="s">
        <v>366</v>
      </c>
      <c r="C26" s="1226"/>
      <c r="D26" s="1227"/>
      <c r="E26" s="1227"/>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511">
        <v>0.08</v>
      </c>
      <c r="D29" s="512">
        <v>7.0000000000000007E-2</v>
      </c>
      <c r="E29" s="512">
        <v>7.0000000000000007E-2</v>
      </c>
      <c r="F29" s="513">
        <v>7.0000000000000007E-2</v>
      </c>
      <c r="G29" s="425"/>
      <c r="H29" s="425"/>
      <c r="I29" s="425"/>
      <c r="J29" s="425"/>
      <c r="K29" s="426" t="s">
        <v>838</v>
      </c>
      <c r="L29" s="440" t="s">
        <v>961</v>
      </c>
      <c r="M29" s="420"/>
      <c r="N29" s="420"/>
    </row>
    <row r="30" spans="1:44" outlineLevel="1">
      <c r="B30" s="441" t="s">
        <v>839</v>
      </c>
      <c r="C30" s="442">
        <v>85</v>
      </c>
      <c r="D30" s="442">
        <v>85</v>
      </c>
      <c r="E30" s="442">
        <v>85</v>
      </c>
      <c r="F30" s="442">
        <v>85</v>
      </c>
      <c r="G30" s="425"/>
      <c r="H30" s="425"/>
      <c r="I30" s="425"/>
      <c r="J30" s="425"/>
      <c r="K30" s="444"/>
      <c r="L30" s="373">
        <v>1</v>
      </c>
      <c r="M30" s="71"/>
      <c r="N30" s="420"/>
    </row>
    <row r="31" spans="1:44" outlineLevel="1">
      <c r="B31" s="441" t="s">
        <v>840</v>
      </c>
      <c r="C31" s="442">
        <v>15</v>
      </c>
      <c r="D31" s="442">
        <v>15</v>
      </c>
      <c r="E31" s="442">
        <v>15</v>
      </c>
      <c r="F31" s="442">
        <v>15</v>
      </c>
      <c r="G31" s="425"/>
      <c r="H31" s="425"/>
      <c r="I31" s="425"/>
      <c r="J31" s="425"/>
      <c r="K31" s="444"/>
      <c r="L31" s="373">
        <v>1</v>
      </c>
      <c r="M31" s="420"/>
      <c r="N31" s="420"/>
    </row>
    <row r="32" spans="1:44" outlineLevel="1">
      <c r="B32" s="383" t="s">
        <v>841</v>
      </c>
      <c r="C32" s="445">
        <v>1070</v>
      </c>
      <c r="D32" s="446">
        <v>1020</v>
      </c>
      <c r="E32" s="446">
        <v>970</v>
      </c>
      <c r="F32" s="447">
        <v>920</v>
      </c>
      <c r="G32" s="425"/>
      <c r="H32" s="425"/>
      <c r="I32" s="425"/>
      <c r="J32" s="425"/>
      <c r="K32" s="448"/>
      <c r="L32" s="373">
        <v>1</v>
      </c>
      <c r="M32" s="420"/>
      <c r="N32" s="420"/>
    </row>
    <row r="33" spans="2:30" ht="37" customHeight="1" outlineLevel="1" thickBot="1">
      <c r="B33" s="383" t="s">
        <v>679</v>
      </c>
      <c r="C33" s="449">
        <f>C34+C35</f>
        <v>0.86499999999999999</v>
      </c>
      <c r="D33" s="449">
        <f t="shared" ref="D33:F33" si="1">D34+D35</f>
        <v>0.875</v>
      </c>
      <c r="E33" s="449">
        <f t="shared" si="1"/>
        <v>0.78</v>
      </c>
      <c r="F33" s="449">
        <f t="shared" si="1"/>
        <v>0.78</v>
      </c>
      <c r="G33" s="425"/>
      <c r="H33" s="425"/>
      <c r="I33" s="425"/>
      <c r="J33" s="425"/>
      <c r="K33" s="448"/>
      <c r="L33" s="373"/>
      <c r="M33" s="450"/>
      <c r="N33" s="361"/>
      <c r="P33" s="1157">
        <f>C33</f>
        <v>0.86499999999999999</v>
      </c>
      <c r="Q33" s="1135"/>
      <c r="R33" s="1135"/>
      <c r="S33" s="1135"/>
      <c r="T33" s="1135"/>
      <c r="U33" s="1158"/>
    </row>
    <row r="34" spans="2:30" ht="15.75" customHeight="1" outlineLevel="1" thickBot="1">
      <c r="B34" s="451" t="s">
        <v>758</v>
      </c>
      <c r="C34" s="452">
        <f>C13/100*73</f>
        <v>0.36499999999999999</v>
      </c>
      <c r="D34" s="452">
        <f>D13/100*75</f>
        <v>0.375</v>
      </c>
      <c r="E34" s="452">
        <f>E13/100*76</f>
        <v>0.38</v>
      </c>
      <c r="F34" s="452">
        <f>F13/100*76</f>
        <v>0.38</v>
      </c>
      <c r="G34" s="453"/>
      <c r="H34" s="453"/>
      <c r="I34" s="453"/>
      <c r="J34" s="453"/>
      <c r="K34" s="379" t="s">
        <v>20</v>
      </c>
      <c r="L34" s="380"/>
      <c r="M34" s="450"/>
      <c r="N34" s="361"/>
      <c r="P34" s="1159">
        <f>C34</f>
        <v>0.36499999999999999</v>
      </c>
      <c r="Q34" s="1160"/>
      <c r="R34" s="1160"/>
      <c r="S34" s="1160"/>
      <c r="T34" s="1160"/>
      <c r="U34" s="1161"/>
    </row>
    <row r="35" spans="2:30" outlineLevel="1">
      <c r="B35" s="451" t="s">
        <v>759</v>
      </c>
      <c r="C35" s="655">
        <v>0.5</v>
      </c>
      <c r="D35" s="655">
        <v>0.5</v>
      </c>
      <c r="E35" s="655">
        <v>0.4</v>
      </c>
      <c r="F35" s="655">
        <v>0.4</v>
      </c>
      <c r="G35" s="453"/>
      <c r="H35" s="453"/>
      <c r="I35" s="453"/>
      <c r="J35" s="453"/>
      <c r="K35" s="455"/>
      <c r="L35" s="380">
        <v>1</v>
      </c>
      <c r="M35" s="363"/>
      <c r="N35" s="363"/>
      <c r="P35" s="53" t="s">
        <v>357</v>
      </c>
    </row>
    <row r="36" spans="2:30" ht="30"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99</v>
      </c>
      <c r="P39" s="466">
        <f>C8</f>
        <v>2020</v>
      </c>
      <c r="Q39" s="58">
        <f>P39</f>
        <v>2020</v>
      </c>
      <c r="R39" s="466">
        <f>O39/100</f>
        <v>0.99</v>
      </c>
      <c r="S39" s="58"/>
      <c r="T39" s="466">
        <f>C16</f>
        <v>25</v>
      </c>
      <c r="U39" s="467">
        <f>C46</f>
        <v>596</v>
      </c>
      <c r="V39" s="467">
        <f>C48</f>
        <v>7.9714999999999998</v>
      </c>
      <c r="W39" s="467">
        <f>C49</f>
        <v>1.7900694444444445</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t="s">
        <v>76</v>
      </c>
      <c r="L40" s="464"/>
      <c r="M40" s="363"/>
      <c r="N40" s="363"/>
      <c r="O40" s="465">
        <f>D12</f>
        <v>99</v>
      </c>
      <c r="P40" s="466">
        <f>D8</f>
        <v>2030</v>
      </c>
      <c r="Q40" s="58"/>
      <c r="R40" s="466">
        <f>O40/100</f>
        <v>0.99</v>
      </c>
      <c r="S40" s="58"/>
      <c r="T40" s="466">
        <f>D16</f>
        <v>25</v>
      </c>
      <c r="U40" s="467">
        <f>D46</f>
        <v>521.50000000000011</v>
      </c>
      <c r="V40" s="467">
        <f>D48</f>
        <v>7.5990000000000002</v>
      </c>
      <c r="W40" s="467">
        <f>D49</f>
        <v>1.8107638888888888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99</v>
      </c>
      <c r="P41" s="466">
        <f>E8</f>
        <v>2040</v>
      </c>
      <c r="Q41" s="58"/>
      <c r="R41" s="466">
        <f>O41/100</f>
        <v>0.99</v>
      </c>
      <c r="S41" s="58"/>
      <c r="T41" s="466">
        <f>E16</f>
        <v>25</v>
      </c>
      <c r="U41" s="467">
        <f>E46</f>
        <v>521.50000000000011</v>
      </c>
      <c r="V41" s="467">
        <f>E48</f>
        <v>7.2264999999999997</v>
      </c>
      <c r="W41" s="467">
        <f>E49</f>
        <v>1.6141666666666665</v>
      </c>
      <c r="X41" s="58"/>
      <c r="Y41" s="58"/>
      <c r="Z41" s="466">
        <f>E23</f>
        <v>0</v>
      </c>
      <c r="AA41" s="468">
        <f>E25</f>
        <v>0</v>
      </c>
      <c r="AB41" s="468">
        <f>E26</f>
        <v>0</v>
      </c>
      <c r="AC41" s="468">
        <f>E27</f>
        <v>0</v>
      </c>
      <c r="AD41" s="468">
        <f>E24</f>
        <v>0</v>
      </c>
    </row>
    <row r="42" spans="2:30" ht="14.5" customHeight="1" outlineLevel="1">
      <c r="B42" s="376" t="s">
        <v>765</v>
      </c>
      <c r="C42" s="1232" t="s">
        <v>669</v>
      </c>
      <c r="D42" s="1233"/>
      <c r="E42" s="1233"/>
      <c r="F42" s="1234"/>
      <c r="G42" s="474"/>
      <c r="H42" s="474"/>
      <c r="I42" s="474"/>
      <c r="J42" s="474"/>
      <c r="K42" s="474"/>
      <c r="L42" s="380"/>
      <c r="M42" s="363"/>
      <c r="N42" s="363"/>
      <c r="O42" s="465">
        <f>F12</f>
        <v>99</v>
      </c>
      <c r="P42" s="466">
        <f>F8</f>
        <v>2050</v>
      </c>
      <c r="Q42" s="58"/>
      <c r="R42" s="466">
        <f>O42/100</f>
        <v>0.99</v>
      </c>
      <c r="S42" s="58"/>
      <c r="T42" s="466">
        <f>F16</f>
        <v>25</v>
      </c>
      <c r="U42" s="467">
        <f>F46</f>
        <v>521.50000000000011</v>
      </c>
      <c r="V42" s="467">
        <f>F48</f>
        <v>6.8540000000000001</v>
      </c>
      <c r="W42" s="467">
        <f>F49</f>
        <v>1.6141666666666665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644" t="s">
        <v>36</v>
      </c>
      <c r="D45" s="645" t="s">
        <v>36</v>
      </c>
      <c r="E45" s="645" t="s">
        <v>36</v>
      </c>
      <c r="F45" s="646" t="s">
        <v>36</v>
      </c>
      <c r="G45" s="481"/>
      <c r="H45" s="481"/>
      <c r="I45" s="481"/>
      <c r="J45" s="481"/>
      <c r="K45" s="481"/>
      <c r="L45" s="482"/>
      <c r="M45" s="363"/>
      <c r="N45" s="363"/>
    </row>
    <row r="46" spans="2:30" ht="64" outlineLevel="1">
      <c r="B46" s="461" t="s">
        <v>769</v>
      </c>
      <c r="C46" s="483">
        <f>C29*$F$4*1000</f>
        <v>596</v>
      </c>
      <c r="D46" s="483">
        <f t="shared" ref="D46:F46" si="2">D29*$F$4*1000</f>
        <v>521.50000000000011</v>
      </c>
      <c r="E46" s="483">
        <f t="shared" si="2"/>
        <v>521.50000000000011</v>
      </c>
      <c r="F46" s="483">
        <f t="shared" si="2"/>
        <v>521.50000000000011</v>
      </c>
      <c r="G46" s="483"/>
      <c r="H46" s="484"/>
      <c r="I46" s="420" t="s">
        <v>332</v>
      </c>
      <c r="J46" s="420"/>
      <c r="K46" s="484"/>
      <c r="L46" s="484"/>
      <c r="N46" s="420"/>
    </row>
    <row r="47" spans="2:30" outlineLevel="1">
      <c r="B47" s="485" t="s">
        <v>770</v>
      </c>
      <c r="C47" s="486">
        <f>C46*$I47</f>
        <v>298000</v>
      </c>
      <c r="D47" s="486">
        <f>D46*$I47</f>
        <v>260750.00000000006</v>
      </c>
      <c r="E47" s="486">
        <f>E46*$I47</f>
        <v>260750.00000000006</v>
      </c>
      <c r="F47" s="486">
        <f>F46*$I47</f>
        <v>260750.00000000006</v>
      </c>
      <c r="G47" s="486"/>
      <c r="H47" s="484"/>
      <c r="I47" s="71">
        <v>500</v>
      </c>
      <c r="J47" s="420" t="s">
        <v>330</v>
      </c>
      <c r="K47" s="484"/>
      <c r="L47" s="484"/>
      <c r="N47" s="420"/>
    </row>
    <row r="48" spans="2:30" ht="48" outlineLevel="1">
      <c r="B48" s="461" t="s">
        <v>845</v>
      </c>
      <c r="C48" s="359">
        <f>C32*$F$4/1000</f>
        <v>7.9714999999999998</v>
      </c>
      <c r="D48" s="359">
        <f t="shared" ref="D48:F48" si="3">D32*$F$4/1000</f>
        <v>7.5990000000000002</v>
      </c>
      <c r="E48" s="359">
        <f t="shared" si="3"/>
        <v>7.2264999999999997</v>
      </c>
      <c r="F48" s="359">
        <f t="shared" si="3"/>
        <v>6.8540000000000001</v>
      </c>
      <c r="G48" s="359"/>
      <c r="I48" s="420" t="s">
        <v>333</v>
      </c>
      <c r="J48" s="420"/>
      <c r="N48" s="420"/>
    </row>
    <row r="49" spans="2:14" ht="48" outlineLevel="1">
      <c r="B49" s="461" t="s">
        <v>846</v>
      </c>
      <c r="C49" s="487">
        <f>C33*$F$4/3.6</f>
        <v>1.7900694444444445</v>
      </c>
      <c r="D49" s="487">
        <f t="shared" ref="D49:F49" si="4">D33*$F$4/3.6</f>
        <v>1.8107638888888888</v>
      </c>
      <c r="E49" s="487">
        <f t="shared" si="4"/>
        <v>1.6141666666666665</v>
      </c>
      <c r="F49" s="487">
        <f t="shared" si="4"/>
        <v>1.6141666666666665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358"/>
      <c r="E55" s="358"/>
      <c r="F55" s="358"/>
      <c r="G55" s="358"/>
      <c r="H55" s="358"/>
      <c r="I55" s="358"/>
      <c r="J55" s="358"/>
      <c r="K55" s="358"/>
      <c r="L55" s="358"/>
    </row>
    <row r="56" spans="2:14" outlineLevel="1">
      <c r="B56" s="677">
        <v>1</v>
      </c>
      <c r="C56" s="490" t="s">
        <v>850</v>
      </c>
      <c r="D56" s="490"/>
      <c r="F56" s="358"/>
      <c r="G56" s="358"/>
      <c r="H56" s="358"/>
      <c r="I56" s="358"/>
      <c r="J56" s="358"/>
      <c r="K56" s="358"/>
      <c r="L56" s="358"/>
    </row>
    <row r="57" spans="2:14" outlineLevel="1">
      <c r="B57" s="677">
        <v>2</v>
      </c>
      <c r="C57" s="635" t="s">
        <v>962</v>
      </c>
      <c r="D57" s="490"/>
      <c r="F57" s="358"/>
      <c r="G57" s="358"/>
      <c r="H57" s="358"/>
      <c r="I57" s="358"/>
      <c r="J57" s="358"/>
      <c r="K57" s="358"/>
      <c r="L57" s="358"/>
    </row>
    <row r="58" spans="2:14" outlineLevel="1">
      <c r="B58" s="677">
        <v>3</v>
      </c>
      <c r="C58" s="635" t="s">
        <v>963</v>
      </c>
      <c r="D58" s="490"/>
      <c r="F58" s="358"/>
      <c r="G58" s="358"/>
      <c r="H58" s="358"/>
      <c r="I58" s="358"/>
      <c r="J58" s="358"/>
      <c r="K58" s="358"/>
      <c r="L58" s="358"/>
    </row>
    <row r="59" spans="2:14" outlineLevel="1">
      <c r="B59" s="358" t="s">
        <v>783</v>
      </c>
      <c r="C59" s="358"/>
      <c r="D59" s="490"/>
      <c r="F59" s="358"/>
      <c r="G59" s="358"/>
      <c r="H59" s="358"/>
      <c r="I59" s="358"/>
      <c r="J59" s="358"/>
      <c r="K59" s="358"/>
      <c r="L59" s="358"/>
    </row>
    <row r="60" spans="2:14" outlineLevel="1">
      <c r="B60" s="678" t="s">
        <v>6</v>
      </c>
      <c r="C60" s="490" t="s">
        <v>964</v>
      </c>
      <c r="D60" s="490"/>
      <c r="F60" s="358"/>
      <c r="G60" s="358"/>
      <c r="H60" s="358"/>
      <c r="I60" s="358"/>
      <c r="J60" s="358"/>
      <c r="K60" s="358"/>
      <c r="L60" s="358"/>
    </row>
    <row r="61" spans="2:14" outlineLevel="1">
      <c r="B61" s="678" t="s">
        <v>59</v>
      </c>
      <c r="C61" s="635" t="s">
        <v>965</v>
      </c>
      <c r="D61" s="490"/>
      <c r="F61" s="358"/>
      <c r="G61" s="358"/>
      <c r="H61" s="358"/>
      <c r="I61" s="358"/>
      <c r="J61" s="358"/>
      <c r="K61" s="358"/>
      <c r="L61" s="358"/>
    </row>
    <row r="62" spans="2:14" outlineLevel="1">
      <c r="B62" s="679" t="s">
        <v>16</v>
      </c>
      <c r="C62" s="490" t="s">
        <v>966</v>
      </c>
      <c r="D62" s="490"/>
      <c r="F62" s="358"/>
      <c r="G62" s="358"/>
      <c r="H62" s="358"/>
      <c r="I62" s="358"/>
      <c r="J62" s="358"/>
      <c r="K62" s="358"/>
      <c r="L62" s="358"/>
    </row>
    <row r="63" spans="2:14" outlineLevel="1">
      <c r="B63" s="678" t="s">
        <v>20</v>
      </c>
      <c r="C63" s="489" t="s">
        <v>788</v>
      </c>
      <c r="D63" s="490"/>
      <c r="F63" s="358"/>
      <c r="G63" s="358"/>
      <c r="H63" s="358"/>
      <c r="I63" s="358"/>
      <c r="J63" s="358"/>
      <c r="K63" s="358"/>
      <c r="L63" s="358"/>
    </row>
    <row r="64" spans="2:14" outlineLevel="1">
      <c r="B64" s="678" t="s">
        <v>76</v>
      </c>
      <c r="C64" s="490" t="s">
        <v>789</v>
      </c>
      <c r="D64" s="490"/>
      <c r="F64" s="358"/>
      <c r="G64" s="358"/>
      <c r="H64" s="358"/>
      <c r="I64" s="358"/>
      <c r="J64" s="358"/>
      <c r="K64" s="358"/>
      <c r="L64" s="358"/>
    </row>
    <row r="65" spans="2:12" outlineLevel="1">
      <c r="B65" s="656"/>
      <c r="C65" s="489"/>
      <c r="D65" s="358"/>
      <c r="F65" s="358"/>
      <c r="G65" s="358"/>
      <c r="H65" s="358"/>
      <c r="I65" s="358"/>
      <c r="J65" s="358"/>
      <c r="K65" s="358"/>
      <c r="L65" s="358"/>
    </row>
    <row r="66" spans="2:12" outlineLevel="1">
      <c r="F66" s="358"/>
      <c r="G66" s="358"/>
      <c r="H66" s="358"/>
      <c r="I66" s="358"/>
      <c r="J66" s="358"/>
      <c r="K66" s="358"/>
      <c r="L66" s="358"/>
    </row>
    <row r="67" spans="2:12" outlineLevel="1">
      <c r="B67" s="656"/>
      <c r="C67" s="490"/>
      <c r="D67" s="358"/>
      <c r="F67" s="358"/>
      <c r="G67" s="358"/>
      <c r="H67" s="358"/>
      <c r="I67" s="358"/>
      <c r="J67" s="358"/>
      <c r="K67" s="358"/>
      <c r="L67" s="358"/>
    </row>
    <row r="68" spans="2:12" outlineLevel="1">
      <c r="B68" s="656"/>
      <c r="C68" s="490"/>
      <c r="D68" s="358"/>
      <c r="F68" s="358"/>
      <c r="G68" s="358"/>
      <c r="H68" s="358"/>
      <c r="I68" s="358"/>
      <c r="J68" s="358"/>
      <c r="K68" s="358"/>
      <c r="L68" s="358"/>
    </row>
    <row r="69" spans="2:12" outlineLevel="1">
      <c r="F69" s="358"/>
      <c r="G69" s="358"/>
      <c r="H69" s="358"/>
      <c r="I69" s="358"/>
      <c r="J69" s="358"/>
      <c r="K69" s="358"/>
      <c r="L69" s="358"/>
    </row>
    <row r="70" spans="2:12" outlineLevel="1">
      <c r="G70" s="358"/>
      <c r="H70" s="358"/>
      <c r="I70" s="358"/>
      <c r="J70" s="358"/>
      <c r="K70" s="358"/>
      <c r="L70" s="358"/>
    </row>
    <row r="71" spans="2:12" outlineLevel="1">
      <c r="E71" s="490"/>
      <c r="F71" s="490"/>
    </row>
    <row r="72" spans="2:12" outlineLevel="1">
      <c r="E72" s="490"/>
      <c r="F72" s="490"/>
    </row>
    <row r="73" spans="2:12" outlineLevel="1">
      <c r="E73" s="490"/>
      <c r="F73" s="490"/>
    </row>
    <row r="74" spans="2:12" outlineLevel="1">
      <c r="E74" s="490"/>
      <c r="F74" s="490"/>
    </row>
    <row r="75" spans="2:12" outlineLevel="1">
      <c r="E75" s="490"/>
      <c r="F75" s="490"/>
    </row>
    <row r="76" spans="2:12" outlineLevel="1">
      <c r="E76" s="490"/>
      <c r="F76" s="490"/>
    </row>
    <row r="77" spans="2:12" outlineLevel="1">
      <c r="E77" s="490"/>
      <c r="F77" s="490"/>
    </row>
    <row r="78" spans="2:12" outlineLevel="1">
      <c r="E78" s="490"/>
      <c r="F78" s="490"/>
    </row>
    <row r="79" spans="2:12" outlineLevel="1"/>
    <row r="80" spans="2:12" outlineLevel="1">
      <c r="B80" s="496"/>
      <c r="C80" s="489"/>
      <c r="D80" s="489"/>
    </row>
    <row r="81" spans="1:44" outlineLevel="1">
      <c r="B81" s="638" t="str">
        <f>C86</f>
        <v>Electric boiler, 10 kV, hot water</v>
      </c>
    </row>
    <row r="84" spans="1:44">
      <c r="A84" s="360" t="s">
        <v>972</v>
      </c>
      <c r="B84" s="1134"/>
      <c r="C84" s="1135"/>
      <c r="D84" s="1135"/>
      <c r="E84" s="1135"/>
      <c r="F84" s="1135"/>
      <c r="G84" s="1135"/>
      <c r="H84" s="1135"/>
      <c r="I84" s="1135"/>
      <c r="J84" s="1135"/>
      <c r="K84" s="1135"/>
      <c r="L84" s="1135"/>
      <c r="M84" s="1135"/>
      <c r="N84" s="361"/>
      <c r="P84" s="1135"/>
      <c r="Q84" s="1135"/>
      <c r="R84" s="1135"/>
      <c r="S84" s="1135"/>
      <c r="T84" s="1135"/>
      <c r="U84" s="1135"/>
    </row>
    <row r="85" spans="1:44" ht="16" outlineLevel="1" thickBot="1">
      <c r="B85" s="1134"/>
      <c r="C85" s="1135"/>
      <c r="D85" s="1135"/>
      <c r="E85" s="1135"/>
      <c r="F85" s="1135"/>
      <c r="G85" s="1135"/>
      <c r="H85" s="1135"/>
      <c r="I85" s="1135"/>
      <c r="J85" s="1135"/>
      <c r="K85" s="1135"/>
      <c r="L85" s="1135"/>
      <c r="M85" s="1135"/>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 customHeight="1" outlineLevel="1" thickBot="1">
      <c r="B86" s="362" t="s">
        <v>0</v>
      </c>
      <c r="C86" s="1176" t="s">
        <v>971</v>
      </c>
      <c r="D86" s="1177"/>
      <c r="E86" s="1177"/>
      <c r="F86" s="1177"/>
      <c r="G86" s="1177"/>
      <c r="H86" s="1177"/>
      <c r="I86" s="1177"/>
      <c r="J86" s="1177"/>
      <c r="K86" s="1177"/>
      <c r="L86" s="1178"/>
      <c r="M86" s="363"/>
      <c r="N86" s="363"/>
      <c r="P86" s="364" t="s">
        <v>713</v>
      </c>
      <c r="Q86" s="365"/>
      <c r="R86" s="366"/>
      <c r="S86" s="1143" t="s">
        <v>714</v>
      </c>
      <c r="T86" s="1147" t="s">
        <v>715</v>
      </c>
      <c r="U86" s="1148"/>
      <c r="V86" s="1147" t="s">
        <v>716</v>
      </c>
      <c r="W86" s="1148"/>
      <c r="X86" s="1147" t="s">
        <v>717</v>
      </c>
      <c r="Y86" s="1148"/>
      <c r="Z86" s="1147" t="s">
        <v>718</v>
      </c>
      <c r="AA86" s="1148"/>
      <c r="AB86" s="1147" t="s">
        <v>719</v>
      </c>
      <c r="AC86" s="1148"/>
      <c r="AE86" s="364" t="s">
        <v>720</v>
      </c>
      <c r="AF86" s="365"/>
      <c r="AG86" s="366"/>
      <c r="AH86" s="1143" t="s">
        <v>714</v>
      </c>
      <c r="AI86" s="1147" t="s">
        <v>715</v>
      </c>
      <c r="AJ86" s="1148"/>
      <c r="AK86" s="1147" t="s">
        <v>716</v>
      </c>
      <c r="AL86" s="1148"/>
      <c r="AM86" s="1147" t="s">
        <v>717</v>
      </c>
      <c r="AN86" s="1148"/>
      <c r="AO86" s="1147" t="s">
        <v>718</v>
      </c>
      <c r="AP86" s="1148"/>
      <c r="AQ86" s="1147" t="s">
        <v>719</v>
      </c>
      <c r="AR86" s="1148"/>
    </row>
    <row r="87" spans="1:44" ht="15" customHeight="1" outlineLevel="1" thickBot="1">
      <c r="B87" s="1168" t="s">
        <v>4</v>
      </c>
      <c r="C87" s="1170">
        <v>2020</v>
      </c>
      <c r="D87" s="1170">
        <v>2030</v>
      </c>
      <c r="E87" s="1170">
        <v>2040</v>
      </c>
      <c r="F87" s="1170">
        <v>2050</v>
      </c>
      <c r="G87" s="1172" t="s">
        <v>721</v>
      </c>
      <c r="H87" s="1173"/>
      <c r="I87" s="1172" t="s">
        <v>648</v>
      </c>
      <c r="J87" s="1173"/>
      <c r="K87" s="1174" t="s">
        <v>2</v>
      </c>
      <c r="L87" s="1174" t="s">
        <v>3</v>
      </c>
      <c r="M87" s="367"/>
      <c r="N87" s="367"/>
      <c r="P87" s="1151" t="s">
        <v>0</v>
      </c>
      <c r="Q87" s="368"/>
      <c r="R87" s="368"/>
      <c r="S87" s="1144"/>
      <c r="T87" s="1149"/>
      <c r="U87" s="1150"/>
      <c r="V87" s="1149"/>
      <c r="W87" s="1150"/>
      <c r="X87" s="1149"/>
      <c r="Y87" s="1150"/>
      <c r="Z87" s="1149"/>
      <c r="AA87" s="1150"/>
      <c r="AB87" s="1149"/>
      <c r="AC87" s="1150"/>
      <c r="AE87" s="1151" t="s">
        <v>0</v>
      </c>
      <c r="AF87" s="368"/>
      <c r="AG87" s="368"/>
      <c r="AH87" s="1144"/>
      <c r="AI87" s="1149"/>
      <c r="AJ87" s="1150"/>
      <c r="AK87" s="1149"/>
      <c r="AL87" s="1150"/>
      <c r="AM87" s="1149"/>
      <c r="AN87" s="1150"/>
      <c r="AO87" s="1149"/>
      <c r="AP87" s="1150"/>
      <c r="AQ87" s="1149"/>
      <c r="AR87" s="1150"/>
    </row>
    <row r="88" spans="1:44" ht="15" customHeight="1" outlineLevel="1" thickBot="1">
      <c r="B88" s="1169"/>
      <c r="C88" s="1171"/>
      <c r="D88" s="1171"/>
      <c r="E88" s="1171"/>
      <c r="F88" s="1171"/>
      <c r="G88" s="499" t="s">
        <v>649</v>
      </c>
      <c r="H88" s="499" t="s">
        <v>650</v>
      </c>
      <c r="I88" s="499" t="s">
        <v>649</v>
      </c>
      <c r="J88" s="499" t="s">
        <v>650</v>
      </c>
      <c r="K88" s="1175"/>
      <c r="L88" s="1175"/>
      <c r="M88" s="370"/>
      <c r="N88" s="370"/>
      <c r="P88" s="1152"/>
      <c r="Q88" s="1154" t="s">
        <v>722</v>
      </c>
      <c r="R88" s="1155" t="s">
        <v>723</v>
      </c>
      <c r="S88" s="1145"/>
      <c r="T88" s="1149"/>
      <c r="U88" s="1150"/>
      <c r="V88" s="1149"/>
      <c r="W88" s="1150"/>
      <c r="X88" s="1149"/>
      <c r="Y88" s="1150"/>
      <c r="Z88" s="1149"/>
      <c r="AA88" s="1150"/>
      <c r="AB88" s="1149"/>
      <c r="AC88" s="1150"/>
      <c r="AE88" s="1152"/>
      <c r="AF88" s="1198" t="s">
        <v>722</v>
      </c>
      <c r="AG88" s="1155" t="s">
        <v>723</v>
      </c>
      <c r="AH88" s="1145"/>
      <c r="AI88" s="1149"/>
      <c r="AJ88" s="1150"/>
      <c r="AK88" s="1149"/>
      <c r="AL88" s="1150"/>
      <c r="AM88" s="1149"/>
      <c r="AN88" s="1150"/>
      <c r="AO88" s="1149"/>
      <c r="AP88" s="1150"/>
      <c r="AQ88" s="1149"/>
      <c r="AR88" s="1150"/>
    </row>
    <row r="89" spans="1:44" ht="33" outlineLevel="1" thickBot="1">
      <c r="B89" s="371" t="s">
        <v>651</v>
      </c>
      <c r="C89" s="372">
        <v>15</v>
      </c>
      <c r="D89" s="372">
        <v>15</v>
      </c>
      <c r="E89" s="372">
        <v>15</v>
      </c>
      <c r="F89" s="372">
        <v>15</v>
      </c>
      <c r="G89" s="372">
        <v>10</v>
      </c>
      <c r="H89" s="372">
        <v>60</v>
      </c>
      <c r="I89" s="372">
        <v>10</v>
      </c>
      <c r="J89" s="372">
        <v>60</v>
      </c>
      <c r="K89" s="372" t="s">
        <v>6</v>
      </c>
      <c r="L89" s="373"/>
      <c r="M89" s="370"/>
      <c r="N89" s="370"/>
      <c r="O89" s="74"/>
      <c r="P89" s="1153"/>
      <c r="Q89" s="1146"/>
      <c r="R89" s="1156"/>
      <c r="S89" s="1146"/>
      <c r="T89" s="374" t="s">
        <v>726</v>
      </c>
      <c r="U89" s="375" t="s">
        <v>727</v>
      </c>
      <c r="V89" s="374" t="s">
        <v>726</v>
      </c>
      <c r="W89" s="375" t="s">
        <v>727</v>
      </c>
      <c r="X89" s="374" t="s">
        <v>726</v>
      </c>
      <c r="Y89" s="375" t="s">
        <v>727</v>
      </c>
      <c r="Z89" s="374" t="s">
        <v>726</v>
      </c>
      <c r="AA89" s="375" t="s">
        <v>727</v>
      </c>
      <c r="AB89" s="374" t="s">
        <v>726</v>
      </c>
      <c r="AC89" s="375" t="s">
        <v>727</v>
      </c>
      <c r="AE89" s="1153"/>
      <c r="AF89" s="1199"/>
      <c r="AG89" s="1156"/>
      <c r="AH89" s="1146"/>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99</v>
      </c>
      <c r="D90" s="501">
        <v>99</v>
      </c>
      <c r="E90" s="502">
        <v>99</v>
      </c>
      <c r="F90" s="501">
        <v>99</v>
      </c>
      <c r="G90" s="501">
        <v>98</v>
      </c>
      <c r="H90" s="501">
        <v>100</v>
      </c>
      <c r="I90" s="501">
        <v>98</v>
      </c>
      <c r="J90" s="501">
        <v>100</v>
      </c>
      <c r="K90" s="503"/>
      <c r="L90" s="504" t="s">
        <v>961</v>
      </c>
      <c r="M90" s="370"/>
      <c r="N90" s="370"/>
      <c r="P90" s="1200" t="str">
        <f>C86</f>
        <v>Electric boiler, 10 kV, hot water</v>
      </c>
      <c r="Q90" s="1188" t="s">
        <v>730</v>
      </c>
      <c r="R90" s="381" t="s">
        <v>731</v>
      </c>
      <c r="S90" s="382" t="s">
        <v>842</v>
      </c>
      <c r="T90" s="1191">
        <v>0</v>
      </c>
      <c r="U90" s="1179">
        <v>0</v>
      </c>
      <c r="V90" s="1182">
        <v>0</v>
      </c>
      <c r="W90" s="1179">
        <v>0</v>
      </c>
      <c r="X90" s="1182">
        <v>0</v>
      </c>
      <c r="Y90" s="1179">
        <v>0</v>
      </c>
      <c r="Z90" s="1182">
        <v>0</v>
      </c>
      <c r="AA90" s="1179">
        <v>0</v>
      </c>
      <c r="AB90" s="1182">
        <v>0</v>
      </c>
      <c r="AC90" s="1179">
        <v>0</v>
      </c>
      <c r="AE90" s="1185" t="str">
        <f>P90</f>
        <v>Electric boiler, 10 kV, hot water</v>
      </c>
      <c r="AF90" s="1188" t="s">
        <v>730</v>
      </c>
      <c r="AG90" s="381" t="s">
        <v>731</v>
      </c>
      <c r="AH90" s="382" t="str">
        <f t="shared" ref="AH90:AR91" si="5">S90</f>
        <v/>
      </c>
      <c r="AI90" s="1191">
        <f t="shared" si="5"/>
        <v>0</v>
      </c>
      <c r="AJ90" s="1179">
        <f t="shared" si="5"/>
        <v>0</v>
      </c>
      <c r="AK90" s="1182">
        <f t="shared" si="5"/>
        <v>0</v>
      </c>
      <c r="AL90" s="1179">
        <f t="shared" si="5"/>
        <v>0</v>
      </c>
      <c r="AM90" s="1182">
        <f t="shared" si="5"/>
        <v>0</v>
      </c>
      <c r="AN90" s="1179">
        <f t="shared" si="5"/>
        <v>0</v>
      </c>
      <c r="AO90" s="1182">
        <f t="shared" si="5"/>
        <v>0</v>
      </c>
      <c r="AP90" s="1179">
        <f t="shared" si="5"/>
        <v>0</v>
      </c>
      <c r="AQ90" s="1182">
        <f t="shared" si="5"/>
        <v>0</v>
      </c>
      <c r="AR90" s="1179">
        <f t="shared" si="5"/>
        <v>0</v>
      </c>
    </row>
    <row r="91" spans="1:44" outlineLevel="1">
      <c r="B91" s="383" t="s">
        <v>732</v>
      </c>
      <c r="C91" s="577">
        <v>99</v>
      </c>
      <c r="D91" s="577">
        <v>99</v>
      </c>
      <c r="E91" s="577">
        <v>99</v>
      </c>
      <c r="F91" s="577">
        <v>99</v>
      </c>
      <c r="G91" s="576">
        <v>98</v>
      </c>
      <c r="H91" s="576">
        <v>99</v>
      </c>
      <c r="I91" s="576">
        <v>98</v>
      </c>
      <c r="J91" s="576">
        <v>99</v>
      </c>
      <c r="K91" s="372"/>
      <c r="L91" s="373" t="s">
        <v>961</v>
      </c>
      <c r="M91" s="370"/>
      <c r="N91" s="370"/>
      <c r="O91" s="71"/>
      <c r="P91" s="1186"/>
      <c r="Q91" s="1189"/>
      <c r="R91" s="388" t="s">
        <v>733</v>
      </c>
      <c r="S91" s="389" t="s">
        <v>842</v>
      </c>
      <c r="T91" s="1192"/>
      <c r="U91" s="1180"/>
      <c r="V91" s="1183"/>
      <c r="W91" s="1180"/>
      <c r="X91" s="1183"/>
      <c r="Y91" s="1180"/>
      <c r="Z91" s="1183"/>
      <c r="AA91" s="1180"/>
      <c r="AB91" s="1183"/>
      <c r="AC91" s="1180"/>
      <c r="AE91" s="1186"/>
      <c r="AF91" s="1189"/>
      <c r="AG91" s="388" t="s">
        <v>733</v>
      </c>
      <c r="AH91" s="389" t="str">
        <f t="shared" si="5"/>
        <v/>
      </c>
      <c r="AI91" s="1192"/>
      <c r="AJ91" s="1180"/>
      <c r="AK91" s="1183"/>
      <c r="AL91" s="1180"/>
      <c r="AM91" s="1183"/>
      <c r="AN91" s="1180"/>
      <c r="AO91" s="1183"/>
      <c r="AP91" s="1180"/>
      <c r="AQ91" s="1183"/>
      <c r="AR91" s="1180"/>
    </row>
    <row r="92" spans="1:44" ht="16" outlineLevel="1" thickBot="1">
      <c r="B92" s="500" t="s">
        <v>734</v>
      </c>
      <c r="C92" s="506">
        <v>0.5</v>
      </c>
      <c r="D92" s="507">
        <v>0.5</v>
      </c>
      <c r="E92" s="507">
        <v>0.5</v>
      </c>
      <c r="F92" s="508">
        <v>0.5</v>
      </c>
      <c r="G92" s="507">
        <v>0.1</v>
      </c>
      <c r="H92" s="507">
        <v>0.5</v>
      </c>
      <c r="I92" s="507">
        <v>0.1</v>
      </c>
      <c r="J92" s="507">
        <v>0.5</v>
      </c>
      <c r="K92" s="503"/>
      <c r="L92" s="504" t="s">
        <v>961</v>
      </c>
      <c r="M92" s="370"/>
      <c r="N92" s="370"/>
      <c r="O92" s="71"/>
      <c r="P92" s="1186"/>
      <c r="Q92" s="1190"/>
      <c r="R92" s="393" t="s">
        <v>735</v>
      </c>
      <c r="S92" s="394"/>
      <c r="T92" s="1193"/>
      <c r="U92" s="1181"/>
      <c r="V92" s="1184"/>
      <c r="W92" s="1181"/>
      <c r="X92" s="1184"/>
      <c r="Y92" s="1181"/>
      <c r="Z92" s="1184"/>
      <c r="AA92" s="1181"/>
      <c r="AB92" s="1184"/>
      <c r="AC92" s="1181"/>
      <c r="AE92" s="1186"/>
      <c r="AF92" s="1190"/>
      <c r="AG92" s="393" t="s">
        <v>735</v>
      </c>
      <c r="AH92" s="394"/>
      <c r="AI92" s="1193"/>
      <c r="AJ92" s="1181"/>
      <c r="AK92" s="1184"/>
      <c r="AL92" s="1181"/>
      <c r="AM92" s="1184"/>
      <c r="AN92" s="1181"/>
      <c r="AO92" s="1184"/>
      <c r="AP92" s="1181"/>
      <c r="AQ92" s="1184"/>
      <c r="AR92" s="1181"/>
    </row>
    <row r="93" spans="1:44" ht="15" customHeight="1" outlineLevel="1">
      <c r="B93" s="500" t="s">
        <v>657</v>
      </c>
      <c r="C93" s="506">
        <v>1</v>
      </c>
      <c r="D93" s="506">
        <v>1</v>
      </c>
      <c r="E93" s="506">
        <v>1</v>
      </c>
      <c r="F93" s="506">
        <v>1</v>
      </c>
      <c r="G93" s="506">
        <v>0.5</v>
      </c>
      <c r="H93" s="506">
        <v>1</v>
      </c>
      <c r="I93" s="506">
        <v>0.5</v>
      </c>
      <c r="J93" s="506">
        <v>1</v>
      </c>
      <c r="K93" s="503"/>
      <c r="L93" s="504" t="s">
        <v>961</v>
      </c>
      <c r="M93" s="370"/>
      <c r="N93" s="370"/>
      <c r="O93" s="71"/>
      <c r="P93" s="1186"/>
      <c r="Q93" s="1188" t="s">
        <v>736</v>
      </c>
      <c r="R93" s="395" t="s">
        <v>737</v>
      </c>
      <c r="S93" s="396" t="s">
        <v>738</v>
      </c>
      <c r="T93" s="1191">
        <v>0</v>
      </c>
      <c r="U93" s="1191">
        <v>0.67</v>
      </c>
      <c r="V93" s="1191">
        <v>0</v>
      </c>
      <c r="W93" s="1191">
        <v>0.56999999999999995</v>
      </c>
      <c r="X93" s="1191">
        <v>0</v>
      </c>
      <c r="Y93" s="1191">
        <v>0.5</v>
      </c>
      <c r="Z93" s="1191">
        <v>0</v>
      </c>
      <c r="AA93" s="1191">
        <v>0.51</v>
      </c>
      <c r="AB93" s="1191">
        <v>0</v>
      </c>
      <c r="AC93" s="1179">
        <v>0.41</v>
      </c>
      <c r="AE93" s="1186"/>
      <c r="AF93" s="1188" t="s">
        <v>736</v>
      </c>
      <c r="AG93" s="395" t="s">
        <v>737</v>
      </c>
      <c r="AH93" s="396" t="str">
        <f>S93</f>
        <v>x</v>
      </c>
      <c r="AI93" s="1191">
        <f>T93</f>
        <v>0</v>
      </c>
      <c r="AJ93" s="1191">
        <f>U93/4</f>
        <v>0.16750000000000001</v>
      </c>
      <c r="AK93" s="1191">
        <f>V93</f>
        <v>0</v>
      </c>
      <c r="AL93" s="1191">
        <f>W93/4</f>
        <v>0.14249999999999999</v>
      </c>
      <c r="AM93" s="1191">
        <f>X93</f>
        <v>0</v>
      </c>
      <c r="AN93" s="1191">
        <f>Y93/4</f>
        <v>0.125</v>
      </c>
      <c r="AO93" s="1191">
        <f>Z93</f>
        <v>0</v>
      </c>
      <c r="AP93" s="1191">
        <f>AA93/4</f>
        <v>0.1275</v>
      </c>
      <c r="AQ93" s="1191">
        <f>AB93</f>
        <v>0</v>
      </c>
      <c r="AR93" s="1179">
        <f>AC93/4</f>
        <v>0.10249999999999999</v>
      </c>
    </row>
    <row r="94" spans="1:44" outlineLevel="1">
      <c r="B94" s="500" t="s">
        <v>658</v>
      </c>
      <c r="C94" s="506">
        <v>0.2</v>
      </c>
      <c r="D94" s="506">
        <v>0.2</v>
      </c>
      <c r="E94" s="506">
        <v>0.2</v>
      </c>
      <c r="F94" s="506">
        <v>0.2</v>
      </c>
      <c r="G94" s="506">
        <v>0.2</v>
      </c>
      <c r="H94" s="506">
        <v>0.2</v>
      </c>
      <c r="I94" s="506">
        <v>0.2</v>
      </c>
      <c r="J94" s="506">
        <v>0.2</v>
      </c>
      <c r="K94" s="503"/>
      <c r="L94" s="504">
        <v>1</v>
      </c>
      <c r="M94" s="367"/>
      <c r="N94" s="367"/>
      <c r="O94" s="71"/>
      <c r="P94" s="1186"/>
      <c r="Q94" s="1189"/>
      <c r="R94" s="395" t="s">
        <v>739</v>
      </c>
      <c r="S94" s="396" t="s">
        <v>738</v>
      </c>
      <c r="T94" s="1194"/>
      <c r="U94" s="1194"/>
      <c r="V94" s="1194"/>
      <c r="W94" s="1194"/>
      <c r="X94" s="1194"/>
      <c r="Y94" s="1194"/>
      <c r="Z94" s="1194"/>
      <c r="AA94" s="1194"/>
      <c r="AB94" s="1194"/>
      <c r="AC94" s="1196"/>
      <c r="AE94" s="1186"/>
      <c r="AF94" s="1189"/>
      <c r="AG94" s="395" t="s">
        <v>739</v>
      </c>
      <c r="AH94" s="396" t="str">
        <f>S94</f>
        <v>x</v>
      </c>
      <c r="AI94" s="1194"/>
      <c r="AJ94" s="1194"/>
      <c r="AK94" s="1194"/>
      <c r="AL94" s="1194"/>
      <c r="AM94" s="1194"/>
      <c r="AN94" s="1194"/>
      <c r="AO94" s="1194"/>
      <c r="AP94" s="1194"/>
      <c r="AQ94" s="1194"/>
      <c r="AR94" s="1196"/>
    </row>
    <row r="95" spans="1:44" outlineLevel="1">
      <c r="B95" s="383" t="s">
        <v>11</v>
      </c>
      <c r="C95" s="397">
        <v>25</v>
      </c>
      <c r="D95" s="397">
        <v>25</v>
      </c>
      <c r="E95" s="397">
        <v>25</v>
      </c>
      <c r="F95" s="397">
        <v>25</v>
      </c>
      <c r="G95" s="399">
        <v>20</v>
      </c>
      <c r="H95" s="399">
        <v>25</v>
      </c>
      <c r="I95" s="399">
        <v>20</v>
      </c>
      <c r="J95" s="399">
        <v>25</v>
      </c>
      <c r="K95" s="372"/>
      <c r="L95" s="373">
        <v>2</v>
      </c>
      <c r="M95" s="363"/>
      <c r="N95" s="363"/>
      <c r="P95" s="1186"/>
      <c r="Q95" s="1189"/>
      <c r="R95" s="395" t="s">
        <v>741</v>
      </c>
      <c r="S95" s="396" t="s">
        <v>738</v>
      </c>
      <c r="T95" s="1194"/>
      <c r="U95" s="1194"/>
      <c r="V95" s="1194"/>
      <c r="W95" s="1194"/>
      <c r="X95" s="1194"/>
      <c r="Y95" s="1194"/>
      <c r="Z95" s="1194"/>
      <c r="AA95" s="1194"/>
      <c r="AB95" s="1194"/>
      <c r="AC95" s="1196"/>
      <c r="AE95" s="1186"/>
      <c r="AF95" s="1189"/>
      <c r="AG95" s="395" t="s">
        <v>741</v>
      </c>
      <c r="AH95" s="629" t="str">
        <f>S95</f>
        <v>x</v>
      </c>
      <c r="AI95" s="1194"/>
      <c r="AJ95" s="1194"/>
      <c r="AK95" s="1194"/>
      <c r="AL95" s="1194"/>
      <c r="AM95" s="1194"/>
      <c r="AN95" s="1194"/>
      <c r="AO95" s="1194"/>
      <c r="AP95" s="1194"/>
      <c r="AQ95" s="1194"/>
      <c r="AR95" s="1196"/>
    </row>
    <row r="96" spans="1:44" ht="16" outlineLevel="1" thickBot="1">
      <c r="B96" s="500" t="s">
        <v>273</v>
      </c>
      <c r="C96" s="506">
        <v>0.5</v>
      </c>
      <c r="D96" s="506">
        <v>0.5</v>
      </c>
      <c r="E96" s="506">
        <v>0.5</v>
      </c>
      <c r="F96" s="506">
        <v>0.5</v>
      </c>
      <c r="G96" s="506">
        <v>0.5</v>
      </c>
      <c r="H96" s="506">
        <v>1</v>
      </c>
      <c r="I96" s="506">
        <v>0.5</v>
      </c>
      <c r="J96" s="506">
        <v>1</v>
      </c>
      <c r="K96" s="372"/>
      <c r="L96" s="400">
        <v>1</v>
      </c>
      <c r="M96" s="363"/>
      <c r="N96" s="363"/>
      <c r="P96" s="1186"/>
      <c r="Q96" s="1189"/>
      <c r="R96" s="395" t="s">
        <v>742</v>
      </c>
      <c r="S96" s="396" t="s">
        <v>738</v>
      </c>
      <c r="T96" s="1194"/>
      <c r="U96" s="1194"/>
      <c r="V96" s="1194"/>
      <c r="W96" s="1194"/>
      <c r="X96" s="1194"/>
      <c r="Y96" s="1194"/>
      <c r="Z96" s="1194"/>
      <c r="AA96" s="1194"/>
      <c r="AB96" s="1194"/>
      <c r="AC96" s="1196"/>
      <c r="AE96" s="1186"/>
      <c r="AF96" s="1189"/>
      <c r="AG96" s="395" t="s">
        <v>742</v>
      </c>
      <c r="AH96" s="396" t="str">
        <f>S96</f>
        <v>x</v>
      </c>
      <c r="AI96" s="1194"/>
      <c r="AJ96" s="1194"/>
      <c r="AK96" s="1194"/>
      <c r="AL96" s="1194"/>
      <c r="AM96" s="1194"/>
      <c r="AN96" s="1194"/>
      <c r="AO96" s="1194"/>
      <c r="AP96" s="1194"/>
      <c r="AQ96" s="1194"/>
      <c r="AR96" s="1196"/>
    </row>
    <row r="97" spans="1:44" ht="16" outlineLevel="1" thickBot="1">
      <c r="B97" s="401" t="s">
        <v>743</v>
      </c>
      <c r="C97" s="402"/>
      <c r="D97" s="403"/>
      <c r="E97" s="404"/>
      <c r="F97" s="405"/>
      <c r="G97" s="406"/>
      <c r="H97" s="406"/>
      <c r="I97" s="406"/>
      <c r="J97" s="406"/>
      <c r="K97" s="407"/>
      <c r="L97" s="408"/>
      <c r="M97" s="363"/>
      <c r="N97" s="363"/>
      <c r="P97" s="1186"/>
      <c r="Q97" s="1190"/>
      <c r="R97" s="409" t="s">
        <v>863</v>
      </c>
      <c r="S97" s="410" t="s">
        <v>738</v>
      </c>
      <c r="T97" s="1195"/>
      <c r="U97" s="1195"/>
      <c r="V97" s="1195"/>
      <c r="W97" s="1195"/>
      <c r="X97" s="1195"/>
      <c r="Y97" s="1195"/>
      <c r="Z97" s="1195"/>
      <c r="AA97" s="1195"/>
      <c r="AB97" s="1195"/>
      <c r="AC97" s="1197"/>
      <c r="AE97" s="1186"/>
      <c r="AF97" s="1190"/>
      <c r="AG97" s="409" t="s">
        <v>863</v>
      </c>
      <c r="AH97" s="410" t="str">
        <f>S97</f>
        <v>x</v>
      </c>
      <c r="AI97" s="1195"/>
      <c r="AJ97" s="1195"/>
      <c r="AK97" s="1195"/>
      <c r="AL97" s="1195"/>
      <c r="AM97" s="1195"/>
      <c r="AN97" s="1195"/>
      <c r="AO97" s="1195"/>
      <c r="AP97" s="1195"/>
      <c r="AQ97" s="1195"/>
      <c r="AR97" s="1197"/>
    </row>
    <row r="98" spans="1:44" ht="33" outlineLevel="1" thickBot="1">
      <c r="B98" s="500" t="s">
        <v>663</v>
      </c>
      <c r="C98" s="506">
        <v>5</v>
      </c>
      <c r="D98" s="506">
        <v>5</v>
      </c>
      <c r="E98" s="506">
        <v>5</v>
      </c>
      <c r="F98" s="506">
        <v>5</v>
      </c>
      <c r="G98" s="507"/>
      <c r="H98" s="507"/>
      <c r="I98" s="507"/>
      <c r="J98" s="507"/>
      <c r="K98" s="503"/>
      <c r="L98" s="504">
        <v>1</v>
      </c>
      <c r="M98" s="363"/>
      <c r="N98" s="363"/>
      <c r="P98" s="1187"/>
      <c r="Q98" s="411" t="s">
        <v>745</v>
      </c>
      <c r="R98" s="412" t="s">
        <v>746</v>
      </c>
      <c r="S98" s="630" t="s">
        <v>738</v>
      </c>
      <c r="T98" s="416">
        <v>1</v>
      </c>
      <c r="U98" s="415">
        <v>1</v>
      </c>
      <c r="V98" s="416">
        <v>1</v>
      </c>
      <c r="W98" s="415">
        <v>1</v>
      </c>
      <c r="X98" s="416">
        <v>1</v>
      </c>
      <c r="Y98" s="415">
        <v>1</v>
      </c>
      <c r="Z98" s="416">
        <v>1</v>
      </c>
      <c r="AA98" s="415">
        <v>1</v>
      </c>
      <c r="AB98" s="416">
        <v>1</v>
      </c>
      <c r="AC98" s="417">
        <v>1</v>
      </c>
      <c r="AE98" s="1187"/>
      <c r="AF98" s="411" t="s">
        <v>745</v>
      </c>
      <c r="AG98" s="631" t="s">
        <v>746</v>
      </c>
      <c r="AH98" s="632" t="s">
        <v>738</v>
      </c>
      <c r="AI98" s="416">
        <v>1</v>
      </c>
      <c r="AJ98" s="415">
        <v>1</v>
      </c>
      <c r="AK98" s="416">
        <v>1</v>
      </c>
      <c r="AL98" s="415">
        <v>1</v>
      </c>
      <c r="AM98" s="416">
        <v>1</v>
      </c>
      <c r="AN98" s="415">
        <v>1</v>
      </c>
      <c r="AO98" s="416">
        <v>1</v>
      </c>
      <c r="AP98" s="415">
        <v>1</v>
      </c>
      <c r="AQ98" s="416">
        <v>1</v>
      </c>
      <c r="AR98" s="417">
        <v>1</v>
      </c>
    </row>
    <row r="99" spans="1:44" outlineLevel="1">
      <c r="B99" s="500" t="s">
        <v>664</v>
      </c>
      <c r="C99" s="506">
        <v>8.0000000000000002E-3</v>
      </c>
      <c r="D99" s="506">
        <v>8.0000000000000002E-3</v>
      </c>
      <c r="E99" s="506">
        <v>8.0000000000000002E-3</v>
      </c>
      <c r="F99" s="506">
        <v>8.0000000000000002E-3</v>
      </c>
      <c r="G99" s="509"/>
      <c r="H99" s="509"/>
      <c r="I99" s="509"/>
      <c r="J99" s="509"/>
      <c r="K99" s="510"/>
      <c r="L99" s="504">
        <v>1</v>
      </c>
      <c r="M99" s="363"/>
      <c r="N99" s="363"/>
    </row>
    <row r="100" spans="1:44" outlineLevel="1">
      <c r="B100" s="500" t="s">
        <v>666</v>
      </c>
      <c r="C100" s="506">
        <v>0.08</v>
      </c>
      <c r="D100" s="506">
        <v>0.08</v>
      </c>
      <c r="E100" s="506">
        <v>0.08</v>
      </c>
      <c r="F100" s="506">
        <v>0.08</v>
      </c>
      <c r="G100" s="509"/>
      <c r="H100" s="509"/>
      <c r="I100" s="509"/>
      <c r="J100" s="509"/>
      <c r="K100" s="510"/>
      <c r="L100" s="504">
        <v>1</v>
      </c>
      <c r="M100" s="420"/>
      <c r="N100" s="363"/>
    </row>
    <row r="101" spans="1:44" outlineLevel="1">
      <c r="B101" s="421" t="s">
        <v>12</v>
      </c>
      <c r="C101" s="399"/>
      <c r="D101" s="399"/>
      <c r="E101" s="399"/>
      <c r="F101" s="399"/>
      <c r="G101" s="422"/>
      <c r="H101" s="422"/>
      <c r="I101" s="422"/>
      <c r="J101" s="422"/>
      <c r="K101" s="423"/>
      <c r="L101" s="424"/>
      <c r="M101" s="420"/>
      <c r="N101" s="420"/>
    </row>
    <row r="102" spans="1:44" ht="42" outlineLevel="1">
      <c r="B102" s="383" t="s">
        <v>843</v>
      </c>
      <c r="C102" s="397" t="s">
        <v>669</v>
      </c>
      <c r="D102" s="397"/>
      <c r="E102" s="397"/>
      <c r="F102" s="397"/>
      <c r="G102" s="422"/>
      <c r="H102" s="425"/>
      <c r="I102" s="425"/>
      <c r="J102" s="425"/>
      <c r="K102" s="426"/>
      <c r="L102" s="427"/>
      <c r="M102" s="428"/>
      <c r="N102" s="428"/>
    </row>
    <row r="103" spans="1:44" outlineLevel="1">
      <c r="B103" s="383" t="s">
        <v>749</v>
      </c>
      <c r="C103" s="397"/>
      <c r="D103" s="397"/>
      <c r="E103" s="397"/>
      <c r="F103" s="397"/>
      <c r="G103" s="425"/>
      <c r="H103" s="425"/>
      <c r="I103" s="425"/>
      <c r="J103" s="425"/>
      <c r="K103" s="423"/>
      <c r="L103" s="427"/>
      <c r="M103" s="428"/>
      <c r="N103" s="428"/>
    </row>
    <row r="104" spans="1:44" outlineLevel="1">
      <c r="B104" s="383" t="s">
        <v>844</v>
      </c>
      <c r="C104" s="397"/>
      <c r="D104" s="397"/>
      <c r="E104" s="397"/>
      <c r="F104" s="397"/>
      <c r="G104" s="425"/>
      <c r="H104" s="425"/>
      <c r="I104" s="425"/>
      <c r="J104" s="425"/>
      <c r="K104" s="423"/>
      <c r="L104" s="427"/>
      <c r="M104" s="428"/>
      <c r="N104" s="428"/>
    </row>
    <row r="105" spans="1:44" outlineLevel="1">
      <c r="B105" s="383" t="s">
        <v>366</v>
      </c>
      <c r="C105" s="397"/>
      <c r="D105" s="397"/>
      <c r="E105" s="397"/>
      <c r="F105" s="397"/>
      <c r="G105" s="425"/>
      <c r="H105" s="425"/>
      <c r="I105" s="425"/>
      <c r="J105" s="425"/>
      <c r="K105" s="423"/>
      <c r="L105" s="427"/>
      <c r="M105" s="428"/>
      <c r="N105" s="428"/>
    </row>
    <row r="106" spans="1:44" ht="16" outlineLevel="1" thickBot="1">
      <c r="B106" s="429" t="s">
        <v>367</v>
      </c>
      <c r="C106" s="430"/>
      <c r="D106" s="430"/>
      <c r="E106" s="430"/>
      <c r="F106" s="430"/>
      <c r="G106" s="425"/>
      <c r="H106" s="425"/>
      <c r="I106" s="425"/>
      <c r="J106" s="425"/>
      <c r="K106" s="423"/>
      <c r="L106" s="427"/>
      <c r="M106" s="428"/>
      <c r="N106" s="428"/>
    </row>
    <row r="107" spans="1:44" ht="16" outlineLevel="1" thickBot="1">
      <c r="B107" s="431" t="s">
        <v>674</v>
      </c>
      <c r="C107" s="432"/>
      <c r="D107" s="403"/>
      <c r="E107" s="403"/>
      <c r="F107" s="433"/>
      <c r="G107" s="434"/>
      <c r="H107" s="406"/>
      <c r="I107" s="406"/>
      <c r="J107" s="406"/>
      <c r="K107" s="407"/>
      <c r="L107" s="408"/>
      <c r="M107" s="428"/>
      <c r="N107" s="428"/>
    </row>
    <row r="108" spans="1:44" ht="14.5" customHeight="1" outlineLevel="1">
      <c r="A108" s="435"/>
      <c r="B108" s="436" t="s">
        <v>910</v>
      </c>
      <c r="C108" s="511">
        <v>7.0000000000000007E-2</v>
      </c>
      <c r="D108" s="512">
        <v>0.06</v>
      </c>
      <c r="E108" s="512">
        <v>0.06</v>
      </c>
      <c r="F108" s="513">
        <v>0.06</v>
      </c>
      <c r="G108" s="425"/>
      <c r="H108" s="425"/>
      <c r="I108" s="425"/>
      <c r="J108" s="425"/>
      <c r="K108" s="426" t="s">
        <v>838</v>
      </c>
      <c r="L108" s="440" t="s">
        <v>961</v>
      </c>
      <c r="M108" s="420"/>
      <c r="N108" s="420"/>
    </row>
    <row r="109" spans="1:44" outlineLevel="1">
      <c r="B109" s="441" t="s">
        <v>839</v>
      </c>
      <c r="C109" s="442">
        <v>85</v>
      </c>
      <c r="D109" s="442">
        <v>85</v>
      </c>
      <c r="E109" s="442">
        <v>85</v>
      </c>
      <c r="F109" s="442">
        <v>85</v>
      </c>
      <c r="G109" s="425"/>
      <c r="H109" s="425"/>
      <c r="I109" s="425"/>
      <c r="J109" s="425"/>
      <c r="K109" s="444"/>
      <c r="L109" s="373">
        <v>1</v>
      </c>
      <c r="M109" s="71"/>
      <c r="N109" s="420"/>
    </row>
    <row r="110" spans="1:44" outlineLevel="1">
      <c r="B110" s="441" t="s">
        <v>840</v>
      </c>
      <c r="C110" s="442">
        <v>15</v>
      </c>
      <c r="D110" s="442">
        <v>15</v>
      </c>
      <c r="E110" s="442">
        <v>15</v>
      </c>
      <c r="F110" s="442">
        <v>15</v>
      </c>
      <c r="G110" s="425"/>
      <c r="H110" s="425"/>
      <c r="I110" s="425"/>
      <c r="J110" s="425"/>
      <c r="K110" s="444"/>
      <c r="L110" s="373">
        <v>1</v>
      </c>
      <c r="M110" s="420"/>
      <c r="N110" s="420"/>
    </row>
    <row r="111" spans="1:44" outlineLevel="1">
      <c r="B111" s="383" t="s">
        <v>841</v>
      </c>
      <c r="C111" s="445">
        <v>1070</v>
      </c>
      <c r="D111" s="446">
        <v>1020</v>
      </c>
      <c r="E111" s="446">
        <v>970</v>
      </c>
      <c r="F111" s="447">
        <v>920</v>
      </c>
      <c r="G111" s="425"/>
      <c r="H111" s="425"/>
      <c r="I111" s="425"/>
      <c r="J111" s="425"/>
      <c r="K111" s="448"/>
      <c r="L111" s="373">
        <v>1</v>
      </c>
      <c r="M111" s="420"/>
      <c r="N111" s="420"/>
    </row>
    <row r="112" spans="1:44" outlineLevel="1">
      <c r="B112" s="383" t="s">
        <v>679</v>
      </c>
      <c r="C112" s="449">
        <f>C113+C114</f>
        <v>0.86499999999999999</v>
      </c>
      <c r="D112" s="449">
        <f t="shared" ref="D112:F112" si="6">D113+D114</f>
        <v>0.875</v>
      </c>
      <c r="E112" s="449">
        <f t="shared" si="6"/>
        <v>0.78</v>
      </c>
      <c r="F112" s="449">
        <f t="shared" si="6"/>
        <v>0.78</v>
      </c>
      <c r="G112" s="425"/>
      <c r="H112" s="425"/>
      <c r="I112" s="425"/>
      <c r="J112" s="425"/>
      <c r="K112" s="448"/>
      <c r="L112" s="373"/>
      <c r="M112" s="450"/>
      <c r="N112" s="361"/>
      <c r="P112" s="1157">
        <f>C112</f>
        <v>0.86499999999999999</v>
      </c>
      <c r="Q112" s="1135"/>
      <c r="R112" s="1135"/>
      <c r="S112" s="1135"/>
      <c r="T112" s="1135"/>
      <c r="U112" s="1158"/>
    </row>
    <row r="113" spans="2:30" ht="16" outlineLevel="1" thickBot="1">
      <c r="B113" s="500" t="s">
        <v>758</v>
      </c>
      <c r="C113" s="514">
        <f>C92/100*73</f>
        <v>0.36499999999999999</v>
      </c>
      <c r="D113" s="514">
        <f>D92/100*75</f>
        <v>0.375</v>
      </c>
      <c r="E113" s="514">
        <f>E92/100*76</f>
        <v>0.38</v>
      </c>
      <c r="F113" s="514">
        <f>F92/100*76</f>
        <v>0.38</v>
      </c>
      <c r="G113" s="515"/>
      <c r="H113" s="515"/>
      <c r="I113" s="515"/>
      <c r="J113" s="515"/>
      <c r="K113" s="503" t="s">
        <v>20</v>
      </c>
      <c r="L113" s="504"/>
      <c r="M113" s="450"/>
      <c r="N113" s="361"/>
      <c r="P113" s="1159">
        <f>C113</f>
        <v>0.36499999999999999</v>
      </c>
      <c r="Q113" s="1160"/>
      <c r="R113" s="1160"/>
      <c r="S113" s="1160"/>
      <c r="T113" s="1160"/>
      <c r="U113" s="1161"/>
    </row>
    <row r="114" spans="2:30" outlineLevel="1">
      <c r="B114" s="500" t="s">
        <v>759</v>
      </c>
      <c r="C114" s="680">
        <v>0.5</v>
      </c>
      <c r="D114" s="680">
        <v>0.5</v>
      </c>
      <c r="E114" s="680">
        <v>0.4</v>
      </c>
      <c r="F114" s="680">
        <v>0.4</v>
      </c>
      <c r="G114" s="515"/>
      <c r="H114" s="515"/>
      <c r="I114" s="515"/>
      <c r="J114" s="515"/>
      <c r="K114" s="517"/>
      <c r="L114" s="504">
        <v>1</v>
      </c>
      <c r="M114" s="363"/>
      <c r="N114" s="363"/>
      <c r="P114" s="53" t="s">
        <v>357</v>
      </c>
    </row>
    <row r="115" spans="2:30" ht="30"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7"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33"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f>C108*0.5</f>
        <v>3.5000000000000003E-2</v>
      </c>
      <c r="D118" s="670">
        <f t="shared" ref="D118:F118" si="7">D108*0.5</f>
        <v>0.03</v>
      </c>
      <c r="E118" s="670">
        <f t="shared" si="7"/>
        <v>0.03</v>
      </c>
      <c r="F118" s="670">
        <f t="shared" si="7"/>
        <v>0.03</v>
      </c>
      <c r="G118" s="671"/>
      <c r="H118" s="671"/>
      <c r="I118" s="671"/>
      <c r="J118" s="671"/>
      <c r="K118" s="671" t="s">
        <v>76</v>
      </c>
      <c r="L118" s="525"/>
      <c r="M118" s="363"/>
      <c r="N118" s="363"/>
      <c r="O118" s="465">
        <f>C91</f>
        <v>99</v>
      </c>
      <c r="P118" s="466">
        <f>C87</f>
        <v>2020</v>
      </c>
      <c r="Q118" s="58">
        <f>P118</f>
        <v>2020</v>
      </c>
      <c r="R118" s="466">
        <f>O118/100</f>
        <v>0.99</v>
      </c>
      <c r="S118" s="58"/>
      <c r="T118" s="466">
        <f>C95</f>
        <v>25</v>
      </c>
      <c r="U118" s="467">
        <f>C125</f>
        <v>521.50000000000011</v>
      </c>
      <c r="V118" s="467">
        <f>C127</f>
        <v>7.9714999999999998</v>
      </c>
      <c r="W118" s="467">
        <f>C128</f>
        <v>1.7900694444444445</v>
      </c>
      <c r="X118" s="58"/>
      <c r="Y118" s="58"/>
      <c r="Z118" s="466" t="str">
        <f>C102</f>
        <v>Cf. the utilized electricity</v>
      </c>
      <c r="AA118" s="468">
        <f>C104</f>
        <v>0</v>
      </c>
      <c r="AB118" s="468">
        <f>C105</f>
        <v>0</v>
      </c>
      <c r="AC118" s="468">
        <f>C106</f>
        <v>0</v>
      </c>
      <c r="AD118" s="468">
        <f>C103</f>
        <v>0</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99</v>
      </c>
      <c r="P119" s="466">
        <f>D87</f>
        <v>2030</v>
      </c>
      <c r="Q119" s="58"/>
      <c r="R119" s="466">
        <f>O119/100</f>
        <v>0.99</v>
      </c>
      <c r="S119" s="58"/>
      <c r="T119" s="466">
        <f>D95</f>
        <v>25</v>
      </c>
      <c r="U119" s="467">
        <f>D125</f>
        <v>447</v>
      </c>
      <c r="V119" s="467">
        <f>D127</f>
        <v>7.5990000000000002</v>
      </c>
      <c r="W119" s="467">
        <f>D128</f>
        <v>1.8107638888888888</v>
      </c>
      <c r="X119" s="58"/>
      <c r="Y119" s="58"/>
      <c r="Z119" s="466">
        <f>D102</f>
        <v>0</v>
      </c>
      <c r="AA119" s="468">
        <f>D104</f>
        <v>0</v>
      </c>
      <c r="AB119" s="468">
        <f>D105</f>
        <v>0</v>
      </c>
      <c r="AC119" s="468">
        <f>D106</f>
        <v>0</v>
      </c>
      <c r="AD119" s="468">
        <f>D103</f>
        <v>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99</v>
      </c>
      <c r="P120" s="466">
        <f>E87</f>
        <v>2040</v>
      </c>
      <c r="Q120" s="58"/>
      <c r="R120" s="466">
        <f>O120/100</f>
        <v>0.99</v>
      </c>
      <c r="S120" s="58"/>
      <c r="T120" s="466">
        <f>E95</f>
        <v>25</v>
      </c>
      <c r="U120" s="467">
        <f>E125</f>
        <v>447</v>
      </c>
      <c r="V120" s="467">
        <f>E127</f>
        <v>7.2264999999999997</v>
      </c>
      <c r="W120" s="467">
        <f>E128</f>
        <v>1.6141666666666665</v>
      </c>
      <c r="X120" s="58"/>
      <c r="Y120" s="58"/>
      <c r="Z120" s="466">
        <f>E102</f>
        <v>0</v>
      </c>
      <c r="AA120" s="468">
        <f>E104</f>
        <v>0</v>
      </c>
      <c r="AB120" s="468">
        <f>E105</f>
        <v>0</v>
      </c>
      <c r="AC120" s="468">
        <f>E106</f>
        <v>0</v>
      </c>
      <c r="AD120" s="468">
        <f>E103</f>
        <v>0</v>
      </c>
    </row>
    <row r="121" spans="2:30" outlineLevel="1">
      <c r="B121" s="500" t="s">
        <v>765</v>
      </c>
      <c r="C121" s="685" t="s">
        <v>669</v>
      </c>
      <c r="D121" s="530"/>
      <c r="E121" s="530"/>
      <c r="F121" s="530"/>
      <c r="G121" s="531"/>
      <c r="H121" s="531"/>
      <c r="I121" s="531"/>
      <c r="J121" s="531"/>
      <c r="K121" s="531"/>
      <c r="L121" s="504"/>
      <c r="M121" s="363"/>
      <c r="N121" s="363"/>
      <c r="O121" s="465">
        <f>F91</f>
        <v>99</v>
      </c>
      <c r="P121" s="466">
        <f>F87</f>
        <v>2050</v>
      </c>
      <c r="Q121" s="58"/>
      <c r="R121" s="466">
        <f>O121/100</f>
        <v>0.99</v>
      </c>
      <c r="S121" s="58"/>
      <c r="T121" s="466">
        <f>F95</f>
        <v>25</v>
      </c>
      <c r="U121" s="467">
        <f>F125</f>
        <v>447</v>
      </c>
      <c r="V121" s="467">
        <f>F127</f>
        <v>6.8540000000000001</v>
      </c>
      <c r="W121" s="467">
        <f>F128</f>
        <v>1.6141666666666665</v>
      </c>
      <c r="X121" s="58"/>
      <c r="Y121" s="58"/>
      <c r="Z121" s="466">
        <f>F102</f>
        <v>0</v>
      </c>
      <c r="AA121" s="468">
        <f>F104</f>
        <v>0</v>
      </c>
      <c r="AB121" s="468">
        <f>F105</f>
        <v>0</v>
      </c>
      <c r="AC121" s="468">
        <f>F106</f>
        <v>0</v>
      </c>
      <c r="AD121" s="468">
        <f>F103</f>
        <v>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6" outlineLevel="1" thickBot="1">
      <c r="B124" s="534" t="s">
        <v>768</v>
      </c>
      <c r="C124" s="682" t="s">
        <v>36</v>
      </c>
      <c r="D124" s="683" t="s">
        <v>36</v>
      </c>
      <c r="E124" s="683" t="s">
        <v>36</v>
      </c>
      <c r="F124" s="684" t="s">
        <v>36</v>
      </c>
      <c r="G124" s="538"/>
      <c r="H124" s="538"/>
      <c r="I124" s="538"/>
      <c r="J124" s="538"/>
      <c r="K124" s="538"/>
      <c r="L124" s="539"/>
      <c r="M124" s="363"/>
      <c r="N124" s="363"/>
    </row>
    <row r="125" spans="2:30" ht="64" outlineLevel="1">
      <c r="B125" s="461" t="s">
        <v>769</v>
      </c>
      <c r="C125" s="483">
        <f>C108*$F$4*1000</f>
        <v>521.50000000000011</v>
      </c>
      <c r="D125" s="483">
        <f t="shared" ref="D125:F125" si="8">D108*$F$4*1000</f>
        <v>447</v>
      </c>
      <c r="E125" s="483">
        <f t="shared" si="8"/>
        <v>447</v>
      </c>
      <c r="F125" s="483">
        <f t="shared" si="8"/>
        <v>447</v>
      </c>
      <c r="G125" s="483"/>
      <c r="H125" s="484"/>
      <c r="I125" s="420" t="s">
        <v>332</v>
      </c>
      <c r="J125" s="420"/>
      <c r="K125" s="484"/>
      <c r="L125" s="484"/>
      <c r="N125" s="420"/>
    </row>
    <row r="126" spans="2:30" outlineLevel="1">
      <c r="B126" s="485" t="s">
        <v>770</v>
      </c>
      <c r="C126" s="486">
        <f>C125*$I126</f>
        <v>260750.00000000006</v>
      </c>
      <c r="D126" s="486">
        <f>D125*$I126</f>
        <v>223500</v>
      </c>
      <c r="E126" s="486">
        <f>E125*$I126</f>
        <v>223500</v>
      </c>
      <c r="F126" s="486">
        <f>F125*$I126</f>
        <v>223500</v>
      </c>
      <c r="G126" s="486"/>
      <c r="H126" s="484"/>
      <c r="I126" s="71">
        <v>500</v>
      </c>
      <c r="J126" s="420" t="s">
        <v>330</v>
      </c>
      <c r="K126" s="484"/>
      <c r="L126" s="484"/>
      <c r="N126" s="420"/>
    </row>
    <row r="127" spans="2:30" ht="48" outlineLevel="1">
      <c r="B127" s="461" t="s">
        <v>845</v>
      </c>
      <c r="C127" s="359">
        <f>C111*$F$4/1000</f>
        <v>7.9714999999999998</v>
      </c>
      <c r="D127" s="359">
        <f t="shared" ref="D127:F127" si="9">D111*$F$4/1000</f>
        <v>7.5990000000000002</v>
      </c>
      <c r="E127" s="359">
        <f t="shared" si="9"/>
        <v>7.2264999999999997</v>
      </c>
      <c r="F127" s="359">
        <f t="shared" si="9"/>
        <v>6.8540000000000001</v>
      </c>
      <c r="G127" s="359"/>
      <c r="I127" s="420" t="s">
        <v>333</v>
      </c>
      <c r="J127" s="420"/>
      <c r="N127" s="420"/>
    </row>
    <row r="128" spans="2:30" ht="48" outlineLevel="1">
      <c r="B128" s="461" t="s">
        <v>846</v>
      </c>
      <c r="C128" s="487">
        <f>C112*$F$4/3.6</f>
        <v>1.7900694444444445</v>
      </c>
      <c r="D128" s="487">
        <f t="shared" ref="D128:F128" si="10">D112*$F$4/3.6</f>
        <v>1.8107638888888888</v>
      </c>
      <c r="E128" s="487">
        <f t="shared" si="10"/>
        <v>1.6141666666666665</v>
      </c>
      <c r="F128" s="487">
        <f t="shared" si="10"/>
        <v>1.6141666666666665</v>
      </c>
      <c r="G128" s="359"/>
      <c r="M128" s="420"/>
      <c r="N128" s="420"/>
    </row>
    <row r="129" spans="2:6" outlineLevel="1"/>
    <row r="130" spans="2:6" outlineLevel="1"/>
    <row r="131" spans="2:6" outlineLevel="1"/>
    <row r="132" spans="2:6" outlineLevel="1"/>
    <row r="133" spans="2:6" outlineLevel="1">
      <c r="B133" s="488"/>
      <c r="C133" s="489"/>
      <c r="D133" s="490"/>
      <c r="E133" s="490"/>
      <c r="F133" s="490"/>
    </row>
    <row r="134" spans="2:6" outlineLevel="1">
      <c r="B134" s="491"/>
      <c r="C134" s="492"/>
      <c r="E134" s="490"/>
      <c r="F134" s="490"/>
    </row>
    <row r="135" spans="2:6" outlineLevel="1">
      <c r="B135" s="491"/>
      <c r="C135" s="493"/>
      <c r="E135" s="490"/>
      <c r="F135" s="490"/>
    </row>
    <row r="136" spans="2:6" outlineLevel="1">
      <c r="B136" s="491"/>
      <c r="C136" s="493"/>
      <c r="E136" s="490"/>
      <c r="F136" s="490"/>
    </row>
    <row r="137" spans="2:6" outlineLevel="1">
      <c r="B137" s="491"/>
      <c r="C137" s="493"/>
      <c r="E137" s="490"/>
      <c r="F137" s="490"/>
    </row>
    <row r="138" spans="2:6" outlineLevel="1">
      <c r="B138" s="358"/>
      <c r="C138" s="494"/>
      <c r="D138" s="490"/>
      <c r="E138" s="490"/>
      <c r="F138" s="490"/>
    </row>
    <row r="139" spans="2:6" outlineLevel="1">
      <c r="B139" s="358"/>
      <c r="C139" s="492"/>
      <c r="D139" s="490"/>
      <c r="E139" s="490"/>
      <c r="F139" s="490"/>
    </row>
    <row r="140" spans="2:6" outlineLevel="1">
      <c r="B140" s="358"/>
      <c r="C140" s="495"/>
      <c r="D140" s="490"/>
      <c r="E140" s="490"/>
      <c r="F140" s="490"/>
    </row>
    <row r="141" spans="2:6" outlineLevel="1">
      <c r="B141" s="358"/>
      <c r="C141" s="495"/>
      <c r="D141" s="490"/>
      <c r="E141" s="490"/>
      <c r="F141" s="490"/>
    </row>
    <row r="142" spans="2:6" outlineLevel="1">
      <c r="B142" s="358"/>
      <c r="C142" s="489"/>
      <c r="D142" s="490"/>
      <c r="E142" s="490"/>
      <c r="F142" s="490"/>
    </row>
    <row r="143" spans="2:6" outlineLevel="1">
      <c r="B143" s="358"/>
      <c r="C143" s="490"/>
      <c r="D143" s="490"/>
      <c r="E143" s="490"/>
      <c r="F143" s="490"/>
    </row>
    <row r="144" spans="2:6" outlineLevel="1">
      <c r="B144" s="488"/>
      <c r="C144" s="489"/>
      <c r="D144" s="490"/>
      <c r="E144" s="490"/>
      <c r="F144" s="490"/>
    </row>
    <row r="145" spans="1:44" outlineLevel="1">
      <c r="B145" s="496"/>
      <c r="C145" s="497"/>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134"/>
      <c r="C156" s="1135"/>
      <c r="D156" s="1135"/>
      <c r="E156" s="1135"/>
      <c r="F156" s="1135"/>
      <c r="G156" s="1135"/>
      <c r="H156" s="1135"/>
      <c r="I156" s="1135"/>
      <c r="J156" s="1135"/>
      <c r="K156" s="1135"/>
      <c r="L156" s="1135"/>
      <c r="M156" s="1135"/>
      <c r="N156" s="361"/>
      <c r="P156" s="1135"/>
      <c r="Q156" s="1135"/>
      <c r="R156" s="1135"/>
      <c r="S156" s="1135"/>
      <c r="T156" s="1135"/>
      <c r="U156" s="1135"/>
    </row>
    <row r="157" spans="1:44" ht="16" outlineLevel="1" thickBot="1">
      <c r="B157" s="1134"/>
      <c r="C157" s="1135"/>
      <c r="D157" s="1135"/>
      <c r="E157" s="1135"/>
      <c r="F157" s="1135"/>
      <c r="G157" s="1135"/>
      <c r="H157" s="1135"/>
      <c r="I157" s="1135"/>
      <c r="J157" s="1135"/>
      <c r="K157" s="1135"/>
      <c r="L157" s="1135"/>
      <c r="M157" s="1135"/>
      <c r="N157" s="361"/>
      <c r="P157" s="1135"/>
      <c r="Q157" s="1135"/>
      <c r="R157" s="1135"/>
      <c r="S157" s="1135"/>
      <c r="T157" s="1135"/>
      <c r="U157" s="1135"/>
    </row>
    <row r="158" spans="1:44" ht="20.5" customHeight="1" outlineLevel="1" thickBot="1">
      <c r="B158" s="362"/>
      <c r="C158" s="1201"/>
      <c r="D158" s="1177"/>
      <c r="E158" s="1177"/>
      <c r="F158" s="1177"/>
      <c r="G158" s="1177"/>
      <c r="H158" s="1177"/>
      <c r="I158" s="1177"/>
      <c r="J158" s="1177"/>
      <c r="K158" s="1177"/>
      <c r="L158" s="1178"/>
      <c r="M158" s="363"/>
      <c r="N158" s="363"/>
      <c r="P158" s="364"/>
      <c r="Q158" s="365"/>
      <c r="R158" s="366"/>
      <c r="S158" s="1143"/>
      <c r="T158" s="1147"/>
      <c r="U158" s="1148"/>
      <c r="V158" s="1147"/>
      <c r="W158" s="1148"/>
      <c r="X158" s="1147"/>
      <c r="Y158" s="1148"/>
      <c r="Z158" s="1147"/>
      <c r="AA158" s="1148"/>
      <c r="AB158" s="1147"/>
      <c r="AC158" s="1148"/>
      <c r="AE158" s="364"/>
      <c r="AF158" s="365"/>
      <c r="AG158" s="366"/>
      <c r="AH158" s="1143"/>
      <c r="AI158" s="1147"/>
      <c r="AJ158" s="1148"/>
      <c r="AK158" s="1147"/>
      <c r="AL158" s="1148"/>
      <c r="AM158" s="1147"/>
      <c r="AN158" s="1148"/>
      <c r="AO158" s="1147"/>
      <c r="AP158" s="1148"/>
      <c r="AQ158" s="1147"/>
      <c r="AR158" s="1148"/>
    </row>
    <row r="159" spans="1:44" ht="15" customHeight="1" outlineLevel="1" thickBot="1">
      <c r="B159" s="1168"/>
      <c r="C159" s="1170"/>
      <c r="D159" s="1170"/>
      <c r="E159" s="1170"/>
      <c r="F159" s="1170"/>
      <c r="G159" s="1217"/>
      <c r="H159" s="1218"/>
      <c r="I159" s="1217"/>
      <c r="J159" s="1218"/>
      <c r="K159" s="1204"/>
      <c r="L159" s="1204"/>
      <c r="M159" s="367"/>
      <c r="N159" s="367"/>
      <c r="P159" s="1151"/>
      <c r="Q159" s="368"/>
      <c r="R159" s="368"/>
      <c r="S159" s="1144"/>
      <c r="T159" s="1149"/>
      <c r="U159" s="1150"/>
      <c r="V159" s="1149"/>
      <c r="W159" s="1150"/>
      <c r="X159" s="1149"/>
      <c r="Y159" s="1150"/>
      <c r="Z159" s="1149"/>
      <c r="AA159" s="1150"/>
      <c r="AB159" s="1149"/>
      <c r="AC159" s="1150"/>
      <c r="AE159" s="1151"/>
      <c r="AF159" s="368"/>
      <c r="AG159" s="368"/>
      <c r="AH159" s="1144"/>
      <c r="AI159" s="1149"/>
      <c r="AJ159" s="1150"/>
      <c r="AK159" s="1149"/>
      <c r="AL159" s="1150"/>
      <c r="AM159" s="1149"/>
      <c r="AN159" s="1150"/>
      <c r="AO159" s="1149"/>
      <c r="AP159" s="1150"/>
      <c r="AQ159" s="1149"/>
      <c r="AR159" s="1150"/>
    </row>
    <row r="160" spans="1:44" ht="15" customHeight="1" outlineLevel="1" thickBot="1">
      <c r="B160" s="1169"/>
      <c r="C160" s="1171"/>
      <c r="D160" s="1171"/>
      <c r="E160" s="1171"/>
      <c r="F160" s="1171"/>
      <c r="G160" s="540"/>
      <c r="H160" s="540"/>
      <c r="I160" s="540"/>
      <c r="J160" s="540"/>
      <c r="K160" s="1205"/>
      <c r="L160" s="1205"/>
      <c r="M160" s="370"/>
      <c r="N160" s="370"/>
      <c r="P160" s="1152"/>
      <c r="Q160" s="1154"/>
      <c r="R160" s="1155"/>
      <c r="S160" s="1145"/>
      <c r="T160" s="1149"/>
      <c r="U160" s="1150"/>
      <c r="V160" s="1149"/>
      <c r="W160" s="1150"/>
      <c r="X160" s="1149"/>
      <c r="Y160" s="1150"/>
      <c r="Z160" s="1149"/>
      <c r="AA160" s="1150"/>
      <c r="AB160" s="1149"/>
      <c r="AC160" s="1150"/>
      <c r="AE160" s="1152"/>
      <c r="AF160" s="1198"/>
      <c r="AG160" s="1155"/>
      <c r="AH160" s="1145"/>
      <c r="AI160" s="1149"/>
      <c r="AJ160" s="1150"/>
      <c r="AK160" s="1149"/>
      <c r="AL160" s="1150"/>
      <c r="AM160" s="1149"/>
      <c r="AN160" s="1150"/>
      <c r="AO160" s="1149"/>
      <c r="AP160" s="1150"/>
      <c r="AQ160" s="1149"/>
      <c r="AR160" s="1150"/>
    </row>
    <row r="161" spans="2:44" ht="16" outlineLevel="1" thickBot="1">
      <c r="B161" s="371"/>
      <c r="C161" s="372"/>
      <c r="D161" s="372"/>
      <c r="E161" s="372"/>
      <c r="F161" s="372"/>
      <c r="G161" s="372"/>
      <c r="H161" s="372"/>
      <c r="I161" s="372"/>
      <c r="J161" s="372"/>
      <c r="K161" s="372"/>
      <c r="L161" s="373"/>
      <c r="M161" s="370"/>
      <c r="N161" s="370"/>
      <c r="O161" s="74"/>
      <c r="P161" s="1153"/>
      <c r="Q161" s="1146"/>
      <c r="R161" s="1156"/>
      <c r="S161" s="1146"/>
      <c r="T161" s="374"/>
      <c r="U161" s="375"/>
      <c r="V161" s="374"/>
      <c r="W161" s="375"/>
      <c r="X161" s="374"/>
      <c r="Y161" s="375"/>
      <c r="Z161" s="374"/>
      <c r="AA161" s="375"/>
      <c r="AB161" s="374"/>
      <c r="AC161" s="375"/>
      <c r="AE161" s="1153"/>
      <c r="AF161" s="1199"/>
      <c r="AG161" s="1156"/>
      <c r="AH161" s="1146"/>
      <c r="AI161" s="374"/>
      <c r="AJ161" s="375"/>
      <c r="AK161" s="374"/>
      <c r="AL161" s="375"/>
      <c r="AM161" s="374"/>
      <c r="AN161" s="375"/>
      <c r="AO161" s="374"/>
      <c r="AP161" s="375"/>
      <c r="AQ161" s="374"/>
      <c r="AR161" s="375"/>
    </row>
    <row r="162" spans="2:44" ht="14.5" customHeight="1" outlineLevel="1">
      <c r="B162" s="541"/>
      <c r="C162" s="542"/>
      <c r="D162" s="542"/>
      <c r="E162" s="543"/>
      <c r="F162" s="542"/>
      <c r="G162" s="542"/>
      <c r="H162" s="542"/>
      <c r="I162" s="542"/>
      <c r="J162" s="542"/>
      <c r="K162" s="372"/>
      <c r="L162" s="373"/>
      <c r="M162" s="370"/>
      <c r="N162" s="370"/>
      <c r="P162" s="1185"/>
      <c r="Q162" s="1188"/>
      <c r="R162" s="381"/>
      <c r="S162" s="382"/>
      <c r="T162" s="1191"/>
      <c r="U162" s="1179"/>
      <c r="V162" s="1191"/>
      <c r="W162" s="1179"/>
      <c r="X162" s="1191"/>
      <c r="Y162" s="1179"/>
      <c r="Z162" s="1191"/>
      <c r="AA162" s="1179"/>
      <c r="AB162" s="1191"/>
      <c r="AC162" s="1179"/>
      <c r="AE162" s="1185"/>
      <c r="AF162" s="1188"/>
      <c r="AG162" s="381"/>
      <c r="AH162" s="382"/>
      <c r="AI162" s="1191"/>
      <c r="AJ162" s="1179"/>
      <c r="AK162" s="1191"/>
      <c r="AL162" s="1179"/>
      <c r="AM162" s="1191"/>
      <c r="AN162" s="1179"/>
      <c r="AO162" s="1191"/>
      <c r="AP162" s="1179"/>
      <c r="AQ162" s="1191"/>
      <c r="AR162" s="1179"/>
    </row>
    <row r="163" spans="2:44" outlineLevel="1">
      <c r="B163" s="383"/>
      <c r="C163" s="384"/>
      <c r="D163" s="384"/>
      <c r="E163" s="384"/>
      <c r="F163" s="384"/>
      <c r="G163" s="505"/>
      <c r="H163" s="505"/>
      <c r="I163" s="505"/>
      <c r="J163" s="505"/>
      <c r="K163" s="372"/>
      <c r="L163" s="373"/>
      <c r="M163" s="370"/>
      <c r="N163" s="370"/>
      <c r="O163" s="71"/>
      <c r="P163" s="1186"/>
      <c r="Q163" s="1189"/>
      <c r="R163" s="388"/>
      <c r="S163" s="389"/>
      <c r="T163" s="1192"/>
      <c r="U163" s="1180"/>
      <c r="V163" s="1192"/>
      <c r="W163" s="1180"/>
      <c r="X163" s="1192"/>
      <c r="Y163" s="1180"/>
      <c r="Z163" s="1192"/>
      <c r="AA163" s="1180"/>
      <c r="AB163" s="1192"/>
      <c r="AC163" s="1180"/>
      <c r="AE163" s="1186"/>
      <c r="AF163" s="1189"/>
      <c r="AG163" s="388"/>
      <c r="AH163" s="389"/>
      <c r="AI163" s="1192"/>
      <c r="AJ163" s="1180"/>
      <c r="AK163" s="1192"/>
      <c r="AL163" s="1180"/>
      <c r="AM163" s="1192"/>
      <c r="AN163" s="1180"/>
      <c r="AO163" s="1192"/>
      <c r="AP163" s="1180"/>
      <c r="AQ163" s="1192"/>
      <c r="AR163" s="1180"/>
    </row>
    <row r="164" spans="2:44" ht="16" outlineLevel="1" thickBot="1">
      <c r="B164" s="541"/>
      <c r="C164" s="544"/>
      <c r="D164" s="545"/>
      <c r="E164" s="545"/>
      <c r="F164" s="546"/>
      <c r="G164" s="545"/>
      <c r="H164" s="545"/>
      <c r="I164" s="545"/>
      <c r="J164" s="545"/>
      <c r="K164" s="547"/>
      <c r="L164" s="548"/>
      <c r="M164" s="370"/>
      <c r="N164" s="370"/>
      <c r="O164" s="71"/>
      <c r="P164" s="1186"/>
      <c r="Q164" s="1190"/>
      <c r="R164" s="393"/>
      <c r="S164" s="394"/>
      <c r="T164" s="1193"/>
      <c r="U164" s="1181"/>
      <c r="V164" s="1193"/>
      <c r="W164" s="1181"/>
      <c r="X164" s="1193"/>
      <c r="Y164" s="1181"/>
      <c r="Z164" s="1193"/>
      <c r="AA164" s="1181"/>
      <c r="AB164" s="1193"/>
      <c r="AC164" s="1181"/>
      <c r="AE164" s="1186"/>
      <c r="AF164" s="1190"/>
      <c r="AG164" s="393"/>
      <c r="AH164" s="394"/>
      <c r="AI164" s="1193"/>
      <c r="AJ164" s="1181"/>
      <c r="AK164" s="1193"/>
      <c r="AL164" s="1181"/>
      <c r="AM164" s="1193"/>
      <c r="AN164" s="1181"/>
      <c r="AO164" s="1193"/>
      <c r="AP164" s="1181"/>
      <c r="AQ164" s="1193"/>
      <c r="AR164" s="1181"/>
    </row>
    <row r="165" spans="2:44" ht="14.5" customHeight="1" outlineLevel="1">
      <c r="B165" s="541"/>
      <c r="C165" s="544"/>
      <c r="D165" s="544"/>
      <c r="E165" s="544"/>
      <c r="F165" s="544"/>
      <c r="G165" s="544"/>
      <c r="H165" s="544"/>
      <c r="I165" s="544"/>
      <c r="J165" s="544"/>
      <c r="K165" s="547"/>
      <c r="L165" s="548"/>
      <c r="M165" s="370"/>
      <c r="N165" s="370"/>
      <c r="O165" s="71"/>
      <c r="P165" s="1186"/>
      <c r="Q165" s="1188"/>
      <c r="R165" s="395"/>
      <c r="S165" s="396"/>
      <c r="T165" s="1191"/>
      <c r="U165" s="1191"/>
      <c r="V165" s="1191"/>
      <c r="W165" s="1191"/>
      <c r="X165" s="1191"/>
      <c r="Y165" s="1191"/>
      <c r="Z165" s="1191"/>
      <c r="AA165" s="1191"/>
      <c r="AB165" s="1191"/>
      <c r="AC165" s="1191"/>
      <c r="AE165" s="1186"/>
      <c r="AF165" s="1188"/>
      <c r="AG165" s="395"/>
      <c r="AH165" s="396"/>
      <c r="AI165" s="1191"/>
      <c r="AJ165" s="1191"/>
      <c r="AK165" s="1191"/>
      <c r="AL165" s="1191"/>
      <c r="AM165" s="1191"/>
      <c r="AN165" s="1191"/>
      <c r="AO165" s="1191"/>
      <c r="AP165" s="1191"/>
      <c r="AQ165" s="1191"/>
      <c r="AR165" s="1191"/>
    </row>
    <row r="166" spans="2:44" outlineLevel="1">
      <c r="B166" s="541"/>
      <c r="C166" s="544"/>
      <c r="D166" s="544"/>
      <c r="E166" s="544"/>
      <c r="F166" s="544"/>
      <c r="G166" s="544"/>
      <c r="H166" s="544"/>
      <c r="I166" s="544"/>
      <c r="J166" s="544"/>
      <c r="K166" s="547"/>
      <c r="L166" s="548"/>
      <c r="M166" s="367"/>
      <c r="N166" s="367"/>
      <c r="O166" s="71"/>
      <c r="P166" s="1186"/>
      <c r="Q166" s="1189"/>
      <c r="R166" s="395"/>
      <c r="S166" s="396"/>
      <c r="T166" s="1208"/>
      <c r="U166" s="1208"/>
      <c r="V166" s="1208"/>
      <c r="W166" s="1208"/>
      <c r="X166" s="1208"/>
      <c r="Y166" s="1208"/>
      <c r="Z166" s="1208"/>
      <c r="AA166" s="1208"/>
      <c r="AB166" s="1208"/>
      <c r="AC166" s="1208"/>
      <c r="AE166" s="1186"/>
      <c r="AF166" s="1189"/>
      <c r="AG166" s="395"/>
      <c r="AH166" s="396"/>
      <c r="AI166" s="1208"/>
      <c r="AJ166" s="1208"/>
      <c r="AK166" s="1208"/>
      <c r="AL166" s="1208"/>
      <c r="AM166" s="1208"/>
      <c r="AN166" s="1208"/>
      <c r="AO166" s="1208"/>
      <c r="AP166" s="1208"/>
      <c r="AQ166" s="1208"/>
      <c r="AR166" s="1208"/>
    </row>
    <row r="167" spans="2:44" outlineLevel="1">
      <c r="B167" s="383"/>
      <c r="C167" s="397"/>
      <c r="D167" s="397"/>
      <c r="E167" s="397"/>
      <c r="F167" s="399"/>
      <c r="G167" s="399"/>
      <c r="H167" s="399"/>
      <c r="I167" s="399"/>
      <c r="J167" s="399"/>
      <c r="K167" s="372"/>
      <c r="L167" s="373"/>
      <c r="M167" s="363"/>
      <c r="N167" s="363"/>
      <c r="P167" s="1186"/>
      <c r="Q167" s="1189"/>
      <c r="R167" s="395"/>
      <c r="S167" s="396"/>
      <c r="T167" s="1208"/>
      <c r="U167" s="1208"/>
      <c r="V167" s="1208"/>
      <c r="W167" s="1208"/>
      <c r="X167" s="1208"/>
      <c r="Y167" s="1208"/>
      <c r="Z167" s="1208"/>
      <c r="AA167" s="1208"/>
      <c r="AB167" s="1208"/>
      <c r="AC167" s="1208"/>
      <c r="AE167" s="1186"/>
      <c r="AF167" s="1189"/>
      <c r="AG167" s="395"/>
      <c r="AH167" s="396"/>
      <c r="AI167" s="1208"/>
      <c r="AJ167" s="1208"/>
      <c r="AK167" s="1208"/>
      <c r="AL167" s="1208"/>
      <c r="AM167" s="1208"/>
      <c r="AN167" s="1208"/>
      <c r="AO167" s="1208"/>
      <c r="AP167" s="1208"/>
      <c r="AQ167" s="1208"/>
      <c r="AR167" s="1208"/>
    </row>
    <row r="168" spans="2:44" ht="16" outlineLevel="1" thickBot="1">
      <c r="B168" s="541"/>
      <c r="C168" s="544"/>
      <c r="D168" s="544"/>
      <c r="E168" s="544"/>
      <c r="F168" s="544"/>
      <c r="G168" s="544"/>
      <c r="H168" s="544"/>
      <c r="I168" s="544"/>
      <c r="J168" s="544"/>
      <c r="K168" s="372"/>
      <c r="L168" s="400"/>
      <c r="M168" s="363"/>
      <c r="N168" s="363"/>
      <c r="P168" s="1186"/>
      <c r="Q168" s="1189"/>
      <c r="R168" s="395"/>
      <c r="S168" s="396"/>
      <c r="T168" s="1208"/>
      <c r="U168" s="1208"/>
      <c r="V168" s="1208"/>
      <c r="W168" s="1208"/>
      <c r="X168" s="1208"/>
      <c r="Y168" s="1208"/>
      <c r="Z168" s="1208"/>
      <c r="AA168" s="1208"/>
      <c r="AB168" s="1208"/>
      <c r="AC168" s="1208"/>
      <c r="AE168" s="1186"/>
      <c r="AF168" s="1189"/>
      <c r="AG168" s="395"/>
      <c r="AH168" s="396"/>
      <c r="AI168" s="1208"/>
      <c r="AJ168" s="1208"/>
      <c r="AK168" s="1208"/>
      <c r="AL168" s="1208"/>
      <c r="AM168" s="1208"/>
      <c r="AN168" s="1208"/>
      <c r="AO168" s="1208"/>
      <c r="AP168" s="1208"/>
      <c r="AQ168" s="1208"/>
      <c r="AR168" s="1208"/>
    </row>
    <row r="169" spans="2:44" ht="16" outlineLevel="1" thickBot="1">
      <c r="B169" s="401"/>
      <c r="C169" s="402"/>
      <c r="D169" s="403"/>
      <c r="E169" s="404"/>
      <c r="F169" s="405"/>
      <c r="G169" s="406"/>
      <c r="H169" s="406"/>
      <c r="I169" s="406"/>
      <c r="J169" s="406"/>
      <c r="K169" s="407"/>
      <c r="L169" s="408"/>
      <c r="M169" s="363"/>
      <c r="N169" s="363"/>
      <c r="P169" s="1186"/>
      <c r="Q169" s="1189"/>
      <c r="R169" s="409"/>
      <c r="S169" s="410"/>
      <c r="T169" s="1209"/>
      <c r="U169" s="1209"/>
      <c r="V169" s="1209"/>
      <c r="W169" s="1209"/>
      <c r="X169" s="1209"/>
      <c r="Y169" s="1209"/>
      <c r="Z169" s="1209"/>
      <c r="AA169" s="1209"/>
      <c r="AB169" s="1209"/>
      <c r="AC169" s="1209"/>
      <c r="AE169" s="1186"/>
      <c r="AF169" s="1189"/>
      <c r="AG169" s="409"/>
      <c r="AH169" s="410"/>
      <c r="AI169" s="1209"/>
      <c r="AJ169" s="1209"/>
      <c r="AK169" s="1209"/>
      <c r="AL169" s="1209"/>
      <c r="AM169" s="1209"/>
      <c r="AN169" s="1209"/>
      <c r="AO169" s="1209"/>
      <c r="AP169" s="1209"/>
      <c r="AQ169" s="1209"/>
      <c r="AR169" s="1209"/>
    </row>
    <row r="170" spans="2:44" ht="16" outlineLevel="1" thickBot="1">
      <c r="B170" s="541"/>
      <c r="C170" s="544"/>
      <c r="D170" s="544"/>
      <c r="E170" s="544"/>
      <c r="F170" s="544"/>
      <c r="G170" s="545"/>
      <c r="H170" s="545"/>
      <c r="I170" s="545"/>
      <c r="J170" s="545"/>
      <c r="K170" s="547"/>
      <c r="L170" s="548"/>
      <c r="M170" s="363"/>
      <c r="N170" s="363"/>
      <c r="P170" s="1187"/>
      <c r="Q170" s="411"/>
      <c r="R170" s="412"/>
      <c r="S170" s="413"/>
      <c r="T170" s="414"/>
      <c r="U170" s="415"/>
      <c r="V170" s="416"/>
      <c r="W170" s="415"/>
      <c r="X170" s="416"/>
      <c r="Y170" s="415"/>
      <c r="Z170" s="416"/>
      <c r="AA170" s="415"/>
      <c r="AB170" s="416"/>
      <c r="AC170" s="417"/>
      <c r="AE170" s="1187"/>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6" outlineLevel="1" thickBot="1">
      <c r="B178" s="429"/>
      <c r="C178" s="430"/>
      <c r="D178" s="430"/>
      <c r="E178" s="430"/>
      <c r="F178" s="430"/>
      <c r="G178" s="425"/>
      <c r="H178" s="425"/>
      <c r="I178" s="425"/>
      <c r="J178" s="425"/>
      <c r="K178" s="423"/>
      <c r="L178" s="427"/>
      <c r="M178" s="428"/>
      <c r="N178" s="428"/>
    </row>
    <row r="179" spans="1:30" ht="16"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57"/>
      <c r="Q184" s="1135"/>
      <c r="R184" s="1135"/>
      <c r="S184" s="1135"/>
      <c r="T184" s="1135"/>
      <c r="U184" s="1158"/>
    </row>
    <row r="185" spans="1:30" ht="16" outlineLevel="1" thickBot="1">
      <c r="B185" s="541"/>
      <c r="C185" s="552"/>
      <c r="D185" s="552"/>
      <c r="E185" s="552"/>
      <c r="F185" s="552"/>
      <c r="G185" s="553"/>
      <c r="H185" s="553"/>
      <c r="I185" s="553"/>
      <c r="J185" s="553"/>
      <c r="K185" s="547"/>
      <c r="L185" s="548"/>
      <c r="M185" s="450"/>
      <c r="N185" s="361"/>
      <c r="P185" s="1159"/>
      <c r="Q185" s="1160"/>
      <c r="R185" s="1160"/>
      <c r="S185" s="1160"/>
      <c r="T185" s="1160"/>
      <c r="U185" s="1161"/>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6"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6"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6"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6" thickBot="1">
      <c r="A224" s="360"/>
    </row>
    <row r="225" spans="2:44" ht="20.5" customHeight="1" outlineLevel="1" thickBot="1">
      <c r="B225" s="362"/>
      <c r="C225" s="1201"/>
      <c r="D225" s="1177"/>
      <c r="E225" s="1177"/>
      <c r="F225" s="1177"/>
      <c r="G225" s="1177"/>
      <c r="H225" s="1177"/>
      <c r="I225" s="1177"/>
      <c r="J225" s="1177"/>
      <c r="K225" s="1177"/>
      <c r="L225" s="1178"/>
      <c r="M225" s="363"/>
      <c r="N225" s="363"/>
      <c r="P225" s="364"/>
      <c r="Q225" s="365"/>
      <c r="R225" s="366"/>
      <c r="S225" s="1143"/>
      <c r="T225" s="1147"/>
      <c r="U225" s="1148"/>
      <c r="V225" s="1147"/>
      <c r="W225" s="1148"/>
      <c r="X225" s="1147"/>
      <c r="Y225" s="1148"/>
      <c r="Z225" s="1147"/>
      <c r="AA225" s="1148"/>
      <c r="AB225" s="1147"/>
      <c r="AC225" s="1148"/>
      <c r="AE225" s="364"/>
      <c r="AF225" s="365"/>
      <c r="AG225" s="366"/>
      <c r="AH225" s="1143"/>
      <c r="AI225" s="1147"/>
      <c r="AJ225" s="1148"/>
      <c r="AK225" s="1147"/>
      <c r="AL225" s="1148"/>
      <c r="AM225" s="1147"/>
      <c r="AN225" s="1148"/>
      <c r="AO225" s="1147"/>
      <c r="AP225" s="1148"/>
      <c r="AQ225" s="1147"/>
      <c r="AR225" s="1148"/>
    </row>
    <row r="226" spans="2:44" ht="15" customHeight="1" outlineLevel="1" thickBot="1">
      <c r="B226" s="1168"/>
      <c r="C226" s="1170"/>
      <c r="D226" s="1170"/>
      <c r="E226" s="1170"/>
      <c r="F226" s="1170"/>
      <c r="G226" s="1206"/>
      <c r="H226" s="1207"/>
      <c r="I226" s="1206"/>
      <c r="J226" s="1207"/>
      <c r="K226" s="1204"/>
      <c r="L226" s="1204"/>
      <c r="M226" s="367"/>
      <c r="N226" s="367"/>
      <c r="P226" s="1151"/>
      <c r="Q226" s="368"/>
      <c r="R226" s="368"/>
      <c r="S226" s="1144"/>
      <c r="T226" s="1149"/>
      <c r="U226" s="1150"/>
      <c r="V226" s="1149"/>
      <c r="W226" s="1150"/>
      <c r="X226" s="1149"/>
      <c r="Y226" s="1150"/>
      <c r="Z226" s="1149"/>
      <c r="AA226" s="1150"/>
      <c r="AB226" s="1149"/>
      <c r="AC226" s="1150"/>
      <c r="AE226" s="1151"/>
      <c r="AF226" s="368"/>
      <c r="AG226" s="368"/>
      <c r="AH226" s="1144"/>
      <c r="AI226" s="1149"/>
      <c r="AJ226" s="1150"/>
      <c r="AK226" s="1149"/>
      <c r="AL226" s="1150"/>
      <c r="AM226" s="1149"/>
      <c r="AN226" s="1150"/>
      <c r="AO226" s="1149"/>
      <c r="AP226" s="1150"/>
      <c r="AQ226" s="1149"/>
      <c r="AR226" s="1150"/>
    </row>
    <row r="227" spans="2:44" ht="15" customHeight="1" outlineLevel="1" thickBot="1">
      <c r="B227" s="1169"/>
      <c r="C227" s="1171"/>
      <c r="D227" s="1171"/>
      <c r="E227" s="1171"/>
      <c r="F227" s="1171"/>
      <c r="G227" s="406"/>
      <c r="H227" s="406"/>
      <c r="I227" s="406"/>
      <c r="J227" s="406"/>
      <c r="K227" s="1205"/>
      <c r="L227" s="1205"/>
      <c r="M227" s="370"/>
      <c r="N227" s="370"/>
      <c r="P227" s="1152"/>
      <c r="Q227" s="1154"/>
      <c r="R227" s="1155"/>
      <c r="S227" s="1145"/>
      <c r="T227" s="1149"/>
      <c r="U227" s="1150"/>
      <c r="V227" s="1149"/>
      <c r="W227" s="1150"/>
      <c r="X227" s="1149"/>
      <c r="Y227" s="1150"/>
      <c r="Z227" s="1149"/>
      <c r="AA227" s="1150"/>
      <c r="AB227" s="1149"/>
      <c r="AC227" s="1150"/>
      <c r="AE227" s="1152"/>
      <c r="AF227" s="1198"/>
      <c r="AG227" s="1155"/>
      <c r="AH227" s="1145"/>
      <c r="AI227" s="1149"/>
      <c r="AJ227" s="1150"/>
      <c r="AK227" s="1149"/>
      <c r="AL227" s="1150"/>
      <c r="AM227" s="1149"/>
      <c r="AN227" s="1150"/>
      <c r="AO227" s="1149"/>
      <c r="AP227" s="1150"/>
      <c r="AQ227" s="1149"/>
      <c r="AR227" s="1150"/>
    </row>
    <row r="228" spans="2:44" ht="16" outlineLevel="1" thickBot="1">
      <c r="B228" s="371"/>
      <c r="C228" s="372"/>
      <c r="D228" s="372"/>
      <c r="E228" s="372"/>
      <c r="F228" s="372"/>
      <c r="G228" s="372"/>
      <c r="H228" s="372"/>
      <c r="I228" s="372"/>
      <c r="J228" s="372"/>
      <c r="K228" s="372"/>
      <c r="L228" s="373"/>
      <c r="M228" s="370"/>
      <c r="N228" s="370"/>
      <c r="O228" s="74"/>
      <c r="P228" s="1153"/>
      <c r="Q228" s="1146"/>
      <c r="R228" s="1156"/>
      <c r="S228" s="1146"/>
      <c r="T228" s="374"/>
      <c r="U228" s="375"/>
      <c r="V228" s="374"/>
      <c r="W228" s="375"/>
      <c r="X228" s="374"/>
      <c r="Y228" s="375"/>
      <c r="Z228" s="374"/>
      <c r="AA228" s="375"/>
      <c r="AB228" s="374"/>
      <c r="AC228" s="375"/>
      <c r="AE228" s="1153"/>
      <c r="AF228" s="1199"/>
      <c r="AG228" s="1156"/>
      <c r="AH228" s="1146"/>
      <c r="AI228" s="374"/>
      <c r="AJ228" s="375"/>
      <c r="AK228" s="374"/>
      <c r="AL228" s="375"/>
      <c r="AM228" s="374"/>
      <c r="AN228" s="375"/>
      <c r="AO228" s="374"/>
      <c r="AP228" s="375"/>
      <c r="AQ228" s="374"/>
      <c r="AR228" s="375"/>
    </row>
    <row r="229" spans="2:44" ht="14.5" customHeight="1" outlineLevel="1">
      <c r="B229" s="541"/>
      <c r="C229" s="542"/>
      <c r="D229" s="542"/>
      <c r="E229" s="543"/>
      <c r="F229" s="542"/>
      <c r="G229" s="542"/>
      <c r="H229" s="542"/>
      <c r="I229" s="542"/>
      <c r="J229" s="542"/>
      <c r="K229" s="547"/>
      <c r="L229" s="548"/>
      <c r="M229" s="370"/>
      <c r="N229" s="370"/>
      <c r="P229" s="1185"/>
      <c r="Q229" s="1188"/>
      <c r="R229" s="381"/>
      <c r="S229" s="382"/>
      <c r="T229" s="1191"/>
      <c r="U229" s="1179"/>
      <c r="V229" s="1191"/>
      <c r="W229" s="1179"/>
      <c r="X229" s="1191"/>
      <c r="Y229" s="1179"/>
      <c r="Z229" s="1191"/>
      <c r="AA229" s="1179"/>
      <c r="AB229" s="1191"/>
      <c r="AC229" s="1179"/>
      <c r="AE229" s="1185"/>
      <c r="AF229" s="1188"/>
      <c r="AG229" s="381"/>
      <c r="AH229" s="382"/>
      <c r="AI229" s="1191"/>
      <c r="AJ229" s="1179"/>
      <c r="AK229" s="1191"/>
      <c r="AL229" s="1179"/>
      <c r="AM229" s="1191"/>
      <c r="AN229" s="1179"/>
      <c r="AO229" s="1191"/>
      <c r="AP229" s="1179"/>
      <c r="AQ229" s="1191"/>
      <c r="AR229" s="1179"/>
    </row>
    <row r="230" spans="2:44" outlineLevel="1">
      <c r="B230" s="383"/>
      <c r="C230" s="384"/>
      <c r="D230" s="384"/>
      <c r="E230" s="384"/>
      <c r="F230" s="384"/>
      <c r="G230" s="505"/>
      <c r="H230" s="505"/>
      <c r="I230" s="505"/>
      <c r="J230" s="505"/>
      <c r="K230" s="372"/>
      <c r="L230" s="373"/>
      <c r="M230" s="370"/>
      <c r="N230" s="370"/>
      <c r="O230" s="71"/>
      <c r="P230" s="1186"/>
      <c r="Q230" s="1189"/>
      <c r="R230" s="388"/>
      <c r="S230" s="389"/>
      <c r="T230" s="1192"/>
      <c r="U230" s="1180"/>
      <c r="V230" s="1192"/>
      <c r="W230" s="1180"/>
      <c r="X230" s="1192"/>
      <c r="Y230" s="1180"/>
      <c r="Z230" s="1192"/>
      <c r="AA230" s="1180"/>
      <c r="AB230" s="1192"/>
      <c r="AC230" s="1180"/>
      <c r="AE230" s="1186"/>
      <c r="AF230" s="1189"/>
      <c r="AG230" s="388"/>
      <c r="AH230" s="389"/>
      <c r="AI230" s="1192"/>
      <c r="AJ230" s="1180"/>
      <c r="AK230" s="1192"/>
      <c r="AL230" s="1180"/>
      <c r="AM230" s="1192"/>
      <c r="AN230" s="1180"/>
      <c r="AO230" s="1192"/>
      <c r="AP230" s="1180"/>
      <c r="AQ230" s="1192"/>
      <c r="AR230" s="1180"/>
    </row>
    <row r="231" spans="2:44" ht="16" outlineLevel="1" thickBot="1">
      <c r="B231" s="541"/>
      <c r="C231" s="544"/>
      <c r="D231" s="545"/>
      <c r="E231" s="545"/>
      <c r="F231" s="546"/>
      <c r="G231" s="545"/>
      <c r="H231" s="545"/>
      <c r="I231" s="545"/>
      <c r="J231" s="545"/>
      <c r="K231" s="547"/>
      <c r="L231" s="548"/>
      <c r="M231" s="370"/>
      <c r="N231" s="370"/>
      <c r="O231" s="71"/>
      <c r="P231" s="1186"/>
      <c r="Q231" s="1190"/>
      <c r="R231" s="393"/>
      <c r="S231" s="394"/>
      <c r="T231" s="1193"/>
      <c r="U231" s="1181"/>
      <c r="V231" s="1193"/>
      <c r="W231" s="1181"/>
      <c r="X231" s="1193"/>
      <c r="Y231" s="1181"/>
      <c r="Z231" s="1193"/>
      <c r="AA231" s="1181"/>
      <c r="AB231" s="1193"/>
      <c r="AC231" s="1181"/>
      <c r="AE231" s="1186"/>
      <c r="AF231" s="1190"/>
      <c r="AG231" s="393"/>
      <c r="AH231" s="394"/>
      <c r="AI231" s="1193"/>
      <c r="AJ231" s="1181"/>
      <c r="AK231" s="1193"/>
      <c r="AL231" s="1181"/>
      <c r="AM231" s="1193"/>
      <c r="AN231" s="1181"/>
      <c r="AO231" s="1193"/>
      <c r="AP231" s="1181"/>
      <c r="AQ231" s="1193"/>
      <c r="AR231" s="1181"/>
    </row>
    <row r="232" spans="2:44" ht="14.5" customHeight="1" outlineLevel="1">
      <c r="B232" s="541"/>
      <c r="C232" s="544"/>
      <c r="D232" s="544"/>
      <c r="E232" s="544"/>
      <c r="F232" s="544"/>
      <c r="G232" s="544"/>
      <c r="H232" s="544"/>
      <c r="I232" s="544"/>
      <c r="J232" s="544"/>
      <c r="K232" s="547"/>
      <c r="L232" s="548"/>
      <c r="M232" s="370"/>
      <c r="N232" s="370"/>
      <c r="O232" s="71"/>
      <c r="P232" s="1186"/>
      <c r="Q232" s="1188"/>
      <c r="R232" s="395"/>
      <c r="S232" s="396"/>
      <c r="T232" s="1191"/>
      <c r="U232" s="1191"/>
      <c r="V232" s="1191"/>
      <c r="W232" s="1191"/>
      <c r="X232" s="1191"/>
      <c r="Y232" s="1191"/>
      <c r="Z232" s="1191"/>
      <c r="AA232" s="1191"/>
      <c r="AB232" s="1191"/>
      <c r="AC232" s="1191"/>
      <c r="AE232" s="1186"/>
      <c r="AF232" s="1188"/>
      <c r="AG232" s="395"/>
      <c r="AH232" s="396"/>
      <c r="AI232" s="1191"/>
      <c r="AJ232" s="1191"/>
      <c r="AK232" s="1191"/>
      <c r="AL232" s="1191"/>
      <c r="AM232" s="1191"/>
      <c r="AN232" s="1191"/>
      <c r="AO232" s="1191"/>
      <c r="AP232" s="1191"/>
      <c r="AQ232" s="1191"/>
      <c r="AR232" s="1191"/>
    </row>
    <row r="233" spans="2:44" outlineLevel="1">
      <c r="B233" s="541"/>
      <c r="C233" s="544"/>
      <c r="D233" s="544"/>
      <c r="E233" s="544"/>
      <c r="F233" s="544"/>
      <c r="G233" s="544"/>
      <c r="H233" s="544"/>
      <c r="I233" s="544"/>
      <c r="J233" s="544"/>
      <c r="K233" s="547"/>
      <c r="L233" s="548"/>
      <c r="M233" s="367"/>
      <c r="N233" s="367"/>
      <c r="O233" s="71"/>
      <c r="P233" s="1186"/>
      <c r="Q233" s="1189"/>
      <c r="R233" s="395"/>
      <c r="S233" s="396"/>
      <c r="T233" s="1208"/>
      <c r="U233" s="1208"/>
      <c r="V233" s="1208"/>
      <c r="W233" s="1208"/>
      <c r="X233" s="1208"/>
      <c r="Y233" s="1208"/>
      <c r="Z233" s="1208"/>
      <c r="AA233" s="1208"/>
      <c r="AB233" s="1208"/>
      <c r="AC233" s="1208"/>
      <c r="AE233" s="1186"/>
      <c r="AF233" s="1189"/>
      <c r="AG233" s="395"/>
      <c r="AH233" s="396"/>
      <c r="AI233" s="1208"/>
      <c r="AJ233" s="1208"/>
      <c r="AK233" s="1208"/>
      <c r="AL233" s="1208"/>
      <c r="AM233" s="1208"/>
      <c r="AN233" s="1208"/>
      <c r="AO233" s="1208"/>
      <c r="AP233" s="1208"/>
      <c r="AQ233" s="1208"/>
      <c r="AR233" s="1208"/>
    </row>
    <row r="234" spans="2:44" outlineLevel="1">
      <c r="B234" s="383"/>
      <c r="C234" s="397"/>
      <c r="D234" s="397"/>
      <c r="E234" s="397"/>
      <c r="F234" s="397"/>
      <c r="G234" s="399"/>
      <c r="H234" s="399"/>
      <c r="I234" s="399"/>
      <c r="J234" s="399"/>
      <c r="K234" s="372"/>
      <c r="L234" s="373"/>
      <c r="M234" s="363"/>
      <c r="N234" s="363"/>
      <c r="P234" s="1186"/>
      <c r="Q234" s="1189"/>
      <c r="R234" s="395"/>
      <c r="S234" s="396"/>
      <c r="T234" s="1208"/>
      <c r="U234" s="1208"/>
      <c r="V234" s="1208"/>
      <c r="W234" s="1208"/>
      <c r="X234" s="1208"/>
      <c r="Y234" s="1208"/>
      <c r="Z234" s="1208"/>
      <c r="AA234" s="1208"/>
      <c r="AB234" s="1208"/>
      <c r="AC234" s="1208"/>
      <c r="AE234" s="1186"/>
      <c r="AF234" s="1189"/>
      <c r="AG234" s="395"/>
      <c r="AH234" s="396"/>
      <c r="AI234" s="1208"/>
      <c r="AJ234" s="1208"/>
      <c r="AK234" s="1208"/>
      <c r="AL234" s="1208"/>
      <c r="AM234" s="1208"/>
      <c r="AN234" s="1208"/>
      <c r="AO234" s="1208"/>
      <c r="AP234" s="1208"/>
      <c r="AQ234" s="1208"/>
      <c r="AR234" s="1208"/>
    </row>
    <row r="235" spans="2:44" ht="16" outlineLevel="1" thickBot="1">
      <c r="B235" s="541"/>
      <c r="C235" s="544"/>
      <c r="D235" s="544"/>
      <c r="E235" s="544"/>
      <c r="F235" s="544"/>
      <c r="G235" s="544"/>
      <c r="H235" s="544"/>
      <c r="I235" s="544"/>
      <c r="J235" s="544"/>
      <c r="K235" s="547"/>
      <c r="L235" s="559"/>
      <c r="M235" s="363"/>
      <c r="N235" s="363"/>
      <c r="P235" s="1186"/>
      <c r="Q235" s="1189"/>
      <c r="R235" s="395"/>
      <c r="S235" s="396"/>
      <c r="T235" s="1208"/>
      <c r="U235" s="1208"/>
      <c r="V235" s="1208"/>
      <c r="W235" s="1208"/>
      <c r="X235" s="1208"/>
      <c r="Y235" s="1208"/>
      <c r="Z235" s="1208"/>
      <c r="AA235" s="1208"/>
      <c r="AB235" s="1208"/>
      <c r="AC235" s="1208"/>
      <c r="AE235" s="1186"/>
      <c r="AF235" s="1189"/>
      <c r="AG235" s="395"/>
      <c r="AH235" s="396"/>
      <c r="AI235" s="1208"/>
      <c r="AJ235" s="1208"/>
      <c r="AK235" s="1208"/>
      <c r="AL235" s="1208"/>
      <c r="AM235" s="1208"/>
      <c r="AN235" s="1208"/>
      <c r="AO235" s="1208"/>
      <c r="AP235" s="1208"/>
      <c r="AQ235" s="1208"/>
      <c r="AR235" s="1208"/>
    </row>
    <row r="236" spans="2:44" ht="16" outlineLevel="1" thickBot="1">
      <c r="B236" s="401"/>
      <c r="C236" s="402"/>
      <c r="D236" s="403"/>
      <c r="E236" s="404"/>
      <c r="F236" s="405"/>
      <c r="G236" s="406"/>
      <c r="H236" s="406"/>
      <c r="I236" s="406"/>
      <c r="J236" s="406"/>
      <c r="K236" s="407"/>
      <c r="L236" s="408"/>
      <c r="M236" s="363"/>
      <c r="N236" s="363"/>
      <c r="P236" s="1186"/>
      <c r="Q236" s="1189"/>
      <c r="R236" s="409"/>
      <c r="S236" s="410"/>
      <c r="T236" s="1209"/>
      <c r="U236" s="1209"/>
      <c r="V236" s="1209"/>
      <c r="W236" s="1209"/>
      <c r="X236" s="1209"/>
      <c r="Y236" s="1209"/>
      <c r="Z236" s="1209"/>
      <c r="AA236" s="1209"/>
      <c r="AB236" s="1209"/>
      <c r="AC236" s="1209"/>
      <c r="AE236" s="1186"/>
      <c r="AF236" s="1189"/>
      <c r="AG236" s="409"/>
      <c r="AH236" s="410"/>
      <c r="AI236" s="1209"/>
      <c r="AJ236" s="1209"/>
      <c r="AK236" s="1209"/>
      <c r="AL236" s="1209"/>
      <c r="AM236" s="1209"/>
      <c r="AN236" s="1209"/>
      <c r="AO236" s="1209"/>
      <c r="AP236" s="1209"/>
      <c r="AQ236" s="1209"/>
      <c r="AR236" s="1209"/>
    </row>
    <row r="237" spans="2:44" ht="16" outlineLevel="1" thickBot="1">
      <c r="B237" s="541"/>
      <c r="C237" s="544"/>
      <c r="D237" s="544"/>
      <c r="E237" s="544"/>
      <c r="F237" s="544"/>
      <c r="G237" s="545"/>
      <c r="H237" s="545"/>
      <c r="I237" s="545"/>
      <c r="J237" s="545"/>
      <c r="K237" s="547"/>
      <c r="L237" s="548"/>
      <c r="M237" s="363"/>
      <c r="N237" s="363"/>
      <c r="P237" s="1187"/>
      <c r="Q237" s="411"/>
      <c r="R237" s="412"/>
      <c r="S237" s="413"/>
      <c r="T237" s="414"/>
      <c r="U237" s="415"/>
      <c r="V237" s="414"/>
      <c r="W237" s="415"/>
      <c r="X237" s="414"/>
      <c r="Y237" s="415"/>
      <c r="Z237" s="414"/>
      <c r="AA237" s="415"/>
      <c r="AB237" s="414"/>
      <c r="AC237" s="417"/>
      <c r="AE237" s="1187"/>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6" outlineLevel="1" thickBot="1">
      <c r="B245" s="429"/>
      <c r="C245" s="430"/>
      <c r="D245" s="430"/>
      <c r="E245" s="430"/>
      <c r="F245" s="430"/>
      <c r="G245" s="425"/>
      <c r="H245" s="425"/>
      <c r="I245" s="425"/>
      <c r="J245" s="425"/>
      <c r="K245" s="423"/>
      <c r="L245" s="427"/>
      <c r="M245" s="428"/>
      <c r="N245" s="428"/>
    </row>
    <row r="246" spans="1:30" ht="16"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57"/>
      <c r="Q251" s="1135"/>
      <c r="R251" s="1135"/>
      <c r="S251" s="1135"/>
      <c r="T251" s="1135"/>
      <c r="U251" s="1158"/>
    </row>
    <row r="252" spans="1:30" ht="16" outlineLevel="1" thickBot="1">
      <c r="B252" s="541"/>
      <c r="C252" s="552"/>
      <c r="D252" s="552"/>
      <c r="E252" s="552"/>
      <c r="F252" s="552"/>
      <c r="G252" s="425"/>
      <c r="H252" s="425"/>
      <c r="I252" s="425"/>
      <c r="J252" s="425"/>
      <c r="K252" s="444"/>
      <c r="L252" s="373"/>
      <c r="M252" s="450"/>
      <c r="N252" s="361"/>
      <c r="P252" s="1159"/>
      <c r="Q252" s="1160"/>
      <c r="R252" s="1160"/>
      <c r="S252" s="1160"/>
      <c r="T252" s="1160"/>
      <c r="U252" s="1161"/>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6"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6"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6"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6" thickBot="1">
      <c r="A290" s="360"/>
    </row>
    <row r="291" spans="1:44" ht="20.5" customHeight="1" thickBot="1">
      <c r="B291" s="362"/>
      <c r="C291" s="1201"/>
      <c r="D291" s="1202"/>
      <c r="E291" s="1202"/>
      <c r="F291" s="1202"/>
      <c r="G291" s="1202"/>
      <c r="H291" s="1202"/>
      <c r="I291" s="1202"/>
      <c r="J291" s="1202"/>
      <c r="K291" s="1202"/>
      <c r="L291" s="1203"/>
      <c r="M291" s="363"/>
      <c r="N291" s="363"/>
      <c r="P291" s="364"/>
      <c r="Q291" s="365"/>
      <c r="R291" s="366"/>
      <c r="S291" s="1143"/>
      <c r="T291" s="1147"/>
      <c r="U291" s="1148"/>
      <c r="V291" s="1147"/>
      <c r="W291" s="1148"/>
      <c r="X291" s="1147"/>
      <c r="Y291" s="1148"/>
      <c r="Z291" s="1147"/>
      <c r="AA291" s="1148"/>
      <c r="AB291" s="1147"/>
      <c r="AC291" s="1148"/>
      <c r="AE291" s="364"/>
      <c r="AF291" s="365"/>
      <c r="AG291" s="366"/>
      <c r="AH291" s="1143"/>
      <c r="AI291" s="1147"/>
      <c r="AJ291" s="1148"/>
      <c r="AK291" s="1147"/>
      <c r="AL291" s="1148"/>
      <c r="AM291" s="1147"/>
      <c r="AN291" s="1148"/>
      <c r="AO291" s="1147"/>
      <c r="AP291" s="1148"/>
      <c r="AQ291" s="1147"/>
      <c r="AR291" s="1148"/>
    </row>
    <row r="292" spans="1:44" ht="15" customHeight="1" thickBot="1">
      <c r="B292" s="1168"/>
      <c r="C292" s="1170"/>
      <c r="D292" s="1170"/>
      <c r="E292" s="1170"/>
      <c r="F292" s="1170"/>
      <c r="G292" s="1206"/>
      <c r="H292" s="1207"/>
      <c r="I292" s="1206"/>
      <c r="J292" s="1207"/>
      <c r="K292" s="1204"/>
      <c r="L292" s="1204"/>
      <c r="M292" s="367"/>
      <c r="N292" s="367"/>
      <c r="P292" s="1151"/>
      <c r="Q292" s="368"/>
      <c r="R292" s="368"/>
      <c r="S292" s="1144"/>
      <c r="T292" s="1149"/>
      <c r="U292" s="1150"/>
      <c r="V292" s="1149"/>
      <c r="W292" s="1150"/>
      <c r="X292" s="1149"/>
      <c r="Y292" s="1150"/>
      <c r="Z292" s="1149"/>
      <c r="AA292" s="1150"/>
      <c r="AB292" s="1149"/>
      <c r="AC292" s="1150"/>
      <c r="AE292" s="1151"/>
      <c r="AF292" s="368"/>
      <c r="AG292" s="368"/>
      <c r="AH292" s="1144"/>
      <c r="AI292" s="1149"/>
      <c r="AJ292" s="1150"/>
      <c r="AK292" s="1149"/>
      <c r="AL292" s="1150"/>
      <c r="AM292" s="1149"/>
      <c r="AN292" s="1150"/>
      <c r="AO292" s="1149"/>
      <c r="AP292" s="1150"/>
      <c r="AQ292" s="1149"/>
      <c r="AR292" s="1150"/>
    </row>
    <row r="293" spans="1:44" ht="15" customHeight="1" thickBot="1">
      <c r="B293" s="1169"/>
      <c r="C293" s="1171"/>
      <c r="D293" s="1171"/>
      <c r="E293" s="1171"/>
      <c r="F293" s="1171"/>
      <c r="G293" s="406"/>
      <c r="H293" s="406"/>
      <c r="I293" s="406"/>
      <c r="J293" s="406"/>
      <c r="K293" s="1205"/>
      <c r="L293" s="1205"/>
      <c r="M293" s="370"/>
      <c r="N293" s="370"/>
      <c r="P293" s="1152"/>
      <c r="Q293" s="1154"/>
      <c r="R293" s="1155"/>
      <c r="S293" s="1145"/>
      <c r="T293" s="1149"/>
      <c r="U293" s="1150"/>
      <c r="V293" s="1149"/>
      <c r="W293" s="1150"/>
      <c r="X293" s="1149"/>
      <c r="Y293" s="1150"/>
      <c r="Z293" s="1149"/>
      <c r="AA293" s="1150"/>
      <c r="AB293" s="1149"/>
      <c r="AC293" s="1150"/>
      <c r="AE293" s="1152"/>
      <c r="AF293" s="1154"/>
      <c r="AG293" s="1155"/>
      <c r="AH293" s="1145"/>
      <c r="AI293" s="1149"/>
      <c r="AJ293" s="1150"/>
      <c r="AK293" s="1149"/>
      <c r="AL293" s="1150"/>
      <c r="AM293" s="1149"/>
      <c r="AN293" s="1150"/>
      <c r="AO293" s="1149"/>
      <c r="AP293" s="1150"/>
      <c r="AQ293" s="1149"/>
      <c r="AR293" s="1150"/>
    </row>
    <row r="294" spans="1:44" ht="16" thickBot="1">
      <c r="B294" s="371"/>
      <c r="C294" s="372"/>
      <c r="D294" s="372"/>
      <c r="E294" s="372"/>
      <c r="F294" s="372"/>
      <c r="G294" s="372"/>
      <c r="H294" s="372"/>
      <c r="I294" s="372"/>
      <c r="J294" s="372"/>
      <c r="K294" s="372"/>
      <c r="L294" s="373"/>
      <c r="M294" s="370"/>
      <c r="N294" s="370"/>
      <c r="O294" s="74"/>
      <c r="P294" s="1153"/>
      <c r="Q294" s="1146"/>
      <c r="R294" s="1156"/>
      <c r="S294" s="1146"/>
      <c r="T294" s="374"/>
      <c r="U294" s="375"/>
      <c r="V294" s="374"/>
      <c r="W294" s="375"/>
      <c r="X294" s="374"/>
      <c r="Y294" s="375"/>
      <c r="Z294" s="374"/>
      <c r="AA294" s="375"/>
      <c r="AB294" s="374"/>
      <c r="AC294" s="375"/>
      <c r="AE294" s="1153"/>
      <c r="AF294" s="1146"/>
      <c r="AG294" s="1156"/>
      <c r="AH294" s="1146"/>
      <c r="AI294" s="374"/>
      <c r="AJ294" s="375"/>
      <c r="AK294" s="374"/>
      <c r="AL294" s="375"/>
      <c r="AM294" s="374"/>
      <c r="AN294" s="375"/>
      <c r="AO294" s="374"/>
      <c r="AP294" s="375"/>
      <c r="AQ294" s="374"/>
      <c r="AR294" s="375"/>
    </row>
    <row r="295" spans="1:44" ht="14.5" customHeight="1">
      <c r="B295" s="574"/>
      <c r="C295" s="575"/>
      <c r="D295" s="575"/>
      <c r="E295" s="575"/>
      <c r="F295" s="575"/>
      <c r="G295" s="576"/>
      <c r="H295" s="576"/>
      <c r="I295" s="576"/>
      <c r="J295" s="576"/>
      <c r="K295" s="372"/>
      <c r="L295" s="373"/>
      <c r="M295" s="370"/>
      <c r="N295" s="370"/>
      <c r="P295" s="1185"/>
      <c r="Q295" s="1188"/>
      <c r="R295" s="381"/>
      <c r="S295" s="382"/>
      <c r="T295" s="1191"/>
      <c r="U295" s="1179"/>
      <c r="V295" s="1191"/>
      <c r="W295" s="1179"/>
      <c r="X295" s="1191"/>
      <c r="Y295" s="1179"/>
      <c r="Z295" s="1191"/>
      <c r="AA295" s="1179"/>
      <c r="AB295" s="1182"/>
      <c r="AC295" s="1179"/>
      <c r="AE295" s="1185"/>
      <c r="AF295" s="1188"/>
      <c r="AG295" s="381"/>
      <c r="AH295" s="382"/>
      <c r="AI295" s="1191"/>
      <c r="AJ295" s="1179"/>
      <c r="AK295" s="1191"/>
      <c r="AL295" s="1179"/>
      <c r="AM295" s="1191"/>
      <c r="AN295" s="1179"/>
      <c r="AO295" s="1191"/>
      <c r="AP295" s="1179"/>
      <c r="AQ295" s="1182"/>
      <c r="AR295" s="1179"/>
    </row>
    <row r="296" spans="1:44">
      <c r="B296" s="383"/>
      <c r="C296" s="577"/>
      <c r="D296" s="577"/>
      <c r="E296" s="577"/>
      <c r="F296" s="577"/>
      <c r="G296" s="576"/>
      <c r="H296" s="576"/>
      <c r="I296" s="576"/>
      <c r="J296" s="576"/>
      <c r="K296" s="372"/>
      <c r="L296" s="373"/>
      <c r="M296" s="370"/>
      <c r="N296" s="370"/>
      <c r="O296" s="71"/>
      <c r="P296" s="1210"/>
      <c r="Q296" s="1189"/>
      <c r="R296" s="388"/>
      <c r="S296" s="389"/>
      <c r="T296" s="1192"/>
      <c r="U296" s="1180"/>
      <c r="V296" s="1192"/>
      <c r="W296" s="1180"/>
      <c r="X296" s="1192"/>
      <c r="Y296" s="1180"/>
      <c r="Z296" s="1192"/>
      <c r="AA296" s="1180"/>
      <c r="AB296" s="1183"/>
      <c r="AC296" s="1180"/>
      <c r="AE296" s="1210"/>
      <c r="AF296" s="1189"/>
      <c r="AG296" s="388"/>
      <c r="AH296" s="389"/>
      <c r="AI296" s="1192"/>
      <c r="AJ296" s="1180"/>
      <c r="AK296" s="1192"/>
      <c r="AL296" s="1180"/>
      <c r="AM296" s="1192"/>
      <c r="AN296" s="1180"/>
      <c r="AO296" s="1192"/>
      <c r="AP296" s="1180"/>
      <c r="AQ296" s="1183"/>
      <c r="AR296" s="1180"/>
    </row>
    <row r="297" spans="1:44" ht="16" thickBot="1">
      <c r="B297" s="574"/>
      <c r="C297" s="578"/>
      <c r="D297" s="578"/>
      <c r="E297" s="578"/>
      <c r="F297" s="578"/>
      <c r="G297" s="578"/>
      <c r="H297" s="578"/>
      <c r="I297" s="578"/>
      <c r="J297" s="578"/>
      <c r="K297" s="579"/>
      <c r="L297" s="580"/>
      <c r="M297" s="370"/>
      <c r="N297" s="370"/>
      <c r="O297" s="71"/>
      <c r="P297" s="1210"/>
      <c r="Q297" s="1190"/>
      <c r="R297" s="393"/>
      <c r="S297" s="394"/>
      <c r="T297" s="1193"/>
      <c r="U297" s="1181"/>
      <c r="V297" s="1193"/>
      <c r="W297" s="1181"/>
      <c r="X297" s="1193"/>
      <c r="Y297" s="1181"/>
      <c r="Z297" s="1193"/>
      <c r="AA297" s="1181"/>
      <c r="AB297" s="1184"/>
      <c r="AC297" s="1181"/>
      <c r="AE297" s="1210"/>
      <c r="AF297" s="1190"/>
      <c r="AG297" s="393"/>
      <c r="AH297" s="394"/>
      <c r="AI297" s="1193"/>
      <c r="AJ297" s="1181"/>
      <c r="AK297" s="1193"/>
      <c r="AL297" s="1181"/>
      <c r="AM297" s="1193"/>
      <c r="AN297" s="1181"/>
      <c r="AO297" s="1193"/>
      <c r="AP297" s="1181"/>
      <c r="AQ297" s="1184"/>
      <c r="AR297" s="1181"/>
    </row>
    <row r="298" spans="1:44" ht="14.5" customHeight="1">
      <c r="B298" s="574"/>
      <c r="C298" s="581"/>
      <c r="D298" s="581"/>
      <c r="E298" s="581"/>
      <c r="F298" s="581"/>
      <c r="G298" s="581"/>
      <c r="H298" s="581"/>
      <c r="I298" s="581"/>
      <c r="J298" s="581"/>
      <c r="K298" s="579"/>
      <c r="L298" s="580"/>
      <c r="M298" s="370"/>
      <c r="N298" s="370"/>
      <c r="O298" s="71"/>
      <c r="P298" s="1210"/>
      <c r="Q298" s="1212"/>
      <c r="R298" s="395"/>
      <c r="S298" s="396"/>
      <c r="T298" s="1191"/>
      <c r="U298" s="1191"/>
      <c r="V298" s="1191"/>
      <c r="W298" s="1191"/>
      <c r="X298" s="1191"/>
      <c r="Y298" s="1191"/>
      <c r="Z298" s="1191"/>
      <c r="AA298" s="1191"/>
      <c r="AB298" s="1191"/>
      <c r="AC298" s="1191"/>
      <c r="AE298" s="1210"/>
      <c r="AF298" s="1212"/>
      <c r="AG298" s="395"/>
      <c r="AH298" s="396"/>
      <c r="AI298" s="1191"/>
      <c r="AJ298" s="1191"/>
      <c r="AK298" s="1191"/>
      <c r="AL298" s="1191"/>
      <c r="AM298" s="1191"/>
      <c r="AN298" s="1191"/>
      <c r="AO298" s="1191"/>
      <c r="AP298" s="1191"/>
      <c r="AQ298" s="1191"/>
      <c r="AR298" s="1191"/>
    </row>
    <row r="299" spans="1:44">
      <c r="B299" s="574"/>
      <c r="C299" s="582"/>
      <c r="D299" s="582"/>
      <c r="E299" s="582"/>
      <c r="F299" s="582"/>
      <c r="G299" s="582"/>
      <c r="H299" s="582"/>
      <c r="I299" s="582"/>
      <c r="J299" s="582"/>
      <c r="K299" s="579"/>
      <c r="L299" s="580"/>
      <c r="M299" s="367"/>
      <c r="N299" s="367"/>
      <c r="O299" s="71"/>
      <c r="P299" s="1210"/>
      <c r="Q299" s="1213"/>
      <c r="R299" s="395"/>
      <c r="S299" s="396"/>
      <c r="T299" s="1208"/>
      <c r="U299" s="1208"/>
      <c r="V299" s="1208"/>
      <c r="W299" s="1208"/>
      <c r="X299" s="1208"/>
      <c r="Y299" s="1208"/>
      <c r="Z299" s="1208"/>
      <c r="AA299" s="1208"/>
      <c r="AB299" s="1192"/>
      <c r="AC299" s="1208"/>
      <c r="AE299" s="1210"/>
      <c r="AF299" s="1213"/>
      <c r="AG299" s="395"/>
      <c r="AH299" s="396"/>
      <c r="AI299" s="1208"/>
      <c r="AJ299" s="1208"/>
      <c r="AK299" s="1208"/>
      <c r="AL299" s="1208"/>
      <c r="AM299" s="1208"/>
      <c r="AN299" s="1208"/>
      <c r="AO299" s="1208"/>
      <c r="AP299" s="1208"/>
      <c r="AQ299" s="1192"/>
      <c r="AR299" s="1208"/>
    </row>
    <row r="300" spans="1:44">
      <c r="B300" s="383"/>
      <c r="C300" s="397"/>
      <c r="D300" s="397"/>
      <c r="E300" s="397"/>
      <c r="F300" s="397"/>
      <c r="G300" s="398"/>
      <c r="H300" s="398"/>
      <c r="I300" s="398"/>
      <c r="J300" s="398"/>
      <c r="K300" s="372"/>
      <c r="L300" s="373"/>
      <c r="M300" s="363"/>
      <c r="N300" s="363"/>
      <c r="P300" s="1210"/>
      <c r="Q300" s="1213"/>
      <c r="R300" s="395"/>
      <c r="S300" s="396"/>
      <c r="T300" s="1208"/>
      <c r="U300" s="1208"/>
      <c r="V300" s="1208"/>
      <c r="W300" s="1208"/>
      <c r="X300" s="1208"/>
      <c r="Y300" s="1208"/>
      <c r="Z300" s="1208"/>
      <c r="AA300" s="1208"/>
      <c r="AB300" s="1192"/>
      <c r="AC300" s="1208"/>
      <c r="AE300" s="1210"/>
      <c r="AF300" s="1213"/>
      <c r="AG300" s="395"/>
      <c r="AH300" s="396"/>
      <c r="AI300" s="1208"/>
      <c r="AJ300" s="1208"/>
      <c r="AK300" s="1208"/>
      <c r="AL300" s="1208"/>
      <c r="AM300" s="1208"/>
      <c r="AN300" s="1208"/>
      <c r="AO300" s="1208"/>
      <c r="AP300" s="1208"/>
      <c r="AQ300" s="1192"/>
      <c r="AR300" s="1208"/>
    </row>
    <row r="301" spans="1:44" ht="16" thickBot="1">
      <c r="B301" s="574"/>
      <c r="C301" s="582"/>
      <c r="D301" s="582"/>
      <c r="E301" s="582"/>
      <c r="F301" s="582"/>
      <c r="G301" s="582"/>
      <c r="H301" s="582"/>
      <c r="I301" s="582"/>
      <c r="J301" s="582"/>
      <c r="K301" s="372"/>
      <c r="L301" s="373"/>
      <c r="M301" s="363"/>
      <c r="N301" s="363"/>
      <c r="P301" s="1210"/>
      <c r="Q301" s="1213"/>
      <c r="R301" s="395"/>
      <c r="S301" s="396"/>
      <c r="T301" s="1208"/>
      <c r="U301" s="1208"/>
      <c r="V301" s="1208"/>
      <c r="W301" s="1208"/>
      <c r="X301" s="1208"/>
      <c r="Y301" s="1208"/>
      <c r="Z301" s="1208"/>
      <c r="AA301" s="1208"/>
      <c r="AB301" s="1192"/>
      <c r="AC301" s="1208"/>
      <c r="AE301" s="1210"/>
      <c r="AF301" s="1213"/>
      <c r="AG301" s="395"/>
      <c r="AH301" s="396"/>
      <c r="AI301" s="1208"/>
      <c r="AJ301" s="1208"/>
      <c r="AK301" s="1208"/>
      <c r="AL301" s="1208"/>
      <c r="AM301" s="1208"/>
      <c r="AN301" s="1208"/>
      <c r="AO301" s="1208"/>
      <c r="AP301" s="1208"/>
      <c r="AQ301" s="1192"/>
      <c r="AR301" s="1208"/>
    </row>
    <row r="302" spans="1:44" ht="16" thickBot="1">
      <c r="B302" s="401"/>
      <c r="C302" s="583"/>
      <c r="D302" s="584"/>
      <c r="E302" s="585"/>
      <c r="F302" s="586"/>
      <c r="G302" s="406"/>
      <c r="H302" s="406"/>
      <c r="I302" s="406"/>
      <c r="J302" s="406"/>
      <c r="K302" s="407"/>
      <c r="L302" s="587"/>
      <c r="M302" s="363"/>
      <c r="N302" s="363"/>
      <c r="P302" s="1210"/>
      <c r="Q302" s="1214"/>
      <c r="R302" s="409"/>
      <c r="S302" s="410"/>
      <c r="T302" s="1209"/>
      <c r="U302" s="1209"/>
      <c r="V302" s="1209"/>
      <c r="W302" s="1209"/>
      <c r="X302" s="1209"/>
      <c r="Y302" s="1209"/>
      <c r="Z302" s="1209"/>
      <c r="AA302" s="1209"/>
      <c r="AB302" s="1193"/>
      <c r="AC302" s="1209"/>
      <c r="AE302" s="1210"/>
      <c r="AF302" s="1214"/>
      <c r="AG302" s="409"/>
      <c r="AH302" s="410"/>
      <c r="AI302" s="1209"/>
      <c r="AJ302" s="1209"/>
      <c r="AK302" s="1209"/>
      <c r="AL302" s="1209"/>
      <c r="AM302" s="1209"/>
      <c r="AN302" s="1209"/>
      <c r="AO302" s="1209"/>
      <c r="AP302" s="1209"/>
      <c r="AQ302" s="1193"/>
      <c r="AR302" s="1209"/>
    </row>
    <row r="303" spans="1:44" ht="16" thickBot="1">
      <c r="B303" s="574"/>
      <c r="C303" s="588"/>
      <c r="D303" s="588"/>
      <c r="E303" s="588"/>
      <c r="F303" s="588"/>
      <c r="G303" s="589"/>
      <c r="H303" s="589"/>
      <c r="I303" s="590"/>
      <c r="J303" s="590"/>
      <c r="K303" s="579"/>
      <c r="L303" s="580"/>
      <c r="M303" s="363"/>
      <c r="N303" s="363"/>
      <c r="P303" s="1211"/>
      <c r="Q303" s="411"/>
      <c r="R303" s="412"/>
      <c r="S303" s="413"/>
      <c r="T303" s="591"/>
      <c r="U303" s="592"/>
      <c r="V303" s="593"/>
      <c r="W303" s="592"/>
      <c r="X303" s="593"/>
      <c r="Y303" s="592"/>
      <c r="Z303" s="593"/>
      <c r="AA303" s="592"/>
      <c r="AB303" s="593"/>
      <c r="AC303" s="594"/>
      <c r="AE303" s="1211"/>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6" thickBot="1">
      <c r="B311" s="429"/>
      <c r="C311" s="397"/>
      <c r="D311" s="397"/>
      <c r="E311" s="397"/>
      <c r="F311" s="397"/>
      <c r="G311" s="425"/>
      <c r="H311" s="425"/>
      <c r="I311" s="425"/>
      <c r="J311" s="425"/>
      <c r="K311" s="423"/>
      <c r="L311" s="427"/>
      <c r="M311" s="428"/>
      <c r="N311" s="428"/>
    </row>
    <row r="312" spans="1:30" ht="16"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57"/>
      <c r="Q317" s="1135"/>
      <c r="R317" s="1135"/>
      <c r="S317" s="1135"/>
      <c r="T317" s="1135"/>
      <c r="U317" s="1158"/>
    </row>
    <row r="318" spans="1:30" ht="16" thickBot="1">
      <c r="B318" s="541"/>
      <c r="C318" s="552"/>
      <c r="D318" s="552"/>
      <c r="E318" s="552"/>
      <c r="F318" s="552"/>
      <c r="G318" s="553"/>
      <c r="H318" s="553"/>
      <c r="I318" s="553"/>
      <c r="J318" s="553"/>
      <c r="K318" s="547"/>
      <c r="L318" s="548"/>
      <c r="M318" s="450"/>
      <c r="N318" s="361"/>
      <c r="P318" s="1159"/>
      <c r="Q318" s="1160"/>
      <c r="R318" s="1160"/>
      <c r="S318" s="1160"/>
      <c r="T318" s="1160"/>
      <c r="U318" s="1161"/>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6"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6"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6"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5">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86:AA88"/>
    <mergeCell ref="P87:P89"/>
    <mergeCell ref="Q88:Q89"/>
    <mergeCell ref="R88:R89"/>
    <mergeCell ref="C23:F27"/>
    <mergeCell ref="P33:U33"/>
    <mergeCell ref="P34:U34"/>
    <mergeCell ref="C42:F42"/>
    <mergeCell ref="B84:B85"/>
    <mergeCell ref="C84:M84"/>
    <mergeCell ref="P84:U84"/>
    <mergeCell ref="C85:M85"/>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P90:P98"/>
    <mergeCell ref="Q90:Q92"/>
    <mergeCell ref="T90:T92"/>
    <mergeCell ref="U90:U92"/>
    <mergeCell ref="V90:V92"/>
    <mergeCell ref="W90:W92"/>
    <mergeCell ref="Q93:Q97"/>
    <mergeCell ref="T93:T97"/>
    <mergeCell ref="U93:U97"/>
    <mergeCell ref="V93:V97"/>
    <mergeCell ref="W93:W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Z158:AA160"/>
    <mergeCell ref="P159:P161"/>
    <mergeCell ref="Q160:Q161"/>
    <mergeCell ref="R160:R161"/>
    <mergeCell ref="P112:U112"/>
    <mergeCell ref="P113:U113"/>
    <mergeCell ref="B156:B157"/>
    <mergeCell ref="C156:M156"/>
    <mergeCell ref="P156:U156"/>
    <mergeCell ref="C157:M157"/>
    <mergeCell ref="P157:U157"/>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P162:P170"/>
    <mergeCell ref="Q162:Q164"/>
    <mergeCell ref="T162:T164"/>
    <mergeCell ref="U162:U164"/>
    <mergeCell ref="V162:V164"/>
    <mergeCell ref="W162:W164"/>
    <mergeCell ref="Q165:Q169"/>
    <mergeCell ref="T165:T169"/>
    <mergeCell ref="U165:U169"/>
    <mergeCell ref="V165:V169"/>
    <mergeCell ref="W165:W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P184:U184"/>
    <mergeCell ref="P185:U185"/>
    <mergeCell ref="C225:L225"/>
    <mergeCell ref="S225:S228"/>
    <mergeCell ref="T225:U227"/>
    <mergeCell ref="V225:W227"/>
    <mergeCell ref="K226:K227"/>
    <mergeCell ref="L226:L227"/>
    <mergeCell ref="P226:P228"/>
    <mergeCell ref="Q227:Q228"/>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A232:AA236"/>
    <mergeCell ref="AB232:AB236"/>
    <mergeCell ref="AC232:AC236"/>
    <mergeCell ref="P229:P237"/>
    <mergeCell ref="Q229:Q231"/>
    <mergeCell ref="T229:T231"/>
    <mergeCell ref="U229:U231"/>
    <mergeCell ref="V229:V231"/>
    <mergeCell ref="W229:W231"/>
    <mergeCell ref="X229:X231"/>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R345"/>
  <sheetViews>
    <sheetView topLeftCell="B1" zoomScale="55" zoomScaleNormal="55" workbookViewId="0">
      <selection activeCell="V38" sqref="V38"/>
    </sheetView>
  </sheetViews>
  <sheetFormatPr baseColWidth="10" defaultColWidth="8.83203125" defaultRowHeight="15" outlineLevelRow="1"/>
  <cols>
    <col min="1" max="1" width="20.5" style="224" customWidth="1"/>
    <col min="2" max="2" width="63.5" style="224" bestFit="1" customWidth="1"/>
    <col min="3" max="6" width="11" style="224" bestFit="1" customWidth="1"/>
    <col min="7" max="12" width="11" style="224" customWidth="1"/>
    <col min="13" max="13" width="8.83203125" style="224"/>
    <col min="14" max="14" width="4.5" style="224" customWidth="1"/>
    <col min="15" max="15" width="15.83203125" style="224" customWidth="1"/>
    <col min="16" max="16384" width="8.83203125" style="224"/>
  </cols>
  <sheetData>
    <row r="2" spans="1:44">
      <c r="B2" s="8" t="s">
        <v>826</v>
      </c>
    </row>
    <row r="4" spans="1:44" ht="25" customHeight="1">
      <c r="E4" s="224" t="s">
        <v>358</v>
      </c>
      <c r="F4" s="359">
        <v>7.45</v>
      </c>
      <c r="G4" s="359" t="s">
        <v>328</v>
      </c>
    </row>
    <row r="5" spans="1:44" ht="15" customHeight="1">
      <c r="A5" s="360" t="s">
        <v>827</v>
      </c>
      <c r="B5" s="1134"/>
      <c r="C5" s="1135"/>
      <c r="D5" s="1135"/>
      <c r="E5" s="1135"/>
      <c r="F5" s="1135"/>
      <c r="G5" s="1135"/>
      <c r="H5" s="1135"/>
      <c r="I5" s="1135"/>
      <c r="J5" s="1135"/>
      <c r="K5" s="1135"/>
      <c r="L5" s="1135"/>
      <c r="M5" s="1135"/>
      <c r="N5" s="361"/>
      <c r="P5" s="1135"/>
      <c r="Q5" s="1135"/>
      <c r="R5" s="1135"/>
      <c r="S5" s="1135"/>
      <c r="T5" s="1135"/>
      <c r="U5" s="1135"/>
    </row>
    <row r="6" spans="1:44" ht="15.75" customHeight="1" outlineLevel="1" thickBot="1">
      <c r="B6" s="1134"/>
      <c r="C6" s="1135"/>
      <c r="D6" s="1135"/>
      <c r="E6" s="1135"/>
      <c r="F6" s="1135"/>
      <c r="G6" s="1135"/>
      <c r="H6" s="1135"/>
      <c r="I6" s="1135"/>
      <c r="J6" s="1135"/>
      <c r="K6" s="1135"/>
      <c r="L6" s="1135"/>
      <c r="M6" s="1135"/>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01" t="s">
        <v>828</v>
      </c>
      <c r="D7" s="1202"/>
      <c r="E7" s="1202"/>
      <c r="F7" s="1202"/>
      <c r="G7" s="1202"/>
      <c r="H7" s="1202"/>
      <c r="I7" s="1202"/>
      <c r="J7" s="1202"/>
      <c r="K7" s="1202"/>
      <c r="L7" s="1203"/>
      <c r="M7" s="363"/>
      <c r="N7" s="363"/>
      <c r="P7" s="364" t="s">
        <v>713</v>
      </c>
      <c r="Q7" s="365"/>
      <c r="R7" s="366"/>
      <c r="S7" s="1143" t="s">
        <v>714</v>
      </c>
      <c r="T7" s="1147" t="s">
        <v>715</v>
      </c>
      <c r="U7" s="1148"/>
      <c r="V7" s="1147" t="s">
        <v>716</v>
      </c>
      <c r="W7" s="1148"/>
      <c r="X7" s="1147" t="s">
        <v>717</v>
      </c>
      <c r="Y7" s="1148"/>
      <c r="Z7" s="1147" t="s">
        <v>718</v>
      </c>
      <c r="AA7" s="1148"/>
      <c r="AB7" s="1147" t="s">
        <v>719</v>
      </c>
      <c r="AC7" s="1148"/>
      <c r="AE7" s="364" t="s">
        <v>720</v>
      </c>
      <c r="AF7" s="365"/>
      <c r="AG7" s="366"/>
      <c r="AH7" s="1143" t="s">
        <v>714</v>
      </c>
      <c r="AI7" s="1147" t="s">
        <v>715</v>
      </c>
      <c r="AJ7" s="1148"/>
      <c r="AK7" s="1147" t="s">
        <v>716</v>
      </c>
      <c r="AL7" s="1148"/>
      <c r="AM7" s="1147" t="s">
        <v>717</v>
      </c>
      <c r="AN7" s="1148"/>
      <c r="AO7" s="1147" t="s">
        <v>718</v>
      </c>
      <c r="AP7" s="1148"/>
      <c r="AQ7" s="1147" t="s">
        <v>719</v>
      </c>
      <c r="AR7" s="1148"/>
    </row>
    <row r="8" spans="1:44" ht="16" outlineLevel="1" thickBot="1">
      <c r="B8" s="1168" t="s">
        <v>4</v>
      </c>
      <c r="C8" s="1170">
        <v>2020</v>
      </c>
      <c r="D8" s="1170">
        <v>2030</v>
      </c>
      <c r="E8" s="1170">
        <v>2040</v>
      </c>
      <c r="F8" s="1170">
        <v>2050</v>
      </c>
      <c r="G8" s="1219" t="s">
        <v>721</v>
      </c>
      <c r="H8" s="1220"/>
      <c r="I8" s="1219" t="s">
        <v>648</v>
      </c>
      <c r="J8" s="1220"/>
      <c r="K8" s="1221" t="s">
        <v>2</v>
      </c>
      <c r="L8" s="1221" t="s">
        <v>3</v>
      </c>
      <c r="M8" s="367"/>
      <c r="N8" s="367"/>
      <c r="P8" s="1151" t="s">
        <v>0</v>
      </c>
      <c r="Q8" s="368"/>
      <c r="R8" s="368"/>
      <c r="S8" s="1144"/>
      <c r="T8" s="1149"/>
      <c r="U8" s="1150"/>
      <c r="V8" s="1149"/>
      <c r="W8" s="1150"/>
      <c r="X8" s="1149"/>
      <c r="Y8" s="1150"/>
      <c r="Z8" s="1149"/>
      <c r="AA8" s="1150"/>
      <c r="AB8" s="1149"/>
      <c r="AC8" s="1150"/>
      <c r="AE8" s="1151" t="s">
        <v>0</v>
      </c>
      <c r="AF8" s="368"/>
      <c r="AG8" s="368"/>
      <c r="AH8" s="1144"/>
      <c r="AI8" s="1149"/>
      <c r="AJ8" s="1150"/>
      <c r="AK8" s="1149"/>
      <c r="AL8" s="1150"/>
      <c r="AM8" s="1149"/>
      <c r="AN8" s="1150"/>
      <c r="AO8" s="1149"/>
      <c r="AP8" s="1150"/>
      <c r="AQ8" s="1149"/>
      <c r="AR8" s="1150"/>
    </row>
    <row r="9" spans="1:44" ht="16" outlineLevel="1" thickBot="1">
      <c r="B9" s="1169"/>
      <c r="C9" s="1171"/>
      <c r="D9" s="1171"/>
      <c r="E9" s="1171"/>
      <c r="F9" s="1171"/>
      <c r="G9" s="369" t="s">
        <v>649</v>
      </c>
      <c r="H9" s="369" t="s">
        <v>650</v>
      </c>
      <c r="I9" s="369" t="s">
        <v>649</v>
      </c>
      <c r="J9" s="369" t="s">
        <v>650</v>
      </c>
      <c r="K9" s="1222"/>
      <c r="L9" s="1222"/>
      <c r="M9" s="370"/>
      <c r="N9" s="370"/>
      <c r="P9" s="1152"/>
      <c r="Q9" s="1154" t="s">
        <v>722</v>
      </c>
      <c r="R9" s="1155" t="s">
        <v>723</v>
      </c>
      <c r="S9" s="1145"/>
      <c r="T9" s="1149"/>
      <c r="U9" s="1150"/>
      <c r="V9" s="1149"/>
      <c r="W9" s="1150"/>
      <c r="X9" s="1149"/>
      <c r="Y9" s="1150"/>
      <c r="Z9" s="1149"/>
      <c r="AA9" s="1150"/>
      <c r="AB9" s="1149"/>
      <c r="AC9" s="1150"/>
      <c r="AE9" s="1152"/>
      <c r="AF9" s="1198" t="s">
        <v>722</v>
      </c>
      <c r="AG9" s="1155" t="s">
        <v>723</v>
      </c>
      <c r="AH9" s="1145"/>
      <c r="AI9" s="1149"/>
      <c r="AJ9" s="1150"/>
      <c r="AK9" s="1149"/>
      <c r="AL9" s="1150"/>
      <c r="AM9" s="1149"/>
      <c r="AN9" s="1150"/>
      <c r="AO9" s="1149"/>
      <c r="AP9" s="1150"/>
      <c r="AQ9" s="1149"/>
      <c r="AR9" s="1150"/>
    </row>
    <row r="10" spans="1:44" ht="54.5" customHeight="1" outlineLevel="1" thickBot="1">
      <c r="B10" s="371" t="s">
        <v>724</v>
      </c>
      <c r="C10" s="372">
        <v>5000</v>
      </c>
      <c r="D10" s="372">
        <v>5000</v>
      </c>
      <c r="E10" s="372">
        <v>5000</v>
      </c>
      <c r="F10" s="372">
        <v>5000</v>
      </c>
      <c r="G10" s="372">
        <v>1000</v>
      </c>
      <c r="H10" s="372">
        <v>10000</v>
      </c>
      <c r="I10" s="372">
        <v>1000</v>
      </c>
      <c r="J10" s="372">
        <v>10000</v>
      </c>
      <c r="K10" s="372"/>
      <c r="L10" s="373">
        <v>4</v>
      </c>
      <c r="M10" s="370"/>
      <c r="N10" s="370"/>
      <c r="O10" s="74"/>
      <c r="P10" s="1153"/>
      <c r="Q10" s="1146"/>
      <c r="R10" s="1156"/>
      <c r="S10" s="1146"/>
      <c r="T10" s="374" t="s">
        <v>726</v>
      </c>
      <c r="U10" s="375" t="s">
        <v>727</v>
      </c>
      <c r="V10" s="374" t="s">
        <v>726</v>
      </c>
      <c r="W10" s="375" t="s">
        <v>727</v>
      </c>
      <c r="X10" s="374" t="s">
        <v>726</v>
      </c>
      <c r="Y10" s="375" t="s">
        <v>727</v>
      </c>
      <c r="Z10" s="374" t="s">
        <v>726</v>
      </c>
      <c r="AA10" s="375" t="s">
        <v>727</v>
      </c>
      <c r="AB10" s="374" t="s">
        <v>726</v>
      </c>
      <c r="AC10" s="375" t="s">
        <v>727</v>
      </c>
      <c r="AE10" s="1153"/>
      <c r="AF10" s="1199"/>
      <c r="AG10" s="1156"/>
      <c r="AH10" s="1146"/>
      <c r="AI10" s="374" t="s">
        <v>726</v>
      </c>
      <c r="AJ10" s="375" t="s">
        <v>727</v>
      </c>
      <c r="AK10" s="374" t="s">
        <v>726</v>
      </c>
      <c r="AL10" s="375" t="s">
        <v>727</v>
      </c>
      <c r="AM10" s="374" t="s">
        <v>726</v>
      </c>
      <c r="AN10" s="375" t="s">
        <v>727</v>
      </c>
      <c r="AO10" s="374" t="s">
        <v>726</v>
      </c>
      <c r="AP10" s="375" t="s">
        <v>727</v>
      </c>
      <c r="AQ10" s="374" t="s">
        <v>726</v>
      </c>
      <c r="AR10" s="375" t="s">
        <v>727</v>
      </c>
    </row>
    <row r="11" spans="1:44" ht="24.5" customHeight="1" outlineLevel="1">
      <c r="B11" s="376" t="s">
        <v>728</v>
      </c>
      <c r="C11" s="377">
        <v>100</v>
      </c>
      <c r="D11" s="377">
        <v>100</v>
      </c>
      <c r="E11" s="378">
        <v>100</v>
      </c>
      <c r="F11" s="377">
        <v>100</v>
      </c>
      <c r="G11" s="377">
        <v>100</v>
      </c>
      <c r="H11" s="377">
        <v>100</v>
      </c>
      <c r="I11" s="377">
        <v>100</v>
      </c>
      <c r="J11" s="377">
        <v>100</v>
      </c>
      <c r="K11" s="379" t="s">
        <v>6</v>
      </c>
      <c r="L11" s="380">
        <v>2</v>
      </c>
      <c r="M11" s="370"/>
      <c r="N11" s="370"/>
      <c r="P11" s="1200" t="str">
        <f>C7</f>
        <v>Direct Firing, Electricity</v>
      </c>
      <c r="Q11" s="1188" t="s">
        <v>730</v>
      </c>
      <c r="R11" s="381" t="s">
        <v>731</v>
      </c>
      <c r="S11" s="382"/>
      <c r="T11" s="1191">
        <v>1</v>
      </c>
      <c r="U11" s="1179">
        <v>0</v>
      </c>
      <c r="V11" s="1191">
        <v>1</v>
      </c>
      <c r="W11" s="1179">
        <v>0</v>
      </c>
      <c r="X11" s="1191">
        <v>0</v>
      </c>
      <c r="Y11" s="1179">
        <v>0</v>
      </c>
      <c r="Z11" s="1191">
        <v>0.2</v>
      </c>
      <c r="AA11" s="1179">
        <v>0</v>
      </c>
      <c r="AB11" s="1191">
        <v>0.05</v>
      </c>
      <c r="AC11" s="1179">
        <v>0</v>
      </c>
      <c r="AE11" s="1185" t="str">
        <f>P11</f>
        <v>Direct Firing, Electricity</v>
      </c>
      <c r="AF11" s="1188" t="s">
        <v>730</v>
      </c>
      <c r="AG11" s="381" t="s">
        <v>731</v>
      </c>
      <c r="AH11" s="382"/>
      <c r="AI11" s="1191">
        <v>0.5</v>
      </c>
      <c r="AJ11" s="1179">
        <v>0</v>
      </c>
      <c r="AK11" s="1191">
        <v>0.5</v>
      </c>
      <c r="AL11" s="1179">
        <v>0</v>
      </c>
      <c r="AM11" s="1191">
        <v>0</v>
      </c>
      <c r="AN11" s="1179">
        <v>0</v>
      </c>
      <c r="AO11" s="1191">
        <v>0.2</v>
      </c>
      <c r="AP11" s="1179">
        <v>0</v>
      </c>
      <c r="AQ11" s="1191">
        <v>0</v>
      </c>
      <c r="AR11" s="1179">
        <v>0</v>
      </c>
    </row>
    <row r="12" spans="1:44" ht="32.5" customHeight="1" outlineLevel="1">
      <c r="B12" s="383" t="s">
        <v>732</v>
      </c>
      <c r="C12" s="384">
        <v>100</v>
      </c>
      <c r="D12" s="384">
        <v>100</v>
      </c>
      <c r="E12" s="384">
        <v>100</v>
      </c>
      <c r="F12" s="384">
        <v>100</v>
      </c>
      <c r="G12" s="385">
        <v>100</v>
      </c>
      <c r="H12" s="385">
        <v>100</v>
      </c>
      <c r="I12" s="385">
        <v>100</v>
      </c>
      <c r="J12" s="385">
        <v>100</v>
      </c>
      <c r="K12" s="386" t="s">
        <v>6</v>
      </c>
      <c r="L12" s="387">
        <v>2</v>
      </c>
      <c r="M12" s="370"/>
      <c r="N12" s="370"/>
      <c r="O12" s="71"/>
      <c r="P12" s="1186"/>
      <c r="Q12" s="1189"/>
      <c r="R12" s="388" t="s">
        <v>733</v>
      </c>
      <c r="S12" s="389"/>
      <c r="T12" s="1192"/>
      <c r="U12" s="1180"/>
      <c r="V12" s="1192"/>
      <c r="W12" s="1180"/>
      <c r="X12" s="1192"/>
      <c r="Y12" s="1180"/>
      <c r="Z12" s="1192"/>
      <c r="AA12" s="1180"/>
      <c r="AB12" s="1192"/>
      <c r="AC12" s="1180"/>
      <c r="AE12" s="1186"/>
      <c r="AF12" s="1189"/>
      <c r="AG12" s="388" t="s">
        <v>733</v>
      </c>
      <c r="AH12" s="389"/>
      <c r="AI12" s="1192"/>
      <c r="AJ12" s="1180"/>
      <c r="AK12" s="1192"/>
      <c r="AL12" s="1180"/>
      <c r="AM12" s="1192"/>
      <c r="AN12" s="1180"/>
      <c r="AO12" s="1192"/>
      <c r="AP12" s="1180"/>
      <c r="AQ12" s="1192"/>
      <c r="AR12" s="1180"/>
    </row>
    <row r="13" spans="1:44" ht="16" outlineLevel="1" thickBot="1">
      <c r="B13" s="376" t="s">
        <v>734</v>
      </c>
      <c r="C13" s="390">
        <v>0.25</v>
      </c>
      <c r="D13" s="391">
        <v>0.25</v>
      </c>
      <c r="E13" s="391">
        <v>0.25</v>
      </c>
      <c r="F13" s="392">
        <v>0.25</v>
      </c>
      <c r="G13" s="391">
        <v>0.1</v>
      </c>
      <c r="H13" s="391">
        <v>1</v>
      </c>
      <c r="I13" s="391">
        <v>0.1</v>
      </c>
      <c r="J13" s="391">
        <v>1</v>
      </c>
      <c r="K13" s="379" t="s">
        <v>59</v>
      </c>
      <c r="L13" s="380" t="s">
        <v>829</v>
      </c>
      <c r="M13" s="370"/>
      <c r="N13" s="370"/>
      <c r="O13" s="71"/>
      <c r="P13" s="1186"/>
      <c r="Q13" s="1190"/>
      <c r="R13" s="393" t="s">
        <v>735</v>
      </c>
      <c r="S13" s="394"/>
      <c r="T13" s="1193"/>
      <c r="U13" s="1181"/>
      <c r="V13" s="1193"/>
      <c r="W13" s="1181"/>
      <c r="X13" s="1193"/>
      <c r="Y13" s="1181"/>
      <c r="Z13" s="1193"/>
      <c r="AA13" s="1181"/>
      <c r="AB13" s="1193"/>
      <c r="AC13" s="1181"/>
      <c r="AE13" s="1186"/>
      <c r="AF13" s="1190"/>
      <c r="AG13" s="393" t="s">
        <v>735</v>
      </c>
      <c r="AH13" s="394"/>
      <c r="AI13" s="1193"/>
      <c r="AJ13" s="1181"/>
      <c r="AK13" s="1193"/>
      <c r="AL13" s="1181"/>
      <c r="AM13" s="1193"/>
      <c r="AN13" s="1181"/>
      <c r="AO13" s="1193"/>
      <c r="AP13" s="1181"/>
      <c r="AQ13" s="1193"/>
      <c r="AR13" s="1181"/>
    </row>
    <row r="14" spans="1:44" ht="15" customHeight="1" outlineLevel="1">
      <c r="B14" s="376" t="s">
        <v>657</v>
      </c>
      <c r="C14" s="390">
        <v>0</v>
      </c>
      <c r="D14" s="390">
        <v>0</v>
      </c>
      <c r="E14" s="390">
        <v>0</v>
      </c>
      <c r="F14" s="390">
        <v>0</v>
      </c>
      <c r="G14" s="390">
        <v>0</v>
      </c>
      <c r="H14" s="390">
        <v>0.5</v>
      </c>
      <c r="I14" s="390">
        <v>0</v>
      </c>
      <c r="J14" s="390">
        <v>0.5</v>
      </c>
      <c r="K14" s="379" t="s">
        <v>25</v>
      </c>
      <c r="L14" s="380">
        <v>4</v>
      </c>
      <c r="M14" s="370"/>
      <c r="N14" s="370"/>
      <c r="O14" s="71"/>
      <c r="P14" s="1186"/>
      <c r="Q14" s="1188" t="s">
        <v>736</v>
      </c>
      <c r="R14" s="395" t="s">
        <v>737</v>
      </c>
      <c r="S14" s="396" t="s">
        <v>738</v>
      </c>
      <c r="T14" s="1191">
        <v>1</v>
      </c>
      <c r="U14" s="1191">
        <v>0</v>
      </c>
      <c r="V14" s="1191">
        <v>1</v>
      </c>
      <c r="W14" s="1191">
        <v>0</v>
      </c>
      <c r="X14" s="1191">
        <v>0.5</v>
      </c>
      <c r="Y14" s="1191">
        <v>0</v>
      </c>
      <c r="Z14" s="1191">
        <v>1</v>
      </c>
      <c r="AA14" s="1191">
        <v>0</v>
      </c>
      <c r="AB14" s="1191">
        <v>0</v>
      </c>
      <c r="AC14" s="1191">
        <v>0</v>
      </c>
      <c r="AE14" s="1186"/>
      <c r="AF14" s="1188" t="s">
        <v>736</v>
      </c>
      <c r="AG14" s="395" t="s">
        <v>737</v>
      </c>
      <c r="AH14" s="396" t="s">
        <v>738</v>
      </c>
      <c r="AI14" s="1191">
        <v>0.5</v>
      </c>
      <c r="AJ14" s="1191">
        <v>0</v>
      </c>
      <c r="AK14" s="1191">
        <v>0.5</v>
      </c>
      <c r="AL14" s="1191">
        <v>0</v>
      </c>
      <c r="AM14" s="1191">
        <v>0.25</v>
      </c>
      <c r="AN14" s="1191">
        <v>0</v>
      </c>
      <c r="AO14" s="1191">
        <v>0.4</v>
      </c>
      <c r="AP14" s="1191">
        <v>0</v>
      </c>
      <c r="AQ14" s="1191">
        <v>0</v>
      </c>
      <c r="AR14" s="1191">
        <v>0</v>
      </c>
    </row>
    <row r="15" spans="1:44" outlineLevel="1">
      <c r="B15" s="376" t="s">
        <v>658</v>
      </c>
      <c r="C15" s="390">
        <v>0</v>
      </c>
      <c r="D15" s="390">
        <v>0</v>
      </c>
      <c r="E15" s="390">
        <v>0</v>
      </c>
      <c r="F15" s="390">
        <v>0</v>
      </c>
      <c r="G15" s="390">
        <v>0</v>
      </c>
      <c r="H15" s="390">
        <v>1</v>
      </c>
      <c r="I15" s="390">
        <v>0</v>
      </c>
      <c r="J15" s="390">
        <v>1</v>
      </c>
      <c r="K15" s="379" t="s">
        <v>25</v>
      </c>
      <c r="L15" s="380">
        <v>4</v>
      </c>
      <c r="M15" s="367"/>
      <c r="N15" s="367"/>
      <c r="O15" s="71"/>
      <c r="P15" s="1186"/>
      <c r="Q15" s="1189"/>
      <c r="R15" s="395" t="s">
        <v>739</v>
      </c>
      <c r="S15" s="396" t="s">
        <v>738</v>
      </c>
      <c r="T15" s="1208"/>
      <c r="U15" s="1208"/>
      <c r="V15" s="1208"/>
      <c r="W15" s="1208"/>
      <c r="X15" s="1208"/>
      <c r="Y15" s="1208"/>
      <c r="Z15" s="1208"/>
      <c r="AA15" s="1208"/>
      <c r="AB15" s="1208"/>
      <c r="AC15" s="1208"/>
      <c r="AE15" s="1186"/>
      <c r="AF15" s="1189"/>
      <c r="AG15" s="395" t="s">
        <v>739</v>
      </c>
      <c r="AH15" s="396" t="s">
        <v>738</v>
      </c>
      <c r="AI15" s="1208"/>
      <c r="AJ15" s="1208"/>
      <c r="AK15" s="1208"/>
      <c r="AL15" s="1208"/>
      <c r="AM15" s="1208"/>
      <c r="AN15" s="1208"/>
      <c r="AO15" s="1208"/>
      <c r="AP15" s="1208"/>
      <c r="AQ15" s="1208"/>
      <c r="AR15" s="1208"/>
    </row>
    <row r="16" spans="1:44" outlineLevel="1">
      <c r="B16" s="383" t="s">
        <v>11</v>
      </c>
      <c r="C16" s="397">
        <v>12.5</v>
      </c>
      <c r="D16" s="397">
        <v>12.5</v>
      </c>
      <c r="E16" s="397">
        <v>12.5</v>
      </c>
      <c r="F16" s="397">
        <v>12.5</v>
      </c>
      <c r="G16" s="398">
        <v>10</v>
      </c>
      <c r="H16" s="398">
        <v>15</v>
      </c>
      <c r="I16" s="398">
        <v>10</v>
      </c>
      <c r="J16" s="398">
        <v>15</v>
      </c>
      <c r="K16" s="372"/>
      <c r="L16" s="373">
        <v>4</v>
      </c>
      <c r="M16" s="363"/>
      <c r="N16" s="363"/>
      <c r="P16" s="1186"/>
      <c r="Q16" s="1189"/>
      <c r="R16" s="395" t="s">
        <v>741</v>
      </c>
      <c r="S16" s="396" t="s">
        <v>738</v>
      </c>
      <c r="T16" s="1208"/>
      <c r="U16" s="1208"/>
      <c r="V16" s="1208"/>
      <c r="W16" s="1208"/>
      <c r="X16" s="1208"/>
      <c r="Y16" s="1208"/>
      <c r="Z16" s="1208"/>
      <c r="AA16" s="1208"/>
      <c r="AB16" s="1208"/>
      <c r="AC16" s="1208"/>
      <c r="AE16" s="1186"/>
      <c r="AF16" s="1189"/>
      <c r="AG16" s="395" t="s">
        <v>741</v>
      </c>
      <c r="AH16" s="396" t="s">
        <v>738</v>
      </c>
      <c r="AI16" s="1208"/>
      <c r="AJ16" s="1208"/>
      <c r="AK16" s="1208"/>
      <c r="AL16" s="1208"/>
      <c r="AM16" s="1208"/>
      <c r="AN16" s="1208"/>
      <c r="AO16" s="1208"/>
      <c r="AP16" s="1208"/>
      <c r="AQ16" s="1208"/>
      <c r="AR16" s="1208"/>
    </row>
    <row r="17" spans="1:44" ht="16" outlineLevel="1" thickBot="1">
      <c r="B17" s="376" t="s">
        <v>273</v>
      </c>
      <c r="C17" s="399">
        <v>0.04</v>
      </c>
      <c r="D17" s="399">
        <v>0.04</v>
      </c>
      <c r="E17" s="399">
        <v>0.04</v>
      </c>
      <c r="F17" s="399">
        <v>0.04</v>
      </c>
      <c r="G17" s="399">
        <v>0.02</v>
      </c>
      <c r="H17" s="399">
        <v>0.06</v>
      </c>
      <c r="I17" s="399">
        <v>0.02</v>
      </c>
      <c r="J17" s="399">
        <v>0.06</v>
      </c>
      <c r="K17" s="372"/>
      <c r="L17" s="400">
        <v>5</v>
      </c>
      <c r="M17" s="363"/>
      <c r="N17" s="363"/>
      <c r="P17" s="1186"/>
      <c r="Q17" s="1189"/>
      <c r="R17" s="395" t="s">
        <v>742</v>
      </c>
      <c r="S17" s="396" t="s">
        <v>738</v>
      </c>
      <c r="T17" s="1208"/>
      <c r="U17" s="1208"/>
      <c r="V17" s="1208"/>
      <c r="W17" s="1208"/>
      <c r="X17" s="1208"/>
      <c r="Y17" s="1208"/>
      <c r="Z17" s="1208"/>
      <c r="AA17" s="1208"/>
      <c r="AB17" s="1208"/>
      <c r="AC17" s="1208"/>
      <c r="AE17" s="1186"/>
      <c r="AF17" s="1189"/>
      <c r="AG17" s="395" t="s">
        <v>742</v>
      </c>
      <c r="AH17" s="396" t="s">
        <v>738</v>
      </c>
      <c r="AI17" s="1208"/>
      <c r="AJ17" s="1208"/>
      <c r="AK17" s="1208"/>
      <c r="AL17" s="1208"/>
      <c r="AM17" s="1208"/>
      <c r="AN17" s="1208"/>
      <c r="AO17" s="1208"/>
      <c r="AP17" s="1208"/>
      <c r="AQ17" s="1208"/>
      <c r="AR17" s="1208"/>
    </row>
    <row r="18" spans="1:44" ht="16" outlineLevel="1" thickBot="1">
      <c r="B18" s="401" t="s">
        <v>743</v>
      </c>
      <c r="C18" s="402"/>
      <c r="D18" s="403"/>
      <c r="E18" s="404"/>
      <c r="F18" s="405"/>
      <c r="G18" s="406"/>
      <c r="H18" s="406"/>
      <c r="I18" s="406"/>
      <c r="J18" s="406"/>
      <c r="K18" s="407"/>
      <c r="L18" s="408"/>
      <c r="M18" s="363"/>
      <c r="N18" s="363"/>
      <c r="P18" s="1186"/>
      <c r="Q18" s="1189"/>
      <c r="R18" s="409" t="s">
        <v>744</v>
      </c>
      <c r="S18" s="410" t="s">
        <v>738</v>
      </c>
      <c r="T18" s="1209"/>
      <c r="U18" s="1209"/>
      <c r="V18" s="1209"/>
      <c r="W18" s="1209"/>
      <c r="X18" s="1209"/>
      <c r="Y18" s="1209"/>
      <c r="Z18" s="1209"/>
      <c r="AA18" s="1209"/>
      <c r="AB18" s="1209"/>
      <c r="AC18" s="1209"/>
      <c r="AE18" s="1186"/>
      <c r="AF18" s="1189"/>
      <c r="AG18" s="409" t="s">
        <v>744</v>
      </c>
      <c r="AH18" s="410" t="s">
        <v>738</v>
      </c>
      <c r="AI18" s="1209"/>
      <c r="AJ18" s="1209"/>
      <c r="AK18" s="1209"/>
      <c r="AL18" s="1209"/>
      <c r="AM18" s="1209"/>
      <c r="AN18" s="1209"/>
      <c r="AO18" s="1209"/>
      <c r="AP18" s="1209"/>
      <c r="AQ18" s="1209"/>
      <c r="AR18" s="1209"/>
    </row>
    <row r="19" spans="1:44" ht="33" outlineLevel="1" thickBot="1">
      <c r="B19" s="376" t="s">
        <v>663</v>
      </c>
      <c r="C19" s="390">
        <v>15</v>
      </c>
      <c r="D19" s="390">
        <v>15</v>
      </c>
      <c r="E19" s="390">
        <v>15</v>
      </c>
      <c r="F19" s="390">
        <v>15</v>
      </c>
      <c r="G19" s="391"/>
      <c r="H19" s="391"/>
      <c r="I19" s="391"/>
      <c r="J19" s="391"/>
      <c r="K19" s="379" t="s">
        <v>16</v>
      </c>
      <c r="L19" s="380">
        <v>4</v>
      </c>
      <c r="M19" s="363"/>
      <c r="N19" s="363"/>
      <c r="P19" s="1187"/>
      <c r="Q19" s="411" t="s">
        <v>745</v>
      </c>
      <c r="R19" s="412" t="s">
        <v>746</v>
      </c>
      <c r="S19" s="413" t="s">
        <v>738</v>
      </c>
      <c r="T19" s="414">
        <v>0</v>
      </c>
      <c r="U19" s="415">
        <v>0</v>
      </c>
      <c r="V19" s="416">
        <v>0</v>
      </c>
      <c r="W19" s="415">
        <v>0</v>
      </c>
      <c r="X19" s="416">
        <v>0</v>
      </c>
      <c r="Y19" s="415">
        <v>0</v>
      </c>
      <c r="Z19" s="416">
        <v>0</v>
      </c>
      <c r="AA19" s="415">
        <v>0</v>
      </c>
      <c r="AB19" s="416">
        <v>0</v>
      </c>
      <c r="AC19" s="417">
        <v>0</v>
      </c>
      <c r="AE19" s="1187"/>
      <c r="AF19" s="411" t="s">
        <v>745</v>
      </c>
      <c r="AG19" s="412" t="s">
        <v>746</v>
      </c>
      <c r="AH19" s="413" t="s">
        <v>738</v>
      </c>
      <c r="AI19" s="414">
        <v>0</v>
      </c>
      <c r="AJ19" s="415">
        <v>0</v>
      </c>
      <c r="AK19" s="416">
        <v>0</v>
      </c>
      <c r="AL19" s="415">
        <v>0</v>
      </c>
      <c r="AM19" s="416">
        <v>0</v>
      </c>
      <c r="AN19" s="415">
        <v>0</v>
      </c>
      <c r="AO19" s="416">
        <v>0</v>
      </c>
      <c r="AP19" s="415">
        <v>0</v>
      </c>
      <c r="AQ19" s="416">
        <v>0</v>
      </c>
      <c r="AR19" s="417">
        <v>0</v>
      </c>
    </row>
    <row r="20" spans="1:44" outlineLevel="1">
      <c r="B20" s="376" t="s">
        <v>664</v>
      </c>
      <c r="C20" s="390">
        <v>0.01</v>
      </c>
      <c r="D20" s="390">
        <v>0.01</v>
      </c>
      <c r="E20" s="390">
        <v>0.01</v>
      </c>
      <c r="F20" s="390">
        <v>0.01</v>
      </c>
      <c r="G20" s="418"/>
      <c r="H20" s="418"/>
      <c r="I20" s="418"/>
      <c r="J20" s="418"/>
      <c r="K20" s="419"/>
      <c r="L20" s="380">
        <v>5</v>
      </c>
      <c r="M20" s="363"/>
      <c r="N20" s="363"/>
    </row>
    <row r="21" spans="1:44" outlineLevel="1">
      <c r="B21" s="376" t="s">
        <v>666</v>
      </c>
      <c r="C21" s="390">
        <v>0.01</v>
      </c>
      <c r="D21" s="390">
        <v>0.01</v>
      </c>
      <c r="E21" s="390">
        <v>0.01</v>
      </c>
      <c r="F21" s="390">
        <v>0.01</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747</v>
      </c>
      <c r="C23" s="1223" t="s">
        <v>669</v>
      </c>
      <c r="D23" s="1224"/>
      <c r="E23" s="1224"/>
      <c r="F23" s="1225"/>
      <c r="G23" s="422"/>
      <c r="H23" s="425"/>
      <c r="I23" s="425"/>
      <c r="J23" s="425"/>
      <c r="K23" s="426"/>
      <c r="L23" s="427"/>
      <c r="M23" s="428"/>
      <c r="N23" s="428"/>
    </row>
    <row r="24" spans="1:44" outlineLevel="1">
      <c r="B24" s="383" t="s">
        <v>749</v>
      </c>
      <c r="C24" s="1226"/>
      <c r="D24" s="1256"/>
      <c r="E24" s="1256"/>
      <c r="F24" s="1228"/>
      <c r="G24" s="425"/>
      <c r="H24" s="425"/>
      <c r="I24" s="425"/>
      <c r="J24" s="425"/>
      <c r="K24" s="423"/>
      <c r="L24" s="427"/>
      <c r="M24" s="428"/>
      <c r="N24" s="428"/>
    </row>
    <row r="25" spans="1:44" ht="16" outlineLevel="1">
      <c r="B25" s="383" t="s">
        <v>750</v>
      </c>
      <c r="C25" s="1226"/>
      <c r="D25" s="1256"/>
      <c r="E25" s="1256"/>
      <c r="F25" s="1228"/>
      <c r="G25" s="425"/>
      <c r="H25" s="425"/>
      <c r="I25" s="425"/>
      <c r="J25" s="425"/>
      <c r="K25" s="423"/>
      <c r="L25" s="427"/>
      <c r="M25" s="428"/>
      <c r="N25" s="428"/>
    </row>
    <row r="26" spans="1:44" outlineLevel="1">
      <c r="B26" s="383" t="s">
        <v>366</v>
      </c>
      <c r="C26" s="1226"/>
      <c r="D26" s="1256"/>
      <c r="E26" s="1256"/>
      <c r="F26" s="1228"/>
      <c r="G26" s="425"/>
      <c r="H26" s="425"/>
      <c r="I26" s="425"/>
      <c r="J26" s="425"/>
      <c r="K26" s="423"/>
      <c r="L26" s="427"/>
      <c r="M26" s="428"/>
      <c r="N26" s="428"/>
    </row>
    <row r="27" spans="1:44" ht="16" outlineLevel="1" thickBot="1">
      <c r="B27" s="429" t="s">
        <v>367</v>
      </c>
      <c r="C27" s="1229"/>
      <c r="D27" s="1230"/>
      <c r="E27" s="1230"/>
      <c r="F27" s="1231"/>
      <c r="G27" s="425"/>
      <c r="H27" s="425"/>
      <c r="I27" s="425"/>
      <c r="J27" s="425"/>
      <c r="K27" s="423"/>
      <c r="L27" s="427"/>
      <c r="M27" s="428"/>
      <c r="N27" s="428"/>
    </row>
    <row r="28" spans="1:44" ht="16" outlineLevel="1" thickBot="1">
      <c r="B28" s="431" t="s">
        <v>674</v>
      </c>
      <c r="C28" s="432"/>
      <c r="D28" s="403"/>
      <c r="E28" s="403"/>
      <c r="F28" s="433"/>
      <c r="G28" s="434"/>
      <c r="H28" s="406"/>
      <c r="I28" s="406"/>
      <c r="J28" s="406"/>
      <c r="K28" s="407"/>
      <c r="L28" s="408"/>
      <c r="M28" s="428"/>
      <c r="N28" s="428"/>
    </row>
    <row r="29" spans="1:44" ht="52" customHeight="1" outlineLevel="1">
      <c r="A29" s="435"/>
      <c r="B29" s="436" t="s">
        <v>751</v>
      </c>
      <c r="C29" s="437">
        <v>0.06</v>
      </c>
      <c r="D29" s="438">
        <v>0.06</v>
      </c>
      <c r="E29" s="438">
        <v>0.06</v>
      </c>
      <c r="F29" s="439">
        <v>0.06</v>
      </c>
      <c r="G29" s="425"/>
      <c r="H29" s="425"/>
      <c r="I29" s="425"/>
      <c r="J29" s="425"/>
      <c r="K29" s="426" t="s">
        <v>76</v>
      </c>
      <c r="L29" s="440" t="s">
        <v>67</v>
      </c>
      <c r="M29" s="420"/>
      <c r="N29" s="420"/>
    </row>
    <row r="30" spans="1:44" outlineLevel="1">
      <c r="B30" s="441" t="s">
        <v>754</v>
      </c>
      <c r="C30" s="627">
        <v>66.666666666666657</v>
      </c>
      <c r="D30" s="443">
        <v>66.666666666666657</v>
      </c>
      <c r="E30" s="443">
        <v>66.666666666666657</v>
      </c>
      <c r="F30" s="443">
        <v>66.666666666666657</v>
      </c>
      <c r="G30" s="425"/>
      <c r="H30" s="425"/>
      <c r="I30" s="425"/>
      <c r="J30" s="425"/>
      <c r="K30" s="444"/>
      <c r="L30" s="373">
        <v>5</v>
      </c>
      <c r="M30" s="71"/>
      <c r="N30" s="420"/>
    </row>
    <row r="31" spans="1:44" outlineLevel="1">
      <c r="B31" s="441" t="s">
        <v>755</v>
      </c>
      <c r="C31" s="627">
        <v>33.333333333333343</v>
      </c>
      <c r="D31" s="627">
        <v>33.333333333333343</v>
      </c>
      <c r="E31" s="627">
        <v>33.333333333333343</v>
      </c>
      <c r="F31" s="627">
        <v>33.333333333333343</v>
      </c>
      <c r="G31" s="425"/>
      <c r="H31" s="425"/>
      <c r="I31" s="425"/>
      <c r="J31" s="425"/>
      <c r="K31" s="444"/>
      <c r="L31" s="373">
        <v>5</v>
      </c>
      <c r="M31" s="420"/>
      <c r="N31" s="420"/>
    </row>
    <row r="32" spans="1:44" outlineLevel="1">
      <c r="B32" s="383" t="s">
        <v>756</v>
      </c>
      <c r="C32" s="445">
        <f>0/1000</f>
        <v>0</v>
      </c>
      <c r="D32" s="446">
        <f>0/1000</f>
        <v>0</v>
      </c>
      <c r="E32" s="446">
        <f>0/1000</f>
        <v>0</v>
      </c>
      <c r="F32" s="447">
        <f>0/1000</f>
        <v>0</v>
      </c>
      <c r="G32" s="425"/>
      <c r="H32" s="425"/>
      <c r="I32" s="425"/>
      <c r="J32" s="425"/>
      <c r="K32" s="448" t="s">
        <v>25</v>
      </c>
      <c r="L32" s="373">
        <v>4</v>
      </c>
      <c r="M32" s="420"/>
      <c r="N32" s="420"/>
    </row>
    <row r="33" spans="2:30" ht="37" customHeight="1" outlineLevel="1" thickBot="1">
      <c r="B33" s="383" t="s">
        <v>757</v>
      </c>
      <c r="C33" s="449">
        <f>0.1825/3.6</f>
        <v>5.0694444444444445E-2</v>
      </c>
      <c r="D33" s="449">
        <f>0.1875/3.6</f>
        <v>5.2083333333333329E-2</v>
      </c>
      <c r="E33" s="449">
        <f>0.19/3.6</f>
        <v>5.2777777777777778E-2</v>
      </c>
      <c r="F33" s="449">
        <f>0.19/3.6</f>
        <v>5.2777777777777778E-2</v>
      </c>
      <c r="G33" s="425"/>
      <c r="H33" s="425"/>
      <c r="I33" s="425"/>
      <c r="J33" s="425"/>
      <c r="K33" s="448"/>
      <c r="L33" s="373" t="s">
        <v>69</v>
      </c>
      <c r="M33" s="450"/>
      <c r="N33" s="361"/>
      <c r="P33" s="1157">
        <f>C33</f>
        <v>5.0694444444444445E-2</v>
      </c>
      <c r="Q33" s="1135"/>
      <c r="R33" s="1135"/>
      <c r="S33" s="1135"/>
      <c r="T33" s="1135"/>
      <c r="U33" s="1158"/>
    </row>
    <row r="34" spans="2:30" ht="15.75" customHeight="1" outlineLevel="1" thickBot="1">
      <c r="B34" s="451" t="s">
        <v>758</v>
      </c>
      <c r="C34" s="452">
        <v>0.1825</v>
      </c>
      <c r="D34" s="452">
        <v>0.1875</v>
      </c>
      <c r="E34" s="452">
        <v>0.19</v>
      </c>
      <c r="F34" s="452">
        <v>0.19</v>
      </c>
      <c r="G34" s="453"/>
      <c r="H34" s="453"/>
      <c r="I34" s="453"/>
      <c r="J34" s="453"/>
      <c r="K34" s="379" t="s">
        <v>20</v>
      </c>
      <c r="L34" s="380">
        <v>5</v>
      </c>
      <c r="M34" s="450"/>
      <c r="N34" s="361"/>
      <c r="P34" s="1159">
        <f>C34</f>
        <v>0.1825</v>
      </c>
      <c r="Q34" s="1160"/>
      <c r="R34" s="1160"/>
      <c r="S34" s="1160"/>
      <c r="T34" s="1160"/>
      <c r="U34" s="1161"/>
    </row>
    <row r="35" spans="2:30" outlineLevel="1">
      <c r="B35" s="451" t="s">
        <v>759</v>
      </c>
      <c r="C35" s="454">
        <v>0</v>
      </c>
      <c r="D35" s="454">
        <v>0</v>
      </c>
      <c r="E35" s="454">
        <v>0</v>
      </c>
      <c r="F35" s="454">
        <v>0</v>
      </c>
      <c r="G35" s="453"/>
      <c r="H35" s="453"/>
      <c r="I35" s="453"/>
      <c r="J35" s="453"/>
      <c r="K35" s="455" t="s">
        <v>25</v>
      </c>
      <c r="L35" s="380">
        <v>4</v>
      </c>
      <c r="M35" s="363"/>
      <c r="N35" s="363"/>
      <c r="P35" s="53" t="s">
        <v>357</v>
      </c>
    </row>
    <row r="36" spans="2:30" ht="30"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33</v>
      </c>
      <c r="L39" s="464"/>
      <c r="M39" s="363"/>
      <c r="N39" s="363"/>
      <c r="O39" s="465">
        <f>C12</f>
        <v>100</v>
      </c>
      <c r="P39" s="466">
        <f>C8</f>
        <v>2020</v>
      </c>
      <c r="Q39" s="58">
        <f>P39</f>
        <v>2020</v>
      </c>
      <c r="R39" s="466">
        <f>O39/100</f>
        <v>1</v>
      </c>
      <c r="S39" s="58"/>
      <c r="T39" s="466">
        <f>C16</f>
        <v>12.5</v>
      </c>
      <c r="U39" s="467">
        <f>C46</f>
        <v>447</v>
      </c>
      <c r="V39" s="467">
        <f>C48</f>
        <v>0</v>
      </c>
      <c r="W39" s="690">
        <f>C49</f>
        <v>0.37767361111111114</v>
      </c>
      <c r="X39" s="58"/>
      <c r="Y39" s="58"/>
      <c r="Z39" s="466" t="str">
        <f>C23</f>
        <v>Cf. the utilized electricity</v>
      </c>
      <c r="AA39" s="468">
        <f>C25</f>
        <v>0</v>
      </c>
      <c r="AB39" s="468">
        <f>C26</f>
        <v>0</v>
      </c>
      <c r="AC39" s="468">
        <f>C27</f>
        <v>0</v>
      </c>
      <c r="AD39" s="468">
        <f>C24</f>
        <v>0</v>
      </c>
    </row>
    <row r="40" spans="2:30" ht="14.5" customHeight="1" outlineLevel="1">
      <c r="B40" s="376" t="s">
        <v>763</v>
      </c>
      <c r="C40" s="469" t="s">
        <v>36</v>
      </c>
      <c r="D40" s="470" t="s">
        <v>36</v>
      </c>
      <c r="E40" s="470" t="s">
        <v>36</v>
      </c>
      <c r="F40" s="471" t="s">
        <v>36</v>
      </c>
      <c r="G40" s="471"/>
      <c r="H40" s="471"/>
      <c r="I40" s="471"/>
      <c r="J40" s="471"/>
      <c r="K40" s="472"/>
      <c r="L40" s="464"/>
      <c r="M40" s="363"/>
      <c r="N40" s="363"/>
      <c r="O40" s="465">
        <f>D12</f>
        <v>100</v>
      </c>
      <c r="P40" s="466">
        <f>D8</f>
        <v>2030</v>
      </c>
      <c r="Q40" s="58"/>
      <c r="R40" s="466">
        <f>O40/100</f>
        <v>1</v>
      </c>
      <c r="S40" s="58"/>
      <c r="T40" s="466">
        <f>D16</f>
        <v>12.5</v>
      </c>
      <c r="U40" s="467">
        <f>D46</f>
        <v>447</v>
      </c>
      <c r="V40" s="467">
        <f>D48</f>
        <v>0</v>
      </c>
      <c r="W40" s="690">
        <f>D49</f>
        <v>0.38802083333333331</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100</v>
      </c>
      <c r="P41" s="466">
        <f>E8</f>
        <v>2040</v>
      </c>
      <c r="Q41" s="58"/>
      <c r="R41" s="466">
        <f>O41/100</f>
        <v>1</v>
      </c>
      <c r="S41" s="58"/>
      <c r="T41" s="466">
        <f>E16</f>
        <v>12.5</v>
      </c>
      <c r="U41" s="467">
        <f>E46</f>
        <v>447</v>
      </c>
      <c r="V41" s="467">
        <f>E48</f>
        <v>0</v>
      </c>
      <c r="W41" s="690">
        <f>E49</f>
        <v>0.39319444444444446</v>
      </c>
      <c r="X41" s="58"/>
      <c r="Y41" s="58"/>
      <c r="Z41" s="466">
        <f>E23</f>
        <v>0</v>
      </c>
      <c r="AA41" s="468">
        <f>E25</f>
        <v>0</v>
      </c>
      <c r="AB41" s="468">
        <f>E26</f>
        <v>0</v>
      </c>
      <c r="AC41" s="468">
        <f>E27</f>
        <v>0</v>
      </c>
      <c r="AD41" s="468">
        <f>E24</f>
        <v>0</v>
      </c>
    </row>
    <row r="42" spans="2:30" outlineLevel="1">
      <c r="B42" s="376" t="s">
        <v>765</v>
      </c>
      <c r="C42" s="1232" t="s">
        <v>669</v>
      </c>
      <c r="D42" s="1233"/>
      <c r="E42" s="1233"/>
      <c r="F42" s="1234"/>
      <c r="G42" s="474"/>
      <c r="H42" s="474"/>
      <c r="I42" s="474"/>
      <c r="J42" s="474"/>
      <c r="K42" s="474"/>
      <c r="L42" s="380"/>
      <c r="M42" s="363"/>
      <c r="N42" s="363"/>
      <c r="O42" s="465">
        <f>F12</f>
        <v>100</v>
      </c>
      <c r="P42" s="466">
        <f>F8</f>
        <v>2050</v>
      </c>
      <c r="Q42" s="58"/>
      <c r="R42" s="466">
        <f>O42/100</f>
        <v>1</v>
      </c>
      <c r="S42" s="58"/>
      <c r="T42" s="466">
        <f>F16</f>
        <v>12.5</v>
      </c>
      <c r="U42" s="467">
        <f>F46</f>
        <v>447</v>
      </c>
      <c r="V42" s="467">
        <f>F48</f>
        <v>0</v>
      </c>
      <c r="W42" s="690">
        <f>F49</f>
        <v>0.39319444444444446</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6" outlineLevel="1" thickBot="1">
      <c r="B45" s="477" t="s">
        <v>768</v>
      </c>
      <c r="C45" s="478" t="s">
        <v>36</v>
      </c>
      <c r="D45" s="479" t="s">
        <v>36</v>
      </c>
      <c r="E45" s="479" t="s">
        <v>36</v>
      </c>
      <c r="F45" s="480" t="s">
        <v>36</v>
      </c>
      <c r="G45" s="481"/>
      <c r="H45" s="481"/>
      <c r="I45" s="481"/>
      <c r="J45" s="481"/>
      <c r="K45" s="481"/>
      <c r="L45" s="482"/>
      <c r="M45" s="363"/>
      <c r="N45" s="363"/>
    </row>
    <row r="46" spans="2:30" ht="64" outlineLevel="1">
      <c r="B46" s="461" t="s">
        <v>769</v>
      </c>
      <c r="C46" s="483">
        <f>C29*$F$4*1000</f>
        <v>447</v>
      </c>
      <c r="D46" s="483">
        <f t="shared" ref="D46:F46" si="0">D29*$F$4*1000</f>
        <v>447</v>
      </c>
      <c r="E46" s="483">
        <f t="shared" si="0"/>
        <v>447</v>
      </c>
      <c r="F46" s="483">
        <f t="shared" si="0"/>
        <v>447</v>
      </c>
      <c r="G46" s="483"/>
      <c r="H46" s="484"/>
      <c r="I46" s="420" t="s">
        <v>332</v>
      </c>
      <c r="J46" s="420"/>
      <c r="K46" s="484"/>
      <c r="L46" s="484"/>
      <c r="N46" s="420"/>
    </row>
    <row r="47" spans="2:30" outlineLevel="1">
      <c r="B47" s="485" t="s">
        <v>770</v>
      </c>
      <c r="C47" s="486">
        <f>C46*$I47</f>
        <v>223500</v>
      </c>
      <c r="D47" s="486">
        <f>D46*$I47</f>
        <v>223500</v>
      </c>
      <c r="E47" s="486">
        <f>E46*$I47</f>
        <v>223500</v>
      </c>
      <c r="F47" s="486">
        <f>F46*$I47</f>
        <v>223500</v>
      </c>
      <c r="G47" s="486"/>
      <c r="H47" s="484"/>
      <c r="I47" s="71">
        <v>500</v>
      </c>
      <c r="J47" s="420" t="s">
        <v>330</v>
      </c>
      <c r="K47" s="484"/>
      <c r="L47" s="484"/>
      <c r="N47" s="420"/>
    </row>
    <row r="48" spans="2:30" ht="48" outlineLevel="1">
      <c r="B48" s="461" t="s">
        <v>771</v>
      </c>
      <c r="C48" s="359">
        <f>C32*$F$4</f>
        <v>0</v>
      </c>
      <c r="D48" s="359">
        <f t="shared" ref="D48:F49" si="1">D32*$F$4</f>
        <v>0</v>
      </c>
      <c r="E48" s="359">
        <f t="shared" si="1"/>
        <v>0</v>
      </c>
      <c r="F48" s="359">
        <f t="shared" si="1"/>
        <v>0</v>
      </c>
      <c r="G48" s="359"/>
      <c r="I48" s="420" t="s">
        <v>333</v>
      </c>
      <c r="J48" s="420"/>
      <c r="N48" s="420"/>
    </row>
    <row r="49" spans="2:14" ht="48" outlineLevel="1">
      <c r="B49" s="461" t="s">
        <v>772</v>
      </c>
      <c r="C49" s="487">
        <f>C33*$F$4</f>
        <v>0.37767361111111114</v>
      </c>
      <c r="D49" s="487">
        <f t="shared" si="1"/>
        <v>0.38802083333333331</v>
      </c>
      <c r="E49" s="487">
        <f t="shared" si="1"/>
        <v>0.39319444444444446</v>
      </c>
      <c r="F49" s="487">
        <f t="shared" si="1"/>
        <v>0.39319444444444446</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813</v>
      </c>
      <c r="F56" s="358"/>
      <c r="G56" s="358"/>
      <c r="H56" s="358"/>
      <c r="I56" s="358"/>
      <c r="J56" s="358"/>
      <c r="K56" s="358"/>
      <c r="L56" s="358"/>
    </row>
    <row r="57" spans="2:14" outlineLevel="1">
      <c r="B57" s="358">
        <v>2</v>
      </c>
      <c r="C57" s="490" t="s">
        <v>814</v>
      </c>
      <c r="F57" s="358"/>
      <c r="G57" s="358"/>
      <c r="H57" s="358"/>
      <c r="I57" s="358"/>
      <c r="J57" s="358"/>
      <c r="K57" s="358"/>
      <c r="L57" s="358"/>
    </row>
    <row r="58" spans="2:14" outlineLevel="1">
      <c r="B58" s="358">
        <v>3</v>
      </c>
      <c r="C58" s="490" t="s">
        <v>781</v>
      </c>
      <c r="F58" s="358"/>
      <c r="G58" s="358"/>
      <c r="H58" s="358"/>
      <c r="I58" s="358"/>
      <c r="J58" s="358"/>
      <c r="K58" s="358"/>
      <c r="L58" s="358"/>
    </row>
    <row r="59" spans="2:14" outlineLevel="1">
      <c r="B59" s="358">
        <v>4</v>
      </c>
      <c r="C59" s="490" t="s">
        <v>830</v>
      </c>
      <c r="F59" s="358"/>
      <c r="G59" s="358"/>
      <c r="H59" s="358"/>
      <c r="I59" s="358"/>
      <c r="J59" s="358"/>
      <c r="K59" s="358"/>
      <c r="L59" s="358"/>
    </row>
    <row r="60" spans="2:14" outlineLevel="1">
      <c r="B60" s="358">
        <v>5</v>
      </c>
      <c r="C60" s="490" t="s">
        <v>818</v>
      </c>
      <c r="F60" s="358"/>
      <c r="G60" s="358"/>
      <c r="H60" s="358"/>
      <c r="I60" s="358"/>
      <c r="J60" s="358"/>
      <c r="K60" s="358"/>
      <c r="L60" s="358"/>
    </row>
    <row r="61" spans="2:14" outlineLevel="1">
      <c r="B61" s="358">
        <v>6</v>
      </c>
      <c r="C61" s="490" t="s">
        <v>819</v>
      </c>
      <c r="F61" s="358"/>
      <c r="G61" s="358"/>
      <c r="H61" s="358"/>
      <c r="I61" s="358"/>
      <c r="J61" s="358"/>
      <c r="K61" s="358"/>
      <c r="L61" s="358"/>
    </row>
    <row r="62" spans="2:14" outlineLevel="1">
      <c r="B62" s="358">
        <v>7</v>
      </c>
      <c r="C62" s="490" t="s">
        <v>820</v>
      </c>
      <c r="F62" s="358"/>
      <c r="G62" s="358"/>
      <c r="H62" s="358"/>
      <c r="I62" s="358"/>
      <c r="J62" s="358"/>
      <c r="K62" s="358"/>
      <c r="L62" s="358"/>
    </row>
    <row r="63" spans="2:14" outlineLevel="1">
      <c r="B63" s="488" t="s">
        <v>783</v>
      </c>
      <c r="C63" s="489"/>
      <c r="D63" s="489"/>
      <c r="F63" s="358"/>
      <c r="G63" s="358"/>
      <c r="H63" s="358"/>
      <c r="I63" s="358"/>
      <c r="J63" s="358"/>
      <c r="K63" s="358"/>
      <c r="L63" s="358"/>
    </row>
    <row r="64" spans="2:14" outlineLevel="1">
      <c r="B64" s="496" t="s">
        <v>6</v>
      </c>
      <c r="C64" s="490" t="s">
        <v>831</v>
      </c>
      <c r="D64" s="489"/>
      <c r="F64" s="358"/>
      <c r="G64" s="358"/>
      <c r="H64" s="358"/>
      <c r="I64" s="358"/>
      <c r="J64" s="358"/>
      <c r="K64" s="358"/>
      <c r="L64" s="358"/>
    </row>
    <row r="65" spans="1:44" outlineLevel="1">
      <c r="B65" s="496" t="s">
        <v>59</v>
      </c>
      <c r="C65" s="490" t="s">
        <v>832</v>
      </c>
      <c r="D65" s="489"/>
      <c r="F65" s="358"/>
      <c r="G65" s="358"/>
      <c r="H65" s="358"/>
      <c r="I65" s="358"/>
      <c r="J65" s="358"/>
      <c r="K65" s="358"/>
      <c r="L65" s="358"/>
    </row>
    <row r="66" spans="1:44" outlineLevel="1">
      <c r="B66" s="496" t="s">
        <v>16</v>
      </c>
      <c r="C66" s="490" t="s">
        <v>833</v>
      </c>
      <c r="D66" s="489"/>
      <c r="F66" s="358"/>
      <c r="G66" s="358"/>
      <c r="H66" s="358"/>
      <c r="I66" s="358"/>
      <c r="J66" s="358"/>
      <c r="K66" s="358"/>
      <c r="L66" s="358"/>
    </row>
    <row r="67" spans="1:44" outlineLevel="1">
      <c r="B67" s="496" t="s">
        <v>20</v>
      </c>
      <c r="C67" s="490" t="s">
        <v>824</v>
      </c>
      <c r="D67" s="489"/>
      <c r="F67" s="358"/>
      <c r="G67" s="358"/>
      <c r="H67" s="358"/>
      <c r="I67" s="358"/>
      <c r="J67" s="358"/>
      <c r="K67" s="358"/>
      <c r="L67" s="358"/>
    </row>
    <row r="68" spans="1:44" outlineLevel="1">
      <c r="B68" s="496" t="s">
        <v>76</v>
      </c>
      <c r="C68" s="628" t="s">
        <v>834</v>
      </c>
      <c r="D68" s="489"/>
      <c r="F68" s="358"/>
      <c r="G68" s="358"/>
      <c r="H68" s="358"/>
      <c r="I68" s="358"/>
      <c r="J68" s="358"/>
      <c r="K68" s="358"/>
      <c r="L68" s="358"/>
    </row>
    <row r="69" spans="1:44" outlineLevel="1">
      <c r="B69" s="496" t="s">
        <v>25</v>
      </c>
      <c r="C69" s="490" t="s">
        <v>835</v>
      </c>
      <c r="D69" s="489"/>
      <c r="F69" s="358"/>
      <c r="G69" s="358"/>
      <c r="H69" s="358"/>
      <c r="I69" s="358"/>
      <c r="J69" s="358"/>
      <c r="K69" s="358"/>
      <c r="L69" s="358"/>
    </row>
    <row r="70" spans="1:44" outlineLevel="1">
      <c r="B70" s="496" t="s">
        <v>33</v>
      </c>
      <c r="C70" s="490" t="s">
        <v>825</v>
      </c>
      <c r="D70" s="489"/>
      <c r="G70" s="358"/>
      <c r="H70" s="358"/>
      <c r="I70" s="358"/>
      <c r="J70" s="358"/>
      <c r="K70" s="358"/>
      <c r="L70" s="358"/>
    </row>
    <row r="71" spans="1:44" outlineLevel="1">
      <c r="B71" s="496"/>
      <c r="C71" s="489"/>
      <c r="E71" s="490"/>
      <c r="F71" s="490"/>
    </row>
    <row r="72" spans="1:44" outlineLevel="1"/>
    <row r="73" spans="1:44" outlineLevel="1"/>
    <row r="74" spans="1:44" outlineLevel="1"/>
    <row r="77" spans="1:44">
      <c r="A77" s="360"/>
      <c r="B77" s="1134"/>
      <c r="C77" s="1135"/>
      <c r="D77" s="1135"/>
      <c r="E77" s="1135"/>
      <c r="F77" s="1135"/>
      <c r="G77" s="1135"/>
      <c r="H77" s="1135"/>
      <c r="I77" s="1135"/>
      <c r="J77" s="1135"/>
      <c r="K77" s="1135"/>
      <c r="L77" s="1135"/>
      <c r="M77" s="1135"/>
      <c r="N77" s="361"/>
      <c r="P77" s="1135"/>
      <c r="Q77" s="1135"/>
      <c r="R77" s="1135"/>
      <c r="S77" s="1135"/>
      <c r="T77" s="1135"/>
      <c r="U77" s="1135"/>
    </row>
    <row r="78" spans="1:44" ht="16" outlineLevel="1" thickBot="1">
      <c r="B78" s="1134"/>
      <c r="C78" s="1135"/>
      <c r="D78" s="1135"/>
      <c r="E78" s="1135"/>
      <c r="F78" s="1135"/>
      <c r="G78" s="1135"/>
      <c r="H78" s="1135"/>
      <c r="I78" s="1135"/>
      <c r="J78" s="1135"/>
      <c r="K78" s="1135"/>
      <c r="L78" s="1135"/>
      <c r="M78" s="1135"/>
      <c r="N78" s="361"/>
      <c r="P78" s="1135"/>
      <c r="Q78" s="1135"/>
      <c r="R78" s="1135"/>
      <c r="S78" s="1135"/>
      <c r="T78" s="1135"/>
      <c r="U78" s="1135"/>
    </row>
    <row r="79" spans="1:44" ht="20.5" customHeight="1" outlineLevel="1" thickBot="1">
      <c r="B79" s="362"/>
      <c r="C79" s="1201"/>
      <c r="D79" s="1177"/>
      <c r="E79" s="1177"/>
      <c r="F79" s="1177"/>
      <c r="G79" s="1177"/>
      <c r="H79" s="1177"/>
      <c r="I79" s="1177"/>
      <c r="J79" s="1177"/>
      <c r="K79" s="1177"/>
      <c r="L79" s="1178"/>
      <c r="M79" s="363"/>
      <c r="N79" s="363"/>
      <c r="P79" s="364"/>
      <c r="Q79" s="365"/>
      <c r="R79" s="366"/>
      <c r="S79" s="1143"/>
      <c r="T79" s="1147"/>
      <c r="U79" s="1148"/>
      <c r="V79" s="1147"/>
      <c r="W79" s="1148"/>
      <c r="X79" s="1147"/>
      <c r="Y79" s="1148"/>
      <c r="Z79" s="1147"/>
      <c r="AA79" s="1148"/>
      <c r="AB79" s="1147"/>
      <c r="AC79" s="1148"/>
      <c r="AE79" s="364"/>
      <c r="AF79" s="365"/>
      <c r="AG79" s="366"/>
      <c r="AH79" s="1143"/>
      <c r="AI79" s="1147"/>
      <c r="AJ79" s="1148"/>
      <c r="AK79" s="1147"/>
      <c r="AL79" s="1148"/>
      <c r="AM79" s="1147"/>
      <c r="AN79" s="1148"/>
      <c r="AO79" s="1147"/>
      <c r="AP79" s="1148"/>
      <c r="AQ79" s="1147"/>
      <c r="AR79" s="1148"/>
    </row>
    <row r="80" spans="1:44" ht="15" customHeight="1" outlineLevel="1" thickBot="1">
      <c r="B80" s="1168"/>
      <c r="C80" s="1170"/>
      <c r="D80" s="1170"/>
      <c r="E80" s="1170"/>
      <c r="F80" s="1170"/>
      <c r="G80" s="1172"/>
      <c r="H80" s="1173"/>
      <c r="I80" s="1172"/>
      <c r="J80" s="1173"/>
      <c r="K80" s="1174"/>
      <c r="L80" s="1174"/>
      <c r="M80" s="367"/>
      <c r="N80" s="367"/>
      <c r="P80" s="1151"/>
      <c r="Q80" s="368"/>
      <c r="R80" s="368"/>
      <c r="S80" s="1144"/>
      <c r="T80" s="1149"/>
      <c r="U80" s="1150"/>
      <c r="V80" s="1149"/>
      <c r="W80" s="1150"/>
      <c r="X80" s="1149"/>
      <c r="Y80" s="1150"/>
      <c r="Z80" s="1149"/>
      <c r="AA80" s="1150"/>
      <c r="AB80" s="1149"/>
      <c r="AC80" s="1150"/>
      <c r="AE80" s="1151"/>
      <c r="AF80" s="368"/>
      <c r="AG80" s="368"/>
      <c r="AH80" s="1144"/>
      <c r="AI80" s="1149"/>
      <c r="AJ80" s="1150"/>
      <c r="AK80" s="1149"/>
      <c r="AL80" s="1150"/>
      <c r="AM80" s="1149"/>
      <c r="AN80" s="1150"/>
      <c r="AO80" s="1149"/>
      <c r="AP80" s="1150"/>
      <c r="AQ80" s="1149"/>
      <c r="AR80" s="1150"/>
    </row>
    <row r="81" spans="2:44" ht="15" customHeight="1" outlineLevel="1" thickBot="1">
      <c r="B81" s="1169"/>
      <c r="C81" s="1171"/>
      <c r="D81" s="1171"/>
      <c r="E81" s="1171"/>
      <c r="F81" s="1171"/>
      <c r="G81" s="499"/>
      <c r="H81" s="499"/>
      <c r="I81" s="499"/>
      <c r="J81" s="499"/>
      <c r="K81" s="1175"/>
      <c r="L81" s="1175"/>
      <c r="M81" s="370"/>
      <c r="N81" s="370"/>
      <c r="P81" s="1152"/>
      <c r="Q81" s="1154"/>
      <c r="R81" s="1155"/>
      <c r="S81" s="1145"/>
      <c r="T81" s="1149"/>
      <c r="U81" s="1150"/>
      <c r="V81" s="1149"/>
      <c r="W81" s="1150"/>
      <c r="X81" s="1149"/>
      <c r="Y81" s="1150"/>
      <c r="Z81" s="1149"/>
      <c r="AA81" s="1150"/>
      <c r="AB81" s="1149"/>
      <c r="AC81" s="1150"/>
      <c r="AE81" s="1152"/>
      <c r="AF81" s="1198"/>
      <c r="AG81" s="1155"/>
      <c r="AH81" s="1145"/>
      <c r="AI81" s="1149"/>
      <c r="AJ81" s="1150"/>
      <c r="AK81" s="1149"/>
      <c r="AL81" s="1150"/>
      <c r="AM81" s="1149"/>
      <c r="AN81" s="1150"/>
      <c r="AO81" s="1149"/>
      <c r="AP81" s="1150"/>
      <c r="AQ81" s="1149"/>
      <c r="AR81" s="1150"/>
    </row>
    <row r="82" spans="2:44" ht="16" outlineLevel="1" thickBot="1">
      <c r="B82" s="371"/>
      <c r="C82" s="372"/>
      <c r="D82" s="372"/>
      <c r="E82" s="372"/>
      <c r="F82" s="372"/>
      <c r="G82" s="372"/>
      <c r="H82" s="372"/>
      <c r="I82" s="372"/>
      <c r="J82" s="372"/>
      <c r="K82" s="372"/>
      <c r="L82" s="373"/>
      <c r="M82" s="370"/>
      <c r="N82" s="370"/>
      <c r="O82" s="74"/>
      <c r="P82" s="1153"/>
      <c r="Q82" s="1146"/>
      <c r="R82" s="1156"/>
      <c r="S82" s="1146"/>
      <c r="T82" s="374"/>
      <c r="U82" s="375"/>
      <c r="V82" s="374"/>
      <c r="W82" s="375"/>
      <c r="X82" s="374"/>
      <c r="Y82" s="375"/>
      <c r="Z82" s="374"/>
      <c r="AA82" s="375"/>
      <c r="AB82" s="374"/>
      <c r="AC82" s="375"/>
      <c r="AE82" s="1153"/>
      <c r="AF82" s="1199"/>
      <c r="AG82" s="1156"/>
      <c r="AH82" s="1146"/>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85"/>
      <c r="Q83" s="1188"/>
      <c r="R83" s="381"/>
      <c r="S83" s="382"/>
      <c r="T83" s="1191"/>
      <c r="U83" s="1179"/>
      <c r="V83" s="1191"/>
      <c r="W83" s="1179"/>
      <c r="X83" s="1191"/>
      <c r="Y83" s="1179"/>
      <c r="Z83" s="1191"/>
      <c r="AA83" s="1179"/>
      <c r="AB83" s="1191"/>
      <c r="AC83" s="1179"/>
      <c r="AE83" s="1185"/>
      <c r="AF83" s="1188"/>
      <c r="AG83" s="381"/>
      <c r="AH83" s="382"/>
      <c r="AI83" s="1191"/>
      <c r="AJ83" s="1179"/>
      <c r="AK83" s="1191"/>
      <c r="AL83" s="1179"/>
      <c r="AM83" s="1191"/>
      <c r="AN83" s="1179"/>
      <c r="AO83" s="1191"/>
      <c r="AP83" s="1179"/>
      <c r="AQ83" s="1191"/>
      <c r="AR83" s="1179"/>
    </row>
    <row r="84" spans="2:44" outlineLevel="1">
      <c r="B84" s="383"/>
      <c r="C84" s="384"/>
      <c r="D84" s="384"/>
      <c r="E84" s="384"/>
      <c r="F84" s="384"/>
      <c r="G84" s="505"/>
      <c r="H84" s="505"/>
      <c r="I84" s="505"/>
      <c r="J84" s="505"/>
      <c r="K84" s="372"/>
      <c r="L84" s="373"/>
      <c r="M84" s="370"/>
      <c r="N84" s="370"/>
      <c r="O84" s="71"/>
      <c r="P84" s="1186"/>
      <c r="Q84" s="1189"/>
      <c r="R84" s="388"/>
      <c r="S84" s="389"/>
      <c r="T84" s="1192"/>
      <c r="U84" s="1180"/>
      <c r="V84" s="1192"/>
      <c r="W84" s="1180"/>
      <c r="X84" s="1192"/>
      <c r="Y84" s="1180"/>
      <c r="Z84" s="1192"/>
      <c r="AA84" s="1180"/>
      <c r="AB84" s="1192"/>
      <c r="AC84" s="1180"/>
      <c r="AE84" s="1186"/>
      <c r="AF84" s="1189"/>
      <c r="AG84" s="388"/>
      <c r="AH84" s="389"/>
      <c r="AI84" s="1192"/>
      <c r="AJ84" s="1180"/>
      <c r="AK84" s="1192"/>
      <c r="AL84" s="1180"/>
      <c r="AM84" s="1192"/>
      <c r="AN84" s="1180"/>
      <c r="AO84" s="1192"/>
      <c r="AP84" s="1180"/>
      <c r="AQ84" s="1192"/>
      <c r="AR84" s="1180"/>
    </row>
    <row r="85" spans="2:44" ht="16" outlineLevel="1" thickBot="1">
      <c r="B85" s="500"/>
      <c r="C85" s="506"/>
      <c r="D85" s="507"/>
      <c r="E85" s="507"/>
      <c r="F85" s="508"/>
      <c r="G85" s="507"/>
      <c r="H85" s="507"/>
      <c r="I85" s="507"/>
      <c r="J85" s="507"/>
      <c r="K85" s="503"/>
      <c r="L85" s="504"/>
      <c r="M85" s="370"/>
      <c r="N85" s="370"/>
      <c r="O85" s="71"/>
      <c r="P85" s="1186"/>
      <c r="Q85" s="1190"/>
      <c r="R85" s="393"/>
      <c r="S85" s="394"/>
      <c r="T85" s="1193"/>
      <c r="U85" s="1181"/>
      <c r="V85" s="1193"/>
      <c r="W85" s="1181"/>
      <c r="X85" s="1193"/>
      <c r="Y85" s="1181"/>
      <c r="Z85" s="1193"/>
      <c r="AA85" s="1181"/>
      <c r="AB85" s="1193"/>
      <c r="AC85" s="1181"/>
      <c r="AE85" s="1186"/>
      <c r="AF85" s="1190"/>
      <c r="AG85" s="393"/>
      <c r="AH85" s="394"/>
      <c r="AI85" s="1193"/>
      <c r="AJ85" s="1181"/>
      <c r="AK85" s="1193"/>
      <c r="AL85" s="1181"/>
      <c r="AM85" s="1193"/>
      <c r="AN85" s="1181"/>
      <c r="AO85" s="1193"/>
      <c r="AP85" s="1181"/>
      <c r="AQ85" s="1193"/>
      <c r="AR85" s="1181"/>
    </row>
    <row r="86" spans="2:44" ht="15" customHeight="1" outlineLevel="1">
      <c r="B86" s="500"/>
      <c r="C86" s="506"/>
      <c r="D86" s="506"/>
      <c r="E86" s="506"/>
      <c r="F86" s="506"/>
      <c r="G86" s="506"/>
      <c r="H86" s="506"/>
      <c r="I86" s="506"/>
      <c r="J86" s="506"/>
      <c r="K86" s="503"/>
      <c r="L86" s="504"/>
      <c r="M86" s="370"/>
      <c r="N86" s="370"/>
      <c r="O86" s="71"/>
      <c r="P86" s="1186"/>
      <c r="Q86" s="1188"/>
      <c r="R86" s="395"/>
      <c r="S86" s="396"/>
      <c r="T86" s="1191"/>
      <c r="U86" s="1191"/>
      <c r="V86" s="1191"/>
      <c r="W86" s="1191"/>
      <c r="X86" s="1191"/>
      <c r="Y86" s="1191"/>
      <c r="Z86" s="1191"/>
      <c r="AA86" s="1191"/>
      <c r="AB86" s="1191"/>
      <c r="AC86" s="1191"/>
      <c r="AE86" s="1186"/>
      <c r="AF86" s="1188"/>
      <c r="AG86" s="395"/>
      <c r="AH86" s="396"/>
      <c r="AI86" s="1191"/>
      <c r="AJ86" s="1191"/>
      <c r="AK86" s="1191"/>
      <c r="AL86" s="1191"/>
      <c r="AM86" s="1191"/>
      <c r="AN86" s="1191"/>
      <c r="AO86" s="1191"/>
      <c r="AP86" s="1191"/>
      <c r="AQ86" s="1191"/>
      <c r="AR86" s="1191"/>
    </row>
    <row r="87" spans="2:44" outlineLevel="1">
      <c r="B87" s="500"/>
      <c r="C87" s="506"/>
      <c r="D87" s="506"/>
      <c r="E87" s="506"/>
      <c r="F87" s="506"/>
      <c r="G87" s="506"/>
      <c r="H87" s="506"/>
      <c r="I87" s="506"/>
      <c r="J87" s="506"/>
      <c r="K87" s="503"/>
      <c r="L87" s="504"/>
      <c r="M87" s="367"/>
      <c r="N87" s="367"/>
      <c r="O87" s="71"/>
      <c r="P87" s="1186"/>
      <c r="Q87" s="1189"/>
      <c r="R87" s="395"/>
      <c r="S87" s="396"/>
      <c r="T87" s="1208"/>
      <c r="U87" s="1208"/>
      <c r="V87" s="1208"/>
      <c r="W87" s="1208"/>
      <c r="X87" s="1208"/>
      <c r="Y87" s="1208"/>
      <c r="Z87" s="1208"/>
      <c r="AA87" s="1208"/>
      <c r="AB87" s="1208"/>
      <c r="AC87" s="1208"/>
      <c r="AE87" s="1186"/>
      <c r="AF87" s="1189"/>
      <c r="AG87" s="395"/>
      <c r="AH87" s="396"/>
      <c r="AI87" s="1208"/>
      <c r="AJ87" s="1208"/>
      <c r="AK87" s="1208"/>
      <c r="AL87" s="1208"/>
      <c r="AM87" s="1208"/>
      <c r="AN87" s="1208"/>
      <c r="AO87" s="1208"/>
      <c r="AP87" s="1208"/>
      <c r="AQ87" s="1208"/>
      <c r="AR87" s="1208"/>
    </row>
    <row r="88" spans="2:44" outlineLevel="1">
      <c r="B88" s="383"/>
      <c r="C88" s="397"/>
      <c r="D88" s="397"/>
      <c r="E88" s="397"/>
      <c r="F88" s="397"/>
      <c r="G88" s="399"/>
      <c r="H88" s="399"/>
      <c r="I88" s="399"/>
      <c r="J88" s="399"/>
      <c r="K88" s="372"/>
      <c r="L88" s="373"/>
      <c r="M88" s="363"/>
      <c r="N88" s="363"/>
      <c r="P88" s="1186"/>
      <c r="Q88" s="1189"/>
      <c r="R88" s="395"/>
      <c r="S88" s="396"/>
      <c r="T88" s="1208"/>
      <c r="U88" s="1208"/>
      <c r="V88" s="1208"/>
      <c r="W88" s="1208"/>
      <c r="X88" s="1208"/>
      <c r="Y88" s="1208"/>
      <c r="Z88" s="1208"/>
      <c r="AA88" s="1208"/>
      <c r="AB88" s="1208"/>
      <c r="AC88" s="1208"/>
      <c r="AE88" s="1186"/>
      <c r="AF88" s="1189"/>
      <c r="AG88" s="395"/>
      <c r="AH88" s="396"/>
      <c r="AI88" s="1208"/>
      <c r="AJ88" s="1208"/>
      <c r="AK88" s="1208"/>
      <c r="AL88" s="1208"/>
      <c r="AM88" s="1208"/>
      <c r="AN88" s="1208"/>
      <c r="AO88" s="1208"/>
      <c r="AP88" s="1208"/>
      <c r="AQ88" s="1208"/>
      <c r="AR88" s="1208"/>
    </row>
    <row r="89" spans="2:44" ht="16" outlineLevel="1" thickBot="1">
      <c r="B89" s="500"/>
      <c r="C89" s="506"/>
      <c r="D89" s="506"/>
      <c r="E89" s="506"/>
      <c r="F89" s="506"/>
      <c r="G89" s="506"/>
      <c r="H89" s="506"/>
      <c r="I89" s="506"/>
      <c r="J89" s="506"/>
      <c r="K89" s="372"/>
      <c r="L89" s="400"/>
      <c r="M89" s="363"/>
      <c r="N89" s="363"/>
      <c r="P89" s="1186"/>
      <c r="Q89" s="1189"/>
      <c r="R89" s="395"/>
      <c r="S89" s="396"/>
      <c r="T89" s="1208"/>
      <c r="U89" s="1208"/>
      <c r="V89" s="1208"/>
      <c r="W89" s="1208"/>
      <c r="X89" s="1208"/>
      <c r="Y89" s="1208"/>
      <c r="Z89" s="1208"/>
      <c r="AA89" s="1208"/>
      <c r="AB89" s="1208"/>
      <c r="AC89" s="1208"/>
      <c r="AE89" s="1186"/>
      <c r="AF89" s="1189"/>
      <c r="AG89" s="395"/>
      <c r="AH89" s="396"/>
      <c r="AI89" s="1208"/>
      <c r="AJ89" s="1208"/>
      <c r="AK89" s="1208"/>
      <c r="AL89" s="1208"/>
      <c r="AM89" s="1208"/>
      <c r="AN89" s="1208"/>
      <c r="AO89" s="1208"/>
      <c r="AP89" s="1208"/>
      <c r="AQ89" s="1208"/>
      <c r="AR89" s="1208"/>
    </row>
    <row r="90" spans="2:44" ht="16" outlineLevel="1" thickBot="1">
      <c r="B90" s="401"/>
      <c r="C90" s="402"/>
      <c r="D90" s="403"/>
      <c r="E90" s="404"/>
      <c r="F90" s="405"/>
      <c r="G90" s="406"/>
      <c r="H90" s="406"/>
      <c r="I90" s="406"/>
      <c r="J90" s="406"/>
      <c r="K90" s="407"/>
      <c r="L90" s="408"/>
      <c r="M90" s="363"/>
      <c r="N90" s="363"/>
      <c r="P90" s="1186"/>
      <c r="Q90" s="1189"/>
      <c r="R90" s="409"/>
      <c r="S90" s="410"/>
      <c r="T90" s="1209"/>
      <c r="U90" s="1209"/>
      <c r="V90" s="1209"/>
      <c r="W90" s="1209"/>
      <c r="X90" s="1209"/>
      <c r="Y90" s="1209"/>
      <c r="Z90" s="1209"/>
      <c r="AA90" s="1209"/>
      <c r="AB90" s="1209"/>
      <c r="AC90" s="1209"/>
      <c r="AE90" s="1186"/>
      <c r="AF90" s="1189"/>
      <c r="AG90" s="409"/>
      <c r="AH90" s="410"/>
      <c r="AI90" s="1209"/>
      <c r="AJ90" s="1209"/>
      <c r="AK90" s="1209"/>
      <c r="AL90" s="1209"/>
      <c r="AM90" s="1209"/>
      <c r="AN90" s="1209"/>
      <c r="AO90" s="1209"/>
      <c r="AP90" s="1209"/>
      <c r="AQ90" s="1209"/>
      <c r="AR90" s="1209"/>
    </row>
    <row r="91" spans="2:44" ht="16" outlineLevel="1" thickBot="1">
      <c r="B91" s="500"/>
      <c r="C91" s="506"/>
      <c r="D91" s="506"/>
      <c r="E91" s="506"/>
      <c r="F91" s="506"/>
      <c r="G91" s="507"/>
      <c r="H91" s="507"/>
      <c r="I91" s="507"/>
      <c r="J91" s="507"/>
      <c r="K91" s="503"/>
      <c r="L91" s="504"/>
      <c r="M91" s="363"/>
      <c r="N91" s="363"/>
      <c r="P91" s="1187"/>
      <c r="Q91" s="411"/>
      <c r="R91" s="412"/>
      <c r="S91" s="413"/>
      <c r="T91" s="414"/>
      <c r="U91" s="415"/>
      <c r="V91" s="416"/>
      <c r="W91" s="415"/>
      <c r="X91" s="416"/>
      <c r="Y91" s="415"/>
      <c r="Z91" s="416"/>
      <c r="AA91" s="415"/>
      <c r="AB91" s="416"/>
      <c r="AC91" s="417"/>
      <c r="AE91" s="1187"/>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6" outlineLevel="1" thickBot="1">
      <c r="B99" s="429"/>
      <c r="C99" s="430"/>
      <c r="D99" s="430"/>
      <c r="E99" s="430"/>
      <c r="F99" s="430"/>
      <c r="G99" s="425"/>
      <c r="H99" s="425"/>
      <c r="I99" s="425"/>
      <c r="J99" s="425"/>
      <c r="K99" s="423"/>
      <c r="L99" s="427"/>
      <c r="M99" s="428"/>
      <c r="N99" s="428"/>
    </row>
    <row r="100" spans="1:30" ht="16"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57"/>
      <c r="Q105" s="1135"/>
      <c r="R105" s="1135"/>
      <c r="S105" s="1135"/>
      <c r="T105" s="1135"/>
      <c r="U105" s="1158"/>
    </row>
    <row r="106" spans="1:30" ht="16" outlineLevel="1" thickBot="1">
      <c r="B106" s="500"/>
      <c r="C106" s="514"/>
      <c r="D106" s="514"/>
      <c r="E106" s="514"/>
      <c r="F106" s="514"/>
      <c r="G106" s="515"/>
      <c r="H106" s="515"/>
      <c r="I106" s="515"/>
      <c r="J106" s="515"/>
      <c r="K106" s="503"/>
      <c r="L106" s="504"/>
      <c r="M106" s="450"/>
      <c r="N106" s="361"/>
      <c r="P106" s="1159"/>
      <c r="Q106" s="1160"/>
      <c r="R106" s="1160"/>
      <c r="S106" s="1160"/>
      <c r="T106" s="1160"/>
      <c r="U106" s="1161"/>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6"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6"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6"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134"/>
      <c r="C149" s="1135"/>
      <c r="D149" s="1135"/>
      <c r="E149" s="1135"/>
      <c r="F149" s="1135"/>
      <c r="G149" s="1135"/>
      <c r="H149" s="1135"/>
      <c r="I149" s="1135"/>
      <c r="J149" s="1135"/>
      <c r="K149" s="1135"/>
      <c r="L149" s="1135"/>
      <c r="M149" s="1135"/>
      <c r="N149" s="361"/>
      <c r="P149" s="1135"/>
      <c r="Q149" s="1135"/>
      <c r="R149" s="1135"/>
      <c r="S149" s="1135"/>
      <c r="T149" s="1135"/>
      <c r="U149" s="1135"/>
    </row>
    <row r="150" spans="1:44" ht="16" outlineLevel="1" thickBot="1">
      <c r="B150" s="1134"/>
      <c r="C150" s="1135"/>
      <c r="D150" s="1135"/>
      <c r="E150" s="1135"/>
      <c r="F150" s="1135"/>
      <c r="G150" s="1135"/>
      <c r="H150" s="1135"/>
      <c r="I150" s="1135"/>
      <c r="J150" s="1135"/>
      <c r="K150" s="1135"/>
      <c r="L150" s="1135"/>
      <c r="M150" s="1135"/>
      <c r="N150" s="361"/>
      <c r="P150" s="1135"/>
      <c r="Q150" s="1135"/>
      <c r="R150" s="1135"/>
      <c r="S150" s="1135"/>
      <c r="T150" s="1135"/>
      <c r="U150" s="1135"/>
    </row>
    <row r="151" spans="1:44" ht="20.5" customHeight="1" outlineLevel="1" thickBot="1">
      <c r="B151" s="362"/>
      <c r="C151" s="1201"/>
      <c r="D151" s="1177"/>
      <c r="E151" s="1177"/>
      <c r="F151" s="1177"/>
      <c r="G151" s="1177"/>
      <c r="H151" s="1177"/>
      <c r="I151" s="1177"/>
      <c r="J151" s="1177"/>
      <c r="K151" s="1177"/>
      <c r="L151" s="1178"/>
      <c r="M151" s="363"/>
      <c r="N151" s="363"/>
      <c r="P151" s="364"/>
      <c r="Q151" s="365"/>
      <c r="R151" s="366"/>
      <c r="S151" s="1143"/>
      <c r="T151" s="1147"/>
      <c r="U151" s="1148"/>
      <c r="V151" s="1147"/>
      <c r="W151" s="1148"/>
      <c r="X151" s="1147"/>
      <c r="Y151" s="1148"/>
      <c r="Z151" s="1147"/>
      <c r="AA151" s="1148"/>
      <c r="AB151" s="1147"/>
      <c r="AC151" s="1148"/>
      <c r="AE151" s="364"/>
      <c r="AF151" s="365"/>
      <c r="AG151" s="366"/>
      <c r="AH151" s="1143"/>
      <c r="AI151" s="1147"/>
      <c r="AJ151" s="1148"/>
      <c r="AK151" s="1147"/>
      <c r="AL151" s="1148"/>
      <c r="AM151" s="1147"/>
      <c r="AN151" s="1148"/>
      <c r="AO151" s="1147"/>
      <c r="AP151" s="1148"/>
      <c r="AQ151" s="1147"/>
      <c r="AR151" s="1148"/>
    </row>
    <row r="152" spans="1:44" ht="15" customHeight="1" outlineLevel="1" thickBot="1">
      <c r="B152" s="1168"/>
      <c r="C152" s="1170"/>
      <c r="D152" s="1170"/>
      <c r="E152" s="1170"/>
      <c r="F152" s="1170"/>
      <c r="G152" s="1217"/>
      <c r="H152" s="1218"/>
      <c r="I152" s="1217"/>
      <c r="J152" s="1218"/>
      <c r="K152" s="1204"/>
      <c r="L152" s="1204"/>
      <c r="M152" s="367"/>
      <c r="N152" s="367"/>
      <c r="P152" s="1151"/>
      <c r="Q152" s="368"/>
      <c r="R152" s="368"/>
      <c r="S152" s="1144"/>
      <c r="T152" s="1149"/>
      <c r="U152" s="1150"/>
      <c r="V152" s="1149"/>
      <c r="W152" s="1150"/>
      <c r="X152" s="1149"/>
      <c r="Y152" s="1150"/>
      <c r="Z152" s="1149"/>
      <c r="AA152" s="1150"/>
      <c r="AB152" s="1149"/>
      <c r="AC152" s="1150"/>
      <c r="AE152" s="1151"/>
      <c r="AF152" s="368"/>
      <c r="AG152" s="368"/>
      <c r="AH152" s="1144"/>
      <c r="AI152" s="1149"/>
      <c r="AJ152" s="1150"/>
      <c r="AK152" s="1149"/>
      <c r="AL152" s="1150"/>
      <c r="AM152" s="1149"/>
      <c r="AN152" s="1150"/>
      <c r="AO152" s="1149"/>
      <c r="AP152" s="1150"/>
      <c r="AQ152" s="1149"/>
      <c r="AR152" s="1150"/>
    </row>
    <row r="153" spans="1:44" ht="15" customHeight="1" outlineLevel="1" thickBot="1">
      <c r="B153" s="1169"/>
      <c r="C153" s="1171"/>
      <c r="D153" s="1171"/>
      <c r="E153" s="1171"/>
      <c r="F153" s="1171"/>
      <c r="G153" s="540"/>
      <c r="H153" s="540"/>
      <c r="I153" s="540"/>
      <c r="J153" s="540"/>
      <c r="K153" s="1205"/>
      <c r="L153" s="1205"/>
      <c r="M153" s="370"/>
      <c r="N153" s="370"/>
      <c r="P153" s="1152"/>
      <c r="Q153" s="1154"/>
      <c r="R153" s="1155"/>
      <c r="S153" s="1145"/>
      <c r="T153" s="1149"/>
      <c r="U153" s="1150"/>
      <c r="V153" s="1149"/>
      <c r="W153" s="1150"/>
      <c r="X153" s="1149"/>
      <c r="Y153" s="1150"/>
      <c r="Z153" s="1149"/>
      <c r="AA153" s="1150"/>
      <c r="AB153" s="1149"/>
      <c r="AC153" s="1150"/>
      <c r="AE153" s="1152"/>
      <c r="AF153" s="1198"/>
      <c r="AG153" s="1155"/>
      <c r="AH153" s="1145"/>
      <c r="AI153" s="1149"/>
      <c r="AJ153" s="1150"/>
      <c r="AK153" s="1149"/>
      <c r="AL153" s="1150"/>
      <c r="AM153" s="1149"/>
      <c r="AN153" s="1150"/>
      <c r="AO153" s="1149"/>
      <c r="AP153" s="1150"/>
      <c r="AQ153" s="1149"/>
      <c r="AR153" s="1150"/>
    </row>
    <row r="154" spans="1:44" ht="16" outlineLevel="1" thickBot="1">
      <c r="B154" s="371"/>
      <c r="C154" s="372"/>
      <c r="D154" s="372"/>
      <c r="E154" s="372"/>
      <c r="F154" s="372"/>
      <c r="G154" s="372"/>
      <c r="H154" s="372"/>
      <c r="I154" s="372"/>
      <c r="J154" s="372"/>
      <c r="K154" s="372"/>
      <c r="L154" s="373"/>
      <c r="M154" s="370"/>
      <c r="N154" s="370"/>
      <c r="O154" s="74"/>
      <c r="P154" s="1153"/>
      <c r="Q154" s="1146"/>
      <c r="R154" s="1156"/>
      <c r="S154" s="1146"/>
      <c r="T154" s="374"/>
      <c r="U154" s="375"/>
      <c r="V154" s="374"/>
      <c r="W154" s="375"/>
      <c r="X154" s="374"/>
      <c r="Y154" s="375"/>
      <c r="Z154" s="374"/>
      <c r="AA154" s="375"/>
      <c r="AB154" s="374"/>
      <c r="AC154" s="375"/>
      <c r="AE154" s="1153"/>
      <c r="AF154" s="1199"/>
      <c r="AG154" s="1156"/>
      <c r="AH154" s="1146"/>
      <c r="AI154" s="374"/>
      <c r="AJ154" s="375"/>
      <c r="AK154" s="374"/>
      <c r="AL154" s="375"/>
      <c r="AM154" s="374"/>
      <c r="AN154" s="375"/>
      <c r="AO154" s="374"/>
      <c r="AP154" s="375"/>
      <c r="AQ154" s="374"/>
      <c r="AR154" s="375"/>
    </row>
    <row r="155" spans="1:44" ht="14.5" customHeight="1" outlineLevel="1">
      <c r="B155" s="541"/>
      <c r="C155" s="542"/>
      <c r="D155" s="542"/>
      <c r="E155" s="543"/>
      <c r="F155" s="542"/>
      <c r="G155" s="542"/>
      <c r="H155" s="542"/>
      <c r="I155" s="542"/>
      <c r="J155" s="542"/>
      <c r="K155" s="372"/>
      <c r="L155" s="373"/>
      <c r="M155" s="370"/>
      <c r="N155" s="370"/>
      <c r="P155" s="1185"/>
      <c r="Q155" s="1188"/>
      <c r="R155" s="381"/>
      <c r="S155" s="382"/>
      <c r="T155" s="1191"/>
      <c r="U155" s="1179"/>
      <c r="V155" s="1191"/>
      <c r="W155" s="1179"/>
      <c r="X155" s="1191"/>
      <c r="Y155" s="1179"/>
      <c r="Z155" s="1191"/>
      <c r="AA155" s="1179"/>
      <c r="AB155" s="1191"/>
      <c r="AC155" s="1179"/>
      <c r="AE155" s="1185"/>
      <c r="AF155" s="1188"/>
      <c r="AG155" s="381"/>
      <c r="AH155" s="382"/>
      <c r="AI155" s="1191"/>
      <c r="AJ155" s="1179"/>
      <c r="AK155" s="1191"/>
      <c r="AL155" s="1179"/>
      <c r="AM155" s="1191"/>
      <c r="AN155" s="1179"/>
      <c r="AO155" s="1191"/>
      <c r="AP155" s="1179"/>
      <c r="AQ155" s="1191"/>
      <c r="AR155" s="1179"/>
    </row>
    <row r="156" spans="1:44" outlineLevel="1">
      <c r="B156" s="383"/>
      <c r="C156" s="384"/>
      <c r="D156" s="384"/>
      <c r="E156" s="384"/>
      <c r="F156" s="384"/>
      <c r="G156" s="505"/>
      <c r="H156" s="505"/>
      <c r="I156" s="505"/>
      <c r="J156" s="505"/>
      <c r="K156" s="372"/>
      <c r="L156" s="373"/>
      <c r="M156" s="370"/>
      <c r="N156" s="370"/>
      <c r="O156" s="71"/>
      <c r="P156" s="1186"/>
      <c r="Q156" s="1189"/>
      <c r="R156" s="388"/>
      <c r="S156" s="389"/>
      <c r="T156" s="1192"/>
      <c r="U156" s="1180"/>
      <c r="V156" s="1192"/>
      <c r="W156" s="1180"/>
      <c r="X156" s="1192"/>
      <c r="Y156" s="1180"/>
      <c r="Z156" s="1192"/>
      <c r="AA156" s="1180"/>
      <c r="AB156" s="1192"/>
      <c r="AC156" s="1180"/>
      <c r="AE156" s="1186"/>
      <c r="AF156" s="1189"/>
      <c r="AG156" s="388"/>
      <c r="AH156" s="389"/>
      <c r="AI156" s="1192"/>
      <c r="AJ156" s="1180"/>
      <c r="AK156" s="1192"/>
      <c r="AL156" s="1180"/>
      <c r="AM156" s="1192"/>
      <c r="AN156" s="1180"/>
      <c r="AO156" s="1192"/>
      <c r="AP156" s="1180"/>
      <c r="AQ156" s="1192"/>
      <c r="AR156" s="1180"/>
    </row>
    <row r="157" spans="1:44" ht="16" outlineLevel="1" thickBot="1">
      <c r="B157" s="541"/>
      <c r="C157" s="544"/>
      <c r="D157" s="545"/>
      <c r="E157" s="545"/>
      <c r="F157" s="546"/>
      <c r="G157" s="545"/>
      <c r="H157" s="545"/>
      <c r="I157" s="545"/>
      <c r="J157" s="545"/>
      <c r="K157" s="547"/>
      <c r="L157" s="548"/>
      <c r="M157" s="370"/>
      <c r="N157" s="370"/>
      <c r="O157" s="71"/>
      <c r="P157" s="1186"/>
      <c r="Q157" s="1190"/>
      <c r="R157" s="393"/>
      <c r="S157" s="394"/>
      <c r="T157" s="1193"/>
      <c r="U157" s="1181"/>
      <c r="V157" s="1193"/>
      <c r="W157" s="1181"/>
      <c r="X157" s="1193"/>
      <c r="Y157" s="1181"/>
      <c r="Z157" s="1193"/>
      <c r="AA157" s="1181"/>
      <c r="AB157" s="1193"/>
      <c r="AC157" s="1181"/>
      <c r="AE157" s="1186"/>
      <c r="AF157" s="1190"/>
      <c r="AG157" s="393"/>
      <c r="AH157" s="394"/>
      <c r="AI157" s="1193"/>
      <c r="AJ157" s="1181"/>
      <c r="AK157" s="1193"/>
      <c r="AL157" s="1181"/>
      <c r="AM157" s="1193"/>
      <c r="AN157" s="1181"/>
      <c r="AO157" s="1193"/>
      <c r="AP157" s="1181"/>
      <c r="AQ157" s="1193"/>
      <c r="AR157" s="1181"/>
    </row>
    <row r="158" spans="1:44" ht="14.5" customHeight="1" outlineLevel="1">
      <c r="B158" s="541"/>
      <c r="C158" s="544"/>
      <c r="D158" s="544"/>
      <c r="E158" s="544"/>
      <c r="F158" s="544"/>
      <c r="G158" s="544"/>
      <c r="H158" s="544"/>
      <c r="I158" s="544"/>
      <c r="J158" s="544"/>
      <c r="K158" s="547"/>
      <c r="L158" s="548"/>
      <c r="M158" s="370"/>
      <c r="N158" s="370"/>
      <c r="O158" s="71"/>
      <c r="P158" s="1186"/>
      <c r="Q158" s="1188"/>
      <c r="R158" s="395"/>
      <c r="S158" s="396"/>
      <c r="T158" s="1191"/>
      <c r="U158" s="1191"/>
      <c r="V158" s="1191"/>
      <c r="W158" s="1191"/>
      <c r="X158" s="1191"/>
      <c r="Y158" s="1191"/>
      <c r="Z158" s="1191"/>
      <c r="AA158" s="1191"/>
      <c r="AB158" s="1191"/>
      <c r="AC158" s="1191"/>
      <c r="AE158" s="1186"/>
      <c r="AF158" s="1188"/>
      <c r="AG158" s="395"/>
      <c r="AH158" s="396"/>
      <c r="AI158" s="1191"/>
      <c r="AJ158" s="1191"/>
      <c r="AK158" s="1191"/>
      <c r="AL158" s="1191"/>
      <c r="AM158" s="1191"/>
      <c r="AN158" s="1191"/>
      <c r="AO158" s="1191"/>
      <c r="AP158" s="1191"/>
      <c r="AQ158" s="1191"/>
      <c r="AR158" s="1191"/>
    </row>
    <row r="159" spans="1:44" outlineLevel="1">
      <c r="B159" s="541"/>
      <c r="C159" s="544"/>
      <c r="D159" s="544"/>
      <c r="E159" s="544"/>
      <c r="F159" s="544"/>
      <c r="G159" s="544"/>
      <c r="H159" s="544"/>
      <c r="I159" s="544"/>
      <c r="J159" s="544"/>
      <c r="K159" s="547"/>
      <c r="L159" s="548"/>
      <c r="M159" s="367"/>
      <c r="N159" s="367"/>
      <c r="O159" s="71"/>
      <c r="P159" s="1186"/>
      <c r="Q159" s="1189"/>
      <c r="R159" s="395"/>
      <c r="S159" s="396"/>
      <c r="T159" s="1208"/>
      <c r="U159" s="1208"/>
      <c r="V159" s="1208"/>
      <c r="W159" s="1208"/>
      <c r="X159" s="1208"/>
      <c r="Y159" s="1208"/>
      <c r="Z159" s="1208"/>
      <c r="AA159" s="1208"/>
      <c r="AB159" s="1208"/>
      <c r="AC159" s="1208"/>
      <c r="AE159" s="1186"/>
      <c r="AF159" s="1189"/>
      <c r="AG159" s="395"/>
      <c r="AH159" s="396"/>
      <c r="AI159" s="1208"/>
      <c r="AJ159" s="1208"/>
      <c r="AK159" s="1208"/>
      <c r="AL159" s="1208"/>
      <c r="AM159" s="1208"/>
      <c r="AN159" s="1208"/>
      <c r="AO159" s="1208"/>
      <c r="AP159" s="1208"/>
      <c r="AQ159" s="1208"/>
      <c r="AR159" s="1208"/>
    </row>
    <row r="160" spans="1:44" outlineLevel="1">
      <c r="B160" s="383"/>
      <c r="C160" s="397"/>
      <c r="D160" s="397"/>
      <c r="E160" s="397"/>
      <c r="F160" s="399"/>
      <c r="G160" s="399"/>
      <c r="H160" s="399"/>
      <c r="I160" s="399"/>
      <c r="J160" s="399"/>
      <c r="K160" s="372"/>
      <c r="L160" s="373"/>
      <c r="M160" s="363"/>
      <c r="N160" s="363"/>
      <c r="P160" s="1186"/>
      <c r="Q160" s="1189"/>
      <c r="R160" s="395"/>
      <c r="S160" s="396"/>
      <c r="T160" s="1208"/>
      <c r="U160" s="1208"/>
      <c r="V160" s="1208"/>
      <c r="W160" s="1208"/>
      <c r="X160" s="1208"/>
      <c r="Y160" s="1208"/>
      <c r="Z160" s="1208"/>
      <c r="AA160" s="1208"/>
      <c r="AB160" s="1208"/>
      <c r="AC160" s="1208"/>
      <c r="AE160" s="1186"/>
      <c r="AF160" s="1189"/>
      <c r="AG160" s="395"/>
      <c r="AH160" s="396"/>
      <c r="AI160" s="1208"/>
      <c r="AJ160" s="1208"/>
      <c r="AK160" s="1208"/>
      <c r="AL160" s="1208"/>
      <c r="AM160" s="1208"/>
      <c r="AN160" s="1208"/>
      <c r="AO160" s="1208"/>
      <c r="AP160" s="1208"/>
      <c r="AQ160" s="1208"/>
      <c r="AR160" s="1208"/>
    </row>
    <row r="161" spans="1:44" ht="16" outlineLevel="1" thickBot="1">
      <c r="B161" s="541"/>
      <c r="C161" s="544"/>
      <c r="D161" s="544"/>
      <c r="E161" s="544"/>
      <c r="F161" s="544"/>
      <c r="G161" s="544"/>
      <c r="H161" s="544"/>
      <c r="I161" s="544"/>
      <c r="J161" s="544"/>
      <c r="K161" s="372"/>
      <c r="L161" s="400"/>
      <c r="M161" s="363"/>
      <c r="N161" s="363"/>
      <c r="P161" s="1186"/>
      <c r="Q161" s="1189"/>
      <c r="R161" s="395"/>
      <c r="S161" s="396"/>
      <c r="T161" s="1208"/>
      <c r="U161" s="1208"/>
      <c r="V161" s="1208"/>
      <c r="W161" s="1208"/>
      <c r="X161" s="1208"/>
      <c r="Y161" s="1208"/>
      <c r="Z161" s="1208"/>
      <c r="AA161" s="1208"/>
      <c r="AB161" s="1208"/>
      <c r="AC161" s="1208"/>
      <c r="AE161" s="1186"/>
      <c r="AF161" s="1189"/>
      <c r="AG161" s="395"/>
      <c r="AH161" s="396"/>
      <c r="AI161" s="1208"/>
      <c r="AJ161" s="1208"/>
      <c r="AK161" s="1208"/>
      <c r="AL161" s="1208"/>
      <c r="AM161" s="1208"/>
      <c r="AN161" s="1208"/>
      <c r="AO161" s="1208"/>
      <c r="AP161" s="1208"/>
      <c r="AQ161" s="1208"/>
      <c r="AR161" s="1208"/>
    </row>
    <row r="162" spans="1:44" ht="16" outlineLevel="1" thickBot="1">
      <c r="B162" s="401"/>
      <c r="C162" s="402"/>
      <c r="D162" s="403"/>
      <c r="E162" s="404"/>
      <c r="F162" s="405"/>
      <c r="G162" s="406"/>
      <c r="H162" s="406"/>
      <c r="I162" s="406"/>
      <c r="J162" s="406"/>
      <c r="K162" s="407"/>
      <c r="L162" s="408"/>
      <c r="M162" s="363"/>
      <c r="N162" s="363"/>
      <c r="P162" s="1186"/>
      <c r="Q162" s="1189"/>
      <c r="R162" s="409"/>
      <c r="S162" s="410"/>
      <c r="T162" s="1209"/>
      <c r="U162" s="1209"/>
      <c r="V162" s="1209"/>
      <c r="W162" s="1209"/>
      <c r="X162" s="1209"/>
      <c r="Y162" s="1209"/>
      <c r="Z162" s="1209"/>
      <c r="AA162" s="1209"/>
      <c r="AB162" s="1209"/>
      <c r="AC162" s="1209"/>
      <c r="AE162" s="1186"/>
      <c r="AF162" s="1189"/>
      <c r="AG162" s="409"/>
      <c r="AH162" s="410"/>
      <c r="AI162" s="1209"/>
      <c r="AJ162" s="1209"/>
      <c r="AK162" s="1209"/>
      <c r="AL162" s="1209"/>
      <c r="AM162" s="1209"/>
      <c r="AN162" s="1209"/>
      <c r="AO162" s="1209"/>
      <c r="AP162" s="1209"/>
      <c r="AQ162" s="1209"/>
      <c r="AR162" s="1209"/>
    </row>
    <row r="163" spans="1:44" ht="16" outlineLevel="1" thickBot="1">
      <c r="B163" s="541"/>
      <c r="C163" s="544"/>
      <c r="D163" s="544"/>
      <c r="E163" s="544"/>
      <c r="F163" s="544"/>
      <c r="G163" s="545"/>
      <c r="H163" s="545"/>
      <c r="I163" s="545"/>
      <c r="J163" s="545"/>
      <c r="K163" s="547"/>
      <c r="L163" s="548"/>
      <c r="M163" s="363"/>
      <c r="N163" s="363"/>
      <c r="P163" s="1187"/>
      <c r="Q163" s="411"/>
      <c r="R163" s="412"/>
      <c r="S163" s="413"/>
      <c r="T163" s="414"/>
      <c r="U163" s="415"/>
      <c r="V163" s="416"/>
      <c r="W163" s="415"/>
      <c r="X163" s="416"/>
      <c r="Y163" s="415"/>
      <c r="Z163" s="416"/>
      <c r="AA163" s="415"/>
      <c r="AB163" s="416"/>
      <c r="AC163" s="417"/>
      <c r="AE163" s="1187"/>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6" outlineLevel="1" thickBot="1">
      <c r="B171" s="429"/>
      <c r="C171" s="430"/>
      <c r="D171" s="430"/>
      <c r="E171" s="430"/>
      <c r="F171" s="430"/>
      <c r="G171" s="425"/>
      <c r="H171" s="425"/>
      <c r="I171" s="425"/>
      <c r="J171" s="425"/>
      <c r="K171" s="423"/>
      <c r="L171" s="427"/>
      <c r="M171" s="428"/>
      <c r="N171" s="428"/>
    </row>
    <row r="172" spans="1:44" ht="16"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57"/>
      <c r="Q177" s="1135"/>
      <c r="R177" s="1135"/>
      <c r="S177" s="1135"/>
      <c r="T177" s="1135"/>
      <c r="U177" s="1158"/>
    </row>
    <row r="178" spans="2:30" ht="16" outlineLevel="1" thickBot="1">
      <c r="B178" s="541"/>
      <c r="C178" s="552"/>
      <c r="D178" s="552"/>
      <c r="E178" s="552"/>
      <c r="F178" s="552"/>
      <c r="G178" s="553"/>
      <c r="H178" s="553"/>
      <c r="I178" s="553"/>
      <c r="J178" s="553"/>
      <c r="K178" s="547"/>
      <c r="L178" s="548"/>
      <c r="M178" s="450"/>
      <c r="N178" s="361"/>
      <c r="P178" s="1159"/>
      <c r="Q178" s="1160"/>
      <c r="R178" s="1160"/>
      <c r="S178" s="1160"/>
      <c r="T178" s="1160"/>
      <c r="U178" s="1161"/>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6"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6"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6"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6" thickBot="1">
      <c r="A217" s="360"/>
    </row>
    <row r="218" spans="1:44" ht="20.5" customHeight="1" outlineLevel="1" thickBot="1">
      <c r="B218" s="362"/>
      <c r="C218" s="1201"/>
      <c r="D218" s="1177"/>
      <c r="E218" s="1177"/>
      <c r="F218" s="1177"/>
      <c r="G218" s="1177"/>
      <c r="H218" s="1177"/>
      <c r="I218" s="1177"/>
      <c r="J218" s="1177"/>
      <c r="K218" s="1177"/>
      <c r="L218" s="1178"/>
      <c r="M218" s="363"/>
      <c r="N218" s="363"/>
      <c r="P218" s="364"/>
      <c r="Q218" s="365"/>
      <c r="R218" s="366"/>
      <c r="S218" s="1143"/>
      <c r="T218" s="1147"/>
      <c r="U218" s="1148"/>
      <c r="V218" s="1147"/>
      <c r="W218" s="1148"/>
      <c r="X218" s="1147"/>
      <c r="Y218" s="1148"/>
      <c r="Z218" s="1147"/>
      <c r="AA218" s="1148"/>
      <c r="AB218" s="1147"/>
      <c r="AC218" s="1148"/>
      <c r="AE218" s="364"/>
      <c r="AF218" s="365"/>
      <c r="AG218" s="366"/>
      <c r="AH218" s="1143"/>
      <c r="AI218" s="1147"/>
      <c r="AJ218" s="1148"/>
      <c r="AK218" s="1147"/>
      <c r="AL218" s="1148"/>
      <c r="AM218" s="1147"/>
      <c r="AN218" s="1148"/>
      <c r="AO218" s="1147"/>
      <c r="AP218" s="1148"/>
      <c r="AQ218" s="1147"/>
      <c r="AR218" s="1148"/>
    </row>
    <row r="219" spans="1:44" ht="15" customHeight="1" outlineLevel="1" thickBot="1">
      <c r="B219" s="1168"/>
      <c r="C219" s="1170"/>
      <c r="D219" s="1170"/>
      <c r="E219" s="1170"/>
      <c r="F219" s="1170"/>
      <c r="G219" s="1206"/>
      <c r="H219" s="1207"/>
      <c r="I219" s="1206"/>
      <c r="J219" s="1207"/>
      <c r="K219" s="1204"/>
      <c r="L219" s="1204"/>
      <c r="M219" s="367"/>
      <c r="N219" s="367"/>
      <c r="P219" s="1151"/>
      <c r="Q219" s="368"/>
      <c r="R219" s="368"/>
      <c r="S219" s="1144"/>
      <c r="T219" s="1149"/>
      <c r="U219" s="1150"/>
      <c r="V219" s="1149"/>
      <c r="W219" s="1150"/>
      <c r="X219" s="1149"/>
      <c r="Y219" s="1150"/>
      <c r="Z219" s="1149"/>
      <c r="AA219" s="1150"/>
      <c r="AB219" s="1149"/>
      <c r="AC219" s="1150"/>
      <c r="AE219" s="1151"/>
      <c r="AF219" s="368"/>
      <c r="AG219" s="368"/>
      <c r="AH219" s="1144"/>
      <c r="AI219" s="1149"/>
      <c r="AJ219" s="1150"/>
      <c r="AK219" s="1149"/>
      <c r="AL219" s="1150"/>
      <c r="AM219" s="1149"/>
      <c r="AN219" s="1150"/>
      <c r="AO219" s="1149"/>
      <c r="AP219" s="1150"/>
      <c r="AQ219" s="1149"/>
      <c r="AR219" s="1150"/>
    </row>
    <row r="220" spans="1:44" ht="15" customHeight="1" outlineLevel="1" thickBot="1">
      <c r="B220" s="1169"/>
      <c r="C220" s="1171"/>
      <c r="D220" s="1171"/>
      <c r="E220" s="1171"/>
      <c r="F220" s="1171"/>
      <c r="G220" s="406"/>
      <c r="H220" s="406"/>
      <c r="I220" s="406"/>
      <c r="J220" s="406"/>
      <c r="K220" s="1205"/>
      <c r="L220" s="1205"/>
      <c r="M220" s="370"/>
      <c r="N220" s="370"/>
      <c r="P220" s="1152"/>
      <c r="Q220" s="1154"/>
      <c r="R220" s="1155"/>
      <c r="S220" s="1145"/>
      <c r="T220" s="1149"/>
      <c r="U220" s="1150"/>
      <c r="V220" s="1149"/>
      <c r="W220" s="1150"/>
      <c r="X220" s="1149"/>
      <c r="Y220" s="1150"/>
      <c r="Z220" s="1149"/>
      <c r="AA220" s="1150"/>
      <c r="AB220" s="1149"/>
      <c r="AC220" s="1150"/>
      <c r="AE220" s="1152"/>
      <c r="AF220" s="1198"/>
      <c r="AG220" s="1155"/>
      <c r="AH220" s="1145"/>
      <c r="AI220" s="1149"/>
      <c r="AJ220" s="1150"/>
      <c r="AK220" s="1149"/>
      <c r="AL220" s="1150"/>
      <c r="AM220" s="1149"/>
      <c r="AN220" s="1150"/>
      <c r="AO220" s="1149"/>
      <c r="AP220" s="1150"/>
      <c r="AQ220" s="1149"/>
      <c r="AR220" s="1150"/>
    </row>
    <row r="221" spans="1:44" ht="16" outlineLevel="1" thickBot="1">
      <c r="B221" s="371"/>
      <c r="C221" s="372"/>
      <c r="D221" s="372"/>
      <c r="E221" s="372"/>
      <c r="F221" s="372"/>
      <c r="G221" s="372"/>
      <c r="H221" s="372"/>
      <c r="I221" s="372"/>
      <c r="J221" s="372"/>
      <c r="K221" s="372"/>
      <c r="L221" s="373"/>
      <c r="M221" s="370"/>
      <c r="N221" s="370"/>
      <c r="O221" s="74"/>
      <c r="P221" s="1153"/>
      <c r="Q221" s="1146"/>
      <c r="R221" s="1156"/>
      <c r="S221" s="1146"/>
      <c r="T221" s="374"/>
      <c r="U221" s="375"/>
      <c r="V221" s="374"/>
      <c r="W221" s="375"/>
      <c r="X221" s="374"/>
      <c r="Y221" s="375"/>
      <c r="Z221" s="374"/>
      <c r="AA221" s="375"/>
      <c r="AB221" s="374"/>
      <c r="AC221" s="375"/>
      <c r="AE221" s="1153"/>
      <c r="AF221" s="1199"/>
      <c r="AG221" s="1156"/>
      <c r="AH221" s="1146"/>
      <c r="AI221" s="374"/>
      <c r="AJ221" s="375"/>
      <c r="AK221" s="374"/>
      <c r="AL221" s="375"/>
      <c r="AM221" s="374"/>
      <c r="AN221" s="375"/>
      <c r="AO221" s="374"/>
      <c r="AP221" s="375"/>
      <c r="AQ221" s="374"/>
      <c r="AR221" s="375"/>
    </row>
    <row r="222" spans="1:44" ht="14.5" customHeight="1" outlineLevel="1">
      <c r="B222" s="541"/>
      <c r="C222" s="542"/>
      <c r="D222" s="542"/>
      <c r="E222" s="543"/>
      <c r="F222" s="542"/>
      <c r="G222" s="542"/>
      <c r="H222" s="542"/>
      <c r="I222" s="542"/>
      <c r="J222" s="542"/>
      <c r="K222" s="547"/>
      <c r="L222" s="548"/>
      <c r="M222" s="370"/>
      <c r="N222" s="370"/>
      <c r="P222" s="1185"/>
      <c r="Q222" s="1188"/>
      <c r="R222" s="381"/>
      <c r="S222" s="382"/>
      <c r="T222" s="1191"/>
      <c r="U222" s="1179"/>
      <c r="V222" s="1191"/>
      <c r="W222" s="1179"/>
      <c r="X222" s="1191"/>
      <c r="Y222" s="1179"/>
      <c r="Z222" s="1191"/>
      <c r="AA222" s="1179"/>
      <c r="AB222" s="1191"/>
      <c r="AC222" s="1179"/>
      <c r="AE222" s="1185"/>
      <c r="AF222" s="1188"/>
      <c r="AG222" s="381"/>
      <c r="AH222" s="382"/>
      <c r="AI222" s="1191"/>
      <c r="AJ222" s="1179"/>
      <c r="AK222" s="1191"/>
      <c r="AL222" s="1179"/>
      <c r="AM222" s="1191"/>
      <c r="AN222" s="1179"/>
      <c r="AO222" s="1191"/>
      <c r="AP222" s="1179"/>
      <c r="AQ222" s="1191"/>
      <c r="AR222" s="1179"/>
    </row>
    <row r="223" spans="1:44" outlineLevel="1">
      <c r="B223" s="383"/>
      <c r="C223" s="384"/>
      <c r="D223" s="384"/>
      <c r="E223" s="384"/>
      <c r="F223" s="384"/>
      <c r="G223" s="505"/>
      <c r="H223" s="505"/>
      <c r="I223" s="505"/>
      <c r="J223" s="505"/>
      <c r="K223" s="372"/>
      <c r="L223" s="373"/>
      <c r="M223" s="370"/>
      <c r="N223" s="370"/>
      <c r="O223" s="71"/>
      <c r="P223" s="1186"/>
      <c r="Q223" s="1189"/>
      <c r="R223" s="388"/>
      <c r="S223" s="389"/>
      <c r="T223" s="1192"/>
      <c r="U223" s="1180"/>
      <c r="V223" s="1192"/>
      <c r="W223" s="1180"/>
      <c r="X223" s="1192"/>
      <c r="Y223" s="1180"/>
      <c r="Z223" s="1192"/>
      <c r="AA223" s="1180"/>
      <c r="AB223" s="1192"/>
      <c r="AC223" s="1180"/>
      <c r="AE223" s="1186"/>
      <c r="AF223" s="1189"/>
      <c r="AG223" s="388"/>
      <c r="AH223" s="389"/>
      <c r="AI223" s="1192"/>
      <c r="AJ223" s="1180"/>
      <c r="AK223" s="1192"/>
      <c r="AL223" s="1180"/>
      <c r="AM223" s="1192"/>
      <c r="AN223" s="1180"/>
      <c r="AO223" s="1192"/>
      <c r="AP223" s="1180"/>
      <c r="AQ223" s="1192"/>
      <c r="AR223" s="1180"/>
    </row>
    <row r="224" spans="1:44" ht="16" outlineLevel="1" thickBot="1">
      <c r="B224" s="541"/>
      <c r="C224" s="544"/>
      <c r="D224" s="545"/>
      <c r="E224" s="545"/>
      <c r="F224" s="546"/>
      <c r="G224" s="545"/>
      <c r="H224" s="545"/>
      <c r="I224" s="545"/>
      <c r="J224" s="545"/>
      <c r="K224" s="547"/>
      <c r="L224" s="548"/>
      <c r="M224" s="370"/>
      <c r="N224" s="370"/>
      <c r="O224" s="71"/>
      <c r="P224" s="1186"/>
      <c r="Q224" s="1190"/>
      <c r="R224" s="393"/>
      <c r="S224" s="394"/>
      <c r="T224" s="1193"/>
      <c r="U224" s="1181"/>
      <c r="V224" s="1193"/>
      <c r="W224" s="1181"/>
      <c r="X224" s="1193"/>
      <c r="Y224" s="1181"/>
      <c r="Z224" s="1193"/>
      <c r="AA224" s="1181"/>
      <c r="AB224" s="1193"/>
      <c r="AC224" s="1181"/>
      <c r="AE224" s="1186"/>
      <c r="AF224" s="1190"/>
      <c r="AG224" s="393"/>
      <c r="AH224" s="394"/>
      <c r="AI224" s="1193"/>
      <c r="AJ224" s="1181"/>
      <c r="AK224" s="1193"/>
      <c r="AL224" s="1181"/>
      <c r="AM224" s="1193"/>
      <c r="AN224" s="1181"/>
      <c r="AO224" s="1193"/>
      <c r="AP224" s="1181"/>
      <c r="AQ224" s="1193"/>
      <c r="AR224" s="1181"/>
    </row>
    <row r="225" spans="1:44" ht="14.5" customHeight="1" outlineLevel="1">
      <c r="B225" s="541"/>
      <c r="C225" s="544"/>
      <c r="D225" s="544"/>
      <c r="E225" s="544"/>
      <c r="F225" s="544"/>
      <c r="G225" s="544"/>
      <c r="H225" s="544"/>
      <c r="I225" s="544"/>
      <c r="J225" s="544"/>
      <c r="K225" s="547"/>
      <c r="L225" s="548"/>
      <c r="M225" s="370"/>
      <c r="N225" s="370"/>
      <c r="O225" s="71"/>
      <c r="P225" s="1186"/>
      <c r="Q225" s="1188"/>
      <c r="R225" s="395"/>
      <c r="S225" s="396"/>
      <c r="T225" s="1191"/>
      <c r="U225" s="1191"/>
      <c r="V225" s="1191"/>
      <c r="W225" s="1191"/>
      <c r="X225" s="1191"/>
      <c r="Y225" s="1191"/>
      <c r="Z225" s="1191"/>
      <c r="AA225" s="1191"/>
      <c r="AB225" s="1191"/>
      <c r="AC225" s="1191"/>
      <c r="AE225" s="1186"/>
      <c r="AF225" s="1188"/>
      <c r="AG225" s="395"/>
      <c r="AH225" s="396"/>
      <c r="AI225" s="1191"/>
      <c r="AJ225" s="1191"/>
      <c r="AK225" s="1191"/>
      <c r="AL225" s="1191"/>
      <c r="AM225" s="1191"/>
      <c r="AN225" s="1191"/>
      <c r="AO225" s="1191"/>
      <c r="AP225" s="1191"/>
      <c r="AQ225" s="1191"/>
      <c r="AR225" s="1191"/>
    </row>
    <row r="226" spans="1:44" outlineLevel="1">
      <c r="B226" s="541"/>
      <c r="C226" s="544"/>
      <c r="D226" s="544"/>
      <c r="E226" s="544"/>
      <c r="F226" s="544"/>
      <c r="G226" s="544"/>
      <c r="H226" s="544"/>
      <c r="I226" s="544"/>
      <c r="J226" s="544"/>
      <c r="K226" s="547"/>
      <c r="L226" s="548"/>
      <c r="M226" s="367"/>
      <c r="N226" s="367"/>
      <c r="O226" s="71"/>
      <c r="P226" s="1186"/>
      <c r="Q226" s="1189"/>
      <c r="R226" s="395"/>
      <c r="S226" s="396"/>
      <c r="T226" s="1208"/>
      <c r="U226" s="1208"/>
      <c r="V226" s="1208"/>
      <c r="W226" s="1208"/>
      <c r="X226" s="1208"/>
      <c r="Y226" s="1208"/>
      <c r="Z226" s="1208"/>
      <c r="AA226" s="1208"/>
      <c r="AB226" s="1208"/>
      <c r="AC226" s="1208"/>
      <c r="AE226" s="1186"/>
      <c r="AF226" s="1189"/>
      <c r="AG226" s="395"/>
      <c r="AH226" s="396"/>
      <c r="AI226" s="1208"/>
      <c r="AJ226" s="1208"/>
      <c r="AK226" s="1208"/>
      <c r="AL226" s="1208"/>
      <c r="AM226" s="1208"/>
      <c r="AN226" s="1208"/>
      <c r="AO226" s="1208"/>
      <c r="AP226" s="1208"/>
      <c r="AQ226" s="1208"/>
      <c r="AR226" s="1208"/>
    </row>
    <row r="227" spans="1:44" outlineLevel="1">
      <c r="B227" s="383"/>
      <c r="C227" s="397"/>
      <c r="D227" s="397"/>
      <c r="E227" s="397"/>
      <c r="F227" s="397"/>
      <c r="G227" s="399"/>
      <c r="H227" s="399"/>
      <c r="I227" s="399"/>
      <c r="J227" s="399"/>
      <c r="K227" s="372"/>
      <c r="L227" s="373"/>
      <c r="M227" s="363"/>
      <c r="N227" s="363"/>
      <c r="P227" s="1186"/>
      <c r="Q227" s="1189"/>
      <c r="R227" s="395"/>
      <c r="S227" s="396"/>
      <c r="T227" s="1208"/>
      <c r="U227" s="1208"/>
      <c r="V227" s="1208"/>
      <c r="W227" s="1208"/>
      <c r="X227" s="1208"/>
      <c r="Y227" s="1208"/>
      <c r="Z227" s="1208"/>
      <c r="AA227" s="1208"/>
      <c r="AB227" s="1208"/>
      <c r="AC227" s="1208"/>
      <c r="AE227" s="1186"/>
      <c r="AF227" s="1189"/>
      <c r="AG227" s="395"/>
      <c r="AH227" s="396"/>
      <c r="AI227" s="1208"/>
      <c r="AJ227" s="1208"/>
      <c r="AK227" s="1208"/>
      <c r="AL227" s="1208"/>
      <c r="AM227" s="1208"/>
      <c r="AN227" s="1208"/>
      <c r="AO227" s="1208"/>
      <c r="AP227" s="1208"/>
      <c r="AQ227" s="1208"/>
      <c r="AR227" s="1208"/>
    </row>
    <row r="228" spans="1:44" ht="16" outlineLevel="1" thickBot="1">
      <c r="B228" s="541"/>
      <c r="C228" s="544"/>
      <c r="D228" s="544"/>
      <c r="E228" s="544"/>
      <c r="F228" s="544"/>
      <c r="G228" s="544"/>
      <c r="H228" s="544"/>
      <c r="I228" s="544"/>
      <c r="J228" s="544"/>
      <c r="K228" s="547"/>
      <c r="L228" s="559"/>
      <c r="M228" s="363"/>
      <c r="N228" s="363"/>
      <c r="P228" s="1186"/>
      <c r="Q228" s="1189"/>
      <c r="R228" s="395"/>
      <c r="S228" s="396"/>
      <c r="T228" s="1208"/>
      <c r="U228" s="1208"/>
      <c r="V228" s="1208"/>
      <c r="W228" s="1208"/>
      <c r="X228" s="1208"/>
      <c r="Y228" s="1208"/>
      <c r="Z228" s="1208"/>
      <c r="AA228" s="1208"/>
      <c r="AB228" s="1208"/>
      <c r="AC228" s="1208"/>
      <c r="AE228" s="1186"/>
      <c r="AF228" s="1189"/>
      <c r="AG228" s="395"/>
      <c r="AH228" s="396"/>
      <c r="AI228" s="1208"/>
      <c r="AJ228" s="1208"/>
      <c r="AK228" s="1208"/>
      <c r="AL228" s="1208"/>
      <c r="AM228" s="1208"/>
      <c r="AN228" s="1208"/>
      <c r="AO228" s="1208"/>
      <c r="AP228" s="1208"/>
      <c r="AQ228" s="1208"/>
      <c r="AR228" s="1208"/>
    </row>
    <row r="229" spans="1:44" ht="16" outlineLevel="1" thickBot="1">
      <c r="B229" s="401"/>
      <c r="C229" s="402"/>
      <c r="D229" s="403"/>
      <c r="E229" s="404"/>
      <c r="F229" s="405"/>
      <c r="G229" s="406"/>
      <c r="H229" s="406"/>
      <c r="I229" s="406"/>
      <c r="J229" s="406"/>
      <c r="K229" s="407"/>
      <c r="L229" s="408"/>
      <c r="M229" s="363"/>
      <c r="N229" s="363"/>
      <c r="P229" s="1186"/>
      <c r="Q229" s="1189"/>
      <c r="R229" s="409"/>
      <c r="S229" s="410"/>
      <c r="T229" s="1209"/>
      <c r="U229" s="1209"/>
      <c r="V229" s="1209"/>
      <c r="W229" s="1209"/>
      <c r="X229" s="1209"/>
      <c r="Y229" s="1209"/>
      <c r="Z229" s="1209"/>
      <c r="AA229" s="1209"/>
      <c r="AB229" s="1209"/>
      <c r="AC229" s="1209"/>
      <c r="AE229" s="1186"/>
      <c r="AF229" s="1189"/>
      <c r="AG229" s="409"/>
      <c r="AH229" s="410"/>
      <c r="AI229" s="1209"/>
      <c r="AJ229" s="1209"/>
      <c r="AK229" s="1209"/>
      <c r="AL229" s="1209"/>
      <c r="AM229" s="1209"/>
      <c r="AN229" s="1209"/>
      <c r="AO229" s="1209"/>
      <c r="AP229" s="1209"/>
      <c r="AQ229" s="1209"/>
      <c r="AR229" s="1209"/>
    </row>
    <row r="230" spans="1:44" ht="16" outlineLevel="1" thickBot="1">
      <c r="B230" s="541"/>
      <c r="C230" s="544"/>
      <c r="D230" s="544"/>
      <c r="E230" s="544"/>
      <c r="F230" s="544"/>
      <c r="G230" s="545"/>
      <c r="H230" s="545"/>
      <c r="I230" s="545"/>
      <c r="J230" s="545"/>
      <c r="K230" s="547"/>
      <c r="L230" s="548"/>
      <c r="M230" s="363"/>
      <c r="N230" s="363"/>
      <c r="P230" s="1187"/>
      <c r="Q230" s="411"/>
      <c r="R230" s="412"/>
      <c r="S230" s="413"/>
      <c r="T230" s="414"/>
      <c r="U230" s="415"/>
      <c r="V230" s="414"/>
      <c r="W230" s="415"/>
      <c r="X230" s="414"/>
      <c r="Y230" s="415"/>
      <c r="Z230" s="414"/>
      <c r="AA230" s="415"/>
      <c r="AB230" s="414"/>
      <c r="AC230" s="417"/>
      <c r="AE230" s="1187"/>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6" outlineLevel="1" thickBot="1">
      <c r="B238" s="429"/>
      <c r="C238" s="430"/>
      <c r="D238" s="430"/>
      <c r="E238" s="430"/>
      <c r="F238" s="430"/>
      <c r="G238" s="425"/>
      <c r="H238" s="425"/>
      <c r="I238" s="425"/>
      <c r="J238" s="425"/>
      <c r="K238" s="423"/>
      <c r="L238" s="427"/>
      <c r="M238" s="428"/>
      <c r="N238" s="428"/>
    </row>
    <row r="239" spans="1:44" ht="16"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57"/>
      <c r="Q244" s="1135"/>
      <c r="R244" s="1135"/>
      <c r="S244" s="1135"/>
      <c r="T244" s="1135"/>
      <c r="U244" s="1158"/>
    </row>
    <row r="245" spans="2:30" ht="16" outlineLevel="1" thickBot="1">
      <c r="B245" s="541"/>
      <c r="C245" s="552"/>
      <c r="D245" s="552"/>
      <c r="E245" s="552"/>
      <c r="F245" s="552"/>
      <c r="G245" s="425"/>
      <c r="H245" s="425"/>
      <c r="I245" s="425"/>
      <c r="J245" s="425"/>
      <c r="K245" s="444"/>
      <c r="L245" s="373"/>
      <c r="M245" s="450"/>
      <c r="N245" s="361"/>
      <c r="P245" s="1159"/>
      <c r="Q245" s="1160"/>
      <c r="R245" s="1160"/>
      <c r="S245" s="1160"/>
      <c r="T245" s="1160"/>
      <c r="U245" s="1161"/>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6"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6"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6"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6" thickBot="1">
      <c r="A283" s="360"/>
    </row>
    <row r="284" spans="1:44" ht="20.5" customHeight="1" thickBot="1">
      <c r="B284" s="362"/>
      <c r="C284" s="1201"/>
      <c r="D284" s="1202"/>
      <c r="E284" s="1202"/>
      <c r="F284" s="1202"/>
      <c r="G284" s="1202"/>
      <c r="H284" s="1202"/>
      <c r="I284" s="1202"/>
      <c r="J284" s="1202"/>
      <c r="K284" s="1202"/>
      <c r="L284" s="1203"/>
      <c r="M284" s="363"/>
      <c r="N284" s="363"/>
      <c r="P284" s="364"/>
      <c r="Q284" s="365"/>
      <c r="R284" s="366"/>
      <c r="S284" s="1143"/>
      <c r="T284" s="1147"/>
      <c r="U284" s="1148"/>
      <c r="V284" s="1147"/>
      <c r="W284" s="1148"/>
      <c r="X284" s="1147"/>
      <c r="Y284" s="1148"/>
      <c r="Z284" s="1147"/>
      <c r="AA284" s="1148"/>
      <c r="AB284" s="1147"/>
      <c r="AC284" s="1148"/>
      <c r="AE284" s="364"/>
      <c r="AF284" s="365"/>
      <c r="AG284" s="366"/>
      <c r="AH284" s="1143"/>
      <c r="AI284" s="1147"/>
      <c r="AJ284" s="1148"/>
      <c r="AK284" s="1147"/>
      <c r="AL284" s="1148"/>
      <c r="AM284" s="1147"/>
      <c r="AN284" s="1148"/>
      <c r="AO284" s="1147"/>
      <c r="AP284" s="1148"/>
      <c r="AQ284" s="1147"/>
      <c r="AR284" s="1148"/>
    </row>
    <row r="285" spans="1:44" ht="15" customHeight="1" thickBot="1">
      <c r="B285" s="1168"/>
      <c r="C285" s="1170"/>
      <c r="D285" s="1170"/>
      <c r="E285" s="1170"/>
      <c r="F285" s="1170"/>
      <c r="G285" s="1206"/>
      <c r="H285" s="1207"/>
      <c r="I285" s="1206"/>
      <c r="J285" s="1207"/>
      <c r="K285" s="1204"/>
      <c r="L285" s="1204"/>
      <c r="M285" s="367"/>
      <c r="N285" s="367"/>
      <c r="P285" s="1151"/>
      <c r="Q285" s="368"/>
      <c r="R285" s="368"/>
      <c r="S285" s="1144"/>
      <c r="T285" s="1149"/>
      <c r="U285" s="1150"/>
      <c r="V285" s="1149"/>
      <c r="W285" s="1150"/>
      <c r="X285" s="1149"/>
      <c r="Y285" s="1150"/>
      <c r="Z285" s="1149"/>
      <c r="AA285" s="1150"/>
      <c r="AB285" s="1149"/>
      <c r="AC285" s="1150"/>
      <c r="AE285" s="1151"/>
      <c r="AF285" s="368"/>
      <c r="AG285" s="368"/>
      <c r="AH285" s="1144"/>
      <c r="AI285" s="1149"/>
      <c r="AJ285" s="1150"/>
      <c r="AK285" s="1149"/>
      <c r="AL285" s="1150"/>
      <c r="AM285" s="1149"/>
      <c r="AN285" s="1150"/>
      <c r="AO285" s="1149"/>
      <c r="AP285" s="1150"/>
      <c r="AQ285" s="1149"/>
      <c r="AR285" s="1150"/>
    </row>
    <row r="286" spans="1:44" ht="15" customHeight="1" thickBot="1">
      <c r="B286" s="1169"/>
      <c r="C286" s="1171"/>
      <c r="D286" s="1171"/>
      <c r="E286" s="1171"/>
      <c r="F286" s="1171"/>
      <c r="G286" s="406"/>
      <c r="H286" s="406"/>
      <c r="I286" s="406"/>
      <c r="J286" s="406"/>
      <c r="K286" s="1205"/>
      <c r="L286" s="1205"/>
      <c r="M286" s="370"/>
      <c r="N286" s="370"/>
      <c r="P286" s="1152"/>
      <c r="Q286" s="1154"/>
      <c r="R286" s="1155"/>
      <c r="S286" s="1145"/>
      <c r="T286" s="1149"/>
      <c r="U286" s="1150"/>
      <c r="V286" s="1149"/>
      <c r="W286" s="1150"/>
      <c r="X286" s="1149"/>
      <c r="Y286" s="1150"/>
      <c r="Z286" s="1149"/>
      <c r="AA286" s="1150"/>
      <c r="AB286" s="1149"/>
      <c r="AC286" s="1150"/>
      <c r="AE286" s="1152"/>
      <c r="AF286" s="1154"/>
      <c r="AG286" s="1155"/>
      <c r="AH286" s="1145"/>
      <c r="AI286" s="1149"/>
      <c r="AJ286" s="1150"/>
      <c r="AK286" s="1149"/>
      <c r="AL286" s="1150"/>
      <c r="AM286" s="1149"/>
      <c r="AN286" s="1150"/>
      <c r="AO286" s="1149"/>
      <c r="AP286" s="1150"/>
      <c r="AQ286" s="1149"/>
      <c r="AR286" s="1150"/>
    </row>
    <row r="287" spans="1:44" ht="16" thickBot="1">
      <c r="B287" s="371"/>
      <c r="C287" s="372"/>
      <c r="D287" s="372"/>
      <c r="E287" s="372"/>
      <c r="F287" s="372"/>
      <c r="G287" s="372"/>
      <c r="H287" s="372"/>
      <c r="I287" s="372"/>
      <c r="J287" s="372"/>
      <c r="K287" s="372"/>
      <c r="L287" s="373"/>
      <c r="M287" s="370"/>
      <c r="N287" s="370"/>
      <c r="O287" s="74"/>
      <c r="P287" s="1153"/>
      <c r="Q287" s="1146"/>
      <c r="R287" s="1156"/>
      <c r="S287" s="1146"/>
      <c r="T287" s="374"/>
      <c r="U287" s="375"/>
      <c r="V287" s="374"/>
      <c r="W287" s="375"/>
      <c r="X287" s="374"/>
      <c r="Y287" s="375"/>
      <c r="Z287" s="374"/>
      <c r="AA287" s="375"/>
      <c r="AB287" s="374"/>
      <c r="AC287" s="375"/>
      <c r="AE287" s="1153"/>
      <c r="AF287" s="1146"/>
      <c r="AG287" s="1156"/>
      <c r="AH287" s="1146"/>
      <c r="AI287" s="374"/>
      <c r="AJ287" s="375"/>
      <c r="AK287" s="374"/>
      <c r="AL287" s="375"/>
      <c r="AM287" s="374"/>
      <c r="AN287" s="375"/>
      <c r="AO287" s="374"/>
      <c r="AP287" s="375"/>
      <c r="AQ287" s="374"/>
      <c r="AR287" s="375"/>
    </row>
    <row r="288" spans="1:44" ht="14.5" customHeight="1">
      <c r="B288" s="574"/>
      <c r="C288" s="575"/>
      <c r="D288" s="575"/>
      <c r="E288" s="575"/>
      <c r="F288" s="575"/>
      <c r="G288" s="576"/>
      <c r="H288" s="576"/>
      <c r="I288" s="576"/>
      <c r="J288" s="576"/>
      <c r="K288" s="372"/>
      <c r="L288" s="373"/>
      <c r="M288" s="370"/>
      <c r="N288" s="370"/>
      <c r="P288" s="1185"/>
      <c r="Q288" s="1188"/>
      <c r="R288" s="381"/>
      <c r="S288" s="382"/>
      <c r="T288" s="1191"/>
      <c r="U288" s="1179"/>
      <c r="V288" s="1191"/>
      <c r="W288" s="1179"/>
      <c r="X288" s="1191"/>
      <c r="Y288" s="1179"/>
      <c r="Z288" s="1191"/>
      <c r="AA288" s="1179"/>
      <c r="AB288" s="1182"/>
      <c r="AC288" s="1179"/>
      <c r="AE288" s="1185"/>
      <c r="AF288" s="1188"/>
      <c r="AG288" s="381"/>
      <c r="AH288" s="382"/>
      <c r="AI288" s="1191"/>
      <c r="AJ288" s="1179"/>
      <c r="AK288" s="1191"/>
      <c r="AL288" s="1179"/>
      <c r="AM288" s="1191"/>
      <c r="AN288" s="1179"/>
      <c r="AO288" s="1191"/>
      <c r="AP288" s="1179"/>
      <c r="AQ288" s="1182"/>
      <c r="AR288" s="1179"/>
    </row>
    <row r="289" spans="2:44">
      <c r="B289" s="383"/>
      <c r="C289" s="577"/>
      <c r="D289" s="577"/>
      <c r="E289" s="577"/>
      <c r="F289" s="577"/>
      <c r="G289" s="576"/>
      <c r="H289" s="576"/>
      <c r="I289" s="576"/>
      <c r="J289" s="576"/>
      <c r="K289" s="372"/>
      <c r="L289" s="373"/>
      <c r="M289" s="370"/>
      <c r="N289" s="370"/>
      <c r="O289" s="71"/>
      <c r="P289" s="1210"/>
      <c r="Q289" s="1189"/>
      <c r="R289" s="388"/>
      <c r="S289" s="389"/>
      <c r="T289" s="1192"/>
      <c r="U289" s="1180"/>
      <c r="V289" s="1192"/>
      <c r="W289" s="1180"/>
      <c r="X289" s="1192"/>
      <c r="Y289" s="1180"/>
      <c r="Z289" s="1192"/>
      <c r="AA289" s="1180"/>
      <c r="AB289" s="1183"/>
      <c r="AC289" s="1180"/>
      <c r="AE289" s="1210"/>
      <c r="AF289" s="1189"/>
      <c r="AG289" s="388"/>
      <c r="AH289" s="389"/>
      <c r="AI289" s="1192"/>
      <c r="AJ289" s="1180"/>
      <c r="AK289" s="1192"/>
      <c r="AL289" s="1180"/>
      <c r="AM289" s="1192"/>
      <c r="AN289" s="1180"/>
      <c r="AO289" s="1192"/>
      <c r="AP289" s="1180"/>
      <c r="AQ289" s="1183"/>
      <c r="AR289" s="1180"/>
    </row>
    <row r="290" spans="2:44" ht="16" thickBot="1">
      <c r="B290" s="574"/>
      <c r="C290" s="578"/>
      <c r="D290" s="578"/>
      <c r="E290" s="578"/>
      <c r="F290" s="578"/>
      <c r="G290" s="578"/>
      <c r="H290" s="578"/>
      <c r="I290" s="578"/>
      <c r="J290" s="578"/>
      <c r="K290" s="579"/>
      <c r="L290" s="580"/>
      <c r="M290" s="370"/>
      <c r="N290" s="370"/>
      <c r="O290" s="71"/>
      <c r="P290" s="1210"/>
      <c r="Q290" s="1190"/>
      <c r="R290" s="393"/>
      <c r="S290" s="394"/>
      <c r="T290" s="1193"/>
      <c r="U290" s="1181"/>
      <c r="V290" s="1193"/>
      <c r="W290" s="1181"/>
      <c r="X290" s="1193"/>
      <c r="Y290" s="1181"/>
      <c r="Z290" s="1193"/>
      <c r="AA290" s="1181"/>
      <c r="AB290" s="1184"/>
      <c r="AC290" s="1181"/>
      <c r="AE290" s="1210"/>
      <c r="AF290" s="1190"/>
      <c r="AG290" s="393"/>
      <c r="AH290" s="394"/>
      <c r="AI290" s="1193"/>
      <c r="AJ290" s="1181"/>
      <c r="AK290" s="1193"/>
      <c r="AL290" s="1181"/>
      <c r="AM290" s="1193"/>
      <c r="AN290" s="1181"/>
      <c r="AO290" s="1193"/>
      <c r="AP290" s="1181"/>
      <c r="AQ290" s="1184"/>
      <c r="AR290" s="1181"/>
    </row>
    <row r="291" spans="2:44" ht="14.5" customHeight="1">
      <c r="B291" s="574"/>
      <c r="C291" s="581"/>
      <c r="D291" s="581"/>
      <c r="E291" s="581"/>
      <c r="F291" s="581"/>
      <c r="G291" s="581"/>
      <c r="H291" s="581"/>
      <c r="I291" s="581"/>
      <c r="J291" s="581"/>
      <c r="K291" s="579"/>
      <c r="L291" s="580"/>
      <c r="M291" s="370"/>
      <c r="N291" s="370"/>
      <c r="O291" s="71"/>
      <c r="P291" s="1210"/>
      <c r="Q291" s="1212"/>
      <c r="R291" s="395"/>
      <c r="S291" s="396"/>
      <c r="T291" s="1191"/>
      <c r="U291" s="1191"/>
      <c r="V291" s="1191"/>
      <c r="W291" s="1191"/>
      <c r="X291" s="1191"/>
      <c r="Y291" s="1191"/>
      <c r="Z291" s="1191"/>
      <c r="AA291" s="1191"/>
      <c r="AB291" s="1191"/>
      <c r="AC291" s="1191"/>
      <c r="AE291" s="1210"/>
      <c r="AF291" s="1212"/>
      <c r="AG291" s="395"/>
      <c r="AH291" s="396"/>
      <c r="AI291" s="1191"/>
      <c r="AJ291" s="1191"/>
      <c r="AK291" s="1191"/>
      <c r="AL291" s="1191"/>
      <c r="AM291" s="1191"/>
      <c r="AN291" s="1191"/>
      <c r="AO291" s="1191"/>
      <c r="AP291" s="1191"/>
      <c r="AQ291" s="1191"/>
      <c r="AR291" s="1191"/>
    </row>
    <row r="292" spans="2:44">
      <c r="B292" s="574"/>
      <c r="C292" s="582"/>
      <c r="D292" s="582"/>
      <c r="E292" s="582"/>
      <c r="F292" s="582"/>
      <c r="G292" s="582"/>
      <c r="H292" s="582"/>
      <c r="I292" s="582"/>
      <c r="J292" s="582"/>
      <c r="K292" s="579"/>
      <c r="L292" s="580"/>
      <c r="M292" s="367"/>
      <c r="N292" s="367"/>
      <c r="O292" s="71"/>
      <c r="P292" s="1210"/>
      <c r="Q292" s="1213"/>
      <c r="R292" s="395"/>
      <c r="S292" s="396"/>
      <c r="T292" s="1208"/>
      <c r="U292" s="1208"/>
      <c r="V292" s="1208"/>
      <c r="W292" s="1208"/>
      <c r="X292" s="1208"/>
      <c r="Y292" s="1208"/>
      <c r="Z292" s="1208"/>
      <c r="AA292" s="1208"/>
      <c r="AB292" s="1192"/>
      <c r="AC292" s="1208"/>
      <c r="AE292" s="1210"/>
      <c r="AF292" s="1213"/>
      <c r="AG292" s="395"/>
      <c r="AH292" s="396"/>
      <c r="AI292" s="1208"/>
      <c r="AJ292" s="1208"/>
      <c r="AK292" s="1208"/>
      <c r="AL292" s="1208"/>
      <c r="AM292" s="1208"/>
      <c r="AN292" s="1208"/>
      <c r="AO292" s="1208"/>
      <c r="AP292" s="1208"/>
      <c r="AQ292" s="1192"/>
      <c r="AR292" s="1208"/>
    </row>
    <row r="293" spans="2:44">
      <c r="B293" s="383"/>
      <c r="C293" s="397"/>
      <c r="D293" s="397"/>
      <c r="E293" s="397"/>
      <c r="F293" s="397"/>
      <c r="G293" s="398"/>
      <c r="H293" s="398"/>
      <c r="I293" s="398"/>
      <c r="J293" s="398"/>
      <c r="K293" s="372"/>
      <c r="L293" s="373"/>
      <c r="M293" s="363"/>
      <c r="N293" s="363"/>
      <c r="P293" s="1210"/>
      <c r="Q293" s="1213"/>
      <c r="R293" s="395"/>
      <c r="S293" s="396"/>
      <c r="T293" s="1208"/>
      <c r="U293" s="1208"/>
      <c r="V293" s="1208"/>
      <c r="W293" s="1208"/>
      <c r="X293" s="1208"/>
      <c r="Y293" s="1208"/>
      <c r="Z293" s="1208"/>
      <c r="AA293" s="1208"/>
      <c r="AB293" s="1192"/>
      <c r="AC293" s="1208"/>
      <c r="AE293" s="1210"/>
      <c r="AF293" s="1213"/>
      <c r="AG293" s="395"/>
      <c r="AH293" s="396"/>
      <c r="AI293" s="1208"/>
      <c r="AJ293" s="1208"/>
      <c r="AK293" s="1208"/>
      <c r="AL293" s="1208"/>
      <c r="AM293" s="1208"/>
      <c r="AN293" s="1208"/>
      <c r="AO293" s="1208"/>
      <c r="AP293" s="1208"/>
      <c r="AQ293" s="1192"/>
      <c r="AR293" s="1208"/>
    </row>
    <row r="294" spans="2:44" ht="16" thickBot="1">
      <c r="B294" s="574"/>
      <c r="C294" s="582"/>
      <c r="D294" s="582"/>
      <c r="E294" s="582"/>
      <c r="F294" s="582"/>
      <c r="G294" s="582"/>
      <c r="H294" s="582"/>
      <c r="I294" s="582"/>
      <c r="J294" s="582"/>
      <c r="K294" s="372"/>
      <c r="L294" s="373"/>
      <c r="M294" s="363"/>
      <c r="N294" s="363"/>
      <c r="P294" s="1210"/>
      <c r="Q294" s="1213"/>
      <c r="R294" s="395"/>
      <c r="S294" s="396"/>
      <c r="T294" s="1208"/>
      <c r="U294" s="1208"/>
      <c r="V294" s="1208"/>
      <c r="W294" s="1208"/>
      <c r="X294" s="1208"/>
      <c r="Y294" s="1208"/>
      <c r="Z294" s="1208"/>
      <c r="AA294" s="1208"/>
      <c r="AB294" s="1192"/>
      <c r="AC294" s="1208"/>
      <c r="AE294" s="1210"/>
      <c r="AF294" s="1213"/>
      <c r="AG294" s="395"/>
      <c r="AH294" s="396"/>
      <c r="AI294" s="1208"/>
      <c r="AJ294" s="1208"/>
      <c r="AK294" s="1208"/>
      <c r="AL294" s="1208"/>
      <c r="AM294" s="1208"/>
      <c r="AN294" s="1208"/>
      <c r="AO294" s="1208"/>
      <c r="AP294" s="1208"/>
      <c r="AQ294" s="1192"/>
      <c r="AR294" s="1208"/>
    </row>
    <row r="295" spans="2:44" ht="16" thickBot="1">
      <c r="B295" s="401"/>
      <c r="C295" s="583"/>
      <c r="D295" s="584"/>
      <c r="E295" s="585"/>
      <c r="F295" s="586"/>
      <c r="G295" s="406"/>
      <c r="H295" s="406"/>
      <c r="I295" s="406"/>
      <c r="J295" s="406"/>
      <c r="K295" s="407"/>
      <c r="L295" s="587"/>
      <c r="M295" s="363"/>
      <c r="N295" s="363"/>
      <c r="P295" s="1210"/>
      <c r="Q295" s="1214"/>
      <c r="R295" s="409"/>
      <c r="S295" s="410"/>
      <c r="T295" s="1209"/>
      <c r="U295" s="1209"/>
      <c r="V295" s="1209"/>
      <c r="W295" s="1209"/>
      <c r="X295" s="1209"/>
      <c r="Y295" s="1209"/>
      <c r="Z295" s="1209"/>
      <c r="AA295" s="1209"/>
      <c r="AB295" s="1193"/>
      <c r="AC295" s="1209"/>
      <c r="AE295" s="1210"/>
      <c r="AF295" s="1214"/>
      <c r="AG295" s="409"/>
      <c r="AH295" s="410"/>
      <c r="AI295" s="1209"/>
      <c r="AJ295" s="1209"/>
      <c r="AK295" s="1209"/>
      <c r="AL295" s="1209"/>
      <c r="AM295" s="1209"/>
      <c r="AN295" s="1209"/>
      <c r="AO295" s="1209"/>
      <c r="AP295" s="1209"/>
      <c r="AQ295" s="1193"/>
      <c r="AR295" s="1209"/>
    </row>
    <row r="296" spans="2:44" ht="16" thickBot="1">
      <c r="B296" s="574"/>
      <c r="C296" s="588"/>
      <c r="D296" s="588"/>
      <c r="E296" s="588"/>
      <c r="F296" s="588"/>
      <c r="G296" s="589"/>
      <c r="H296" s="589"/>
      <c r="I296" s="590"/>
      <c r="J296" s="590"/>
      <c r="K296" s="579"/>
      <c r="L296" s="580"/>
      <c r="M296" s="363"/>
      <c r="N296" s="363"/>
      <c r="P296" s="1211"/>
      <c r="Q296" s="411"/>
      <c r="R296" s="412"/>
      <c r="S296" s="413"/>
      <c r="T296" s="591"/>
      <c r="U296" s="592"/>
      <c r="V296" s="593"/>
      <c r="W296" s="592"/>
      <c r="X296" s="593"/>
      <c r="Y296" s="592"/>
      <c r="Z296" s="593"/>
      <c r="AA296" s="592"/>
      <c r="AB296" s="593"/>
      <c r="AC296" s="594"/>
      <c r="AE296" s="1211"/>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6" thickBot="1">
      <c r="B304" s="429"/>
      <c r="C304" s="397"/>
      <c r="D304" s="397"/>
      <c r="E304" s="397"/>
      <c r="F304" s="397"/>
      <c r="G304" s="425"/>
      <c r="H304" s="425"/>
      <c r="I304" s="425"/>
      <c r="J304" s="425"/>
      <c r="K304" s="423"/>
      <c r="L304" s="427"/>
      <c r="M304" s="428"/>
      <c r="N304" s="428"/>
    </row>
    <row r="305" spans="1:30" ht="16"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57"/>
      <c r="Q310" s="1135"/>
      <c r="R310" s="1135"/>
      <c r="S310" s="1135"/>
      <c r="T310" s="1135"/>
      <c r="U310" s="1158"/>
    </row>
    <row r="311" spans="1:30" ht="16" thickBot="1">
      <c r="B311" s="541"/>
      <c r="C311" s="552"/>
      <c r="D311" s="552"/>
      <c r="E311" s="552"/>
      <c r="F311" s="552"/>
      <c r="G311" s="553"/>
      <c r="H311" s="553"/>
      <c r="I311" s="553"/>
      <c r="J311" s="553"/>
      <c r="K311" s="547"/>
      <c r="L311" s="548"/>
      <c r="M311" s="450"/>
      <c r="N311" s="361"/>
      <c r="P311" s="1159"/>
      <c r="Q311" s="1160"/>
      <c r="R311" s="1160"/>
      <c r="S311" s="1160"/>
      <c r="T311" s="1160"/>
      <c r="U311" s="1161"/>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6"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6"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6"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B5:B6"/>
    <mergeCell ref="C5:M5"/>
    <mergeCell ref="P5:U5"/>
    <mergeCell ref="C6:M6"/>
    <mergeCell ref="C7:L7"/>
    <mergeCell ref="S7:S10"/>
    <mergeCell ref="T7:U9"/>
    <mergeCell ref="I8:J8"/>
    <mergeCell ref="K8:K9"/>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P11:P19"/>
    <mergeCell ref="Q11:Q13"/>
    <mergeCell ref="T11:T13"/>
    <mergeCell ref="U11:U13"/>
    <mergeCell ref="V11:V13"/>
    <mergeCell ref="W11:W13"/>
    <mergeCell ref="Q14:Q18"/>
    <mergeCell ref="T14:T18"/>
    <mergeCell ref="U14:U18"/>
    <mergeCell ref="V14:V18"/>
    <mergeCell ref="W14:W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Z79:AA81"/>
    <mergeCell ref="P80:P82"/>
    <mergeCell ref="Q81:Q82"/>
    <mergeCell ref="R81:R82"/>
    <mergeCell ref="C23:F27"/>
    <mergeCell ref="P33:U33"/>
    <mergeCell ref="P34:U34"/>
    <mergeCell ref="C42:F42"/>
    <mergeCell ref="B77:B78"/>
    <mergeCell ref="C77:M77"/>
    <mergeCell ref="P77:U77"/>
    <mergeCell ref="C78:M78"/>
    <mergeCell ref="P78:U78"/>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P83:P91"/>
    <mergeCell ref="Q83:Q85"/>
    <mergeCell ref="T83:T85"/>
    <mergeCell ref="U83:U85"/>
    <mergeCell ref="V83:V85"/>
    <mergeCell ref="W83:W85"/>
    <mergeCell ref="Q86:Q90"/>
    <mergeCell ref="T86:T90"/>
    <mergeCell ref="U86:U90"/>
    <mergeCell ref="V86:V90"/>
    <mergeCell ref="W86:W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Z151:AA153"/>
    <mergeCell ref="P152:P154"/>
    <mergeCell ref="Q153:Q154"/>
    <mergeCell ref="R153:R154"/>
    <mergeCell ref="P105:U105"/>
    <mergeCell ref="P106:U106"/>
    <mergeCell ref="B149:B150"/>
    <mergeCell ref="C149:M149"/>
    <mergeCell ref="P149:U149"/>
    <mergeCell ref="C150:M150"/>
    <mergeCell ref="P150:U150"/>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P155:P163"/>
    <mergeCell ref="Q155:Q157"/>
    <mergeCell ref="T155:T157"/>
    <mergeCell ref="U155:U157"/>
    <mergeCell ref="V155:V157"/>
    <mergeCell ref="W155:W157"/>
    <mergeCell ref="Q158:Q162"/>
    <mergeCell ref="T158:T162"/>
    <mergeCell ref="U158:U162"/>
    <mergeCell ref="V158:V162"/>
    <mergeCell ref="W158:W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P177:U177"/>
    <mergeCell ref="P178:U178"/>
    <mergeCell ref="C218:L218"/>
    <mergeCell ref="S218:S221"/>
    <mergeCell ref="T218:U220"/>
    <mergeCell ref="V218:W220"/>
    <mergeCell ref="K219:K220"/>
    <mergeCell ref="L219:L220"/>
    <mergeCell ref="P219:P221"/>
    <mergeCell ref="Q220:Q221"/>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A225:AA229"/>
    <mergeCell ref="AB225:AB229"/>
    <mergeCell ref="AC225:AC229"/>
    <mergeCell ref="P222:P230"/>
    <mergeCell ref="Q222:Q224"/>
    <mergeCell ref="T222:T224"/>
    <mergeCell ref="U222:U224"/>
    <mergeCell ref="V222:V224"/>
    <mergeCell ref="W222:W224"/>
    <mergeCell ref="X222:X224"/>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s>
  <hyperlinks>
    <hyperlink ref="C7" location="INDEX" display="Direct Firing, Electricity" xr:uid="{E2F4C899-B6B0-404D-8875-794B386924BE}"/>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topLeftCell="A19" workbookViewId="0">
      <selection activeCell="F153" sqref="F153"/>
    </sheetView>
  </sheetViews>
  <sheetFormatPr baseColWidth="10" defaultColWidth="8.83203125" defaultRowHeight="15"/>
  <cols>
    <col min="2" max="2" width="36.83203125" customWidth="1"/>
  </cols>
  <sheetData>
    <row r="3" spans="2:8">
      <c r="B3" s="8" t="s">
        <v>309</v>
      </c>
    </row>
    <row r="5" spans="2:8" ht="16" thickBot="1"/>
    <row r="6" spans="2:8">
      <c r="B6" s="1257" t="s">
        <v>0</v>
      </c>
      <c r="C6" s="1259" t="s">
        <v>58</v>
      </c>
      <c r="D6" s="1260"/>
      <c r="E6" s="1260"/>
      <c r="F6" s="1260"/>
      <c r="G6" s="1260"/>
      <c r="H6" s="1261"/>
    </row>
    <row r="7" spans="2:8" ht="16" thickBot="1">
      <c r="B7" s="1258"/>
      <c r="C7" s="1159" t="s">
        <v>38</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10</v>
      </c>
      <c r="D10" s="2">
        <v>10</v>
      </c>
      <c r="E10" s="2">
        <v>10</v>
      </c>
      <c r="F10" s="2">
        <v>10</v>
      </c>
      <c r="G10" s="2" t="s">
        <v>51</v>
      </c>
      <c r="H10" s="2"/>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98</v>
      </c>
      <c r="D13" s="2">
        <v>98</v>
      </c>
      <c r="E13" s="2">
        <v>98</v>
      </c>
      <c r="F13" s="2">
        <v>98</v>
      </c>
      <c r="G13" s="2" t="s">
        <v>59</v>
      </c>
      <c r="H13" s="2"/>
    </row>
    <row r="14" spans="2:8" ht="16" thickBot="1">
      <c r="B14" s="1" t="s">
        <v>11</v>
      </c>
      <c r="C14" s="2">
        <v>20</v>
      </c>
      <c r="D14" s="2">
        <v>20</v>
      </c>
      <c r="E14" s="2">
        <v>20</v>
      </c>
      <c r="F14" s="2">
        <v>20</v>
      </c>
      <c r="G14" s="2"/>
      <c r="H14" s="2"/>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35">
        <v>0</v>
      </c>
      <c r="D17" s="35">
        <v>0</v>
      </c>
      <c r="E17" s="35">
        <v>0</v>
      </c>
      <c r="F17" s="35">
        <v>0</v>
      </c>
      <c r="G17" s="2"/>
      <c r="H17" s="2"/>
    </row>
    <row r="18" spans="2:8" ht="16" thickBot="1">
      <c r="B18" s="1" t="s">
        <v>17</v>
      </c>
      <c r="C18" s="35">
        <v>0</v>
      </c>
      <c r="D18" s="35">
        <v>0</v>
      </c>
      <c r="E18" s="35">
        <v>0</v>
      </c>
      <c r="F18" s="35">
        <v>0</v>
      </c>
      <c r="G18" s="2"/>
      <c r="H18" s="2"/>
    </row>
    <row r="19" spans="2:8" ht="16" thickBot="1">
      <c r="B19" s="1" t="s">
        <v>18</v>
      </c>
      <c r="C19" s="35">
        <v>0</v>
      </c>
      <c r="D19" s="35">
        <v>0</v>
      </c>
      <c r="E19" s="35">
        <v>0</v>
      </c>
      <c r="F19" s="35">
        <v>0</v>
      </c>
      <c r="G19" s="2"/>
      <c r="H19" s="2"/>
    </row>
    <row r="20" spans="2:8" ht="16" thickBot="1">
      <c r="B20" s="1" t="s">
        <v>19</v>
      </c>
      <c r="C20" s="35">
        <v>0</v>
      </c>
      <c r="D20" s="35">
        <v>0</v>
      </c>
      <c r="E20" s="35">
        <v>0</v>
      </c>
      <c r="F20" s="35">
        <v>0</v>
      </c>
      <c r="G20" s="2"/>
      <c r="H20" s="2"/>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6" thickBot="1">
      <c r="B25" s="1" t="s">
        <v>28</v>
      </c>
      <c r="C25" s="2" t="s">
        <v>63</v>
      </c>
      <c r="D25" s="2" t="s">
        <v>63</v>
      </c>
      <c r="E25" s="2" t="s">
        <v>63</v>
      </c>
      <c r="F25" s="2" t="s">
        <v>63</v>
      </c>
      <c r="G25" s="2"/>
      <c r="H25" s="2"/>
    </row>
    <row r="26" spans="2:8" ht="28" thickBot="1">
      <c r="B26" s="1" t="s">
        <v>30</v>
      </c>
      <c r="C26" s="2">
        <v>3</v>
      </c>
      <c r="D26" s="2">
        <v>3</v>
      </c>
      <c r="E26" s="2">
        <v>3</v>
      </c>
      <c r="F26" s="2">
        <v>3</v>
      </c>
      <c r="G26" s="2" t="s">
        <v>20</v>
      </c>
      <c r="H26" s="2"/>
    </row>
    <row r="27" spans="2:8" ht="16" thickBot="1">
      <c r="B27" s="1" t="s">
        <v>64</v>
      </c>
      <c r="C27" s="2">
        <v>150</v>
      </c>
      <c r="D27" s="2">
        <v>150</v>
      </c>
      <c r="E27" s="2">
        <v>150</v>
      </c>
      <c r="F27" s="2">
        <v>150</v>
      </c>
      <c r="G27" s="2" t="s">
        <v>25</v>
      </c>
      <c r="H27" s="2">
        <v>7</v>
      </c>
    </row>
    <row r="28" spans="2:8" ht="16" thickBot="1">
      <c r="B28" s="1" t="s">
        <v>31</v>
      </c>
      <c r="C28" s="2"/>
      <c r="D28" s="2"/>
      <c r="E28" s="2"/>
      <c r="F28" s="2"/>
      <c r="G28" s="2"/>
      <c r="H28" s="2"/>
    </row>
    <row r="32" spans="2:8" ht="16" thickBot="1"/>
    <row r="33" spans="2:8" ht="15" customHeight="1">
      <c r="B33" s="1257" t="s">
        <v>0</v>
      </c>
      <c r="C33" s="1259" t="s">
        <v>58</v>
      </c>
      <c r="D33" s="1260"/>
      <c r="E33" s="1260"/>
      <c r="F33" s="1260"/>
      <c r="G33" s="1260"/>
      <c r="H33" s="1261"/>
    </row>
    <row r="34" spans="2:8" ht="15.75" customHeight="1" thickBot="1">
      <c r="B34" s="1258"/>
      <c r="C34" s="1159" t="s">
        <v>53</v>
      </c>
      <c r="D34" s="1160"/>
      <c r="E34" s="1160"/>
      <c r="F34" s="1160"/>
      <c r="G34" s="1160"/>
      <c r="H34" s="1161"/>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v>250</v>
      </c>
      <c r="D37" s="2">
        <v>250</v>
      </c>
      <c r="E37" s="2">
        <v>250</v>
      </c>
      <c r="F37" s="2">
        <v>250</v>
      </c>
      <c r="G37" s="2" t="s">
        <v>6</v>
      </c>
      <c r="H37" s="2"/>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100</v>
      </c>
      <c r="D40" s="2">
        <v>100</v>
      </c>
      <c r="E40" s="2">
        <v>100</v>
      </c>
      <c r="F40" s="2">
        <v>100</v>
      </c>
      <c r="G40" s="2" t="s">
        <v>59</v>
      </c>
      <c r="H40" s="2"/>
    </row>
    <row r="41" spans="2:8" ht="16" thickBot="1">
      <c r="B41" s="1" t="s">
        <v>11</v>
      </c>
      <c r="C41" s="2">
        <v>20</v>
      </c>
      <c r="D41" s="2">
        <v>20</v>
      </c>
      <c r="E41" s="2">
        <v>20</v>
      </c>
      <c r="F41" s="2">
        <v>20</v>
      </c>
      <c r="G41" s="2"/>
      <c r="H41" s="2"/>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35">
        <v>0</v>
      </c>
      <c r="D44" s="35">
        <v>0</v>
      </c>
      <c r="E44" s="35">
        <v>0</v>
      </c>
      <c r="F44" s="35">
        <v>0</v>
      </c>
      <c r="G44" s="2"/>
      <c r="H44" s="2"/>
    </row>
    <row r="45" spans="2:8" ht="16" thickBot="1">
      <c r="B45" s="1" t="s">
        <v>17</v>
      </c>
      <c r="C45" s="35">
        <v>0</v>
      </c>
      <c r="D45" s="35">
        <v>0</v>
      </c>
      <c r="E45" s="35">
        <v>0</v>
      </c>
      <c r="F45" s="35">
        <v>0</v>
      </c>
      <c r="G45" s="2"/>
      <c r="H45" s="2"/>
    </row>
    <row r="46" spans="2:8" ht="16" thickBot="1">
      <c r="B46" s="1" t="s">
        <v>18</v>
      </c>
      <c r="C46" s="35">
        <v>0</v>
      </c>
      <c r="D46" s="35">
        <v>0</v>
      </c>
      <c r="E46" s="35">
        <v>0</v>
      </c>
      <c r="F46" s="35">
        <v>0</v>
      </c>
      <c r="G46" s="2"/>
      <c r="H46" s="2"/>
    </row>
    <row r="47" spans="2:8" ht="16" thickBot="1">
      <c r="B47" s="1" t="s">
        <v>19</v>
      </c>
      <c r="C47" s="35">
        <v>0</v>
      </c>
      <c r="D47" s="35">
        <v>0</v>
      </c>
      <c r="E47" s="35">
        <v>0</v>
      </c>
      <c r="F47" s="35">
        <v>0</v>
      </c>
      <c r="G47" s="2"/>
      <c r="H47" s="2"/>
    </row>
    <row r="48" spans="2:8" ht="16" thickBot="1">
      <c r="B48" s="3" t="s">
        <v>22</v>
      </c>
      <c r="C48" s="4"/>
      <c r="D48" s="4"/>
      <c r="E48" s="4"/>
      <c r="F48" s="4"/>
      <c r="G48" s="4"/>
      <c r="H48" s="5"/>
    </row>
    <row r="49" spans="2:8" ht="16"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6" thickBot="1">
      <c r="B52" s="1" t="s">
        <v>28</v>
      </c>
      <c r="C52" s="2" t="s">
        <v>29</v>
      </c>
      <c r="D52" s="2">
        <v>30</v>
      </c>
      <c r="E52" s="2">
        <v>30</v>
      </c>
      <c r="F52" s="2">
        <v>30</v>
      </c>
      <c r="G52" s="2"/>
      <c r="H52" s="2"/>
    </row>
    <row r="53" spans="2:8" ht="28" thickBot="1">
      <c r="B53" s="1" t="s">
        <v>30</v>
      </c>
      <c r="C53" s="2">
        <v>4</v>
      </c>
      <c r="D53" s="2">
        <v>4</v>
      </c>
      <c r="E53" s="2">
        <v>4</v>
      </c>
      <c r="F53" s="2">
        <v>4</v>
      </c>
      <c r="G53" s="2" t="s">
        <v>20</v>
      </c>
      <c r="H53" s="2"/>
    </row>
    <row r="54" spans="2:8" ht="16" thickBot="1">
      <c r="B54" s="1" t="s">
        <v>64</v>
      </c>
      <c r="C54" s="10">
        <v>1250</v>
      </c>
      <c r="D54" s="10">
        <v>1250</v>
      </c>
      <c r="E54" s="10">
        <v>1250</v>
      </c>
      <c r="F54" s="10">
        <v>1250</v>
      </c>
      <c r="G54" s="2"/>
      <c r="H54" s="2">
        <v>7</v>
      </c>
    </row>
    <row r="55" spans="2:8" ht="16" thickBot="1">
      <c r="B55" s="1" t="s">
        <v>31</v>
      </c>
      <c r="C55" s="2"/>
      <c r="D55" s="2"/>
      <c r="E55" s="2"/>
      <c r="F55" s="2"/>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topLeftCell="A31" workbookViewId="0">
      <selection activeCell="C60" sqref="C60"/>
    </sheetView>
  </sheetViews>
  <sheetFormatPr baseColWidth="10" defaultColWidth="8.83203125" defaultRowHeight="15"/>
  <cols>
    <col min="2" max="2" width="36.83203125" customWidth="1"/>
    <col min="12" max="12" width="14.83203125" customWidth="1"/>
    <col min="13" max="13" width="18.83203125" customWidth="1"/>
  </cols>
  <sheetData>
    <row r="3" spans="2:13">
      <c r="B3" s="8" t="s">
        <v>323</v>
      </c>
    </row>
    <row r="5" spans="2:13" ht="16" thickBot="1"/>
    <row r="6" spans="2:13" ht="16" thickBot="1">
      <c r="B6" s="24" t="s">
        <v>0</v>
      </c>
      <c r="C6" s="1262" t="s">
        <v>238</v>
      </c>
      <c r="D6" s="1263"/>
      <c r="E6" s="1263"/>
      <c r="F6" s="1263"/>
      <c r="G6" s="1263"/>
      <c r="H6" s="1264"/>
      <c r="L6" s="224" t="s">
        <v>628</v>
      </c>
      <c r="M6" s="224"/>
    </row>
    <row r="7" spans="2:13" ht="16" thickBot="1">
      <c r="B7" s="1"/>
      <c r="C7" s="2">
        <v>2015</v>
      </c>
      <c r="D7" s="2">
        <v>2020</v>
      </c>
      <c r="E7" s="2">
        <v>2030</v>
      </c>
      <c r="F7" s="2">
        <v>2050</v>
      </c>
      <c r="G7" s="2" t="s">
        <v>2</v>
      </c>
      <c r="H7" s="2" t="s">
        <v>3</v>
      </c>
      <c r="L7" s="224"/>
      <c r="M7" s="224"/>
    </row>
    <row r="8" spans="2:13" ht="30" thickBot="1">
      <c r="B8" s="3" t="s">
        <v>4</v>
      </c>
      <c r="C8" s="4"/>
      <c r="D8" s="4"/>
      <c r="E8" s="4"/>
      <c r="F8" s="4"/>
      <c r="G8" s="4"/>
      <c r="H8" s="5"/>
      <c r="L8" s="302" t="s">
        <v>626</v>
      </c>
      <c r="M8" s="302" t="s">
        <v>627</v>
      </c>
    </row>
    <row r="9" spans="2:13" ht="16" thickBot="1">
      <c r="B9" s="1" t="s">
        <v>239</v>
      </c>
      <c r="C9" s="2">
        <v>120</v>
      </c>
      <c r="D9" s="2">
        <v>120</v>
      </c>
      <c r="E9" s="2">
        <v>120</v>
      </c>
      <c r="F9" s="2">
        <v>120</v>
      </c>
      <c r="G9" s="2" t="s">
        <v>6</v>
      </c>
      <c r="H9" s="2">
        <v>1</v>
      </c>
      <c r="L9" s="224">
        <v>250</v>
      </c>
      <c r="M9" s="224">
        <f>L9*7.45*3.6*8760/1000000000</f>
        <v>5.8735799999999998E-2</v>
      </c>
    </row>
    <row r="10" spans="2:13" ht="16" thickBot="1">
      <c r="B10" s="1" t="s">
        <v>240</v>
      </c>
      <c r="C10" s="2">
        <v>15</v>
      </c>
      <c r="D10" s="2">
        <v>15</v>
      </c>
      <c r="E10" s="2">
        <v>15</v>
      </c>
      <c r="F10" s="2">
        <v>15</v>
      </c>
      <c r="G10" s="2" t="s">
        <v>59</v>
      </c>
      <c r="H10" s="2">
        <v>1</v>
      </c>
      <c r="L10" s="224"/>
      <c r="M10" s="224"/>
    </row>
    <row r="11" spans="2:13" ht="16" thickBot="1">
      <c r="B11" s="1" t="s">
        <v>241</v>
      </c>
      <c r="C11" s="2">
        <v>141</v>
      </c>
      <c r="D11" s="2">
        <v>141</v>
      </c>
      <c r="E11" s="2">
        <v>141</v>
      </c>
      <c r="F11" s="2">
        <v>141</v>
      </c>
      <c r="G11" s="2" t="s">
        <v>6</v>
      </c>
      <c r="H11" s="2">
        <v>1</v>
      </c>
    </row>
    <row r="12" spans="2:13" ht="16" thickBot="1">
      <c r="B12" s="1" t="s">
        <v>242</v>
      </c>
      <c r="C12" s="2" t="s">
        <v>243</v>
      </c>
      <c r="D12" s="2" t="s">
        <v>243</v>
      </c>
      <c r="E12" s="2" t="s">
        <v>243</v>
      </c>
      <c r="F12" s="2" t="s">
        <v>243</v>
      </c>
      <c r="G12" s="2"/>
      <c r="H12" s="2">
        <v>2</v>
      </c>
    </row>
    <row r="13" spans="2:13" ht="16" thickBot="1">
      <c r="B13" s="1" t="s">
        <v>11</v>
      </c>
      <c r="C13" s="2" t="s">
        <v>186</v>
      </c>
      <c r="D13" s="2" t="s">
        <v>186</v>
      </c>
      <c r="E13" s="2" t="s">
        <v>186</v>
      </c>
      <c r="F13" s="2" t="s">
        <v>186</v>
      </c>
      <c r="G13" s="2"/>
      <c r="H13" s="2">
        <v>3</v>
      </c>
    </row>
    <row r="14" spans="2:13" ht="16" thickBot="1">
      <c r="B14" s="3" t="s">
        <v>22</v>
      </c>
      <c r="C14" s="4"/>
      <c r="D14" s="4"/>
      <c r="E14" s="4"/>
      <c r="F14" s="4"/>
      <c r="G14" s="4"/>
      <c r="H14" s="5"/>
    </row>
    <row r="15" spans="2:13" ht="16" thickBot="1">
      <c r="B15" s="1" t="s">
        <v>244</v>
      </c>
      <c r="C15" s="2" t="s">
        <v>245</v>
      </c>
      <c r="D15" s="2" t="s">
        <v>245</v>
      </c>
      <c r="E15" s="2" t="s">
        <v>245</v>
      </c>
      <c r="F15" s="2" t="s">
        <v>245</v>
      </c>
      <c r="G15" s="2" t="s">
        <v>16</v>
      </c>
      <c r="H15" s="2">
        <v>1</v>
      </c>
    </row>
    <row r="16" spans="2:13" ht="16" thickBot="1">
      <c r="B16" s="1" t="s">
        <v>246</v>
      </c>
      <c r="C16" s="2">
        <v>250</v>
      </c>
      <c r="D16" s="2">
        <v>250</v>
      </c>
      <c r="E16" s="2">
        <v>250</v>
      </c>
      <c r="F16" s="2">
        <v>250</v>
      </c>
      <c r="G16" s="2"/>
      <c r="H16" s="2">
        <v>4</v>
      </c>
    </row>
    <row r="20" spans="2:8" ht="16" thickBot="1"/>
    <row r="21" spans="2:8" ht="16" thickBot="1">
      <c r="B21" s="24" t="s">
        <v>0</v>
      </c>
      <c r="C21" s="1262" t="s">
        <v>247</v>
      </c>
      <c r="D21" s="1263"/>
      <c r="E21" s="1263"/>
      <c r="F21" s="1263"/>
      <c r="G21" s="1263"/>
      <c r="H21" s="1264"/>
    </row>
    <row r="22" spans="2:8" ht="16" thickBot="1">
      <c r="B22" s="1"/>
      <c r="C22" s="2">
        <v>2015</v>
      </c>
      <c r="D22" s="2">
        <v>2020</v>
      </c>
      <c r="E22" s="2">
        <v>2030</v>
      </c>
      <c r="F22" s="2">
        <v>2050</v>
      </c>
      <c r="G22" s="2" t="s">
        <v>2</v>
      </c>
      <c r="H22" s="2" t="s">
        <v>3</v>
      </c>
    </row>
    <row r="23" spans="2:8" ht="16" thickBot="1">
      <c r="B23" s="3" t="s">
        <v>4</v>
      </c>
      <c r="C23" s="4"/>
      <c r="D23" s="4"/>
      <c r="E23" s="4"/>
      <c r="F23" s="4"/>
      <c r="G23" s="4"/>
      <c r="H23" s="5"/>
    </row>
    <row r="24" spans="2:8" ht="16" thickBot="1">
      <c r="B24" s="1" t="s">
        <v>239</v>
      </c>
      <c r="C24" s="2" t="s">
        <v>160</v>
      </c>
      <c r="D24" s="2" t="s">
        <v>160</v>
      </c>
      <c r="E24" s="2" t="s">
        <v>160</v>
      </c>
      <c r="F24" s="2" t="s">
        <v>160</v>
      </c>
      <c r="G24" s="2" t="s">
        <v>6</v>
      </c>
      <c r="H24" s="2">
        <v>1</v>
      </c>
    </row>
    <row r="25" spans="2:8" ht="16" thickBot="1">
      <c r="B25" s="1" t="s">
        <v>240</v>
      </c>
      <c r="C25" s="2" t="s">
        <v>248</v>
      </c>
      <c r="D25" s="2" t="s">
        <v>248</v>
      </c>
      <c r="E25" s="2" t="s">
        <v>248</v>
      </c>
      <c r="F25" s="2" t="s">
        <v>248</v>
      </c>
      <c r="G25" s="2" t="s">
        <v>59</v>
      </c>
      <c r="H25" s="2" t="s">
        <v>94</v>
      </c>
    </row>
    <row r="26" spans="2:8" ht="16" thickBot="1">
      <c r="B26" s="1" t="s">
        <v>241</v>
      </c>
      <c r="C26" s="2" t="s">
        <v>249</v>
      </c>
      <c r="D26" s="2" t="s">
        <v>249</v>
      </c>
      <c r="E26" s="2" t="s">
        <v>249</v>
      </c>
      <c r="F26" s="2" t="s">
        <v>249</v>
      </c>
      <c r="G26" s="2" t="s">
        <v>6</v>
      </c>
      <c r="H26" s="2">
        <v>1</v>
      </c>
    </row>
    <row r="27" spans="2:8" ht="16" thickBot="1">
      <c r="B27" s="1" t="s">
        <v>242</v>
      </c>
      <c r="C27" s="34" t="s">
        <v>306</v>
      </c>
      <c r="D27" s="34" t="s">
        <v>306</v>
      </c>
      <c r="E27" s="34" t="s">
        <v>306</v>
      </c>
      <c r="F27" s="34" t="s">
        <v>306</v>
      </c>
      <c r="G27" s="2" t="s">
        <v>16</v>
      </c>
      <c r="H27" s="2" t="s">
        <v>94</v>
      </c>
    </row>
    <row r="28" spans="2:8" ht="16" thickBot="1">
      <c r="B28" s="1" t="s">
        <v>11</v>
      </c>
      <c r="C28" s="2" t="s">
        <v>186</v>
      </c>
      <c r="D28" s="2" t="s">
        <v>186</v>
      </c>
      <c r="E28" s="2" t="s">
        <v>186</v>
      </c>
      <c r="F28" s="2" t="s">
        <v>186</v>
      </c>
      <c r="G28" s="2"/>
      <c r="H28" s="2">
        <v>3</v>
      </c>
    </row>
    <row r="29" spans="2:8" ht="16" thickBot="1">
      <c r="B29" s="3" t="s">
        <v>22</v>
      </c>
      <c r="C29" s="4"/>
      <c r="D29" s="4"/>
      <c r="E29" s="4"/>
      <c r="F29" s="4"/>
      <c r="G29" s="4"/>
      <c r="H29" s="5"/>
    </row>
    <row r="30" spans="2:8" ht="16" thickBot="1">
      <c r="B30" s="1" t="s">
        <v>244</v>
      </c>
      <c r="C30" s="2" t="s">
        <v>250</v>
      </c>
      <c r="D30" s="2" t="s">
        <v>250</v>
      </c>
      <c r="E30" s="2" t="s">
        <v>250</v>
      </c>
      <c r="F30" s="2" t="s">
        <v>250</v>
      </c>
      <c r="G30" s="2" t="s">
        <v>76</v>
      </c>
      <c r="H30" s="2">
        <v>1</v>
      </c>
    </row>
    <row r="31" spans="2:8" ht="16" thickBot="1">
      <c r="B31" s="1" t="s">
        <v>246</v>
      </c>
      <c r="C31" s="2" t="s">
        <v>251</v>
      </c>
      <c r="D31" s="2" t="s">
        <v>251</v>
      </c>
      <c r="E31" s="2" t="s">
        <v>251</v>
      </c>
      <c r="F31" s="2" t="s">
        <v>251</v>
      </c>
      <c r="G31" s="2"/>
      <c r="H31" s="2">
        <v>4</v>
      </c>
    </row>
    <row r="35" spans="2:8" ht="16" thickBot="1"/>
    <row r="36" spans="2:8" ht="16" thickBot="1">
      <c r="B36" s="24" t="s">
        <v>0</v>
      </c>
      <c r="C36" s="1262" t="s">
        <v>252</v>
      </c>
      <c r="D36" s="1263"/>
      <c r="E36" s="1263"/>
      <c r="F36" s="1263"/>
      <c r="G36" s="1263"/>
      <c r="H36" s="1264"/>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239</v>
      </c>
      <c r="C39" s="2" t="s">
        <v>253</v>
      </c>
      <c r="D39" s="2" t="s">
        <v>253</v>
      </c>
      <c r="E39" s="2" t="s">
        <v>253</v>
      </c>
      <c r="F39" s="2" t="s">
        <v>253</v>
      </c>
      <c r="G39" s="2" t="s">
        <v>6</v>
      </c>
      <c r="H39" s="2" t="s">
        <v>94</v>
      </c>
    </row>
    <row r="40" spans="2:8" ht="16" thickBot="1">
      <c r="B40" s="1" t="s">
        <v>240</v>
      </c>
      <c r="C40" s="2" t="s">
        <v>254</v>
      </c>
      <c r="D40" s="2" t="s">
        <v>254</v>
      </c>
      <c r="E40" s="2" t="s">
        <v>254</v>
      </c>
      <c r="F40" s="2" t="s">
        <v>254</v>
      </c>
      <c r="G40" s="2" t="s">
        <v>59</v>
      </c>
      <c r="H40" s="2" t="s">
        <v>94</v>
      </c>
    </row>
    <row r="41" spans="2:8" ht="16" thickBot="1">
      <c r="B41" s="1" t="s">
        <v>241</v>
      </c>
      <c r="C41" s="2" t="s">
        <v>255</v>
      </c>
      <c r="D41" s="2" t="s">
        <v>255</v>
      </c>
      <c r="E41" s="2" t="s">
        <v>255</v>
      </c>
      <c r="F41" s="2" t="s">
        <v>255</v>
      </c>
      <c r="G41" s="2" t="s">
        <v>6</v>
      </c>
      <c r="H41" s="2" t="s">
        <v>94</v>
      </c>
    </row>
    <row r="42" spans="2:8" ht="16" thickBot="1">
      <c r="B42" s="1" t="s">
        <v>242</v>
      </c>
      <c r="C42" s="2" t="s">
        <v>256</v>
      </c>
      <c r="D42" s="2" t="s">
        <v>256</v>
      </c>
      <c r="E42" s="2" t="s">
        <v>256</v>
      </c>
      <c r="F42" s="2" t="s">
        <v>256</v>
      </c>
      <c r="G42" s="2" t="s">
        <v>16</v>
      </c>
      <c r="H42" s="2" t="s">
        <v>94</v>
      </c>
    </row>
    <row r="43" spans="2:8" ht="16" thickBot="1">
      <c r="B43" s="1" t="s">
        <v>11</v>
      </c>
      <c r="C43" s="2" t="s">
        <v>186</v>
      </c>
      <c r="D43" s="2" t="s">
        <v>186</v>
      </c>
      <c r="E43" s="2" t="s">
        <v>186</v>
      </c>
      <c r="F43" s="2" t="s">
        <v>186</v>
      </c>
      <c r="G43" s="2"/>
      <c r="H43" s="2">
        <v>3</v>
      </c>
    </row>
    <row r="44" spans="2:8" ht="16" thickBot="1">
      <c r="B44" s="3" t="s">
        <v>22</v>
      </c>
      <c r="C44" s="4"/>
      <c r="D44" s="4"/>
      <c r="E44" s="4"/>
      <c r="F44" s="4"/>
      <c r="G44" s="4"/>
      <c r="H44" s="5"/>
    </row>
    <row r="45" spans="2:8" ht="16" thickBot="1">
      <c r="B45" s="1" t="s">
        <v>244</v>
      </c>
      <c r="C45" s="2" t="s">
        <v>257</v>
      </c>
      <c r="D45" s="2" t="s">
        <v>257</v>
      </c>
      <c r="E45" s="2" t="s">
        <v>257</v>
      </c>
      <c r="F45" s="2" t="s">
        <v>257</v>
      </c>
      <c r="G45" s="2" t="s">
        <v>76</v>
      </c>
      <c r="H45" s="2" t="s">
        <v>94</v>
      </c>
    </row>
    <row r="46" spans="2:8" ht="16" thickBot="1">
      <c r="B46" s="1" t="s">
        <v>246</v>
      </c>
      <c r="C46" s="2" t="s">
        <v>258</v>
      </c>
      <c r="D46" s="2" t="s">
        <v>258</v>
      </c>
      <c r="E46" s="2" t="s">
        <v>258</v>
      </c>
      <c r="F46" s="2" t="s">
        <v>258</v>
      </c>
      <c r="G46" s="2"/>
      <c r="H46" s="2">
        <v>4</v>
      </c>
    </row>
    <row r="50" spans="2:8" ht="16" thickBot="1"/>
    <row r="51" spans="2:8" ht="16" thickBot="1">
      <c r="B51" s="24" t="s">
        <v>0</v>
      </c>
      <c r="C51" s="1262" t="s">
        <v>259</v>
      </c>
      <c r="D51" s="1263"/>
      <c r="E51" s="1263"/>
      <c r="F51" s="1263"/>
      <c r="G51" s="1263"/>
      <c r="H51" s="1264"/>
    </row>
    <row r="52" spans="2:8" ht="16" thickBot="1">
      <c r="B52" s="1"/>
      <c r="C52" s="2">
        <v>2015</v>
      </c>
      <c r="D52" s="2">
        <v>2020</v>
      </c>
      <c r="E52" s="2">
        <v>2030</v>
      </c>
      <c r="F52" s="2">
        <v>2050</v>
      </c>
      <c r="G52" s="2" t="s">
        <v>2</v>
      </c>
      <c r="H52" s="2" t="s">
        <v>3</v>
      </c>
    </row>
    <row r="53" spans="2:8" ht="16" thickBot="1">
      <c r="B53" s="3" t="s">
        <v>4</v>
      </c>
      <c r="C53" s="4"/>
      <c r="D53" s="4"/>
      <c r="E53" s="4"/>
      <c r="F53" s="4"/>
      <c r="G53" s="4"/>
      <c r="H53" s="5"/>
    </row>
    <row r="54" spans="2:8" ht="16" thickBot="1">
      <c r="B54" s="1" t="s">
        <v>239</v>
      </c>
      <c r="C54" s="2" t="s">
        <v>253</v>
      </c>
      <c r="D54" s="2" t="s">
        <v>253</v>
      </c>
      <c r="E54" s="2" t="s">
        <v>253</v>
      </c>
      <c r="F54" s="2" t="s">
        <v>253</v>
      </c>
      <c r="G54" s="2" t="s">
        <v>6</v>
      </c>
      <c r="H54" s="2" t="s">
        <v>94</v>
      </c>
    </row>
    <row r="55" spans="2:8" ht="16" thickBot="1">
      <c r="B55" s="1" t="s">
        <v>240</v>
      </c>
      <c r="C55" s="2" t="s">
        <v>260</v>
      </c>
      <c r="D55" s="2" t="s">
        <v>260</v>
      </c>
      <c r="E55" s="2" t="s">
        <v>260</v>
      </c>
      <c r="F55" s="2" t="s">
        <v>260</v>
      </c>
      <c r="G55" s="2" t="s">
        <v>59</v>
      </c>
      <c r="H55" s="2" t="s">
        <v>94</v>
      </c>
    </row>
    <row r="56" spans="2:8" ht="16" thickBot="1">
      <c r="B56" s="1" t="s">
        <v>241</v>
      </c>
      <c r="C56" s="2" t="s">
        <v>261</v>
      </c>
      <c r="D56" s="2" t="s">
        <v>261</v>
      </c>
      <c r="E56" s="2" t="s">
        <v>261</v>
      </c>
      <c r="F56" s="2" t="s">
        <v>261</v>
      </c>
      <c r="G56" s="2" t="s">
        <v>6</v>
      </c>
      <c r="H56" s="2" t="s">
        <v>94</v>
      </c>
    </row>
    <row r="57" spans="2:8" ht="16" thickBot="1">
      <c r="B57" s="1" t="s">
        <v>242</v>
      </c>
      <c r="C57" s="19" t="s">
        <v>256</v>
      </c>
      <c r="D57" s="34" t="s">
        <v>256</v>
      </c>
      <c r="E57" s="34" t="s">
        <v>256</v>
      </c>
      <c r="F57" s="34" t="s">
        <v>256</v>
      </c>
      <c r="G57" s="2" t="s">
        <v>16</v>
      </c>
      <c r="H57" s="2">
        <v>1</v>
      </c>
    </row>
    <row r="58" spans="2:8" ht="16" thickBot="1">
      <c r="B58" s="1" t="s">
        <v>11</v>
      </c>
      <c r="C58" s="2" t="s">
        <v>186</v>
      </c>
      <c r="D58" s="2" t="s">
        <v>186</v>
      </c>
      <c r="E58" s="2" t="s">
        <v>186</v>
      </c>
      <c r="F58" s="2" t="s">
        <v>186</v>
      </c>
      <c r="G58" s="2"/>
      <c r="H58" s="2">
        <v>3</v>
      </c>
    </row>
    <row r="59" spans="2:8" ht="16" thickBot="1">
      <c r="B59" s="3" t="s">
        <v>22</v>
      </c>
      <c r="C59" s="4"/>
      <c r="D59" s="4"/>
      <c r="E59" s="4"/>
      <c r="F59" s="4"/>
      <c r="G59" s="4"/>
      <c r="H59" s="5"/>
    </row>
    <row r="60" spans="2:8" ht="16" thickBot="1">
      <c r="B60" s="1" t="s">
        <v>244</v>
      </c>
      <c r="C60" s="2" t="s">
        <v>262</v>
      </c>
      <c r="D60" s="2" t="s">
        <v>262</v>
      </c>
      <c r="E60" s="2" t="s">
        <v>262</v>
      </c>
      <c r="F60" s="2" t="s">
        <v>262</v>
      </c>
      <c r="G60" s="2" t="s">
        <v>76</v>
      </c>
      <c r="H60" s="2" t="s">
        <v>94</v>
      </c>
    </row>
    <row r="61" spans="2:8" ht="16"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workbookViewId="0">
      <selection activeCell="D21" sqref="D21"/>
    </sheetView>
  </sheetViews>
  <sheetFormatPr baseColWidth="10" defaultColWidth="8.83203125" defaultRowHeight="15"/>
  <cols>
    <col min="2" max="2" width="36.83203125" customWidth="1"/>
  </cols>
  <sheetData>
    <row r="3" spans="2:8">
      <c r="B3" s="8" t="s">
        <v>324</v>
      </c>
    </row>
    <row r="5" spans="2:8" ht="16" thickBot="1"/>
    <row r="6" spans="2:8" ht="16" thickBot="1">
      <c r="B6" s="24" t="s">
        <v>0</v>
      </c>
      <c r="C6" s="1262" t="s">
        <v>264</v>
      </c>
      <c r="D6" s="1263"/>
      <c r="E6" s="1263"/>
      <c r="F6" s="1263"/>
      <c r="G6" s="1263"/>
      <c r="H6" s="1264"/>
    </row>
    <row r="7" spans="2:8" ht="16" thickBot="1">
      <c r="B7" s="1"/>
      <c r="C7" s="2">
        <v>2015</v>
      </c>
      <c r="D7" s="2">
        <v>2020</v>
      </c>
      <c r="E7" s="2">
        <v>2030</v>
      </c>
      <c r="F7" s="2">
        <v>2050</v>
      </c>
      <c r="G7" s="2" t="s">
        <v>2</v>
      </c>
      <c r="H7" s="2" t="s">
        <v>3</v>
      </c>
    </row>
    <row r="8" spans="2:8" ht="16" thickBot="1">
      <c r="B8" s="3" t="s">
        <v>4</v>
      </c>
      <c r="C8" s="4"/>
      <c r="D8" s="4"/>
      <c r="E8" s="4"/>
      <c r="F8" s="4"/>
      <c r="G8" s="4"/>
      <c r="H8" s="5"/>
    </row>
    <row r="9" spans="2:8" ht="16" thickBot="1">
      <c r="B9" s="1" t="s">
        <v>265</v>
      </c>
      <c r="C9" s="2" t="s">
        <v>266</v>
      </c>
      <c r="D9" s="2" t="s">
        <v>266</v>
      </c>
      <c r="E9" s="2" t="s">
        <v>266</v>
      </c>
      <c r="F9" s="2" t="s">
        <v>266</v>
      </c>
      <c r="G9" s="2"/>
      <c r="H9" s="2"/>
    </row>
    <row r="10" spans="2:8" ht="16" thickBot="1">
      <c r="B10" s="1" t="s">
        <v>267</v>
      </c>
      <c r="C10" s="2" t="s">
        <v>268</v>
      </c>
      <c r="D10" s="2" t="s">
        <v>268</v>
      </c>
      <c r="E10" s="2" t="s">
        <v>268</v>
      </c>
      <c r="F10" s="2" t="s">
        <v>268</v>
      </c>
      <c r="G10" s="2"/>
      <c r="H10" s="2"/>
    </row>
    <row r="11" spans="2:8" ht="16" thickBot="1">
      <c r="B11" s="1" t="s">
        <v>269</v>
      </c>
      <c r="C11" s="2" t="s">
        <v>270</v>
      </c>
      <c r="D11" s="2" t="s">
        <v>270</v>
      </c>
      <c r="E11" s="2" t="s">
        <v>270</v>
      </c>
      <c r="F11" s="2" t="s">
        <v>270</v>
      </c>
      <c r="G11" s="2"/>
      <c r="H11" s="2"/>
    </row>
    <row r="12" spans="2:8" ht="16" thickBot="1">
      <c r="B12" s="1" t="s">
        <v>271</v>
      </c>
      <c r="C12" s="2" t="s">
        <v>139</v>
      </c>
      <c r="D12" s="2" t="s">
        <v>139</v>
      </c>
      <c r="E12" s="2" t="s">
        <v>139</v>
      </c>
      <c r="F12" s="2" t="s">
        <v>139</v>
      </c>
      <c r="G12" s="2"/>
      <c r="H12" s="2"/>
    </row>
    <row r="13" spans="2:8" ht="28" thickBot="1">
      <c r="B13" s="1" t="s">
        <v>272</v>
      </c>
      <c r="C13" s="2">
        <v>7</v>
      </c>
      <c r="D13" s="2">
        <v>7</v>
      </c>
      <c r="E13" s="2">
        <v>6</v>
      </c>
      <c r="F13" s="2">
        <v>6</v>
      </c>
      <c r="G13" s="2" t="s">
        <v>59</v>
      </c>
      <c r="H13" s="2"/>
    </row>
    <row r="14" spans="2:8" ht="16" thickBot="1">
      <c r="B14" s="1" t="s">
        <v>11</v>
      </c>
      <c r="C14" s="2" t="s">
        <v>144</v>
      </c>
      <c r="D14" s="2" t="s">
        <v>144</v>
      </c>
      <c r="E14" s="2" t="s">
        <v>144</v>
      </c>
      <c r="F14" s="2" t="s">
        <v>144</v>
      </c>
      <c r="G14" s="2"/>
      <c r="H14" s="2"/>
    </row>
    <row r="15" spans="2:8" ht="16" thickBot="1">
      <c r="B15" s="1" t="s">
        <v>273</v>
      </c>
      <c r="C15" s="34" t="s">
        <v>307</v>
      </c>
      <c r="D15" s="34" t="s">
        <v>307</v>
      </c>
      <c r="E15" s="34" t="s">
        <v>307</v>
      </c>
      <c r="F15" s="34" t="s">
        <v>307</v>
      </c>
      <c r="G15" s="2"/>
      <c r="H15" s="2"/>
    </row>
    <row r="16" spans="2:8" ht="16" thickBot="1">
      <c r="B16" s="3" t="s">
        <v>22</v>
      </c>
      <c r="C16" s="4"/>
      <c r="D16" s="4"/>
      <c r="E16" s="4"/>
      <c r="F16" s="4"/>
      <c r="G16" s="4"/>
      <c r="H16" s="5"/>
    </row>
    <row r="17" spans="2:8" ht="16" thickBot="1">
      <c r="B17" s="1" t="s">
        <v>274</v>
      </c>
      <c r="C17" s="2" t="s">
        <v>275</v>
      </c>
      <c r="D17" s="2" t="s">
        <v>275</v>
      </c>
      <c r="E17" s="2" t="s">
        <v>275</v>
      </c>
      <c r="F17" s="2" t="s">
        <v>275</v>
      </c>
      <c r="G17" s="2" t="s">
        <v>6</v>
      </c>
      <c r="H17" s="2">
        <v>1</v>
      </c>
    </row>
    <row r="18" spans="2:8" ht="16"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topLeftCell="B21" zoomScale="85" zoomScaleNormal="85" workbookViewId="0">
      <selection activeCell="N26" sqref="N26"/>
    </sheetView>
  </sheetViews>
  <sheetFormatPr baseColWidth="10" defaultColWidth="8.83203125" defaultRowHeight="15"/>
  <cols>
    <col min="1" max="1" width="44.83203125" customWidth="1"/>
    <col min="2" max="2" width="36.83203125" customWidth="1"/>
    <col min="15" max="15" width="10.5" bestFit="1" customWidth="1"/>
  </cols>
  <sheetData>
    <row r="3" spans="2:24">
      <c r="B3" s="8" t="s">
        <v>317</v>
      </c>
    </row>
    <row r="4" spans="2:24">
      <c r="E4" t="s">
        <v>334</v>
      </c>
      <c r="F4" s="36">
        <v>7.45</v>
      </c>
      <c r="G4" t="s">
        <v>328</v>
      </c>
    </row>
    <row r="5" spans="2:24" ht="16" thickBot="1"/>
    <row r="6" spans="2:24" ht="15.75" customHeight="1">
      <c r="B6" s="1257" t="s">
        <v>0</v>
      </c>
      <c r="C6" s="1259" t="s">
        <v>123</v>
      </c>
      <c r="D6" s="1260"/>
      <c r="E6" s="1260"/>
      <c r="F6" s="1260"/>
      <c r="G6" s="1260"/>
      <c r="H6" s="1261"/>
      <c r="J6" s="1259" t="str">
        <f>C6</f>
        <v>Solar heating system</v>
      </c>
      <c r="K6" s="1260"/>
      <c r="L6" s="1260"/>
      <c r="M6" s="1260"/>
      <c r="N6" s="1260"/>
      <c r="O6" s="1261"/>
    </row>
    <row r="7" spans="2:24" ht="15.75" customHeight="1" thickBot="1">
      <c r="B7" s="1258"/>
      <c r="C7" s="1159" t="s">
        <v>1</v>
      </c>
      <c r="D7" s="1160"/>
      <c r="E7" s="1160"/>
      <c r="F7" s="1160"/>
      <c r="G7" s="1160"/>
      <c r="H7" s="1161"/>
      <c r="J7" s="1159" t="str">
        <f>C7</f>
        <v>One-family house, existing building</v>
      </c>
      <c r="K7" s="1160"/>
      <c r="L7" s="1160"/>
      <c r="M7" s="1160"/>
      <c r="N7" s="1160"/>
      <c r="O7" s="1161"/>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6"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8"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6"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6"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6" thickBot="1">
      <c r="B16" s="3" t="s">
        <v>12</v>
      </c>
      <c r="C16" s="4"/>
      <c r="D16" s="4"/>
      <c r="E16" s="4"/>
      <c r="F16" s="4"/>
      <c r="G16" s="4"/>
      <c r="H16" s="5"/>
    </row>
    <row r="17" spans="1:11" ht="16" thickBot="1">
      <c r="B17" s="1" t="s">
        <v>13</v>
      </c>
      <c r="C17" s="2">
        <v>0</v>
      </c>
      <c r="D17" s="2">
        <v>0</v>
      </c>
      <c r="E17" s="2">
        <v>0</v>
      </c>
      <c r="F17" s="2">
        <v>0</v>
      </c>
      <c r="G17" s="2" t="s">
        <v>33</v>
      </c>
      <c r="H17" s="2"/>
    </row>
    <row r="18" spans="1:11" ht="16" thickBot="1">
      <c r="B18" s="1" t="s">
        <v>15</v>
      </c>
      <c r="C18" s="2">
        <v>0</v>
      </c>
      <c r="D18" s="2">
        <v>0</v>
      </c>
      <c r="E18" s="2">
        <v>0</v>
      </c>
      <c r="F18" s="2">
        <v>0</v>
      </c>
      <c r="G18" s="2"/>
      <c r="H18" s="2"/>
    </row>
    <row r="19" spans="1:11" ht="16" thickBot="1">
      <c r="B19" s="1" t="s">
        <v>17</v>
      </c>
      <c r="C19" s="2">
        <v>0</v>
      </c>
      <c r="D19" s="2">
        <v>0</v>
      </c>
      <c r="E19" s="2">
        <v>0</v>
      </c>
      <c r="F19" s="2">
        <v>0</v>
      </c>
      <c r="G19" s="2"/>
      <c r="H19" s="2"/>
    </row>
    <row r="20" spans="1:11" ht="16" thickBot="1">
      <c r="B20" s="1" t="s">
        <v>18</v>
      </c>
      <c r="C20" s="2">
        <v>0</v>
      </c>
      <c r="D20" s="2">
        <v>0</v>
      </c>
      <c r="E20" s="2">
        <v>0</v>
      </c>
      <c r="F20" s="2">
        <v>0</v>
      </c>
      <c r="G20" s="2"/>
      <c r="H20" s="2"/>
    </row>
    <row r="21" spans="1:11" ht="16" thickBot="1">
      <c r="B21" s="1" t="s">
        <v>19</v>
      </c>
      <c r="C21" s="2">
        <v>0</v>
      </c>
      <c r="D21" s="2">
        <v>0</v>
      </c>
      <c r="E21" s="2">
        <v>0</v>
      </c>
      <c r="F21" s="2">
        <v>0</v>
      </c>
      <c r="G21" s="2"/>
      <c r="H21" s="2"/>
    </row>
    <row r="22" spans="1:11" ht="16" thickBot="1">
      <c r="B22" s="3" t="s">
        <v>22</v>
      </c>
      <c r="C22" s="4"/>
      <c r="D22" s="4"/>
      <c r="E22" s="4"/>
      <c r="F22" s="4"/>
      <c r="G22" s="4"/>
      <c r="H22" s="5"/>
    </row>
    <row r="23" spans="1:11" ht="16" thickBot="1">
      <c r="B23" s="1" t="s">
        <v>127</v>
      </c>
      <c r="C23" s="2">
        <v>0.9</v>
      </c>
      <c r="D23" s="2">
        <v>0.85</v>
      </c>
      <c r="E23" s="2">
        <v>0.8</v>
      </c>
      <c r="F23" s="2">
        <v>0.6</v>
      </c>
      <c r="G23" s="2" t="s">
        <v>20</v>
      </c>
      <c r="H23" s="2" t="s">
        <v>128</v>
      </c>
    </row>
    <row r="24" spans="1:11">
      <c r="A24" s="36"/>
      <c r="B24" s="6" t="s">
        <v>24</v>
      </c>
      <c r="C24" s="898">
        <v>4.0268456375838921</v>
      </c>
      <c r="D24" s="898">
        <v>3.624161073825503</v>
      </c>
      <c r="E24" s="898">
        <v>3.3557046979865772</v>
      </c>
      <c r="F24" s="898">
        <v>2.6845637583892619</v>
      </c>
      <c r="G24" s="7"/>
      <c r="H24" s="7" t="s">
        <v>128</v>
      </c>
    </row>
    <row r="25" spans="1:11">
      <c r="A25" s="36"/>
      <c r="B25" s="6" t="s">
        <v>26</v>
      </c>
      <c r="C25" s="898">
        <v>65</v>
      </c>
      <c r="D25" s="898">
        <v>65</v>
      </c>
      <c r="E25" s="898">
        <v>65</v>
      </c>
      <c r="F25" s="898">
        <v>65</v>
      </c>
      <c r="G25" s="7"/>
      <c r="H25" s="7" t="s">
        <v>129</v>
      </c>
    </row>
    <row r="26" spans="1:11" ht="16" thickBot="1">
      <c r="A26" s="36"/>
      <c r="B26" s="1" t="s">
        <v>28</v>
      </c>
      <c r="C26" s="899">
        <v>35</v>
      </c>
      <c r="D26" s="899">
        <v>35</v>
      </c>
      <c r="E26" s="899">
        <v>35</v>
      </c>
      <c r="F26" s="899">
        <v>35</v>
      </c>
      <c r="G26" s="2"/>
      <c r="H26" s="2">
        <v>8</v>
      </c>
    </row>
    <row r="27" spans="1:11" ht="28" thickBot="1">
      <c r="A27" s="36"/>
      <c r="B27" s="1" t="s">
        <v>30</v>
      </c>
      <c r="C27" s="899">
        <v>0</v>
      </c>
      <c r="D27" s="899">
        <v>0</v>
      </c>
      <c r="E27" s="899">
        <v>0</v>
      </c>
      <c r="F27" s="899">
        <v>0</v>
      </c>
      <c r="G27" s="2"/>
      <c r="H27" s="2"/>
    </row>
    <row r="28" spans="1:11" ht="16" thickBot="1">
      <c r="A28" s="36"/>
      <c r="B28" s="1" t="s">
        <v>64</v>
      </c>
      <c r="C28" s="899">
        <v>69.45</v>
      </c>
      <c r="D28" s="899">
        <v>68.17492518731251</v>
      </c>
      <c r="E28" s="899">
        <v>68.784138129099688</v>
      </c>
      <c r="F28" s="899">
        <v>63.215316622234781</v>
      </c>
      <c r="G28" s="2" t="s">
        <v>76</v>
      </c>
      <c r="H28" s="2"/>
      <c r="J28" t="s">
        <v>360</v>
      </c>
      <c r="K28" t="s">
        <v>361</v>
      </c>
    </row>
    <row r="29" spans="1:11" ht="16"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6" thickBot="1">
      <c r="B33" s="36" t="s">
        <v>356</v>
      </c>
      <c r="C33" s="60">
        <f>C29*$F$4/(4*3.6*C13/100)</f>
        <v>0</v>
      </c>
      <c r="D33" s="60">
        <f t="shared" ref="D33:F33" si="1">D29*$F$4/(4*3.6*D13/100)</f>
        <v>0</v>
      </c>
      <c r="E33" s="60">
        <f t="shared" si="1"/>
        <v>0</v>
      </c>
      <c r="F33" s="60">
        <f t="shared" si="1"/>
        <v>0</v>
      </c>
      <c r="G33" s="83" t="s">
        <v>422</v>
      </c>
      <c r="H33" s="61"/>
    </row>
    <row r="34" spans="2:24" ht="15.75" customHeight="1">
      <c r="B34" s="1257" t="s">
        <v>0</v>
      </c>
      <c r="C34" s="1259" t="s">
        <v>123</v>
      </c>
      <c r="D34" s="1260"/>
      <c r="E34" s="1260"/>
      <c r="F34" s="1260"/>
      <c r="G34" s="1260"/>
      <c r="H34" s="1261"/>
      <c r="J34" s="1259" t="str">
        <f>C34</f>
        <v>Solar heating system</v>
      </c>
      <c r="K34" s="1260"/>
      <c r="L34" s="1260"/>
      <c r="M34" s="1260"/>
      <c r="N34" s="1260"/>
      <c r="O34" s="1261"/>
    </row>
    <row r="35" spans="2:24" ht="16" thickBot="1">
      <c r="B35" s="1258"/>
      <c r="C35" s="1159" t="s">
        <v>32</v>
      </c>
      <c r="D35" s="1160"/>
      <c r="E35" s="1160"/>
      <c r="F35" s="1160"/>
      <c r="G35" s="1160"/>
      <c r="H35" s="1161"/>
      <c r="J35" s="1159" t="str">
        <f>C35</f>
        <v>Apartment complex, existing building</v>
      </c>
      <c r="K35" s="1160"/>
      <c r="L35" s="1160"/>
      <c r="M35" s="1160"/>
      <c r="N35" s="1160"/>
      <c r="O35" s="1161"/>
    </row>
    <row r="36" spans="2:24" ht="16" thickBot="1">
      <c r="B36" s="1"/>
      <c r="C36" s="2">
        <v>2015</v>
      </c>
      <c r="D36" s="2">
        <v>2020</v>
      </c>
      <c r="E36" s="2">
        <v>2030</v>
      </c>
      <c r="F36" s="2">
        <v>2050</v>
      </c>
      <c r="G36" s="2" t="s">
        <v>2</v>
      </c>
      <c r="H36" s="2" t="s">
        <v>3</v>
      </c>
      <c r="J36" s="53" t="s">
        <v>357</v>
      </c>
    </row>
    <row r="37" spans="2:24" ht="31"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6"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6"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8"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8"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6"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6"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6" thickBot="1">
      <c r="B44" s="127" t="s">
        <v>12</v>
      </c>
      <c r="C44" s="128"/>
      <c r="D44" s="128"/>
      <c r="E44" s="128"/>
      <c r="F44" s="128"/>
      <c r="G44" s="128"/>
      <c r="H44" s="129"/>
      <c r="I44" s="224"/>
      <c r="J44" s="224"/>
      <c r="K44" s="224"/>
      <c r="L44" s="224"/>
      <c r="M44" s="224"/>
      <c r="N44" s="224"/>
      <c r="O44" s="224"/>
      <c r="P44" s="224"/>
      <c r="Q44" s="224"/>
      <c r="R44" s="224"/>
      <c r="S44" s="224"/>
      <c r="T44" s="224"/>
      <c r="U44" s="224"/>
      <c r="V44" s="224"/>
      <c r="W44" s="224"/>
      <c r="X44" s="224"/>
    </row>
    <row r="45" spans="2:24" ht="16" thickBot="1">
      <c r="B45" s="125" t="s">
        <v>13</v>
      </c>
      <c r="C45" s="306">
        <v>0</v>
      </c>
      <c r="D45" s="306">
        <v>0</v>
      </c>
      <c r="E45" s="306">
        <v>0</v>
      </c>
      <c r="F45" s="306">
        <v>0</v>
      </c>
      <c r="G45" s="306" t="s">
        <v>33</v>
      </c>
      <c r="H45" s="306"/>
      <c r="I45" s="224"/>
      <c r="J45" s="224"/>
      <c r="K45" s="224"/>
      <c r="L45" s="224"/>
      <c r="M45" s="224"/>
      <c r="N45" s="224"/>
      <c r="O45" s="224"/>
      <c r="P45" s="224"/>
      <c r="Q45" s="224"/>
      <c r="R45" s="224"/>
      <c r="S45" s="224"/>
      <c r="T45" s="224"/>
      <c r="U45" s="224"/>
      <c r="V45" s="224"/>
      <c r="W45" s="224"/>
      <c r="X45" s="224"/>
    </row>
    <row r="46" spans="2:24" ht="16" thickBot="1">
      <c r="B46" s="125" t="s">
        <v>15</v>
      </c>
      <c r="C46" s="306">
        <v>0</v>
      </c>
      <c r="D46" s="306">
        <v>0</v>
      </c>
      <c r="E46" s="306">
        <v>0</v>
      </c>
      <c r="F46" s="306">
        <v>0</v>
      </c>
      <c r="G46" s="306"/>
      <c r="H46" s="306"/>
      <c r="I46" s="224"/>
      <c r="J46" s="224"/>
      <c r="K46" s="224"/>
      <c r="L46" s="224"/>
      <c r="M46" s="224"/>
      <c r="N46" s="224"/>
      <c r="O46" s="224"/>
      <c r="P46" s="224"/>
      <c r="Q46" s="224"/>
      <c r="R46" s="224"/>
      <c r="S46" s="224"/>
      <c r="T46" s="224"/>
      <c r="U46" s="224"/>
      <c r="V46" s="224"/>
      <c r="W46" s="224"/>
      <c r="X46" s="224"/>
    </row>
    <row r="47" spans="2:24" ht="16" thickBot="1">
      <c r="B47" s="125" t="s">
        <v>17</v>
      </c>
      <c r="C47" s="306">
        <v>0</v>
      </c>
      <c r="D47" s="306">
        <v>0</v>
      </c>
      <c r="E47" s="306">
        <v>0</v>
      </c>
      <c r="F47" s="306">
        <v>0</v>
      </c>
      <c r="G47" s="306"/>
      <c r="H47" s="306"/>
      <c r="I47" s="224"/>
      <c r="J47" s="224"/>
      <c r="K47" s="224"/>
      <c r="L47" s="224"/>
      <c r="M47" s="224"/>
      <c r="N47" s="224"/>
      <c r="O47" s="224"/>
      <c r="P47" s="224"/>
      <c r="Q47" s="224"/>
      <c r="R47" s="224"/>
      <c r="S47" s="224"/>
      <c r="T47" s="224"/>
      <c r="U47" s="224"/>
      <c r="V47" s="224"/>
      <c r="W47" s="224"/>
      <c r="X47" s="224"/>
    </row>
    <row r="48" spans="2:24" ht="17" thickTop="1" thickBot="1">
      <c r="B48" s="125" t="s">
        <v>18</v>
      </c>
      <c r="C48" s="306">
        <v>0</v>
      </c>
      <c r="D48" s="306">
        <v>0</v>
      </c>
      <c r="E48" s="306">
        <v>0</v>
      </c>
      <c r="F48" s="306">
        <v>0</v>
      </c>
      <c r="G48" s="306"/>
      <c r="H48" s="306"/>
      <c r="I48" s="224"/>
      <c r="J48" s="308">
        <v>95</v>
      </c>
      <c r="K48" s="309" t="s">
        <v>637</v>
      </c>
      <c r="L48" s="310" t="s">
        <v>638</v>
      </c>
      <c r="M48" s="310"/>
      <c r="N48" s="310"/>
      <c r="O48" s="311"/>
      <c r="P48" s="224"/>
      <c r="Q48" s="308">
        <v>95</v>
      </c>
      <c r="R48" s="309" t="s">
        <v>637</v>
      </c>
      <c r="S48" s="310" t="s">
        <v>638</v>
      </c>
      <c r="T48" s="310"/>
      <c r="U48" s="310"/>
      <c r="V48" s="311"/>
      <c r="W48" s="224"/>
      <c r="X48" s="224"/>
    </row>
    <row r="49" spans="1:22" ht="16" thickBot="1">
      <c r="B49" s="125" t="s">
        <v>19</v>
      </c>
      <c r="C49" s="306">
        <v>0</v>
      </c>
      <c r="D49" s="306">
        <v>0</v>
      </c>
      <c r="E49" s="306">
        <v>0</v>
      </c>
      <c r="F49" s="306">
        <v>0</v>
      </c>
      <c r="G49" s="306"/>
      <c r="H49" s="306"/>
      <c r="I49" s="224"/>
      <c r="J49" s="312">
        <v>0.1</v>
      </c>
      <c r="K49" s="272" t="s">
        <v>639</v>
      </c>
      <c r="L49" s="55"/>
      <c r="M49" s="55"/>
      <c r="N49" s="55"/>
      <c r="O49" s="313"/>
      <c r="Q49" s="312">
        <v>0.12</v>
      </c>
      <c r="R49" s="272" t="s">
        <v>639</v>
      </c>
      <c r="S49" s="55"/>
      <c r="T49" s="55"/>
      <c r="U49" s="55"/>
      <c r="V49" s="313"/>
    </row>
    <row r="50" spans="1:22" ht="16" thickBot="1">
      <c r="B50" s="127" t="s">
        <v>22</v>
      </c>
      <c r="C50" s="128"/>
      <c r="D50" s="128"/>
      <c r="E50" s="128"/>
      <c r="F50" s="128"/>
      <c r="G50" s="128"/>
      <c r="H50" s="129"/>
      <c r="I50" s="224"/>
      <c r="J50" s="314">
        <v>25</v>
      </c>
      <c r="K50" s="272" t="s">
        <v>637</v>
      </c>
      <c r="L50" s="55" t="s">
        <v>640</v>
      </c>
      <c r="M50" s="55"/>
      <c r="N50" s="55"/>
      <c r="O50" s="313"/>
      <c r="Q50" s="314">
        <v>25</v>
      </c>
      <c r="R50" s="272" t="s">
        <v>637</v>
      </c>
      <c r="S50" s="55" t="s">
        <v>640</v>
      </c>
      <c r="T50" s="55"/>
      <c r="U50" s="55"/>
      <c r="V50" s="313"/>
    </row>
    <row r="51" spans="1:22" ht="16" thickBot="1">
      <c r="A51" s="64"/>
      <c r="B51" s="125" t="s">
        <v>127</v>
      </c>
      <c r="C51" s="306">
        <v>0.5</v>
      </c>
      <c r="D51" s="306">
        <v>0.5</v>
      </c>
      <c r="E51" s="306">
        <v>0.5</v>
      </c>
      <c r="F51" s="306">
        <v>0.5</v>
      </c>
      <c r="G51" s="306" t="s">
        <v>20</v>
      </c>
      <c r="H51" s="306"/>
      <c r="I51" s="224"/>
      <c r="J51" s="312">
        <v>0.65</v>
      </c>
      <c r="K51" s="315" t="s">
        <v>641</v>
      </c>
      <c r="L51" s="55"/>
      <c r="M51" s="55"/>
      <c r="N51" s="55"/>
      <c r="O51" s="313"/>
      <c r="Q51" s="312">
        <v>0.7</v>
      </c>
      <c r="R51" s="315" t="s">
        <v>641</v>
      </c>
      <c r="S51" s="55"/>
      <c r="T51" s="55"/>
      <c r="U51" s="55"/>
      <c r="V51" s="313"/>
    </row>
    <row r="52" spans="1:22">
      <c r="A52" s="36"/>
      <c r="B52" s="130" t="s">
        <v>24</v>
      </c>
      <c r="C52" s="896">
        <v>85.90604026845638</v>
      </c>
      <c r="D52" s="896">
        <v>80.53691275167786</v>
      </c>
      <c r="E52" s="896">
        <v>73.825503355704697</v>
      </c>
      <c r="F52" s="896">
        <v>67.114093959731548</v>
      </c>
      <c r="G52" s="131"/>
      <c r="H52" s="131"/>
      <c r="I52" s="224"/>
      <c r="J52" s="314">
        <f>J48*J49+J50*J51</f>
        <v>25.75</v>
      </c>
      <c r="K52" s="315" t="s">
        <v>637</v>
      </c>
      <c r="L52" s="55" t="s">
        <v>642</v>
      </c>
      <c r="M52" s="55"/>
      <c r="N52" s="55"/>
      <c r="O52" s="313"/>
      <c r="Q52" s="314">
        <f>Q48*Q49+Q50*Q51</f>
        <v>28.9</v>
      </c>
      <c r="R52" s="315" t="s">
        <v>637</v>
      </c>
      <c r="S52" s="55" t="s">
        <v>642</v>
      </c>
      <c r="T52" s="55"/>
      <c r="U52" s="55"/>
      <c r="V52" s="313"/>
    </row>
    <row r="53" spans="1:22">
      <c r="A53" s="36"/>
      <c r="B53" s="130" t="s">
        <v>26</v>
      </c>
      <c r="C53" s="896">
        <v>65</v>
      </c>
      <c r="D53" s="896">
        <v>65</v>
      </c>
      <c r="E53" s="896">
        <v>65</v>
      </c>
      <c r="F53" s="896">
        <v>65</v>
      </c>
      <c r="G53" s="131"/>
      <c r="H53" s="131" t="s">
        <v>129</v>
      </c>
      <c r="I53" s="224"/>
      <c r="J53" s="316">
        <v>1500</v>
      </c>
      <c r="K53" s="315" t="s">
        <v>643</v>
      </c>
      <c r="L53" s="55" t="s">
        <v>645</v>
      </c>
      <c r="M53" s="55"/>
      <c r="N53" s="313"/>
      <c r="O53" s="313"/>
      <c r="Q53" s="316">
        <v>1500</v>
      </c>
      <c r="R53" s="315" t="s">
        <v>643</v>
      </c>
      <c r="S53" s="55" t="s">
        <v>645</v>
      </c>
      <c r="T53" s="55"/>
      <c r="U53" s="313"/>
      <c r="V53" s="313"/>
    </row>
    <row r="54" spans="1:22" ht="16" thickBot="1">
      <c r="A54" s="36"/>
      <c r="B54" s="125" t="s">
        <v>28</v>
      </c>
      <c r="C54" s="897">
        <v>35</v>
      </c>
      <c r="D54" s="897">
        <v>35</v>
      </c>
      <c r="E54" s="897">
        <v>35</v>
      </c>
      <c r="F54" s="897">
        <v>35</v>
      </c>
      <c r="G54" s="306"/>
      <c r="H54" s="306">
        <v>8</v>
      </c>
      <c r="I54" s="224"/>
      <c r="J54" s="317">
        <f>J52*J53</f>
        <v>38625</v>
      </c>
      <c r="K54" s="318" t="s">
        <v>360</v>
      </c>
      <c r="L54" s="55" t="s">
        <v>642</v>
      </c>
      <c r="M54" s="55"/>
      <c r="N54" s="313"/>
      <c r="O54" s="313"/>
      <c r="Q54" s="317">
        <f>Q52*Q53</f>
        <v>43350</v>
      </c>
      <c r="R54" s="318" t="s">
        <v>360</v>
      </c>
      <c r="S54" s="55" t="s">
        <v>642</v>
      </c>
      <c r="T54" s="55"/>
      <c r="U54" s="313"/>
      <c r="V54" s="313"/>
    </row>
    <row r="55" spans="1:22" ht="28" thickBot="1">
      <c r="A55" s="36"/>
      <c r="B55" s="125" t="s">
        <v>30</v>
      </c>
      <c r="C55" s="897">
        <v>0</v>
      </c>
      <c r="D55" s="897">
        <v>0</v>
      </c>
      <c r="E55" s="897">
        <v>0</v>
      </c>
      <c r="F55" s="897">
        <v>0</v>
      </c>
      <c r="G55" s="306"/>
      <c r="H55" s="306"/>
      <c r="I55" s="224"/>
      <c r="J55" s="319">
        <f>J54*3.6/1000</f>
        <v>139.05000000000001</v>
      </c>
      <c r="K55" s="320" t="s">
        <v>361</v>
      </c>
      <c r="L55" s="321" t="s">
        <v>642</v>
      </c>
      <c r="M55" s="321"/>
      <c r="N55" s="322"/>
      <c r="O55" s="322"/>
      <c r="Q55" s="319">
        <f>Q54*3.6/1000</f>
        <v>156.06</v>
      </c>
      <c r="R55" s="320" t="s">
        <v>361</v>
      </c>
      <c r="S55" s="321" t="s">
        <v>642</v>
      </c>
      <c r="T55" s="321"/>
      <c r="U55" s="322"/>
      <c r="V55" s="322"/>
    </row>
    <row r="56" spans="1:22" ht="16" thickBot="1">
      <c r="A56" s="36"/>
      <c r="B56" s="125" t="s">
        <v>64</v>
      </c>
      <c r="C56" s="897">
        <v>389</v>
      </c>
      <c r="D56" s="897">
        <v>388.249750624375</v>
      </c>
      <c r="E56" s="897">
        <v>437.5</v>
      </c>
      <c r="F56" s="897">
        <v>404</v>
      </c>
      <c r="G56" s="306" t="s">
        <v>76</v>
      </c>
      <c r="H56" s="306"/>
      <c r="I56" s="224"/>
      <c r="J56" s="224"/>
      <c r="K56" s="224"/>
      <c r="L56" s="224"/>
      <c r="M56" s="224"/>
      <c r="N56" s="224"/>
      <c r="O56" s="224"/>
    </row>
    <row r="57" spans="1:22">
      <c r="A57" s="36"/>
      <c r="B57" s="130" t="s">
        <v>130</v>
      </c>
      <c r="C57" s="131">
        <v>0</v>
      </c>
      <c r="D57" s="131">
        <v>0</v>
      </c>
      <c r="E57" s="131">
        <v>0</v>
      </c>
      <c r="F57" s="131">
        <v>0</v>
      </c>
      <c r="G57" s="131" t="s">
        <v>25</v>
      </c>
      <c r="H57" s="131"/>
      <c r="I57" s="224"/>
      <c r="J57" s="224"/>
      <c r="K57" s="224"/>
      <c r="L57" s="224"/>
      <c r="M57" s="224"/>
      <c r="N57" s="224"/>
      <c r="O57" s="224"/>
    </row>
    <row r="58" spans="1:22">
      <c r="B58" s="323" t="s">
        <v>353</v>
      </c>
      <c r="C58" s="324">
        <f>C59/C39</f>
        <v>4571.4285714285716</v>
      </c>
      <c r="D58" s="324">
        <f>D59/D39</f>
        <v>4285.7142857142862</v>
      </c>
      <c r="E58" s="324">
        <f>E59/E39</f>
        <v>3928.5714285714284</v>
      </c>
      <c r="F58" s="324">
        <f>F59/F39</f>
        <v>3571.428571428572</v>
      </c>
      <c r="G58" s="325" t="s">
        <v>332</v>
      </c>
      <c r="H58" s="326"/>
      <c r="I58" s="224"/>
      <c r="J58" s="224"/>
      <c r="K58" s="224"/>
      <c r="L58" s="224"/>
      <c r="M58" s="224"/>
      <c r="N58" s="224"/>
      <c r="O58" s="224"/>
    </row>
    <row r="59" spans="1:22">
      <c r="B59" s="327" t="s">
        <v>354</v>
      </c>
      <c r="C59" s="60">
        <f>C52*$F$4*1000</f>
        <v>640000</v>
      </c>
      <c r="D59" s="60">
        <f t="shared" ref="D59:F59" si="2">D52*$F$4*1000</f>
        <v>600000.00000000012</v>
      </c>
      <c r="E59" s="60">
        <f t="shared" si="2"/>
        <v>550000</v>
      </c>
      <c r="F59" s="60">
        <f t="shared" si="2"/>
        <v>500000.00000000006</v>
      </c>
      <c r="G59" s="70">
        <f>C39</f>
        <v>140</v>
      </c>
      <c r="H59" s="328" t="s">
        <v>330</v>
      </c>
      <c r="I59" s="224"/>
      <c r="J59" s="224"/>
      <c r="K59" s="224"/>
      <c r="L59" s="224"/>
      <c r="M59" s="224"/>
      <c r="N59" s="224"/>
      <c r="O59" s="224"/>
    </row>
    <row r="60" spans="1:22">
      <c r="B60" s="327" t="s">
        <v>355</v>
      </c>
      <c r="C60" s="60">
        <f>C56*$F$4/C39</f>
        <v>20.700357142857143</v>
      </c>
      <c r="D60" s="60">
        <f>D56*$F$4/D39</f>
        <v>20.660433158225668</v>
      </c>
      <c r="E60" s="60">
        <f>E56*$F$4/E39</f>
        <v>23.28125</v>
      </c>
      <c r="F60" s="60">
        <f>F56*$F$4/F39</f>
        <v>21.498571428571431</v>
      </c>
      <c r="G60" s="69" t="s">
        <v>331</v>
      </c>
      <c r="H60" s="328"/>
      <c r="I60" s="224"/>
      <c r="J60" s="224"/>
      <c r="K60" s="224"/>
      <c r="L60" s="224"/>
      <c r="M60" s="224"/>
      <c r="N60" s="224"/>
      <c r="O60" s="224"/>
    </row>
    <row r="61" spans="1:22" ht="16" thickBot="1">
      <c r="B61" s="329" t="s">
        <v>356</v>
      </c>
      <c r="C61" s="330">
        <f>C57*$F$4/($J$55)</f>
        <v>0</v>
      </c>
      <c r="D61" s="330">
        <f t="shared" ref="D61" si="3">D57*$F$4/($J$55)</f>
        <v>0</v>
      </c>
      <c r="E61" s="330">
        <f>E57*$F$4/$Q$55</f>
        <v>0</v>
      </c>
      <c r="F61" s="330">
        <f>F57*$F$4/$Q$55</f>
        <v>0</v>
      </c>
      <c r="G61" s="331" t="s">
        <v>423</v>
      </c>
      <c r="H61" s="332"/>
      <c r="I61" s="224"/>
      <c r="J61" s="224"/>
      <c r="K61" s="224"/>
      <c r="L61" s="224"/>
      <c r="M61" s="224"/>
      <c r="N61" s="224"/>
      <c r="O61" s="224"/>
    </row>
    <row r="62" spans="1:22" ht="15.75" customHeight="1">
      <c r="B62" s="1265" t="s">
        <v>0</v>
      </c>
      <c r="C62" s="1267" t="s">
        <v>123</v>
      </c>
      <c r="D62" s="1267"/>
      <c r="E62" s="1267"/>
      <c r="F62" s="1267"/>
      <c r="G62" s="1267"/>
      <c r="H62" s="1158"/>
      <c r="I62" s="224"/>
      <c r="J62" s="1259" t="str">
        <f>C62</f>
        <v>Solar heating system</v>
      </c>
      <c r="K62" s="1260"/>
      <c r="L62" s="1260"/>
      <c r="M62" s="1260"/>
      <c r="N62" s="1260"/>
      <c r="O62" s="1261"/>
    </row>
    <row r="63" spans="1:22" ht="15.75" customHeight="1" thickBot="1">
      <c r="B63" s="1266"/>
      <c r="C63" s="1160" t="s">
        <v>34</v>
      </c>
      <c r="D63" s="1160"/>
      <c r="E63" s="1160"/>
      <c r="F63" s="1160"/>
      <c r="G63" s="1160"/>
      <c r="H63" s="1161"/>
      <c r="I63" s="224"/>
      <c r="J63" s="1159" t="str">
        <f>C63</f>
        <v>One-family house, new building</v>
      </c>
      <c r="K63" s="1160"/>
      <c r="L63" s="1160"/>
      <c r="M63" s="1160"/>
      <c r="N63" s="1160"/>
      <c r="O63" s="1161"/>
    </row>
    <row r="64" spans="1:22" ht="15.75" customHeight="1" thickBot="1">
      <c r="B64" s="125"/>
      <c r="C64" s="306">
        <v>2015</v>
      </c>
      <c r="D64" s="306">
        <v>2020</v>
      </c>
      <c r="E64" s="306">
        <v>2030</v>
      </c>
      <c r="F64" s="306">
        <v>2050</v>
      </c>
      <c r="G64" s="306" t="s">
        <v>2</v>
      </c>
      <c r="H64" s="306" t="s">
        <v>3</v>
      </c>
      <c r="I64" s="224"/>
      <c r="J64" s="53" t="s">
        <v>357</v>
      </c>
      <c r="K64" s="224"/>
      <c r="L64" s="224"/>
      <c r="M64" s="224"/>
      <c r="N64" s="224"/>
      <c r="O64" s="224"/>
    </row>
    <row r="65" spans="1:24" ht="31" thickBot="1">
      <c r="B65" s="127" t="s">
        <v>4</v>
      </c>
      <c r="C65" s="128"/>
      <c r="D65" s="128"/>
      <c r="E65" s="128"/>
      <c r="F65" s="128"/>
      <c r="G65" s="128"/>
      <c r="H65" s="129"/>
      <c r="I65" s="224"/>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6"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6"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8"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8"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6"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6"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6" thickBot="1">
      <c r="B72" s="3" t="s">
        <v>12</v>
      </c>
      <c r="C72" s="4"/>
      <c r="D72" s="4"/>
      <c r="E72" s="4"/>
      <c r="F72" s="4"/>
      <c r="G72" s="4"/>
      <c r="H72" s="5"/>
    </row>
    <row r="73" spans="1:24" ht="16" thickBot="1">
      <c r="B73" s="1" t="s">
        <v>13</v>
      </c>
      <c r="C73" s="2">
        <v>0</v>
      </c>
      <c r="D73" s="2">
        <v>0</v>
      </c>
      <c r="E73" s="2">
        <v>0</v>
      </c>
      <c r="F73" s="2">
        <v>0</v>
      </c>
      <c r="G73" s="2" t="s">
        <v>33</v>
      </c>
      <c r="H73" s="2"/>
    </row>
    <row r="74" spans="1:24" ht="16" thickBot="1">
      <c r="B74" s="1" t="s">
        <v>15</v>
      </c>
      <c r="C74" s="2">
        <v>0</v>
      </c>
      <c r="D74" s="2">
        <v>0</v>
      </c>
      <c r="E74" s="2">
        <v>0</v>
      </c>
      <c r="F74" s="2">
        <v>0</v>
      </c>
      <c r="G74" s="2"/>
      <c r="H74" s="2"/>
    </row>
    <row r="75" spans="1:24" ht="16" thickBot="1">
      <c r="B75" s="1" t="s">
        <v>17</v>
      </c>
      <c r="C75" s="2">
        <v>0</v>
      </c>
      <c r="D75" s="2">
        <v>0</v>
      </c>
      <c r="E75" s="2">
        <v>0</v>
      </c>
      <c r="F75" s="2">
        <v>0</v>
      </c>
      <c r="G75" s="2"/>
      <c r="H75" s="2"/>
      <c r="O75" s="1106"/>
    </row>
    <row r="76" spans="1:24" ht="16" thickBot="1">
      <c r="B76" s="1" t="s">
        <v>18</v>
      </c>
      <c r="C76" s="2">
        <v>0</v>
      </c>
      <c r="D76" s="2">
        <v>0</v>
      </c>
      <c r="E76" s="2">
        <v>0</v>
      </c>
      <c r="F76" s="2">
        <v>0</v>
      </c>
      <c r="G76" s="2"/>
      <c r="H76" s="2"/>
    </row>
    <row r="77" spans="1:24" ht="16" thickBot="1">
      <c r="B77" s="1" t="s">
        <v>19</v>
      </c>
      <c r="C77" s="2">
        <v>0</v>
      </c>
      <c r="D77" s="2">
        <v>0</v>
      </c>
      <c r="E77" s="2">
        <v>0</v>
      </c>
      <c r="F77" s="2">
        <v>0</v>
      </c>
      <c r="G77" s="2"/>
      <c r="H77" s="2"/>
    </row>
    <row r="78" spans="1:24" ht="16" thickBot="1">
      <c r="B78" s="3" t="s">
        <v>22</v>
      </c>
      <c r="C78" s="4"/>
      <c r="D78" s="4"/>
      <c r="E78" s="4"/>
      <c r="F78" s="4"/>
      <c r="G78" s="4"/>
      <c r="H78" s="5"/>
    </row>
    <row r="79" spans="1:24" ht="16" thickBot="1">
      <c r="B79" s="1" t="s">
        <v>127</v>
      </c>
      <c r="C79" s="2">
        <v>0.68</v>
      </c>
      <c r="D79" s="2">
        <v>0.64</v>
      </c>
      <c r="E79" s="2">
        <v>0.6</v>
      </c>
      <c r="F79" s="2">
        <v>0.45</v>
      </c>
      <c r="G79" s="2" t="s">
        <v>20</v>
      </c>
      <c r="H79" s="2" t="s">
        <v>128</v>
      </c>
    </row>
    <row r="80" spans="1:24">
      <c r="A80" s="36"/>
      <c r="B80" s="6" t="s">
        <v>24</v>
      </c>
      <c r="C80" s="896">
        <v>2.6845637583892619</v>
      </c>
      <c r="D80" s="896">
        <v>2.4161073825503352</v>
      </c>
      <c r="E80" s="896">
        <v>2.1476510067114094</v>
      </c>
      <c r="F80" s="896">
        <v>1.8791946308724832</v>
      </c>
      <c r="G80" s="7"/>
      <c r="H80" s="7" t="s">
        <v>128</v>
      </c>
    </row>
    <row r="81" spans="1:24">
      <c r="A81" s="36"/>
      <c r="B81" s="6" t="s">
        <v>26</v>
      </c>
      <c r="C81" s="898">
        <v>65</v>
      </c>
      <c r="D81" s="898">
        <v>65</v>
      </c>
      <c r="E81" s="898">
        <v>65</v>
      </c>
      <c r="F81" s="898">
        <v>65</v>
      </c>
      <c r="G81" s="7"/>
      <c r="H81" s="7" t="s">
        <v>129</v>
      </c>
    </row>
    <row r="82" spans="1:24" ht="16" thickBot="1">
      <c r="A82" s="36"/>
      <c r="B82" s="1" t="s">
        <v>28</v>
      </c>
      <c r="C82" s="899">
        <v>35</v>
      </c>
      <c r="D82" s="899">
        <v>35</v>
      </c>
      <c r="E82" s="899">
        <v>35</v>
      </c>
      <c r="F82" s="899">
        <v>35</v>
      </c>
      <c r="G82" s="2"/>
      <c r="H82" s="2">
        <v>8</v>
      </c>
    </row>
    <row r="83" spans="1:24" ht="28" thickBot="1">
      <c r="A83" s="36"/>
      <c r="B83" s="1" t="s">
        <v>30</v>
      </c>
      <c r="C83" s="899">
        <v>0</v>
      </c>
      <c r="D83" s="899">
        <v>0</v>
      </c>
      <c r="E83" s="899">
        <v>0</v>
      </c>
      <c r="F83" s="899">
        <v>0</v>
      </c>
      <c r="G83" s="2"/>
      <c r="H83" s="2"/>
    </row>
    <row r="84" spans="1:24" ht="16" thickBot="1">
      <c r="A84" s="36"/>
      <c r="B84" s="1" t="s">
        <v>64</v>
      </c>
      <c r="C84" s="899">
        <v>69.45</v>
      </c>
      <c r="D84" s="899">
        <v>68.17492518731251</v>
      </c>
      <c r="E84" s="899">
        <v>68.784138129099688</v>
      </c>
      <c r="F84" s="899">
        <v>63.215316622234781</v>
      </c>
      <c r="G84" s="2" t="s">
        <v>76</v>
      </c>
      <c r="H84" s="2"/>
    </row>
    <row r="85" spans="1:24" ht="16" thickBot="1">
      <c r="A85" s="36"/>
      <c r="B85" s="1" t="s">
        <v>130</v>
      </c>
      <c r="C85" s="2">
        <v>0</v>
      </c>
      <c r="D85" s="2">
        <v>0</v>
      </c>
      <c r="E85" s="2">
        <v>0</v>
      </c>
      <c r="F85" s="2">
        <v>0</v>
      </c>
      <c r="G85" s="2" t="s">
        <v>25</v>
      </c>
      <c r="H85" s="2"/>
    </row>
    <row r="86" spans="1:24">
      <c r="B86" s="36" t="s">
        <v>353</v>
      </c>
      <c r="C86" s="60">
        <f>C79*$F$4*1000</f>
        <v>5066.0000000000009</v>
      </c>
      <c r="D86" s="60">
        <f t="shared" ref="D86:F87" si="4">D79*$F$4*1000</f>
        <v>4768</v>
      </c>
      <c r="E86" s="60">
        <f t="shared" si="4"/>
        <v>4470</v>
      </c>
      <c r="F86" s="60">
        <f t="shared" si="4"/>
        <v>3352.5</v>
      </c>
      <c r="G86" s="63" t="s">
        <v>332</v>
      </c>
      <c r="H86" s="63"/>
    </row>
    <row r="87" spans="1:24">
      <c r="B87" s="36" t="s">
        <v>354</v>
      </c>
      <c r="C87" s="60">
        <f>C80*$F$4*1000</f>
        <v>20000</v>
      </c>
      <c r="D87" s="60">
        <f t="shared" si="4"/>
        <v>17999.999999999996</v>
      </c>
      <c r="E87" s="60">
        <f t="shared" si="4"/>
        <v>16000</v>
      </c>
      <c r="F87" s="60">
        <f t="shared" si="4"/>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6" thickBot="1">
      <c r="B89" s="36" t="s">
        <v>356</v>
      </c>
      <c r="C89" s="60">
        <f>C85*$F$4/(4*3.6*C69/100)</f>
        <v>0</v>
      </c>
      <c r="D89" s="60">
        <f t="shared" ref="D89:F89" si="5">D85*$F$4/(4*3.6*D69/100)</f>
        <v>0</v>
      </c>
      <c r="E89" s="60">
        <f t="shared" si="5"/>
        <v>0</v>
      </c>
      <c r="F89" s="60">
        <f t="shared" si="5"/>
        <v>0</v>
      </c>
      <c r="G89" s="83" t="s">
        <v>422</v>
      </c>
      <c r="H89" s="61"/>
    </row>
    <row r="90" spans="1:24" ht="15.75" customHeight="1">
      <c r="B90" s="1257" t="s">
        <v>0</v>
      </c>
      <c r="C90" s="1259" t="s">
        <v>123</v>
      </c>
      <c r="D90" s="1260"/>
      <c r="E90" s="1260"/>
      <c r="F90" s="1260"/>
      <c r="G90" s="1260"/>
      <c r="H90" s="1261"/>
      <c r="J90" s="1259" t="str">
        <f>C90</f>
        <v>Solar heating system</v>
      </c>
      <c r="K90" s="1260"/>
      <c r="L90" s="1260"/>
      <c r="M90" s="1260"/>
      <c r="N90" s="1260"/>
      <c r="O90" s="1261"/>
    </row>
    <row r="91" spans="1:24" ht="16" thickBot="1">
      <c r="B91" s="1258"/>
      <c r="C91" s="1159" t="s">
        <v>35</v>
      </c>
      <c r="D91" s="1160"/>
      <c r="E91" s="1160"/>
      <c r="F91" s="1160"/>
      <c r="G91" s="1160"/>
      <c r="H91" s="1161"/>
      <c r="J91" s="1159" t="str">
        <f>C91</f>
        <v>Apartment complex, new building</v>
      </c>
      <c r="K91" s="1160"/>
      <c r="L91" s="1160"/>
      <c r="M91" s="1160"/>
      <c r="N91" s="1160"/>
      <c r="O91" s="1161"/>
    </row>
    <row r="92" spans="1:24" ht="16" thickBot="1">
      <c r="B92" s="1"/>
      <c r="C92" s="2">
        <v>2015</v>
      </c>
      <c r="D92" s="2">
        <v>2020</v>
      </c>
      <c r="E92" s="2">
        <v>2030</v>
      </c>
      <c r="F92" s="2">
        <v>2050</v>
      </c>
      <c r="G92" s="2" t="s">
        <v>2</v>
      </c>
      <c r="H92" s="2" t="s">
        <v>3</v>
      </c>
      <c r="J92" s="53" t="s">
        <v>357</v>
      </c>
    </row>
    <row r="93" spans="1:24" ht="31"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6"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6"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8"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8"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6"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6"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6" thickBot="1">
      <c r="B100" s="3" t="s">
        <v>12</v>
      </c>
      <c r="C100" s="4"/>
      <c r="D100" s="4"/>
      <c r="E100" s="4"/>
      <c r="F100" s="4"/>
      <c r="G100" s="4"/>
      <c r="H100" s="5"/>
    </row>
    <row r="101" spans="1:24" ht="16" thickBot="1">
      <c r="B101" s="1" t="s">
        <v>13</v>
      </c>
      <c r="C101" s="2">
        <v>0</v>
      </c>
      <c r="D101" s="2">
        <v>0</v>
      </c>
      <c r="E101" s="2">
        <v>0</v>
      </c>
      <c r="F101" s="2">
        <v>0</v>
      </c>
      <c r="G101" s="2" t="s">
        <v>33</v>
      </c>
      <c r="H101" s="2"/>
    </row>
    <row r="102" spans="1:24" ht="16" thickBot="1">
      <c r="B102" s="1" t="s">
        <v>15</v>
      </c>
      <c r="C102" s="2">
        <v>0</v>
      </c>
      <c r="D102" s="2">
        <v>0</v>
      </c>
      <c r="E102" s="2">
        <v>0</v>
      </c>
      <c r="F102" s="2">
        <v>0</v>
      </c>
      <c r="G102" s="2"/>
      <c r="H102" s="2"/>
    </row>
    <row r="103" spans="1:24" ht="16" thickBot="1">
      <c r="B103" s="1" t="s">
        <v>17</v>
      </c>
      <c r="C103" s="2">
        <v>0</v>
      </c>
      <c r="D103" s="2">
        <v>0</v>
      </c>
      <c r="E103" s="2">
        <v>0</v>
      </c>
      <c r="F103" s="2">
        <v>0</v>
      </c>
      <c r="G103" s="2"/>
      <c r="H103" s="2"/>
    </row>
    <row r="104" spans="1:24" ht="16" thickBot="1">
      <c r="B104" s="1" t="s">
        <v>18</v>
      </c>
      <c r="C104" s="2">
        <v>0</v>
      </c>
      <c r="D104" s="2">
        <v>0</v>
      </c>
      <c r="E104" s="2">
        <v>0</v>
      </c>
      <c r="F104" s="2">
        <v>0</v>
      </c>
      <c r="G104" s="2"/>
      <c r="H104" s="2"/>
    </row>
    <row r="105" spans="1:24" ht="16" thickBot="1">
      <c r="B105" s="1" t="s">
        <v>19</v>
      </c>
      <c r="C105" s="2">
        <v>0</v>
      </c>
      <c r="D105" s="2">
        <v>0</v>
      </c>
      <c r="E105" s="2">
        <v>0</v>
      </c>
      <c r="F105" s="2">
        <v>0</v>
      </c>
      <c r="G105" s="2"/>
      <c r="H105" s="2"/>
    </row>
    <row r="106" spans="1:24" ht="16" thickBot="1">
      <c r="B106" s="3" t="s">
        <v>22</v>
      </c>
      <c r="C106" s="4"/>
      <c r="D106" s="4"/>
      <c r="E106" s="4"/>
      <c r="F106" s="4"/>
      <c r="G106" s="4"/>
      <c r="H106" s="5"/>
    </row>
    <row r="107" spans="1:24" ht="16" thickBot="1">
      <c r="B107" s="1" t="s">
        <v>23</v>
      </c>
      <c r="C107" s="2">
        <v>0.38</v>
      </c>
      <c r="D107" s="2">
        <v>0.38</v>
      </c>
      <c r="E107" s="2">
        <v>0.38</v>
      </c>
      <c r="F107" s="2">
        <v>0.38</v>
      </c>
      <c r="G107" s="2" t="s">
        <v>20</v>
      </c>
      <c r="H107" s="2"/>
    </row>
    <row r="108" spans="1:24">
      <c r="A108" s="36"/>
      <c r="B108" s="6" t="s">
        <v>24</v>
      </c>
      <c r="C108" s="896">
        <v>80.53691275167786</v>
      </c>
      <c r="D108" s="896">
        <v>73.825503355704697</v>
      </c>
      <c r="E108" s="896">
        <v>67.114093959731548</v>
      </c>
      <c r="F108" s="896">
        <v>60.402684563758392</v>
      </c>
      <c r="G108" s="7"/>
      <c r="H108" s="7"/>
    </row>
    <row r="109" spans="1:24">
      <c r="A109" s="36"/>
      <c r="B109" s="6" t="s">
        <v>26</v>
      </c>
      <c r="C109" s="896">
        <v>65</v>
      </c>
      <c r="D109" s="896">
        <v>65</v>
      </c>
      <c r="E109" s="896">
        <v>65</v>
      </c>
      <c r="F109" s="896">
        <v>65</v>
      </c>
      <c r="G109" s="7"/>
      <c r="H109" s="7" t="s">
        <v>129</v>
      </c>
    </row>
    <row r="110" spans="1:24" ht="16" thickBot="1">
      <c r="A110" s="36"/>
      <c r="B110" s="1" t="s">
        <v>28</v>
      </c>
      <c r="C110" s="897">
        <v>35</v>
      </c>
      <c r="D110" s="897">
        <v>35</v>
      </c>
      <c r="E110" s="897">
        <v>35</v>
      </c>
      <c r="F110" s="897">
        <v>35</v>
      </c>
      <c r="G110" s="2"/>
      <c r="H110" s="2">
        <v>8</v>
      </c>
    </row>
    <row r="111" spans="1:24" ht="28" thickBot="1">
      <c r="A111" s="36"/>
      <c r="B111" s="1" t="s">
        <v>30</v>
      </c>
      <c r="C111" s="897">
        <v>0</v>
      </c>
      <c r="D111" s="897">
        <v>0</v>
      </c>
      <c r="E111" s="897">
        <v>0</v>
      </c>
      <c r="F111" s="897">
        <v>0</v>
      </c>
      <c r="G111" s="2"/>
      <c r="H111" s="2"/>
    </row>
    <row r="112" spans="1:24" ht="16" thickBot="1">
      <c r="A112" s="36"/>
      <c r="B112" s="1" t="s">
        <v>64</v>
      </c>
      <c r="C112" s="897">
        <v>389</v>
      </c>
      <c r="D112" s="897">
        <v>388.249750624375</v>
      </c>
      <c r="E112" s="897">
        <v>437.5</v>
      </c>
      <c r="F112" s="897">
        <v>404</v>
      </c>
      <c r="G112" s="2" t="s">
        <v>76</v>
      </c>
      <c r="H112" s="2"/>
    </row>
    <row r="113" spans="1:8" ht="16"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6">D113*$F$4/(4*3.6*D97/100)*D67/D95</f>
        <v>0</v>
      </c>
      <c r="E117" s="60">
        <f t="shared" si="6"/>
        <v>0</v>
      </c>
      <c r="F117" s="60">
        <f t="shared" si="6"/>
        <v>0</v>
      </c>
      <c r="G117" s="83" t="s">
        <v>423</v>
      </c>
      <c r="H117" s="61"/>
    </row>
  </sheetData>
  <mergeCells count="20">
    <mergeCell ref="J91:O91"/>
    <mergeCell ref="J6:O6"/>
    <mergeCell ref="J34:O34"/>
    <mergeCell ref="J62:O62"/>
    <mergeCell ref="J90:O90"/>
    <mergeCell ref="J7:O7"/>
    <mergeCell ref="J35:O35"/>
    <mergeCell ref="J63:O63"/>
    <mergeCell ref="B62:B63"/>
    <mergeCell ref="C62:H62"/>
    <mergeCell ref="C63:H63"/>
    <mergeCell ref="B90:B91"/>
    <mergeCell ref="C90:H90"/>
    <mergeCell ref="C91:H91"/>
    <mergeCell ref="B6:B7"/>
    <mergeCell ref="C6:H6"/>
    <mergeCell ref="C7:H7"/>
    <mergeCell ref="B34:B35"/>
    <mergeCell ref="C34:H34"/>
    <mergeCell ref="C35:H35"/>
  </mergeCells>
  <pageMargins left="0.7" right="0.7" top="0.75" bottom="0.75" header="0.3" footer="0.3"/>
  <pageSetup paperSize="9" orientation="portrait"/>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baseColWidth="10" defaultColWidth="8.83203125" defaultRowHeight="15"/>
  <cols>
    <col min="1" max="1" width="8.83203125" style="224"/>
    <col min="2" max="2" width="36.83203125" style="224" customWidth="1"/>
    <col min="3" max="3" width="10" style="224" bestFit="1" customWidth="1"/>
    <col min="4" max="4" width="10.83203125" style="224" customWidth="1"/>
    <col min="5" max="8" width="8.83203125" style="224"/>
    <col min="9" max="18" width="9.1640625" style="224" customWidth="1"/>
    <col min="19" max="16384" width="8.83203125" style="224"/>
  </cols>
  <sheetData>
    <row r="3" spans="2:24">
      <c r="B3" s="8" t="s">
        <v>1139</v>
      </c>
    </row>
    <row r="4" spans="2:24">
      <c r="E4" s="224" t="s">
        <v>358</v>
      </c>
      <c r="G4" s="36">
        <v>7.45</v>
      </c>
      <c r="H4" s="224" t="s">
        <v>328</v>
      </c>
    </row>
    <row r="5" spans="2:24" ht="16" thickBot="1"/>
    <row r="6" spans="2:24">
      <c r="B6" s="1257" t="s">
        <v>0</v>
      </c>
      <c r="C6" s="1259" t="s">
        <v>1140</v>
      </c>
      <c r="D6" s="1260"/>
      <c r="E6" s="1260"/>
      <c r="F6" s="1260"/>
      <c r="G6" s="1260"/>
      <c r="H6" s="1261"/>
      <c r="J6" s="1259" t="str">
        <f>C6</f>
        <v>Oil burner (mineral oil fired, &lt;10 % FAME)</v>
      </c>
      <c r="K6" s="1260"/>
      <c r="L6" s="1260"/>
      <c r="M6" s="1260"/>
      <c r="N6" s="1260"/>
      <c r="O6" s="1261"/>
    </row>
    <row r="7" spans="2:24" ht="16" thickBot="1">
      <c r="B7" s="1258"/>
      <c r="C7" s="1159" t="s">
        <v>1</v>
      </c>
      <c r="D7" s="1160"/>
      <c r="E7" s="1160"/>
      <c r="F7" s="1160"/>
      <c r="G7" s="1160"/>
      <c r="H7" s="1161"/>
      <c r="J7" s="1159" t="str">
        <f>C7</f>
        <v>One-family house, existing building</v>
      </c>
      <c r="K7" s="1160"/>
      <c r="L7" s="1160"/>
      <c r="M7" s="1160"/>
      <c r="N7" s="1160"/>
      <c r="O7" s="1161"/>
    </row>
    <row r="8" spans="2:24" ht="16" thickBot="1">
      <c r="B8" s="125"/>
      <c r="C8" s="813">
        <v>2015</v>
      </c>
      <c r="D8" s="813">
        <v>2020</v>
      </c>
      <c r="E8" s="813">
        <v>2030</v>
      </c>
      <c r="F8" s="813">
        <v>2050</v>
      </c>
      <c r="G8" s="813" t="s">
        <v>2</v>
      </c>
      <c r="H8" s="813" t="s">
        <v>3</v>
      </c>
      <c r="J8" s="53" t="s">
        <v>357</v>
      </c>
    </row>
    <row r="9" spans="2:24" ht="31" thickBot="1">
      <c r="B9" s="127" t="s">
        <v>4</v>
      </c>
      <c r="C9" s="128"/>
      <c r="D9" s="128"/>
      <c r="E9" s="128"/>
      <c r="F9" s="128"/>
      <c r="G9" s="128"/>
      <c r="H9" s="12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25" t="s">
        <v>5</v>
      </c>
      <c r="C10" s="813" t="s">
        <v>1141</v>
      </c>
      <c r="D10" s="813" t="s">
        <v>1141</v>
      </c>
      <c r="E10" s="813" t="s">
        <v>1141</v>
      </c>
      <c r="F10" s="813" t="s">
        <v>1141</v>
      </c>
      <c r="G10" s="813" t="s">
        <v>6</v>
      </c>
      <c r="H10" s="813"/>
      <c r="J10" s="50"/>
      <c r="K10" s="50"/>
      <c r="L10" s="51"/>
      <c r="M10" s="51"/>
      <c r="N10" s="51"/>
      <c r="O10" s="52"/>
      <c r="P10" s="50"/>
      <c r="Q10" s="50"/>
      <c r="R10" s="50"/>
      <c r="S10" s="50"/>
      <c r="T10" s="50"/>
      <c r="U10" s="50"/>
      <c r="V10" s="50"/>
      <c r="W10" s="50"/>
      <c r="X10" s="50"/>
    </row>
    <row r="11" spans="2:24" ht="28" thickBot="1">
      <c r="B11" s="125" t="s">
        <v>7</v>
      </c>
      <c r="C11" s="813">
        <v>100</v>
      </c>
      <c r="D11" s="813">
        <v>100</v>
      </c>
      <c r="E11" s="813">
        <v>100</v>
      </c>
      <c r="F11" s="813">
        <v>100</v>
      </c>
      <c r="G11" s="813"/>
      <c r="H11" s="813"/>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25" t="s">
        <v>8</v>
      </c>
      <c r="C12" s="813">
        <v>100</v>
      </c>
      <c r="D12" s="813">
        <v>100</v>
      </c>
      <c r="E12" s="813">
        <v>100</v>
      </c>
      <c r="F12" s="813">
        <v>100</v>
      </c>
      <c r="G12" s="813"/>
      <c r="H12" s="813"/>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6" thickBot="1">
      <c r="B13" s="125" t="s">
        <v>9</v>
      </c>
      <c r="C13" s="813">
        <v>100</v>
      </c>
      <c r="D13" s="813">
        <v>100</v>
      </c>
      <c r="E13" s="813">
        <v>100</v>
      </c>
      <c r="F13" s="813">
        <v>100</v>
      </c>
      <c r="G13" s="813"/>
      <c r="H13" s="813"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6" thickBot="1">
      <c r="B14" s="125" t="s">
        <v>11</v>
      </c>
      <c r="C14" s="813">
        <v>20</v>
      </c>
      <c r="D14" s="813">
        <v>20</v>
      </c>
      <c r="E14" s="813">
        <v>20</v>
      </c>
      <c r="F14" s="813">
        <v>20</v>
      </c>
      <c r="G14" s="813"/>
      <c r="H14" s="813">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6" thickBot="1">
      <c r="B15" s="127" t="s">
        <v>12</v>
      </c>
      <c r="C15" s="128"/>
      <c r="D15" s="128"/>
      <c r="E15" s="128"/>
      <c r="F15" s="128"/>
      <c r="G15" s="128"/>
      <c r="H15" s="129"/>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6" thickBot="1">
      <c r="B16" s="125" t="s">
        <v>13</v>
      </c>
      <c r="C16" s="813">
        <v>0.5</v>
      </c>
      <c r="D16" s="813">
        <v>0.5</v>
      </c>
      <c r="E16" s="813">
        <v>0.5</v>
      </c>
      <c r="F16" s="813">
        <v>0.5</v>
      </c>
      <c r="G16" s="813" t="s">
        <v>14</v>
      </c>
      <c r="H16" s="813"/>
    </row>
    <row r="17" spans="2:10" ht="16" thickBot="1">
      <c r="B17" s="125" t="s">
        <v>15</v>
      </c>
      <c r="C17" s="813">
        <v>30</v>
      </c>
      <c r="D17" s="813">
        <v>30</v>
      </c>
      <c r="E17" s="813">
        <v>30</v>
      </c>
      <c r="F17" s="813">
        <v>30</v>
      </c>
      <c r="G17" s="813" t="s">
        <v>16</v>
      </c>
      <c r="H17" s="813"/>
    </row>
    <row r="18" spans="2:10" ht="16" thickBot="1">
      <c r="B18" s="125" t="s">
        <v>17</v>
      </c>
      <c r="C18" s="813">
        <v>0</v>
      </c>
      <c r="D18" s="813">
        <v>0</v>
      </c>
      <c r="E18" s="813">
        <v>0</v>
      </c>
      <c r="F18" s="813">
        <v>0</v>
      </c>
      <c r="G18" s="813"/>
      <c r="H18" s="813"/>
    </row>
    <row r="19" spans="2:10" ht="16" thickBot="1">
      <c r="B19" s="125" t="s">
        <v>18</v>
      </c>
      <c r="C19" s="813">
        <v>0</v>
      </c>
      <c r="D19" s="813">
        <v>0</v>
      </c>
      <c r="E19" s="813">
        <v>0</v>
      </c>
      <c r="F19" s="813">
        <v>0</v>
      </c>
      <c r="G19" s="813"/>
      <c r="H19" s="813"/>
    </row>
    <row r="20" spans="2:10" ht="16" thickBot="1">
      <c r="B20" s="125" t="s">
        <v>19</v>
      </c>
      <c r="C20" s="813">
        <v>0.03</v>
      </c>
      <c r="D20" s="813">
        <v>0.03</v>
      </c>
      <c r="E20" s="813">
        <v>0.03</v>
      </c>
      <c r="F20" s="813">
        <v>0.03</v>
      </c>
      <c r="G20" s="813" t="s">
        <v>20</v>
      </c>
      <c r="H20" s="813" t="s">
        <v>21</v>
      </c>
    </row>
    <row r="21" spans="2:10" ht="16" thickBot="1">
      <c r="B21" s="127" t="s">
        <v>22</v>
      </c>
      <c r="C21" s="128"/>
      <c r="D21" s="128"/>
      <c r="E21" s="128"/>
      <c r="F21" s="128"/>
      <c r="G21" s="68" t="s">
        <v>329</v>
      </c>
      <c r="H21" s="813"/>
    </row>
    <row r="22" spans="2:10" ht="16" thickBot="1">
      <c r="B22" s="125" t="s">
        <v>23</v>
      </c>
      <c r="C22" s="35">
        <f>C23/$G30</f>
        <v>0.3</v>
      </c>
      <c r="D22" s="35">
        <f>D23/$G30</f>
        <v>0.3</v>
      </c>
      <c r="E22" s="35">
        <f>E23/$G30</f>
        <v>0.3</v>
      </c>
      <c r="F22" s="35">
        <f>F23/$G30</f>
        <v>0.3</v>
      </c>
      <c r="G22" s="73">
        <f>G30</f>
        <v>22</v>
      </c>
      <c r="H22" s="73" t="str">
        <f>H30</f>
        <v>kW</v>
      </c>
    </row>
    <row r="23" spans="2:10">
      <c r="B23" s="130" t="s">
        <v>24</v>
      </c>
      <c r="C23" s="131">
        <v>6.6</v>
      </c>
      <c r="D23" s="131">
        <v>6.6</v>
      </c>
      <c r="E23" s="131">
        <v>6.6</v>
      </c>
      <c r="F23" s="131">
        <v>6.6</v>
      </c>
      <c r="G23" s="131" t="s">
        <v>25</v>
      </c>
      <c r="H23" s="131"/>
    </row>
    <row r="24" spans="2:10">
      <c r="B24" s="891" t="s">
        <v>26</v>
      </c>
      <c r="C24" s="131">
        <v>70</v>
      </c>
      <c r="D24" s="131">
        <v>70</v>
      </c>
      <c r="E24" s="131">
        <v>70</v>
      </c>
      <c r="F24" s="131">
        <v>70</v>
      </c>
      <c r="G24" s="131"/>
      <c r="H24" s="131"/>
    </row>
    <row r="25" spans="2:10" ht="16" thickBot="1">
      <c r="B25" s="892" t="s">
        <v>28</v>
      </c>
      <c r="C25" s="813">
        <v>30</v>
      </c>
      <c r="D25" s="813">
        <v>30</v>
      </c>
      <c r="E25" s="813">
        <v>30</v>
      </c>
      <c r="F25" s="813">
        <v>30</v>
      </c>
      <c r="G25" s="813"/>
      <c r="H25" s="813"/>
      <c r="I25" s="420"/>
      <c r="J25" s="420"/>
    </row>
    <row r="26" spans="2:10" ht="28" thickBot="1">
      <c r="B26" s="125" t="s">
        <v>30</v>
      </c>
      <c r="C26" s="813"/>
      <c r="D26" s="813"/>
      <c r="E26" s="813"/>
      <c r="F26" s="813"/>
      <c r="G26" s="813"/>
      <c r="H26" s="813"/>
      <c r="I26" s="71"/>
      <c r="J26" s="420"/>
    </row>
    <row r="27" spans="2:10" ht="16" thickBot="1">
      <c r="B27" s="893" t="s">
        <v>1142</v>
      </c>
      <c r="C27" s="894">
        <v>270</v>
      </c>
      <c r="D27" s="894">
        <v>270</v>
      </c>
      <c r="E27" s="894">
        <v>270</v>
      </c>
      <c r="F27" s="894">
        <v>270</v>
      </c>
      <c r="G27" s="894" t="s">
        <v>25</v>
      </c>
      <c r="H27" s="894"/>
      <c r="I27" s="894"/>
      <c r="J27" s="894"/>
    </row>
    <row r="28" spans="2:10" ht="16" thickBot="1">
      <c r="B28" s="125" t="s">
        <v>31</v>
      </c>
      <c r="C28" s="813"/>
      <c r="D28" s="813"/>
      <c r="E28" s="813"/>
      <c r="F28" s="813"/>
      <c r="G28" s="813"/>
      <c r="H28" s="813"/>
      <c r="I28" s="895"/>
      <c r="J28" s="420"/>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6" thickBot="1">
      <c r="B32" s="36" t="s">
        <v>356</v>
      </c>
      <c r="C32" s="42">
        <f>C28*$H$31</f>
        <v>0</v>
      </c>
      <c r="D32" s="42">
        <f>D28*$H$31</f>
        <v>0</v>
      </c>
      <c r="E32" s="42">
        <f>E28*$H$31</f>
        <v>0</v>
      </c>
      <c r="F32" s="42">
        <f>F28*$H$31</f>
        <v>0</v>
      </c>
      <c r="G32" s="66"/>
      <c r="H32" s="63"/>
    </row>
    <row r="33" spans="2:24">
      <c r="B33" s="1257" t="s">
        <v>0</v>
      </c>
      <c r="C33" s="1259" t="s">
        <v>1140</v>
      </c>
      <c r="D33" s="1260"/>
      <c r="E33" s="1260"/>
      <c r="F33" s="1260"/>
      <c r="G33" s="1260"/>
      <c r="H33" s="1261"/>
      <c r="J33" s="1259" t="str">
        <f>C33</f>
        <v>Oil burner (mineral oil fired, &lt;10 % FAME)</v>
      </c>
      <c r="K33" s="1260"/>
      <c r="L33" s="1260"/>
      <c r="M33" s="1260"/>
      <c r="N33" s="1260"/>
      <c r="O33" s="1261"/>
    </row>
    <row r="34" spans="2:24" ht="16" thickBot="1">
      <c r="B34" s="1258"/>
      <c r="C34" s="1159" t="s">
        <v>32</v>
      </c>
      <c r="D34" s="1160"/>
      <c r="E34" s="1160"/>
      <c r="F34" s="1160"/>
      <c r="G34" s="1160"/>
      <c r="H34" s="1161"/>
      <c r="J34" s="1159" t="str">
        <f>C34</f>
        <v>Apartment complex, existing building</v>
      </c>
      <c r="K34" s="1160"/>
      <c r="L34" s="1160"/>
      <c r="M34" s="1160"/>
      <c r="N34" s="1160"/>
      <c r="O34" s="1161"/>
    </row>
    <row r="35" spans="2:24" ht="16" thickBot="1">
      <c r="B35" s="125"/>
      <c r="C35" s="813">
        <v>2015</v>
      </c>
      <c r="D35" s="813">
        <v>2020</v>
      </c>
      <c r="E35" s="813">
        <v>2030</v>
      </c>
      <c r="F35" s="813">
        <v>2050</v>
      </c>
      <c r="G35" s="813" t="s">
        <v>2</v>
      </c>
      <c r="H35" s="813"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813">
        <v>400</v>
      </c>
      <c r="D37" s="813">
        <v>400</v>
      </c>
      <c r="E37" s="813">
        <v>400</v>
      </c>
      <c r="F37" s="813">
        <v>400</v>
      </c>
      <c r="G37" s="813"/>
      <c r="H37" s="813"/>
      <c r="J37" s="50"/>
      <c r="K37" s="50"/>
      <c r="L37" s="51"/>
      <c r="M37" s="51"/>
      <c r="N37" s="51"/>
      <c r="O37" s="52"/>
      <c r="P37" s="50"/>
      <c r="Q37" s="50"/>
      <c r="R37" s="50"/>
      <c r="S37" s="50"/>
      <c r="T37" s="50"/>
      <c r="U37" s="50"/>
      <c r="V37" s="50"/>
      <c r="W37" s="50"/>
      <c r="X37" s="50"/>
    </row>
    <row r="38" spans="2:24" ht="28" thickBot="1">
      <c r="B38" s="125" t="s">
        <v>7</v>
      </c>
      <c r="C38" s="813">
        <v>100</v>
      </c>
      <c r="D38" s="813">
        <v>100</v>
      </c>
      <c r="E38" s="813">
        <v>100</v>
      </c>
      <c r="F38" s="813">
        <v>100</v>
      </c>
      <c r="G38" s="813"/>
      <c r="H38" s="813"/>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813">
        <v>100</v>
      </c>
      <c r="D39" s="813">
        <v>100</v>
      </c>
      <c r="E39" s="813">
        <v>100</v>
      </c>
      <c r="F39" s="813">
        <v>100</v>
      </c>
      <c r="G39" s="813"/>
      <c r="H39" s="813"/>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6" thickBot="1">
      <c r="B40" s="125" t="s">
        <v>9</v>
      </c>
      <c r="C40" s="813">
        <v>96</v>
      </c>
      <c r="D40" s="813">
        <v>96</v>
      </c>
      <c r="E40" s="813">
        <v>96</v>
      </c>
      <c r="F40" s="813">
        <v>96</v>
      </c>
      <c r="G40" s="813" t="s">
        <v>33</v>
      </c>
      <c r="H40" s="813"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6" thickBot="1">
      <c r="B41" s="125" t="s">
        <v>11</v>
      </c>
      <c r="C41" s="813">
        <v>20</v>
      </c>
      <c r="D41" s="813">
        <v>20</v>
      </c>
      <c r="E41" s="813">
        <v>20</v>
      </c>
      <c r="F41" s="813">
        <v>20</v>
      </c>
      <c r="G41" s="813"/>
      <c r="H41" s="813">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6" thickBot="1">
      <c r="B42" s="127" t="s">
        <v>12</v>
      </c>
      <c r="C42" s="128"/>
      <c r="D42" s="128"/>
      <c r="E42" s="128"/>
      <c r="F42" s="128"/>
      <c r="G42" s="128"/>
      <c r="H42" s="129"/>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6" thickBot="1">
      <c r="B43" s="125" t="s">
        <v>13</v>
      </c>
      <c r="C43" s="813">
        <v>0.5</v>
      </c>
      <c r="D43" s="813">
        <v>0.5</v>
      </c>
      <c r="E43" s="813">
        <v>0.5</v>
      </c>
      <c r="F43" s="813">
        <v>0.5</v>
      </c>
      <c r="G43" s="813" t="s">
        <v>14</v>
      </c>
      <c r="H43" s="813"/>
    </row>
    <row r="44" spans="2:24" ht="16" thickBot="1">
      <c r="B44" s="125" t="s">
        <v>15</v>
      </c>
      <c r="C44" s="813">
        <v>30</v>
      </c>
      <c r="D44" s="813">
        <v>30</v>
      </c>
      <c r="E44" s="813">
        <v>30</v>
      </c>
      <c r="F44" s="813">
        <v>30</v>
      </c>
      <c r="G44" s="813" t="s">
        <v>16</v>
      </c>
      <c r="H44" s="813"/>
    </row>
    <row r="45" spans="2:24" ht="16" thickBot="1">
      <c r="B45" s="125" t="s">
        <v>17</v>
      </c>
      <c r="C45" s="813">
        <v>0</v>
      </c>
      <c r="D45" s="813">
        <v>0</v>
      </c>
      <c r="E45" s="813">
        <v>0</v>
      </c>
      <c r="F45" s="813">
        <v>0</v>
      </c>
      <c r="G45" s="813"/>
      <c r="H45" s="813"/>
    </row>
    <row r="46" spans="2:24" ht="16" thickBot="1">
      <c r="B46" s="125" t="s">
        <v>18</v>
      </c>
      <c r="C46" s="813">
        <v>0</v>
      </c>
      <c r="D46" s="813">
        <v>0</v>
      </c>
      <c r="E46" s="813">
        <v>0</v>
      </c>
      <c r="F46" s="813">
        <v>0</v>
      </c>
      <c r="G46" s="813"/>
      <c r="H46" s="813"/>
    </row>
    <row r="47" spans="2:24" ht="16" thickBot="1">
      <c r="B47" s="125" t="s">
        <v>19</v>
      </c>
      <c r="C47" s="813">
        <v>0.03</v>
      </c>
      <c r="D47" s="813">
        <v>0.03</v>
      </c>
      <c r="E47" s="813">
        <v>0.03</v>
      </c>
      <c r="F47" s="813">
        <v>0.03</v>
      </c>
      <c r="G47" s="813" t="s">
        <v>20</v>
      </c>
      <c r="H47" s="813" t="s">
        <v>21</v>
      </c>
    </row>
    <row r="48" spans="2:24" ht="16" thickBot="1">
      <c r="B48" s="127" t="s">
        <v>22</v>
      </c>
      <c r="C48" s="128"/>
      <c r="D48" s="128"/>
      <c r="E48" s="128"/>
      <c r="F48" s="128"/>
      <c r="G48" s="68" t="s">
        <v>329</v>
      </c>
      <c r="H48" s="813"/>
    </row>
    <row r="49" spans="2:24" ht="16" thickBot="1">
      <c r="B49" s="125" t="s">
        <v>23</v>
      </c>
      <c r="C49" s="43">
        <f>C50/C37</f>
        <v>0.08</v>
      </c>
      <c r="D49" s="43">
        <f>D50/D37</f>
        <v>0.08</v>
      </c>
      <c r="E49" s="43">
        <f>E50/E37</f>
        <v>0.08</v>
      </c>
      <c r="F49" s="43">
        <f>F50/F37</f>
        <v>0.08</v>
      </c>
      <c r="G49" s="73">
        <f>G57</f>
        <v>400</v>
      </c>
      <c r="H49" s="73" t="str">
        <f>H57</f>
        <v>kW</v>
      </c>
    </row>
    <row r="50" spans="2:24">
      <c r="B50" s="130" t="s">
        <v>24</v>
      </c>
      <c r="C50" s="131">
        <v>32</v>
      </c>
      <c r="D50" s="131">
        <v>32</v>
      </c>
      <c r="E50" s="131">
        <v>32</v>
      </c>
      <c r="F50" s="131">
        <v>32</v>
      </c>
      <c r="G50" s="131" t="s">
        <v>25</v>
      </c>
      <c r="H50" s="131"/>
    </row>
    <row r="51" spans="2:24">
      <c r="B51" s="130" t="s">
        <v>26</v>
      </c>
      <c r="C51" s="131" t="s">
        <v>27</v>
      </c>
      <c r="D51" s="131">
        <v>70</v>
      </c>
      <c r="E51" s="131">
        <v>70</v>
      </c>
      <c r="F51" s="131">
        <v>70</v>
      </c>
      <c r="G51" s="131"/>
      <c r="H51" s="131"/>
    </row>
    <row r="52" spans="2:24" ht="16" thickBot="1">
      <c r="B52" s="125" t="s">
        <v>28</v>
      </c>
      <c r="C52" s="813" t="s">
        <v>29</v>
      </c>
      <c r="D52" s="813">
        <v>30</v>
      </c>
      <c r="E52" s="813">
        <v>30</v>
      </c>
      <c r="F52" s="813">
        <v>30</v>
      </c>
      <c r="G52" s="813"/>
      <c r="H52" s="813"/>
    </row>
    <row r="53" spans="2:24" ht="28" thickBot="1">
      <c r="B53" s="125" t="s">
        <v>30</v>
      </c>
      <c r="C53" s="813"/>
      <c r="D53" s="813"/>
      <c r="E53" s="813"/>
      <c r="F53" s="813"/>
      <c r="G53" s="813"/>
      <c r="H53" s="813"/>
    </row>
    <row r="54" spans="2:24" ht="16" thickBot="1">
      <c r="B54" s="893" t="s">
        <v>1142</v>
      </c>
      <c r="C54" s="894">
        <v>500</v>
      </c>
      <c r="D54" s="894">
        <v>500</v>
      </c>
      <c r="E54" s="894">
        <v>500</v>
      </c>
      <c r="F54" s="894">
        <v>500</v>
      </c>
      <c r="G54" s="894" t="s">
        <v>25</v>
      </c>
      <c r="H54" s="894"/>
    </row>
    <row r="55" spans="2:24" ht="16" thickBot="1">
      <c r="B55" s="125" t="s">
        <v>31</v>
      </c>
      <c r="C55" s="813"/>
      <c r="D55" s="813"/>
      <c r="E55" s="813"/>
      <c r="F55" s="813"/>
      <c r="G55" s="813"/>
      <c r="H55" s="813"/>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6" thickBot="1">
      <c r="B59" s="36" t="s">
        <v>356</v>
      </c>
      <c r="C59" s="42">
        <f>C55*$G$4</f>
        <v>0</v>
      </c>
      <c r="D59" s="42">
        <f>D55*$G$4</f>
        <v>0</v>
      </c>
      <c r="E59" s="42">
        <f>E55*$G$4</f>
        <v>0</v>
      </c>
      <c r="F59" s="42">
        <f>F55*$G$4</f>
        <v>0</v>
      </c>
      <c r="G59" s="66"/>
      <c r="H59" s="63"/>
    </row>
    <row r="60" spans="2:24">
      <c r="B60" s="1257" t="s">
        <v>0</v>
      </c>
      <c r="C60" s="1259" t="s">
        <v>1143</v>
      </c>
      <c r="D60" s="1260"/>
      <c r="E60" s="1260"/>
      <c r="F60" s="1260"/>
      <c r="G60" s="1260"/>
      <c r="H60" s="1261"/>
      <c r="J60" s="1259" t="str">
        <f>C60</f>
        <v>Oil burner (bio oil)</v>
      </c>
      <c r="K60" s="1260"/>
      <c r="L60" s="1260"/>
      <c r="M60" s="1260"/>
      <c r="N60" s="1260"/>
      <c r="O60" s="1261"/>
    </row>
    <row r="61" spans="2:24" ht="16" thickBot="1">
      <c r="B61" s="1258"/>
      <c r="C61" s="1159" t="s">
        <v>34</v>
      </c>
      <c r="D61" s="1160"/>
      <c r="E61" s="1160"/>
      <c r="F61" s="1160"/>
      <c r="G61" s="1160"/>
      <c r="H61" s="1161"/>
      <c r="J61" s="1159" t="str">
        <f>C61</f>
        <v>One-family house, new building</v>
      </c>
      <c r="K61" s="1160"/>
      <c r="L61" s="1160"/>
      <c r="M61" s="1160"/>
      <c r="N61" s="1160"/>
      <c r="O61" s="1161"/>
    </row>
    <row r="62" spans="2:24" ht="16" thickBot="1">
      <c r="B62" s="125"/>
      <c r="C62" s="813">
        <v>2015</v>
      </c>
      <c r="D62" s="813">
        <v>2020</v>
      </c>
      <c r="E62" s="813">
        <v>2030</v>
      </c>
      <c r="F62" s="813">
        <v>2050</v>
      </c>
      <c r="G62" s="813" t="s">
        <v>2</v>
      </c>
      <c r="H62" s="813" t="s">
        <v>3</v>
      </c>
      <c r="J62" s="53" t="s">
        <v>357</v>
      </c>
    </row>
    <row r="63" spans="2:24" ht="31" thickBot="1">
      <c r="B63" s="127" t="s">
        <v>4</v>
      </c>
      <c r="C63" s="128"/>
      <c r="D63" s="128"/>
      <c r="E63" s="128"/>
      <c r="F63" s="128"/>
      <c r="G63" s="128"/>
      <c r="H63" s="129"/>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25" t="s">
        <v>5</v>
      </c>
      <c r="C64" s="813">
        <v>25</v>
      </c>
      <c r="D64" s="813">
        <v>25</v>
      </c>
      <c r="E64" s="813">
        <v>25</v>
      </c>
      <c r="F64" s="813">
        <v>25</v>
      </c>
      <c r="G64" s="813" t="s">
        <v>6</v>
      </c>
      <c r="H64" s="813"/>
      <c r="J64" s="50"/>
      <c r="K64" s="50"/>
      <c r="L64" s="51"/>
      <c r="M64" s="51"/>
      <c r="N64" s="51"/>
      <c r="O64" s="52"/>
      <c r="P64" s="50"/>
      <c r="Q64" s="50"/>
      <c r="R64" s="50"/>
      <c r="S64" s="50"/>
      <c r="T64" s="50"/>
      <c r="U64" s="50"/>
      <c r="V64" s="50"/>
      <c r="W64" s="50"/>
      <c r="X64" s="50"/>
    </row>
    <row r="65" spans="2:24" ht="28" thickBot="1">
      <c r="B65" s="125" t="s">
        <v>7</v>
      </c>
      <c r="C65" s="813">
        <v>100</v>
      </c>
      <c r="D65" s="813">
        <v>100</v>
      </c>
      <c r="E65" s="813">
        <v>100</v>
      </c>
      <c r="F65" s="813">
        <v>100</v>
      </c>
      <c r="G65" s="813"/>
      <c r="H65" s="813"/>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25" t="s">
        <v>8</v>
      </c>
      <c r="C66" s="813">
        <v>100</v>
      </c>
      <c r="D66" s="813">
        <v>100</v>
      </c>
      <c r="E66" s="813">
        <v>100</v>
      </c>
      <c r="F66" s="813">
        <v>100</v>
      </c>
      <c r="G66" s="813"/>
      <c r="H66" s="813"/>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6" thickBot="1">
      <c r="B67" s="125" t="s">
        <v>9</v>
      </c>
      <c r="C67" s="813">
        <v>100</v>
      </c>
      <c r="D67" s="813">
        <v>100</v>
      </c>
      <c r="E67" s="813">
        <v>100</v>
      </c>
      <c r="F67" s="813">
        <v>100</v>
      </c>
      <c r="G67" s="813"/>
      <c r="H67" s="813"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6" thickBot="1">
      <c r="B68" s="125" t="s">
        <v>11</v>
      </c>
      <c r="C68" s="813">
        <v>20</v>
      </c>
      <c r="D68" s="813">
        <v>20</v>
      </c>
      <c r="E68" s="813">
        <v>20</v>
      </c>
      <c r="F68" s="813">
        <v>20</v>
      </c>
      <c r="G68" s="813"/>
      <c r="H68" s="813">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6" thickBot="1">
      <c r="B69" s="127" t="s">
        <v>12</v>
      </c>
      <c r="C69" s="128"/>
      <c r="D69" s="128"/>
      <c r="E69" s="128"/>
      <c r="F69" s="128"/>
      <c r="G69" s="128"/>
      <c r="H69" s="129"/>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6" thickBot="1">
      <c r="B70" s="125" t="s">
        <v>13</v>
      </c>
      <c r="C70" s="813">
        <v>0</v>
      </c>
      <c r="D70" s="813">
        <v>0</v>
      </c>
      <c r="E70" s="813">
        <v>0</v>
      </c>
      <c r="F70" s="813">
        <v>0</v>
      </c>
      <c r="G70" s="813" t="s">
        <v>14</v>
      </c>
      <c r="H70" s="813"/>
    </row>
    <row r="71" spans="2:24" ht="16" thickBot="1">
      <c r="B71" s="125" t="s">
        <v>15</v>
      </c>
      <c r="C71" s="813" t="s">
        <v>1144</v>
      </c>
      <c r="D71" s="813" t="s">
        <v>1144</v>
      </c>
      <c r="E71" s="813" t="s">
        <v>1144</v>
      </c>
      <c r="F71" s="813" t="s">
        <v>1144</v>
      </c>
      <c r="G71" s="813" t="s">
        <v>16</v>
      </c>
      <c r="H71" s="813"/>
    </row>
    <row r="72" spans="2:24" ht="16" thickBot="1">
      <c r="B72" s="125" t="s">
        <v>17</v>
      </c>
      <c r="C72" s="813">
        <v>0</v>
      </c>
      <c r="D72" s="813">
        <v>0</v>
      </c>
      <c r="E72" s="813">
        <v>0</v>
      </c>
      <c r="F72" s="813">
        <v>0</v>
      </c>
      <c r="G72" s="813"/>
      <c r="H72" s="813"/>
    </row>
    <row r="73" spans="2:24" ht="16" thickBot="1">
      <c r="B73" s="125" t="s">
        <v>18</v>
      </c>
      <c r="C73" s="813">
        <v>0</v>
      </c>
      <c r="D73" s="813">
        <v>0</v>
      </c>
      <c r="E73" s="813">
        <v>0</v>
      </c>
      <c r="F73" s="813">
        <v>0</v>
      </c>
      <c r="G73" s="813"/>
      <c r="H73" s="813"/>
    </row>
    <row r="74" spans="2:24" ht="16" thickBot="1">
      <c r="B74" s="125" t="s">
        <v>19</v>
      </c>
      <c r="C74" s="813"/>
      <c r="D74" s="813"/>
      <c r="E74" s="813"/>
      <c r="F74" s="813"/>
      <c r="G74" s="813" t="s">
        <v>20</v>
      </c>
      <c r="H74" s="813" t="s">
        <v>21</v>
      </c>
    </row>
    <row r="75" spans="2:24" ht="16" thickBot="1">
      <c r="B75" s="127" t="s">
        <v>22</v>
      </c>
      <c r="C75" s="128"/>
      <c r="D75" s="128"/>
      <c r="E75" s="128"/>
      <c r="F75" s="128"/>
      <c r="G75" s="68" t="s">
        <v>329</v>
      </c>
      <c r="H75" s="813"/>
    </row>
    <row r="76" spans="2:24" ht="16" thickBot="1">
      <c r="B76" s="125" t="s">
        <v>23</v>
      </c>
      <c r="C76" s="43">
        <f>C77/C64</f>
        <v>0.48</v>
      </c>
      <c r="D76" s="43">
        <f>D77/D64</f>
        <v>0.48</v>
      </c>
      <c r="E76" s="43">
        <f>E77/E64</f>
        <v>0.48</v>
      </c>
      <c r="F76" s="43">
        <f>F77/F64</f>
        <v>0.48</v>
      </c>
      <c r="G76" s="73">
        <f>G84</f>
        <v>25</v>
      </c>
      <c r="H76" s="73" t="str">
        <f>H84</f>
        <v>kW</v>
      </c>
    </row>
    <row r="77" spans="2:24">
      <c r="B77" s="130" t="s">
        <v>24</v>
      </c>
      <c r="C77" s="131">
        <v>12</v>
      </c>
      <c r="D77" s="131">
        <v>12</v>
      </c>
      <c r="E77" s="131">
        <v>12</v>
      </c>
      <c r="F77" s="131">
        <v>12</v>
      </c>
      <c r="G77" s="131" t="s">
        <v>25</v>
      </c>
      <c r="H77" s="131"/>
    </row>
    <row r="78" spans="2:24">
      <c r="B78" s="130" t="s">
        <v>26</v>
      </c>
      <c r="C78" s="131" t="s">
        <v>27</v>
      </c>
      <c r="D78" s="131">
        <v>70</v>
      </c>
      <c r="E78" s="131">
        <v>70</v>
      </c>
      <c r="F78" s="131">
        <v>70</v>
      </c>
      <c r="G78" s="131"/>
      <c r="H78" s="131"/>
    </row>
    <row r="79" spans="2:24" ht="16" thickBot="1">
      <c r="B79" s="125" t="s">
        <v>28</v>
      </c>
      <c r="C79" s="813" t="s">
        <v>29</v>
      </c>
      <c r="D79" s="813">
        <v>30</v>
      </c>
      <c r="E79" s="813">
        <v>30</v>
      </c>
      <c r="F79" s="813">
        <v>30</v>
      </c>
      <c r="G79" s="813"/>
      <c r="H79" s="813"/>
    </row>
    <row r="80" spans="2:24" ht="28" thickBot="1">
      <c r="B80" s="125" t="s">
        <v>30</v>
      </c>
      <c r="C80" s="813"/>
      <c r="D80" s="813"/>
      <c r="E80" s="813"/>
      <c r="F80" s="813"/>
      <c r="G80" s="813"/>
      <c r="H80" s="813"/>
    </row>
    <row r="81" spans="2:24" ht="16" thickBot="1">
      <c r="B81" s="125" t="s">
        <v>1142</v>
      </c>
      <c r="C81" s="894">
        <v>500</v>
      </c>
      <c r="D81" s="894">
        <v>500</v>
      </c>
      <c r="E81" s="894">
        <v>500</v>
      </c>
      <c r="F81" s="894">
        <v>500</v>
      </c>
      <c r="G81" s="894" t="s">
        <v>25</v>
      </c>
      <c r="H81" s="813"/>
    </row>
    <row r="82" spans="2:24" ht="16" thickBot="1">
      <c r="B82" s="125" t="s">
        <v>31</v>
      </c>
      <c r="C82" s="813"/>
      <c r="D82" s="813"/>
      <c r="E82" s="813"/>
      <c r="F82" s="813"/>
      <c r="G82" s="813"/>
      <c r="H82" s="813"/>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6" thickBot="1">
      <c r="B86" s="36" t="s">
        <v>356</v>
      </c>
      <c r="C86" s="42">
        <f>C82*$G$4</f>
        <v>0</v>
      </c>
      <c r="D86" s="42">
        <f>D82*$G$4</f>
        <v>0</v>
      </c>
      <c r="E86" s="42">
        <f>E82*$G$4</f>
        <v>0</v>
      </c>
      <c r="F86" s="42">
        <f>F82*$G$4</f>
        <v>0</v>
      </c>
      <c r="G86" s="66"/>
      <c r="H86" s="63"/>
    </row>
    <row r="87" spans="2:24">
      <c r="B87" s="1257" t="s">
        <v>0</v>
      </c>
      <c r="C87" s="1259" t="s">
        <v>1143</v>
      </c>
      <c r="D87" s="1260"/>
      <c r="E87" s="1260"/>
      <c r="F87" s="1260"/>
      <c r="G87" s="1260"/>
      <c r="H87" s="1261"/>
      <c r="J87" s="1259" t="str">
        <f>C87</f>
        <v>Oil burner (bio oil)</v>
      </c>
      <c r="K87" s="1260"/>
      <c r="L87" s="1260"/>
      <c r="M87" s="1260"/>
      <c r="N87" s="1260"/>
      <c r="O87" s="1261"/>
    </row>
    <row r="88" spans="2:24" ht="16" thickBot="1">
      <c r="B88" s="1258"/>
      <c r="C88" s="1159" t="s">
        <v>35</v>
      </c>
      <c r="D88" s="1160"/>
      <c r="E88" s="1160"/>
      <c r="F88" s="1160"/>
      <c r="G88" s="1160"/>
      <c r="H88" s="1161"/>
      <c r="J88" s="1159" t="str">
        <f>C88</f>
        <v>Apartment complex, new building</v>
      </c>
      <c r="K88" s="1160"/>
      <c r="L88" s="1160"/>
      <c r="M88" s="1160"/>
      <c r="N88" s="1160"/>
      <c r="O88" s="1161"/>
    </row>
    <row r="89" spans="2:24" ht="16" thickBot="1">
      <c r="B89" s="125"/>
      <c r="C89" s="813">
        <v>2015</v>
      </c>
      <c r="D89" s="813">
        <v>2020</v>
      </c>
      <c r="E89" s="813">
        <v>2030</v>
      </c>
      <c r="F89" s="813">
        <v>2050</v>
      </c>
      <c r="G89" s="813" t="s">
        <v>2</v>
      </c>
      <c r="H89" s="813" t="s">
        <v>3</v>
      </c>
      <c r="J89" s="53" t="s">
        <v>357</v>
      </c>
    </row>
    <row r="90" spans="2:24" ht="31" thickBot="1">
      <c r="B90" s="127" t="s">
        <v>4</v>
      </c>
      <c r="C90" s="128"/>
      <c r="D90" s="128"/>
      <c r="E90" s="128"/>
      <c r="F90" s="128"/>
      <c r="G90" s="128"/>
      <c r="H90" s="129"/>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25" t="s">
        <v>5</v>
      </c>
      <c r="C91" s="813">
        <v>400</v>
      </c>
      <c r="D91" s="813">
        <v>400</v>
      </c>
      <c r="E91" s="813">
        <v>400</v>
      </c>
      <c r="F91" s="813">
        <v>400</v>
      </c>
      <c r="G91" s="813" t="s">
        <v>6</v>
      </c>
      <c r="H91" s="813"/>
      <c r="J91" s="50"/>
      <c r="K91" s="50"/>
      <c r="L91" s="51"/>
      <c r="M91" s="51"/>
      <c r="N91" s="51"/>
      <c r="O91" s="52"/>
      <c r="P91" s="50"/>
      <c r="Q91" s="50"/>
      <c r="R91" s="50"/>
      <c r="S91" s="50"/>
      <c r="T91" s="50"/>
      <c r="U91" s="50"/>
      <c r="V91" s="50"/>
      <c r="W91" s="50"/>
      <c r="X91" s="50"/>
    </row>
    <row r="92" spans="2:24" ht="28" thickBot="1">
      <c r="B92" s="125" t="s">
        <v>7</v>
      </c>
      <c r="C92" s="813">
        <v>100</v>
      </c>
      <c r="D92" s="813">
        <v>100</v>
      </c>
      <c r="E92" s="813">
        <v>100</v>
      </c>
      <c r="F92" s="813">
        <v>100</v>
      </c>
      <c r="G92" s="813"/>
      <c r="H92" s="813"/>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25" t="s">
        <v>8</v>
      </c>
      <c r="C93" s="813">
        <v>100</v>
      </c>
      <c r="D93" s="813">
        <v>100</v>
      </c>
      <c r="E93" s="813">
        <v>100</v>
      </c>
      <c r="F93" s="813">
        <v>100</v>
      </c>
      <c r="G93" s="813"/>
      <c r="H93" s="813"/>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6" thickBot="1">
      <c r="B94" s="125" t="s">
        <v>9</v>
      </c>
      <c r="C94" s="813">
        <v>100</v>
      </c>
      <c r="D94" s="813">
        <v>100</v>
      </c>
      <c r="E94" s="813">
        <v>100</v>
      </c>
      <c r="F94" s="813">
        <v>100</v>
      </c>
      <c r="G94" s="813"/>
      <c r="H94" s="813"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6" thickBot="1">
      <c r="B95" s="125" t="s">
        <v>11</v>
      </c>
      <c r="C95" s="813">
        <v>20</v>
      </c>
      <c r="D95" s="813">
        <v>20</v>
      </c>
      <c r="E95" s="813">
        <v>20</v>
      </c>
      <c r="F95" s="813">
        <v>20</v>
      </c>
      <c r="G95" s="813"/>
      <c r="H95" s="813">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6" thickBot="1">
      <c r="B96" s="127" t="s">
        <v>12</v>
      </c>
      <c r="C96" s="128"/>
      <c r="D96" s="128"/>
      <c r="E96" s="128"/>
      <c r="F96" s="128"/>
      <c r="G96" s="128"/>
      <c r="H96" s="129"/>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6" thickBot="1">
      <c r="B97" s="125" t="s">
        <v>13</v>
      </c>
      <c r="C97" s="813">
        <v>0</v>
      </c>
      <c r="D97" s="813">
        <v>0</v>
      </c>
      <c r="E97" s="813">
        <v>0</v>
      </c>
      <c r="F97" s="813">
        <v>0</v>
      </c>
      <c r="G97" s="813" t="s">
        <v>14</v>
      </c>
      <c r="H97" s="813"/>
    </row>
    <row r="98" spans="2:8" ht="16" thickBot="1">
      <c r="B98" s="125" t="s">
        <v>15</v>
      </c>
      <c r="C98" s="813" t="s">
        <v>1144</v>
      </c>
      <c r="D98" s="813" t="s">
        <v>1144</v>
      </c>
      <c r="E98" s="813" t="s">
        <v>1144</v>
      </c>
      <c r="F98" s="813" t="s">
        <v>1144</v>
      </c>
      <c r="G98" s="813" t="s">
        <v>16</v>
      </c>
      <c r="H98" s="813"/>
    </row>
    <row r="99" spans="2:8" ht="16" thickBot="1">
      <c r="B99" s="125" t="s">
        <v>17</v>
      </c>
      <c r="C99" s="813">
        <v>0</v>
      </c>
      <c r="D99" s="813">
        <v>0</v>
      </c>
      <c r="E99" s="813">
        <v>0</v>
      </c>
      <c r="F99" s="813">
        <v>0</v>
      </c>
      <c r="G99" s="813"/>
      <c r="H99" s="813"/>
    </row>
    <row r="100" spans="2:8" ht="16" thickBot="1">
      <c r="B100" s="125" t="s">
        <v>18</v>
      </c>
      <c r="C100" s="813">
        <v>0</v>
      </c>
      <c r="D100" s="813">
        <v>0</v>
      </c>
      <c r="E100" s="813">
        <v>0</v>
      </c>
      <c r="F100" s="813">
        <v>0</v>
      </c>
      <c r="G100" s="813"/>
      <c r="H100" s="813"/>
    </row>
    <row r="101" spans="2:8" ht="16" thickBot="1">
      <c r="B101" s="125" t="s">
        <v>19</v>
      </c>
      <c r="C101" s="813" t="s">
        <v>36</v>
      </c>
      <c r="D101" s="813" t="s">
        <v>36</v>
      </c>
      <c r="E101" s="813" t="s">
        <v>36</v>
      </c>
      <c r="F101" s="813" t="s">
        <v>36</v>
      </c>
      <c r="G101" s="813" t="s">
        <v>20</v>
      </c>
      <c r="H101" s="813" t="s">
        <v>21</v>
      </c>
    </row>
    <row r="102" spans="2:8" ht="16" thickBot="1">
      <c r="B102" s="127" t="s">
        <v>22</v>
      </c>
      <c r="C102" s="128"/>
      <c r="D102" s="128"/>
      <c r="E102" s="128"/>
      <c r="F102" s="128"/>
      <c r="G102" s="68" t="s">
        <v>329</v>
      </c>
      <c r="H102" s="813"/>
    </row>
    <row r="103" spans="2:8" ht="16" thickBot="1">
      <c r="B103" s="125" t="s">
        <v>23</v>
      </c>
      <c r="C103" s="43">
        <f>C104/C91</f>
        <v>0.1</v>
      </c>
      <c r="D103" s="43">
        <f>D104/D91</f>
        <v>0.1</v>
      </c>
      <c r="E103" s="43">
        <f>E104/E91</f>
        <v>0.1</v>
      </c>
      <c r="F103" s="43">
        <f>F104/F91</f>
        <v>0.1</v>
      </c>
      <c r="G103" s="73">
        <f>G111</f>
        <v>400</v>
      </c>
      <c r="H103" s="73" t="str">
        <f>H111</f>
        <v>kW</v>
      </c>
    </row>
    <row r="104" spans="2:8">
      <c r="B104" s="130" t="s">
        <v>1145</v>
      </c>
      <c r="C104" s="131">
        <v>40</v>
      </c>
      <c r="D104" s="131">
        <v>40</v>
      </c>
      <c r="E104" s="131">
        <v>40</v>
      </c>
      <c r="F104" s="131">
        <v>40</v>
      </c>
      <c r="G104" s="131" t="s">
        <v>25</v>
      </c>
      <c r="H104" s="131"/>
    </row>
    <row r="105" spans="2:8">
      <c r="B105" s="130" t="s">
        <v>26</v>
      </c>
      <c r="C105" s="131" t="s">
        <v>27</v>
      </c>
      <c r="D105" s="131">
        <v>70</v>
      </c>
      <c r="E105" s="131">
        <v>70</v>
      </c>
      <c r="F105" s="131">
        <v>70</v>
      </c>
      <c r="G105" s="131"/>
      <c r="H105" s="131"/>
    </row>
    <row r="106" spans="2:8" ht="16" thickBot="1">
      <c r="B106" s="125" t="s">
        <v>28</v>
      </c>
      <c r="C106" s="813" t="s">
        <v>29</v>
      </c>
      <c r="D106" s="813">
        <v>30</v>
      </c>
      <c r="E106" s="813">
        <v>30</v>
      </c>
      <c r="F106" s="813">
        <v>30</v>
      </c>
      <c r="G106" s="813"/>
      <c r="H106" s="813"/>
    </row>
    <row r="107" spans="2:8" ht="28" thickBot="1">
      <c r="B107" s="125" t="s">
        <v>30</v>
      </c>
      <c r="C107" s="813"/>
      <c r="D107" s="813"/>
      <c r="E107" s="813"/>
      <c r="F107" s="813"/>
      <c r="G107" s="813"/>
      <c r="H107" s="813"/>
    </row>
    <row r="108" spans="2:8" ht="16" thickBot="1">
      <c r="B108" s="125" t="s">
        <v>1142</v>
      </c>
      <c r="C108" s="894">
        <v>1000</v>
      </c>
      <c r="D108" s="894">
        <v>1000</v>
      </c>
      <c r="E108" s="894">
        <v>1000</v>
      </c>
      <c r="F108" s="894">
        <v>1000</v>
      </c>
      <c r="G108" s="894" t="s">
        <v>25</v>
      </c>
      <c r="H108" s="813"/>
    </row>
    <row r="109" spans="2:8" ht="16" thickBot="1">
      <c r="B109" s="125" t="s">
        <v>31</v>
      </c>
      <c r="C109" s="813"/>
      <c r="D109" s="813"/>
      <c r="E109" s="813"/>
      <c r="F109" s="813"/>
      <c r="G109" s="813"/>
      <c r="H109" s="813"/>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6" thickBot="1">
      <c r="B113" s="36" t="s">
        <v>356</v>
      </c>
      <c r="C113" s="42">
        <f>C109*$G$4</f>
        <v>0</v>
      </c>
      <c r="D113" s="42">
        <f>D109*$G$4</f>
        <v>0</v>
      </c>
      <c r="E113" s="42">
        <f>E109*$G$4</f>
        <v>0</v>
      </c>
      <c r="F113" s="42">
        <f>F109*$G$4</f>
        <v>0</v>
      </c>
      <c r="G113" s="66"/>
      <c r="H113" s="63"/>
    </row>
    <row r="156" spans="7:7">
      <c r="G156" s="214" t="s">
        <v>620</v>
      </c>
    </row>
  </sheetData>
  <mergeCells count="20">
    <mergeCell ref="B60:B61"/>
    <mergeCell ref="C60:H60"/>
    <mergeCell ref="J60:O60"/>
    <mergeCell ref="C61:H61"/>
    <mergeCell ref="J61:O61"/>
    <mergeCell ref="B87:B88"/>
    <mergeCell ref="C87:H87"/>
    <mergeCell ref="J87:O87"/>
    <mergeCell ref="C88:H88"/>
    <mergeCell ref="J88:O88"/>
    <mergeCell ref="B6:B7"/>
    <mergeCell ref="C6:H6"/>
    <mergeCell ref="J6:O6"/>
    <mergeCell ref="C7:H7"/>
    <mergeCell ref="J7:O7"/>
    <mergeCell ref="B33:B34"/>
    <mergeCell ref="C33:H33"/>
    <mergeCell ref="J33:O33"/>
    <mergeCell ref="C34:H34"/>
    <mergeCell ref="J34:O34"/>
  </mergeCells>
  <pageMargins left="0.7" right="0.7" top="0.75" bottom="0.75" header="0.3" footer="0.3"/>
  <pageSetup paperSize="9"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baseColWidth="10" defaultColWidth="8.83203125" defaultRowHeight="15"/>
  <cols>
    <col min="2" max="2" width="36.83203125" customWidth="1"/>
    <col min="3" max="6" width="11" bestFit="1" customWidth="1"/>
  </cols>
  <sheetData>
    <row r="2" spans="2:24">
      <c r="B2" s="8" t="s">
        <v>308</v>
      </c>
    </row>
    <row r="4" spans="2:24" ht="16" thickBot="1">
      <c r="E4" t="s">
        <v>358</v>
      </c>
      <c r="G4" s="36">
        <v>7.45</v>
      </c>
      <c r="H4" t="s">
        <v>328</v>
      </c>
    </row>
    <row r="5" spans="2:24" ht="15" customHeight="1">
      <c r="B5" s="1257" t="s">
        <v>0</v>
      </c>
      <c r="C5" s="1259" t="s">
        <v>37</v>
      </c>
      <c r="D5" s="1260"/>
      <c r="E5" s="1260"/>
      <c r="F5" s="1260"/>
      <c r="G5" s="1260"/>
      <c r="H5" s="1261"/>
      <c r="J5" s="1259" t="str">
        <f>C5</f>
        <v>Natural gas boiler</v>
      </c>
      <c r="K5" s="1260"/>
      <c r="L5" s="1260"/>
      <c r="M5" s="1260"/>
      <c r="N5" s="1260"/>
      <c r="O5" s="1261"/>
    </row>
    <row r="6" spans="2:24" ht="15.75" customHeight="1" thickBot="1">
      <c r="B6" s="1258"/>
      <c r="C6" s="1159" t="s">
        <v>38</v>
      </c>
      <c r="D6" s="1160"/>
      <c r="E6" s="1160"/>
      <c r="F6" s="1160"/>
      <c r="G6" s="1160"/>
      <c r="H6" s="1161"/>
      <c r="J6" s="1159" t="str">
        <f>C6</f>
        <v>One-family house, existing and new building</v>
      </c>
      <c r="K6" s="1160"/>
      <c r="L6" s="1160"/>
      <c r="M6" s="1160"/>
      <c r="N6" s="1160"/>
      <c r="O6" s="1161"/>
    </row>
    <row r="7" spans="2:24" ht="16" thickBot="1">
      <c r="B7" s="1"/>
      <c r="C7" s="80">
        <v>2015</v>
      </c>
      <c r="D7" s="80">
        <v>2020</v>
      </c>
      <c r="E7" s="80">
        <v>2030</v>
      </c>
      <c r="F7" s="80">
        <v>2050</v>
      </c>
      <c r="G7" s="80" t="s">
        <v>2</v>
      </c>
      <c r="H7" s="80" t="s">
        <v>3</v>
      </c>
      <c r="J7" s="53" t="s">
        <v>357</v>
      </c>
    </row>
    <row r="8" spans="2:24" ht="31" thickBot="1">
      <c r="B8" s="127" t="s">
        <v>4</v>
      </c>
      <c r="C8" s="128"/>
      <c r="D8" s="128"/>
      <c r="E8" s="128"/>
      <c r="F8" s="128"/>
      <c r="G8" s="128"/>
      <c r="H8" s="129"/>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6" thickBot="1">
      <c r="B9" s="125" t="s">
        <v>5</v>
      </c>
      <c r="C9" s="138" t="s">
        <v>277</v>
      </c>
      <c r="D9" s="138" t="s">
        <v>278</v>
      </c>
      <c r="E9" s="138" t="s">
        <v>279</v>
      </c>
      <c r="F9" s="138" t="s">
        <v>280</v>
      </c>
      <c r="G9" s="132"/>
      <c r="H9" s="132"/>
      <c r="J9" s="50"/>
      <c r="K9" s="50"/>
      <c r="L9" s="51"/>
      <c r="M9" s="51"/>
      <c r="N9" s="51"/>
      <c r="O9" s="52"/>
      <c r="P9" s="50"/>
      <c r="Q9" s="50"/>
      <c r="R9" s="50"/>
      <c r="S9" s="50"/>
      <c r="T9" s="50"/>
      <c r="U9" s="50"/>
      <c r="V9" s="50"/>
      <c r="W9" s="50"/>
      <c r="X9" s="50"/>
    </row>
    <row r="10" spans="2:24" ht="81" thickBot="1">
      <c r="B10" s="125" t="s">
        <v>7</v>
      </c>
      <c r="C10" s="132">
        <v>100</v>
      </c>
      <c r="D10" s="132">
        <v>100</v>
      </c>
      <c r="E10" s="132">
        <v>100</v>
      </c>
      <c r="F10" s="132">
        <v>100</v>
      </c>
      <c r="G10" s="132"/>
      <c r="H10" s="132"/>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8" thickBot="1">
      <c r="B11" s="125" t="s">
        <v>8</v>
      </c>
      <c r="C11" s="132">
        <v>100</v>
      </c>
      <c r="D11" s="132">
        <v>100</v>
      </c>
      <c r="E11" s="132">
        <v>100</v>
      </c>
      <c r="F11" s="132">
        <v>100</v>
      </c>
      <c r="G11" s="132"/>
      <c r="H11" s="132"/>
    </row>
    <row r="12" spans="2:24" ht="16" thickBot="1">
      <c r="B12" s="125" t="s">
        <v>9</v>
      </c>
      <c r="C12" s="132" t="s">
        <v>39</v>
      </c>
      <c r="D12" s="132" t="s">
        <v>39</v>
      </c>
      <c r="E12" s="132" t="s">
        <v>39</v>
      </c>
      <c r="F12" s="132" t="s">
        <v>39</v>
      </c>
      <c r="G12" s="132" t="s">
        <v>6</v>
      </c>
      <c r="H12" s="132">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6" thickBot="1">
      <c r="B13" s="125" t="s">
        <v>40</v>
      </c>
      <c r="C13" s="132" t="s">
        <v>41</v>
      </c>
      <c r="D13" s="132" t="s">
        <v>42</v>
      </c>
      <c r="E13" s="132" t="s">
        <v>43</v>
      </c>
      <c r="F13" s="132" t="s">
        <v>44</v>
      </c>
      <c r="G13" s="132"/>
      <c r="H13" s="132"/>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6" thickBot="1">
      <c r="B14" s="125" t="s">
        <v>11</v>
      </c>
      <c r="C14" s="132">
        <v>22</v>
      </c>
      <c r="D14" s="132">
        <v>22</v>
      </c>
      <c r="E14" s="132">
        <v>22</v>
      </c>
      <c r="F14" s="132">
        <v>22</v>
      </c>
      <c r="G14" s="132" t="s">
        <v>45</v>
      </c>
      <c r="H14" s="132">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6" thickBot="1">
      <c r="B15" s="127" t="s">
        <v>12</v>
      </c>
      <c r="C15" s="128"/>
      <c r="D15" s="128"/>
      <c r="E15" s="128"/>
      <c r="F15" s="128"/>
      <c r="G15" s="128"/>
      <c r="H15" s="129"/>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6" thickBot="1">
      <c r="B16" s="125" t="s">
        <v>13</v>
      </c>
      <c r="C16" s="35">
        <v>0</v>
      </c>
      <c r="D16" s="35">
        <v>0</v>
      </c>
      <c r="E16" s="35">
        <v>0</v>
      </c>
      <c r="F16" s="35">
        <v>0</v>
      </c>
      <c r="G16" s="126"/>
      <c r="H16" s="126">
        <v>5</v>
      </c>
    </row>
    <row r="17" spans="2:10" ht="16" thickBot="1">
      <c r="B17" s="125" t="s">
        <v>15</v>
      </c>
      <c r="C17" s="126">
        <v>20</v>
      </c>
      <c r="D17" s="126">
        <v>10</v>
      </c>
      <c r="E17" s="126">
        <v>5</v>
      </c>
      <c r="F17" s="43">
        <f>E17</f>
        <v>5</v>
      </c>
      <c r="G17" s="126" t="s">
        <v>46</v>
      </c>
      <c r="H17" s="126">
        <v>4</v>
      </c>
    </row>
    <row r="18" spans="2:10" ht="16" thickBot="1">
      <c r="B18" s="125" t="s">
        <v>17</v>
      </c>
      <c r="C18" s="126">
        <v>2</v>
      </c>
      <c r="D18" s="126">
        <v>1</v>
      </c>
      <c r="E18" s="126">
        <v>0.5</v>
      </c>
      <c r="F18" s="43">
        <f>E18</f>
        <v>0.5</v>
      </c>
      <c r="G18" s="126" t="s">
        <v>25</v>
      </c>
      <c r="H18" s="126">
        <v>5</v>
      </c>
    </row>
    <row r="19" spans="2:10" ht="16" thickBot="1">
      <c r="B19" s="125" t="s">
        <v>18</v>
      </c>
      <c r="C19" s="35">
        <v>0</v>
      </c>
      <c r="D19" s="35">
        <v>0</v>
      </c>
      <c r="E19" s="35">
        <v>0</v>
      </c>
      <c r="F19" s="35">
        <v>0</v>
      </c>
      <c r="G19" s="126"/>
      <c r="H19" s="126"/>
    </row>
    <row r="20" spans="2:10" ht="16" thickBot="1">
      <c r="B20" s="125" t="s">
        <v>19</v>
      </c>
      <c r="C20" s="35">
        <v>0</v>
      </c>
      <c r="D20" s="35">
        <v>0</v>
      </c>
      <c r="E20" s="35">
        <v>0</v>
      </c>
      <c r="F20" s="35">
        <v>0</v>
      </c>
      <c r="G20" s="126"/>
      <c r="H20" s="126"/>
      <c r="I20" s="64"/>
      <c r="J20" s="64"/>
    </row>
    <row r="21" spans="2:10" ht="16" thickBot="1">
      <c r="B21" s="3" t="s">
        <v>22</v>
      </c>
      <c r="C21" s="44" t="s">
        <v>325</v>
      </c>
      <c r="D21" s="4"/>
      <c r="E21" s="4"/>
      <c r="F21" s="4"/>
      <c r="G21" s="68" t="s">
        <v>329</v>
      </c>
      <c r="H21" s="39"/>
      <c r="I21" s="64"/>
      <c r="J21" s="64"/>
    </row>
    <row r="22" spans="2:10" ht="16" thickBot="1">
      <c r="B22" s="1" t="s">
        <v>23</v>
      </c>
      <c r="C22" s="43">
        <f>C23/$G30</f>
        <v>0.4</v>
      </c>
      <c r="D22" s="43">
        <f>D23/$G30</f>
        <v>0.4</v>
      </c>
      <c r="E22" s="43">
        <f>E23/$G30</f>
        <v>0.4</v>
      </c>
      <c r="F22" s="43">
        <f>F23/$G30</f>
        <v>0.4</v>
      </c>
      <c r="G22" s="73">
        <f>G30</f>
        <v>10</v>
      </c>
      <c r="H22" s="73" t="str">
        <f>H30</f>
        <v>kW</v>
      </c>
      <c r="I22" s="64"/>
      <c r="J22" s="64"/>
    </row>
    <row r="23" spans="2:10">
      <c r="B23" s="140" t="s">
        <v>24</v>
      </c>
      <c r="C23" s="135">
        <v>4</v>
      </c>
      <c r="D23" s="135">
        <v>4</v>
      </c>
      <c r="E23" s="135">
        <v>4</v>
      </c>
      <c r="F23" s="135">
        <v>4</v>
      </c>
      <c r="G23" s="135" t="s">
        <v>33</v>
      </c>
      <c r="H23" s="135"/>
      <c r="I23" s="64"/>
      <c r="J23" s="64"/>
    </row>
    <row r="24" spans="2:10">
      <c r="B24" s="141" t="s">
        <v>26</v>
      </c>
      <c r="C24" s="136" t="s">
        <v>47</v>
      </c>
      <c r="D24" s="136">
        <v>45</v>
      </c>
      <c r="E24" s="136">
        <v>45</v>
      </c>
      <c r="F24" s="136">
        <v>45</v>
      </c>
      <c r="G24" s="136"/>
      <c r="H24" s="136"/>
      <c r="I24" s="64"/>
      <c r="J24" s="64"/>
    </row>
    <row r="25" spans="2:10" ht="16" thickBot="1">
      <c r="B25" s="142" t="s">
        <v>28</v>
      </c>
      <c r="C25" s="137" t="s">
        <v>48</v>
      </c>
      <c r="D25" s="137">
        <v>55</v>
      </c>
      <c r="E25" s="137">
        <v>55</v>
      </c>
      <c r="F25" s="137">
        <v>55</v>
      </c>
      <c r="G25" s="137"/>
      <c r="H25" s="137"/>
      <c r="I25" s="64"/>
      <c r="J25" s="64"/>
    </row>
    <row r="26" spans="2:10" ht="27" thickBot="1">
      <c r="B26" s="142" t="s">
        <v>30</v>
      </c>
      <c r="C26" s="137">
        <v>2</v>
      </c>
      <c r="D26" s="137">
        <v>2</v>
      </c>
      <c r="E26" s="137">
        <v>2</v>
      </c>
      <c r="F26" s="137">
        <v>2</v>
      </c>
      <c r="G26" s="137" t="s">
        <v>49</v>
      </c>
      <c r="H26" s="137">
        <v>6</v>
      </c>
      <c r="I26" s="64"/>
      <c r="J26" s="64"/>
    </row>
    <row r="27" spans="2:10" ht="16" thickBot="1">
      <c r="B27" s="142" t="s">
        <v>64</v>
      </c>
      <c r="C27" s="137">
        <v>135</v>
      </c>
      <c r="D27" s="137">
        <v>135</v>
      </c>
      <c r="E27" s="137">
        <v>135</v>
      </c>
      <c r="F27" s="137">
        <v>135</v>
      </c>
      <c r="G27" s="137" t="s">
        <v>51</v>
      </c>
      <c r="H27" s="137"/>
      <c r="I27" s="64"/>
      <c r="J27" s="64"/>
    </row>
    <row r="28" spans="2:10" ht="16" thickBot="1">
      <c r="B28" s="142" t="s">
        <v>130</v>
      </c>
      <c r="C28" s="137">
        <v>100</v>
      </c>
      <c r="D28" s="137">
        <v>100</v>
      </c>
      <c r="E28" s="137">
        <v>100</v>
      </c>
      <c r="F28" s="137">
        <v>100</v>
      </c>
      <c r="G28" s="137" t="s">
        <v>52</v>
      </c>
      <c r="H28" s="137"/>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6" thickBot="1">
      <c r="B32" s="36" t="s">
        <v>356</v>
      </c>
      <c r="C32" s="36">
        <f>C28*$G$4/50</f>
        <v>14.9</v>
      </c>
      <c r="D32" s="36">
        <f>D28*$G$4/50</f>
        <v>14.9</v>
      </c>
      <c r="E32" s="36">
        <f>E28*$G$4/50</f>
        <v>14.9</v>
      </c>
      <c r="F32" s="36">
        <f>F28*$G$4/50</f>
        <v>14.9</v>
      </c>
      <c r="G32" s="66"/>
      <c r="H32" s="63"/>
    </row>
    <row r="33" spans="2:24" ht="15" customHeight="1">
      <c r="B33" s="1257" t="s">
        <v>0</v>
      </c>
      <c r="C33" s="1259" t="s">
        <v>37</v>
      </c>
      <c r="D33" s="1260"/>
      <c r="E33" s="1260"/>
      <c r="F33" s="1260"/>
      <c r="G33" s="1260"/>
      <c r="H33" s="1261"/>
      <c r="J33" s="1259" t="str">
        <f>C33</f>
        <v>Natural gas boiler</v>
      </c>
      <c r="K33" s="1260"/>
      <c r="L33" s="1260"/>
      <c r="M33" s="1260"/>
      <c r="N33" s="1260"/>
      <c r="O33" s="1261"/>
    </row>
    <row r="34" spans="2:24" ht="15.75" customHeight="1" thickBot="1">
      <c r="B34" s="1258"/>
      <c r="C34" s="1159" t="s">
        <v>53</v>
      </c>
      <c r="D34" s="1160"/>
      <c r="E34" s="1160"/>
      <c r="F34" s="1160"/>
      <c r="G34" s="1160"/>
      <c r="H34" s="1161"/>
      <c r="J34" s="1159" t="str">
        <f>C34</f>
        <v>Apartment complex, existing and new building</v>
      </c>
      <c r="K34" s="1160"/>
      <c r="L34" s="1160"/>
      <c r="M34" s="1160"/>
      <c r="N34" s="1160"/>
      <c r="O34" s="1161"/>
    </row>
    <row r="35" spans="2:24" ht="16" thickBot="1">
      <c r="B35" s="1"/>
      <c r="C35" s="80">
        <v>2015</v>
      </c>
      <c r="D35" s="80">
        <v>2020</v>
      </c>
      <c r="E35" s="80">
        <v>2030</v>
      </c>
      <c r="F35" s="80">
        <v>2050</v>
      </c>
      <c r="G35" s="80" t="s">
        <v>2</v>
      </c>
      <c r="H35" s="80" t="s">
        <v>3</v>
      </c>
      <c r="J35" s="53" t="s">
        <v>357</v>
      </c>
    </row>
    <row r="36" spans="2:24" ht="31"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25" t="s">
        <v>5</v>
      </c>
      <c r="C37" s="126" t="s">
        <v>54</v>
      </c>
      <c r="D37" s="126" t="s">
        <v>54</v>
      </c>
      <c r="E37" s="126" t="s">
        <v>54</v>
      </c>
      <c r="F37" s="126" t="s">
        <v>54</v>
      </c>
      <c r="G37" s="126"/>
      <c r="H37" s="126"/>
      <c r="J37" s="50"/>
      <c r="K37" s="50"/>
      <c r="L37" s="51"/>
      <c r="M37" s="51"/>
      <c r="N37" s="51"/>
      <c r="O37" s="52"/>
      <c r="P37" s="50"/>
      <c r="Q37" s="50"/>
      <c r="R37" s="50"/>
      <c r="S37" s="50"/>
      <c r="T37" s="50"/>
      <c r="U37" s="50"/>
      <c r="V37" s="50"/>
      <c r="W37" s="50"/>
      <c r="X37" s="50"/>
    </row>
    <row r="38" spans="2:24" ht="81" thickBot="1">
      <c r="B38" s="125" t="s">
        <v>7</v>
      </c>
      <c r="C38" s="126">
        <v>100</v>
      </c>
      <c r="D38" s="126">
        <v>100</v>
      </c>
      <c r="E38" s="126">
        <v>100</v>
      </c>
      <c r="F38" s="126">
        <v>100</v>
      </c>
      <c r="G38" s="126"/>
      <c r="H38" s="126"/>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25" t="s">
        <v>8</v>
      </c>
      <c r="C39" s="126">
        <v>100</v>
      </c>
      <c r="D39" s="126">
        <v>100</v>
      </c>
      <c r="E39" s="126">
        <v>100</v>
      </c>
      <c r="F39" s="126">
        <v>100</v>
      </c>
      <c r="G39" s="126"/>
      <c r="H39" s="126"/>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6" thickBot="1">
      <c r="B40" s="125" t="s">
        <v>9</v>
      </c>
      <c r="C40" s="126" t="s">
        <v>39</v>
      </c>
      <c r="D40" s="126" t="s">
        <v>39</v>
      </c>
      <c r="E40" s="126" t="s">
        <v>39</v>
      </c>
      <c r="F40" s="126" t="s">
        <v>39</v>
      </c>
      <c r="G40" s="126"/>
      <c r="H40" s="126"/>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6" thickBot="1">
      <c r="B41" s="125" t="s">
        <v>40</v>
      </c>
      <c r="C41" s="126">
        <v>400</v>
      </c>
      <c r="D41" s="126">
        <v>300</v>
      </c>
      <c r="E41" s="126">
        <v>200</v>
      </c>
      <c r="F41" s="126">
        <v>100</v>
      </c>
      <c r="G41" s="126"/>
      <c r="H41" s="126"/>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6" thickBot="1">
      <c r="B42" s="125" t="s">
        <v>11</v>
      </c>
      <c r="C42" s="126">
        <v>25</v>
      </c>
      <c r="D42" s="126">
        <v>25</v>
      </c>
      <c r="E42" s="126">
        <v>25</v>
      </c>
      <c r="F42" s="126">
        <v>25</v>
      </c>
      <c r="G42" s="126"/>
      <c r="H42" s="126"/>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6" thickBot="1">
      <c r="B43" s="127" t="s">
        <v>12</v>
      </c>
      <c r="C43" s="128"/>
      <c r="D43" s="128"/>
      <c r="E43" s="128"/>
      <c r="F43" s="128"/>
      <c r="G43" s="128"/>
      <c r="H43" s="129"/>
    </row>
    <row r="44" spans="2:24" ht="16" thickBot="1">
      <c r="B44" s="125" t="s">
        <v>13</v>
      </c>
      <c r="C44" s="35">
        <v>0</v>
      </c>
      <c r="D44" s="35">
        <v>0</v>
      </c>
      <c r="E44" s="35">
        <v>0</v>
      </c>
      <c r="F44" s="35">
        <v>0</v>
      </c>
      <c r="G44" s="126"/>
      <c r="H44" s="126"/>
    </row>
    <row r="45" spans="2:24" ht="16" thickBot="1">
      <c r="B45" s="125" t="s">
        <v>15</v>
      </c>
      <c r="C45" s="126">
        <v>20</v>
      </c>
      <c r="D45" s="126">
        <v>10</v>
      </c>
      <c r="E45" s="126">
        <v>5</v>
      </c>
      <c r="F45" s="126">
        <v>5</v>
      </c>
      <c r="G45" s="126"/>
      <c r="H45" s="126"/>
    </row>
    <row r="46" spans="2:24" ht="16" thickBot="1">
      <c r="B46" s="125" t="s">
        <v>17</v>
      </c>
      <c r="C46" s="126">
        <v>2</v>
      </c>
      <c r="D46" s="126">
        <v>1</v>
      </c>
      <c r="E46" s="126">
        <v>0.5</v>
      </c>
      <c r="F46" s="126">
        <v>0.5</v>
      </c>
      <c r="G46" s="126"/>
      <c r="H46" s="126"/>
    </row>
    <row r="47" spans="2:24" ht="16" thickBot="1">
      <c r="B47" s="125" t="s">
        <v>18</v>
      </c>
      <c r="C47" s="35">
        <v>0</v>
      </c>
      <c r="D47" s="35">
        <v>0</v>
      </c>
      <c r="E47" s="35">
        <v>0</v>
      </c>
      <c r="F47" s="35">
        <v>0</v>
      </c>
      <c r="G47" s="126"/>
      <c r="H47" s="126"/>
    </row>
    <row r="48" spans="2:24" ht="16" thickBot="1">
      <c r="B48" s="125" t="s">
        <v>19</v>
      </c>
      <c r="C48" s="35">
        <v>0</v>
      </c>
      <c r="D48" s="35">
        <v>0</v>
      </c>
      <c r="E48" s="35">
        <v>0</v>
      </c>
      <c r="F48" s="35">
        <v>0</v>
      </c>
      <c r="G48" s="126"/>
      <c r="H48" s="126"/>
    </row>
    <row r="49" spans="2:13" ht="16" thickBot="1">
      <c r="B49" s="3" t="s">
        <v>22</v>
      </c>
      <c r="C49" s="4"/>
      <c r="D49" s="4"/>
      <c r="E49" s="4"/>
      <c r="F49" s="4"/>
      <c r="G49" s="68" t="s">
        <v>329</v>
      </c>
      <c r="H49" s="39"/>
      <c r="I49" s="64"/>
      <c r="J49" s="64"/>
      <c r="K49" s="64"/>
      <c r="L49" s="64">
        <f>35/750</f>
        <v>4.6666666666666669E-2</v>
      </c>
    </row>
    <row r="50" spans="2:13" ht="16"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0" t="s">
        <v>24</v>
      </c>
      <c r="C51" s="139" t="s">
        <v>281</v>
      </c>
      <c r="D51" s="139" t="s">
        <v>282</v>
      </c>
      <c r="E51" s="139" t="s">
        <v>283</v>
      </c>
      <c r="F51" s="139" t="s">
        <v>283</v>
      </c>
      <c r="G51" s="131" t="s">
        <v>55</v>
      </c>
      <c r="H51" s="131"/>
      <c r="I51" s="64"/>
      <c r="J51" s="64"/>
      <c r="K51" s="64"/>
      <c r="L51" s="64"/>
    </row>
    <row r="52" spans="2:13">
      <c r="B52" s="130" t="s">
        <v>26</v>
      </c>
      <c r="C52" s="131" t="s">
        <v>56</v>
      </c>
      <c r="D52" s="131" t="s">
        <v>56</v>
      </c>
      <c r="E52" s="131" t="s">
        <v>56</v>
      </c>
      <c r="F52" s="131" t="s">
        <v>56</v>
      </c>
      <c r="G52" s="131"/>
      <c r="H52" s="131"/>
      <c r="I52" s="64"/>
      <c r="J52" s="64"/>
      <c r="K52" s="64"/>
      <c r="L52" s="64"/>
    </row>
    <row r="53" spans="2:13" ht="16" thickBot="1">
      <c r="B53" s="125" t="s">
        <v>28</v>
      </c>
      <c r="C53" s="126" t="s">
        <v>57</v>
      </c>
      <c r="D53" s="126" t="s">
        <v>57</v>
      </c>
      <c r="E53" s="126" t="s">
        <v>57</v>
      </c>
      <c r="F53" s="126" t="s">
        <v>57</v>
      </c>
      <c r="G53" s="126"/>
      <c r="H53" s="126"/>
      <c r="I53" s="64"/>
      <c r="J53" s="64"/>
      <c r="K53" s="64"/>
      <c r="L53" s="64"/>
    </row>
    <row r="54" spans="2:13" ht="28" thickBot="1">
      <c r="B54" s="125" t="s">
        <v>30</v>
      </c>
      <c r="C54" s="126">
        <v>2</v>
      </c>
      <c r="D54" s="126">
        <v>2</v>
      </c>
      <c r="E54" s="126">
        <v>2</v>
      </c>
      <c r="F54" s="126">
        <v>2</v>
      </c>
      <c r="G54" s="126" t="s">
        <v>49</v>
      </c>
      <c r="H54" s="126">
        <v>6</v>
      </c>
      <c r="I54" s="64"/>
      <c r="J54" s="64"/>
      <c r="K54" s="64"/>
      <c r="L54" s="64"/>
    </row>
    <row r="55" spans="2:13" ht="16" thickBot="1">
      <c r="B55" s="125" t="s">
        <v>50</v>
      </c>
      <c r="C55" s="126">
        <v>4</v>
      </c>
      <c r="D55" s="126">
        <v>4</v>
      </c>
      <c r="E55" s="126">
        <v>4</v>
      </c>
      <c r="F55" s="126">
        <v>4</v>
      </c>
      <c r="G55" s="126"/>
      <c r="H55" s="126"/>
      <c r="I55" s="64"/>
      <c r="J55" s="64"/>
      <c r="K55" s="64"/>
      <c r="L55" s="64"/>
    </row>
    <row r="56" spans="2:13" ht="16" thickBot="1">
      <c r="B56" s="125" t="s">
        <v>31</v>
      </c>
      <c r="C56" s="126">
        <v>2</v>
      </c>
      <c r="D56" s="126">
        <v>2</v>
      </c>
      <c r="E56" s="126">
        <v>2</v>
      </c>
      <c r="F56" s="126">
        <v>2</v>
      </c>
      <c r="G56" s="126"/>
      <c r="H56" s="126"/>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6"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63" t="s">
        <v>620</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baseColWidth="10" defaultColWidth="9.1640625" defaultRowHeight="15"/>
  <cols>
    <col min="1" max="1" width="9.1640625" style="224"/>
    <col min="2" max="2" width="40.83203125" style="224" customWidth="1"/>
    <col min="3" max="3" width="18.1640625" style="224" customWidth="1"/>
    <col min="4" max="5" width="11.5" style="224" bestFit="1" customWidth="1"/>
    <col min="6" max="6" width="12.83203125" style="224" bestFit="1" customWidth="1"/>
    <col min="7" max="8" width="9.1640625" style="224"/>
    <col min="9" max="9" width="7.5" style="224" customWidth="1"/>
    <col min="10" max="16384" width="9.1640625" style="224"/>
  </cols>
  <sheetData>
    <row r="1" spans="2:24">
      <c r="B1" s="229" t="s">
        <v>480</v>
      </c>
    </row>
    <row r="2" spans="2:24">
      <c r="B2" s="8" t="s">
        <v>481</v>
      </c>
    </row>
    <row r="3" spans="2:24">
      <c r="B3" s="8"/>
    </row>
    <row r="4" spans="2:24">
      <c r="E4" s="224" t="s">
        <v>358</v>
      </c>
      <c r="G4" s="36">
        <v>7.45</v>
      </c>
      <c r="H4" s="224" t="s">
        <v>328</v>
      </c>
    </row>
    <row r="5" spans="2:24" ht="16" thickBot="1"/>
    <row r="6" spans="2:24">
      <c r="B6" s="1268" t="s">
        <v>0</v>
      </c>
      <c r="C6" s="1269" t="s">
        <v>482</v>
      </c>
      <c r="D6" s="1270"/>
      <c r="E6" s="1270"/>
      <c r="F6" s="1270"/>
      <c r="G6" s="1270"/>
      <c r="H6" s="1271"/>
      <c r="J6" s="1259" t="str">
        <f>C6</f>
        <v>District Heating Boiler, Wood Chips</v>
      </c>
      <c r="K6" s="1260"/>
      <c r="L6" s="1260"/>
      <c r="M6" s="1260"/>
      <c r="N6" s="1260"/>
      <c r="O6" s="1261"/>
    </row>
    <row r="7" spans="2:24" ht="16" thickBot="1">
      <c r="B7" s="1268"/>
      <c r="C7" s="1272"/>
      <c r="D7" s="1273"/>
      <c r="E7" s="1273"/>
      <c r="F7" s="1273"/>
      <c r="G7" s="1273"/>
      <c r="H7" s="1274"/>
      <c r="J7" s="1159"/>
      <c r="K7" s="1160"/>
      <c r="L7" s="1160"/>
      <c r="M7" s="1160"/>
      <c r="N7" s="1160"/>
      <c r="O7" s="1161"/>
    </row>
    <row r="8" spans="2:24">
      <c r="B8" s="233"/>
      <c r="C8" s="234">
        <v>2015</v>
      </c>
      <c r="D8" s="234">
        <v>2020</v>
      </c>
      <c r="E8" s="234">
        <v>2030</v>
      </c>
      <c r="F8" s="234">
        <v>2050</v>
      </c>
      <c r="G8" s="234" t="s">
        <v>2</v>
      </c>
      <c r="H8" s="234" t="s">
        <v>3</v>
      </c>
      <c r="J8" s="53" t="s">
        <v>357</v>
      </c>
    </row>
    <row r="9" spans="2:24" ht="30">
      <c r="B9" s="235" t="s">
        <v>4</v>
      </c>
      <c r="C9" s="230"/>
      <c r="D9" s="230"/>
      <c r="E9" s="230"/>
      <c r="F9" s="230"/>
      <c r="G9" s="230"/>
      <c r="H9" s="2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233" t="s">
        <v>483</v>
      </c>
      <c r="C10" s="237" t="s">
        <v>487</v>
      </c>
      <c r="D10" s="237" t="s">
        <v>487</v>
      </c>
      <c r="E10" s="237" t="s">
        <v>487</v>
      </c>
      <c r="F10" s="237" t="s">
        <v>487</v>
      </c>
      <c r="G10" s="238"/>
      <c r="H10" s="238" t="s">
        <v>488</v>
      </c>
      <c r="J10" s="50"/>
      <c r="K10" s="50"/>
      <c r="L10" s="51"/>
      <c r="M10" s="51"/>
      <c r="N10" s="51"/>
      <c r="O10" s="52"/>
      <c r="P10" s="50"/>
      <c r="Q10" s="50"/>
      <c r="R10" s="50"/>
      <c r="S10" s="50"/>
      <c r="T10" s="50"/>
      <c r="U10" s="50"/>
      <c r="V10" s="50"/>
      <c r="W10" s="50"/>
      <c r="X10" s="50"/>
    </row>
    <row r="11" spans="2:24">
      <c r="B11" s="233" t="s">
        <v>363</v>
      </c>
      <c r="C11" s="232">
        <v>108</v>
      </c>
      <c r="D11" s="232">
        <v>108</v>
      </c>
      <c r="E11" s="232">
        <v>108</v>
      </c>
      <c r="F11" s="232">
        <v>108</v>
      </c>
      <c r="G11" s="232"/>
      <c r="H11" s="238"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33" t="s">
        <v>484</v>
      </c>
      <c r="C12" s="232" t="s">
        <v>489</v>
      </c>
      <c r="D12" s="232" t="s">
        <v>489</v>
      </c>
      <c r="E12" s="232" t="s">
        <v>489</v>
      </c>
      <c r="F12" s="232" t="s">
        <v>489</v>
      </c>
      <c r="G12" s="232"/>
      <c r="H12" s="238"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33" t="s">
        <v>11</v>
      </c>
      <c r="C13" s="232">
        <v>20</v>
      </c>
      <c r="D13" s="232">
        <v>20</v>
      </c>
      <c r="E13" s="232">
        <v>20</v>
      </c>
      <c r="F13" s="232">
        <v>20</v>
      </c>
      <c r="G13" s="232"/>
      <c r="H13" s="238"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33" t="s">
        <v>273</v>
      </c>
      <c r="C14" s="232" t="s">
        <v>490</v>
      </c>
      <c r="D14" s="232" t="s">
        <v>490</v>
      </c>
      <c r="E14" s="232" t="s">
        <v>490</v>
      </c>
      <c r="F14" s="232" t="s">
        <v>490</v>
      </c>
      <c r="G14" s="232"/>
      <c r="H14" s="238"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39" t="s">
        <v>12</v>
      </c>
      <c r="C15" s="240"/>
      <c r="D15" s="240"/>
      <c r="E15" s="240"/>
      <c r="F15" s="240"/>
      <c r="G15" s="240"/>
      <c r="H15" s="241"/>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c r="B16" s="233" t="s">
        <v>13</v>
      </c>
      <c r="C16" s="231">
        <v>1.9</v>
      </c>
      <c r="D16" s="231">
        <v>1.9</v>
      </c>
      <c r="E16" s="231">
        <v>1.9</v>
      </c>
      <c r="F16" s="231">
        <v>1.9</v>
      </c>
      <c r="G16" s="232"/>
      <c r="H16" s="238" t="s">
        <v>492</v>
      </c>
    </row>
    <row r="17" spans="2:15">
      <c r="B17" s="233" t="s">
        <v>15</v>
      </c>
      <c r="C17" s="232">
        <v>81</v>
      </c>
      <c r="D17" s="232">
        <v>81</v>
      </c>
      <c r="E17" s="232">
        <v>81</v>
      </c>
      <c r="F17" s="232">
        <v>81</v>
      </c>
      <c r="G17" s="232"/>
      <c r="H17" s="238" t="s">
        <v>492</v>
      </c>
    </row>
    <row r="18" spans="2:15">
      <c r="B18" s="233" t="s">
        <v>491</v>
      </c>
      <c r="C18" s="232">
        <v>6.1</v>
      </c>
      <c r="D18" s="232">
        <v>6.1</v>
      </c>
      <c r="E18" s="232">
        <v>6.1</v>
      </c>
      <c r="F18" s="232">
        <v>6.1</v>
      </c>
      <c r="G18" s="232"/>
      <c r="H18" s="238" t="s">
        <v>492</v>
      </c>
    </row>
    <row r="19" spans="2:15">
      <c r="B19" s="233" t="s">
        <v>367</v>
      </c>
      <c r="C19" s="244">
        <v>0.8</v>
      </c>
      <c r="D19" s="244">
        <v>0.8</v>
      </c>
      <c r="E19" s="244">
        <v>0.8</v>
      </c>
      <c r="F19" s="244">
        <v>0.8</v>
      </c>
      <c r="G19" s="244"/>
      <c r="H19" s="238" t="s">
        <v>492</v>
      </c>
    </row>
    <row r="20" spans="2:15">
      <c r="B20" s="243" t="s">
        <v>22</v>
      </c>
      <c r="C20" s="245"/>
      <c r="D20" s="246"/>
      <c r="E20" s="246"/>
      <c r="F20" s="246"/>
      <c r="G20" s="247"/>
      <c r="H20" s="248"/>
    </row>
    <row r="21" spans="2:15">
      <c r="B21" s="233" t="s">
        <v>485</v>
      </c>
      <c r="C21" s="249" t="s">
        <v>493</v>
      </c>
      <c r="D21" s="249" t="s">
        <v>493</v>
      </c>
      <c r="E21" s="249" t="s">
        <v>493</v>
      </c>
      <c r="F21" s="249" t="s">
        <v>493</v>
      </c>
      <c r="G21" s="250"/>
      <c r="H21" s="250">
        <v>1</v>
      </c>
      <c r="I21" s="55"/>
      <c r="J21" s="55"/>
      <c r="K21" s="55"/>
      <c r="L21" s="55"/>
      <c r="M21" s="55"/>
      <c r="N21" s="55"/>
      <c r="O21" s="55"/>
    </row>
    <row r="22" spans="2:15">
      <c r="B22" s="233" t="s">
        <v>486</v>
      </c>
      <c r="C22" s="231">
        <v>5.4</v>
      </c>
      <c r="D22" s="231">
        <v>5.4</v>
      </c>
      <c r="E22" s="231">
        <v>5.4</v>
      </c>
      <c r="F22" s="231">
        <v>5.4</v>
      </c>
      <c r="G22" s="231"/>
      <c r="H22" s="231">
        <v>1</v>
      </c>
      <c r="I22" s="242"/>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6" thickBot="1">
      <c r="B26" s="36" t="s">
        <v>356</v>
      </c>
      <c r="C26" s="251">
        <f>C22*$G$4/3.6</f>
        <v>11.175000000000001</v>
      </c>
      <c r="D26" s="251">
        <f>D22*$G$4/3.6</f>
        <v>11.175000000000001</v>
      </c>
      <c r="E26" s="251">
        <f>E22*$G$4/3.6</f>
        <v>11.175000000000001</v>
      </c>
      <c r="F26" s="251">
        <f>F22*$G$4/3.6</f>
        <v>11.175000000000001</v>
      </c>
      <c r="G26" s="66"/>
      <c r="H26" s="63"/>
    </row>
    <row r="30" spans="2:15">
      <c r="B30" s="224" t="s">
        <v>494</v>
      </c>
    </row>
    <row r="31" spans="2:15">
      <c r="B31" s="224" t="s">
        <v>495</v>
      </c>
    </row>
    <row r="32" spans="2:15">
      <c r="B32" s="224" t="s">
        <v>496</v>
      </c>
    </row>
    <row r="34" spans="2:4">
      <c r="B34" s="305" t="s">
        <v>630</v>
      </c>
      <c r="C34" s="303"/>
      <c r="D34" s="303"/>
    </row>
    <row r="35" spans="2:4">
      <c r="B35" s="303"/>
      <c r="C35" s="303"/>
      <c r="D35" s="303"/>
    </row>
    <row r="36" spans="2:4">
      <c r="B36" s="303" t="s">
        <v>631</v>
      </c>
      <c r="C36" s="303"/>
      <c r="D36" s="303"/>
    </row>
    <row r="37" spans="2:4">
      <c r="B37" s="303" t="s">
        <v>632</v>
      </c>
      <c r="C37" s="303"/>
      <c r="D37" s="303"/>
    </row>
    <row r="38" spans="2:4">
      <c r="B38" s="303"/>
      <c r="C38" s="303"/>
      <c r="D38" s="303"/>
    </row>
    <row r="39" spans="2:4">
      <c r="B39" s="303" t="s">
        <v>633</v>
      </c>
      <c r="C39" s="303" t="s">
        <v>634</v>
      </c>
      <c r="D39" s="304">
        <v>0.5</v>
      </c>
    </row>
    <row r="40" spans="2:4">
      <c r="B40" s="303"/>
      <c r="C40" s="303" t="s">
        <v>635</v>
      </c>
      <c r="D40" s="304">
        <f>1-D39</f>
        <v>0.5</v>
      </c>
    </row>
    <row r="156" spans="7:7">
      <c r="G156" s="263" t="s">
        <v>620</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baseColWidth="10" defaultColWidth="8.83203125" defaultRowHeight="15"/>
  <cols>
    <col min="2" max="2" width="40.83203125" customWidth="1"/>
    <col min="3" max="3" width="18.1640625" customWidth="1"/>
    <col min="4" max="5" width="11.5" bestFit="1" customWidth="1"/>
    <col min="6" max="6" width="12.83203125" bestFit="1" customWidth="1"/>
    <col min="9" max="9" width="7.5" customWidth="1"/>
  </cols>
  <sheetData>
    <row r="3" spans="2:24">
      <c r="B3" s="8" t="s">
        <v>310</v>
      </c>
    </row>
    <row r="4" spans="2:24">
      <c r="E4" t="s">
        <v>358</v>
      </c>
      <c r="G4" s="36">
        <v>7.45</v>
      </c>
      <c r="H4" t="s">
        <v>328</v>
      </c>
    </row>
    <row r="5" spans="2:24" ht="16" thickBot="1"/>
    <row r="6" spans="2:24">
      <c r="B6" s="1257" t="s">
        <v>0</v>
      </c>
      <c r="C6" s="1259" t="s">
        <v>66</v>
      </c>
      <c r="D6" s="1260"/>
      <c r="E6" s="1260"/>
      <c r="F6" s="1260"/>
      <c r="G6" s="1260"/>
      <c r="H6" s="1261"/>
      <c r="J6" s="1259" t="str">
        <f>C6</f>
        <v>Biomass boiler, automatic stoking</v>
      </c>
      <c r="K6" s="1260"/>
      <c r="L6" s="1260"/>
      <c r="M6" s="1260"/>
      <c r="N6" s="1260"/>
      <c r="O6" s="1261"/>
    </row>
    <row r="7" spans="2:24" ht="16" thickBot="1">
      <c r="B7" s="1258"/>
      <c r="C7" s="1159" t="s">
        <v>1</v>
      </c>
      <c r="D7" s="1160"/>
      <c r="E7" s="1160"/>
      <c r="F7" s="1160"/>
      <c r="G7" s="1160"/>
      <c r="H7" s="1161"/>
      <c r="J7" s="1159" t="str">
        <f>C7</f>
        <v>One-family house, existing building</v>
      </c>
      <c r="K7" s="1160"/>
      <c r="L7" s="1160"/>
      <c r="M7" s="1160"/>
      <c r="N7" s="1160"/>
      <c r="O7" s="1161"/>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6"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6"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6"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6" thickBot="1">
      <c r="B16" s="1" t="s">
        <v>13</v>
      </c>
      <c r="C16" s="35">
        <v>0</v>
      </c>
      <c r="D16" s="35">
        <v>0</v>
      </c>
      <c r="E16" s="35">
        <v>0</v>
      </c>
      <c r="F16" s="35">
        <v>0</v>
      </c>
      <c r="G16" s="2"/>
      <c r="H16" s="2"/>
    </row>
    <row r="17" spans="2:15" ht="16" thickBot="1">
      <c r="B17" s="1" t="s">
        <v>15</v>
      </c>
      <c r="C17" s="2">
        <v>90</v>
      </c>
      <c r="D17" s="2">
        <v>70</v>
      </c>
      <c r="E17" s="2">
        <v>50</v>
      </c>
      <c r="F17" s="2">
        <v>40</v>
      </c>
      <c r="G17" s="2"/>
      <c r="H17" s="2">
        <v>5</v>
      </c>
    </row>
    <row r="18" spans="2:15" ht="16" thickBot="1">
      <c r="B18" s="1" t="s">
        <v>17</v>
      </c>
      <c r="C18" s="2">
        <v>3</v>
      </c>
      <c r="D18" s="2">
        <v>2</v>
      </c>
      <c r="E18" s="2">
        <v>1</v>
      </c>
      <c r="F18" s="2">
        <v>0</v>
      </c>
      <c r="G18" s="2"/>
      <c r="H18" s="2" t="s">
        <v>69</v>
      </c>
    </row>
    <row r="19" spans="2:15" ht="16" thickBot="1">
      <c r="B19" s="1" t="s">
        <v>18</v>
      </c>
      <c r="C19" s="35">
        <v>0</v>
      </c>
      <c r="D19" s="35">
        <v>0</v>
      </c>
      <c r="E19" s="35">
        <v>0</v>
      </c>
      <c r="F19" s="35">
        <v>0</v>
      </c>
      <c r="G19" s="2"/>
      <c r="H19" s="2"/>
    </row>
    <row r="20" spans="2:15" ht="16" thickBot="1">
      <c r="B20" s="1" t="s">
        <v>19</v>
      </c>
      <c r="C20" s="2">
        <v>10</v>
      </c>
      <c r="D20" s="2">
        <v>8</v>
      </c>
      <c r="E20" s="2">
        <v>6</v>
      </c>
      <c r="F20" s="2">
        <v>4</v>
      </c>
      <c r="G20" s="2" t="s">
        <v>16</v>
      </c>
      <c r="H20" s="2" t="s">
        <v>69</v>
      </c>
    </row>
    <row r="21" spans="2:15" ht="16" thickBot="1">
      <c r="B21" s="3" t="s">
        <v>22</v>
      </c>
      <c r="C21" s="4"/>
      <c r="D21" s="4"/>
      <c r="E21" s="4"/>
      <c r="F21" s="4"/>
      <c r="G21" s="68" t="s">
        <v>329</v>
      </c>
      <c r="H21" s="39"/>
    </row>
    <row r="22" spans="2:15" ht="16"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6" thickBot="1">
      <c r="B25" s="1" t="s">
        <v>73</v>
      </c>
      <c r="C25" s="2" t="s">
        <v>74</v>
      </c>
      <c r="D25" s="2" t="s">
        <v>74</v>
      </c>
      <c r="E25" s="2" t="s">
        <v>74</v>
      </c>
      <c r="F25" s="2" t="s">
        <v>74</v>
      </c>
      <c r="G25" s="2"/>
      <c r="H25" s="38"/>
      <c r="I25" s="77"/>
      <c r="J25" s="54"/>
      <c r="K25" s="54"/>
      <c r="L25" s="54"/>
      <c r="M25" s="54"/>
      <c r="N25" s="54"/>
      <c r="O25" s="54"/>
    </row>
    <row r="26" spans="2:15" ht="16" thickBot="1">
      <c r="B26" s="1" t="s">
        <v>30</v>
      </c>
      <c r="C26" s="2">
        <v>1.6</v>
      </c>
      <c r="D26" s="2">
        <v>1.6</v>
      </c>
      <c r="E26" s="2">
        <v>1.6</v>
      </c>
      <c r="F26" s="2">
        <v>1.6</v>
      </c>
      <c r="G26" s="2" t="s">
        <v>75</v>
      </c>
      <c r="H26" s="38"/>
      <c r="I26" s="62"/>
      <c r="J26" s="55"/>
      <c r="K26" s="55"/>
      <c r="L26" s="55"/>
      <c r="M26" s="55"/>
      <c r="N26" s="55"/>
      <c r="O26" s="55"/>
    </row>
    <row r="27" spans="2:15" ht="16" thickBot="1">
      <c r="B27" s="1" t="s">
        <v>50</v>
      </c>
      <c r="C27" s="2">
        <v>2</v>
      </c>
      <c r="D27" s="2">
        <v>2</v>
      </c>
      <c r="E27" s="2">
        <v>3</v>
      </c>
      <c r="F27" s="2">
        <v>3</v>
      </c>
      <c r="G27" s="2" t="s">
        <v>76</v>
      </c>
      <c r="H27" s="2">
        <v>6</v>
      </c>
    </row>
    <row r="28" spans="2:15" ht="16"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6" thickBot="1">
      <c r="B32" s="36" t="s">
        <v>356</v>
      </c>
      <c r="C32" s="103">
        <f>C28</f>
        <v>0</v>
      </c>
      <c r="D32" s="103">
        <f>D28</f>
        <v>0</v>
      </c>
      <c r="E32" s="103">
        <f>E28</f>
        <v>0</v>
      </c>
      <c r="F32" s="103">
        <f>F28</f>
        <v>0</v>
      </c>
      <c r="G32" s="66"/>
      <c r="H32" s="63"/>
    </row>
    <row r="33" spans="2:24">
      <c r="B33" s="1257" t="s">
        <v>0</v>
      </c>
      <c r="C33" s="1259" t="s">
        <v>66</v>
      </c>
      <c r="D33" s="1260"/>
      <c r="E33" s="1260"/>
      <c r="F33" s="1260"/>
      <c r="G33" s="1260"/>
      <c r="H33" s="1261"/>
      <c r="J33" s="1259" t="str">
        <f>C33</f>
        <v>Biomass boiler, automatic stoking</v>
      </c>
      <c r="K33" s="1260"/>
      <c r="L33" s="1260"/>
      <c r="M33" s="1260"/>
      <c r="N33" s="1260"/>
      <c r="O33" s="1261"/>
    </row>
    <row r="34" spans="2:24" ht="16" thickBot="1">
      <c r="B34" s="1258"/>
      <c r="C34" s="1159" t="s">
        <v>32</v>
      </c>
      <c r="D34" s="1160"/>
      <c r="E34" s="1160"/>
      <c r="F34" s="1160"/>
      <c r="G34" s="1160"/>
      <c r="H34" s="1161"/>
      <c r="J34" s="1159" t="str">
        <f>C34</f>
        <v>Apartment complex, existing building</v>
      </c>
      <c r="K34" s="1160"/>
      <c r="L34" s="1160"/>
      <c r="M34" s="1160"/>
      <c r="N34" s="1160"/>
      <c r="O34" s="1161"/>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8"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6"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6"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6"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6" thickBot="1">
      <c r="B43" s="1" t="s">
        <v>13</v>
      </c>
      <c r="C43" s="179">
        <v>0</v>
      </c>
      <c r="D43" s="179">
        <v>0</v>
      </c>
      <c r="E43" s="179">
        <v>0</v>
      </c>
      <c r="F43" s="179">
        <v>0</v>
      </c>
      <c r="G43" s="9"/>
      <c r="H43" s="9"/>
    </row>
    <row r="44" spans="2:24" ht="16" thickBot="1">
      <c r="B44" s="1" t="s">
        <v>15</v>
      </c>
      <c r="C44" s="9">
        <v>90</v>
      </c>
      <c r="D44" s="9">
        <v>70</v>
      </c>
      <c r="E44" s="9">
        <v>50</v>
      </c>
      <c r="F44" s="9">
        <v>40</v>
      </c>
      <c r="G44" s="9"/>
      <c r="H44" s="9">
        <v>5</v>
      </c>
    </row>
    <row r="45" spans="2:24" ht="16" thickBot="1">
      <c r="B45" s="1" t="s">
        <v>17</v>
      </c>
      <c r="C45" s="9">
        <v>3</v>
      </c>
      <c r="D45" s="9">
        <v>2</v>
      </c>
      <c r="E45" s="9">
        <v>1</v>
      </c>
      <c r="F45" s="9">
        <v>0</v>
      </c>
      <c r="G45" s="9"/>
      <c r="H45" s="9" t="s">
        <v>69</v>
      </c>
    </row>
    <row r="46" spans="2:24" ht="16" thickBot="1">
      <c r="B46" s="1" t="s">
        <v>18</v>
      </c>
      <c r="C46" s="179">
        <v>0</v>
      </c>
      <c r="D46" s="179">
        <v>0</v>
      </c>
      <c r="E46" s="179">
        <v>0</v>
      </c>
      <c r="F46" s="179">
        <v>0</v>
      </c>
      <c r="G46" s="9"/>
      <c r="H46" s="9"/>
    </row>
    <row r="47" spans="2:24" ht="16" thickBot="1">
      <c r="B47" s="1" t="s">
        <v>19</v>
      </c>
      <c r="C47" s="9">
        <v>10</v>
      </c>
      <c r="D47" s="9">
        <v>8</v>
      </c>
      <c r="E47" s="9">
        <v>6</v>
      </c>
      <c r="F47" s="9">
        <v>4</v>
      </c>
      <c r="G47" s="9"/>
      <c r="H47" s="9">
        <v>5</v>
      </c>
    </row>
    <row r="48" spans="2:24" ht="16" thickBot="1">
      <c r="B48" s="3" t="s">
        <v>22</v>
      </c>
      <c r="C48" s="12"/>
      <c r="D48" s="12"/>
      <c r="E48" s="12"/>
      <c r="F48" s="12"/>
      <c r="G48" s="12"/>
      <c r="H48" s="13"/>
    </row>
    <row r="49" spans="2:24" ht="16"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6" thickBot="1">
      <c r="B52" s="1" t="s">
        <v>73</v>
      </c>
      <c r="C52" s="9" t="s">
        <v>68</v>
      </c>
      <c r="D52" s="9" t="s">
        <v>68</v>
      </c>
      <c r="E52" s="9" t="s">
        <v>68</v>
      </c>
      <c r="F52" s="9" t="s">
        <v>68</v>
      </c>
      <c r="G52" s="9"/>
      <c r="H52" s="9"/>
    </row>
    <row r="53" spans="2:24" ht="16" thickBot="1">
      <c r="B53" s="1" t="s">
        <v>30</v>
      </c>
      <c r="C53" s="25" t="s">
        <v>287</v>
      </c>
      <c r="D53" s="25" t="s">
        <v>287</v>
      </c>
      <c r="E53" s="25" t="s">
        <v>288</v>
      </c>
      <c r="F53" s="25" t="s">
        <v>288</v>
      </c>
      <c r="G53" s="9" t="s">
        <v>76</v>
      </c>
      <c r="H53" s="9"/>
    </row>
    <row r="54" spans="2:24" ht="16" thickBot="1">
      <c r="B54" s="1" t="s">
        <v>50</v>
      </c>
      <c r="C54" s="9">
        <v>6.3</v>
      </c>
      <c r="D54" s="9">
        <v>6.3</v>
      </c>
      <c r="E54" s="9">
        <v>7</v>
      </c>
      <c r="F54" s="9">
        <v>8</v>
      </c>
      <c r="G54" s="9" t="s">
        <v>25</v>
      </c>
      <c r="H54" s="9">
        <v>7</v>
      </c>
    </row>
    <row r="55" spans="2:24" ht="16" thickBot="1">
      <c r="B55" s="1" t="s">
        <v>31</v>
      </c>
      <c r="C55" s="179">
        <v>0</v>
      </c>
      <c r="D55" s="179">
        <v>0</v>
      </c>
      <c r="E55" s="179">
        <v>0</v>
      </c>
      <c r="F55" s="179">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6" thickBot="1">
      <c r="B59" s="36" t="s">
        <v>356</v>
      </c>
      <c r="C59" s="42">
        <f>C55</f>
        <v>0</v>
      </c>
      <c r="D59" s="42">
        <f>D55</f>
        <v>0</v>
      </c>
      <c r="E59" s="42">
        <f>E55</f>
        <v>0</v>
      </c>
      <c r="F59" s="42">
        <f>F55</f>
        <v>0</v>
      </c>
      <c r="G59" s="66"/>
      <c r="H59" s="63"/>
    </row>
    <row r="60" spans="2:24">
      <c r="B60" s="1257" t="s">
        <v>0</v>
      </c>
      <c r="C60" s="1259" t="s">
        <v>66</v>
      </c>
      <c r="D60" s="1260"/>
      <c r="E60" s="1260"/>
      <c r="F60" s="1260"/>
      <c r="G60" s="1260"/>
      <c r="H60" s="1261"/>
      <c r="J60" s="1259" t="str">
        <f>C60</f>
        <v>Biomass boiler, automatic stoking</v>
      </c>
      <c r="K60" s="1260"/>
      <c r="L60" s="1260"/>
      <c r="M60" s="1260"/>
      <c r="N60" s="1260"/>
      <c r="O60" s="1261"/>
    </row>
    <row r="61" spans="2:24" ht="16" thickBot="1">
      <c r="B61" s="1258"/>
      <c r="C61" s="1159" t="s">
        <v>34</v>
      </c>
      <c r="D61" s="1160"/>
      <c r="E61" s="1160"/>
      <c r="F61" s="1160"/>
      <c r="G61" s="1160"/>
      <c r="H61" s="1161"/>
      <c r="J61" s="1159" t="str">
        <f>C61</f>
        <v>One-family house, new building</v>
      </c>
      <c r="K61" s="1160"/>
      <c r="L61" s="1160"/>
      <c r="M61" s="1160"/>
      <c r="N61" s="1160"/>
      <c r="O61" s="1161"/>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8"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6"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6"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6"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6" thickBot="1">
      <c r="B70" s="1" t="s">
        <v>13</v>
      </c>
      <c r="C70" s="179">
        <v>0</v>
      </c>
      <c r="D70" s="179">
        <v>0</v>
      </c>
      <c r="E70" s="179">
        <v>0</v>
      </c>
      <c r="F70" s="179">
        <v>0</v>
      </c>
      <c r="G70" s="9"/>
      <c r="H70" s="9"/>
    </row>
    <row r="71" spans="2:24" ht="16" thickBot="1">
      <c r="B71" s="1" t="s">
        <v>15</v>
      </c>
      <c r="C71" s="9">
        <v>90</v>
      </c>
      <c r="D71" s="9">
        <v>70</v>
      </c>
      <c r="E71" s="9">
        <v>50</v>
      </c>
      <c r="F71" s="9">
        <v>40</v>
      </c>
      <c r="G71" s="9"/>
      <c r="H71" s="9">
        <v>5</v>
      </c>
    </row>
    <row r="72" spans="2:24" ht="16" thickBot="1">
      <c r="B72" s="1" t="s">
        <v>17</v>
      </c>
      <c r="C72" s="9">
        <v>3</v>
      </c>
      <c r="D72" s="9">
        <v>2</v>
      </c>
      <c r="E72" s="9">
        <v>1</v>
      </c>
      <c r="F72" s="9">
        <v>0</v>
      </c>
      <c r="G72" s="9"/>
      <c r="H72" s="9" t="s">
        <v>69</v>
      </c>
    </row>
    <row r="73" spans="2:24" ht="16" thickBot="1">
      <c r="B73" s="1" t="s">
        <v>18</v>
      </c>
      <c r="C73" s="179">
        <v>0</v>
      </c>
      <c r="D73" s="179">
        <v>0</v>
      </c>
      <c r="E73" s="179">
        <v>0</v>
      </c>
      <c r="F73" s="179">
        <v>0</v>
      </c>
      <c r="G73" s="9"/>
      <c r="H73" s="9"/>
    </row>
    <row r="74" spans="2:24" ht="16" thickBot="1">
      <c r="B74" s="1" t="s">
        <v>19</v>
      </c>
      <c r="C74" s="9">
        <v>10</v>
      </c>
      <c r="D74" s="9">
        <v>8</v>
      </c>
      <c r="E74" s="9">
        <v>6</v>
      </c>
      <c r="F74" s="9">
        <v>4</v>
      </c>
      <c r="G74" s="9" t="s">
        <v>16</v>
      </c>
      <c r="H74" s="9" t="s">
        <v>69</v>
      </c>
    </row>
    <row r="75" spans="2:24" ht="16" thickBot="1">
      <c r="B75" s="3" t="s">
        <v>22</v>
      </c>
      <c r="C75" s="4"/>
      <c r="D75" s="4"/>
      <c r="E75" s="4"/>
      <c r="F75" s="4"/>
      <c r="G75" s="68" t="s">
        <v>329</v>
      </c>
      <c r="H75" s="39"/>
    </row>
    <row r="76" spans="2:24" ht="16"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6" thickBot="1">
      <c r="B79" s="1" t="s">
        <v>73</v>
      </c>
      <c r="C79" s="9" t="s">
        <v>74</v>
      </c>
      <c r="D79" s="9" t="s">
        <v>74</v>
      </c>
      <c r="E79" s="9" t="s">
        <v>74</v>
      </c>
      <c r="F79" s="9" t="s">
        <v>74</v>
      </c>
      <c r="G79" s="9"/>
      <c r="H79" s="9"/>
    </row>
    <row r="80" spans="2:24" ht="16" thickBot="1">
      <c r="B80" s="1" t="s">
        <v>30</v>
      </c>
      <c r="C80" s="9">
        <v>1.3</v>
      </c>
      <c r="D80" s="9">
        <v>1.3</v>
      </c>
      <c r="E80" s="9">
        <v>1.3</v>
      </c>
      <c r="F80" s="9">
        <v>1.3</v>
      </c>
      <c r="G80" s="9" t="s">
        <v>75</v>
      </c>
      <c r="H80" s="9"/>
    </row>
    <row r="81" spans="2:24" ht="16" thickBot="1">
      <c r="B81" s="1" t="s">
        <v>50</v>
      </c>
      <c r="C81" s="9">
        <v>2</v>
      </c>
      <c r="D81" s="9">
        <v>2</v>
      </c>
      <c r="E81" s="9">
        <v>3</v>
      </c>
      <c r="F81" s="9">
        <v>3</v>
      </c>
      <c r="G81" s="9" t="s">
        <v>76</v>
      </c>
      <c r="H81" s="9">
        <v>6</v>
      </c>
    </row>
    <row r="82" spans="2:24" ht="16" thickBot="1">
      <c r="B82" s="1" t="s">
        <v>31</v>
      </c>
      <c r="C82" s="179">
        <v>0</v>
      </c>
      <c r="D82" s="179">
        <v>0</v>
      </c>
      <c r="E82" s="179">
        <v>0</v>
      </c>
      <c r="F82" s="179">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6" thickBot="1">
      <c r="B86" s="36" t="s">
        <v>356</v>
      </c>
      <c r="C86" s="42">
        <f>C82</f>
        <v>0</v>
      </c>
      <c r="D86" s="42">
        <f>D82</f>
        <v>0</v>
      </c>
      <c r="E86" s="42">
        <f>E82</f>
        <v>0</v>
      </c>
      <c r="F86" s="42">
        <f>F82</f>
        <v>0</v>
      </c>
      <c r="G86" s="66"/>
      <c r="H86" s="63"/>
    </row>
    <row r="87" spans="2:24">
      <c r="B87" s="1257" t="s">
        <v>0</v>
      </c>
      <c r="C87" s="1259" t="s">
        <v>66</v>
      </c>
      <c r="D87" s="1260"/>
      <c r="E87" s="1260"/>
      <c r="F87" s="1260"/>
      <c r="G87" s="1260"/>
      <c r="H87" s="1261"/>
      <c r="J87" s="1259" t="str">
        <f>C87</f>
        <v>Biomass boiler, automatic stoking</v>
      </c>
      <c r="K87" s="1260"/>
      <c r="L87" s="1260"/>
      <c r="M87" s="1260"/>
      <c r="N87" s="1260"/>
      <c r="O87" s="1261"/>
    </row>
    <row r="88" spans="2:24" ht="16" thickBot="1">
      <c r="B88" s="1258"/>
      <c r="C88" s="1159" t="s">
        <v>35</v>
      </c>
      <c r="D88" s="1160"/>
      <c r="E88" s="1160"/>
      <c r="F88" s="1160"/>
      <c r="G88" s="1160"/>
      <c r="H88" s="1161"/>
      <c r="J88" s="1159" t="str">
        <f>C88</f>
        <v>Apartment complex, new building</v>
      </c>
      <c r="K88" s="1160"/>
      <c r="L88" s="1160"/>
      <c r="M88" s="1160"/>
      <c r="N88" s="1160"/>
      <c r="O88" s="1161"/>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8"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6"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6"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6"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6" thickBot="1">
      <c r="B97" s="1" t="s">
        <v>13</v>
      </c>
      <c r="C97" s="179">
        <v>0</v>
      </c>
      <c r="D97" s="179">
        <v>0</v>
      </c>
      <c r="E97" s="179">
        <v>0</v>
      </c>
      <c r="F97" s="179">
        <v>0</v>
      </c>
      <c r="G97" s="9"/>
      <c r="H97" s="9"/>
    </row>
    <row r="98" spans="2:8" ht="16" thickBot="1">
      <c r="B98" s="1" t="s">
        <v>15</v>
      </c>
      <c r="C98" s="9">
        <v>90</v>
      </c>
      <c r="D98" s="9">
        <v>70</v>
      </c>
      <c r="E98" s="9">
        <v>50</v>
      </c>
      <c r="F98" s="9">
        <v>40</v>
      </c>
      <c r="G98" s="9"/>
      <c r="H98" s="9">
        <v>5</v>
      </c>
    </row>
    <row r="99" spans="2:8" ht="16" thickBot="1">
      <c r="B99" s="1" t="s">
        <v>17</v>
      </c>
      <c r="C99" s="9">
        <v>3</v>
      </c>
      <c r="D99" s="9">
        <v>2</v>
      </c>
      <c r="E99" s="9">
        <v>1</v>
      </c>
      <c r="F99" s="9">
        <v>0</v>
      </c>
      <c r="G99" s="9"/>
      <c r="H99" s="9" t="s">
        <v>69</v>
      </c>
    </row>
    <row r="100" spans="2:8" ht="16" thickBot="1">
      <c r="B100" s="1" t="s">
        <v>18</v>
      </c>
      <c r="C100" s="179">
        <v>0</v>
      </c>
      <c r="D100" s="179">
        <v>0</v>
      </c>
      <c r="E100" s="179">
        <v>0</v>
      </c>
      <c r="F100" s="179">
        <v>0</v>
      </c>
      <c r="G100" s="9"/>
      <c r="H100" s="9"/>
    </row>
    <row r="101" spans="2:8" ht="16" thickBot="1">
      <c r="B101" s="1" t="s">
        <v>19</v>
      </c>
      <c r="C101" s="9">
        <v>10</v>
      </c>
      <c r="D101" s="9">
        <v>8</v>
      </c>
      <c r="E101" s="9">
        <v>6</v>
      </c>
      <c r="F101" s="9">
        <v>4</v>
      </c>
      <c r="G101" s="9"/>
      <c r="H101" s="9" t="s">
        <v>69</v>
      </c>
    </row>
    <row r="102" spans="2:8" ht="16" thickBot="1">
      <c r="B102" s="3" t="s">
        <v>22</v>
      </c>
      <c r="C102" s="12"/>
      <c r="D102" s="12"/>
      <c r="E102" s="12"/>
      <c r="F102" s="12"/>
      <c r="G102" s="12"/>
      <c r="H102" s="13"/>
    </row>
    <row r="103" spans="2:8" ht="16"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6" thickBot="1">
      <c r="B106" s="1" t="s">
        <v>73</v>
      </c>
      <c r="C106" s="9" t="s">
        <v>68</v>
      </c>
      <c r="D106" s="9" t="s">
        <v>68</v>
      </c>
      <c r="E106" s="9" t="s">
        <v>68</v>
      </c>
      <c r="F106" s="9" t="s">
        <v>68</v>
      </c>
      <c r="G106" s="9"/>
      <c r="H106" s="9"/>
    </row>
    <row r="107" spans="2:8" ht="16" thickBot="1">
      <c r="B107" s="1" t="s">
        <v>30</v>
      </c>
      <c r="C107" s="25" t="s">
        <v>287</v>
      </c>
      <c r="D107" s="25" t="s">
        <v>287</v>
      </c>
      <c r="E107" s="25" t="s">
        <v>288</v>
      </c>
      <c r="F107" s="25" t="s">
        <v>288</v>
      </c>
      <c r="G107" s="9" t="s">
        <v>76</v>
      </c>
      <c r="H107" s="9"/>
    </row>
    <row r="108" spans="2:8" ht="16" thickBot="1">
      <c r="B108" s="1" t="s">
        <v>50</v>
      </c>
      <c r="C108" s="9">
        <v>6.3</v>
      </c>
      <c r="D108" s="9">
        <v>6.3</v>
      </c>
      <c r="E108" s="9">
        <v>7</v>
      </c>
      <c r="F108" s="9">
        <v>8</v>
      </c>
      <c r="G108" s="9" t="s">
        <v>25</v>
      </c>
      <c r="H108" s="9">
        <v>7</v>
      </c>
    </row>
    <row r="109" spans="2:8" ht="16" thickBot="1">
      <c r="B109" s="1" t="s">
        <v>31</v>
      </c>
      <c r="C109" s="179">
        <v>0</v>
      </c>
      <c r="D109" s="179">
        <v>0</v>
      </c>
      <c r="E109" s="179">
        <v>0</v>
      </c>
      <c r="F109" s="179">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6" thickBot="1">
      <c r="B113" s="36" t="s">
        <v>356</v>
      </c>
      <c r="C113" s="42">
        <f>C109</f>
        <v>0</v>
      </c>
      <c r="D113" s="42">
        <f>D109</f>
        <v>0</v>
      </c>
      <c r="E113" s="42">
        <f>E109</f>
        <v>0</v>
      </c>
      <c r="F113" s="42">
        <f>F109</f>
        <v>0</v>
      </c>
      <c r="G113" s="66"/>
      <c r="H113" s="63"/>
    </row>
    <row r="156" spans="7:7">
      <c r="G156" s="263" t="s">
        <v>620</v>
      </c>
    </row>
  </sheetData>
  <mergeCells count="20">
    <mergeCell ref="J6:O6"/>
    <mergeCell ref="J7:O7"/>
    <mergeCell ref="B6:B7"/>
    <mergeCell ref="C6:H6"/>
    <mergeCell ref="C7:H7"/>
    <mergeCell ref="B87:B88"/>
    <mergeCell ref="C87:H87"/>
    <mergeCell ref="C88:H88"/>
    <mergeCell ref="B33:B34"/>
    <mergeCell ref="C33:H33"/>
    <mergeCell ref="C34:H34"/>
    <mergeCell ref="B60:B61"/>
    <mergeCell ref="C60:H60"/>
    <mergeCell ref="C61:H61"/>
    <mergeCell ref="J87:O87"/>
    <mergeCell ref="J88:O88"/>
    <mergeCell ref="J60:O60"/>
    <mergeCell ref="J61:O61"/>
    <mergeCell ref="J33:O33"/>
    <mergeCell ref="J34:O34"/>
  </mergeCells>
  <pageMargins left="0.7" right="0.7" top="0.75" bottom="0.75" header="0.3" footer="0.3"/>
  <pageSetup paperSize="9" orientation="portrait"/>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baseColWidth="10" defaultColWidth="8.83203125" defaultRowHeight="15"/>
  <cols>
    <col min="2" max="2" width="36.83203125" customWidth="1"/>
  </cols>
  <sheetData>
    <row r="3" spans="2:8">
      <c r="B3" s="8" t="s">
        <v>311</v>
      </c>
    </row>
    <row r="5" spans="2:8" ht="16" thickBot="1"/>
    <row r="6" spans="2:8">
      <c r="B6" s="1257" t="s">
        <v>0</v>
      </c>
      <c r="C6" s="1259" t="s">
        <v>78</v>
      </c>
      <c r="D6" s="1260"/>
      <c r="E6" s="1260"/>
      <c r="F6" s="1260"/>
      <c r="G6" s="1260"/>
      <c r="H6" s="1261"/>
    </row>
    <row r="7" spans="2:8" ht="16" thickBot="1">
      <c r="B7" s="1258"/>
      <c r="C7" s="1159" t="s">
        <v>1</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7" t="s">
        <v>284</v>
      </c>
      <c r="D10" s="27" t="s">
        <v>277</v>
      </c>
      <c r="E10" s="27" t="s">
        <v>285</v>
      </c>
      <c r="F10" s="27" t="s">
        <v>285</v>
      </c>
      <c r="G10" s="2" t="s">
        <v>6</v>
      </c>
      <c r="H10" s="2" t="s">
        <v>67</v>
      </c>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75</v>
      </c>
      <c r="D13" s="2">
        <v>82</v>
      </c>
      <c r="E13" s="2">
        <v>86</v>
      </c>
      <c r="F13" s="2">
        <v>90</v>
      </c>
      <c r="G13" s="2"/>
      <c r="H13" s="2">
        <v>5</v>
      </c>
    </row>
    <row r="14" spans="2:8" ht="16" thickBot="1">
      <c r="B14" s="1" t="s">
        <v>11</v>
      </c>
      <c r="C14" s="2">
        <v>20</v>
      </c>
      <c r="D14" s="2">
        <v>20</v>
      </c>
      <c r="E14" s="2">
        <v>20</v>
      </c>
      <c r="F14" s="2">
        <v>20</v>
      </c>
      <c r="G14" s="2"/>
      <c r="H14" s="2">
        <v>6</v>
      </c>
    </row>
    <row r="15" spans="2:8" ht="16" thickBot="1">
      <c r="B15" s="3" t="s">
        <v>12</v>
      </c>
      <c r="C15" s="4"/>
      <c r="D15" s="4"/>
      <c r="E15" s="4"/>
      <c r="F15" s="4"/>
      <c r="G15" s="4"/>
      <c r="H15" s="5"/>
    </row>
    <row r="16" spans="2:8" ht="16" thickBot="1">
      <c r="B16" s="1" t="s">
        <v>13</v>
      </c>
      <c r="C16" s="35">
        <v>0</v>
      </c>
      <c r="D16" s="35">
        <v>0</v>
      </c>
      <c r="E16" s="35">
        <v>0</v>
      </c>
      <c r="F16" s="35">
        <v>0</v>
      </c>
      <c r="G16" s="2"/>
      <c r="H16" s="2"/>
    </row>
    <row r="17" spans="2:8" ht="16" thickBot="1">
      <c r="B17" s="1" t="s">
        <v>15</v>
      </c>
      <c r="C17" s="2">
        <v>80</v>
      </c>
      <c r="D17" s="2">
        <v>70</v>
      </c>
      <c r="E17" s="2">
        <v>60</v>
      </c>
      <c r="F17" s="2">
        <v>50</v>
      </c>
      <c r="G17" s="2"/>
      <c r="H17" s="2">
        <v>5</v>
      </c>
    </row>
    <row r="18" spans="2:8" ht="16" thickBot="1">
      <c r="B18" s="1" t="s">
        <v>17</v>
      </c>
      <c r="C18" s="2">
        <v>3</v>
      </c>
      <c r="D18" s="2">
        <v>2</v>
      </c>
      <c r="E18" s="2">
        <v>1</v>
      </c>
      <c r="F18" s="2">
        <v>0</v>
      </c>
      <c r="G18" s="2"/>
      <c r="H18" s="2" t="s">
        <v>69</v>
      </c>
    </row>
    <row r="19" spans="2:8" ht="16" thickBot="1">
      <c r="B19" s="1" t="s">
        <v>18</v>
      </c>
      <c r="C19" s="35">
        <v>0</v>
      </c>
      <c r="D19" s="35">
        <v>0</v>
      </c>
      <c r="E19" s="35">
        <v>0</v>
      </c>
      <c r="F19" s="35">
        <v>0</v>
      </c>
      <c r="G19" s="2"/>
      <c r="H19" s="2"/>
    </row>
    <row r="20" spans="2:8" ht="16" thickBot="1">
      <c r="B20" s="1" t="s">
        <v>19</v>
      </c>
      <c r="C20" s="2">
        <v>15</v>
      </c>
      <c r="D20" s="2">
        <v>12</v>
      </c>
      <c r="E20" s="2">
        <v>9</v>
      </c>
      <c r="F20" s="2">
        <v>6</v>
      </c>
      <c r="G20" s="2" t="s">
        <v>16</v>
      </c>
      <c r="H20" s="2">
        <v>5</v>
      </c>
    </row>
    <row r="21" spans="2:8" ht="16" thickBot="1">
      <c r="B21" s="3" t="s">
        <v>22</v>
      </c>
      <c r="C21" s="4"/>
      <c r="D21" s="4"/>
      <c r="E21" s="4"/>
      <c r="F21" s="4"/>
      <c r="G21" s="4"/>
      <c r="H21" s="5"/>
    </row>
    <row r="22" spans="2:8" ht="16"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6" thickBot="1">
      <c r="B25" s="1" t="s">
        <v>73</v>
      </c>
      <c r="C25" s="2" t="s">
        <v>80</v>
      </c>
      <c r="D25" s="2">
        <v>1.5</v>
      </c>
      <c r="E25" s="2">
        <v>1.5</v>
      </c>
      <c r="F25" s="2">
        <v>1.5</v>
      </c>
      <c r="G25" s="2"/>
      <c r="H25" s="2"/>
    </row>
    <row r="26" spans="2:8" ht="28" thickBot="1">
      <c r="B26" s="1" t="s">
        <v>30</v>
      </c>
      <c r="C26" s="2">
        <v>3.1</v>
      </c>
      <c r="D26" s="2">
        <v>3.1</v>
      </c>
      <c r="E26" s="2">
        <v>3.1</v>
      </c>
      <c r="F26" s="2">
        <v>3.1</v>
      </c>
      <c r="G26" s="2" t="s">
        <v>14</v>
      </c>
      <c r="H26" s="2"/>
    </row>
    <row r="27" spans="2:8" ht="16" thickBot="1">
      <c r="B27" s="1" t="s">
        <v>50</v>
      </c>
      <c r="C27" s="2">
        <v>2</v>
      </c>
      <c r="D27" s="2">
        <v>2</v>
      </c>
      <c r="E27" s="2">
        <v>2</v>
      </c>
      <c r="F27" s="2">
        <v>2</v>
      </c>
      <c r="G27" s="2" t="s">
        <v>20</v>
      </c>
      <c r="H27" s="2">
        <v>6</v>
      </c>
    </row>
    <row r="28" spans="2:8" ht="16" thickBot="1">
      <c r="B28" s="1" t="s">
        <v>31</v>
      </c>
      <c r="C28" s="2" t="s">
        <v>68</v>
      </c>
      <c r="D28" s="2" t="s">
        <v>68</v>
      </c>
      <c r="E28" s="2" t="s">
        <v>68</v>
      </c>
      <c r="F28" s="2" t="s">
        <v>68</v>
      </c>
      <c r="G28" s="2"/>
      <c r="H28" s="2"/>
    </row>
    <row r="32" spans="2:8" ht="16" thickBot="1"/>
    <row r="33" spans="2:8">
      <c r="B33" s="1257" t="s">
        <v>0</v>
      </c>
      <c r="C33" s="1259" t="s">
        <v>78</v>
      </c>
      <c r="D33" s="1260"/>
      <c r="E33" s="1260"/>
      <c r="F33" s="1260"/>
      <c r="G33" s="1260"/>
      <c r="H33" s="1261"/>
    </row>
    <row r="34" spans="2:8" ht="16" thickBot="1">
      <c r="B34" s="1258"/>
      <c r="C34" s="1159" t="s">
        <v>34</v>
      </c>
      <c r="D34" s="1160"/>
      <c r="E34" s="1160"/>
      <c r="F34" s="1160"/>
      <c r="G34" s="1160"/>
      <c r="H34" s="1161"/>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7" t="s">
        <v>284</v>
      </c>
      <c r="D37" s="27" t="s">
        <v>289</v>
      </c>
      <c r="E37" s="27" t="s">
        <v>290</v>
      </c>
      <c r="F37" s="27" t="s">
        <v>291</v>
      </c>
      <c r="G37" s="2" t="s">
        <v>6</v>
      </c>
      <c r="H37" s="2" t="s">
        <v>67</v>
      </c>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75</v>
      </c>
      <c r="D40" s="2">
        <v>82</v>
      </c>
      <c r="E40" s="2">
        <v>86</v>
      </c>
      <c r="F40" s="2">
        <v>90</v>
      </c>
      <c r="G40" s="2"/>
      <c r="H40" s="2">
        <v>5</v>
      </c>
    </row>
    <row r="41" spans="2:8" ht="16" thickBot="1">
      <c r="B41" s="1" t="s">
        <v>11</v>
      </c>
      <c r="C41" s="2">
        <v>20</v>
      </c>
      <c r="D41" s="2">
        <v>20</v>
      </c>
      <c r="E41" s="2">
        <v>20</v>
      </c>
      <c r="F41" s="2">
        <v>20</v>
      </c>
      <c r="G41" s="2"/>
      <c r="H41" s="2">
        <v>6</v>
      </c>
    </row>
    <row r="42" spans="2:8" ht="16" thickBot="1">
      <c r="B42" s="3" t="s">
        <v>12</v>
      </c>
      <c r="C42" s="4"/>
      <c r="D42" s="4"/>
      <c r="E42" s="4"/>
      <c r="F42" s="4"/>
      <c r="G42" s="4"/>
      <c r="H42" s="5"/>
    </row>
    <row r="43" spans="2:8" ht="16" thickBot="1">
      <c r="B43" s="1" t="s">
        <v>13</v>
      </c>
      <c r="C43" s="35">
        <v>0</v>
      </c>
      <c r="D43" s="35">
        <v>0</v>
      </c>
      <c r="E43" s="35">
        <v>0</v>
      </c>
      <c r="F43" s="35">
        <v>0</v>
      </c>
      <c r="G43" s="2"/>
      <c r="H43" s="2"/>
    </row>
    <row r="44" spans="2:8" ht="16" thickBot="1">
      <c r="B44" s="1" t="s">
        <v>15</v>
      </c>
      <c r="C44" s="2">
        <v>80</v>
      </c>
      <c r="D44" s="2">
        <v>70</v>
      </c>
      <c r="E44" s="2">
        <v>60</v>
      </c>
      <c r="F44" s="2">
        <v>50</v>
      </c>
      <c r="G44" s="2"/>
      <c r="H44" s="2">
        <v>5</v>
      </c>
    </row>
    <row r="45" spans="2:8" ht="16" thickBot="1">
      <c r="B45" s="1" t="s">
        <v>17</v>
      </c>
      <c r="C45" s="2">
        <v>3</v>
      </c>
      <c r="D45" s="2">
        <v>2</v>
      </c>
      <c r="E45" s="2">
        <v>1</v>
      </c>
      <c r="F45" s="2">
        <v>0</v>
      </c>
      <c r="G45" s="2"/>
      <c r="H45" s="2" t="s">
        <v>69</v>
      </c>
    </row>
    <row r="46" spans="2:8" ht="16" thickBot="1">
      <c r="B46" s="1" t="s">
        <v>18</v>
      </c>
      <c r="C46" s="35">
        <v>0</v>
      </c>
      <c r="D46" s="35">
        <v>0</v>
      </c>
      <c r="E46" s="35">
        <v>0</v>
      </c>
      <c r="F46" s="35">
        <v>0</v>
      </c>
      <c r="G46" s="2"/>
      <c r="H46" s="2"/>
    </row>
    <row r="47" spans="2:8" ht="16" thickBot="1">
      <c r="B47" s="1" t="s">
        <v>19</v>
      </c>
      <c r="C47" s="2">
        <v>15</v>
      </c>
      <c r="D47" s="2">
        <v>12</v>
      </c>
      <c r="E47" s="2">
        <v>9</v>
      </c>
      <c r="F47" s="2">
        <v>6</v>
      </c>
      <c r="G47" s="2" t="s">
        <v>16</v>
      </c>
      <c r="H47" s="2">
        <v>5</v>
      </c>
    </row>
    <row r="48" spans="2:8" ht="16" thickBot="1">
      <c r="B48" s="3" t="s">
        <v>22</v>
      </c>
      <c r="C48" s="4"/>
      <c r="D48" s="4"/>
      <c r="E48" s="4"/>
      <c r="F48" s="4"/>
      <c r="G48" s="4"/>
      <c r="H48" s="5"/>
    </row>
    <row r="49" spans="2:8" ht="16"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6" thickBot="1">
      <c r="B52" s="1" t="s">
        <v>73</v>
      </c>
      <c r="C52" s="2" t="s">
        <v>80</v>
      </c>
      <c r="D52" s="2">
        <v>1.5</v>
      </c>
      <c r="E52" s="2">
        <v>1.5</v>
      </c>
      <c r="F52" s="2">
        <v>1.5</v>
      </c>
      <c r="G52" s="2"/>
      <c r="H52" s="2"/>
    </row>
    <row r="53" spans="2:8" ht="28" thickBot="1">
      <c r="B53" s="1" t="s">
        <v>30</v>
      </c>
      <c r="C53" s="2">
        <v>2.8</v>
      </c>
      <c r="D53" s="2">
        <v>2.8</v>
      </c>
      <c r="E53" s="2">
        <v>2.8</v>
      </c>
      <c r="F53" s="2">
        <v>2.8</v>
      </c>
      <c r="G53" s="2" t="s">
        <v>14</v>
      </c>
      <c r="H53" s="2"/>
    </row>
    <row r="54" spans="2:8" ht="16" thickBot="1">
      <c r="B54" s="1" t="s">
        <v>50</v>
      </c>
      <c r="C54" s="2">
        <v>2</v>
      </c>
      <c r="D54" s="2">
        <v>2</v>
      </c>
      <c r="E54" s="2">
        <v>2</v>
      </c>
      <c r="F54" s="2">
        <v>2</v>
      </c>
      <c r="G54" s="2" t="s">
        <v>81</v>
      </c>
      <c r="H54" s="2"/>
    </row>
    <row r="55" spans="2:8" ht="16" thickBot="1">
      <c r="B55" s="1" t="s">
        <v>31</v>
      </c>
      <c r="C55" s="2" t="s">
        <v>68</v>
      </c>
      <c r="D55" s="2" t="s">
        <v>68</v>
      </c>
      <c r="E55" s="2" t="s">
        <v>68</v>
      </c>
      <c r="F55" s="2" t="s">
        <v>68</v>
      </c>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baseColWidth="10" defaultColWidth="8.83203125" defaultRowHeight="15"/>
  <cols>
    <col min="2" max="2" width="36.83203125" customWidth="1"/>
  </cols>
  <sheetData>
    <row r="3" spans="2:8">
      <c r="B3" s="8" t="s">
        <v>312</v>
      </c>
    </row>
    <row r="5" spans="2:8" ht="16" thickBot="1"/>
    <row r="6" spans="2:8">
      <c r="B6" s="1257" t="s">
        <v>0</v>
      </c>
      <c r="C6" s="1259" t="s">
        <v>82</v>
      </c>
      <c r="D6" s="1260"/>
      <c r="E6" s="1260"/>
      <c r="F6" s="1260"/>
      <c r="G6" s="1260"/>
      <c r="H6" s="1261"/>
    </row>
    <row r="7" spans="2:8" ht="16" thickBot="1">
      <c r="B7" s="1258"/>
      <c r="C7" s="1159" t="s">
        <v>38</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286</v>
      </c>
      <c r="D10" s="32" t="s">
        <v>292</v>
      </c>
      <c r="E10" s="33" t="s">
        <v>83</v>
      </c>
      <c r="F10" s="33" t="s">
        <v>84</v>
      </c>
      <c r="G10" s="9"/>
      <c r="H10" s="9"/>
    </row>
    <row r="11" spans="2:8" ht="28" thickBot="1">
      <c r="B11" s="1" t="s">
        <v>7</v>
      </c>
      <c r="C11" s="9" t="s">
        <v>85</v>
      </c>
      <c r="D11" s="9" t="s">
        <v>85</v>
      </c>
      <c r="E11" s="9" t="s">
        <v>85</v>
      </c>
      <c r="F11" s="9" t="s">
        <v>85</v>
      </c>
      <c r="G11" s="9" t="s">
        <v>16</v>
      </c>
      <c r="H11" s="9"/>
    </row>
    <row r="12" spans="2:8" ht="28" thickBot="1">
      <c r="B12" s="1" t="s">
        <v>8</v>
      </c>
      <c r="C12" s="9">
        <v>0</v>
      </c>
      <c r="D12" s="9">
        <v>0</v>
      </c>
      <c r="E12" s="9">
        <v>0</v>
      </c>
      <c r="F12" s="9">
        <v>0</v>
      </c>
      <c r="G12" s="9" t="s">
        <v>76</v>
      </c>
      <c r="H12" s="9"/>
    </row>
    <row r="13" spans="2:8" ht="16" thickBot="1">
      <c r="B13" s="1" t="s">
        <v>9</v>
      </c>
      <c r="C13" s="9">
        <v>65</v>
      </c>
      <c r="D13" s="9">
        <v>70</v>
      </c>
      <c r="E13" s="9">
        <v>75</v>
      </c>
      <c r="F13" s="9">
        <v>75</v>
      </c>
      <c r="G13" s="9"/>
      <c r="H13" s="9"/>
    </row>
    <row r="14" spans="2:8" ht="16" thickBot="1">
      <c r="B14" s="1" t="s">
        <v>11</v>
      </c>
      <c r="C14" s="9">
        <v>24</v>
      </c>
      <c r="D14" s="9">
        <v>24</v>
      </c>
      <c r="E14" s="9">
        <v>24</v>
      </c>
      <c r="F14" s="9">
        <v>24</v>
      </c>
      <c r="G14" s="9"/>
      <c r="H14" s="9">
        <v>2</v>
      </c>
    </row>
    <row r="15" spans="2:8" ht="16" thickBot="1">
      <c r="B15" s="3" t="s">
        <v>12</v>
      </c>
      <c r="C15" s="12"/>
      <c r="D15" s="12"/>
      <c r="E15" s="12"/>
      <c r="F15" s="12"/>
      <c r="G15" s="12"/>
      <c r="H15" s="13"/>
    </row>
    <row r="16" spans="2:8" ht="16" thickBot="1">
      <c r="B16" s="1" t="s">
        <v>13</v>
      </c>
      <c r="C16" s="179">
        <v>0</v>
      </c>
      <c r="D16" s="179">
        <v>0</v>
      </c>
      <c r="E16" s="179">
        <v>0</v>
      </c>
      <c r="F16" s="179">
        <v>0</v>
      </c>
      <c r="G16" s="9"/>
      <c r="H16" s="9"/>
    </row>
    <row r="17" spans="2:8" ht="16" thickBot="1">
      <c r="B17" s="1" t="s">
        <v>15</v>
      </c>
      <c r="C17" s="9">
        <v>90</v>
      </c>
      <c r="D17" s="9">
        <v>90</v>
      </c>
      <c r="E17" s="9">
        <v>90</v>
      </c>
      <c r="F17" s="9">
        <v>90</v>
      </c>
      <c r="G17" s="9"/>
      <c r="H17" s="9"/>
    </row>
    <row r="18" spans="2:8" ht="16" thickBot="1">
      <c r="B18" s="1" t="s">
        <v>17</v>
      </c>
      <c r="C18" s="9">
        <v>320</v>
      </c>
      <c r="D18" s="9">
        <v>125</v>
      </c>
      <c r="E18" s="9">
        <v>100</v>
      </c>
      <c r="F18" s="9">
        <v>100</v>
      </c>
      <c r="G18" s="9"/>
      <c r="H18" s="9">
        <v>1</v>
      </c>
    </row>
    <row r="19" spans="2:8" ht="16" thickBot="1">
      <c r="B19" s="1" t="s">
        <v>18</v>
      </c>
      <c r="C19" s="179">
        <v>0</v>
      </c>
      <c r="D19" s="179">
        <v>0</v>
      </c>
      <c r="E19" s="179">
        <v>0</v>
      </c>
      <c r="F19" s="179">
        <v>0</v>
      </c>
      <c r="G19" s="9"/>
      <c r="H19" s="9"/>
    </row>
    <row r="20" spans="2:8" ht="16" thickBot="1">
      <c r="B20" s="1" t="s">
        <v>19</v>
      </c>
      <c r="C20" s="9">
        <v>50</v>
      </c>
      <c r="D20" s="9">
        <v>40</v>
      </c>
      <c r="E20" s="9">
        <v>30</v>
      </c>
      <c r="F20" s="9">
        <v>25</v>
      </c>
      <c r="G20" s="9" t="s">
        <v>6</v>
      </c>
      <c r="H20" s="9">
        <v>1</v>
      </c>
    </row>
    <row r="21" spans="2:8" ht="16" thickBot="1">
      <c r="B21" s="3" t="s">
        <v>22</v>
      </c>
      <c r="C21" s="12"/>
      <c r="D21" s="12"/>
      <c r="E21" s="12"/>
      <c r="F21" s="12"/>
      <c r="G21" s="12"/>
      <c r="H21" s="13"/>
    </row>
    <row r="22" spans="2:8" ht="16"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6" thickBot="1">
      <c r="B25" s="1" t="s">
        <v>87</v>
      </c>
      <c r="C25" s="9" t="s">
        <v>88</v>
      </c>
      <c r="D25" s="9">
        <v>0.6</v>
      </c>
      <c r="E25" s="9">
        <v>1</v>
      </c>
      <c r="F25" s="9">
        <v>1</v>
      </c>
      <c r="G25" s="9"/>
      <c r="H25" s="9">
        <v>2</v>
      </c>
    </row>
    <row r="26" spans="2:8" ht="28" thickBot="1">
      <c r="B26" s="1" t="s">
        <v>30</v>
      </c>
      <c r="C26" s="9">
        <v>1.6</v>
      </c>
      <c r="D26" s="9">
        <v>1.6</v>
      </c>
      <c r="E26" s="9">
        <v>1.6</v>
      </c>
      <c r="F26" s="9">
        <v>1.6</v>
      </c>
      <c r="G26" s="9" t="s">
        <v>59</v>
      </c>
      <c r="H26" s="9"/>
    </row>
    <row r="27" spans="2:8" ht="16" thickBot="1">
      <c r="B27" s="1" t="s">
        <v>50</v>
      </c>
      <c r="C27" s="9">
        <v>0.1</v>
      </c>
      <c r="D27" s="9">
        <v>0.1</v>
      </c>
      <c r="E27" s="9">
        <v>0.1</v>
      </c>
      <c r="F27" s="9">
        <v>0.2</v>
      </c>
      <c r="G27" s="9"/>
      <c r="H27" s="9"/>
    </row>
    <row r="28" spans="2:8" ht="16" thickBot="1">
      <c r="B28" s="1" t="s">
        <v>31</v>
      </c>
      <c r="C28" s="9" t="s">
        <v>68</v>
      </c>
      <c r="D28" s="9" t="s">
        <v>68</v>
      </c>
      <c r="E28" s="9" t="s">
        <v>68</v>
      </c>
      <c r="F28" s="9" t="s">
        <v>68</v>
      </c>
      <c r="G28" s="9"/>
      <c r="H28" s="9"/>
    </row>
    <row r="32" spans="2:8" ht="16" thickBot="1"/>
    <row r="33" spans="2:8">
      <c r="B33" s="1257" t="s">
        <v>0</v>
      </c>
      <c r="C33" s="1259" t="s">
        <v>89</v>
      </c>
      <c r="D33" s="1260"/>
      <c r="E33" s="1260"/>
      <c r="F33" s="1260"/>
      <c r="G33" s="1260"/>
      <c r="H33" s="1261"/>
    </row>
    <row r="34" spans="2:8" ht="16" thickBot="1">
      <c r="B34" s="1258"/>
      <c r="C34" s="1159" t="s">
        <v>38</v>
      </c>
      <c r="D34" s="1160"/>
      <c r="E34" s="1160"/>
      <c r="F34" s="1160"/>
      <c r="G34" s="1160"/>
      <c r="H34" s="1161"/>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32" t="s">
        <v>293</v>
      </c>
      <c r="D37" s="32" t="s">
        <v>294</v>
      </c>
      <c r="E37" s="33" t="s">
        <v>90</v>
      </c>
      <c r="F37" s="33" t="s">
        <v>91</v>
      </c>
      <c r="G37" s="13"/>
      <c r="H37" s="13"/>
    </row>
    <row r="38" spans="2:8" ht="28" thickBot="1">
      <c r="B38" s="1" t="s">
        <v>7</v>
      </c>
      <c r="C38" s="9" t="s">
        <v>92</v>
      </c>
      <c r="D38" s="9" t="s">
        <v>92</v>
      </c>
      <c r="E38" s="9" t="s">
        <v>92</v>
      </c>
      <c r="F38" s="9" t="s">
        <v>92</v>
      </c>
      <c r="G38" s="13" t="s">
        <v>16</v>
      </c>
      <c r="H38" s="13"/>
    </row>
    <row r="39" spans="2:8" ht="28" thickBot="1">
      <c r="B39" s="1" t="s">
        <v>8</v>
      </c>
      <c r="C39" s="9">
        <v>20</v>
      </c>
      <c r="D39" s="9">
        <v>20</v>
      </c>
      <c r="E39" s="9">
        <v>20</v>
      </c>
      <c r="F39" s="9">
        <v>20</v>
      </c>
      <c r="G39" s="13" t="s">
        <v>76</v>
      </c>
      <c r="H39" s="13"/>
    </row>
    <row r="40" spans="2:8" ht="16" thickBot="1">
      <c r="B40" s="1" t="s">
        <v>9</v>
      </c>
      <c r="C40" s="9">
        <v>65</v>
      </c>
      <c r="D40" s="9">
        <v>70</v>
      </c>
      <c r="E40" s="9">
        <v>75</v>
      </c>
      <c r="F40" s="9">
        <v>75</v>
      </c>
      <c r="G40" s="9"/>
      <c r="H40" s="9"/>
    </row>
    <row r="41" spans="2:8" ht="16" thickBot="1">
      <c r="B41" s="1" t="s">
        <v>11</v>
      </c>
      <c r="C41" s="9">
        <v>24</v>
      </c>
      <c r="D41" s="9">
        <v>24</v>
      </c>
      <c r="E41" s="9">
        <v>24</v>
      </c>
      <c r="F41" s="9">
        <v>24</v>
      </c>
      <c r="G41" s="9"/>
      <c r="H41" s="9">
        <v>2</v>
      </c>
    </row>
    <row r="42" spans="2:8" ht="16" thickBot="1">
      <c r="B42" s="3" t="s">
        <v>12</v>
      </c>
      <c r="C42" s="16"/>
      <c r="D42" s="16"/>
      <c r="E42" s="16"/>
      <c r="F42" s="16"/>
      <c r="G42" s="16"/>
      <c r="H42" s="9"/>
    </row>
    <row r="43" spans="2:8" ht="16" thickBot="1">
      <c r="B43" s="1" t="s">
        <v>13</v>
      </c>
      <c r="C43" s="179">
        <v>0</v>
      </c>
      <c r="D43" s="179">
        <v>0</v>
      </c>
      <c r="E43" s="179">
        <v>0</v>
      </c>
      <c r="F43" s="179">
        <v>0</v>
      </c>
      <c r="G43" s="9"/>
      <c r="H43" s="9"/>
    </row>
    <row r="44" spans="2:8" ht="16" thickBot="1">
      <c r="B44" s="1" t="s">
        <v>15</v>
      </c>
      <c r="C44" s="9">
        <v>90</v>
      </c>
      <c r="D44" s="9">
        <v>90</v>
      </c>
      <c r="E44" s="9">
        <v>90</v>
      </c>
      <c r="F44" s="9">
        <v>90</v>
      </c>
      <c r="G44" s="13"/>
      <c r="H44" s="13"/>
    </row>
    <row r="45" spans="2:8" ht="16" thickBot="1">
      <c r="B45" s="1" t="s">
        <v>17</v>
      </c>
      <c r="C45" s="9">
        <v>320</v>
      </c>
      <c r="D45" s="9">
        <v>125</v>
      </c>
      <c r="E45" s="9">
        <v>100</v>
      </c>
      <c r="F45" s="9">
        <v>100</v>
      </c>
      <c r="G45" s="9"/>
      <c r="H45" s="9">
        <v>1</v>
      </c>
    </row>
    <row r="46" spans="2:8" ht="16" thickBot="1">
      <c r="B46" s="1" t="s">
        <v>18</v>
      </c>
      <c r="C46" s="179">
        <v>0</v>
      </c>
      <c r="D46" s="179">
        <v>0</v>
      </c>
      <c r="E46" s="179">
        <v>0</v>
      </c>
      <c r="F46" s="179">
        <v>0</v>
      </c>
      <c r="G46" s="9"/>
      <c r="H46" s="9"/>
    </row>
    <row r="47" spans="2:8" ht="16" thickBot="1">
      <c r="B47" s="1" t="s">
        <v>19</v>
      </c>
      <c r="C47" s="9"/>
      <c r="D47" s="9"/>
      <c r="E47" s="9"/>
      <c r="F47" s="9"/>
      <c r="G47" s="9"/>
      <c r="H47" s="9">
        <v>1</v>
      </c>
    </row>
    <row r="48" spans="2:8" ht="16" thickBot="1">
      <c r="B48" s="3" t="s">
        <v>22</v>
      </c>
      <c r="C48" s="16"/>
      <c r="D48" s="16"/>
      <c r="E48" s="16"/>
      <c r="F48" s="16"/>
      <c r="G48" s="16"/>
      <c r="H48" s="9"/>
    </row>
    <row r="49" spans="2:8" ht="16"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6" thickBot="1">
      <c r="B52" s="1" t="s">
        <v>28</v>
      </c>
      <c r="C52" s="9" t="s">
        <v>68</v>
      </c>
      <c r="D52" s="9" t="s">
        <v>68</v>
      </c>
      <c r="E52" s="9" t="s">
        <v>68</v>
      </c>
      <c r="F52" s="9" t="s">
        <v>68</v>
      </c>
      <c r="G52" s="9"/>
      <c r="H52" s="9">
        <v>2</v>
      </c>
    </row>
    <row r="53" spans="2:8" ht="28" thickBot="1">
      <c r="B53" s="1" t="s">
        <v>30</v>
      </c>
      <c r="C53" s="9">
        <v>1.3</v>
      </c>
      <c r="D53" s="9">
        <v>1.3</v>
      </c>
      <c r="E53" s="9">
        <v>1.3</v>
      </c>
      <c r="F53" s="9">
        <v>1.3</v>
      </c>
      <c r="G53" s="9" t="s">
        <v>59</v>
      </c>
      <c r="H53" s="9"/>
    </row>
    <row r="54" spans="2:8" ht="16" thickBot="1">
      <c r="B54" s="1" t="s">
        <v>50</v>
      </c>
      <c r="C54" s="9">
        <v>0.1</v>
      </c>
      <c r="D54" s="9">
        <v>0.1</v>
      </c>
      <c r="E54" s="9">
        <v>0.1</v>
      </c>
      <c r="F54" s="9">
        <v>0.2</v>
      </c>
      <c r="G54" s="9"/>
      <c r="H54" s="9"/>
    </row>
    <row r="55" spans="2:8" ht="16" thickBot="1">
      <c r="B55" s="1" t="s">
        <v>31</v>
      </c>
      <c r="C55" s="9" t="s">
        <v>68</v>
      </c>
      <c r="D55" s="9" t="s">
        <v>68</v>
      </c>
      <c r="E55" s="9" t="s">
        <v>68</v>
      </c>
      <c r="F55" s="9" t="s">
        <v>68</v>
      </c>
      <c r="G55" s="9"/>
      <c r="H55" s="9"/>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baseColWidth="10" defaultColWidth="8.83203125" defaultRowHeight="15"/>
  <cols>
    <col min="2" max="2" width="36.83203125" customWidth="1"/>
  </cols>
  <sheetData>
    <row r="3" spans="2:24">
      <c r="B3" s="8" t="s">
        <v>313</v>
      </c>
      <c r="G3" t="s">
        <v>334</v>
      </c>
      <c r="H3" s="36">
        <v>7.45</v>
      </c>
    </row>
    <row r="5" spans="2:24" ht="16" thickBot="1"/>
    <row r="6" spans="2:24">
      <c r="B6" s="1257" t="s">
        <v>0</v>
      </c>
      <c r="C6" s="1259" t="s">
        <v>93</v>
      </c>
      <c r="D6" s="1260"/>
      <c r="E6" s="1260"/>
      <c r="F6" s="1260"/>
      <c r="G6" s="1260"/>
      <c r="H6" s="1261"/>
      <c r="J6" s="1259" t="str">
        <f>C6</f>
        <v>Heat pump, air-to-air</v>
      </c>
      <c r="K6" s="1260"/>
      <c r="L6" s="1260"/>
      <c r="M6" s="1260"/>
      <c r="N6" s="1260"/>
      <c r="O6" s="1261"/>
    </row>
    <row r="7" spans="2:24" ht="16" thickBot="1">
      <c r="B7" s="1258"/>
      <c r="C7" s="1159" t="s">
        <v>38</v>
      </c>
      <c r="D7" s="1160"/>
      <c r="E7" s="1160"/>
      <c r="F7" s="1160"/>
      <c r="G7" s="1160"/>
      <c r="H7" s="1161"/>
      <c r="J7" s="1159" t="str">
        <f>C7</f>
        <v>One-family house, existing and new building</v>
      </c>
      <c r="K7" s="1160"/>
      <c r="L7" s="1160"/>
      <c r="M7" s="1160"/>
      <c r="N7" s="1160"/>
      <c r="O7" s="1161"/>
    </row>
    <row r="8" spans="2:24" ht="16" thickBot="1">
      <c r="B8" s="1"/>
      <c r="C8" s="80">
        <v>2015</v>
      </c>
      <c r="D8" s="80">
        <v>2020</v>
      </c>
      <c r="E8" s="80">
        <v>2030</v>
      </c>
      <c r="F8" s="80">
        <v>2050</v>
      </c>
      <c r="G8" s="80" t="s">
        <v>2</v>
      </c>
      <c r="H8" s="80" t="s">
        <v>3</v>
      </c>
      <c r="J8" s="53" t="s">
        <v>357</v>
      </c>
    </row>
    <row r="9" spans="2:24" ht="31"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8"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197">
        <f>C32</f>
        <v>0</v>
      </c>
      <c r="R12" s="58"/>
      <c r="S12" s="58"/>
      <c r="T12" s="58">
        <f>C16</f>
        <v>0</v>
      </c>
      <c r="U12" s="58">
        <f>C17</f>
        <v>0</v>
      </c>
      <c r="V12" s="58">
        <f>C18</f>
        <v>0</v>
      </c>
      <c r="W12" s="58">
        <f>C19</f>
        <v>0</v>
      </c>
      <c r="X12" s="58">
        <f>C20</f>
        <v>0</v>
      </c>
    </row>
    <row r="13" spans="2:24" ht="16"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197">
        <f>D32</f>
        <v>0</v>
      </c>
      <c r="R13" s="58"/>
      <c r="S13" s="58"/>
      <c r="T13" s="58">
        <f>D16</f>
        <v>0</v>
      </c>
      <c r="U13" s="58">
        <f>D17</f>
        <v>0</v>
      </c>
      <c r="V13" s="58">
        <f>D18</f>
        <v>0</v>
      </c>
      <c r="W13" s="58">
        <f>D19</f>
        <v>0</v>
      </c>
      <c r="X13" s="58">
        <f>D20</f>
        <v>0</v>
      </c>
    </row>
    <row r="14" spans="2:24" ht="16"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197">
        <f>E32</f>
        <v>0</v>
      </c>
      <c r="R14" s="58"/>
      <c r="S14" s="58"/>
      <c r="T14" s="58">
        <f>E16</f>
        <v>0</v>
      </c>
      <c r="U14" s="58">
        <f>E17</f>
        <v>0</v>
      </c>
      <c r="V14" s="58">
        <f>E18</f>
        <v>0</v>
      </c>
      <c r="W14" s="58">
        <f>E19</f>
        <v>0</v>
      </c>
      <c r="X14" s="58">
        <f>E20</f>
        <v>0</v>
      </c>
    </row>
    <row r="15" spans="2:24" ht="16"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197">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c r="J16" s="54"/>
      <c r="K16" s="54"/>
      <c r="L16" s="54"/>
      <c r="M16" s="54"/>
    </row>
    <row r="17" spans="2:13" ht="16" thickBot="1">
      <c r="B17" s="1" t="s">
        <v>15</v>
      </c>
      <c r="C17" s="193">
        <v>0</v>
      </c>
      <c r="D17" s="189">
        <v>0</v>
      </c>
      <c r="E17" s="189">
        <v>0</v>
      </c>
      <c r="F17" s="185">
        <v>0</v>
      </c>
      <c r="G17" s="1276"/>
      <c r="H17" s="176"/>
      <c r="J17" s="55"/>
      <c r="K17" s="55"/>
      <c r="L17" s="55"/>
      <c r="M17" s="55"/>
    </row>
    <row r="18" spans="2:13" ht="16" thickBot="1">
      <c r="B18" s="1" t="s">
        <v>17</v>
      </c>
      <c r="C18" s="193">
        <v>0</v>
      </c>
      <c r="D18" s="189">
        <v>0</v>
      </c>
      <c r="E18" s="189">
        <v>0</v>
      </c>
      <c r="F18" s="185">
        <v>0</v>
      </c>
      <c r="G18" s="1276"/>
      <c r="H18" s="176"/>
    </row>
    <row r="19" spans="2:13" ht="16" thickBot="1">
      <c r="B19" s="1" t="s">
        <v>18</v>
      </c>
      <c r="C19" s="193">
        <v>0</v>
      </c>
      <c r="D19" s="189">
        <v>0</v>
      </c>
      <c r="E19" s="189">
        <v>0</v>
      </c>
      <c r="F19" s="185">
        <v>0</v>
      </c>
      <c r="G19" s="1276"/>
      <c r="H19" s="176"/>
    </row>
    <row r="20" spans="2:13" ht="16" thickBot="1">
      <c r="B20" s="1" t="s">
        <v>19</v>
      </c>
      <c r="C20" s="194">
        <v>0</v>
      </c>
      <c r="D20" s="195">
        <v>0</v>
      </c>
      <c r="E20" s="195">
        <v>0</v>
      </c>
      <c r="F20" s="35">
        <v>0</v>
      </c>
      <c r="G20" s="1277"/>
      <c r="H20" s="177"/>
    </row>
    <row r="21" spans="2:13" ht="16" thickBot="1">
      <c r="B21" s="3" t="s">
        <v>22</v>
      </c>
      <c r="C21" s="18"/>
      <c r="D21" s="18"/>
      <c r="E21" s="18"/>
      <c r="F21" s="18"/>
      <c r="G21" s="68" t="s">
        <v>329</v>
      </c>
      <c r="H21" s="2"/>
    </row>
    <row r="22" spans="2:13" ht="16"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6" thickBot="1">
      <c r="B25" s="1" t="s">
        <v>96</v>
      </c>
      <c r="C25" s="2" t="s">
        <v>97</v>
      </c>
      <c r="D25" s="2">
        <v>20</v>
      </c>
      <c r="E25" s="2">
        <v>20</v>
      </c>
      <c r="F25" s="2">
        <v>20</v>
      </c>
      <c r="G25" s="2"/>
      <c r="H25" s="2"/>
    </row>
    <row r="26" spans="2:13" ht="28" thickBot="1">
      <c r="B26" s="1" t="s">
        <v>30</v>
      </c>
      <c r="C26" s="2"/>
      <c r="D26" s="2"/>
      <c r="E26" s="2"/>
      <c r="F26" s="2"/>
      <c r="G26" s="2"/>
      <c r="H26" s="2"/>
    </row>
    <row r="27" spans="2:13" ht="16" thickBot="1">
      <c r="B27" s="1" t="s">
        <v>64</v>
      </c>
      <c r="C27" s="2">
        <v>42</v>
      </c>
      <c r="D27" s="2">
        <v>42</v>
      </c>
      <c r="E27" s="2">
        <v>42</v>
      </c>
      <c r="F27" s="2">
        <v>42</v>
      </c>
      <c r="G27" s="2" t="s">
        <v>59</v>
      </c>
      <c r="H27" s="2">
        <v>2</v>
      </c>
    </row>
    <row r="28" spans="2:13" ht="16"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6" thickBot="1">
      <c r="B32" s="36" t="s">
        <v>356</v>
      </c>
      <c r="C32" s="42">
        <f>C28*$H$3</f>
        <v>0</v>
      </c>
      <c r="D32" s="42">
        <f>D28*$H$3</f>
        <v>0</v>
      </c>
      <c r="E32" s="42">
        <f>E28*$H$3</f>
        <v>0</v>
      </c>
      <c r="F32" s="42">
        <f>F28*$H$3</f>
        <v>0</v>
      </c>
      <c r="G32" s="66"/>
      <c r="H32" s="63"/>
      <c r="I32" s="64"/>
    </row>
    <row r="33" spans="9:9">
      <c r="I33" s="64"/>
    </row>
    <row r="156" spans="7:7">
      <c r="G156" s="263" t="s">
        <v>620</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baseColWidth="10" defaultColWidth="8.83203125" defaultRowHeight="15"/>
  <cols>
    <col min="2" max="2" width="36.83203125" customWidth="1"/>
    <col min="3" max="6" width="10" bestFit="1" customWidth="1"/>
    <col min="10" max="10" width="9.1640625" customWidth="1"/>
    <col min="18" max="18" width="9.1640625" customWidth="1"/>
  </cols>
  <sheetData>
    <row r="3" spans="2:24">
      <c r="B3" s="8" t="s">
        <v>314</v>
      </c>
    </row>
    <row r="4" spans="2:24">
      <c r="E4" t="s">
        <v>334</v>
      </c>
      <c r="F4" s="36">
        <v>7.45</v>
      </c>
      <c r="G4" t="s">
        <v>328</v>
      </c>
    </row>
    <row r="5" spans="2:24" ht="16" thickBot="1"/>
    <row r="6" spans="2:24">
      <c r="B6" s="1257" t="s">
        <v>0</v>
      </c>
      <c r="C6" s="1259" t="s">
        <v>99</v>
      </c>
      <c r="D6" s="1260"/>
      <c r="E6" s="1260"/>
      <c r="F6" s="1260"/>
      <c r="G6" s="1260"/>
      <c r="H6" s="1261"/>
      <c r="J6" s="1259" t="str">
        <f>C6</f>
        <v>Heat pump, air-to-water</v>
      </c>
      <c r="K6" s="1260"/>
      <c r="L6" s="1260"/>
      <c r="M6" s="1260"/>
      <c r="N6" s="1260"/>
      <c r="O6" s="1261"/>
    </row>
    <row r="7" spans="2:24" ht="16" thickBot="1">
      <c r="B7" s="1258"/>
      <c r="C7" s="1159" t="s">
        <v>1</v>
      </c>
      <c r="D7" s="1160"/>
      <c r="E7" s="1160"/>
      <c r="F7" s="1160"/>
      <c r="G7" s="1160"/>
      <c r="H7" s="1161"/>
      <c r="J7" s="1159" t="str">
        <f>C7</f>
        <v>One-family house, existing building</v>
      </c>
      <c r="K7" s="1160"/>
      <c r="L7" s="1160"/>
      <c r="M7" s="1160"/>
      <c r="N7" s="1160"/>
      <c r="O7" s="1161"/>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8"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89">
        <v>0</v>
      </c>
      <c r="D16" s="189">
        <v>0</v>
      </c>
      <c r="E16" s="189">
        <v>0</v>
      </c>
      <c r="F16" s="189">
        <v>0</v>
      </c>
      <c r="G16" s="1275" t="s">
        <v>98</v>
      </c>
      <c r="H16" s="175"/>
    </row>
    <row r="17" spans="2:9" ht="16" thickBot="1">
      <c r="B17" s="1" t="s">
        <v>15</v>
      </c>
      <c r="C17" s="189">
        <v>0</v>
      </c>
      <c r="D17" s="189">
        <v>0</v>
      </c>
      <c r="E17" s="189">
        <v>0</v>
      </c>
      <c r="F17" s="189">
        <v>0</v>
      </c>
      <c r="G17" s="1276"/>
      <c r="H17" s="176"/>
    </row>
    <row r="18" spans="2:9" ht="16" thickBot="1">
      <c r="B18" s="1" t="s">
        <v>17</v>
      </c>
      <c r="C18" s="189">
        <v>0</v>
      </c>
      <c r="D18" s="189">
        <v>0</v>
      </c>
      <c r="E18" s="189">
        <v>0</v>
      </c>
      <c r="F18" s="189">
        <v>0</v>
      </c>
      <c r="G18" s="1276"/>
      <c r="H18" s="176"/>
    </row>
    <row r="19" spans="2:9" ht="16" thickBot="1">
      <c r="B19" s="1" t="s">
        <v>18</v>
      </c>
      <c r="C19" s="189">
        <v>0</v>
      </c>
      <c r="D19" s="189">
        <v>0</v>
      </c>
      <c r="E19" s="189">
        <v>0</v>
      </c>
      <c r="F19" s="189">
        <v>0</v>
      </c>
      <c r="G19" s="1276"/>
      <c r="H19" s="176"/>
    </row>
    <row r="20" spans="2:9" ht="16" thickBot="1">
      <c r="B20" s="1" t="s">
        <v>19</v>
      </c>
      <c r="C20" s="189">
        <v>0</v>
      </c>
      <c r="D20" s="189">
        <v>0</v>
      </c>
      <c r="E20" s="189">
        <v>0</v>
      </c>
      <c r="F20" s="189">
        <v>0</v>
      </c>
      <c r="G20" s="1277"/>
      <c r="H20" s="177"/>
    </row>
    <row r="21" spans="2:9" ht="16" thickBot="1">
      <c r="B21" s="3" t="s">
        <v>22</v>
      </c>
      <c r="C21" s="18"/>
      <c r="D21" s="18"/>
      <c r="E21" s="18"/>
      <c r="F21" s="18"/>
      <c r="G21" s="68" t="s">
        <v>329</v>
      </c>
      <c r="H21" s="2"/>
    </row>
    <row r="22" spans="2:9" ht="16"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6" thickBot="1">
      <c r="B25" s="1" t="s">
        <v>96</v>
      </c>
      <c r="C25" s="2" t="s">
        <v>107</v>
      </c>
      <c r="D25" s="2">
        <v>15</v>
      </c>
      <c r="E25" s="2">
        <v>15</v>
      </c>
      <c r="F25" s="2">
        <v>15</v>
      </c>
      <c r="G25" s="2"/>
      <c r="H25" s="2"/>
    </row>
    <row r="26" spans="2:9" ht="28" thickBot="1">
      <c r="B26" s="1" t="s">
        <v>30</v>
      </c>
      <c r="C26" s="2"/>
      <c r="D26" s="2"/>
      <c r="E26" s="2"/>
      <c r="F26" s="2"/>
      <c r="G26" s="2"/>
      <c r="H26" s="2"/>
    </row>
    <row r="27" spans="2:9" ht="16" thickBot="1">
      <c r="B27" s="1" t="s">
        <v>64</v>
      </c>
      <c r="C27" s="2">
        <v>135</v>
      </c>
      <c r="D27" s="2">
        <v>135</v>
      </c>
      <c r="E27" s="2">
        <v>135</v>
      </c>
      <c r="F27" s="2">
        <v>135</v>
      </c>
      <c r="G27" s="2" t="s">
        <v>20</v>
      </c>
      <c r="H27" s="2">
        <v>2</v>
      </c>
    </row>
    <row r="28" spans="2:9">
      <c r="B28" s="6" t="s">
        <v>31</v>
      </c>
      <c r="C28" s="187"/>
      <c r="D28" s="187"/>
      <c r="E28" s="187"/>
      <c r="F28" s="187"/>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6" thickBot="1">
      <c r="B32" s="36" t="s">
        <v>356</v>
      </c>
      <c r="C32" s="186">
        <f>C28*$F$4</f>
        <v>0</v>
      </c>
      <c r="D32" s="186">
        <f>D28*$F$4</f>
        <v>0</v>
      </c>
      <c r="E32" s="186">
        <f>E28*$F$4</f>
        <v>0</v>
      </c>
      <c r="F32" s="186">
        <f>F28*$F$4</f>
        <v>0</v>
      </c>
      <c r="G32" s="61"/>
      <c r="H32" s="61"/>
    </row>
    <row r="33" spans="2:24">
      <c r="B33" s="1278" t="s">
        <v>0</v>
      </c>
      <c r="C33" s="1157" t="s">
        <v>99</v>
      </c>
      <c r="D33" s="1267"/>
      <c r="E33" s="1267"/>
      <c r="F33" s="1267"/>
      <c r="G33" s="1267"/>
      <c r="H33" s="1158"/>
      <c r="J33" s="1259" t="str">
        <f>C33</f>
        <v>Heat pump, air-to-water</v>
      </c>
      <c r="K33" s="1260"/>
      <c r="L33" s="1260"/>
      <c r="M33" s="1260"/>
      <c r="N33" s="1260"/>
      <c r="O33" s="1261"/>
    </row>
    <row r="34" spans="2:24" ht="16" thickBot="1">
      <c r="B34" s="1258"/>
      <c r="C34" s="1159" t="s">
        <v>32</v>
      </c>
      <c r="D34" s="1160"/>
      <c r="E34" s="1160"/>
      <c r="F34" s="1160"/>
      <c r="G34" s="1160"/>
      <c r="H34" s="1161"/>
      <c r="J34" s="1159" t="str">
        <f>C34</f>
        <v>Apartment complex, existing building</v>
      </c>
      <c r="K34" s="1160"/>
      <c r="L34" s="1160"/>
      <c r="M34" s="1160"/>
      <c r="N34" s="1160"/>
      <c r="O34" s="1161"/>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8"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279" t="s">
        <v>98</v>
      </c>
      <c r="D43" s="1280"/>
      <c r="E43" s="1280"/>
      <c r="F43" s="1280"/>
      <c r="G43" s="1280"/>
      <c r="H43" s="1281"/>
    </row>
    <row r="44" spans="2:24" ht="16" thickBot="1">
      <c r="B44" s="1" t="s">
        <v>15</v>
      </c>
      <c r="C44" s="1282"/>
      <c r="D44" s="1283"/>
      <c r="E44" s="1283"/>
      <c r="F44" s="1283"/>
      <c r="G44" s="1283"/>
      <c r="H44" s="1284"/>
    </row>
    <row r="45" spans="2:24" ht="16" thickBot="1">
      <c r="B45" s="1" t="s">
        <v>17</v>
      </c>
      <c r="C45" s="1282"/>
      <c r="D45" s="1283"/>
      <c r="E45" s="1283"/>
      <c r="F45" s="1283"/>
      <c r="G45" s="1283"/>
      <c r="H45" s="1284"/>
    </row>
    <row r="46" spans="2:24" ht="16" thickBot="1">
      <c r="B46" s="1" t="s">
        <v>18</v>
      </c>
      <c r="C46" s="1282"/>
      <c r="D46" s="1283"/>
      <c r="E46" s="1283"/>
      <c r="F46" s="1283"/>
      <c r="G46" s="1283"/>
      <c r="H46" s="1284"/>
    </row>
    <row r="47" spans="2:24" ht="16" thickBot="1">
      <c r="B47" s="1" t="s">
        <v>19</v>
      </c>
      <c r="C47" s="1285"/>
      <c r="D47" s="1286"/>
      <c r="E47" s="1286"/>
      <c r="F47" s="1286"/>
      <c r="G47" s="1286"/>
      <c r="H47" s="1287"/>
    </row>
    <row r="48" spans="2:24" ht="16" thickBot="1">
      <c r="B48" s="3" t="s">
        <v>22</v>
      </c>
      <c r="C48" s="18"/>
      <c r="D48" s="18"/>
      <c r="E48" s="18"/>
      <c r="F48" s="18"/>
      <c r="G48" s="18"/>
      <c r="H48" s="2"/>
    </row>
    <row r="49" spans="2:24" ht="16"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30</v>
      </c>
      <c r="C53" s="2"/>
      <c r="D53" s="2"/>
      <c r="E53" s="2"/>
      <c r="F53" s="2"/>
      <c r="G53" s="2"/>
      <c r="H53" s="2"/>
    </row>
    <row r="54" spans="2:24" ht="16" thickBot="1">
      <c r="B54" s="1" t="s">
        <v>64</v>
      </c>
      <c r="C54" s="2">
        <v>400</v>
      </c>
      <c r="D54" s="2">
        <v>400</v>
      </c>
      <c r="E54" s="2">
        <v>400</v>
      </c>
      <c r="F54" s="2">
        <v>400</v>
      </c>
      <c r="G54" s="2" t="s">
        <v>20</v>
      </c>
      <c r="H54" s="2">
        <v>2</v>
      </c>
    </row>
    <row r="55" spans="2:24" ht="16"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6" thickBot="1">
      <c r="B59" s="36" t="s">
        <v>356</v>
      </c>
      <c r="C59" s="36">
        <f>C55*$F$4</f>
        <v>0</v>
      </c>
      <c r="D59" s="36">
        <f>D55*$F$4</f>
        <v>0</v>
      </c>
      <c r="E59" s="36">
        <f>E55*$F$4</f>
        <v>0</v>
      </c>
      <c r="F59" s="36">
        <f>F55*$F$4</f>
        <v>0</v>
      </c>
      <c r="G59" s="66"/>
      <c r="H59" s="63"/>
    </row>
    <row r="60" spans="2:24">
      <c r="B60" s="1257" t="s">
        <v>0</v>
      </c>
      <c r="C60" s="1259" t="s">
        <v>99</v>
      </c>
      <c r="D60" s="1260"/>
      <c r="E60" s="1260"/>
      <c r="F60" s="1260"/>
      <c r="G60" s="1260"/>
      <c r="H60" s="1261"/>
      <c r="J60" s="1259" t="str">
        <f>C60</f>
        <v>Heat pump, air-to-water</v>
      </c>
      <c r="K60" s="1260"/>
      <c r="L60" s="1260"/>
      <c r="M60" s="1260"/>
      <c r="N60" s="1260"/>
      <c r="O60" s="1261"/>
    </row>
    <row r="61" spans="2:24" ht="16" thickBot="1">
      <c r="B61" s="1258"/>
      <c r="C61" s="1159" t="s">
        <v>34</v>
      </c>
      <c r="D61" s="1160"/>
      <c r="E61" s="1160"/>
      <c r="F61" s="1160"/>
      <c r="G61" s="1160"/>
      <c r="H61" s="1161"/>
      <c r="J61" s="1159" t="str">
        <f>C61</f>
        <v>One-family house, new building</v>
      </c>
      <c r="K61" s="1160"/>
      <c r="L61" s="1160"/>
      <c r="M61" s="1160"/>
      <c r="N61" s="1160"/>
      <c r="O61" s="1161"/>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8"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279" t="s">
        <v>98</v>
      </c>
      <c r="D70" s="1280"/>
      <c r="E70" s="1280"/>
      <c r="F70" s="1280"/>
      <c r="G70" s="1280"/>
      <c r="H70" s="1281"/>
    </row>
    <row r="71" spans="2:24" ht="16" thickBot="1">
      <c r="B71" s="1" t="s">
        <v>15</v>
      </c>
      <c r="C71" s="1282"/>
      <c r="D71" s="1283"/>
      <c r="E71" s="1283"/>
      <c r="F71" s="1283"/>
      <c r="G71" s="1283"/>
      <c r="H71" s="1284"/>
    </row>
    <row r="72" spans="2:24" ht="16" thickBot="1">
      <c r="B72" s="1" t="s">
        <v>17</v>
      </c>
      <c r="C72" s="1282"/>
      <c r="D72" s="1283"/>
      <c r="E72" s="1283"/>
      <c r="F72" s="1283"/>
      <c r="G72" s="1283"/>
      <c r="H72" s="1284"/>
    </row>
    <row r="73" spans="2:24" ht="16" thickBot="1">
      <c r="B73" s="1" t="s">
        <v>18</v>
      </c>
      <c r="C73" s="1282"/>
      <c r="D73" s="1283"/>
      <c r="E73" s="1283"/>
      <c r="F73" s="1283"/>
      <c r="G73" s="1283"/>
      <c r="H73" s="1284"/>
    </row>
    <row r="74" spans="2:24" ht="16" thickBot="1">
      <c r="B74" s="1" t="s">
        <v>19</v>
      </c>
      <c r="C74" s="1285"/>
      <c r="D74" s="1286"/>
      <c r="E74" s="1286"/>
      <c r="F74" s="1286"/>
      <c r="G74" s="1286"/>
      <c r="H74" s="1287"/>
    </row>
    <row r="75" spans="2:24" ht="16" thickBot="1">
      <c r="B75" s="3" t="s">
        <v>22</v>
      </c>
      <c r="C75" s="18"/>
      <c r="D75" s="18"/>
      <c r="E75" s="18"/>
      <c r="F75" s="18"/>
      <c r="G75" s="68" t="s">
        <v>329</v>
      </c>
      <c r="H75" s="2"/>
    </row>
    <row r="76" spans="2:24" ht="16"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6" thickBot="1">
      <c r="B79" s="1" t="s">
        <v>96</v>
      </c>
      <c r="C79" s="2" t="s">
        <v>97</v>
      </c>
      <c r="D79" s="2">
        <v>20</v>
      </c>
      <c r="E79" s="2">
        <v>20</v>
      </c>
      <c r="F79" s="2">
        <v>20</v>
      </c>
      <c r="G79" s="2"/>
      <c r="H79" s="2"/>
    </row>
    <row r="80" spans="2:24" ht="28" thickBot="1">
      <c r="B80" s="1" t="s">
        <v>30</v>
      </c>
      <c r="C80" s="2"/>
      <c r="D80" s="2"/>
      <c r="E80" s="2"/>
      <c r="F80" s="2"/>
      <c r="G80" s="2"/>
      <c r="H80" s="2"/>
    </row>
    <row r="81" spans="2:24" ht="16" thickBot="1">
      <c r="B81" s="1" t="s">
        <v>64</v>
      </c>
      <c r="C81" s="2">
        <v>133</v>
      </c>
      <c r="D81" s="2">
        <v>133</v>
      </c>
      <c r="E81" s="2">
        <v>133</v>
      </c>
      <c r="F81" s="2">
        <v>133</v>
      </c>
      <c r="G81" s="2" t="s">
        <v>20</v>
      </c>
      <c r="H81" s="2">
        <v>2</v>
      </c>
    </row>
    <row r="82" spans="2:24" ht="16" thickBot="1">
      <c r="B82" s="1" t="s">
        <v>31</v>
      </c>
      <c r="C82" s="2"/>
      <c r="D82" s="2"/>
      <c r="E82" s="2"/>
      <c r="F82" s="2"/>
      <c r="G82" s="2"/>
      <c r="H82" s="2"/>
    </row>
    <row r="83" spans="2:24" ht="16"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6"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6" thickBot="1">
      <c r="B86" s="36" t="s">
        <v>356</v>
      </c>
      <c r="C86" s="188">
        <f>C82*$F$4</f>
        <v>0</v>
      </c>
      <c r="D86" s="188">
        <f>D82*$F$4</f>
        <v>0</v>
      </c>
      <c r="E86" s="188">
        <f>E82*$F$4</f>
        <v>0</v>
      </c>
      <c r="F86" s="188">
        <f>F82*$F$4</f>
        <v>0</v>
      </c>
      <c r="G86" s="66"/>
      <c r="H86" s="63"/>
    </row>
    <row r="87" spans="2:24" ht="15" customHeight="1">
      <c r="B87" s="1257" t="s">
        <v>0</v>
      </c>
      <c r="C87" s="1259" t="s">
        <v>99</v>
      </c>
      <c r="D87" s="1260"/>
      <c r="E87" s="1260"/>
      <c r="F87" s="1260"/>
      <c r="G87" s="1260"/>
      <c r="H87" s="1261"/>
      <c r="J87" s="1259" t="str">
        <f>C87</f>
        <v>Heat pump, air-to-water</v>
      </c>
      <c r="K87" s="1260"/>
      <c r="L87" s="1260"/>
      <c r="M87" s="1260"/>
      <c r="N87" s="1260"/>
      <c r="O87" s="1261"/>
    </row>
    <row r="88" spans="2:24" ht="15.75" customHeight="1" thickBot="1">
      <c r="B88" s="1258"/>
      <c r="C88" s="1159" t="s">
        <v>35</v>
      </c>
      <c r="D88" s="1160"/>
      <c r="E88" s="1160"/>
      <c r="F88" s="1160"/>
      <c r="G88" s="1160"/>
      <c r="H88" s="1161"/>
      <c r="J88" s="1159" t="str">
        <f>C88</f>
        <v>Apartment complex, new building</v>
      </c>
      <c r="K88" s="1160"/>
      <c r="L88" s="1160"/>
      <c r="M88" s="1160"/>
      <c r="N88" s="1160"/>
      <c r="O88" s="1161"/>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8"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196">
        <v>0</v>
      </c>
      <c r="D97" s="196">
        <v>0</v>
      </c>
      <c r="E97" s="196">
        <v>0</v>
      </c>
      <c r="F97" s="196">
        <v>0</v>
      </c>
      <c r="G97" s="1275" t="s">
        <v>98</v>
      </c>
      <c r="H97" s="175"/>
    </row>
    <row r="98" spans="2:19" ht="16" thickBot="1">
      <c r="B98" s="1" t="s">
        <v>15</v>
      </c>
      <c r="C98" s="196">
        <v>0</v>
      </c>
      <c r="D98" s="196">
        <v>0</v>
      </c>
      <c r="E98" s="196">
        <v>0</v>
      </c>
      <c r="F98" s="196">
        <v>0</v>
      </c>
      <c r="G98" s="1276"/>
      <c r="H98" s="176"/>
    </row>
    <row r="99" spans="2:19" ht="16" thickBot="1">
      <c r="B99" s="1" t="s">
        <v>17</v>
      </c>
      <c r="C99" s="196">
        <v>0</v>
      </c>
      <c r="D99" s="196">
        <v>0</v>
      </c>
      <c r="E99" s="196">
        <v>0</v>
      </c>
      <c r="F99" s="196">
        <v>0</v>
      </c>
      <c r="G99" s="1276"/>
      <c r="H99" s="176"/>
    </row>
    <row r="100" spans="2:19" ht="16" thickBot="1">
      <c r="B100" s="1" t="s">
        <v>18</v>
      </c>
      <c r="C100" s="196">
        <v>0</v>
      </c>
      <c r="D100" s="196">
        <v>0</v>
      </c>
      <c r="E100" s="196">
        <v>0</v>
      </c>
      <c r="F100" s="196">
        <v>0</v>
      </c>
      <c r="G100" s="1276"/>
      <c r="H100" s="176"/>
    </row>
    <row r="101" spans="2:19" ht="16" thickBot="1">
      <c r="B101" s="1" t="s">
        <v>19</v>
      </c>
      <c r="C101" s="196">
        <v>0</v>
      </c>
      <c r="D101" s="196">
        <v>0</v>
      </c>
      <c r="E101" s="196">
        <v>0</v>
      </c>
      <c r="F101" s="196">
        <v>0</v>
      </c>
      <c r="G101" s="1277"/>
      <c r="H101" s="177"/>
    </row>
    <row r="102" spans="2:19" ht="16" thickBot="1">
      <c r="B102" s="3" t="s">
        <v>22</v>
      </c>
      <c r="C102" s="18"/>
      <c r="D102" s="18"/>
      <c r="E102" s="18"/>
      <c r="F102" s="18"/>
      <c r="G102" s="18"/>
      <c r="H102" s="2"/>
    </row>
    <row r="103" spans="2:19" ht="16"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6" thickBot="1">
      <c r="B106" s="1" t="s">
        <v>96</v>
      </c>
      <c r="C106" s="2"/>
      <c r="D106" s="2"/>
      <c r="E106" s="2"/>
      <c r="F106" s="2"/>
      <c r="G106" s="2"/>
      <c r="H106" s="2"/>
    </row>
    <row r="107" spans="2:19" ht="28" thickBot="1">
      <c r="B107" s="1" t="s">
        <v>30</v>
      </c>
      <c r="C107" s="2"/>
      <c r="D107" s="2"/>
      <c r="E107" s="2"/>
      <c r="F107" s="2"/>
      <c r="G107" s="2"/>
      <c r="H107" s="2"/>
    </row>
    <row r="108" spans="2:19" ht="16" thickBot="1">
      <c r="B108" s="1" t="s">
        <v>64</v>
      </c>
      <c r="C108" s="2">
        <v>400</v>
      </c>
      <c r="D108" s="2">
        <v>400</v>
      </c>
      <c r="E108" s="2">
        <v>400</v>
      </c>
      <c r="F108" s="2">
        <v>400</v>
      </c>
      <c r="G108" s="2"/>
      <c r="H108" s="2">
        <v>2</v>
      </c>
    </row>
    <row r="109" spans="2:19" ht="16"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6" thickBot="1">
      <c r="B113" s="36" t="s">
        <v>356</v>
      </c>
      <c r="C113" s="36">
        <f>C109*$F$4</f>
        <v>0</v>
      </c>
      <c r="D113" s="36">
        <f>D109*$F$4</f>
        <v>0</v>
      </c>
      <c r="E113" s="36">
        <f>E109*$F$4</f>
        <v>0</v>
      </c>
      <c r="F113" s="36">
        <f>F109*$F$4</f>
        <v>0</v>
      </c>
      <c r="G113" s="66"/>
      <c r="H113" s="63"/>
    </row>
    <row r="122" spans="2:8">
      <c r="H122" s="71"/>
    </row>
    <row r="156" spans="7:7">
      <c r="G156" s="263" t="s">
        <v>620</v>
      </c>
    </row>
  </sheetData>
  <mergeCells count="24">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 ref="J61:O61"/>
    <mergeCell ref="J87:O87"/>
    <mergeCell ref="J88:O88"/>
    <mergeCell ref="J6:O6"/>
    <mergeCell ref="J7:O7"/>
    <mergeCell ref="J33:O33"/>
    <mergeCell ref="J34:O34"/>
    <mergeCell ref="J60:O60"/>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baseColWidth="10" defaultColWidth="8.83203125" defaultRowHeight="15"/>
  <cols>
    <col min="2" max="2" width="36.83203125" customWidth="1"/>
    <col min="10" max="10" width="42.5" customWidth="1"/>
  </cols>
  <sheetData>
    <row r="3" spans="2:24">
      <c r="B3" s="8" t="s">
        <v>315</v>
      </c>
    </row>
    <row r="4" spans="2:24">
      <c r="E4" t="s">
        <v>334</v>
      </c>
      <c r="F4" s="36">
        <v>7.45</v>
      </c>
      <c r="G4" t="s">
        <v>328</v>
      </c>
    </row>
    <row r="5" spans="2:24" ht="16" thickBot="1"/>
    <row r="6" spans="2:24">
      <c r="B6" s="1257" t="s">
        <v>0</v>
      </c>
      <c r="C6" s="1259" t="s">
        <v>111</v>
      </c>
      <c r="D6" s="1260"/>
      <c r="E6" s="1260"/>
      <c r="F6" s="1260"/>
      <c r="G6" s="1260"/>
      <c r="H6" s="1261"/>
      <c r="J6" s="1259" t="str">
        <f>C6</f>
        <v>Heat pump, brine-to-water</v>
      </c>
      <c r="K6" s="1260"/>
      <c r="L6" s="1260"/>
      <c r="M6" s="1260"/>
      <c r="N6" s="1260"/>
      <c r="O6" s="1261"/>
    </row>
    <row r="7" spans="2:24" ht="16" thickBot="1">
      <c r="B7" s="1258"/>
      <c r="C7" s="1159" t="s">
        <v>1</v>
      </c>
      <c r="D7" s="1160"/>
      <c r="E7" s="1160"/>
      <c r="F7" s="1160"/>
      <c r="G7" s="1160"/>
      <c r="H7" s="1161"/>
      <c r="J7" s="1159" t="str">
        <f>C7</f>
        <v>One-family house, existing building</v>
      </c>
      <c r="K7" s="1160"/>
      <c r="L7" s="1160"/>
      <c r="M7" s="1160"/>
      <c r="N7" s="1160"/>
      <c r="O7" s="1161"/>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8"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6"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6"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row>
    <row r="17" spans="2:8" ht="16" thickBot="1">
      <c r="B17" s="1" t="s">
        <v>15</v>
      </c>
      <c r="C17" s="193">
        <v>0</v>
      </c>
      <c r="D17" s="189">
        <v>0</v>
      </c>
      <c r="E17" s="189">
        <v>0</v>
      </c>
      <c r="F17" s="185">
        <v>0</v>
      </c>
      <c r="G17" s="1276"/>
      <c r="H17" s="176"/>
    </row>
    <row r="18" spans="2:8" ht="16" thickBot="1">
      <c r="B18" s="1" t="s">
        <v>17</v>
      </c>
      <c r="C18" s="193">
        <v>0</v>
      </c>
      <c r="D18" s="189">
        <v>0</v>
      </c>
      <c r="E18" s="189">
        <v>0</v>
      </c>
      <c r="F18" s="185">
        <v>0</v>
      </c>
      <c r="G18" s="1276"/>
      <c r="H18" s="176"/>
    </row>
    <row r="19" spans="2:8" ht="16" thickBot="1">
      <c r="B19" s="1" t="s">
        <v>18</v>
      </c>
      <c r="C19" s="193">
        <v>0</v>
      </c>
      <c r="D19" s="189">
        <v>0</v>
      </c>
      <c r="E19" s="189">
        <v>0</v>
      </c>
      <c r="F19" s="185">
        <v>0</v>
      </c>
      <c r="G19" s="1276"/>
      <c r="H19" s="176"/>
    </row>
    <row r="20" spans="2:8" ht="16" thickBot="1">
      <c r="B20" s="1" t="s">
        <v>19</v>
      </c>
      <c r="C20" s="194">
        <v>0</v>
      </c>
      <c r="D20" s="195">
        <v>0</v>
      </c>
      <c r="E20" s="195">
        <v>0</v>
      </c>
      <c r="F20" s="35">
        <v>0</v>
      </c>
      <c r="G20" s="1277"/>
      <c r="H20" s="177"/>
    </row>
    <row r="21" spans="2:8" ht="16" thickBot="1">
      <c r="B21" s="3" t="s">
        <v>22</v>
      </c>
      <c r="C21" s="38"/>
      <c r="D21" s="38"/>
      <c r="E21" s="38"/>
      <c r="F21" s="38"/>
      <c r="G21" s="68" t="s">
        <v>329</v>
      </c>
      <c r="H21" s="39"/>
    </row>
    <row r="22" spans="2:8" ht="16" thickBot="1">
      <c r="B22" s="1" t="s">
        <v>23</v>
      </c>
      <c r="C22" s="43">
        <f>C23/C10</f>
        <v>1.7</v>
      </c>
      <c r="D22" s="43">
        <f>D23/D10</f>
        <v>1.6</v>
      </c>
      <c r="E22" s="43">
        <f>E23/E10</f>
        <v>1.5</v>
      </c>
      <c r="F22" s="43">
        <f>F23/F10</f>
        <v>1.4</v>
      </c>
      <c r="G22" s="68">
        <f>G30</f>
        <v>10</v>
      </c>
      <c r="H22" s="68" t="str">
        <f>H30</f>
        <v>kW</v>
      </c>
    </row>
    <row r="23" spans="2:8" ht="27">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6" thickBot="1">
      <c r="B25" s="1" t="s">
        <v>96</v>
      </c>
      <c r="C25" s="2" t="s">
        <v>29</v>
      </c>
      <c r="D25" s="2">
        <v>30</v>
      </c>
      <c r="E25" s="2">
        <v>30</v>
      </c>
      <c r="F25" s="2">
        <v>30</v>
      </c>
      <c r="G25" s="2"/>
      <c r="H25" s="2"/>
    </row>
    <row r="26" spans="2:8" ht="28" thickBot="1">
      <c r="B26" s="1" t="s">
        <v>30</v>
      </c>
      <c r="C26" s="2">
        <v>6</v>
      </c>
      <c r="D26" s="2">
        <v>6</v>
      </c>
      <c r="E26" s="2">
        <v>6</v>
      </c>
      <c r="F26" s="2">
        <v>6</v>
      </c>
      <c r="G26" s="2" t="s">
        <v>20</v>
      </c>
      <c r="H26" s="2"/>
    </row>
    <row r="27" spans="2:8" ht="16" thickBot="1">
      <c r="B27" s="1" t="s">
        <v>64</v>
      </c>
      <c r="C27" s="2">
        <v>135</v>
      </c>
      <c r="D27" s="2">
        <v>135</v>
      </c>
      <c r="E27" s="2">
        <v>135</v>
      </c>
      <c r="F27" s="2">
        <v>135</v>
      </c>
      <c r="G27" s="2" t="s">
        <v>25</v>
      </c>
      <c r="H27" s="2">
        <v>2</v>
      </c>
    </row>
    <row r="28" spans="2:8" ht="16"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6" thickBot="1">
      <c r="B32" s="36" t="s">
        <v>356</v>
      </c>
      <c r="C32" s="60">
        <f>C28*$F$4</f>
        <v>0</v>
      </c>
      <c r="D32" s="60">
        <f>D28*$F$4</f>
        <v>0</v>
      </c>
      <c r="E32" s="60">
        <f>E28*$F$4</f>
        <v>0</v>
      </c>
      <c r="F32" s="60">
        <f>F28*$F$4</f>
        <v>0</v>
      </c>
      <c r="G32" s="61"/>
      <c r="H32" s="61"/>
    </row>
    <row r="33" spans="2:24">
      <c r="B33" s="1257" t="s">
        <v>0</v>
      </c>
      <c r="C33" s="1259" t="s">
        <v>111</v>
      </c>
      <c r="D33" s="1260"/>
      <c r="E33" s="1260"/>
      <c r="F33" s="1260"/>
      <c r="G33" s="1260"/>
      <c r="H33" s="1261"/>
      <c r="J33" s="1259" t="str">
        <f>C33</f>
        <v>Heat pump, brine-to-water</v>
      </c>
      <c r="K33" s="1260"/>
      <c r="L33" s="1260"/>
      <c r="M33" s="1260"/>
      <c r="N33" s="1260"/>
      <c r="O33" s="1261"/>
    </row>
    <row r="34" spans="2:24" ht="16" thickBot="1">
      <c r="B34" s="1258"/>
      <c r="C34" s="1159" t="s">
        <v>32</v>
      </c>
      <c r="D34" s="1160"/>
      <c r="E34" s="1160"/>
      <c r="F34" s="1160"/>
      <c r="G34" s="1160"/>
      <c r="H34" s="1161"/>
      <c r="J34" s="1159" t="str">
        <f>C34</f>
        <v>Apartment complex, existing building</v>
      </c>
      <c r="K34" s="1160"/>
      <c r="L34" s="1160"/>
      <c r="M34" s="1160"/>
      <c r="N34" s="1160"/>
      <c r="O34" s="1161"/>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8"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6"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6"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0">
        <v>0</v>
      </c>
      <c r="D43" s="191">
        <v>0</v>
      </c>
      <c r="E43" s="191">
        <v>0</v>
      </c>
      <c r="F43" s="192">
        <v>0</v>
      </c>
      <c r="G43" s="1275" t="s">
        <v>98</v>
      </c>
      <c r="H43" s="175"/>
    </row>
    <row r="44" spans="2:24" ht="16" thickBot="1">
      <c r="B44" s="1" t="s">
        <v>15</v>
      </c>
      <c r="C44" s="193">
        <v>0</v>
      </c>
      <c r="D44" s="189">
        <v>0</v>
      </c>
      <c r="E44" s="189">
        <v>0</v>
      </c>
      <c r="F44" s="185">
        <v>0</v>
      </c>
      <c r="G44" s="1276"/>
      <c r="H44" s="176"/>
    </row>
    <row r="45" spans="2:24" ht="16" thickBot="1">
      <c r="B45" s="1" t="s">
        <v>17</v>
      </c>
      <c r="C45" s="193">
        <v>0</v>
      </c>
      <c r="D45" s="189">
        <v>0</v>
      </c>
      <c r="E45" s="189">
        <v>0</v>
      </c>
      <c r="F45" s="185">
        <v>0</v>
      </c>
      <c r="G45" s="1276"/>
      <c r="H45" s="176"/>
    </row>
    <row r="46" spans="2:24" ht="16" thickBot="1">
      <c r="B46" s="1" t="s">
        <v>18</v>
      </c>
      <c r="C46" s="193">
        <v>0</v>
      </c>
      <c r="D46" s="189">
        <v>0</v>
      </c>
      <c r="E46" s="189">
        <v>0</v>
      </c>
      <c r="F46" s="185">
        <v>0</v>
      </c>
      <c r="G46" s="1276"/>
      <c r="H46" s="176"/>
    </row>
    <row r="47" spans="2:24" ht="16" thickBot="1">
      <c r="B47" s="1" t="s">
        <v>19</v>
      </c>
      <c r="C47" s="194">
        <v>0</v>
      </c>
      <c r="D47" s="195">
        <v>0</v>
      </c>
      <c r="E47" s="195">
        <v>0</v>
      </c>
      <c r="F47" s="35">
        <v>0</v>
      </c>
      <c r="G47" s="1277"/>
      <c r="H47" s="177"/>
    </row>
    <row r="48" spans="2:24" ht="16" thickBot="1">
      <c r="B48" s="3" t="s">
        <v>22</v>
      </c>
      <c r="C48" s="18"/>
      <c r="D48" s="18"/>
      <c r="E48" s="18"/>
      <c r="F48" s="18"/>
      <c r="G48" s="18"/>
      <c r="H48" s="2"/>
    </row>
    <row r="49" spans="2:24" ht="16"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6" thickBot="1">
      <c r="B52" s="1" t="s">
        <v>96</v>
      </c>
      <c r="C52" s="2"/>
      <c r="D52" s="2"/>
      <c r="E52" s="2"/>
      <c r="F52" s="2"/>
      <c r="G52" s="2"/>
      <c r="H52" s="2"/>
    </row>
    <row r="53" spans="2:24" ht="28" thickBot="1">
      <c r="B53" s="1" t="s">
        <v>113</v>
      </c>
      <c r="C53" s="2">
        <v>0.67</v>
      </c>
      <c r="D53" s="2">
        <v>0.67</v>
      </c>
      <c r="E53" s="2">
        <v>0.67</v>
      </c>
      <c r="F53" s="2">
        <v>0.67</v>
      </c>
      <c r="G53" s="2" t="s">
        <v>20</v>
      </c>
      <c r="H53" s="2"/>
    </row>
    <row r="54" spans="2:24" ht="16" thickBot="1">
      <c r="B54" s="1" t="s">
        <v>64</v>
      </c>
      <c r="C54" s="2">
        <v>400</v>
      </c>
      <c r="D54" s="2">
        <v>400</v>
      </c>
      <c r="E54" s="2">
        <v>400</v>
      </c>
      <c r="F54" s="2">
        <v>400</v>
      </c>
      <c r="G54" s="2" t="s">
        <v>25</v>
      </c>
      <c r="H54" s="2">
        <v>2</v>
      </c>
    </row>
    <row r="55" spans="2:24" ht="16"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86">
        <f t="shared" si="1"/>
        <v>0</v>
      </c>
      <c r="D57" s="186">
        <f t="shared" si="1"/>
        <v>0</v>
      </c>
      <c r="E57" s="186">
        <f t="shared" si="1"/>
        <v>0</v>
      </c>
      <c r="F57" s="186">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6" thickBot="1">
      <c r="B59" s="36" t="s">
        <v>356</v>
      </c>
      <c r="C59" s="186">
        <f>C55*$F$4</f>
        <v>0</v>
      </c>
      <c r="D59" s="186">
        <f>D55*$F$4</f>
        <v>0</v>
      </c>
      <c r="E59" s="186">
        <f>E55*$F$4</f>
        <v>0</v>
      </c>
      <c r="F59" s="186">
        <f>F55*$F$4</f>
        <v>0</v>
      </c>
      <c r="G59" s="61"/>
      <c r="H59" s="61"/>
    </row>
    <row r="60" spans="2:24">
      <c r="B60" s="1257" t="s">
        <v>0</v>
      </c>
      <c r="C60" s="1259" t="s">
        <v>111</v>
      </c>
      <c r="D60" s="1260"/>
      <c r="E60" s="1260"/>
      <c r="F60" s="1260"/>
      <c r="G60" s="1260"/>
      <c r="H60" s="1261"/>
      <c r="J60" s="1259" t="str">
        <f>C60</f>
        <v>Heat pump, brine-to-water</v>
      </c>
      <c r="K60" s="1260"/>
      <c r="L60" s="1260"/>
      <c r="M60" s="1260"/>
      <c r="N60" s="1260"/>
      <c r="O60" s="1261"/>
    </row>
    <row r="61" spans="2:24" ht="16" thickBot="1">
      <c r="B61" s="1258"/>
      <c r="C61" s="1159" t="s">
        <v>34</v>
      </c>
      <c r="D61" s="1160"/>
      <c r="E61" s="1160"/>
      <c r="F61" s="1160"/>
      <c r="G61" s="1160"/>
      <c r="H61" s="1161"/>
      <c r="J61" s="1159" t="str">
        <f>C61</f>
        <v>One-family house, new building</v>
      </c>
      <c r="K61" s="1160"/>
      <c r="L61" s="1160"/>
      <c r="M61" s="1160"/>
      <c r="N61" s="1160"/>
      <c r="O61" s="1161"/>
    </row>
    <row r="62" spans="2:24" ht="16" thickBot="1">
      <c r="B62" s="1"/>
      <c r="C62" s="2">
        <v>2015</v>
      </c>
      <c r="D62" s="2">
        <v>2020</v>
      </c>
      <c r="E62" s="2">
        <v>2030</v>
      </c>
      <c r="F62" s="2">
        <v>2050</v>
      </c>
      <c r="G62" s="2" t="s">
        <v>2</v>
      </c>
      <c r="H62" s="2" t="s">
        <v>3</v>
      </c>
      <c r="J62" s="53" t="s">
        <v>357</v>
      </c>
    </row>
    <row r="63" spans="2:24" ht="31"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6"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8"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8"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8"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6"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6"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0">
        <v>0</v>
      </c>
      <c r="D70" s="191">
        <v>0</v>
      </c>
      <c r="E70" s="191">
        <v>0</v>
      </c>
      <c r="F70" s="192">
        <v>0</v>
      </c>
      <c r="G70" s="1275" t="s">
        <v>98</v>
      </c>
      <c r="H70" s="175"/>
    </row>
    <row r="71" spans="2:24" ht="16" thickBot="1">
      <c r="B71" s="1" t="s">
        <v>15</v>
      </c>
      <c r="C71" s="193">
        <v>0</v>
      </c>
      <c r="D71" s="189">
        <v>0</v>
      </c>
      <c r="E71" s="189">
        <v>0</v>
      </c>
      <c r="F71" s="185">
        <v>0</v>
      </c>
      <c r="G71" s="1276"/>
      <c r="H71" s="176"/>
    </row>
    <row r="72" spans="2:24" ht="16" thickBot="1">
      <c r="B72" s="1" t="s">
        <v>17</v>
      </c>
      <c r="C72" s="193">
        <v>0</v>
      </c>
      <c r="D72" s="189">
        <v>0</v>
      </c>
      <c r="E72" s="189">
        <v>0</v>
      </c>
      <c r="F72" s="185">
        <v>0</v>
      </c>
      <c r="G72" s="1276"/>
      <c r="H72" s="176"/>
    </row>
    <row r="73" spans="2:24" ht="16" thickBot="1">
      <c r="B73" s="1" t="s">
        <v>18</v>
      </c>
      <c r="C73" s="193">
        <v>0</v>
      </c>
      <c r="D73" s="189">
        <v>0</v>
      </c>
      <c r="E73" s="189">
        <v>0</v>
      </c>
      <c r="F73" s="185">
        <v>0</v>
      </c>
      <c r="G73" s="1276"/>
      <c r="H73" s="176"/>
    </row>
    <row r="74" spans="2:24" ht="16" thickBot="1">
      <c r="B74" s="1" t="s">
        <v>19</v>
      </c>
      <c r="C74" s="194">
        <v>0</v>
      </c>
      <c r="D74" s="195">
        <v>0</v>
      </c>
      <c r="E74" s="195">
        <v>0</v>
      </c>
      <c r="F74" s="35">
        <v>0</v>
      </c>
      <c r="G74" s="1277"/>
      <c r="H74" s="177"/>
    </row>
    <row r="75" spans="2:24" ht="16" thickBot="1">
      <c r="B75" s="3" t="s">
        <v>22</v>
      </c>
      <c r="C75" s="18"/>
      <c r="D75" s="18"/>
      <c r="E75" s="18"/>
      <c r="F75" s="18"/>
      <c r="G75" s="18"/>
      <c r="H75" s="2"/>
    </row>
    <row r="76" spans="2:24" ht="16"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6" thickBot="1">
      <c r="B79" s="1" t="s">
        <v>96</v>
      </c>
      <c r="C79" s="2" t="s">
        <v>116</v>
      </c>
      <c r="D79" s="2">
        <v>25</v>
      </c>
      <c r="E79" s="2">
        <v>25</v>
      </c>
      <c r="F79" s="2">
        <v>25</v>
      </c>
      <c r="G79" s="2"/>
      <c r="H79" s="2"/>
    </row>
    <row r="80" spans="2:24" ht="28" thickBot="1">
      <c r="B80" s="1" t="s">
        <v>30</v>
      </c>
      <c r="C80" s="2">
        <v>6</v>
      </c>
      <c r="D80" s="2">
        <v>6</v>
      </c>
      <c r="E80" s="2">
        <v>6</v>
      </c>
      <c r="F80" s="2">
        <v>6</v>
      </c>
      <c r="G80" s="2" t="s">
        <v>20</v>
      </c>
      <c r="H80" s="2"/>
    </row>
    <row r="81" spans="2:24" ht="16" thickBot="1">
      <c r="B81" s="1" t="s">
        <v>64</v>
      </c>
      <c r="C81" s="2">
        <v>135</v>
      </c>
      <c r="D81" s="2">
        <v>135</v>
      </c>
      <c r="E81" s="2">
        <v>135</v>
      </c>
      <c r="F81" s="2">
        <v>135</v>
      </c>
      <c r="G81" s="2" t="s">
        <v>25</v>
      </c>
      <c r="H81" s="2">
        <v>2</v>
      </c>
    </row>
    <row r="82" spans="2:24" ht="16" thickBot="1">
      <c r="B82" s="1" t="s">
        <v>31</v>
      </c>
      <c r="C82" s="2"/>
      <c r="D82" s="2"/>
      <c r="E82" s="2"/>
      <c r="F82" s="2"/>
      <c r="G82" s="2"/>
      <c r="H82" s="2"/>
    </row>
    <row r="83" spans="2:24">
      <c r="B83" s="36" t="s">
        <v>353</v>
      </c>
      <c r="C83" s="186">
        <f t="shared" ref="C83:F84" si="2">C76*$F$4*1000</f>
        <v>0</v>
      </c>
      <c r="D83" s="186">
        <f t="shared" si="2"/>
        <v>0</v>
      </c>
      <c r="E83" s="186">
        <f t="shared" si="2"/>
        <v>0</v>
      </c>
      <c r="F83" s="186">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6" thickBot="1">
      <c r="B86" s="36" t="s">
        <v>356</v>
      </c>
      <c r="C86" s="186">
        <f>C82*$F$4</f>
        <v>0</v>
      </c>
      <c r="D86" s="186">
        <f>D82*$F$4</f>
        <v>0</v>
      </c>
      <c r="E86" s="186">
        <f>E82*$F$4</f>
        <v>0</v>
      </c>
      <c r="F86" s="186">
        <f>F82*$F$4</f>
        <v>0</v>
      </c>
      <c r="G86" s="61"/>
      <c r="H86" s="61"/>
    </row>
    <row r="87" spans="2:24">
      <c r="B87" s="1257" t="s">
        <v>0</v>
      </c>
      <c r="C87" s="1259" t="s">
        <v>111</v>
      </c>
      <c r="D87" s="1260"/>
      <c r="E87" s="1260"/>
      <c r="F87" s="1260"/>
      <c r="G87" s="1260"/>
      <c r="H87" s="1261"/>
      <c r="J87" s="1259" t="str">
        <f>C87</f>
        <v>Heat pump, brine-to-water</v>
      </c>
      <c r="K87" s="1260"/>
      <c r="L87" s="1260"/>
      <c r="M87" s="1260"/>
      <c r="N87" s="1260"/>
      <c r="O87" s="1261"/>
    </row>
    <row r="88" spans="2:24" ht="16" thickBot="1">
      <c r="B88" s="1258"/>
      <c r="C88" s="1159" t="s">
        <v>35</v>
      </c>
      <c r="D88" s="1160"/>
      <c r="E88" s="1160"/>
      <c r="F88" s="1160"/>
      <c r="G88" s="1160"/>
      <c r="H88" s="1161"/>
      <c r="J88" s="1159" t="str">
        <f>C88</f>
        <v>Apartment complex, new building</v>
      </c>
      <c r="K88" s="1160"/>
      <c r="L88" s="1160"/>
      <c r="M88" s="1160"/>
      <c r="N88" s="1160"/>
      <c r="O88" s="1161"/>
    </row>
    <row r="89" spans="2:24" ht="16" thickBot="1">
      <c r="B89" s="1"/>
      <c r="C89" s="2">
        <v>2015</v>
      </c>
      <c r="D89" s="2">
        <v>2020</v>
      </c>
      <c r="E89" s="2">
        <v>2030</v>
      </c>
      <c r="F89" s="2">
        <v>2050</v>
      </c>
      <c r="G89" s="2" t="s">
        <v>2</v>
      </c>
      <c r="H89" s="2" t="s">
        <v>3</v>
      </c>
      <c r="J89" s="53" t="s">
        <v>357</v>
      </c>
    </row>
    <row r="90" spans="2:24" ht="31"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6"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8"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8"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8"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6"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6"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0">
        <v>0</v>
      </c>
      <c r="D97" s="191">
        <v>0</v>
      </c>
      <c r="E97" s="191">
        <v>0</v>
      </c>
      <c r="F97" s="192">
        <v>0</v>
      </c>
      <c r="G97" s="1275" t="s">
        <v>98</v>
      </c>
      <c r="H97" s="175"/>
      <c r="J97" s="1259"/>
      <c r="K97" s="1260"/>
      <c r="L97" s="1260"/>
      <c r="M97" s="1260"/>
      <c r="N97" s="1260"/>
      <c r="O97" s="1261"/>
    </row>
    <row r="98" spans="2:15" ht="16" thickBot="1">
      <c r="B98" s="1" t="s">
        <v>15</v>
      </c>
      <c r="C98" s="193">
        <v>0</v>
      </c>
      <c r="D98" s="189">
        <v>0</v>
      </c>
      <c r="E98" s="189">
        <v>0</v>
      </c>
      <c r="F98" s="185">
        <v>0</v>
      </c>
      <c r="G98" s="1276"/>
      <c r="H98" s="176"/>
      <c r="J98" s="1159"/>
      <c r="K98" s="1160"/>
      <c r="L98" s="1160"/>
      <c r="M98" s="1160"/>
      <c r="N98" s="1160"/>
      <c r="O98" s="1161"/>
    </row>
    <row r="99" spans="2:15" ht="16" thickBot="1">
      <c r="B99" s="1" t="s">
        <v>17</v>
      </c>
      <c r="C99" s="193">
        <v>0</v>
      </c>
      <c r="D99" s="189">
        <v>0</v>
      </c>
      <c r="E99" s="189">
        <v>0</v>
      </c>
      <c r="F99" s="185">
        <v>0</v>
      </c>
      <c r="G99" s="1276"/>
      <c r="H99" s="176"/>
      <c r="J99" s="53"/>
    </row>
    <row r="100" spans="2:15" ht="16" thickBot="1">
      <c r="B100" s="1" t="s">
        <v>18</v>
      </c>
      <c r="C100" s="193">
        <v>0</v>
      </c>
      <c r="D100" s="189">
        <v>0</v>
      </c>
      <c r="E100" s="189">
        <v>0</v>
      </c>
      <c r="F100" s="185">
        <v>0</v>
      </c>
      <c r="G100" s="1276"/>
      <c r="H100" s="176"/>
      <c r="J100" s="46"/>
      <c r="K100" s="46"/>
      <c r="L100" s="47"/>
      <c r="M100" s="47"/>
      <c r="N100" s="47"/>
      <c r="O100" s="48"/>
    </row>
    <row r="101" spans="2:15" ht="16" thickBot="1">
      <c r="B101" s="1" t="s">
        <v>19</v>
      </c>
      <c r="C101" s="194">
        <v>0</v>
      </c>
      <c r="D101" s="195">
        <v>0</v>
      </c>
      <c r="E101" s="195">
        <v>0</v>
      </c>
      <c r="F101" s="35">
        <v>0</v>
      </c>
      <c r="G101" s="1277"/>
      <c r="H101" s="177"/>
      <c r="J101" s="50"/>
      <c r="K101" s="50"/>
      <c r="L101" s="51"/>
      <c r="M101" s="51"/>
      <c r="N101" s="51"/>
      <c r="O101" s="52"/>
    </row>
    <row r="102" spans="2:15" ht="16" thickBot="1">
      <c r="B102" s="3" t="s">
        <v>22</v>
      </c>
      <c r="C102" s="18"/>
      <c r="D102" s="18"/>
      <c r="E102" s="18"/>
      <c r="F102" s="18"/>
      <c r="G102" s="18"/>
      <c r="H102" s="2"/>
      <c r="J102" s="56"/>
      <c r="K102" s="56"/>
      <c r="L102" s="57"/>
      <c r="M102" s="57"/>
      <c r="N102" s="57"/>
      <c r="O102" s="56"/>
    </row>
    <row r="103" spans="2:15" ht="16"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6" thickBot="1">
      <c r="B106" s="1" t="s">
        <v>96</v>
      </c>
      <c r="C106" s="2"/>
      <c r="D106" s="2"/>
      <c r="E106" s="2"/>
      <c r="F106" s="2"/>
      <c r="G106" s="2"/>
      <c r="H106" s="2"/>
      <c r="J106" s="58"/>
      <c r="K106" s="58"/>
      <c r="L106" s="58"/>
      <c r="M106" s="58"/>
      <c r="N106" s="58"/>
      <c r="O106" s="59"/>
    </row>
    <row r="107" spans="2:15" ht="28" thickBot="1">
      <c r="B107" s="1" t="s">
        <v>113</v>
      </c>
      <c r="C107" s="2">
        <v>0.67</v>
      </c>
      <c r="D107" s="2">
        <v>0.67</v>
      </c>
      <c r="E107" s="2">
        <v>0.67</v>
      </c>
      <c r="F107" s="2">
        <v>0.67</v>
      </c>
      <c r="G107" s="2" t="s">
        <v>20</v>
      </c>
      <c r="H107" s="2"/>
    </row>
    <row r="108" spans="2:15" ht="16" thickBot="1">
      <c r="B108" s="1" t="s">
        <v>50</v>
      </c>
      <c r="C108" s="2">
        <v>400</v>
      </c>
      <c r="D108" s="2">
        <v>400</v>
      </c>
      <c r="E108" s="2">
        <v>400</v>
      </c>
      <c r="F108" s="2">
        <v>400</v>
      </c>
      <c r="G108" s="2" t="s">
        <v>25</v>
      </c>
      <c r="H108" s="2">
        <v>2</v>
      </c>
    </row>
    <row r="109" spans="2:15" ht="16"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86">
        <f t="shared" si="3"/>
        <v>0</v>
      </c>
      <c r="D111" s="186">
        <f t="shared" si="3"/>
        <v>0</v>
      </c>
      <c r="E111" s="186">
        <f t="shared" si="3"/>
        <v>0</v>
      </c>
      <c r="F111" s="186">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86">
        <f>C109*$F$4</f>
        <v>0</v>
      </c>
      <c r="D113" s="186">
        <f>D109*$F$4</f>
        <v>0</v>
      </c>
      <c r="E113" s="186">
        <f>E109*$F$4</f>
        <v>0</v>
      </c>
      <c r="F113" s="186">
        <f>F109*$F$4</f>
        <v>0</v>
      </c>
      <c r="G113" s="61"/>
      <c r="H113" s="61"/>
    </row>
    <row r="156" spans="7:7">
      <c r="G156" s="263" t="s">
        <v>620</v>
      </c>
    </row>
  </sheetData>
  <mergeCells count="26">
    <mergeCell ref="G43:G47"/>
    <mergeCell ref="G70:G74"/>
    <mergeCell ref="G97:G101"/>
    <mergeCell ref="J87:O87"/>
    <mergeCell ref="J88:O88"/>
    <mergeCell ref="J97:O97"/>
    <mergeCell ref="J98:O98"/>
    <mergeCell ref="J61:O61"/>
    <mergeCell ref="J6:O6"/>
    <mergeCell ref="J7:O7"/>
    <mergeCell ref="J33:O33"/>
    <mergeCell ref="J34:O34"/>
    <mergeCell ref="J60:O60"/>
    <mergeCell ref="B60:B61"/>
    <mergeCell ref="C60:H60"/>
    <mergeCell ref="C61:H61"/>
    <mergeCell ref="B87:B88"/>
    <mergeCell ref="C87:H87"/>
    <mergeCell ref="C88:H88"/>
    <mergeCell ref="B6:B7"/>
    <mergeCell ref="C6:H6"/>
    <mergeCell ref="C7:H7"/>
    <mergeCell ref="B33:B34"/>
    <mergeCell ref="C33:H33"/>
    <mergeCell ref="C34:H34"/>
    <mergeCell ref="G16:G20"/>
  </mergeCell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baseColWidth="10" defaultColWidth="8.83203125" defaultRowHeight="15"/>
  <cols>
    <col min="2" max="2" width="51.5" customWidth="1"/>
    <col min="3" max="3" width="14.83203125" style="85" bestFit="1" customWidth="1"/>
    <col min="4" max="8" width="9.1640625" style="85"/>
  </cols>
  <sheetData>
    <row r="3" spans="2:94" ht="29">
      <c r="B3" s="84" t="s">
        <v>393</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59" t="str">
        <f>C7</f>
        <v>One family house, new and existing buildings</v>
      </c>
      <c r="K7" s="1160"/>
      <c r="L7" s="1160"/>
      <c r="M7" s="1160"/>
      <c r="N7" s="1160"/>
      <c r="O7" s="1161"/>
      <c r="P7"/>
      <c r="Q7"/>
      <c r="R7"/>
      <c r="S7"/>
      <c r="T7"/>
      <c r="U7"/>
      <c r="V7"/>
      <c r="W7"/>
      <c r="X7"/>
    </row>
    <row r="8" spans="2:94" ht="25.5" customHeight="1" thickBot="1">
      <c r="B8" s="111"/>
      <c r="C8" s="112">
        <v>2015</v>
      </c>
      <c r="D8" s="112">
        <v>2020</v>
      </c>
      <c r="E8" s="112">
        <v>2030</v>
      </c>
      <c r="F8" s="112">
        <v>2050</v>
      </c>
      <c r="G8" s="112" t="s">
        <v>2</v>
      </c>
      <c r="H8" s="113"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4" t="s">
        <v>4</v>
      </c>
      <c r="C9" s="108"/>
      <c r="D9" s="108"/>
      <c r="E9" s="108"/>
      <c r="F9" s="108"/>
      <c r="G9" s="108"/>
      <c r="H9" s="10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0" t="s">
        <v>368</v>
      </c>
      <c r="C21" s="1288" t="s">
        <v>397</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5" t="s">
        <v>23</v>
      </c>
      <c r="C22" s="120"/>
      <c r="D22" s="120"/>
      <c r="E22" s="120"/>
      <c r="F22" s="120"/>
      <c r="G22" s="118"/>
      <c r="H22" s="11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5" t="s">
        <v>24</v>
      </c>
      <c r="C23" s="118">
        <v>13</v>
      </c>
      <c r="D23" s="118">
        <v>12</v>
      </c>
      <c r="E23" s="118">
        <v>10</v>
      </c>
      <c r="F23" s="118">
        <v>10</v>
      </c>
      <c r="G23" s="118" t="s">
        <v>398</v>
      </c>
      <c r="H23" s="11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5" t="s">
        <v>26</v>
      </c>
      <c r="C24" s="119">
        <v>0.77</v>
      </c>
      <c r="D24" s="119">
        <v>0.75</v>
      </c>
      <c r="E24" s="119">
        <v>0.7</v>
      </c>
      <c r="F24" s="119">
        <v>0.7</v>
      </c>
      <c r="G24" s="118"/>
      <c r="H24" s="11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5" t="s">
        <v>28</v>
      </c>
      <c r="C25" s="119">
        <v>0.23</v>
      </c>
      <c r="D25" s="119">
        <v>0.25</v>
      </c>
      <c r="E25" s="119">
        <v>0.3</v>
      </c>
      <c r="F25" s="119">
        <v>0.3</v>
      </c>
      <c r="G25" s="118"/>
      <c r="H25" s="11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5" t="s">
        <v>369</v>
      </c>
      <c r="C26" s="107">
        <v>2</v>
      </c>
      <c r="D26" s="118">
        <v>2</v>
      </c>
      <c r="E26" s="118">
        <v>2</v>
      </c>
      <c r="F26" s="118">
        <v>2</v>
      </c>
      <c r="G26" s="118" t="s">
        <v>51</v>
      </c>
      <c r="H26" s="11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5" t="s">
        <v>64</v>
      </c>
      <c r="C27" s="107">
        <v>240</v>
      </c>
      <c r="D27" s="118">
        <v>240</v>
      </c>
      <c r="E27" s="118">
        <v>240</v>
      </c>
      <c r="F27" s="118">
        <v>240</v>
      </c>
      <c r="G27" s="118" t="s">
        <v>399</v>
      </c>
      <c r="H27" s="11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2" t="s">
        <v>406</v>
      </c>
      <c r="C28" s="121">
        <v>2</v>
      </c>
      <c r="D28" s="120">
        <v>2</v>
      </c>
      <c r="E28" s="120">
        <v>2</v>
      </c>
      <c r="F28" s="120">
        <v>2</v>
      </c>
      <c r="G28" s="120" t="s">
        <v>396</v>
      </c>
      <c r="H28" s="11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99.333333333333329</v>
      </c>
      <c r="D31" s="106">
        <f>D27*$G$4/D10</f>
        <v>59.6</v>
      </c>
      <c r="E31" s="106">
        <f>E27*$G$4/E10</f>
        <v>59.6</v>
      </c>
      <c r="F31" s="106">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59" t="str">
        <f>C34</f>
        <v>Apartment complex, existing and new buildings</v>
      </c>
      <c r="K34" s="1160"/>
      <c r="L34" s="1160"/>
      <c r="M34" s="1160"/>
      <c r="N34" s="1160"/>
      <c r="O34" s="1161"/>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368</v>
      </c>
      <c r="C48" s="1288" t="s">
        <v>397</v>
      </c>
      <c r="D48" s="1288"/>
      <c r="E48" s="1288"/>
      <c r="F48" s="1288"/>
      <c r="G48" s="1288"/>
      <c r="H48" s="1289"/>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1"/>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v>18</v>
      </c>
      <c r="D50" s="152">
        <v>18</v>
      </c>
      <c r="E50" s="152">
        <v>17</v>
      </c>
      <c r="F50" s="152">
        <v>17</v>
      </c>
      <c r="G50" s="152" t="s">
        <v>400</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6" thickBot="1">
      <c r="B51" s="148" t="s">
        <v>26</v>
      </c>
      <c r="C51" s="153">
        <v>0.78</v>
      </c>
      <c r="D51" s="153"/>
      <c r="E51" s="153"/>
      <c r="F51" s="153"/>
      <c r="G51" s="152"/>
      <c r="H51" s="152"/>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6" thickBot="1">
      <c r="B52" s="148" t="s">
        <v>28</v>
      </c>
      <c r="C52" s="153">
        <v>0.22</v>
      </c>
      <c r="D52" s="153"/>
      <c r="E52" s="153"/>
      <c r="F52" s="153"/>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v>1.6</v>
      </c>
      <c r="D53" s="152">
        <v>1.6</v>
      </c>
      <c r="E53" s="152">
        <v>1.6</v>
      </c>
      <c r="F53" s="152">
        <v>1.6</v>
      </c>
      <c r="G53" s="152" t="s">
        <v>33</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88">
        <f>C55/$C$64</f>
        <v>18</v>
      </c>
      <c r="D59" s="188">
        <f>D55/$C$64</f>
        <v>18</v>
      </c>
      <c r="E59" s="188">
        <f>E55/$C$64</f>
        <v>18</v>
      </c>
      <c r="F59" s="188">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5">
        <v>20000</v>
      </c>
      <c r="D62" s="85" t="s">
        <v>360</v>
      </c>
      <c r="F62" s="85">
        <v>5</v>
      </c>
      <c r="G62" s="85"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5">
        <f>C62/3.6</f>
        <v>5555.5555555555557</v>
      </c>
      <c r="D63" s="85"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5">
        <f>C63/1000</f>
        <v>5.5555555555555554</v>
      </c>
      <c r="D64" s="85"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5">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5">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baseColWidth="10" defaultColWidth="8.83203125" defaultRowHeight="15"/>
  <cols>
    <col min="2" max="2" width="51.5" customWidth="1"/>
    <col min="3" max="8" width="9.1640625" style="85"/>
  </cols>
  <sheetData>
    <row r="3" spans="2:94" ht="29">
      <c r="B3" s="84" t="s">
        <v>401</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59" t="str">
        <f>C7</f>
        <v>One family house, new and existing buildings</v>
      </c>
      <c r="K7" s="1160"/>
      <c r="L7" s="1160"/>
      <c r="M7" s="1160"/>
      <c r="N7" s="1160"/>
      <c r="O7" s="1161"/>
      <c r="P7"/>
      <c r="Q7"/>
      <c r="R7"/>
      <c r="S7"/>
      <c r="T7"/>
      <c r="U7"/>
      <c r="V7"/>
      <c r="W7"/>
      <c r="X7"/>
    </row>
    <row r="8" spans="2:94"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0"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3" t="s">
        <v>371</v>
      </c>
      <c r="C21" s="1293" t="s">
        <v>372</v>
      </c>
      <c r="D21" s="1293"/>
      <c r="E21" s="1293"/>
      <c r="F21" s="1293"/>
      <c r="G21" s="1293"/>
      <c r="H21" s="1294"/>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6" thickBot="1">
      <c r="B22" s="148" t="s">
        <v>23</v>
      </c>
      <c r="C22" s="152"/>
      <c r="D22" s="152"/>
      <c r="E22" s="152"/>
      <c r="F22" s="152"/>
      <c r="G22" s="151"/>
      <c r="H22" s="151"/>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6" thickBot="1">
      <c r="B23" s="148" t="s">
        <v>24</v>
      </c>
      <c r="C23" s="151">
        <v>15.6</v>
      </c>
      <c r="D23" s="151">
        <v>14.6</v>
      </c>
      <c r="E23" s="151">
        <v>12.6</v>
      </c>
      <c r="F23" s="151">
        <v>12.6</v>
      </c>
      <c r="G23" s="151"/>
      <c r="H23" s="151"/>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48" t="s">
        <v>26</v>
      </c>
      <c r="C24" s="162">
        <v>0.64</v>
      </c>
      <c r="D24" s="162">
        <v>0.61</v>
      </c>
      <c r="E24" s="162">
        <v>0.55000000000000004</v>
      </c>
      <c r="F24" s="162">
        <v>0.55000000000000004</v>
      </c>
      <c r="G24" s="151"/>
      <c r="H24" s="151"/>
    </row>
    <row r="25" spans="2:94" ht="16" thickBot="1">
      <c r="B25" s="148" t="s">
        <v>28</v>
      </c>
      <c r="C25" s="162">
        <v>0.36</v>
      </c>
      <c r="D25" s="162">
        <v>0.39</v>
      </c>
      <c r="E25" s="162">
        <v>0.45</v>
      </c>
      <c r="F25" s="162">
        <v>0.45</v>
      </c>
      <c r="G25" s="151"/>
      <c r="H25" s="151"/>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6" thickBot="1">
      <c r="B26" s="148" t="s">
        <v>369</v>
      </c>
      <c r="C26" s="125">
        <f>4.8+1.6</f>
        <v>6.4</v>
      </c>
      <c r="D26" s="125">
        <f>4.8+1.6</f>
        <v>6.4</v>
      </c>
      <c r="E26" s="125">
        <f>4.8+1.6</f>
        <v>6.4</v>
      </c>
      <c r="F26" s="125">
        <f>4.8+1.6</f>
        <v>6.4</v>
      </c>
      <c r="G26" s="151" t="s">
        <v>402</v>
      </c>
      <c r="H26" s="151"/>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6" thickBot="1">
      <c r="B27" s="148" t="s">
        <v>64</v>
      </c>
      <c r="C27" s="148">
        <v>135</v>
      </c>
      <c r="D27" s="149">
        <v>135</v>
      </c>
      <c r="E27" s="149">
        <v>135</v>
      </c>
      <c r="F27" s="149">
        <v>135</v>
      </c>
      <c r="G27" s="151" t="s">
        <v>399</v>
      </c>
      <c r="H27" s="151"/>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6" thickBot="1">
      <c r="B28" s="163" t="s">
        <v>130</v>
      </c>
      <c r="C28" s="164">
        <v>100</v>
      </c>
      <c r="D28" s="164">
        <v>100</v>
      </c>
      <c r="E28" s="164">
        <v>100</v>
      </c>
      <c r="F28" s="164">
        <v>100</v>
      </c>
      <c r="G28" s="164" t="s">
        <v>396</v>
      </c>
      <c r="H28" s="164"/>
      <c r="J28" s="8"/>
      <c r="K28" s="102"/>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55.875</v>
      </c>
      <c r="D31" s="106">
        <f>D27*$G$4/D10</f>
        <v>33.524999999999999</v>
      </c>
      <c r="E31" s="106">
        <f>E27*$G$4/E10</f>
        <v>33.524999999999999</v>
      </c>
      <c r="F31" s="106">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6" thickBot="1">
      <c r="B32" s="36" t="s">
        <v>356</v>
      </c>
      <c r="C32" s="106">
        <f>C28*$G$4/C10</f>
        <v>41.388888888888886</v>
      </c>
      <c r="D32" s="106">
        <f>D28*$G$4/D10</f>
        <v>24.833333333333332</v>
      </c>
      <c r="E32" s="106">
        <f>E28*$G$4/E10</f>
        <v>24.833333333333332</v>
      </c>
      <c r="F32" s="106">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59" t="str">
        <f>C34</f>
        <v>Apartment complex, existing and new buildings</v>
      </c>
      <c r="K34" s="1160"/>
      <c r="L34" s="1160"/>
      <c r="M34" s="1160"/>
      <c r="N34" s="1160"/>
      <c r="O34" s="1161"/>
      <c r="P34"/>
      <c r="Q34"/>
      <c r="R34"/>
      <c r="S34"/>
      <c r="T34"/>
      <c r="U34"/>
      <c r="V34"/>
      <c r="W34"/>
      <c r="X34"/>
    </row>
    <row r="35" spans="2:94" ht="16"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31"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6"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148" t="s">
        <v>8</v>
      </c>
      <c r="C39" s="125">
        <v>100</v>
      </c>
      <c r="D39" s="151">
        <v>100</v>
      </c>
      <c r="E39" s="151">
        <v>100</v>
      </c>
      <c r="F39" s="151">
        <v>100</v>
      </c>
      <c r="G39" s="151"/>
      <c r="H39" s="151"/>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148" t="s">
        <v>363</v>
      </c>
      <c r="C40" s="125">
        <v>135</v>
      </c>
      <c r="D40" s="151">
        <v>145</v>
      </c>
      <c r="E40" s="151">
        <v>170</v>
      </c>
      <c r="F40" s="151">
        <v>170</v>
      </c>
      <c r="G40" s="151" t="s">
        <v>59</v>
      </c>
      <c r="H40" s="151">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6" thickBot="1">
      <c r="B41" s="148" t="s">
        <v>11</v>
      </c>
      <c r="C41" s="125">
        <v>22</v>
      </c>
      <c r="D41" s="151">
        <v>22</v>
      </c>
      <c r="E41" s="151">
        <v>22</v>
      </c>
      <c r="F41" s="151">
        <v>22</v>
      </c>
      <c r="G41" s="151" t="s">
        <v>16</v>
      </c>
      <c r="H41" s="151"/>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6" thickBot="1">
      <c r="B42" s="143" t="s">
        <v>12</v>
      </c>
      <c r="C42" s="133"/>
      <c r="D42" s="133"/>
      <c r="E42" s="133"/>
      <c r="F42" s="133"/>
      <c r="G42" s="133"/>
      <c r="H42" s="134"/>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6"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371</v>
      </c>
      <c r="C48" s="1291"/>
      <c r="D48" s="1291"/>
      <c r="E48" s="1291"/>
      <c r="F48" s="1291"/>
      <c r="G48" s="1291"/>
      <c r="H48" s="1292"/>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6" thickBot="1">
      <c r="B49" s="148" t="s">
        <v>23</v>
      </c>
      <c r="C49" s="152" t="s">
        <v>68</v>
      </c>
      <c r="D49" s="152" t="s">
        <v>68</v>
      </c>
      <c r="E49" s="152" t="s">
        <v>68</v>
      </c>
      <c r="F49" s="152" t="s">
        <v>68</v>
      </c>
      <c r="G49" s="152" t="s">
        <v>374</v>
      </c>
      <c r="H49" s="15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6" thickBot="1">
      <c r="B50" s="148" t="s">
        <v>24</v>
      </c>
      <c r="C50" s="152">
        <f>18+15</f>
        <v>33</v>
      </c>
      <c r="D50" s="152">
        <f>18+15</f>
        <v>33</v>
      </c>
      <c r="E50" s="152">
        <f>17+15</f>
        <v>32</v>
      </c>
      <c r="F50" s="152">
        <f>17+15</f>
        <v>32</v>
      </c>
      <c r="G50" s="155" t="s">
        <v>403</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48" t="s">
        <v>26</v>
      </c>
      <c r="C51" s="152">
        <v>42</v>
      </c>
      <c r="D51" s="152">
        <v>42</v>
      </c>
      <c r="E51" s="152"/>
      <c r="F51" s="152"/>
      <c r="G51" s="152"/>
      <c r="H51" s="152"/>
    </row>
    <row r="52" spans="2:94" ht="16" thickBot="1">
      <c r="B52" s="148" t="s">
        <v>28</v>
      </c>
      <c r="C52" s="152">
        <v>58</v>
      </c>
      <c r="D52" s="152">
        <v>58</v>
      </c>
      <c r="E52" s="152"/>
      <c r="F52" s="152"/>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6" thickBot="1">
      <c r="B53" s="148" t="s">
        <v>369</v>
      </c>
      <c r="C53" s="154" t="s">
        <v>404</v>
      </c>
      <c r="D53" s="152" t="s">
        <v>404</v>
      </c>
      <c r="E53" s="152" t="s">
        <v>404</v>
      </c>
      <c r="F53" s="152" t="s">
        <v>404</v>
      </c>
      <c r="G53" s="152" t="s">
        <v>405</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6"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6"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6" thickBot="1">
      <c r="B59" s="36" t="s">
        <v>356</v>
      </c>
      <c r="C59" s="106"/>
      <c r="D59" s="106"/>
      <c r="E59" s="106"/>
      <c r="F59" s="106"/>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90" t="s">
        <v>376</v>
      </c>
      <c r="D7" s="1288"/>
      <c r="E7" s="1288"/>
      <c r="F7" s="1288"/>
      <c r="G7" s="1288"/>
      <c r="H7" s="1289"/>
      <c r="J7" s="1159" t="str">
        <f>C7</f>
        <v>Gas engine driven heat pump heat pump</v>
      </c>
      <c r="K7" s="1160"/>
      <c r="L7" s="1160"/>
      <c r="M7" s="1160"/>
      <c r="N7" s="1160"/>
      <c r="O7" s="1161"/>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104">
        <v>2015</v>
      </c>
      <c r="D8" s="104">
        <v>2020</v>
      </c>
      <c r="E8" s="104">
        <v>2030</v>
      </c>
      <c r="F8" s="104">
        <v>2050</v>
      </c>
      <c r="G8" s="104" t="s">
        <v>2</v>
      </c>
      <c r="H8" s="10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51">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368</v>
      </c>
      <c r="C21" s="1288" t="s">
        <v>378</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v>4</v>
      </c>
      <c r="D23" s="152">
        <v>4</v>
      </c>
      <c r="E23" s="152">
        <v>4</v>
      </c>
      <c r="F23" s="152">
        <v>4</v>
      </c>
      <c r="G23" s="152" t="s">
        <v>381</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83</v>
      </c>
      <c r="D24" s="152">
        <v>83</v>
      </c>
      <c r="E24" s="152">
        <v>83</v>
      </c>
      <c r="F24" s="152">
        <v>83</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17</v>
      </c>
      <c r="D25" s="152">
        <v>17</v>
      </c>
      <c r="E25" s="152">
        <v>17</v>
      </c>
      <c r="F25" s="152">
        <v>17</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v>1.6</v>
      </c>
      <c r="D26" s="152">
        <v>1.6</v>
      </c>
      <c r="E26" s="152">
        <v>1.6</v>
      </c>
      <c r="F26" s="152">
        <v>1.6</v>
      </c>
      <c r="G26" s="152" t="s">
        <v>55</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7">
        <v>100</v>
      </c>
      <c r="D28" s="157">
        <v>100</v>
      </c>
      <c r="E28" s="157">
        <v>100</v>
      </c>
      <c r="F28" s="157">
        <v>100</v>
      </c>
      <c r="G28" s="157"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baseColWidth="10" defaultColWidth="8.83203125" defaultRowHeight="15"/>
  <cols>
    <col min="2" max="2" width="51.5" customWidth="1"/>
    <col min="3" max="8" width="9.1640625" style="85"/>
    <col min="11" max="11" width="43.1640625" customWidth="1"/>
  </cols>
  <sheetData>
    <row r="2" spans="2:93" ht="29">
      <c r="B2" s="93" t="s">
        <v>375</v>
      </c>
    </row>
    <row r="3" spans="2:93" ht="15" customHeight="1"/>
    <row r="4" spans="2:93">
      <c r="E4" t="s">
        <v>358</v>
      </c>
      <c r="F4"/>
      <c r="G4" s="36">
        <v>7.45</v>
      </c>
      <c r="H4" t="s">
        <v>328</v>
      </c>
    </row>
    <row r="5" spans="2:93" ht="16"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6" thickBot="1">
      <c r="B7" s="86" t="s">
        <v>0</v>
      </c>
      <c r="C7" s="1290" t="s">
        <v>376</v>
      </c>
      <c r="D7" s="1288"/>
      <c r="E7" s="1288"/>
      <c r="F7" s="1288"/>
      <c r="G7" s="1288"/>
      <c r="H7" s="1289"/>
      <c r="J7" s="1159" t="str">
        <f>C7</f>
        <v>Gas engine driven heat pump heat pump</v>
      </c>
      <c r="K7" s="1160"/>
      <c r="L7" s="1160"/>
      <c r="M7" s="1160"/>
      <c r="N7" s="1160"/>
      <c r="O7" s="1161"/>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6"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31"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6"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6"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6" thickBot="1">
      <c r="B12" s="148" t="s">
        <v>8</v>
      </c>
      <c r="C12" s="125">
        <v>100</v>
      </c>
      <c r="D12" s="151">
        <v>100</v>
      </c>
      <c r="E12" s="151">
        <v>100</v>
      </c>
      <c r="F12" s="151">
        <v>100</v>
      </c>
      <c r="G12" s="151"/>
      <c r="H12" s="151"/>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148" t="s">
        <v>363</v>
      </c>
      <c r="C13" s="125">
        <v>150</v>
      </c>
      <c r="D13" s="151">
        <v>155</v>
      </c>
      <c r="E13" s="151">
        <v>155</v>
      </c>
      <c r="F13" s="151">
        <v>160</v>
      </c>
      <c r="G13" s="151"/>
      <c r="H13" s="151">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6"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143" t="s">
        <v>12</v>
      </c>
      <c r="C15" s="133"/>
      <c r="D15" s="133"/>
      <c r="E15" s="133"/>
      <c r="F15" s="133"/>
      <c r="G15" s="133"/>
      <c r="H15" s="134"/>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148" t="s">
        <v>365</v>
      </c>
      <c r="C17" s="184">
        <f>(30+200)/2</f>
        <v>115</v>
      </c>
      <c r="D17" s="183">
        <f>(20+150)/2</f>
        <v>85</v>
      </c>
      <c r="E17" s="183">
        <f>(10+100)/2</f>
        <v>55</v>
      </c>
      <c r="F17" s="183">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371</v>
      </c>
      <c r="C21" s="1291" t="s">
        <v>384</v>
      </c>
      <c r="D21" s="1291"/>
      <c r="E21" s="1291"/>
      <c r="F21" s="1291"/>
      <c r="G21" s="1291"/>
      <c r="H21" s="1292"/>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148" t="s">
        <v>24</v>
      </c>
      <c r="C23" s="152">
        <f>4+15</f>
        <v>19</v>
      </c>
      <c r="D23" s="152">
        <f>4+15</f>
        <v>19</v>
      </c>
      <c r="E23" s="152">
        <f>4+15</f>
        <v>19</v>
      </c>
      <c r="F23" s="152">
        <f>4+15</f>
        <v>19</v>
      </c>
      <c r="G23" s="152" t="s">
        <v>385</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148" t="s">
        <v>26</v>
      </c>
      <c r="C24" s="152">
        <v>51</v>
      </c>
      <c r="D24" s="152">
        <v>51</v>
      </c>
      <c r="E24" s="152">
        <v>51</v>
      </c>
      <c r="F24" s="152">
        <v>51</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148" t="s">
        <v>28</v>
      </c>
      <c r="C25" s="152">
        <v>49</v>
      </c>
      <c r="D25" s="152">
        <v>49</v>
      </c>
      <c r="E25" s="152">
        <v>49</v>
      </c>
      <c r="F25" s="152">
        <v>49</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148" t="s">
        <v>369</v>
      </c>
      <c r="C26" s="154" t="s">
        <v>386</v>
      </c>
      <c r="D26" s="152" t="s">
        <v>386</v>
      </c>
      <c r="E26" s="152" t="s">
        <v>386</v>
      </c>
      <c r="F26" s="152" t="s">
        <v>386</v>
      </c>
      <c r="G26" s="152" t="s">
        <v>387</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148" t="s">
        <v>407</v>
      </c>
      <c r="C28" s="152">
        <v>100</v>
      </c>
      <c r="D28" s="152">
        <v>100</v>
      </c>
      <c r="E28" s="152">
        <v>100</v>
      </c>
      <c r="F28" s="152">
        <v>100</v>
      </c>
      <c r="G28" s="152"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baseColWidth="10" defaultColWidth="8.83203125" defaultRowHeight="15"/>
  <cols>
    <col min="2" max="2" width="51.5" customWidth="1"/>
    <col min="3" max="8" width="9.1640625" style="85"/>
    <col min="11" max="12" width="8.83203125" customWidth="1"/>
    <col min="13" max="13" width="9" customWidth="1"/>
  </cols>
  <sheetData>
    <row r="3" spans="2:104" ht="29">
      <c r="B3" s="84" t="s">
        <v>388</v>
      </c>
    </row>
    <row r="4" spans="2:104" ht="15" customHeight="1">
      <c r="E4" t="s">
        <v>358</v>
      </c>
      <c r="F4"/>
      <c r="G4" s="36">
        <v>7.45</v>
      </c>
      <c r="H4" t="s">
        <v>328</v>
      </c>
      <c r="K4" s="94"/>
      <c r="L4" s="94"/>
    </row>
    <row r="5" spans="2:104" ht="15" customHeight="1" thickBot="1">
      <c r="E5"/>
      <c r="F5"/>
      <c r="G5" s="36"/>
      <c r="H5"/>
      <c r="K5" s="94"/>
      <c r="L5" s="94"/>
    </row>
    <row r="6" spans="2:104" ht="16" thickBot="1">
      <c r="C6" s="1290" t="s">
        <v>372</v>
      </c>
      <c r="D6" s="1288"/>
      <c r="E6" s="1288"/>
      <c r="F6" s="1288"/>
      <c r="G6" s="1288"/>
      <c r="H6" s="1289"/>
      <c r="J6" s="1259" t="str">
        <f>C6</f>
        <v>Absorption heat pump, brine-to-water</v>
      </c>
      <c r="K6" s="1260"/>
      <c r="L6" s="1260"/>
      <c r="M6" s="1260"/>
      <c r="N6" s="1260"/>
      <c r="O6" s="1261"/>
    </row>
    <row r="7" spans="2:104" s="8" customFormat="1" ht="15.75" customHeight="1" thickBot="1">
      <c r="B7" s="143" t="s">
        <v>0</v>
      </c>
      <c r="C7" s="1290" t="s">
        <v>372</v>
      </c>
      <c r="D7" s="1288"/>
      <c r="E7" s="1288"/>
      <c r="F7" s="1288"/>
      <c r="G7" s="1288"/>
      <c r="H7" s="1289"/>
      <c r="J7" s="1159" t="str">
        <f>C7</f>
        <v>Absorption heat pump, brine-to-water</v>
      </c>
      <c r="K7" s="1160"/>
      <c r="L7" s="1160"/>
      <c r="M7" s="1160"/>
      <c r="N7" s="1160"/>
      <c r="O7" s="1161"/>
      <c r="P7"/>
      <c r="Q7"/>
      <c r="R7"/>
      <c r="S7"/>
      <c r="T7"/>
      <c r="U7"/>
      <c r="V7"/>
      <c r="W7"/>
      <c r="X7"/>
    </row>
    <row r="8" spans="2:104" ht="16" thickBot="1">
      <c r="B8" s="144"/>
      <c r="C8" s="145">
        <v>2015</v>
      </c>
      <c r="D8" s="145">
        <v>2020</v>
      </c>
      <c r="E8" s="145">
        <v>2030</v>
      </c>
      <c r="F8" s="145">
        <v>2050</v>
      </c>
      <c r="G8" s="145" t="s">
        <v>2</v>
      </c>
      <c r="H8" s="146"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3"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48" t="s">
        <v>5</v>
      </c>
      <c r="C10" s="158" t="s">
        <v>389</v>
      </c>
      <c r="D10" s="158"/>
      <c r="E10" s="158"/>
      <c r="F10" s="158"/>
      <c r="G10" s="158" t="s">
        <v>390</v>
      </c>
      <c r="H10" s="150"/>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48" t="s">
        <v>7</v>
      </c>
      <c r="C11" s="148">
        <v>100</v>
      </c>
      <c r="D11" s="149">
        <v>100</v>
      </c>
      <c r="E11" s="149">
        <v>100</v>
      </c>
      <c r="F11" s="149">
        <v>100</v>
      </c>
      <c r="G11" s="149"/>
      <c r="H11" s="14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48" t="s">
        <v>8</v>
      </c>
      <c r="C12" s="125">
        <v>100</v>
      </c>
      <c r="D12" s="151">
        <v>100</v>
      </c>
      <c r="E12" s="151">
        <v>100</v>
      </c>
      <c r="F12" s="151">
        <v>100</v>
      </c>
      <c r="G12" s="151"/>
      <c r="H12" s="151"/>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48" t="s">
        <v>363</v>
      </c>
      <c r="C13" s="125">
        <v>135</v>
      </c>
      <c r="D13" s="183">
        <f>C13</f>
        <v>135</v>
      </c>
      <c r="E13" s="183">
        <f>D13</f>
        <v>135</v>
      </c>
      <c r="F13" s="183">
        <f>E13</f>
        <v>135</v>
      </c>
      <c r="G13" s="151" t="s">
        <v>59</v>
      </c>
      <c r="H13" s="151"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48" t="s">
        <v>11</v>
      </c>
      <c r="C14" s="125">
        <v>20</v>
      </c>
      <c r="D14" s="151">
        <v>20</v>
      </c>
      <c r="E14" s="151">
        <v>20</v>
      </c>
      <c r="F14" s="151">
        <v>20</v>
      </c>
      <c r="G14" s="151" t="s">
        <v>25</v>
      </c>
      <c r="H14" s="151"/>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3" t="s">
        <v>12</v>
      </c>
      <c r="C15" s="133"/>
      <c r="D15" s="133"/>
      <c r="E15" s="133"/>
      <c r="F15" s="133"/>
      <c r="G15" s="133"/>
      <c r="H15" s="134"/>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48" t="s">
        <v>364</v>
      </c>
      <c r="C16" s="159">
        <v>0</v>
      </c>
      <c r="D16" s="159">
        <v>0</v>
      </c>
      <c r="E16" s="159">
        <v>0</v>
      </c>
      <c r="F16" s="159">
        <v>0</v>
      </c>
      <c r="G16" s="160"/>
      <c r="H16" s="16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48" t="s">
        <v>365</v>
      </c>
      <c r="C17" s="154">
        <v>20</v>
      </c>
      <c r="D17" s="154">
        <v>10</v>
      </c>
      <c r="E17" s="154">
        <v>5</v>
      </c>
      <c r="F17" s="184">
        <f>E17</f>
        <v>5</v>
      </c>
      <c r="G17" s="152" t="s">
        <v>20</v>
      </c>
      <c r="H17" s="16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48" t="s">
        <v>366</v>
      </c>
      <c r="C18" s="154">
        <v>2</v>
      </c>
      <c r="D18" s="154">
        <v>1</v>
      </c>
      <c r="E18" s="154">
        <v>0.5</v>
      </c>
      <c r="F18" s="184">
        <f>E18</f>
        <v>0.5</v>
      </c>
      <c r="G18" s="152" t="s">
        <v>20</v>
      </c>
      <c r="H18" s="16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48" t="s">
        <v>367</v>
      </c>
      <c r="C19" s="154">
        <v>0</v>
      </c>
      <c r="D19" s="154">
        <v>0</v>
      </c>
      <c r="E19" s="154">
        <v>0</v>
      </c>
      <c r="F19" s="154">
        <v>0</v>
      </c>
      <c r="G19" s="152"/>
      <c r="H19" s="16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48" t="s">
        <v>19</v>
      </c>
      <c r="C20" s="154">
        <v>0</v>
      </c>
      <c r="D20" s="154">
        <v>0</v>
      </c>
      <c r="E20" s="154">
        <v>0</v>
      </c>
      <c r="F20" s="154">
        <v>0</v>
      </c>
      <c r="G20" s="152"/>
      <c r="H20" s="16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6" t="s">
        <v>22</v>
      </c>
      <c r="C21" s="95"/>
      <c r="D21" s="95"/>
      <c r="E21" s="95"/>
      <c r="F21" s="95"/>
      <c r="G21" s="95"/>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1" t="s">
        <v>23</v>
      </c>
      <c r="C22" s="35">
        <f>C23/$G30</f>
        <v>1.75</v>
      </c>
      <c r="D22" s="35">
        <f>D23/$G30</f>
        <v>1.75</v>
      </c>
      <c r="E22" s="35">
        <f>E23/$G30</f>
        <v>1.75</v>
      </c>
      <c r="F22" s="35">
        <f>F23/$G30</f>
        <v>1.75</v>
      </c>
      <c r="G22" s="96"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1" t="s">
        <v>24</v>
      </c>
      <c r="C23" s="101">
        <f>(10+4)</f>
        <v>14</v>
      </c>
      <c r="D23" s="101">
        <f>(10+4)</f>
        <v>14</v>
      </c>
      <c r="E23" s="101">
        <f>(10+4)</f>
        <v>14</v>
      </c>
      <c r="F23" s="101">
        <f>(10+4)</f>
        <v>14</v>
      </c>
      <c r="G23" s="92" t="s">
        <v>392</v>
      </c>
      <c r="H23" s="92"/>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7" t="s">
        <v>26</v>
      </c>
      <c r="C24" s="100">
        <v>71</v>
      </c>
      <c r="D24" s="100">
        <v>71</v>
      </c>
      <c r="E24" s="100">
        <v>71</v>
      </c>
      <c r="F24" s="100">
        <v>71</v>
      </c>
      <c r="G24" s="92"/>
      <c r="H24" s="92"/>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7" t="s">
        <v>28</v>
      </c>
      <c r="C25" s="99">
        <v>29</v>
      </c>
      <c r="D25" s="99">
        <v>29</v>
      </c>
      <c r="E25" s="99">
        <v>29</v>
      </c>
      <c r="F25" s="99">
        <v>29</v>
      </c>
      <c r="G25" s="92"/>
      <c r="H25" s="92"/>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7" t="s">
        <v>369</v>
      </c>
      <c r="C26" s="98">
        <v>1.6</v>
      </c>
      <c r="D26" s="98">
        <v>1.6</v>
      </c>
      <c r="E26" s="98">
        <v>1.6</v>
      </c>
      <c r="F26" s="98">
        <v>1.6</v>
      </c>
      <c r="G26" s="92" t="s">
        <v>109</v>
      </c>
      <c r="H26" s="92"/>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1" t="s">
        <v>50</v>
      </c>
      <c r="C27" s="92">
        <v>135</v>
      </c>
      <c r="D27" s="92">
        <v>135</v>
      </c>
      <c r="E27" s="92">
        <v>135</v>
      </c>
      <c r="F27" s="92">
        <v>135</v>
      </c>
      <c r="G27" s="92"/>
      <c r="H27" s="92"/>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1" t="s">
        <v>370</v>
      </c>
      <c r="C28" s="92">
        <v>100</v>
      </c>
      <c r="D28" s="92">
        <v>100</v>
      </c>
      <c r="E28" s="92">
        <v>100</v>
      </c>
      <c r="F28" s="92">
        <v>100</v>
      </c>
      <c r="G28" s="92"/>
      <c r="H28" s="92"/>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6"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baseColWidth="10" defaultColWidth="8.83203125" defaultRowHeight="15"/>
  <cols>
    <col min="2" max="2" width="36.83203125" customWidth="1"/>
  </cols>
  <sheetData>
    <row r="3" spans="2:8">
      <c r="B3" s="8" t="s">
        <v>316</v>
      </c>
    </row>
    <row r="5" spans="2:8" ht="16" thickBot="1"/>
    <row r="6" spans="2:8">
      <c r="B6" s="1257" t="s">
        <v>0</v>
      </c>
      <c r="C6" s="1259" t="s">
        <v>117</v>
      </c>
      <c r="D6" s="1260"/>
      <c r="E6" s="1260"/>
      <c r="F6" s="1260"/>
      <c r="G6" s="1260"/>
      <c r="H6" s="1261"/>
    </row>
    <row r="7" spans="2:8" ht="16" thickBot="1">
      <c r="B7" s="1258"/>
      <c r="C7" s="1159" t="s">
        <v>34</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2</v>
      </c>
      <c r="D10" s="2">
        <v>2</v>
      </c>
      <c r="E10" s="2">
        <v>2</v>
      </c>
      <c r="F10" s="2">
        <v>2</v>
      </c>
      <c r="G10" s="2"/>
      <c r="H10" s="2"/>
    </row>
    <row r="11" spans="2:8" ht="28" thickBot="1">
      <c r="B11" s="1" t="s">
        <v>7</v>
      </c>
      <c r="C11" s="2">
        <v>40</v>
      </c>
      <c r="D11" s="2">
        <v>40</v>
      </c>
      <c r="E11" s="2">
        <v>40</v>
      </c>
      <c r="F11" s="2">
        <v>40</v>
      </c>
      <c r="G11" s="2" t="s">
        <v>6</v>
      </c>
      <c r="H11" s="2"/>
    </row>
    <row r="12" spans="2:8" ht="28" thickBot="1">
      <c r="B12" s="1" t="s">
        <v>8</v>
      </c>
      <c r="C12" s="2">
        <v>0</v>
      </c>
      <c r="D12" s="2">
        <v>0</v>
      </c>
      <c r="E12" s="2">
        <v>0</v>
      </c>
      <c r="F12" s="2">
        <v>0</v>
      </c>
      <c r="G12" s="2" t="s">
        <v>59</v>
      </c>
      <c r="H12" s="2"/>
    </row>
    <row r="13" spans="2:8" ht="16" thickBot="1">
      <c r="B13" s="1" t="s">
        <v>9</v>
      </c>
      <c r="C13" s="2">
        <v>300</v>
      </c>
      <c r="D13" s="2">
        <v>310</v>
      </c>
      <c r="E13" s="2">
        <v>340</v>
      </c>
      <c r="F13" s="2">
        <v>350</v>
      </c>
      <c r="G13" s="2"/>
      <c r="H13" s="2" t="s">
        <v>118</v>
      </c>
    </row>
    <row r="14" spans="2:8" ht="16" thickBot="1">
      <c r="B14" s="1" t="s">
        <v>11</v>
      </c>
      <c r="C14" s="2">
        <v>20</v>
      </c>
      <c r="D14" s="2">
        <v>20</v>
      </c>
      <c r="E14" s="2">
        <v>20</v>
      </c>
      <c r="F14" s="2">
        <v>20</v>
      </c>
      <c r="G14" s="2"/>
      <c r="H14" s="2">
        <v>4</v>
      </c>
    </row>
    <row r="15" spans="2:8" ht="16" thickBot="1">
      <c r="B15" s="3" t="s">
        <v>12</v>
      </c>
      <c r="C15" s="18"/>
      <c r="D15" s="18"/>
      <c r="E15" s="18"/>
      <c r="F15" s="18"/>
      <c r="G15" s="18"/>
      <c r="H15" s="2"/>
    </row>
    <row r="16" spans="2:8" ht="27" customHeight="1" thickBot="1">
      <c r="B16" s="1" t="s">
        <v>13</v>
      </c>
      <c r="C16" s="1279" t="s">
        <v>98</v>
      </c>
      <c r="D16" s="1280"/>
      <c r="E16" s="1280"/>
      <c r="F16" s="1280"/>
      <c r="G16" s="1280"/>
      <c r="H16" s="1281"/>
    </row>
    <row r="17" spans="2:8" ht="16" thickBot="1">
      <c r="B17" s="1" t="s">
        <v>15</v>
      </c>
      <c r="C17" s="1282"/>
      <c r="D17" s="1283"/>
      <c r="E17" s="1283"/>
      <c r="F17" s="1283"/>
      <c r="G17" s="1283"/>
      <c r="H17" s="1284"/>
    </row>
    <row r="18" spans="2:8" ht="16" thickBot="1">
      <c r="B18" s="1" t="s">
        <v>17</v>
      </c>
      <c r="C18" s="1282"/>
      <c r="D18" s="1283"/>
      <c r="E18" s="1283"/>
      <c r="F18" s="1283"/>
      <c r="G18" s="1283"/>
      <c r="H18" s="1284"/>
    </row>
    <row r="19" spans="2:8" ht="16" thickBot="1">
      <c r="B19" s="1" t="s">
        <v>18</v>
      </c>
      <c r="C19" s="1282"/>
      <c r="D19" s="1283"/>
      <c r="E19" s="1283"/>
      <c r="F19" s="1283"/>
      <c r="G19" s="1283"/>
      <c r="H19" s="1284"/>
    </row>
    <row r="20" spans="2:8" ht="16" thickBot="1">
      <c r="B20" s="1" t="s">
        <v>19</v>
      </c>
      <c r="C20" s="1285"/>
      <c r="D20" s="1286"/>
      <c r="E20" s="1286"/>
      <c r="F20" s="1286"/>
      <c r="G20" s="1286"/>
      <c r="H20" s="1287"/>
    </row>
    <row r="21" spans="2:8" ht="16" thickBot="1">
      <c r="B21" s="3" t="s">
        <v>22</v>
      </c>
      <c r="C21" s="18"/>
      <c r="D21" s="18"/>
      <c r="E21" s="18"/>
      <c r="F21" s="18"/>
      <c r="G21" s="18"/>
      <c r="H21" s="2"/>
    </row>
    <row r="22" spans="2:8" ht="16"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6" thickBot="1">
      <c r="B25" s="1" t="s">
        <v>96</v>
      </c>
      <c r="C25" s="2" t="s">
        <v>121</v>
      </c>
      <c r="D25" s="2">
        <v>10</v>
      </c>
      <c r="E25" s="2">
        <v>10</v>
      </c>
      <c r="F25" s="2">
        <v>10</v>
      </c>
      <c r="G25" s="2" t="s">
        <v>20</v>
      </c>
      <c r="H25" s="2"/>
    </row>
    <row r="26" spans="2:8" ht="28" thickBot="1">
      <c r="B26" s="1" t="s">
        <v>30</v>
      </c>
      <c r="C26" s="2"/>
      <c r="D26" s="2"/>
      <c r="E26" s="2"/>
      <c r="F26" s="2"/>
      <c r="G26" s="2"/>
      <c r="H26" s="2"/>
    </row>
    <row r="27" spans="2:8" ht="16" thickBot="1">
      <c r="B27" s="1" t="s">
        <v>64</v>
      </c>
      <c r="C27" s="2">
        <v>44</v>
      </c>
      <c r="D27" s="2">
        <v>44</v>
      </c>
      <c r="E27" s="2">
        <v>44</v>
      </c>
      <c r="F27" s="2">
        <v>44</v>
      </c>
      <c r="G27" s="2" t="s">
        <v>76</v>
      </c>
      <c r="H27" s="2">
        <v>2</v>
      </c>
    </row>
    <row r="28" spans="2:8" ht="16" thickBot="1">
      <c r="B28" s="1" t="s">
        <v>31</v>
      </c>
      <c r="C28" s="2"/>
      <c r="D28" s="2"/>
      <c r="E28" s="2"/>
      <c r="F28" s="2"/>
      <c r="G28" s="2"/>
      <c r="H28" s="2"/>
    </row>
    <row r="32" spans="2:8" ht="16" thickBot="1"/>
    <row r="33" spans="2:8">
      <c r="B33" s="1257" t="s">
        <v>0</v>
      </c>
      <c r="C33" s="1259" t="s">
        <v>117</v>
      </c>
      <c r="D33" s="1260"/>
      <c r="E33" s="1260"/>
      <c r="F33" s="1260"/>
      <c r="G33" s="1260"/>
      <c r="H33" s="1261"/>
    </row>
    <row r="34" spans="2:8" ht="16" thickBot="1">
      <c r="B34" s="1258"/>
      <c r="C34" s="1159" t="s">
        <v>35</v>
      </c>
      <c r="D34" s="1160"/>
      <c r="E34" s="1160"/>
      <c r="F34" s="1160"/>
      <c r="G34" s="1160"/>
      <c r="H34" s="1161"/>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t="s">
        <v>122</v>
      </c>
      <c r="D37" s="2" t="s">
        <v>122</v>
      </c>
      <c r="E37" s="2" t="s">
        <v>122</v>
      </c>
      <c r="F37" s="2" t="s">
        <v>122</v>
      </c>
      <c r="G37" s="2"/>
      <c r="H37" s="2"/>
    </row>
    <row r="38" spans="2:8" ht="28" thickBot="1">
      <c r="B38" s="1" t="s">
        <v>7</v>
      </c>
      <c r="C38" s="2">
        <v>40</v>
      </c>
      <c r="D38" s="2">
        <v>40</v>
      </c>
      <c r="E38" s="2">
        <v>40</v>
      </c>
      <c r="F38" s="2">
        <v>40</v>
      </c>
      <c r="G38" s="2" t="s">
        <v>6</v>
      </c>
      <c r="H38" s="2"/>
    </row>
    <row r="39" spans="2:8" ht="28" thickBot="1">
      <c r="B39" s="1" t="s">
        <v>8</v>
      </c>
      <c r="C39" s="2">
        <v>0</v>
      </c>
      <c r="D39" s="2">
        <v>0</v>
      </c>
      <c r="E39" s="2">
        <v>0</v>
      </c>
      <c r="F39" s="2">
        <v>0</v>
      </c>
      <c r="G39" s="2"/>
      <c r="H39" s="2"/>
    </row>
    <row r="40" spans="2:8" ht="16" thickBot="1">
      <c r="B40" s="1" t="s">
        <v>9</v>
      </c>
      <c r="C40" s="2">
        <v>300</v>
      </c>
      <c r="D40" s="2">
        <v>310</v>
      </c>
      <c r="E40" s="2">
        <v>340</v>
      </c>
      <c r="F40" s="2">
        <v>350</v>
      </c>
      <c r="G40" s="2"/>
      <c r="H40" s="2" t="s">
        <v>118</v>
      </c>
    </row>
    <row r="41" spans="2:8" ht="16" thickBot="1">
      <c r="B41" s="1" t="s">
        <v>11</v>
      </c>
      <c r="C41" s="2">
        <v>20</v>
      </c>
      <c r="D41" s="2">
        <v>20</v>
      </c>
      <c r="E41" s="2">
        <v>20</v>
      </c>
      <c r="F41" s="2">
        <v>20</v>
      </c>
      <c r="G41" s="2"/>
      <c r="H41" s="2">
        <v>4</v>
      </c>
    </row>
    <row r="42" spans="2:8" ht="16" thickBot="1">
      <c r="B42" s="3" t="s">
        <v>12</v>
      </c>
      <c r="C42" s="18"/>
      <c r="D42" s="18"/>
      <c r="E42" s="18"/>
      <c r="F42" s="18"/>
      <c r="G42" s="20"/>
      <c r="H42" s="21"/>
    </row>
    <row r="43" spans="2:8" ht="27" customHeight="1" thickBot="1">
      <c r="B43" s="1" t="s">
        <v>13</v>
      </c>
      <c r="C43" s="1279" t="s">
        <v>98</v>
      </c>
      <c r="D43" s="1280"/>
      <c r="E43" s="1280"/>
      <c r="F43" s="1280"/>
      <c r="G43" s="1280"/>
      <c r="H43" s="1281"/>
    </row>
    <row r="44" spans="2:8" ht="16" thickBot="1">
      <c r="B44" s="1" t="s">
        <v>15</v>
      </c>
      <c r="C44" s="1282"/>
      <c r="D44" s="1283"/>
      <c r="E44" s="1283"/>
      <c r="F44" s="1283"/>
      <c r="G44" s="1283"/>
      <c r="H44" s="1284"/>
    </row>
    <row r="45" spans="2:8" ht="16" thickBot="1">
      <c r="B45" s="1" t="s">
        <v>17</v>
      </c>
      <c r="C45" s="1282"/>
      <c r="D45" s="1283"/>
      <c r="E45" s="1283"/>
      <c r="F45" s="1283"/>
      <c r="G45" s="1283"/>
      <c r="H45" s="1284"/>
    </row>
    <row r="46" spans="2:8" ht="16" thickBot="1">
      <c r="B46" s="1" t="s">
        <v>18</v>
      </c>
      <c r="C46" s="1282"/>
      <c r="D46" s="1283"/>
      <c r="E46" s="1283"/>
      <c r="F46" s="1283"/>
      <c r="G46" s="1283"/>
      <c r="H46" s="1284"/>
    </row>
    <row r="47" spans="2:8" ht="16" thickBot="1">
      <c r="B47" s="1" t="s">
        <v>19</v>
      </c>
      <c r="C47" s="1285"/>
      <c r="D47" s="1286"/>
      <c r="E47" s="1286"/>
      <c r="F47" s="1286"/>
      <c r="G47" s="1286"/>
      <c r="H47" s="1287"/>
    </row>
    <row r="48" spans="2:8" ht="16" thickBot="1">
      <c r="B48" s="3" t="s">
        <v>22</v>
      </c>
      <c r="C48" s="18"/>
      <c r="D48" s="18"/>
      <c r="E48" s="18"/>
      <c r="F48" s="18"/>
      <c r="G48" s="20"/>
      <c r="H48" s="21"/>
    </row>
    <row r="49" spans="2:8" ht="16"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6" thickBot="1">
      <c r="B52" s="1" t="s">
        <v>96</v>
      </c>
      <c r="C52" s="2"/>
      <c r="D52" s="2"/>
      <c r="E52" s="2"/>
      <c r="F52" s="2"/>
      <c r="G52" s="2"/>
      <c r="H52" s="2"/>
    </row>
    <row r="53" spans="2:8" ht="28" thickBot="1">
      <c r="B53" s="1" t="s">
        <v>30</v>
      </c>
      <c r="C53" s="2"/>
      <c r="D53" s="2"/>
      <c r="E53" s="2"/>
      <c r="F53" s="2"/>
      <c r="G53" s="2"/>
      <c r="H53" s="2"/>
    </row>
    <row r="54" spans="2:8" ht="16" thickBot="1">
      <c r="B54" s="1" t="s">
        <v>64</v>
      </c>
      <c r="C54" s="2">
        <v>135</v>
      </c>
      <c r="D54" s="2">
        <v>135</v>
      </c>
      <c r="E54" s="2">
        <v>135</v>
      </c>
      <c r="F54" s="2">
        <v>135</v>
      </c>
      <c r="G54" s="2" t="s">
        <v>76</v>
      </c>
      <c r="H54" s="2">
        <v>2</v>
      </c>
    </row>
    <row r="55" spans="2:8" ht="16"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baseColWidth="10" defaultColWidth="8.83203125" defaultRowHeight="15"/>
  <cols>
    <col min="2" max="2" width="36.83203125" customWidth="1"/>
    <col min="3" max="6" width="10" bestFit="1" customWidth="1"/>
    <col min="10" max="10" width="15.83203125" customWidth="1"/>
    <col min="15" max="15" width="10" bestFit="1" customWidth="1"/>
  </cols>
  <sheetData>
    <row r="3" spans="2:24">
      <c r="B3" s="8" t="s">
        <v>318</v>
      </c>
    </row>
    <row r="4" spans="2:24">
      <c r="E4" t="s">
        <v>334</v>
      </c>
      <c r="F4" s="36">
        <v>7.45</v>
      </c>
      <c r="G4" t="s">
        <v>328</v>
      </c>
    </row>
    <row r="5" spans="2:24" ht="16" thickBot="1"/>
    <row r="6" spans="2:24">
      <c r="B6" s="1257" t="s">
        <v>0</v>
      </c>
      <c r="C6" s="1259" t="s">
        <v>131</v>
      </c>
      <c r="D6" s="1260"/>
      <c r="E6" s="1260"/>
      <c r="F6" s="1260"/>
      <c r="G6" s="1260"/>
      <c r="H6" s="1261"/>
      <c r="J6" s="1259" t="str">
        <f>C6</f>
        <v>Electric heating</v>
      </c>
      <c r="K6" s="1260"/>
      <c r="L6" s="1260"/>
      <c r="M6" s="1260"/>
      <c r="N6" s="1260"/>
      <c r="O6" s="1261"/>
    </row>
    <row r="7" spans="2:24" ht="16" thickBot="1">
      <c r="B7" s="1258"/>
      <c r="C7" s="1159" t="s">
        <v>34</v>
      </c>
      <c r="D7" s="1160"/>
      <c r="E7" s="1160"/>
      <c r="F7" s="1160"/>
      <c r="G7" s="1160"/>
      <c r="H7" s="1161"/>
      <c r="J7" s="1159" t="str">
        <f>C7</f>
        <v>One-family house, new building</v>
      </c>
      <c r="K7" s="1160"/>
      <c r="L7" s="1160"/>
      <c r="M7" s="1160"/>
      <c r="N7" s="1160"/>
      <c r="O7" s="1161"/>
    </row>
    <row r="8" spans="2:24" ht="16" thickBot="1">
      <c r="B8" s="1"/>
      <c r="C8" s="2">
        <v>2015</v>
      </c>
      <c r="D8" s="2">
        <v>2020</v>
      </c>
      <c r="E8" s="2">
        <v>2030</v>
      </c>
      <c r="F8" s="2">
        <v>2050</v>
      </c>
      <c r="G8" s="2" t="s">
        <v>2</v>
      </c>
      <c r="H8" s="2" t="s">
        <v>3</v>
      </c>
      <c r="J8" s="53" t="s">
        <v>357</v>
      </c>
    </row>
    <row r="9" spans="2:24" ht="31"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6"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8"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8"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6"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6"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6"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279" t="s">
        <v>133</v>
      </c>
      <c r="D16" s="1280"/>
      <c r="E16" s="1280"/>
      <c r="F16" s="1280"/>
      <c r="G16" s="1280"/>
      <c r="H16" s="1281"/>
    </row>
    <row r="17" spans="2:8" ht="16" thickBot="1">
      <c r="B17" s="1" t="s">
        <v>15</v>
      </c>
      <c r="C17" s="1282"/>
      <c r="D17" s="1283"/>
      <c r="E17" s="1283"/>
      <c r="F17" s="1283"/>
      <c r="G17" s="1283"/>
      <c r="H17" s="1284"/>
    </row>
    <row r="18" spans="2:8" ht="16" thickBot="1">
      <c r="B18" s="1" t="s">
        <v>17</v>
      </c>
      <c r="C18" s="1282"/>
      <c r="D18" s="1283"/>
      <c r="E18" s="1283"/>
      <c r="F18" s="1283"/>
      <c r="G18" s="1283"/>
      <c r="H18" s="1284"/>
    </row>
    <row r="19" spans="2:8" ht="16" thickBot="1">
      <c r="B19" s="1" t="s">
        <v>18</v>
      </c>
      <c r="C19" s="1282"/>
      <c r="D19" s="1283"/>
      <c r="E19" s="1283"/>
      <c r="F19" s="1283"/>
      <c r="G19" s="1283"/>
      <c r="H19" s="1284"/>
    </row>
    <row r="20" spans="2:8" ht="16" thickBot="1">
      <c r="B20" s="1" t="s">
        <v>19</v>
      </c>
      <c r="C20" s="1285"/>
      <c r="D20" s="1286"/>
      <c r="E20" s="1286"/>
      <c r="F20" s="1286"/>
      <c r="G20" s="1286"/>
      <c r="H20" s="1287"/>
    </row>
    <row r="21" spans="2:8" ht="16" thickBot="1">
      <c r="B21" s="3" t="s">
        <v>22</v>
      </c>
      <c r="C21" s="4"/>
      <c r="D21" s="4"/>
      <c r="E21" s="4"/>
      <c r="F21" s="4"/>
      <c r="G21" s="4"/>
      <c r="H21" s="5"/>
    </row>
    <row r="22" spans="2:8" ht="16"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6" thickBot="1">
      <c r="B25" s="1" t="s">
        <v>96</v>
      </c>
      <c r="C25" s="2" t="s">
        <v>29</v>
      </c>
      <c r="D25" s="2">
        <v>30</v>
      </c>
      <c r="E25" s="2">
        <v>30</v>
      </c>
      <c r="F25" s="2">
        <v>30</v>
      </c>
      <c r="G25" s="2"/>
      <c r="H25" s="2">
        <v>6</v>
      </c>
    </row>
    <row r="26" spans="2:8" ht="28" thickBot="1">
      <c r="B26" s="1" t="s">
        <v>30</v>
      </c>
      <c r="C26" s="2"/>
      <c r="D26" s="2"/>
      <c r="E26" s="2"/>
      <c r="F26" s="2"/>
      <c r="G26" s="2"/>
      <c r="H26" s="2"/>
    </row>
    <row r="27" spans="2:8" ht="16" thickBot="1">
      <c r="B27" s="1" t="s">
        <v>50</v>
      </c>
      <c r="C27" s="2">
        <v>10</v>
      </c>
      <c r="D27" s="2">
        <v>10</v>
      </c>
      <c r="E27" s="2">
        <v>10</v>
      </c>
      <c r="F27" s="2">
        <v>10</v>
      </c>
      <c r="G27" s="2" t="s">
        <v>16</v>
      </c>
      <c r="H27" s="2"/>
    </row>
    <row r="28" spans="2:8" ht="16"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6" thickBot="1">
      <c r="B32" s="36" t="s">
        <v>356</v>
      </c>
      <c r="C32" s="60">
        <f t="shared" ref="C32:F32" si="1">C28*$F$4</f>
        <v>0</v>
      </c>
      <c r="D32" s="60">
        <f t="shared" si="1"/>
        <v>0</v>
      </c>
      <c r="E32" s="60">
        <f t="shared" si="1"/>
        <v>0</v>
      </c>
      <c r="F32" s="60">
        <f t="shared" si="1"/>
        <v>0</v>
      </c>
      <c r="G32" s="61"/>
      <c r="H32" s="61"/>
    </row>
    <row r="33" spans="2:24">
      <c r="B33" s="1257" t="s">
        <v>0</v>
      </c>
      <c r="C33" s="1259" t="s">
        <v>131</v>
      </c>
      <c r="D33" s="1260"/>
      <c r="E33" s="1260"/>
      <c r="F33" s="1260"/>
      <c r="G33" s="1260"/>
      <c r="H33" s="1261"/>
      <c r="J33" s="1257" t="s">
        <v>0</v>
      </c>
      <c r="K33" s="1259" t="s">
        <v>131</v>
      </c>
      <c r="L33" s="1260"/>
      <c r="M33" s="1260"/>
      <c r="N33" s="1260"/>
      <c r="O33" s="1260"/>
      <c r="P33" s="1261"/>
    </row>
    <row r="34" spans="2:24" ht="15.75" customHeight="1" thickBot="1">
      <c r="B34" s="1258"/>
      <c r="C34" s="1159" t="s">
        <v>35</v>
      </c>
      <c r="D34" s="1160"/>
      <c r="E34" s="1160"/>
      <c r="F34" s="1160"/>
      <c r="G34" s="1160"/>
      <c r="H34" s="1161"/>
      <c r="J34" s="1258"/>
      <c r="K34" s="1159" t="s">
        <v>35</v>
      </c>
      <c r="L34" s="1160"/>
      <c r="M34" s="1160"/>
      <c r="N34" s="1160"/>
      <c r="O34" s="1160"/>
      <c r="P34" s="1161"/>
    </row>
    <row r="35" spans="2:24" ht="16" thickBot="1">
      <c r="B35" s="1"/>
      <c r="C35" s="2">
        <v>2015</v>
      </c>
      <c r="D35" s="2">
        <v>2020</v>
      </c>
      <c r="E35" s="2">
        <v>2030</v>
      </c>
      <c r="F35" s="2">
        <v>2050</v>
      </c>
      <c r="G35" s="2" t="s">
        <v>2</v>
      </c>
      <c r="H35" s="2" t="s">
        <v>3</v>
      </c>
      <c r="J35" s="53" t="s">
        <v>357</v>
      </c>
    </row>
    <row r="36" spans="2:24" ht="31"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6"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8"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8" thickBot="1">
      <c r="B39" s="1" t="s">
        <v>8</v>
      </c>
      <c r="C39" s="2">
        <v>100</v>
      </c>
      <c r="D39" s="2">
        <v>100</v>
      </c>
      <c r="E39" s="2">
        <v>100</v>
      </c>
      <c r="F39" s="2">
        <v>100</v>
      </c>
      <c r="G39" s="2"/>
      <c r="H39" s="2"/>
      <c r="J39" s="58">
        <f>C35</f>
        <v>2015</v>
      </c>
      <c r="K39" s="58">
        <f>J39</f>
        <v>2015</v>
      </c>
      <c r="L39" s="353">
        <f>C109/100</f>
        <v>0.98</v>
      </c>
      <c r="M39" s="353"/>
      <c r="N39" s="353">
        <f>C114</f>
        <v>20</v>
      </c>
      <c r="O39" s="354">
        <f>C129*1000*7.5</f>
        <v>1125</v>
      </c>
      <c r="P39" s="355">
        <f>C135/1000</f>
        <v>1.1000000000000001</v>
      </c>
      <c r="Q39" s="354">
        <f>C136</f>
        <v>0.8</v>
      </c>
      <c r="R39" s="58"/>
      <c r="S39" s="58"/>
      <c r="T39" s="58"/>
      <c r="U39" s="58"/>
      <c r="V39" s="58"/>
      <c r="W39" s="58"/>
      <c r="X39" s="58"/>
    </row>
    <row r="40" spans="2:24" ht="16" thickBot="1">
      <c r="B40" s="1" t="s">
        <v>9</v>
      </c>
      <c r="C40" s="2">
        <v>95</v>
      </c>
      <c r="D40" s="2">
        <v>95</v>
      </c>
      <c r="E40" s="2">
        <v>95</v>
      </c>
      <c r="F40" s="2">
        <v>95</v>
      </c>
      <c r="G40" s="2" t="s">
        <v>6</v>
      </c>
      <c r="H40" s="2"/>
      <c r="J40" s="58">
        <f>D35</f>
        <v>2020</v>
      </c>
      <c r="K40" s="58"/>
      <c r="L40" s="353">
        <f>D109/100</f>
        <v>0.99</v>
      </c>
      <c r="M40" s="353"/>
      <c r="N40" s="353">
        <f>C114</f>
        <v>20</v>
      </c>
      <c r="O40" s="354">
        <f>D129*1000*7.5</f>
        <v>1125</v>
      </c>
      <c r="P40" s="355">
        <f>D135/1000</f>
        <v>1.07</v>
      </c>
      <c r="Q40" s="354">
        <f>D136</f>
        <v>0.9</v>
      </c>
      <c r="R40" s="58"/>
      <c r="S40" s="58"/>
      <c r="T40" s="58"/>
      <c r="U40" s="58"/>
      <c r="V40" s="58"/>
      <c r="W40" s="58"/>
      <c r="X40" s="58"/>
    </row>
    <row r="41" spans="2:24" ht="16" thickBot="1">
      <c r="B41" s="1" t="s">
        <v>11</v>
      </c>
      <c r="C41" s="2">
        <v>30</v>
      </c>
      <c r="D41" s="2">
        <v>30</v>
      </c>
      <c r="E41" s="2">
        <v>30</v>
      </c>
      <c r="F41" s="2">
        <v>30</v>
      </c>
      <c r="G41" s="2"/>
      <c r="H41" s="2"/>
      <c r="J41" s="58">
        <f>E35</f>
        <v>2030</v>
      </c>
      <c r="K41" s="58"/>
      <c r="L41" s="353">
        <f>E109/100</f>
        <v>0.99</v>
      </c>
      <c r="M41" s="353"/>
      <c r="N41" s="353">
        <f>E114</f>
        <v>20</v>
      </c>
      <c r="O41" s="354">
        <f>E129*1000*7.5</f>
        <v>1050</v>
      </c>
      <c r="P41" s="355">
        <f>E135/1000</f>
        <v>1.02</v>
      </c>
      <c r="Q41" s="354">
        <f>E136</f>
        <v>1</v>
      </c>
      <c r="R41" s="58"/>
      <c r="S41" s="58"/>
      <c r="T41" s="58"/>
      <c r="U41" s="58"/>
      <c r="V41" s="58"/>
      <c r="W41" s="58"/>
      <c r="X41" s="58"/>
    </row>
    <row r="42" spans="2:24" ht="16" thickBot="1">
      <c r="B42" s="3" t="s">
        <v>12</v>
      </c>
      <c r="C42" s="4"/>
      <c r="D42" s="4"/>
      <c r="E42" s="4"/>
      <c r="F42" s="4"/>
      <c r="G42" s="4"/>
      <c r="H42" s="5"/>
      <c r="J42" s="58">
        <f>F35</f>
        <v>2050</v>
      </c>
      <c r="K42" s="58"/>
      <c r="L42" s="353">
        <f>F109/100</f>
        <v>0.99</v>
      </c>
      <c r="M42" s="353"/>
      <c r="N42" s="353">
        <f>F114</f>
        <v>20</v>
      </c>
      <c r="O42" s="354">
        <f>F129*1000*7.5</f>
        <v>975</v>
      </c>
      <c r="P42" s="355">
        <f>F135/1000</f>
        <v>0.92</v>
      </c>
      <c r="Q42" s="354">
        <f>F136</f>
        <v>1</v>
      </c>
      <c r="R42" s="58"/>
      <c r="S42" s="58"/>
      <c r="T42" s="58"/>
      <c r="U42" s="58"/>
      <c r="V42" s="58"/>
      <c r="W42" s="58"/>
      <c r="X42" s="58"/>
    </row>
    <row r="43" spans="2:24" ht="27" customHeight="1" thickBot="1">
      <c r="B43" s="1" t="s">
        <v>13</v>
      </c>
      <c r="C43" s="1279" t="s">
        <v>133</v>
      </c>
      <c r="D43" s="1280"/>
      <c r="E43" s="1280"/>
      <c r="F43" s="1280"/>
      <c r="G43" s="1280"/>
      <c r="H43" s="1281"/>
      <c r="J43" s="58"/>
      <c r="K43" s="58"/>
      <c r="L43" s="58"/>
      <c r="M43" s="58"/>
      <c r="N43" s="58"/>
      <c r="O43" s="59"/>
      <c r="P43" s="59"/>
      <c r="Q43" s="59"/>
      <c r="R43" s="58"/>
      <c r="S43" s="58"/>
      <c r="T43" s="58"/>
      <c r="U43" s="58"/>
      <c r="V43" s="58"/>
      <c r="W43" s="58"/>
      <c r="X43" s="58"/>
    </row>
    <row r="44" spans="2:24" ht="16" thickBot="1">
      <c r="B44" s="1" t="s">
        <v>15</v>
      </c>
      <c r="C44" s="1282"/>
      <c r="D44" s="1283"/>
      <c r="E44" s="1283"/>
      <c r="F44" s="1283"/>
      <c r="G44" s="1283"/>
      <c r="H44" s="1284"/>
    </row>
    <row r="45" spans="2:24" ht="16" thickBot="1">
      <c r="B45" s="1" t="s">
        <v>17</v>
      </c>
      <c r="C45" s="1282"/>
      <c r="D45" s="1283"/>
      <c r="E45" s="1283"/>
      <c r="F45" s="1283"/>
      <c r="G45" s="1283"/>
      <c r="H45" s="1284"/>
    </row>
    <row r="46" spans="2:24" ht="16" thickBot="1">
      <c r="B46" s="1" t="s">
        <v>18</v>
      </c>
      <c r="C46" s="1282"/>
      <c r="D46" s="1283"/>
      <c r="E46" s="1283"/>
      <c r="F46" s="1283"/>
      <c r="G46" s="1283"/>
      <c r="H46" s="1284"/>
    </row>
    <row r="47" spans="2:24" ht="16" thickBot="1">
      <c r="B47" s="1" t="s">
        <v>19</v>
      </c>
      <c r="C47" s="1285"/>
      <c r="D47" s="1286"/>
      <c r="E47" s="1286"/>
      <c r="F47" s="1286"/>
      <c r="G47" s="1286"/>
      <c r="H47" s="1287"/>
    </row>
    <row r="48" spans="2:24" ht="16" thickBot="1">
      <c r="B48" s="3" t="s">
        <v>22</v>
      </c>
      <c r="C48" s="4"/>
      <c r="D48" s="4"/>
      <c r="E48" s="4"/>
      <c r="F48" s="4"/>
      <c r="G48" s="4"/>
      <c r="H48" s="5"/>
    </row>
    <row r="49" spans="2:15" ht="16"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6" thickBot="1">
      <c r="B52" s="1" t="s">
        <v>96</v>
      </c>
      <c r="C52" s="2" t="s">
        <v>29</v>
      </c>
      <c r="D52" s="2">
        <v>30</v>
      </c>
      <c r="E52" s="2">
        <v>30</v>
      </c>
      <c r="F52" s="2">
        <v>30</v>
      </c>
      <c r="G52" s="2"/>
      <c r="H52" s="2">
        <v>6</v>
      </c>
    </row>
    <row r="53" spans="2:15" ht="28" thickBot="1">
      <c r="B53" s="1" t="s">
        <v>30</v>
      </c>
      <c r="C53" s="2"/>
      <c r="D53" s="2"/>
      <c r="E53" s="2"/>
      <c r="F53" s="2"/>
      <c r="G53" s="2"/>
      <c r="H53" s="2"/>
    </row>
    <row r="54" spans="2:15" ht="16" thickBot="1">
      <c r="B54" s="1" t="s">
        <v>50</v>
      </c>
      <c r="C54" s="2">
        <v>10</v>
      </c>
      <c r="D54" s="2">
        <v>10</v>
      </c>
      <c r="E54" s="2">
        <v>10</v>
      </c>
      <c r="F54" s="2">
        <v>10</v>
      </c>
      <c r="G54" s="2" t="s">
        <v>16</v>
      </c>
      <c r="H54" s="2"/>
    </row>
    <row r="55" spans="2:15" ht="16"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07">
        <f>C54*$F$4</f>
        <v>74.5</v>
      </c>
      <c r="D58" s="307">
        <f t="shared" ref="C58:F59" si="2">D54*$F$4</f>
        <v>74.5</v>
      </c>
      <c r="E58" s="307">
        <f t="shared" si="2"/>
        <v>74.5</v>
      </c>
      <c r="F58" s="307">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6" thickBot="1"/>
    <row r="62" spans="2:15">
      <c r="J62" s="1259">
        <f>C62</f>
        <v>0</v>
      </c>
      <c r="K62" s="1260"/>
      <c r="L62" s="1260"/>
      <c r="M62" s="1260"/>
      <c r="N62" s="1260"/>
      <c r="O62" s="1261"/>
    </row>
    <row r="63" spans="2:15" ht="16" thickBot="1">
      <c r="B63" s="124" t="s">
        <v>410</v>
      </c>
      <c r="J63" s="1159">
        <f>C63</f>
        <v>0</v>
      </c>
      <c r="K63" s="1160"/>
      <c r="L63" s="1160"/>
      <c r="M63" s="1160"/>
      <c r="N63" s="1160"/>
      <c r="O63" s="1161"/>
    </row>
    <row r="64" spans="2:15">
      <c r="B64" s="124" t="s">
        <v>411</v>
      </c>
      <c r="J64" s="53" t="s">
        <v>357</v>
      </c>
    </row>
    <row r="65" spans="2:24" ht="30">
      <c r="B65" s="124"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6" thickBot="1">
      <c r="B66" s="124" t="s">
        <v>413</v>
      </c>
      <c r="J66" s="50"/>
      <c r="K66" s="50"/>
      <c r="L66" s="51"/>
      <c r="M66" s="51"/>
      <c r="N66" s="51"/>
      <c r="O66" s="52"/>
      <c r="P66" s="50"/>
      <c r="Q66" s="50"/>
      <c r="R66" s="50"/>
      <c r="S66" s="50"/>
      <c r="T66" s="50"/>
      <c r="U66" s="50"/>
      <c r="V66" s="50"/>
      <c r="W66" s="50"/>
      <c r="X66" s="50"/>
    </row>
    <row r="67" spans="2:24">
      <c r="B67" s="124"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4"/>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4"/>
      <c r="J69" s="58">
        <f>D64</f>
        <v>0</v>
      </c>
      <c r="K69" s="58"/>
      <c r="L69" s="58">
        <f>D69/100</f>
        <v>0</v>
      </c>
      <c r="M69" s="58"/>
      <c r="N69" s="58">
        <f>D70</f>
        <v>0</v>
      </c>
      <c r="O69" s="59">
        <f>D85</f>
        <v>0</v>
      </c>
      <c r="P69" s="59">
        <f>D87</f>
        <v>0</v>
      </c>
      <c r="Q69" s="59">
        <f>D88</f>
        <v>0</v>
      </c>
      <c r="R69" s="58"/>
      <c r="S69" s="58"/>
      <c r="T69" s="58"/>
      <c r="U69" s="58"/>
      <c r="V69" s="58"/>
      <c r="W69" s="58"/>
      <c r="X69" s="58"/>
    </row>
    <row r="70" spans="2:24">
      <c r="B70" s="124"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4"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4" t="s">
        <v>417</v>
      </c>
    </row>
    <row r="73" spans="2:24">
      <c r="B73" s="124" t="s">
        <v>418</v>
      </c>
    </row>
    <row r="74" spans="2:24">
      <c r="B74" s="124" t="s">
        <v>419</v>
      </c>
    </row>
    <row r="75" spans="2:24">
      <c r="B75" s="124" t="s">
        <v>420</v>
      </c>
    </row>
    <row r="76" spans="2:24">
      <c r="B76" s="124" t="s">
        <v>421</v>
      </c>
    </row>
    <row r="89" spans="10:24" ht="16" thickBot="1"/>
    <row r="90" spans="10:24">
      <c r="J90" s="1259">
        <f>C90</f>
        <v>0</v>
      </c>
      <c r="K90" s="1260"/>
      <c r="L90" s="1260"/>
      <c r="M90" s="1260"/>
      <c r="N90" s="1260"/>
      <c r="O90" s="1261"/>
    </row>
    <row r="91" spans="10:24" ht="16" thickBot="1">
      <c r="J91" s="1159">
        <f>C91</f>
        <v>0</v>
      </c>
      <c r="K91" s="1160"/>
      <c r="L91" s="1160"/>
      <c r="M91" s="1160"/>
      <c r="N91" s="1160"/>
      <c r="O91" s="1161"/>
    </row>
    <row r="92" spans="10:24">
      <c r="J92" s="53" t="s">
        <v>357</v>
      </c>
    </row>
    <row r="93" spans="10:24" ht="30">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6"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34" t="s">
        <v>0</v>
      </c>
      <c r="C105" s="1295" t="s">
        <v>646</v>
      </c>
      <c r="D105" s="1296"/>
      <c r="E105" s="1296"/>
      <c r="F105" s="1296"/>
      <c r="G105" s="1296"/>
      <c r="H105" s="1296"/>
      <c r="I105" s="1296"/>
      <c r="J105" s="1296"/>
      <c r="K105" s="1296"/>
      <c r="L105" s="1296"/>
    </row>
    <row r="106" spans="2:24">
      <c r="B106" s="335"/>
      <c r="C106" s="336">
        <v>2015</v>
      </c>
      <c r="D106" s="336">
        <v>2020</v>
      </c>
      <c r="E106" s="336">
        <v>2030</v>
      </c>
      <c r="F106" s="336">
        <v>2050</v>
      </c>
      <c r="G106" s="1295" t="s">
        <v>647</v>
      </c>
      <c r="H106" s="1295"/>
      <c r="I106" s="1295" t="s">
        <v>648</v>
      </c>
      <c r="J106" s="1295"/>
      <c r="K106" s="336" t="s">
        <v>2</v>
      </c>
      <c r="L106" s="336" t="s">
        <v>3</v>
      </c>
    </row>
    <row r="107" spans="2:24">
      <c r="B107" s="334" t="s">
        <v>4</v>
      </c>
      <c r="C107" s="334"/>
      <c r="D107" s="334"/>
      <c r="E107" s="334"/>
      <c r="F107" s="334"/>
      <c r="G107" s="336" t="s">
        <v>649</v>
      </c>
      <c r="H107" s="336" t="s">
        <v>650</v>
      </c>
      <c r="I107" s="336" t="s">
        <v>649</v>
      </c>
      <c r="J107" s="336" t="s">
        <v>650</v>
      </c>
      <c r="K107" s="334"/>
      <c r="L107" s="334"/>
    </row>
    <row r="108" spans="2:24">
      <c r="B108" s="335" t="s">
        <v>651</v>
      </c>
      <c r="C108" s="1297">
        <v>5</v>
      </c>
      <c r="D108" s="1297"/>
      <c r="E108" s="1296"/>
      <c r="F108" s="1296"/>
      <c r="G108" s="337">
        <v>1</v>
      </c>
      <c r="H108" s="337">
        <v>25</v>
      </c>
      <c r="I108" s="337">
        <v>1</v>
      </c>
      <c r="J108" s="337">
        <v>25</v>
      </c>
      <c r="K108" s="338"/>
      <c r="L108" s="338"/>
    </row>
    <row r="109" spans="2:24">
      <c r="B109" s="335" t="s">
        <v>652</v>
      </c>
      <c r="C109" s="338">
        <v>98</v>
      </c>
      <c r="D109" s="338">
        <v>99</v>
      </c>
      <c r="E109" s="338">
        <v>99</v>
      </c>
      <c r="F109" s="338">
        <v>99</v>
      </c>
      <c r="G109" s="338">
        <v>98</v>
      </c>
      <c r="H109" s="338">
        <v>99</v>
      </c>
      <c r="I109" s="338">
        <v>99</v>
      </c>
      <c r="J109" s="338">
        <v>99</v>
      </c>
      <c r="K109" s="338"/>
      <c r="L109" s="338">
        <v>1</v>
      </c>
    </row>
    <row r="110" spans="2:24">
      <c r="B110" s="335" t="s">
        <v>653</v>
      </c>
      <c r="C110" s="338">
        <v>98</v>
      </c>
      <c r="D110" s="338">
        <v>99</v>
      </c>
      <c r="E110" s="338">
        <v>99</v>
      </c>
      <c r="F110" s="338">
        <v>99</v>
      </c>
      <c r="G110" s="338">
        <v>98</v>
      </c>
      <c r="H110" s="338">
        <v>99</v>
      </c>
      <c r="I110" s="338">
        <v>99</v>
      </c>
      <c r="J110" s="338">
        <v>99</v>
      </c>
      <c r="K110" s="338"/>
      <c r="L110" s="338">
        <v>1</v>
      </c>
    </row>
    <row r="111" spans="2:24" ht="26">
      <c r="B111" s="335" t="s">
        <v>654</v>
      </c>
      <c r="C111" s="339" t="s">
        <v>655</v>
      </c>
      <c r="D111" s="339" t="s">
        <v>655</v>
      </c>
      <c r="E111" s="339" t="s">
        <v>655</v>
      </c>
      <c r="F111" s="339" t="s">
        <v>655</v>
      </c>
      <c r="G111" s="338" t="s">
        <v>656</v>
      </c>
      <c r="H111" s="338" t="s">
        <v>655</v>
      </c>
      <c r="I111" s="338" t="s">
        <v>656</v>
      </c>
      <c r="J111" s="338" t="s">
        <v>655</v>
      </c>
      <c r="K111" s="338"/>
      <c r="L111" s="338">
        <v>1</v>
      </c>
    </row>
    <row r="112" spans="2:24">
      <c r="B112" s="335" t="s">
        <v>657</v>
      </c>
      <c r="C112" s="338">
        <v>1</v>
      </c>
      <c r="D112" s="338">
        <v>1</v>
      </c>
      <c r="E112" s="338">
        <v>1</v>
      </c>
      <c r="F112" s="338">
        <v>1</v>
      </c>
      <c r="G112" s="338" t="s">
        <v>655</v>
      </c>
      <c r="H112" s="338">
        <v>1</v>
      </c>
      <c r="I112" s="338" t="s">
        <v>655</v>
      </c>
      <c r="J112" s="338">
        <v>1</v>
      </c>
      <c r="K112" s="338" t="s">
        <v>76</v>
      </c>
      <c r="L112" s="338">
        <v>1</v>
      </c>
    </row>
    <row r="113" spans="2:12">
      <c r="B113" s="335" t="s">
        <v>658</v>
      </c>
      <c r="C113" s="338" t="s">
        <v>659</v>
      </c>
      <c r="D113" s="338" t="s">
        <v>659</v>
      </c>
      <c r="E113" s="338" t="s">
        <v>659</v>
      </c>
      <c r="F113" s="338" t="s">
        <v>659</v>
      </c>
      <c r="G113" s="338" t="s">
        <v>659</v>
      </c>
      <c r="H113" s="338" t="s">
        <v>659</v>
      </c>
      <c r="I113" s="338" t="s">
        <v>659</v>
      </c>
      <c r="J113" s="338" t="s">
        <v>659</v>
      </c>
      <c r="K113" s="338" t="s">
        <v>76</v>
      </c>
      <c r="L113" s="338">
        <v>1</v>
      </c>
    </row>
    <row r="114" spans="2:12">
      <c r="B114" s="335" t="s">
        <v>11</v>
      </c>
      <c r="C114" s="338">
        <v>20</v>
      </c>
      <c r="D114" s="338">
        <v>20</v>
      </c>
      <c r="E114" s="338">
        <v>20</v>
      </c>
      <c r="F114" s="338">
        <v>20</v>
      </c>
      <c r="G114" s="338">
        <v>20</v>
      </c>
      <c r="H114" s="338">
        <v>20</v>
      </c>
      <c r="I114" s="338">
        <v>20</v>
      </c>
      <c r="J114" s="338">
        <v>20</v>
      </c>
      <c r="K114" s="338"/>
      <c r="L114" s="338">
        <v>1</v>
      </c>
    </row>
    <row r="115" spans="2:12">
      <c r="B115" s="335" t="s">
        <v>273</v>
      </c>
      <c r="C115" s="338" t="s">
        <v>655</v>
      </c>
      <c r="D115" s="338" t="s">
        <v>655</v>
      </c>
      <c r="E115" s="338" t="s">
        <v>655</v>
      </c>
      <c r="F115" s="338" t="s">
        <v>655</v>
      </c>
      <c r="G115" s="338" t="s">
        <v>655</v>
      </c>
      <c r="H115" s="338">
        <v>1</v>
      </c>
      <c r="I115" s="338" t="s">
        <v>655</v>
      </c>
      <c r="J115" s="338">
        <v>1</v>
      </c>
      <c r="K115" s="338"/>
      <c r="L115" s="338">
        <v>1</v>
      </c>
    </row>
    <row r="116" spans="2:12">
      <c r="B116" s="1298" t="s">
        <v>660</v>
      </c>
      <c r="C116" s="1298"/>
      <c r="D116" s="1298"/>
      <c r="E116" s="1298"/>
      <c r="F116" s="1298"/>
      <c r="G116" s="1298"/>
      <c r="H116" s="1298"/>
      <c r="I116" s="1298"/>
      <c r="J116" s="1298"/>
      <c r="K116" s="1298"/>
      <c r="L116" s="1298"/>
    </row>
    <row r="117" spans="2:12">
      <c r="B117" s="335" t="s">
        <v>661</v>
      </c>
      <c r="C117" s="338">
        <v>100</v>
      </c>
      <c r="D117" s="338">
        <v>100</v>
      </c>
      <c r="E117" s="338">
        <v>100</v>
      </c>
      <c r="F117" s="338">
        <v>100</v>
      </c>
      <c r="G117" s="338">
        <v>100</v>
      </c>
      <c r="H117" s="338">
        <v>100</v>
      </c>
      <c r="I117" s="338">
        <v>100</v>
      </c>
      <c r="J117" s="338">
        <v>100</v>
      </c>
      <c r="K117" s="338"/>
      <c r="L117" s="338">
        <v>1</v>
      </c>
    </row>
    <row r="118" spans="2:12">
      <c r="B118" s="335" t="s">
        <v>662</v>
      </c>
      <c r="C118" s="338">
        <v>100</v>
      </c>
      <c r="D118" s="338">
        <v>100</v>
      </c>
      <c r="E118" s="338">
        <v>100</v>
      </c>
      <c r="F118" s="338">
        <v>100</v>
      </c>
      <c r="G118" s="338">
        <v>100</v>
      </c>
      <c r="H118" s="338">
        <v>100</v>
      </c>
      <c r="I118" s="338">
        <v>100</v>
      </c>
      <c r="J118" s="338">
        <v>100</v>
      </c>
      <c r="K118" s="338"/>
      <c r="L118" s="338">
        <v>1</v>
      </c>
    </row>
    <row r="119" spans="2:12">
      <c r="B119" s="335" t="s">
        <v>663</v>
      </c>
      <c r="C119" s="1297">
        <v>5</v>
      </c>
      <c r="D119" s="1297"/>
      <c r="E119" s="1297"/>
      <c r="F119" s="1297"/>
      <c r="G119" s="1297"/>
      <c r="H119" s="1297"/>
      <c r="I119" s="1297"/>
      <c r="J119" s="1297"/>
      <c r="K119" s="338"/>
      <c r="L119" s="338">
        <v>1</v>
      </c>
    </row>
    <row r="120" spans="2:12">
      <c r="B120" s="335" t="s">
        <v>664</v>
      </c>
      <c r="C120" s="1297" t="s">
        <v>665</v>
      </c>
      <c r="D120" s="1297"/>
      <c r="E120" s="1297"/>
      <c r="F120" s="1297"/>
      <c r="G120" s="1297"/>
      <c r="H120" s="1297"/>
      <c r="I120" s="1297"/>
      <c r="J120" s="1297"/>
      <c r="K120" s="338"/>
      <c r="L120" s="338">
        <v>2</v>
      </c>
    </row>
    <row r="121" spans="2:12">
      <c r="B121" s="335" t="s">
        <v>666</v>
      </c>
      <c r="C121" s="1297" t="s">
        <v>667</v>
      </c>
      <c r="D121" s="1297"/>
      <c r="E121" s="1297"/>
      <c r="F121" s="1297"/>
      <c r="G121" s="1297"/>
      <c r="H121" s="1297"/>
      <c r="I121" s="1297"/>
      <c r="J121" s="1297"/>
      <c r="K121" s="338"/>
      <c r="L121" s="338">
        <v>2</v>
      </c>
    </row>
    <row r="122" spans="2:12">
      <c r="B122" s="1298" t="s">
        <v>12</v>
      </c>
      <c r="C122" s="1298"/>
      <c r="D122" s="1298"/>
      <c r="E122" s="1298"/>
      <c r="F122" s="1298"/>
      <c r="G122" s="1298"/>
      <c r="H122" s="1298"/>
      <c r="I122" s="1298"/>
      <c r="J122" s="1298"/>
      <c r="K122" s="1298"/>
      <c r="L122" s="1298"/>
    </row>
    <row r="123" spans="2:12">
      <c r="B123" s="335" t="s">
        <v>668</v>
      </c>
      <c r="C123" s="1299" t="s">
        <v>669</v>
      </c>
      <c r="D123" s="1300"/>
      <c r="E123" s="1300"/>
      <c r="F123" s="1300"/>
      <c r="G123" s="1300"/>
      <c r="H123" s="1300"/>
      <c r="I123" s="1300"/>
      <c r="J123" s="1300"/>
      <c r="K123" s="1301"/>
      <c r="L123" s="338"/>
    </row>
    <row r="124" spans="2:12">
      <c r="B124" s="335" t="s">
        <v>670</v>
      </c>
      <c r="C124" s="1302"/>
      <c r="D124" s="1303"/>
      <c r="E124" s="1303"/>
      <c r="F124" s="1303"/>
      <c r="G124" s="1303"/>
      <c r="H124" s="1303"/>
      <c r="I124" s="1303"/>
      <c r="J124" s="1303"/>
      <c r="K124" s="1304"/>
      <c r="L124" s="338"/>
    </row>
    <row r="125" spans="2:12">
      <c r="B125" s="335" t="s">
        <v>671</v>
      </c>
      <c r="C125" s="1302"/>
      <c r="D125" s="1303"/>
      <c r="E125" s="1303"/>
      <c r="F125" s="1303"/>
      <c r="G125" s="1303"/>
      <c r="H125" s="1303"/>
      <c r="I125" s="1303"/>
      <c r="J125" s="1303"/>
      <c r="K125" s="1304"/>
      <c r="L125" s="338"/>
    </row>
    <row r="126" spans="2:12">
      <c r="B126" s="335" t="s">
        <v>672</v>
      </c>
      <c r="C126" s="1302"/>
      <c r="D126" s="1303"/>
      <c r="E126" s="1303"/>
      <c r="F126" s="1303"/>
      <c r="G126" s="1303"/>
      <c r="H126" s="1303"/>
      <c r="I126" s="1303"/>
      <c r="J126" s="1303"/>
      <c r="K126" s="1304"/>
      <c r="L126" s="338"/>
    </row>
    <row r="127" spans="2:12">
      <c r="B127" s="340" t="s">
        <v>673</v>
      </c>
      <c r="C127" s="1305"/>
      <c r="D127" s="1306"/>
      <c r="E127" s="1306"/>
      <c r="F127" s="1306"/>
      <c r="G127" s="1306"/>
      <c r="H127" s="1306"/>
      <c r="I127" s="1306"/>
      <c r="J127" s="1306"/>
      <c r="K127" s="1307"/>
      <c r="L127" s="338"/>
    </row>
    <row r="128" spans="2:12">
      <c r="B128" s="1298" t="s">
        <v>674</v>
      </c>
      <c r="C128" s="1298"/>
      <c r="D128" s="1298"/>
      <c r="E128" s="1298"/>
      <c r="F128" s="1298"/>
      <c r="G128" s="1298"/>
      <c r="H128" s="1298"/>
      <c r="I128" s="1298"/>
      <c r="J128" s="1298"/>
      <c r="K128" s="1298"/>
      <c r="L128" s="1298"/>
    </row>
    <row r="129" spans="2:12" ht="26">
      <c r="B129" s="335" t="s">
        <v>675</v>
      </c>
      <c r="C129" s="341">
        <v>0.15</v>
      </c>
      <c r="D129" s="342">
        <v>0.15</v>
      </c>
      <c r="E129" s="342">
        <v>0.14000000000000001</v>
      </c>
      <c r="F129" s="342">
        <v>0.13</v>
      </c>
      <c r="G129" s="343">
        <v>0.1</v>
      </c>
      <c r="H129" s="344">
        <v>0.25</v>
      </c>
      <c r="I129" s="343">
        <v>0.1</v>
      </c>
      <c r="J129" s="344">
        <v>0.25</v>
      </c>
      <c r="K129" s="338" t="s">
        <v>6</v>
      </c>
      <c r="L129" s="338">
        <v>1</v>
      </c>
    </row>
    <row r="130" spans="2:12">
      <c r="B130" s="335" t="s">
        <v>676</v>
      </c>
      <c r="C130" s="344">
        <v>0.12</v>
      </c>
      <c r="D130" s="343">
        <f>$C$29*0.995^(D$5-$C$5)</f>
        <v>5960</v>
      </c>
      <c r="E130" s="343">
        <f>$C$29*0.995^(E$5-$C$5)</f>
        <v>5960</v>
      </c>
      <c r="F130" s="343">
        <f>$C$29*0.995^(F$5-$C$5)</f>
        <v>5960</v>
      </c>
      <c r="G130" s="344">
        <v>0.08</v>
      </c>
      <c r="H130" s="343">
        <v>0.2</v>
      </c>
      <c r="I130" s="343">
        <v>0.08</v>
      </c>
      <c r="J130" s="343">
        <v>0.2</v>
      </c>
      <c r="K130" s="338" t="s">
        <v>59</v>
      </c>
      <c r="L130" s="338">
        <v>1</v>
      </c>
    </row>
    <row r="131" spans="2:12">
      <c r="B131" s="335" t="s">
        <v>677</v>
      </c>
      <c r="C131" s="344">
        <v>0.03</v>
      </c>
      <c r="D131" s="343">
        <f>$C131*0.995^(D$5-$C$5)</f>
        <v>0.03</v>
      </c>
      <c r="E131" s="343">
        <f>$C131*0.995^(E$5-$C$5)</f>
        <v>0.03</v>
      </c>
      <c r="F131" s="343">
        <f>$C131*0.995^(F$5-$C$5)</f>
        <v>0.03</v>
      </c>
      <c r="G131" s="344">
        <v>0.02</v>
      </c>
      <c r="H131" s="344">
        <v>0.05</v>
      </c>
      <c r="I131" s="344">
        <v>0.02</v>
      </c>
      <c r="J131" s="344">
        <v>0.05</v>
      </c>
      <c r="K131" s="338" t="s">
        <v>20</v>
      </c>
      <c r="L131" s="338">
        <v>1</v>
      </c>
    </row>
    <row r="132" spans="2:12" ht="26">
      <c r="B132" s="335" t="s">
        <v>678</v>
      </c>
      <c r="C132" s="345">
        <v>7.0000000000000007E-2</v>
      </c>
      <c r="D132" s="345">
        <v>7.0000000000000007E-2</v>
      </c>
      <c r="E132" s="345">
        <v>0.06</v>
      </c>
      <c r="F132" s="345">
        <v>0.06</v>
      </c>
      <c r="G132" s="346">
        <v>0.02</v>
      </c>
      <c r="H132" s="346">
        <v>0.17</v>
      </c>
      <c r="I132" s="346">
        <v>0.02</v>
      </c>
      <c r="J132" s="346">
        <v>0.17</v>
      </c>
      <c r="K132" s="337" t="s">
        <v>6</v>
      </c>
      <c r="L132" s="338">
        <v>1</v>
      </c>
    </row>
    <row r="133" spans="2:12">
      <c r="B133" s="335" t="s">
        <v>676</v>
      </c>
      <c r="C133" s="345">
        <v>0.06</v>
      </c>
      <c r="D133" s="345">
        <f>$C133*0.995^(D$5-$C$5)</f>
        <v>0.06</v>
      </c>
      <c r="E133" s="345">
        <v>0.05</v>
      </c>
      <c r="F133" s="345">
        <f>$C133*0.995^(F$5-$C$5)</f>
        <v>0.06</v>
      </c>
      <c r="G133" s="346">
        <v>0.02</v>
      </c>
      <c r="H133" s="346">
        <v>0.14000000000000001</v>
      </c>
      <c r="I133" s="346">
        <v>0.02</v>
      </c>
      <c r="J133" s="346">
        <v>0.14000000000000001</v>
      </c>
      <c r="K133" s="337" t="s">
        <v>16</v>
      </c>
      <c r="L133" s="338">
        <v>1</v>
      </c>
    </row>
    <row r="134" spans="2:12">
      <c r="B134" s="335" t="s">
        <v>677</v>
      </c>
      <c r="C134" s="345">
        <v>0.01</v>
      </c>
      <c r="D134" s="345">
        <f>$C134*0.995^(D$5-$C$5)</f>
        <v>0.01</v>
      </c>
      <c r="E134" s="345">
        <f>$C134*0.995^(E$5-$C$5)</f>
        <v>0.01</v>
      </c>
      <c r="F134" s="345">
        <f>$C134*0.995^(F$5-$C$5)</f>
        <v>0.01</v>
      </c>
      <c r="G134" s="346">
        <v>0</v>
      </c>
      <c r="H134" s="346">
        <v>0.03</v>
      </c>
      <c r="I134" s="346">
        <v>0</v>
      </c>
      <c r="J134" s="346">
        <v>0.03</v>
      </c>
      <c r="K134" s="337" t="s">
        <v>20</v>
      </c>
      <c r="L134" s="338">
        <v>1</v>
      </c>
    </row>
    <row r="135" spans="2:12">
      <c r="B135" s="335" t="s">
        <v>276</v>
      </c>
      <c r="C135" s="347">
        <v>1100</v>
      </c>
      <c r="D135" s="347">
        <v>1070</v>
      </c>
      <c r="E135" s="347">
        <v>1020</v>
      </c>
      <c r="F135" s="347">
        <v>920</v>
      </c>
      <c r="G135" s="337">
        <v>1000</v>
      </c>
      <c r="H135" s="337">
        <v>1100</v>
      </c>
      <c r="I135" s="337">
        <v>900</v>
      </c>
      <c r="J135" s="337">
        <v>1000</v>
      </c>
      <c r="K135" s="337" t="s">
        <v>6</v>
      </c>
      <c r="L135" s="338">
        <v>1</v>
      </c>
    </row>
    <row r="136" spans="2:12">
      <c r="B136" s="335" t="s">
        <v>679</v>
      </c>
      <c r="C136" s="348">
        <v>0.8</v>
      </c>
      <c r="D136" s="348">
        <v>0.9</v>
      </c>
      <c r="E136" s="348">
        <v>1</v>
      </c>
      <c r="F136" s="348">
        <v>1</v>
      </c>
      <c r="G136" s="348">
        <v>0.5</v>
      </c>
      <c r="H136" s="348">
        <v>0.9</v>
      </c>
      <c r="I136" s="348">
        <v>0.5</v>
      </c>
      <c r="J136" s="348">
        <v>1</v>
      </c>
      <c r="K136" s="349"/>
      <c r="L136" s="338">
        <v>1</v>
      </c>
    </row>
    <row r="137" spans="2:12">
      <c r="B137" s="350" t="s">
        <v>680</v>
      </c>
      <c r="C137" s="348">
        <v>0.3</v>
      </c>
      <c r="D137" s="348">
        <v>0.4</v>
      </c>
      <c r="E137" s="348">
        <v>0.5</v>
      </c>
      <c r="F137" s="348">
        <v>0.8</v>
      </c>
      <c r="G137" s="348">
        <v>0.1</v>
      </c>
      <c r="H137" s="348">
        <v>0.4</v>
      </c>
      <c r="I137" s="348">
        <v>0.2</v>
      </c>
      <c r="J137" s="348">
        <v>0.8</v>
      </c>
      <c r="K137" s="351" t="s">
        <v>25</v>
      </c>
      <c r="L137" s="351"/>
    </row>
    <row r="138" spans="2:12">
      <c r="B138" s="350" t="s">
        <v>681</v>
      </c>
      <c r="C138" s="348">
        <v>0.5</v>
      </c>
      <c r="D138" s="348">
        <v>0.5</v>
      </c>
      <c r="E138" s="348">
        <v>0.5</v>
      </c>
      <c r="F138" s="348">
        <v>0.4</v>
      </c>
      <c r="G138" s="348">
        <v>0.4</v>
      </c>
      <c r="H138" s="348">
        <v>0.5</v>
      </c>
      <c r="I138" s="348">
        <v>0.3</v>
      </c>
      <c r="J138" s="348">
        <v>0.5</v>
      </c>
      <c r="K138" s="337" t="s">
        <v>6</v>
      </c>
      <c r="L138" s="351">
        <v>1</v>
      </c>
    </row>
    <row r="139" spans="2:12">
      <c r="B139" s="1298" t="s">
        <v>682</v>
      </c>
      <c r="C139" s="1298"/>
      <c r="D139" s="1298"/>
      <c r="E139" s="1298"/>
      <c r="F139" s="1298"/>
      <c r="G139" s="1298"/>
      <c r="H139" s="1298"/>
      <c r="I139" s="1298"/>
      <c r="J139" s="1298"/>
      <c r="K139" s="1298"/>
      <c r="L139" s="1298"/>
    </row>
    <row r="140" spans="2:12">
      <c r="B140" s="335" t="s">
        <v>683</v>
      </c>
      <c r="C140" s="352">
        <v>0</v>
      </c>
      <c r="D140" s="352">
        <v>0</v>
      </c>
      <c r="E140" s="352">
        <v>0</v>
      </c>
      <c r="F140" s="352">
        <v>0</v>
      </c>
      <c r="G140" s="352">
        <v>0</v>
      </c>
      <c r="H140" s="352">
        <v>0</v>
      </c>
      <c r="I140" s="352">
        <v>0</v>
      </c>
      <c r="J140" s="352">
        <v>0</v>
      </c>
      <c r="K140" s="338"/>
      <c r="L140" s="338">
        <v>1</v>
      </c>
    </row>
  </sheetData>
  <mergeCells count="29">
    <mergeCell ref="B128:L128"/>
    <mergeCell ref="B139:L139"/>
    <mergeCell ref="C119:J119"/>
    <mergeCell ref="C120:J120"/>
    <mergeCell ref="C121:J121"/>
    <mergeCell ref="B122:L122"/>
    <mergeCell ref="C123:K127"/>
    <mergeCell ref="C105:L105"/>
    <mergeCell ref="G106:H106"/>
    <mergeCell ref="I106:J106"/>
    <mergeCell ref="C108:F108"/>
    <mergeCell ref="B116:L116"/>
    <mergeCell ref="J63:O63"/>
    <mergeCell ref="J90:O90"/>
    <mergeCell ref="J91:O91"/>
    <mergeCell ref="J6:O6"/>
    <mergeCell ref="J7:O7"/>
    <mergeCell ref="J62:O62"/>
    <mergeCell ref="J33:J34"/>
    <mergeCell ref="K33:P33"/>
    <mergeCell ref="K34:P34"/>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baseColWidth="10" defaultColWidth="8.83203125" defaultRowHeight="15"/>
  <cols>
    <col min="2" max="2" width="36.83203125" customWidth="1"/>
  </cols>
  <sheetData>
    <row r="3" spans="2:8">
      <c r="B3" s="8" t="s">
        <v>319</v>
      </c>
    </row>
    <row r="5" spans="2:8" ht="16" thickBot="1"/>
    <row r="6" spans="2:8" ht="15" customHeight="1">
      <c r="B6" s="1257" t="s">
        <v>0</v>
      </c>
      <c r="C6" s="1259" t="s">
        <v>134</v>
      </c>
      <c r="D6" s="1260"/>
      <c r="E6" s="1260"/>
      <c r="F6" s="1260"/>
      <c r="G6" s="1260"/>
      <c r="H6" s="1261"/>
    </row>
    <row r="7" spans="2:8" ht="15.75" customHeight="1" thickBot="1">
      <c r="B7" s="1258"/>
      <c r="C7" s="1159" t="s">
        <v>38</v>
      </c>
      <c r="D7" s="1160"/>
      <c r="E7" s="1160"/>
      <c r="F7" s="1160"/>
      <c r="G7" s="1160"/>
      <c r="H7" s="1161"/>
    </row>
    <row r="8" spans="2:8" ht="16" thickBot="1">
      <c r="B8" s="125"/>
      <c r="C8" s="126">
        <v>2015</v>
      </c>
      <c r="D8" s="126">
        <v>2020</v>
      </c>
      <c r="E8" s="126">
        <v>2030</v>
      </c>
      <c r="F8" s="126">
        <v>2050</v>
      </c>
      <c r="G8" s="126" t="s">
        <v>2</v>
      </c>
      <c r="H8" s="126" t="s">
        <v>3</v>
      </c>
    </row>
    <row r="9" spans="2:8" ht="16" thickBot="1">
      <c r="B9" s="127" t="s">
        <v>4</v>
      </c>
      <c r="C9" s="128"/>
      <c r="D9" s="128"/>
      <c r="E9" s="128"/>
      <c r="F9" s="128"/>
      <c r="G9" s="128"/>
      <c r="H9" s="129"/>
    </row>
    <row r="10" spans="2:8" ht="16" thickBot="1">
      <c r="B10" s="125" t="s">
        <v>5</v>
      </c>
      <c r="C10" s="132" t="s">
        <v>135</v>
      </c>
      <c r="D10" s="132" t="s">
        <v>135</v>
      </c>
      <c r="E10" s="132" t="s">
        <v>135</v>
      </c>
      <c r="F10" s="132"/>
      <c r="G10" s="132" t="s">
        <v>16</v>
      </c>
      <c r="H10" s="132" t="s">
        <v>136</v>
      </c>
    </row>
    <row r="11" spans="2:8" ht="16" thickBot="1">
      <c r="B11" s="125" t="s">
        <v>137</v>
      </c>
      <c r="C11" s="132" t="s">
        <v>138</v>
      </c>
      <c r="D11" s="132" t="s">
        <v>138</v>
      </c>
      <c r="E11" s="132" t="s">
        <v>138</v>
      </c>
      <c r="F11" s="132"/>
      <c r="G11" s="132"/>
      <c r="H11" s="132">
        <v>1</v>
      </c>
    </row>
    <row r="12" spans="2:8" ht="28" thickBot="1">
      <c r="B12" s="125" t="s">
        <v>7</v>
      </c>
      <c r="C12" s="132" t="s">
        <v>139</v>
      </c>
      <c r="D12" s="132" t="s">
        <v>139</v>
      </c>
      <c r="E12" s="132" t="s">
        <v>139</v>
      </c>
      <c r="F12" s="132"/>
      <c r="G12" s="132" t="s">
        <v>20</v>
      </c>
      <c r="H12" s="132"/>
    </row>
    <row r="13" spans="2:8" ht="28" thickBot="1">
      <c r="B13" s="125" t="s">
        <v>8</v>
      </c>
      <c r="C13" s="132" t="s">
        <v>140</v>
      </c>
      <c r="D13" s="132" t="s">
        <v>140</v>
      </c>
      <c r="E13" s="132" t="s">
        <v>140</v>
      </c>
      <c r="F13" s="132"/>
      <c r="G13" s="132" t="s">
        <v>141</v>
      </c>
      <c r="H13" s="132"/>
    </row>
    <row r="14" spans="2:8" ht="16" thickBot="1">
      <c r="B14" s="125" t="s">
        <v>142</v>
      </c>
      <c r="C14" s="132" t="s">
        <v>143</v>
      </c>
      <c r="D14" s="132" t="s">
        <v>144</v>
      </c>
      <c r="E14" s="132" t="s">
        <v>145</v>
      </c>
      <c r="F14" s="132"/>
      <c r="G14" s="132" t="s">
        <v>51</v>
      </c>
      <c r="H14" s="132">
        <v>1</v>
      </c>
    </row>
    <row r="15" spans="2:8" ht="16" thickBot="1">
      <c r="B15" s="125" t="s">
        <v>146</v>
      </c>
      <c r="C15" s="132" t="s">
        <v>147</v>
      </c>
      <c r="D15" s="132" t="s">
        <v>148</v>
      </c>
      <c r="E15" s="132" t="s">
        <v>148</v>
      </c>
      <c r="F15" s="132"/>
      <c r="G15" s="132" t="s">
        <v>51</v>
      </c>
      <c r="H15" s="132">
        <v>1</v>
      </c>
    </row>
    <row r="16" spans="2:8" ht="16" thickBot="1">
      <c r="B16" s="125" t="s">
        <v>9</v>
      </c>
      <c r="C16" s="132" t="s">
        <v>149</v>
      </c>
      <c r="D16" s="132" t="s">
        <v>150</v>
      </c>
      <c r="E16" s="132" t="s">
        <v>151</v>
      </c>
      <c r="F16" s="132"/>
      <c r="G16" s="132" t="s">
        <v>51</v>
      </c>
      <c r="H16" s="132">
        <v>1</v>
      </c>
    </row>
    <row r="17" spans="2:8" ht="16" thickBot="1">
      <c r="B17" s="125" t="s">
        <v>11</v>
      </c>
      <c r="C17" s="132" t="s">
        <v>152</v>
      </c>
      <c r="D17" s="132" t="s">
        <v>153</v>
      </c>
      <c r="E17" s="132" t="s">
        <v>153</v>
      </c>
      <c r="F17" s="132"/>
      <c r="G17" s="132"/>
      <c r="H17" s="132">
        <v>6</v>
      </c>
    </row>
    <row r="18" spans="2:8" ht="16" thickBot="1">
      <c r="B18" s="127" t="s">
        <v>12</v>
      </c>
      <c r="C18" s="128"/>
      <c r="D18" s="128"/>
      <c r="E18" s="128"/>
      <c r="F18" s="128"/>
      <c r="G18" s="128"/>
      <c r="H18" s="129"/>
    </row>
    <row r="19" spans="2:8" ht="16" thickBot="1">
      <c r="B19" s="125" t="s">
        <v>13</v>
      </c>
      <c r="C19" s="126">
        <v>0</v>
      </c>
      <c r="D19" s="126">
        <v>0</v>
      </c>
      <c r="E19" s="126">
        <v>0</v>
      </c>
      <c r="F19" s="126"/>
      <c r="G19" s="126"/>
      <c r="H19" s="126"/>
    </row>
    <row r="20" spans="2:8" ht="16" thickBot="1">
      <c r="B20" s="125" t="s">
        <v>15</v>
      </c>
      <c r="C20" s="35">
        <v>2</v>
      </c>
      <c r="D20" s="35">
        <v>2</v>
      </c>
      <c r="E20" s="35">
        <v>2</v>
      </c>
      <c r="F20" s="126"/>
      <c r="G20" s="126"/>
      <c r="H20" s="126" t="s">
        <v>154</v>
      </c>
    </row>
    <row r="21" spans="2:8" ht="16" thickBot="1">
      <c r="B21" s="125" t="s">
        <v>17</v>
      </c>
      <c r="C21" s="126" t="s">
        <v>155</v>
      </c>
      <c r="D21" s="126" t="s">
        <v>155</v>
      </c>
      <c r="E21" s="126" t="s">
        <v>155</v>
      </c>
      <c r="F21" s="126"/>
      <c r="G21" s="126" t="s">
        <v>25</v>
      </c>
      <c r="H21" s="126" t="s">
        <v>154</v>
      </c>
    </row>
    <row r="22" spans="2:8" ht="16" thickBot="1">
      <c r="B22" s="125" t="s">
        <v>18</v>
      </c>
      <c r="C22" s="35">
        <v>0</v>
      </c>
      <c r="D22" s="35">
        <v>0</v>
      </c>
      <c r="E22" s="35">
        <v>0</v>
      </c>
      <c r="F22" s="126"/>
      <c r="G22" s="126"/>
      <c r="H22" s="126"/>
    </row>
    <row r="23" spans="2:8" ht="16" thickBot="1">
      <c r="B23" s="125" t="s">
        <v>19</v>
      </c>
      <c r="C23" s="126">
        <v>0</v>
      </c>
      <c r="D23" s="126">
        <v>0</v>
      </c>
      <c r="E23" s="126">
        <v>0</v>
      </c>
      <c r="F23" s="126"/>
      <c r="G23" s="126"/>
      <c r="H23" s="126">
        <v>7</v>
      </c>
    </row>
    <row r="24" spans="2:8" ht="16" thickBot="1">
      <c r="B24" s="127" t="s">
        <v>22</v>
      </c>
      <c r="C24" s="128"/>
      <c r="D24" s="128"/>
      <c r="E24" s="128"/>
      <c r="F24" s="128"/>
      <c r="G24" s="128"/>
      <c r="H24" s="129"/>
    </row>
    <row r="25" spans="2:8">
      <c r="B25" s="130" t="s">
        <v>24</v>
      </c>
      <c r="C25" s="139" t="s">
        <v>296</v>
      </c>
      <c r="D25" s="131">
        <v>4.4000000000000004</v>
      </c>
      <c r="E25" s="131">
        <v>2.6</v>
      </c>
      <c r="F25" s="131"/>
      <c r="G25" s="131" t="s">
        <v>109</v>
      </c>
      <c r="H25" s="131" t="s">
        <v>156</v>
      </c>
    </row>
    <row r="26" spans="2:8">
      <c r="B26" s="130" t="s">
        <v>26</v>
      </c>
      <c r="C26" s="131" t="s">
        <v>95</v>
      </c>
      <c r="D26" s="131">
        <v>80</v>
      </c>
      <c r="E26" s="131">
        <v>80</v>
      </c>
      <c r="F26" s="131"/>
      <c r="G26" s="131"/>
      <c r="H26" s="131"/>
    </row>
    <row r="27" spans="2:8" ht="16" thickBot="1">
      <c r="B27" s="125" t="s">
        <v>28</v>
      </c>
      <c r="C27" s="126" t="s">
        <v>97</v>
      </c>
      <c r="D27" s="126">
        <v>20</v>
      </c>
      <c r="E27" s="126">
        <v>20</v>
      </c>
      <c r="F27" s="126"/>
      <c r="G27" s="126"/>
      <c r="H27" s="126"/>
    </row>
    <row r="28" spans="2:8" ht="28" thickBot="1">
      <c r="B28" s="125" t="s">
        <v>30</v>
      </c>
      <c r="C28" s="126" t="s">
        <v>157</v>
      </c>
      <c r="D28" s="126" t="s">
        <v>157</v>
      </c>
      <c r="E28" s="126" t="s">
        <v>157</v>
      </c>
      <c r="F28" s="126"/>
      <c r="G28" s="126" t="s">
        <v>76</v>
      </c>
      <c r="H28" s="126"/>
    </row>
    <row r="29" spans="2:8" ht="16" thickBot="1">
      <c r="B29" s="125" t="s">
        <v>50</v>
      </c>
      <c r="C29" s="126" t="s">
        <v>68</v>
      </c>
      <c r="D29" s="126" t="s">
        <v>68</v>
      </c>
      <c r="E29" s="126" t="s">
        <v>68</v>
      </c>
      <c r="F29" s="126"/>
      <c r="G29" s="126"/>
      <c r="H29" s="126"/>
    </row>
    <row r="30" spans="2:8" ht="16" thickBot="1">
      <c r="B30" s="125" t="s">
        <v>31</v>
      </c>
      <c r="C30" s="126" t="s">
        <v>68</v>
      </c>
      <c r="D30" s="126" t="s">
        <v>68</v>
      </c>
      <c r="E30" s="126" t="s">
        <v>68</v>
      </c>
      <c r="F30" s="126"/>
      <c r="G30" s="126"/>
      <c r="H30" s="126"/>
    </row>
  </sheetData>
  <mergeCells count="3">
    <mergeCell ref="B6:B7"/>
    <mergeCell ref="C6:H6"/>
    <mergeCell ref="C7:H7"/>
  </mergeCell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baseColWidth="10" defaultColWidth="8.83203125" defaultRowHeight="15"/>
  <cols>
    <col min="2" max="2" width="36.83203125" customWidth="1"/>
  </cols>
  <sheetData>
    <row r="3" spans="2:8">
      <c r="B3" s="8" t="s">
        <v>320</v>
      </c>
    </row>
    <row r="5" spans="2:8" ht="16" thickBot="1"/>
    <row r="6" spans="2:8">
      <c r="B6" s="1257" t="s">
        <v>0</v>
      </c>
      <c r="C6" s="1259" t="s">
        <v>158</v>
      </c>
      <c r="D6" s="1260"/>
      <c r="E6" s="1260"/>
      <c r="F6" s="1260"/>
      <c r="G6" s="1260"/>
      <c r="H6" s="1261"/>
    </row>
    <row r="7" spans="2:8" ht="16" thickBot="1">
      <c r="B7" s="1258"/>
      <c r="C7" s="1159" t="s">
        <v>38</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1.6</v>
      </c>
      <c r="D10" s="9">
        <v>1.6</v>
      </c>
      <c r="E10" s="9">
        <v>1.6</v>
      </c>
      <c r="F10" s="9"/>
      <c r="G10" s="9" t="s">
        <v>6</v>
      </c>
      <c r="H10" s="9">
        <v>3</v>
      </c>
    </row>
    <row r="11" spans="2:8" ht="16" thickBot="1">
      <c r="B11" s="1" t="s">
        <v>137</v>
      </c>
      <c r="C11" s="9">
        <v>1.4</v>
      </c>
      <c r="D11" s="9">
        <v>1.4</v>
      </c>
      <c r="E11" s="9">
        <v>1.4</v>
      </c>
      <c r="F11" s="9"/>
      <c r="G11" s="9"/>
      <c r="H11" s="9">
        <v>3</v>
      </c>
    </row>
    <row r="12" spans="2:8" ht="28" thickBot="1">
      <c r="B12" s="1" t="s">
        <v>7</v>
      </c>
      <c r="C12" s="9" t="s">
        <v>159</v>
      </c>
      <c r="D12" s="9" t="s">
        <v>159</v>
      </c>
      <c r="E12" s="9" t="s">
        <v>159</v>
      </c>
      <c r="F12" s="9"/>
      <c r="G12" s="9" t="s">
        <v>20</v>
      </c>
      <c r="H12" s="9"/>
    </row>
    <row r="13" spans="2:8" ht="28" thickBot="1">
      <c r="B13" s="1" t="s">
        <v>8</v>
      </c>
      <c r="C13" s="9" t="s">
        <v>159</v>
      </c>
      <c r="D13" s="9" t="s">
        <v>159</v>
      </c>
      <c r="E13" s="9" t="s">
        <v>159</v>
      </c>
      <c r="F13" s="9"/>
      <c r="G13" s="9" t="s">
        <v>20</v>
      </c>
      <c r="H13" s="9"/>
    </row>
    <row r="14" spans="2:8" ht="16" thickBot="1">
      <c r="B14" s="1" t="s">
        <v>142</v>
      </c>
      <c r="C14" s="9" t="s">
        <v>160</v>
      </c>
      <c r="D14" s="9" t="s">
        <v>161</v>
      </c>
      <c r="E14" s="9" t="s">
        <v>162</v>
      </c>
      <c r="F14" s="9"/>
      <c r="G14" s="9" t="s">
        <v>76</v>
      </c>
      <c r="H14" s="9">
        <v>1</v>
      </c>
    </row>
    <row r="15" spans="2:8" ht="16" thickBot="1">
      <c r="B15" s="1" t="s">
        <v>146</v>
      </c>
      <c r="C15" s="9" t="s">
        <v>163</v>
      </c>
      <c r="D15" s="9" t="s">
        <v>164</v>
      </c>
      <c r="E15" s="9" t="s">
        <v>144</v>
      </c>
      <c r="F15" s="9"/>
      <c r="G15" s="9" t="s">
        <v>76</v>
      </c>
      <c r="H15" s="9">
        <v>1</v>
      </c>
    </row>
    <row r="16" spans="2:8" ht="16" thickBot="1">
      <c r="B16" s="1" t="s">
        <v>9</v>
      </c>
      <c r="C16" s="9" t="s">
        <v>149</v>
      </c>
      <c r="D16" s="9" t="s">
        <v>165</v>
      </c>
      <c r="E16" s="9" t="s">
        <v>151</v>
      </c>
      <c r="F16" s="9"/>
      <c r="G16" s="9" t="s">
        <v>166</v>
      </c>
      <c r="H16" s="9">
        <v>1</v>
      </c>
    </row>
    <row r="17" spans="2:8" ht="16" thickBot="1">
      <c r="B17" s="1" t="s">
        <v>167</v>
      </c>
      <c r="C17" s="9" t="s">
        <v>168</v>
      </c>
      <c r="D17" s="9" t="s">
        <v>169</v>
      </c>
      <c r="E17" s="9" t="s">
        <v>170</v>
      </c>
      <c r="F17" s="9"/>
      <c r="G17" s="9"/>
      <c r="H17" s="9" t="s">
        <v>65</v>
      </c>
    </row>
    <row r="18" spans="2:8" ht="16" thickBot="1">
      <c r="B18" s="1" t="s">
        <v>11</v>
      </c>
      <c r="C18" s="9">
        <v>7</v>
      </c>
      <c r="D18" s="9" t="s">
        <v>153</v>
      </c>
      <c r="E18" s="9" t="s">
        <v>153</v>
      </c>
      <c r="F18" s="9"/>
      <c r="G18" s="9" t="s">
        <v>59</v>
      </c>
      <c r="H18" s="9">
        <v>1</v>
      </c>
    </row>
    <row r="19" spans="2:8" ht="16" thickBot="1">
      <c r="B19" s="3" t="s">
        <v>12</v>
      </c>
      <c r="C19" s="4"/>
      <c r="D19" s="4"/>
      <c r="E19" s="4"/>
      <c r="F19" s="4"/>
      <c r="G19" s="4"/>
      <c r="H19" s="5"/>
    </row>
    <row r="20" spans="2:8" ht="15.75" customHeight="1" thickBot="1">
      <c r="B20" s="22" t="s">
        <v>13</v>
      </c>
      <c r="C20" s="1308" t="s">
        <v>173</v>
      </c>
      <c r="D20" s="1309"/>
      <c r="E20" s="1309"/>
      <c r="F20" s="1309"/>
      <c r="G20" s="1309"/>
      <c r="H20" s="1310"/>
    </row>
    <row r="21" spans="2:8" ht="15.75" customHeight="1" thickBot="1">
      <c r="B21" s="1" t="s">
        <v>15</v>
      </c>
      <c r="C21" s="1311"/>
      <c r="D21" s="1312"/>
      <c r="E21" s="1312"/>
      <c r="F21" s="1312"/>
      <c r="G21" s="1312"/>
      <c r="H21" s="1313"/>
    </row>
    <row r="22" spans="2:8" ht="16" thickBot="1">
      <c r="B22" s="1" t="s">
        <v>17</v>
      </c>
      <c r="C22" s="1311"/>
      <c r="D22" s="1312"/>
      <c r="E22" s="1312"/>
      <c r="F22" s="1312"/>
      <c r="G22" s="1312"/>
      <c r="H22" s="1313"/>
    </row>
    <row r="23" spans="2:8" ht="16" thickBot="1">
      <c r="B23" s="1" t="s">
        <v>18</v>
      </c>
      <c r="C23" s="1311"/>
      <c r="D23" s="1312"/>
      <c r="E23" s="1312"/>
      <c r="F23" s="1312"/>
      <c r="G23" s="1312"/>
      <c r="H23" s="1313"/>
    </row>
    <row r="24" spans="2:8" ht="16" thickBot="1">
      <c r="B24" s="1" t="s">
        <v>19</v>
      </c>
      <c r="C24" s="1314"/>
      <c r="D24" s="1315"/>
      <c r="E24" s="1315"/>
      <c r="F24" s="1315"/>
      <c r="G24" s="1315"/>
      <c r="H24" s="1316"/>
    </row>
    <row r="25" spans="2:8" ht="16"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6" thickBot="1">
      <c r="B28" s="1" t="s">
        <v>96</v>
      </c>
      <c r="C28" s="2" t="s">
        <v>172</v>
      </c>
      <c r="D28" s="2">
        <v>30</v>
      </c>
      <c r="E28" s="2">
        <v>30</v>
      </c>
      <c r="F28" s="2"/>
      <c r="G28" s="2"/>
      <c r="H28" s="2"/>
    </row>
    <row r="29" spans="2:8" ht="28" thickBot="1">
      <c r="B29" s="1" t="s">
        <v>30</v>
      </c>
      <c r="C29" s="2" t="s">
        <v>157</v>
      </c>
      <c r="D29" s="2" t="s">
        <v>157</v>
      </c>
      <c r="E29" s="2" t="s">
        <v>157</v>
      </c>
      <c r="F29" s="2"/>
      <c r="G29" s="2" t="s">
        <v>25</v>
      </c>
      <c r="H29" s="2"/>
    </row>
    <row r="30" spans="2:8" ht="16" thickBot="1">
      <c r="B30" s="1" t="s">
        <v>50</v>
      </c>
      <c r="C30" s="2" t="s">
        <v>68</v>
      </c>
      <c r="D30" s="2" t="s">
        <v>68</v>
      </c>
      <c r="E30" s="2" t="s">
        <v>68</v>
      </c>
      <c r="F30" s="2"/>
      <c r="G30" s="2"/>
      <c r="H30" s="2"/>
    </row>
    <row r="31" spans="2:8" ht="16"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baseColWidth="10" defaultColWidth="8.83203125" defaultRowHeight="15"/>
  <cols>
    <col min="2" max="2" width="36.83203125" customWidth="1"/>
  </cols>
  <sheetData>
    <row r="3" spans="2:8">
      <c r="B3" s="8" t="s">
        <v>321</v>
      </c>
    </row>
    <row r="5" spans="2:8" ht="16" thickBot="1"/>
    <row r="6" spans="2:8">
      <c r="B6" s="1257" t="s">
        <v>0</v>
      </c>
      <c r="C6" s="1259" t="s">
        <v>174</v>
      </c>
      <c r="D6" s="1260"/>
      <c r="E6" s="1260"/>
      <c r="F6" s="1260"/>
      <c r="G6" s="1260"/>
      <c r="H6" s="1261"/>
    </row>
    <row r="7" spans="2:8" ht="16" thickBot="1">
      <c r="B7" s="1258"/>
      <c r="C7" s="1159" t="s">
        <v>1</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32" t="s">
        <v>297</v>
      </c>
      <c r="D10" s="32" t="s">
        <v>298</v>
      </c>
      <c r="E10" s="32" t="s">
        <v>299</v>
      </c>
      <c r="F10" s="9"/>
      <c r="G10" s="9" t="s">
        <v>6</v>
      </c>
      <c r="H10" s="9"/>
    </row>
    <row r="11" spans="2:8" ht="16" thickBot="1">
      <c r="B11" s="1" t="s">
        <v>137</v>
      </c>
      <c r="C11" s="9">
        <v>1</v>
      </c>
      <c r="D11" s="9">
        <v>1</v>
      </c>
      <c r="E11" s="9">
        <v>1</v>
      </c>
      <c r="F11" s="9"/>
      <c r="G11" s="9"/>
      <c r="H11" s="9"/>
    </row>
    <row r="12" spans="2:8" ht="28" thickBot="1">
      <c r="B12" s="1" t="s">
        <v>7</v>
      </c>
      <c r="C12" s="9" t="s">
        <v>175</v>
      </c>
      <c r="D12" s="9" t="s">
        <v>175</v>
      </c>
      <c r="E12" s="9" t="s">
        <v>175</v>
      </c>
      <c r="F12" s="9"/>
      <c r="G12" s="9" t="s">
        <v>16</v>
      </c>
      <c r="H12" s="9"/>
    </row>
    <row r="13" spans="2:8" ht="28" thickBot="1">
      <c r="B13" s="1" t="s">
        <v>8</v>
      </c>
      <c r="C13" s="9" t="s">
        <v>159</v>
      </c>
      <c r="D13" s="9" t="s">
        <v>159</v>
      </c>
      <c r="E13" s="9" t="s">
        <v>159</v>
      </c>
      <c r="F13" s="9"/>
      <c r="G13" s="9" t="s">
        <v>16</v>
      </c>
      <c r="H13" s="9"/>
    </row>
    <row r="14" spans="2:8" ht="16" thickBot="1">
      <c r="B14" s="1" t="s">
        <v>142</v>
      </c>
      <c r="C14" s="9">
        <v>12</v>
      </c>
      <c r="D14" s="9">
        <v>14</v>
      </c>
      <c r="E14" s="9">
        <v>16</v>
      </c>
      <c r="F14" s="9"/>
      <c r="G14" s="9"/>
      <c r="H14" s="9">
        <v>-4</v>
      </c>
    </row>
    <row r="15" spans="2:8" ht="16" thickBot="1">
      <c r="B15" s="1" t="s">
        <v>146</v>
      </c>
      <c r="C15" s="9" t="s">
        <v>63</v>
      </c>
      <c r="D15" s="9" t="s">
        <v>176</v>
      </c>
      <c r="E15" s="9" t="s">
        <v>169</v>
      </c>
      <c r="F15" s="9"/>
      <c r="G15" s="9"/>
      <c r="H15" s="9">
        <v>-4</v>
      </c>
    </row>
    <row r="16" spans="2:8" ht="16" thickBot="1">
      <c r="B16" s="1" t="s">
        <v>9</v>
      </c>
      <c r="C16" s="9" t="s">
        <v>177</v>
      </c>
      <c r="D16" s="9" t="s">
        <v>178</v>
      </c>
      <c r="E16" s="9" t="s">
        <v>179</v>
      </c>
      <c r="F16" s="9"/>
      <c r="G16" s="9"/>
      <c r="H16" s="9">
        <v>-4</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t="s">
        <v>180</v>
      </c>
      <c r="D20" s="27" t="s">
        <v>300</v>
      </c>
      <c r="E20" s="27" t="s">
        <v>300</v>
      </c>
      <c r="F20" s="2"/>
      <c r="G20" s="2" t="s">
        <v>59</v>
      </c>
      <c r="H20" s="2">
        <v>3</v>
      </c>
    </row>
    <row r="21" spans="2:8" ht="16" thickBot="1">
      <c r="B21" s="1" t="s">
        <v>17</v>
      </c>
      <c r="C21" s="35">
        <v>0</v>
      </c>
      <c r="D21" s="35">
        <v>0</v>
      </c>
      <c r="E21" s="35">
        <v>0</v>
      </c>
      <c r="F21" s="2"/>
      <c r="G21" s="2"/>
      <c r="H21" s="2">
        <v>3</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16</v>
      </c>
      <c r="H28" s="2"/>
    </row>
    <row r="29" spans="2:8" ht="16" thickBot="1">
      <c r="B29" s="1" t="s">
        <v>50</v>
      </c>
      <c r="C29" s="2" t="s">
        <v>68</v>
      </c>
      <c r="D29" s="2" t="s">
        <v>68</v>
      </c>
      <c r="E29" s="2" t="s">
        <v>68</v>
      </c>
      <c r="F29" s="2"/>
      <c r="G29" s="2"/>
      <c r="H29" s="2"/>
    </row>
    <row r="30" spans="2:8" ht="16" thickBot="1">
      <c r="B30" s="1" t="s">
        <v>31</v>
      </c>
      <c r="C30" s="2" t="s">
        <v>74</v>
      </c>
      <c r="D30" s="2" t="s">
        <v>74</v>
      </c>
      <c r="E30" s="2" t="s">
        <v>74</v>
      </c>
      <c r="F30" s="2"/>
      <c r="G30" s="2"/>
      <c r="H30" s="2">
        <v>3</v>
      </c>
    </row>
    <row r="34" spans="2:8" ht="16" thickBot="1"/>
    <row r="35" spans="2:8">
      <c r="B35" s="1257" t="s">
        <v>0</v>
      </c>
      <c r="C35" s="1259" t="s">
        <v>174</v>
      </c>
      <c r="D35" s="1260"/>
      <c r="E35" s="1260"/>
      <c r="F35" s="1260"/>
      <c r="G35" s="1260"/>
      <c r="H35" s="1261"/>
    </row>
    <row r="36" spans="2:8" ht="16" thickBot="1">
      <c r="B36" s="1258"/>
      <c r="C36" s="1159" t="s">
        <v>34</v>
      </c>
      <c r="D36" s="1160"/>
      <c r="E36" s="1160"/>
      <c r="F36" s="1160"/>
      <c r="G36" s="1160"/>
      <c r="H36" s="1161"/>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32" t="s">
        <v>297</v>
      </c>
      <c r="D39" s="32" t="s">
        <v>298</v>
      </c>
      <c r="E39" s="32" t="s">
        <v>299</v>
      </c>
      <c r="F39" s="9"/>
      <c r="G39" s="9" t="s">
        <v>6</v>
      </c>
      <c r="H39" s="9"/>
    </row>
    <row r="40" spans="2:8" ht="16" thickBot="1">
      <c r="B40" s="1" t="s">
        <v>137</v>
      </c>
      <c r="C40" s="9">
        <v>1</v>
      </c>
      <c r="D40" s="9">
        <v>1</v>
      </c>
      <c r="E40" s="9">
        <v>1</v>
      </c>
      <c r="F40" s="9"/>
      <c r="G40" s="9"/>
      <c r="H40" s="9"/>
    </row>
    <row r="41" spans="2:8" ht="28" thickBot="1">
      <c r="B41" s="1" t="s">
        <v>7</v>
      </c>
      <c r="C41" s="9" t="s">
        <v>181</v>
      </c>
      <c r="D41" s="9" t="s">
        <v>181</v>
      </c>
      <c r="E41" s="9" t="s">
        <v>181</v>
      </c>
      <c r="F41" s="9"/>
      <c r="G41" s="9" t="s">
        <v>16</v>
      </c>
      <c r="H41" s="9"/>
    </row>
    <row r="42" spans="2:8" ht="28" thickBot="1">
      <c r="B42" s="1" t="s">
        <v>8</v>
      </c>
      <c r="C42" s="9" t="s">
        <v>182</v>
      </c>
      <c r="D42" s="9" t="s">
        <v>182</v>
      </c>
      <c r="E42" s="9" t="s">
        <v>182</v>
      </c>
      <c r="F42" s="9"/>
      <c r="G42" s="9" t="s">
        <v>16</v>
      </c>
      <c r="H42" s="9"/>
    </row>
    <row r="43" spans="2:8" ht="16" thickBot="1">
      <c r="B43" s="1" t="s">
        <v>142</v>
      </c>
      <c r="C43" s="9">
        <v>12</v>
      </c>
      <c r="D43" s="9">
        <v>14</v>
      </c>
      <c r="E43" s="9">
        <v>16</v>
      </c>
      <c r="F43" s="9"/>
      <c r="G43" s="9"/>
      <c r="H43" s="9">
        <v>-4</v>
      </c>
    </row>
    <row r="44" spans="2:8" ht="16" thickBot="1">
      <c r="B44" s="1" t="s">
        <v>146</v>
      </c>
      <c r="C44" s="9" t="s">
        <v>63</v>
      </c>
      <c r="D44" s="9" t="s">
        <v>176</v>
      </c>
      <c r="E44" s="9" t="s">
        <v>169</v>
      </c>
      <c r="F44" s="9"/>
      <c r="G44" s="9"/>
      <c r="H44" s="9">
        <v>-4</v>
      </c>
    </row>
    <row r="45" spans="2:8" ht="16" thickBot="1">
      <c r="B45" s="1" t="s">
        <v>9</v>
      </c>
      <c r="C45" s="9" t="s">
        <v>177</v>
      </c>
      <c r="D45" s="9" t="s">
        <v>178</v>
      </c>
      <c r="E45" s="9" t="s">
        <v>179</v>
      </c>
      <c r="F45" s="9"/>
      <c r="G45" s="9"/>
      <c r="H45" s="9">
        <v>-4</v>
      </c>
    </row>
    <row r="46" spans="2:8" ht="16" thickBot="1">
      <c r="B46" s="1" t="s">
        <v>11</v>
      </c>
      <c r="C46" s="9">
        <v>15</v>
      </c>
      <c r="D46" s="9" t="s">
        <v>183</v>
      </c>
      <c r="E46" s="9" t="s">
        <v>183</v>
      </c>
      <c r="F46" s="9"/>
      <c r="G46" s="9" t="s">
        <v>20</v>
      </c>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180</v>
      </c>
      <c r="D49" s="27" t="s">
        <v>300</v>
      </c>
      <c r="E49" s="27" t="s">
        <v>300</v>
      </c>
      <c r="F49" s="2"/>
      <c r="G49" s="2" t="s">
        <v>59</v>
      </c>
      <c r="H49" s="2">
        <v>3</v>
      </c>
    </row>
    <row r="50" spans="2:8" ht="16" thickBot="1">
      <c r="B50" s="1" t="s">
        <v>17</v>
      </c>
      <c r="C50" s="2">
        <v>0</v>
      </c>
      <c r="D50" s="178">
        <v>0</v>
      </c>
      <c r="E50" s="178">
        <v>0</v>
      </c>
      <c r="F50" s="2"/>
      <c r="G50" s="2"/>
      <c r="H50" s="2">
        <v>3</v>
      </c>
    </row>
    <row r="51" spans="2:8" ht="16" thickBot="1">
      <c r="B51" s="1" t="s">
        <v>18</v>
      </c>
      <c r="C51" s="178">
        <v>0</v>
      </c>
      <c r="D51" s="178">
        <v>0</v>
      </c>
      <c r="E51" s="178">
        <v>0</v>
      </c>
      <c r="F51" s="2"/>
      <c r="G51" s="2"/>
      <c r="H51" s="2"/>
    </row>
    <row r="52" spans="2:8" ht="16" thickBot="1">
      <c r="B52" s="1" t="s">
        <v>19</v>
      </c>
      <c r="C52" s="178">
        <v>0</v>
      </c>
      <c r="D52" s="178">
        <v>0</v>
      </c>
      <c r="E52" s="178">
        <v>0</v>
      </c>
      <c r="F52" s="2"/>
      <c r="G52" s="2"/>
      <c r="H52" s="2"/>
    </row>
    <row r="53" spans="2:8" ht="16"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6" thickBot="1">
      <c r="B56" s="1" t="s">
        <v>28</v>
      </c>
      <c r="C56" s="2" t="s">
        <v>29</v>
      </c>
      <c r="D56" s="2">
        <v>30</v>
      </c>
      <c r="E56" s="2">
        <v>30</v>
      </c>
      <c r="F56" s="2"/>
      <c r="G56" s="2"/>
      <c r="H56" s="2"/>
    </row>
    <row r="57" spans="2:8" ht="28" thickBot="1">
      <c r="B57" s="1" t="s">
        <v>30</v>
      </c>
      <c r="C57" s="2" t="s">
        <v>157</v>
      </c>
      <c r="D57" s="2" t="s">
        <v>157</v>
      </c>
      <c r="E57" s="2" t="s">
        <v>157</v>
      </c>
      <c r="F57" s="2"/>
      <c r="G57" s="2" t="s">
        <v>16</v>
      </c>
      <c r="H57" s="2"/>
    </row>
    <row r="58" spans="2:8" ht="16" thickBot="1">
      <c r="B58" s="1" t="s">
        <v>50</v>
      </c>
      <c r="C58" s="2" t="s">
        <v>68</v>
      </c>
      <c r="D58" s="2" t="s">
        <v>68</v>
      </c>
      <c r="E58" s="2" t="s">
        <v>68</v>
      </c>
      <c r="F58" s="2"/>
      <c r="G58" s="2"/>
      <c r="H58" s="2"/>
    </row>
    <row r="59" spans="2:8" ht="16" thickBot="1">
      <c r="B59" s="1" t="s">
        <v>31</v>
      </c>
      <c r="C59" s="2" t="s">
        <v>74</v>
      </c>
      <c r="D59" s="2" t="s">
        <v>74</v>
      </c>
      <c r="E59" s="2" t="s">
        <v>74</v>
      </c>
      <c r="F59" s="2"/>
      <c r="G59" s="2"/>
      <c r="H59" s="2">
        <v>3</v>
      </c>
    </row>
    <row r="63" spans="2:8" ht="16" thickBot="1"/>
    <row r="64" spans="2:8">
      <c r="B64" s="1257" t="s">
        <v>0</v>
      </c>
      <c r="C64" s="1259" t="s">
        <v>184</v>
      </c>
      <c r="D64" s="1260"/>
      <c r="E64" s="1260"/>
      <c r="F64" s="1260"/>
      <c r="G64" s="1260"/>
      <c r="H64" s="1261"/>
    </row>
    <row r="65" spans="2:8" ht="15.75" customHeight="1" thickBot="1">
      <c r="B65" s="1258"/>
      <c r="C65" s="1317" t="s">
        <v>188</v>
      </c>
      <c r="D65" s="1318"/>
      <c r="E65" s="1318"/>
      <c r="F65" s="1318"/>
      <c r="G65" s="1318"/>
      <c r="H65" s="1319"/>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9">
        <v>15</v>
      </c>
      <c r="D68" s="9">
        <v>14</v>
      </c>
      <c r="E68" s="9">
        <v>13</v>
      </c>
      <c r="F68" s="9"/>
      <c r="G68" s="9" t="s">
        <v>185</v>
      </c>
      <c r="H68" s="9"/>
    </row>
    <row r="69" spans="2:8" ht="16" thickBot="1">
      <c r="B69" s="1" t="s">
        <v>137</v>
      </c>
      <c r="C69" s="9">
        <v>7</v>
      </c>
      <c r="D69" s="9">
        <v>7</v>
      </c>
      <c r="E69" s="9">
        <v>7</v>
      </c>
      <c r="F69" s="9"/>
      <c r="G69" s="9" t="s">
        <v>6</v>
      </c>
      <c r="H69" s="9"/>
    </row>
    <row r="70" spans="2:8" ht="28" thickBot="1">
      <c r="B70" s="1" t="s">
        <v>7</v>
      </c>
      <c r="C70" s="9" t="s">
        <v>175</v>
      </c>
      <c r="D70" s="9" t="s">
        <v>175</v>
      </c>
      <c r="E70" s="9" t="s">
        <v>175</v>
      </c>
      <c r="F70" s="9"/>
      <c r="G70" s="9" t="s">
        <v>45</v>
      </c>
      <c r="H70" s="9"/>
    </row>
    <row r="71" spans="2:8" ht="28" thickBot="1">
      <c r="B71" s="1" t="s">
        <v>8</v>
      </c>
      <c r="C71" s="9" t="s">
        <v>186</v>
      </c>
      <c r="D71" s="9" t="s">
        <v>186</v>
      </c>
      <c r="E71" s="9" t="s">
        <v>186</v>
      </c>
      <c r="F71" s="9"/>
      <c r="G71" s="9" t="s">
        <v>45</v>
      </c>
      <c r="H71" s="9"/>
    </row>
    <row r="72" spans="2:8" ht="16" thickBot="1">
      <c r="B72" s="1" t="s">
        <v>142</v>
      </c>
      <c r="C72" s="9">
        <v>25</v>
      </c>
      <c r="D72" s="9">
        <v>27</v>
      </c>
      <c r="E72" s="9">
        <v>30</v>
      </c>
      <c r="F72" s="9"/>
      <c r="G72" s="9"/>
      <c r="H72" s="9">
        <v>1</v>
      </c>
    </row>
    <row r="73" spans="2:8" ht="16" thickBot="1">
      <c r="B73" s="1" t="s">
        <v>146</v>
      </c>
      <c r="C73" s="9">
        <v>55</v>
      </c>
      <c r="D73" s="9">
        <v>55</v>
      </c>
      <c r="E73" s="9">
        <v>55</v>
      </c>
      <c r="F73" s="9"/>
      <c r="G73" s="9"/>
      <c r="H73" s="9">
        <v>1</v>
      </c>
    </row>
    <row r="74" spans="2:8" ht="16" thickBot="1">
      <c r="B74" s="1" t="s">
        <v>9</v>
      </c>
      <c r="C74" s="9">
        <v>80</v>
      </c>
      <c r="D74" s="9">
        <v>82</v>
      </c>
      <c r="E74" s="9">
        <v>85</v>
      </c>
      <c r="F74" s="9"/>
      <c r="G74" s="9"/>
      <c r="H74" s="9">
        <v>1</v>
      </c>
    </row>
    <row r="75" spans="2:8" ht="16" thickBot="1">
      <c r="B75" s="1" t="s">
        <v>11</v>
      </c>
      <c r="C75" s="9">
        <v>10</v>
      </c>
      <c r="D75" s="9" t="s">
        <v>153</v>
      </c>
      <c r="E75" s="9" t="s">
        <v>153</v>
      </c>
      <c r="F75" s="9"/>
      <c r="G75" s="9"/>
      <c r="H75" s="9"/>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20</v>
      </c>
      <c r="D78" s="27" t="s">
        <v>300</v>
      </c>
      <c r="E78" s="27" t="s">
        <v>300</v>
      </c>
      <c r="F78" s="2"/>
      <c r="G78" s="2"/>
      <c r="H78" s="2">
        <v>1</v>
      </c>
    </row>
    <row r="79" spans="2:8" ht="16" thickBot="1">
      <c r="B79" s="1" t="s">
        <v>17</v>
      </c>
      <c r="C79" s="35">
        <v>1</v>
      </c>
      <c r="D79" s="35">
        <v>1</v>
      </c>
      <c r="E79" s="35">
        <v>1</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6" thickBot="1">
      <c r="B85" s="1" t="s">
        <v>96</v>
      </c>
      <c r="C85" s="2" t="s">
        <v>116</v>
      </c>
      <c r="D85" s="2">
        <v>25</v>
      </c>
      <c r="E85" s="2">
        <v>25</v>
      </c>
      <c r="F85" s="2"/>
      <c r="G85" s="2"/>
      <c r="H85" s="2"/>
    </row>
    <row r="86" spans="2:8" ht="28" thickBot="1">
      <c r="B86" s="1" t="s">
        <v>113</v>
      </c>
      <c r="C86" s="2">
        <v>0.2</v>
      </c>
      <c r="D86" s="2">
        <v>0.2</v>
      </c>
      <c r="E86" s="2">
        <v>0.2</v>
      </c>
      <c r="F86" s="2"/>
      <c r="G86" s="2" t="s">
        <v>16</v>
      </c>
      <c r="H86" s="2"/>
    </row>
    <row r="87" spans="2:8" ht="16" thickBot="1">
      <c r="B87" s="1" t="s">
        <v>50</v>
      </c>
      <c r="C87" s="2" t="s">
        <v>68</v>
      </c>
      <c r="D87" s="2" t="s">
        <v>68</v>
      </c>
      <c r="E87" s="2" t="s">
        <v>68</v>
      </c>
      <c r="F87" s="2"/>
      <c r="G87" s="2"/>
      <c r="H87" s="2"/>
    </row>
    <row r="88" spans="2:8" ht="16"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baseColWidth="10" defaultColWidth="8.83203125" defaultRowHeight="15"/>
  <cols>
    <col min="2" max="2" width="36.83203125" customWidth="1"/>
  </cols>
  <sheetData>
    <row r="3" spans="2:8">
      <c r="B3" s="8" t="s">
        <v>322</v>
      </c>
    </row>
    <row r="5" spans="2:8" ht="16" thickBot="1"/>
    <row r="6" spans="2:8">
      <c r="B6" s="1257" t="s">
        <v>0</v>
      </c>
      <c r="C6" s="1259" t="s">
        <v>189</v>
      </c>
      <c r="D6" s="1260"/>
      <c r="E6" s="1260"/>
      <c r="F6" s="1260"/>
      <c r="G6" s="1260"/>
      <c r="H6" s="1261"/>
    </row>
    <row r="7" spans="2:8" ht="16" thickBot="1">
      <c r="B7" s="1258"/>
      <c r="C7" s="1159" t="s">
        <v>1</v>
      </c>
      <c r="D7" s="1160"/>
      <c r="E7" s="1160"/>
      <c r="F7" s="1160"/>
      <c r="G7" s="1160"/>
      <c r="H7" s="1161"/>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3.2</v>
      </c>
      <c r="D10" s="9">
        <v>3.2</v>
      </c>
      <c r="E10" s="9">
        <v>3.2</v>
      </c>
      <c r="F10" s="9"/>
      <c r="G10" s="9" t="s">
        <v>16</v>
      </c>
      <c r="H10" s="9">
        <v>2</v>
      </c>
    </row>
    <row r="11" spans="2:8" ht="16" thickBot="1">
      <c r="B11" s="1" t="s">
        <v>137</v>
      </c>
      <c r="C11" s="9">
        <v>1</v>
      </c>
      <c r="D11" s="9">
        <v>1</v>
      </c>
      <c r="E11" s="9">
        <v>1</v>
      </c>
      <c r="F11" s="9"/>
      <c r="G11" s="9"/>
      <c r="H11" s="9">
        <v>2</v>
      </c>
    </row>
    <row r="12" spans="2:8" ht="28" thickBot="1">
      <c r="B12" s="1" t="s">
        <v>7</v>
      </c>
      <c r="C12" s="9" t="s">
        <v>168</v>
      </c>
      <c r="D12" s="9" t="s">
        <v>190</v>
      </c>
      <c r="E12" s="9" t="s">
        <v>190</v>
      </c>
      <c r="F12" s="9"/>
      <c r="G12" s="9" t="s">
        <v>6</v>
      </c>
      <c r="H12" s="9"/>
    </row>
    <row r="13" spans="2:8" ht="28" thickBot="1">
      <c r="B13" s="1" t="s">
        <v>8</v>
      </c>
      <c r="C13" s="9" t="s">
        <v>191</v>
      </c>
      <c r="D13" s="9" t="s">
        <v>191</v>
      </c>
      <c r="E13" s="9" t="s">
        <v>192</v>
      </c>
      <c r="F13" s="9"/>
      <c r="G13" s="9" t="s">
        <v>6</v>
      </c>
      <c r="H13" s="9"/>
    </row>
    <row r="14" spans="2:8" ht="16" thickBot="1">
      <c r="B14" s="1" t="s">
        <v>142</v>
      </c>
      <c r="C14" s="9">
        <v>20</v>
      </c>
      <c r="D14" s="9">
        <v>22</v>
      </c>
      <c r="E14" s="9">
        <v>25</v>
      </c>
      <c r="F14" s="9"/>
      <c r="G14" s="9"/>
      <c r="H14" s="9">
        <v>2</v>
      </c>
    </row>
    <row r="15" spans="2:8" ht="16" thickBot="1">
      <c r="B15" s="1" t="s">
        <v>146</v>
      </c>
      <c r="C15" s="9">
        <v>65</v>
      </c>
      <c r="D15" s="9">
        <v>70</v>
      </c>
      <c r="E15" s="9" t="s">
        <v>193</v>
      </c>
      <c r="F15" s="9"/>
      <c r="G15" s="9"/>
      <c r="H15" s="9">
        <v>2</v>
      </c>
    </row>
    <row r="16" spans="2:8" ht="16" thickBot="1">
      <c r="B16" s="1" t="s">
        <v>9</v>
      </c>
      <c r="C16" s="9">
        <v>85</v>
      </c>
      <c r="D16" s="9">
        <v>92</v>
      </c>
      <c r="E16" s="9" t="s">
        <v>150</v>
      </c>
      <c r="F16" s="9"/>
      <c r="G16" s="9"/>
      <c r="H16" s="9">
        <v>2</v>
      </c>
    </row>
    <row r="17" spans="2:8" ht="16" thickBot="1">
      <c r="B17" s="1" t="s">
        <v>11</v>
      </c>
      <c r="C17" s="9">
        <v>10</v>
      </c>
      <c r="D17" s="9" t="s">
        <v>153</v>
      </c>
      <c r="E17" s="9" t="s">
        <v>153</v>
      </c>
      <c r="F17" s="9"/>
      <c r="G17" s="9"/>
      <c r="H17" s="9"/>
    </row>
    <row r="18" spans="2:8" ht="16" thickBot="1">
      <c r="B18" s="3" t="s">
        <v>12</v>
      </c>
      <c r="C18" s="4"/>
      <c r="D18" s="4"/>
      <c r="E18" s="4"/>
      <c r="F18" s="4"/>
      <c r="G18" s="4"/>
      <c r="H18" s="5"/>
    </row>
    <row r="19" spans="2:8" ht="16" thickBot="1">
      <c r="B19" s="1" t="s">
        <v>13</v>
      </c>
      <c r="C19" s="2">
        <v>0</v>
      </c>
      <c r="D19" s="2">
        <v>0</v>
      </c>
      <c r="E19" s="2">
        <v>0</v>
      </c>
      <c r="F19" s="2"/>
      <c r="G19" s="2"/>
      <c r="H19" s="2"/>
    </row>
    <row r="20" spans="2:8" ht="16" thickBot="1">
      <c r="B20" s="1" t="s">
        <v>15</v>
      </c>
      <c r="C20" s="2">
        <v>25</v>
      </c>
      <c r="D20" s="2">
        <v>15</v>
      </c>
      <c r="E20" s="2">
        <v>10</v>
      </c>
      <c r="F20" s="2"/>
      <c r="G20" s="2" t="s">
        <v>59</v>
      </c>
      <c r="H20" s="2">
        <v>1</v>
      </c>
    </row>
    <row r="21" spans="2:8" ht="16" thickBot="1">
      <c r="B21" s="1" t="s">
        <v>17</v>
      </c>
      <c r="C21" s="35">
        <v>5</v>
      </c>
      <c r="D21" s="35">
        <v>5</v>
      </c>
      <c r="E21" s="35">
        <v>5</v>
      </c>
      <c r="F21" s="2"/>
      <c r="G21" s="2"/>
      <c r="H21" s="2">
        <v>1</v>
      </c>
    </row>
    <row r="22" spans="2:8" ht="16" thickBot="1">
      <c r="B22" s="1" t="s">
        <v>18</v>
      </c>
      <c r="C22" s="35">
        <v>0</v>
      </c>
      <c r="D22" s="35">
        <v>0</v>
      </c>
      <c r="E22" s="35">
        <v>0</v>
      </c>
      <c r="F22" s="2"/>
      <c r="G22" s="2"/>
      <c r="H22" s="2"/>
    </row>
    <row r="23" spans="2:8" ht="16" thickBot="1">
      <c r="B23" s="1" t="s">
        <v>19</v>
      </c>
      <c r="C23" s="35">
        <v>0</v>
      </c>
      <c r="D23" s="35">
        <v>0</v>
      </c>
      <c r="E23" s="35">
        <v>0</v>
      </c>
      <c r="F23" s="2"/>
      <c r="G23" s="2"/>
      <c r="H23" s="2"/>
    </row>
    <row r="24" spans="2:8" ht="16"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6" thickBot="1">
      <c r="B27" s="1" t="s">
        <v>28</v>
      </c>
      <c r="C27" s="2" t="s">
        <v>29</v>
      </c>
      <c r="D27" s="2">
        <v>30</v>
      </c>
      <c r="E27" s="2">
        <v>30</v>
      </c>
      <c r="F27" s="2"/>
      <c r="G27" s="2"/>
      <c r="H27" s="2"/>
    </row>
    <row r="28" spans="2:8" ht="28" thickBot="1">
      <c r="B28" s="1" t="s">
        <v>30</v>
      </c>
      <c r="C28" s="2" t="s">
        <v>157</v>
      </c>
      <c r="D28" s="2" t="s">
        <v>157</v>
      </c>
      <c r="E28" s="2" t="s">
        <v>157</v>
      </c>
      <c r="F28" s="2"/>
      <c r="G28" s="2" t="s">
        <v>6</v>
      </c>
      <c r="H28" s="2"/>
    </row>
    <row r="29" spans="2:8" ht="16" thickBot="1">
      <c r="B29" s="1" t="s">
        <v>50</v>
      </c>
      <c r="C29" s="2" t="s">
        <v>68</v>
      </c>
      <c r="D29" s="2" t="s">
        <v>68</v>
      </c>
      <c r="E29" s="2" t="s">
        <v>68</v>
      </c>
      <c r="F29" s="2"/>
      <c r="G29" s="2"/>
      <c r="H29" s="2"/>
    </row>
    <row r="30" spans="2:8" ht="16" thickBot="1">
      <c r="B30" s="1" t="s">
        <v>31</v>
      </c>
      <c r="C30" s="2" t="s">
        <v>194</v>
      </c>
      <c r="D30" s="2" t="s">
        <v>194</v>
      </c>
      <c r="E30" s="2" t="s">
        <v>194</v>
      </c>
      <c r="F30" s="2"/>
      <c r="G30" s="2"/>
      <c r="H30" s="2">
        <v>3</v>
      </c>
    </row>
    <row r="34" spans="2:8" ht="16" thickBot="1"/>
    <row r="35" spans="2:8">
      <c r="B35" s="1257" t="s">
        <v>0</v>
      </c>
      <c r="C35" s="1259" t="s">
        <v>195</v>
      </c>
      <c r="D35" s="1260"/>
      <c r="E35" s="1260"/>
      <c r="F35" s="1260"/>
      <c r="G35" s="1260"/>
      <c r="H35" s="1261"/>
    </row>
    <row r="36" spans="2:8" ht="16" thickBot="1">
      <c r="B36" s="1258"/>
      <c r="C36" s="1159" t="s">
        <v>32</v>
      </c>
      <c r="D36" s="1160"/>
      <c r="E36" s="1160"/>
      <c r="F36" s="1160"/>
      <c r="G36" s="1160"/>
      <c r="H36" s="1161"/>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9" t="s">
        <v>196</v>
      </c>
      <c r="D39" s="9" t="s">
        <v>196</v>
      </c>
      <c r="E39" s="9" t="s">
        <v>196</v>
      </c>
      <c r="F39" s="9"/>
      <c r="G39" s="9"/>
      <c r="H39" s="9">
        <v>1</v>
      </c>
    </row>
    <row r="40" spans="2:8" ht="16" thickBot="1">
      <c r="B40" s="1" t="s">
        <v>137</v>
      </c>
      <c r="C40" s="9" t="s">
        <v>197</v>
      </c>
      <c r="D40" s="9" t="s">
        <v>198</v>
      </c>
      <c r="E40" s="9" t="s">
        <v>199</v>
      </c>
      <c r="F40" s="9"/>
      <c r="G40" s="9"/>
      <c r="H40" s="9">
        <v>1</v>
      </c>
    </row>
    <row r="41" spans="2:8" ht="28" thickBot="1">
      <c r="B41" s="1" t="s">
        <v>7</v>
      </c>
      <c r="C41" s="9" t="s">
        <v>200</v>
      </c>
      <c r="D41" s="9" t="s">
        <v>200</v>
      </c>
      <c r="E41" s="9" t="s">
        <v>200</v>
      </c>
      <c r="F41" s="9"/>
      <c r="G41" s="9" t="s">
        <v>6</v>
      </c>
      <c r="H41" s="9">
        <v>3</v>
      </c>
    </row>
    <row r="42" spans="2:8" ht="28" thickBot="1">
      <c r="B42" s="1" t="s">
        <v>8</v>
      </c>
      <c r="C42" s="9" t="s">
        <v>159</v>
      </c>
      <c r="D42" s="9" t="s">
        <v>159</v>
      </c>
      <c r="E42" s="9" t="s">
        <v>159</v>
      </c>
      <c r="F42" s="9"/>
      <c r="G42" s="9" t="s">
        <v>6</v>
      </c>
      <c r="H42" s="9"/>
    </row>
    <row r="43" spans="2:8" ht="16" thickBot="1">
      <c r="B43" s="1" t="s">
        <v>142</v>
      </c>
      <c r="C43" s="9" t="s">
        <v>201</v>
      </c>
      <c r="D43" s="9" t="s">
        <v>202</v>
      </c>
      <c r="E43" s="9" t="s">
        <v>203</v>
      </c>
      <c r="F43" s="9"/>
      <c r="G43" s="9"/>
      <c r="H43" s="9">
        <v>-1</v>
      </c>
    </row>
    <row r="44" spans="2:8" ht="16" thickBot="1">
      <c r="B44" s="1" t="s">
        <v>146</v>
      </c>
      <c r="C44" s="9" t="s">
        <v>204</v>
      </c>
      <c r="D44" s="9" t="s">
        <v>205</v>
      </c>
      <c r="E44" s="9" t="s">
        <v>206</v>
      </c>
      <c r="F44" s="9"/>
      <c r="G44" s="9"/>
      <c r="H44" s="9">
        <v>-1</v>
      </c>
    </row>
    <row r="45" spans="2:8" ht="16" thickBot="1">
      <c r="B45" s="1" t="s">
        <v>9</v>
      </c>
      <c r="C45" s="9" t="s">
        <v>207</v>
      </c>
      <c r="D45" s="9" t="s">
        <v>208</v>
      </c>
      <c r="E45" s="9" t="s">
        <v>209</v>
      </c>
      <c r="F45" s="9"/>
      <c r="G45" s="9"/>
      <c r="H45" s="9">
        <v>-1</v>
      </c>
    </row>
    <row r="46" spans="2:8" ht="16" thickBot="1">
      <c r="B46" s="1" t="s">
        <v>11</v>
      </c>
      <c r="C46" s="25" t="s">
        <v>303</v>
      </c>
      <c r="D46" s="25" t="s">
        <v>303</v>
      </c>
      <c r="E46" s="25" t="s">
        <v>303</v>
      </c>
      <c r="F46" s="9"/>
      <c r="G46" s="9"/>
      <c r="H46" s="9"/>
    </row>
    <row r="47" spans="2:8" ht="16" thickBot="1">
      <c r="B47" s="3" t="s">
        <v>12</v>
      </c>
      <c r="C47" s="4"/>
      <c r="D47" s="4"/>
      <c r="E47" s="4"/>
      <c r="F47" s="4"/>
      <c r="G47" s="4"/>
      <c r="H47" s="5"/>
    </row>
    <row r="48" spans="2:8" ht="16" thickBot="1">
      <c r="B48" s="1" t="s">
        <v>13</v>
      </c>
      <c r="C48" s="2">
        <v>0</v>
      </c>
      <c r="D48" s="2">
        <v>0</v>
      </c>
      <c r="E48" s="2">
        <v>0</v>
      </c>
      <c r="F48" s="2"/>
      <c r="G48" s="2"/>
      <c r="H48" s="2"/>
    </row>
    <row r="49" spans="2:8" ht="16" thickBot="1">
      <c r="B49" s="1" t="s">
        <v>15</v>
      </c>
      <c r="C49" s="2" t="s">
        <v>210</v>
      </c>
      <c r="D49" s="11">
        <v>29495</v>
      </c>
      <c r="E49" s="11">
        <v>18537</v>
      </c>
      <c r="F49" s="2"/>
      <c r="G49" s="2"/>
      <c r="H49" s="2"/>
    </row>
    <row r="50" spans="2:8" ht="16" thickBot="1">
      <c r="B50" s="1" t="s">
        <v>17</v>
      </c>
      <c r="C50" s="2" t="s">
        <v>211</v>
      </c>
      <c r="D50" s="2" t="s">
        <v>212</v>
      </c>
      <c r="E50" s="2" t="s">
        <v>213</v>
      </c>
      <c r="F50" s="2"/>
      <c r="G50" s="2"/>
      <c r="H50" s="2">
        <v>2</v>
      </c>
    </row>
    <row r="51" spans="2:8" ht="16" thickBot="1">
      <c r="B51" s="1" t="s">
        <v>18</v>
      </c>
      <c r="C51" s="2" t="s">
        <v>214</v>
      </c>
      <c r="D51" s="2" t="s">
        <v>215</v>
      </c>
      <c r="E51" s="2" t="s">
        <v>215</v>
      </c>
      <c r="F51" s="2"/>
      <c r="G51" s="2"/>
      <c r="H51" s="2">
        <v>2</v>
      </c>
    </row>
    <row r="52" spans="2:8" ht="16" thickBot="1">
      <c r="B52" s="1" t="s">
        <v>19</v>
      </c>
      <c r="C52" s="35">
        <v>0</v>
      </c>
      <c r="D52" s="35">
        <v>0</v>
      </c>
      <c r="E52" s="35">
        <v>0</v>
      </c>
      <c r="F52" s="2"/>
      <c r="G52" s="2"/>
      <c r="H52" s="2">
        <v>2</v>
      </c>
    </row>
    <row r="53" spans="2:8" ht="16"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6" thickBot="1">
      <c r="B56" s="1" t="s">
        <v>28</v>
      </c>
      <c r="C56" s="2" t="s">
        <v>218</v>
      </c>
      <c r="D56" s="2" t="s">
        <v>218</v>
      </c>
      <c r="E56" s="2" t="s">
        <v>218</v>
      </c>
      <c r="F56" s="2"/>
      <c r="G56" s="2"/>
      <c r="H56" s="2"/>
    </row>
    <row r="57" spans="2:8" ht="28" thickBot="1">
      <c r="B57" s="1" t="s">
        <v>113</v>
      </c>
      <c r="C57" s="2">
        <v>0.2</v>
      </c>
      <c r="D57" s="2">
        <v>0.2</v>
      </c>
      <c r="E57" s="2">
        <v>0.2</v>
      </c>
      <c r="F57" s="2"/>
      <c r="G57" s="2" t="s">
        <v>6</v>
      </c>
      <c r="H57" s="2"/>
    </row>
    <row r="58" spans="2:8" ht="16" thickBot="1">
      <c r="B58" s="1" t="s">
        <v>50</v>
      </c>
      <c r="C58" s="2" t="s">
        <v>68</v>
      </c>
      <c r="D58" s="2" t="s">
        <v>68</v>
      </c>
      <c r="E58" s="2" t="s">
        <v>68</v>
      </c>
      <c r="F58" s="2"/>
      <c r="G58" s="2"/>
      <c r="H58" s="2"/>
    </row>
    <row r="59" spans="2:8" ht="16" thickBot="1">
      <c r="B59" s="1" t="s">
        <v>31</v>
      </c>
      <c r="C59" s="2" t="s">
        <v>219</v>
      </c>
      <c r="D59" s="2" t="s">
        <v>219</v>
      </c>
      <c r="E59" s="2" t="s">
        <v>219</v>
      </c>
      <c r="F59" s="2"/>
      <c r="G59" s="2" t="s">
        <v>59</v>
      </c>
      <c r="H59" s="2">
        <v>4</v>
      </c>
    </row>
    <row r="63" spans="2:8" ht="16" thickBot="1"/>
    <row r="64" spans="2:8">
      <c r="B64" s="1257" t="s">
        <v>0</v>
      </c>
      <c r="C64" s="1259" t="s">
        <v>189</v>
      </c>
      <c r="D64" s="1260"/>
      <c r="E64" s="1260"/>
      <c r="F64" s="1260"/>
      <c r="G64" s="1260"/>
      <c r="H64" s="1261"/>
    </row>
    <row r="65" spans="2:8" ht="16" thickBot="1">
      <c r="B65" s="1258"/>
      <c r="C65" s="1159" t="s">
        <v>34</v>
      </c>
      <c r="D65" s="1160"/>
      <c r="E65" s="1160"/>
      <c r="F65" s="1160"/>
      <c r="G65" s="1160"/>
      <c r="H65" s="1161"/>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2">
        <v>3.2</v>
      </c>
      <c r="D68" s="2">
        <v>3.2</v>
      </c>
      <c r="E68" s="2">
        <v>3</v>
      </c>
      <c r="F68" s="2"/>
      <c r="G68" s="2" t="s">
        <v>16</v>
      </c>
      <c r="H68" s="2">
        <v>2</v>
      </c>
    </row>
    <row r="69" spans="2:8" ht="16" thickBot="1">
      <c r="B69" s="1" t="s">
        <v>137</v>
      </c>
      <c r="C69" s="2">
        <v>1</v>
      </c>
      <c r="D69" s="2">
        <v>1</v>
      </c>
      <c r="E69" s="2">
        <v>1</v>
      </c>
      <c r="F69" s="2"/>
      <c r="G69" s="2"/>
      <c r="H69" s="2">
        <v>2</v>
      </c>
    </row>
    <row r="70" spans="2:8" ht="28" thickBot="1">
      <c r="B70" s="1" t="s">
        <v>7</v>
      </c>
      <c r="C70" s="2" t="s">
        <v>175</v>
      </c>
      <c r="D70" s="2" t="s">
        <v>220</v>
      </c>
      <c r="E70" s="2" t="s">
        <v>181</v>
      </c>
      <c r="F70" s="2"/>
      <c r="G70" s="2" t="s">
        <v>6</v>
      </c>
      <c r="H70" s="2"/>
    </row>
    <row r="71" spans="2:8" ht="28" thickBot="1">
      <c r="B71" s="1" t="s">
        <v>8</v>
      </c>
      <c r="C71" s="2" t="s">
        <v>221</v>
      </c>
      <c r="D71" s="2" t="s">
        <v>222</v>
      </c>
      <c r="E71" s="2" t="s">
        <v>139</v>
      </c>
      <c r="F71" s="2"/>
      <c r="G71" s="2" t="s">
        <v>6</v>
      </c>
      <c r="H71" s="2"/>
    </row>
    <row r="72" spans="2:8" ht="16" thickBot="1">
      <c r="B72" s="1" t="s">
        <v>142</v>
      </c>
      <c r="C72" s="2">
        <v>20</v>
      </c>
      <c r="D72" s="2">
        <v>22</v>
      </c>
      <c r="E72" s="2">
        <v>25</v>
      </c>
      <c r="F72" s="2"/>
      <c r="G72" s="2"/>
      <c r="H72" s="2"/>
    </row>
    <row r="73" spans="2:8" ht="16" thickBot="1">
      <c r="B73" s="1" t="s">
        <v>146</v>
      </c>
      <c r="C73" s="2">
        <v>65</v>
      </c>
      <c r="D73" s="2">
        <v>70</v>
      </c>
      <c r="E73" s="2" t="s">
        <v>193</v>
      </c>
      <c r="F73" s="2"/>
      <c r="G73" s="2"/>
      <c r="H73" s="2">
        <v>2</v>
      </c>
    </row>
    <row r="74" spans="2:8" ht="16" thickBot="1">
      <c r="B74" s="1" t="s">
        <v>223</v>
      </c>
      <c r="C74" s="2">
        <v>85</v>
      </c>
      <c r="D74" s="2">
        <v>92</v>
      </c>
      <c r="E74" s="2" t="s">
        <v>150</v>
      </c>
      <c r="F74" s="2"/>
      <c r="G74" s="2"/>
      <c r="H74" s="2">
        <v>2</v>
      </c>
    </row>
    <row r="75" spans="2:8" ht="16" thickBot="1">
      <c r="B75" s="1" t="s">
        <v>11</v>
      </c>
      <c r="C75" s="2">
        <v>10</v>
      </c>
      <c r="D75" s="2" t="s">
        <v>153</v>
      </c>
      <c r="E75" s="2" t="s">
        <v>153</v>
      </c>
      <c r="F75" s="2"/>
      <c r="G75" s="2"/>
      <c r="H75" s="2"/>
    </row>
    <row r="76" spans="2:8" ht="16" thickBot="1">
      <c r="B76" s="3" t="s">
        <v>12</v>
      </c>
      <c r="C76" s="4"/>
      <c r="D76" s="4"/>
      <c r="E76" s="4"/>
      <c r="F76" s="4"/>
      <c r="G76" s="4"/>
      <c r="H76" s="5"/>
    </row>
    <row r="77" spans="2:8" ht="16" thickBot="1">
      <c r="B77" s="1" t="s">
        <v>13</v>
      </c>
      <c r="C77" s="2">
        <v>0</v>
      </c>
      <c r="D77" s="2">
        <v>0</v>
      </c>
      <c r="E77" s="2">
        <v>0</v>
      </c>
      <c r="F77" s="2"/>
      <c r="G77" s="2"/>
      <c r="H77" s="2"/>
    </row>
    <row r="78" spans="2:8" ht="16" thickBot="1">
      <c r="B78" s="1" t="s">
        <v>15</v>
      </c>
      <c r="C78" s="2">
        <v>25</v>
      </c>
      <c r="D78" s="2">
        <v>15</v>
      </c>
      <c r="E78" s="2">
        <v>10</v>
      </c>
      <c r="F78" s="2"/>
      <c r="G78" s="2" t="s">
        <v>59</v>
      </c>
      <c r="H78" s="2">
        <v>1</v>
      </c>
    </row>
    <row r="79" spans="2:8" ht="16" thickBot="1">
      <c r="B79" s="1" t="s">
        <v>17</v>
      </c>
      <c r="C79" s="35">
        <v>5</v>
      </c>
      <c r="D79" s="35">
        <v>5</v>
      </c>
      <c r="E79" s="35">
        <v>5</v>
      </c>
      <c r="F79" s="2"/>
      <c r="G79" s="2"/>
      <c r="H79" s="2">
        <v>1</v>
      </c>
    </row>
    <row r="80" spans="2:8" ht="16" thickBot="1">
      <c r="B80" s="1" t="s">
        <v>18</v>
      </c>
      <c r="C80" s="35">
        <v>0</v>
      </c>
      <c r="D80" s="35">
        <v>0</v>
      </c>
      <c r="E80" s="35">
        <v>0</v>
      </c>
      <c r="F80" s="2"/>
      <c r="G80" s="2"/>
      <c r="H80" s="2"/>
    </row>
    <row r="81" spans="2:8" ht="16" thickBot="1">
      <c r="B81" s="1" t="s">
        <v>19</v>
      </c>
      <c r="C81" s="35">
        <v>0</v>
      </c>
      <c r="D81" s="35">
        <v>0</v>
      </c>
      <c r="E81" s="35">
        <v>0</v>
      </c>
      <c r="F81" s="2"/>
      <c r="G81" s="2"/>
      <c r="H81" s="2"/>
    </row>
    <row r="82" spans="2:8" ht="16"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6" thickBot="1">
      <c r="B85" s="1" t="s">
        <v>28</v>
      </c>
      <c r="C85" s="2" t="s">
        <v>29</v>
      </c>
      <c r="D85" s="2">
        <v>30</v>
      </c>
      <c r="E85" s="2">
        <v>30</v>
      </c>
      <c r="F85" s="2"/>
      <c r="G85" s="2"/>
      <c r="H85" s="2"/>
    </row>
    <row r="86" spans="2:8" ht="28" thickBot="1">
      <c r="B86" s="1" t="s">
        <v>30</v>
      </c>
      <c r="C86" s="2" t="s">
        <v>157</v>
      </c>
      <c r="D86" s="2" t="s">
        <v>157</v>
      </c>
      <c r="E86" s="2" t="s">
        <v>157</v>
      </c>
      <c r="F86" s="2"/>
      <c r="G86" s="2" t="s">
        <v>6</v>
      </c>
      <c r="H86" s="2"/>
    </row>
    <row r="87" spans="2:8" ht="16" thickBot="1">
      <c r="B87" s="1" t="s">
        <v>50</v>
      </c>
      <c r="C87" s="2" t="s">
        <v>68</v>
      </c>
      <c r="D87" s="2" t="s">
        <v>68</v>
      </c>
      <c r="E87" s="2" t="s">
        <v>68</v>
      </c>
      <c r="F87" s="2"/>
      <c r="G87" s="2"/>
      <c r="H87" s="2"/>
    </row>
    <row r="88" spans="2:8" ht="16" thickBot="1">
      <c r="B88" s="1" t="s">
        <v>31</v>
      </c>
      <c r="C88" s="2" t="s">
        <v>194</v>
      </c>
      <c r="D88" s="2" t="s">
        <v>194</v>
      </c>
      <c r="E88" s="2" t="s">
        <v>194</v>
      </c>
      <c r="F88" s="2"/>
      <c r="G88" s="2"/>
      <c r="H88" s="2">
        <v>3</v>
      </c>
    </row>
    <row r="92" spans="2:8" ht="16" thickBot="1"/>
    <row r="93" spans="2:8">
      <c r="B93" s="1257" t="s">
        <v>0</v>
      </c>
      <c r="C93" s="1259" t="s">
        <v>195</v>
      </c>
      <c r="D93" s="1260"/>
      <c r="E93" s="1260"/>
      <c r="F93" s="1260"/>
      <c r="G93" s="1260"/>
      <c r="H93" s="1261"/>
    </row>
    <row r="94" spans="2:8" ht="16" thickBot="1">
      <c r="B94" s="1258"/>
      <c r="C94" s="1159" t="s">
        <v>35</v>
      </c>
      <c r="D94" s="1160"/>
      <c r="E94" s="1160"/>
      <c r="F94" s="1160"/>
      <c r="G94" s="1160"/>
      <c r="H94" s="1161"/>
    </row>
    <row r="95" spans="2:8" ht="16" thickBot="1">
      <c r="B95" s="1"/>
      <c r="C95" s="2">
        <v>2015</v>
      </c>
      <c r="D95" s="2">
        <v>2020</v>
      </c>
      <c r="E95" s="2">
        <v>2030</v>
      </c>
      <c r="F95" s="2">
        <v>2050</v>
      </c>
      <c r="G95" s="2" t="s">
        <v>2</v>
      </c>
      <c r="H95" s="2" t="s">
        <v>3</v>
      </c>
    </row>
    <row r="96" spans="2:8" ht="16" thickBot="1">
      <c r="B96" s="3" t="s">
        <v>4</v>
      </c>
      <c r="C96" s="4"/>
      <c r="D96" s="4"/>
      <c r="E96" s="4"/>
      <c r="F96" s="4"/>
      <c r="G96" s="4"/>
      <c r="H96" s="5"/>
    </row>
    <row r="97" spans="2:8" ht="16" thickBot="1">
      <c r="B97" s="1" t="s">
        <v>5</v>
      </c>
      <c r="C97" s="2" t="s">
        <v>224</v>
      </c>
      <c r="D97" s="2" t="s">
        <v>224</v>
      </c>
      <c r="E97" s="2" t="s">
        <v>224</v>
      </c>
      <c r="F97" s="2"/>
      <c r="G97" s="2"/>
      <c r="H97" s="2">
        <v>1</v>
      </c>
    </row>
    <row r="98" spans="2:8" ht="16" thickBot="1">
      <c r="B98" s="1" t="s">
        <v>137</v>
      </c>
      <c r="C98" s="2" t="s">
        <v>225</v>
      </c>
      <c r="D98" s="2" t="s">
        <v>226</v>
      </c>
      <c r="E98" s="2" t="s">
        <v>227</v>
      </c>
      <c r="F98" s="2"/>
      <c r="G98" s="2"/>
      <c r="H98" s="2">
        <v>1</v>
      </c>
    </row>
    <row r="99" spans="2:8" ht="28" thickBot="1">
      <c r="B99" s="1" t="s">
        <v>7</v>
      </c>
      <c r="C99" s="2" t="s">
        <v>169</v>
      </c>
      <c r="D99" s="2" t="s">
        <v>169</v>
      </c>
      <c r="E99" s="2" t="s">
        <v>169</v>
      </c>
      <c r="F99" s="2"/>
      <c r="G99" s="2" t="s">
        <v>6</v>
      </c>
      <c r="H99" s="2"/>
    </row>
    <row r="100" spans="2:8" ht="28" thickBot="1">
      <c r="B100" s="1" t="s">
        <v>8</v>
      </c>
      <c r="C100" s="2" t="s">
        <v>159</v>
      </c>
      <c r="D100" s="2" t="s">
        <v>159</v>
      </c>
      <c r="E100" s="2" t="s">
        <v>159</v>
      </c>
      <c r="F100" s="2"/>
      <c r="G100" s="2" t="s">
        <v>6</v>
      </c>
      <c r="H100" s="2"/>
    </row>
    <row r="101" spans="2:8" ht="16" thickBot="1">
      <c r="B101" s="1" t="s">
        <v>142</v>
      </c>
      <c r="C101" s="2" t="s">
        <v>228</v>
      </c>
      <c r="D101" s="2" t="s">
        <v>229</v>
      </c>
      <c r="E101" s="2" t="s">
        <v>230</v>
      </c>
      <c r="F101" s="2"/>
      <c r="G101" s="2"/>
      <c r="H101" s="2">
        <v>-1</v>
      </c>
    </row>
    <row r="102" spans="2:8" ht="16" thickBot="1">
      <c r="B102" s="1" t="s">
        <v>146</v>
      </c>
      <c r="C102" s="2" t="s">
        <v>231</v>
      </c>
      <c r="D102" s="2" t="s">
        <v>232</v>
      </c>
      <c r="E102" s="2" t="s">
        <v>233</v>
      </c>
      <c r="F102" s="2"/>
      <c r="G102" s="2"/>
      <c r="H102" s="2">
        <v>-1</v>
      </c>
    </row>
    <row r="103" spans="2:8" ht="16" thickBot="1">
      <c r="B103" s="1" t="s">
        <v>9</v>
      </c>
      <c r="C103" s="2" t="s">
        <v>234</v>
      </c>
      <c r="D103" s="2" t="s">
        <v>235</v>
      </c>
      <c r="E103" s="2" t="s">
        <v>236</v>
      </c>
      <c r="F103" s="2"/>
      <c r="G103" s="2"/>
      <c r="H103" s="2">
        <v>-1</v>
      </c>
    </row>
    <row r="104" spans="2:8" ht="16" thickBot="1">
      <c r="B104" s="1" t="s">
        <v>11</v>
      </c>
      <c r="C104" s="27" t="s">
        <v>303</v>
      </c>
      <c r="D104" s="27" t="s">
        <v>303</v>
      </c>
      <c r="E104" s="27" t="s">
        <v>303</v>
      </c>
      <c r="F104" s="2"/>
      <c r="G104" s="2"/>
      <c r="H104" s="2"/>
    </row>
    <row r="105" spans="2:8" ht="16" thickBot="1">
      <c r="B105" s="3" t="s">
        <v>12</v>
      </c>
      <c r="C105" s="4"/>
      <c r="D105" s="4"/>
      <c r="E105" s="4"/>
      <c r="F105" s="4"/>
      <c r="G105" s="4"/>
      <c r="H105" s="5"/>
    </row>
    <row r="106" spans="2:8" ht="16" thickBot="1">
      <c r="B106" s="1" t="s">
        <v>13</v>
      </c>
      <c r="C106" s="2">
        <v>0</v>
      </c>
      <c r="D106" s="2">
        <v>0</v>
      </c>
      <c r="E106" s="2">
        <v>0</v>
      </c>
      <c r="F106" s="2"/>
      <c r="G106" s="2"/>
      <c r="H106" s="2"/>
    </row>
    <row r="107" spans="2:8" ht="16" thickBot="1">
      <c r="B107" s="1" t="s">
        <v>15</v>
      </c>
      <c r="C107" s="2" t="s">
        <v>210</v>
      </c>
      <c r="D107" s="27" t="s">
        <v>304</v>
      </c>
      <c r="E107" s="27" t="s">
        <v>305</v>
      </c>
      <c r="F107" s="2"/>
      <c r="G107" s="2"/>
      <c r="H107" s="2">
        <v>1</v>
      </c>
    </row>
    <row r="108" spans="2:8" ht="16" thickBot="1">
      <c r="B108" s="1" t="s">
        <v>17</v>
      </c>
      <c r="C108" s="2" t="s">
        <v>211</v>
      </c>
      <c r="D108" s="2" t="s">
        <v>212</v>
      </c>
      <c r="E108" s="2" t="s">
        <v>213</v>
      </c>
      <c r="F108" s="2"/>
      <c r="G108" s="2"/>
      <c r="H108" s="2">
        <v>2</v>
      </c>
    </row>
    <row r="109" spans="2:8" ht="16" thickBot="1">
      <c r="B109" s="1" t="s">
        <v>18</v>
      </c>
      <c r="C109" s="2" t="s">
        <v>214</v>
      </c>
      <c r="D109" s="2" t="s">
        <v>215</v>
      </c>
      <c r="E109" s="2" t="s">
        <v>215</v>
      </c>
      <c r="F109" s="2"/>
      <c r="G109" s="2"/>
      <c r="H109" s="2">
        <v>2</v>
      </c>
    </row>
    <row r="110" spans="2:8" ht="16" thickBot="1">
      <c r="B110" s="1" t="s">
        <v>19</v>
      </c>
      <c r="C110" s="35">
        <v>0</v>
      </c>
      <c r="D110" s="35">
        <v>0</v>
      </c>
      <c r="E110" s="35">
        <v>0</v>
      </c>
      <c r="F110" s="2"/>
      <c r="G110" s="2"/>
      <c r="H110" s="2">
        <v>2</v>
      </c>
    </row>
    <row r="111" spans="2:8" ht="16"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6" thickBot="1">
      <c r="B114" s="1" t="s">
        <v>28</v>
      </c>
      <c r="C114" s="2" t="s">
        <v>29</v>
      </c>
      <c r="D114" s="2">
        <v>30</v>
      </c>
      <c r="E114" s="2">
        <v>30</v>
      </c>
      <c r="F114" s="2"/>
      <c r="G114" s="2"/>
      <c r="H114" s="2"/>
    </row>
    <row r="115" spans="2:8" ht="28" thickBot="1">
      <c r="B115" s="1" t="s">
        <v>113</v>
      </c>
      <c r="C115" s="2">
        <v>0.2</v>
      </c>
      <c r="D115" s="2">
        <v>0.2</v>
      </c>
      <c r="E115" s="2">
        <v>0.2</v>
      </c>
      <c r="F115" s="2"/>
      <c r="G115" s="2" t="s">
        <v>6</v>
      </c>
      <c r="H115" s="2"/>
    </row>
    <row r="116" spans="2:8" ht="16" thickBot="1">
      <c r="B116" s="1" t="s">
        <v>50</v>
      </c>
      <c r="C116" s="2" t="s">
        <v>68</v>
      </c>
      <c r="D116" s="2" t="s">
        <v>68</v>
      </c>
      <c r="E116" s="2" t="s">
        <v>68</v>
      </c>
      <c r="F116" s="2"/>
      <c r="G116" s="2"/>
      <c r="H116" s="2"/>
    </row>
    <row r="117" spans="2:8" ht="16" thickBot="1">
      <c r="B117" s="1" t="s">
        <v>31</v>
      </c>
      <c r="C117" s="2" t="s">
        <v>219</v>
      </c>
      <c r="D117" s="2" t="s">
        <v>219</v>
      </c>
      <c r="E117" s="2" t="s">
        <v>219</v>
      </c>
      <c r="F117" s="2"/>
      <c r="G117" s="2" t="s">
        <v>59</v>
      </c>
      <c r="H117" s="2">
        <v>3</v>
      </c>
    </row>
  </sheetData>
  <mergeCells count="12">
    <mergeCell ref="B64:B65"/>
    <mergeCell ref="C64:H64"/>
    <mergeCell ref="C65:H65"/>
    <mergeCell ref="B93:B94"/>
    <mergeCell ref="C93:H93"/>
    <mergeCell ref="C94:H94"/>
    <mergeCell ref="B6:B7"/>
    <mergeCell ref="C6:H6"/>
    <mergeCell ref="C7:H7"/>
    <mergeCell ref="B35:B36"/>
    <mergeCell ref="C35:H35"/>
    <mergeCell ref="C36:H36"/>
  </mergeCell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FD97-A13A-4F61-AE74-4DF246F3970E}">
  <sheetPr>
    <tabColor rgb="FF00B0F0"/>
  </sheetPr>
  <dimension ref="B3:P35"/>
  <sheetViews>
    <sheetView workbookViewId="0">
      <selection activeCell="M14" sqref="M14"/>
    </sheetView>
  </sheetViews>
  <sheetFormatPr baseColWidth="10" defaultColWidth="9.1640625" defaultRowHeight="13"/>
  <cols>
    <col min="1" max="16384" width="9.1640625" style="904"/>
  </cols>
  <sheetData>
    <row r="3" spans="2:16" ht="48">
      <c r="B3" s="934" t="s">
        <v>1284</v>
      </c>
      <c r="C3" s="934" t="s">
        <v>1133</v>
      </c>
      <c r="D3" s="934" t="s">
        <v>337</v>
      </c>
      <c r="E3" s="934" t="s">
        <v>1275</v>
      </c>
      <c r="F3" s="934" t="s">
        <v>1276</v>
      </c>
      <c r="G3" s="933" t="s">
        <v>340</v>
      </c>
      <c r="H3" s="933" t="s">
        <v>341</v>
      </c>
      <c r="I3" s="933" t="s">
        <v>342</v>
      </c>
      <c r="J3" s="933" t="s">
        <v>343</v>
      </c>
      <c r="K3" s="933" t="s">
        <v>344</v>
      </c>
      <c r="L3" s="933" t="s">
        <v>1274</v>
      </c>
      <c r="M3" s="933" t="s">
        <v>339</v>
      </c>
      <c r="N3" s="905"/>
      <c r="O3" s="905"/>
      <c r="P3" s="905"/>
    </row>
    <row r="4" spans="2:16" ht="80">
      <c r="B4" s="932" t="s">
        <v>1283</v>
      </c>
      <c r="C4" s="932"/>
      <c r="D4" s="932"/>
      <c r="E4" s="932" t="s">
        <v>1272</v>
      </c>
      <c r="F4" s="932" t="s">
        <v>1273</v>
      </c>
      <c r="G4" s="932" t="s">
        <v>1271</v>
      </c>
      <c r="H4" s="932" t="s">
        <v>1270</v>
      </c>
      <c r="I4" s="932" t="s">
        <v>1269</v>
      </c>
      <c r="J4" s="932" t="s">
        <v>1268</v>
      </c>
      <c r="K4" s="932" t="s">
        <v>1267</v>
      </c>
      <c r="L4" s="932" t="s">
        <v>1266</v>
      </c>
      <c r="M4" s="932" t="s">
        <v>1265</v>
      </c>
      <c r="N4" s="905"/>
      <c r="O4" s="905"/>
      <c r="P4" s="905"/>
    </row>
    <row r="5" spans="2:16" ht="16" thickBot="1">
      <c r="B5" s="931"/>
      <c r="C5" s="931"/>
      <c r="D5" s="931"/>
      <c r="E5" s="931"/>
      <c r="F5" s="931" t="s">
        <v>330</v>
      </c>
      <c r="G5" s="931" t="s">
        <v>1262</v>
      </c>
      <c r="H5" s="931" t="s">
        <v>1262</v>
      </c>
      <c r="I5" s="931" t="s">
        <v>1261</v>
      </c>
      <c r="J5" s="931" t="s">
        <v>351</v>
      </c>
      <c r="K5" s="931" t="s">
        <v>351</v>
      </c>
      <c r="L5" s="931"/>
      <c r="M5" s="931" t="s">
        <v>1260</v>
      </c>
      <c r="N5" s="905"/>
      <c r="O5" s="905" t="s">
        <v>1282</v>
      </c>
      <c r="P5" s="905">
        <v>7.45</v>
      </c>
    </row>
    <row r="6" spans="2:16" ht="15">
      <c r="B6" s="928"/>
      <c r="C6" s="928">
        <v>2015</v>
      </c>
      <c r="D6" s="928">
        <v>1</v>
      </c>
      <c r="E6" s="927"/>
      <c r="F6" s="913">
        <v>250</v>
      </c>
      <c r="G6" s="927">
        <v>0.52150000000000007</v>
      </c>
      <c r="H6" s="905">
        <v>3.7249999999999998E-2</v>
      </c>
      <c r="I6" s="905">
        <v>0</v>
      </c>
      <c r="J6" s="929">
        <v>3.1536000000000002E-2</v>
      </c>
      <c r="K6" s="930">
        <v>1</v>
      </c>
      <c r="L6" s="929">
        <v>1</v>
      </c>
      <c r="M6" s="905">
        <v>20</v>
      </c>
      <c r="N6" s="905"/>
      <c r="O6" s="905"/>
      <c r="P6" s="905"/>
    </row>
    <row r="7" spans="2:16" ht="15">
      <c r="B7" s="928"/>
      <c r="C7" s="928">
        <v>2020</v>
      </c>
      <c r="D7" s="928">
        <v>1</v>
      </c>
      <c r="E7" s="927"/>
      <c r="F7" s="913">
        <v>250</v>
      </c>
      <c r="G7" s="927">
        <v>0.52150000000000007</v>
      </c>
      <c r="H7" s="905">
        <v>3.7249999999999998E-2</v>
      </c>
      <c r="I7" s="905">
        <v>0</v>
      </c>
      <c r="J7" s="905"/>
      <c r="K7" s="905"/>
      <c r="L7" s="905"/>
      <c r="M7" s="905">
        <v>20</v>
      </c>
      <c r="N7" s="905"/>
      <c r="O7" s="905"/>
      <c r="P7" s="905"/>
    </row>
    <row r="8" spans="2:16" ht="15">
      <c r="B8" s="928"/>
      <c r="C8" s="928">
        <v>2030</v>
      </c>
      <c r="D8" s="928">
        <v>1</v>
      </c>
      <c r="E8" s="927"/>
      <c r="F8" s="913">
        <v>250</v>
      </c>
      <c r="G8" s="927">
        <v>0.52150000000000007</v>
      </c>
      <c r="H8" s="905">
        <v>3.7249999999999998E-2</v>
      </c>
      <c r="I8" s="905">
        <v>0</v>
      </c>
      <c r="J8" s="905"/>
      <c r="K8" s="905"/>
      <c r="L8" s="905"/>
      <c r="M8" s="905">
        <v>20</v>
      </c>
      <c r="N8" s="905"/>
      <c r="O8" s="905"/>
      <c r="P8" s="905"/>
    </row>
    <row r="9" spans="2:16" ht="15">
      <c r="B9" s="928"/>
      <c r="C9" s="928">
        <v>2050</v>
      </c>
      <c r="D9" s="928">
        <v>1</v>
      </c>
      <c r="E9" s="927"/>
      <c r="F9" s="913">
        <v>250</v>
      </c>
      <c r="G9" s="927">
        <v>0.52150000000000007</v>
      </c>
      <c r="H9" s="905">
        <v>3.7249999999999998E-2</v>
      </c>
      <c r="I9" s="905">
        <v>0</v>
      </c>
      <c r="J9" s="905"/>
      <c r="K9" s="905"/>
      <c r="L9" s="905"/>
      <c r="M9" s="905">
        <v>20</v>
      </c>
      <c r="N9" s="905"/>
      <c r="O9" s="905"/>
      <c r="P9" s="905"/>
    </row>
    <row r="11" spans="2:16" ht="15">
      <c r="B11" s="905" t="s">
        <v>1281</v>
      </c>
      <c r="C11" s="905"/>
      <c r="D11" s="905"/>
      <c r="E11" s="905"/>
      <c r="F11" s="905"/>
      <c r="G11" s="905"/>
      <c r="H11" s="905"/>
      <c r="I11" s="905"/>
      <c r="J11" s="905"/>
      <c r="K11" s="905"/>
      <c r="L11" s="905"/>
      <c r="M11" s="905"/>
      <c r="N11" s="905"/>
      <c r="O11" s="905"/>
      <c r="P11" s="905"/>
    </row>
    <row r="12" spans="2:16" ht="16" thickBot="1">
      <c r="B12" s="905"/>
      <c r="C12" s="905"/>
      <c r="D12" s="905"/>
      <c r="E12" s="905"/>
      <c r="F12" s="905"/>
      <c r="G12" s="905"/>
      <c r="H12" s="905"/>
      <c r="I12" s="905"/>
      <c r="J12" s="905"/>
      <c r="K12" s="905"/>
      <c r="L12" s="905"/>
      <c r="M12" s="905"/>
      <c r="N12" s="905"/>
      <c r="O12" s="905"/>
      <c r="P12" s="905"/>
    </row>
    <row r="13" spans="2:16" ht="15">
      <c r="B13" s="1320" t="s">
        <v>0</v>
      </c>
      <c r="C13" s="1322" t="s">
        <v>58</v>
      </c>
      <c r="D13" s="1323"/>
      <c r="E13" s="1323"/>
      <c r="F13" s="1323"/>
      <c r="G13" s="1323"/>
      <c r="H13" s="1324"/>
      <c r="I13" s="905"/>
      <c r="J13" s="905"/>
      <c r="K13" s="905"/>
      <c r="L13" s="905"/>
      <c r="M13" s="905"/>
      <c r="N13" s="905"/>
      <c r="O13" s="905"/>
      <c r="P13" s="905"/>
    </row>
    <row r="14" spans="2:16" ht="16" thickBot="1">
      <c r="B14" s="1321"/>
      <c r="C14" s="1325" t="s">
        <v>53</v>
      </c>
      <c r="D14" s="1326"/>
      <c r="E14" s="1326"/>
      <c r="F14" s="1326"/>
      <c r="G14" s="1326"/>
      <c r="H14" s="1327"/>
      <c r="I14" s="905"/>
      <c r="J14" s="905"/>
      <c r="K14" s="905"/>
      <c r="L14" s="905"/>
      <c r="M14" s="905"/>
      <c r="N14" s="905"/>
      <c r="O14" s="905"/>
      <c r="P14" s="905"/>
    </row>
    <row r="15" spans="2:16" ht="16" thickBot="1">
      <c r="B15" s="920"/>
      <c r="C15" s="919">
        <v>2015</v>
      </c>
      <c r="D15" s="919">
        <v>2020</v>
      </c>
      <c r="E15" s="919">
        <v>2030</v>
      </c>
      <c r="F15" s="919">
        <v>2050</v>
      </c>
      <c r="G15" s="919" t="s">
        <v>2</v>
      </c>
      <c r="H15" s="919" t="s">
        <v>3</v>
      </c>
      <c r="I15" s="905"/>
      <c r="J15" s="905"/>
      <c r="K15" s="905"/>
      <c r="L15" s="905"/>
      <c r="M15" s="905"/>
      <c r="N15" s="905"/>
      <c r="O15" s="905"/>
      <c r="P15" s="905"/>
    </row>
    <row r="16" spans="2:16" ht="28" thickBot="1">
      <c r="B16" s="926" t="s">
        <v>4</v>
      </c>
      <c r="C16" s="925"/>
      <c r="D16" s="925"/>
      <c r="E16" s="925"/>
      <c r="F16" s="925"/>
      <c r="G16" s="925"/>
      <c r="H16" s="924"/>
      <c r="I16" s="905"/>
      <c r="J16" s="905"/>
      <c r="K16" s="905"/>
      <c r="L16" s="905"/>
      <c r="M16" s="905"/>
      <c r="N16" s="905"/>
      <c r="O16" s="905"/>
      <c r="P16" s="905"/>
    </row>
    <row r="17" spans="2:8" ht="66" thickBot="1">
      <c r="B17" s="920" t="s">
        <v>5</v>
      </c>
      <c r="C17" s="919">
        <v>250</v>
      </c>
      <c r="D17" s="919">
        <v>250</v>
      </c>
      <c r="E17" s="919">
        <v>250</v>
      </c>
      <c r="F17" s="919">
        <v>250</v>
      </c>
      <c r="G17" s="919" t="s">
        <v>6</v>
      </c>
      <c r="H17" s="919"/>
    </row>
    <row r="18" spans="2:8" ht="92" thickBot="1">
      <c r="B18" s="920" t="s">
        <v>7</v>
      </c>
      <c r="C18" s="919">
        <v>100</v>
      </c>
      <c r="D18" s="919">
        <v>100</v>
      </c>
      <c r="E18" s="919">
        <v>100</v>
      </c>
      <c r="F18" s="919">
        <v>100</v>
      </c>
      <c r="G18" s="919"/>
      <c r="H18" s="919"/>
    </row>
    <row r="19" spans="2:8" ht="92" thickBot="1">
      <c r="B19" s="920" t="s">
        <v>8</v>
      </c>
      <c r="C19" s="919">
        <v>100</v>
      </c>
      <c r="D19" s="919">
        <v>100</v>
      </c>
      <c r="E19" s="919">
        <v>100</v>
      </c>
      <c r="F19" s="919">
        <v>100</v>
      </c>
      <c r="G19" s="919"/>
      <c r="H19" s="919"/>
    </row>
    <row r="20" spans="2:8" ht="66" thickBot="1">
      <c r="B20" s="920" t="s">
        <v>9</v>
      </c>
      <c r="C20" s="919">
        <v>100</v>
      </c>
      <c r="D20" s="919">
        <v>100</v>
      </c>
      <c r="E20" s="919">
        <v>100</v>
      </c>
      <c r="F20" s="919">
        <v>100</v>
      </c>
      <c r="G20" s="919" t="s">
        <v>59</v>
      </c>
      <c r="H20" s="919"/>
    </row>
    <row r="21" spans="2:8" ht="40" thickBot="1">
      <c r="B21" s="920" t="s">
        <v>11</v>
      </c>
      <c r="C21" s="919">
        <v>20</v>
      </c>
      <c r="D21" s="919">
        <v>20</v>
      </c>
      <c r="E21" s="919">
        <v>20</v>
      </c>
      <c r="F21" s="919">
        <v>20</v>
      </c>
      <c r="G21" s="919"/>
      <c r="H21" s="919"/>
    </row>
    <row r="22" spans="2:8" ht="27" thickBot="1">
      <c r="B22" s="926" t="s">
        <v>12</v>
      </c>
      <c r="C22" s="925"/>
      <c r="D22" s="925"/>
      <c r="E22" s="925"/>
      <c r="F22" s="925"/>
      <c r="G22" s="925"/>
      <c r="H22" s="924"/>
    </row>
    <row r="23" spans="2:8" ht="27" thickBot="1">
      <c r="B23" s="920" t="s">
        <v>1280</v>
      </c>
      <c r="C23" s="919" t="s">
        <v>36</v>
      </c>
      <c r="D23" s="919" t="s">
        <v>36</v>
      </c>
      <c r="E23" s="919" t="s">
        <v>36</v>
      </c>
      <c r="F23" s="919" t="s">
        <v>36</v>
      </c>
      <c r="G23" s="919"/>
      <c r="H23" s="919"/>
    </row>
    <row r="24" spans="2:8" ht="27" thickBot="1">
      <c r="B24" s="920" t="s">
        <v>1279</v>
      </c>
      <c r="C24" s="919" t="s">
        <v>36</v>
      </c>
      <c r="D24" s="919" t="s">
        <v>36</v>
      </c>
      <c r="E24" s="919" t="s">
        <v>36</v>
      </c>
      <c r="F24" s="919" t="s">
        <v>36</v>
      </c>
      <c r="G24" s="919"/>
      <c r="H24" s="919"/>
    </row>
    <row r="25" spans="2:8" ht="27" thickBot="1">
      <c r="B25" s="920" t="s">
        <v>1278</v>
      </c>
      <c r="C25" s="919" t="s">
        <v>36</v>
      </c>
      <c r="D25" s="919" t="s">
        <v>36</v>
      </c>
      <c r="E25" s="919" t="s">
        <v>36</v>
      </c>
      <c r="F25" s="919" t="s">
        <v>36</v>
      </c>
      <c r="G25" s="919"/>
      <c r="H25" s="919"/>
    </row>
    <row r="26" spans="2:8" ht="27" thickBot="1">
      <c r="B26" s="920" t="s">
        <v>1277</v>
      </c>
      <c r="C26" s="919" t="s">
        <v>36</v>
      </c>
      <c r="D26" s="919" t="s">
        <v>36</v>
      </c>
      <c r="E26" s="919" t="s">
        <v>36</v>
      </c>
      <c r="F26" s="919" t="s">
        <v>36</v>
      </c>
      <c r="G26" s="919"/>
      <c r="H26" s="919"/>
    </row>
    <row r="27" spans="2:8" ht="40" thickBot="1">
      <c r="B27" s="920" t="s">
        <v>19</v>
      </c>
      <c r="C27" s="919" t="s">
        <v>36</v>
      </c>
      <c r="D27" s="919" t="s">
        <v>36</v>
      </c>
      <c r="E27" s="919" t="s">
        <v>36</v>
      </c>
      <c r="F27" s="919" t="s">
        <v>36</v>
      </c>
      <c r="G27" s="919"/>
      <c r="H27" s="919"/>
    </row>
    <row r="28" spans="2:8" ht="27" thickBot="1">
      <c r="B28" s="926" t="s">
        <v>22</v>
      </c>
      <c r="C28" s="925"/>
      <c r="D28" s="925"/>
      <c r="E28" s="925"/>
      <c r="F28" s="925"/>
      <c r="G28" s="925"/>
      <c r="H28" s="924"/>
    </row>
    <row r="29" spans="2:8" ht="40" thickBot="1">
      <c r="B29" s="920" t="s">
        <v>23</v>
      </c>
      <c r="C29" s="919">
        <v>7.0000000000000007E-2</v>
      </c>
      <c r="D29" s="919">
        <v>7.0000000000000007E-2</v>
      </c>
      <c r="E29" s="919">
        <v>7.0000000000000007E-2</v>
      </c>
      <c r="F29" s="919">
        <v>7.0000000000000007E-2</v>
      </c>
      <c r="G29" s="919" t="s">
        <v>33</v>
      </c>
      <c r="H29" s="919" t="s">
        <v>65</v>
      </c>
    </row>
    <row r="30" spans="2:8" ht="52">
      <c r="B30" s="923" t="s">
        <v>24</v>
      </c>
      <c r="C30" s="922"/>
      <c r="D30" s="922"/>
      <c r="E30" s="922"/>
      <c r="F30" s="922"/>
      <c r="G30" s="922"/>
      <c r="H30" s="922"/>
    </row>
    <row r="31" spans="2:8" ht="39">
      <c r="B31" s="923" t="s">
        <v>26</v>
      </c>
      <c r="C31" s="922" t="s">
        <v>27</v>
      </c>
      <c r="D31" s="922">
        <v>70</v>
      </c>
      <c r="E31" s="922">
        <v>70</v>
      </c>
      <c r="F31" s="922">
        <v>70</v>
      </c>
      <c r="G31" s="922"/>
      <c r="H31" s="922"/>
    </row>
    <row r="32" spans="2:8" ht="40" thickBot="1">
      <c r="B32" s="920" t="s">
        <v>28</v>
      </c>
      <c r="C32" s="919" t="s">
        <v>29</v>
      </c>
      <c r="D32" s="919">
        <v>30</v>
      </c>
      <c r="E32" s="919">
        <v>30</v>
      </c>
      <c r="F32" s="919">
        <v>30</v>
      </c>
      <c r="G32" s="919"/>
      <c r="H32" s="919"/>
    </row>
    <row r="33" spans="2:8" ht="79" thickBot="1">
      <c r="B33" s="920" t="s">
        <v>30</v>
      </c>
      <c r="C33" s="919">
        <v>4</v>
      </c>
      <c r="D33" s="919">
        <v>4</v>
      </c>
      <c r="E33" s="919">
        <v>4</v>
      </c>
      <c r="F33" s="919">
        <v>4</v>
      </c>
      <c r="G33" s="919" t="s">
        <v>20</v>
      </c>
      <c r="H33" s="919"/>
    </row>
    <row r="34" spans="2:8" ht="40" thickBot="1">
      <c r="B34" s="920" t="s">
        <v>64</v>
      </c>
      <c r="C34" s="921">
        <v>1250</v>
      </c>
      <c r="D34" s="921">
        <v>1250</v>
      </c>
      <c r="E34" s="921">
        <v>1250</v>
      </c>
      <c r="F34" s="921">
        <v>1250</v>
      </c>
      <c r="G34" s="919"/>
      <c r="H34" s="919">
        <v>7</v>
      </c>
    </row>
    <row r="35" spans="2:8" ht="40" thickBot="1">
      <c r="B35" s="920" t="s">
        <v>31</v>
      </c>
      <c r="C35" s="919"/>
      <c r="D35" s="919"/>
      <c r="E35" s="919"/>
      <c r="F35" s="919"/>
      <c r="G35" s="919"/>
      <c r="H35" s="919"/>
    </row>
  </sheetData>
  <mergeCells count="3">
    <mergeCell ref="B13:B14"/>
    <mergeCell ref="C13:H13"/>
    <mergeCell ref="C14:H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7992-9B97-437C-B269-D5105B20CF6E}">
  <sheetPr>
    <tabColor rgb="FF00B0F0"/>
  </sheetPr>
  <dimension ref="A3:Z54"/>
  <sheetViews>
    <sheetView zoomScale="80" zoomScaleNormal="80" workbookViewId="0">
      <selection activeCell="M14" sqref="M14"/>
    </sheetView>
  </sheetViews>
  <sheetFormatPr baseColWidth="10" defaultColWidth="9.1640625" defaultRowHeight="13"/>
  <cols>
    <col min="1" max="1" width="9.1640625" style="904"/>
    <col min="2" max="2" width="23.5" style="904" customWidth="1"/>
    <col min="3" max="3" width="9.1640625" style="904"/>
    <col min="4" max="4" width="12.83203125" style="904" customWidth="1"/>
    <col min="5" max="5" width="14.33203125" style="904" customWidth="1"/>
    <col min="6" max="6" width="12.1640625" style="904" customWidth="1"/>
    <col min="7" max="7" width="13.33203125" style="904" customWidth="1"/>
    <col min="8" max="9" width="13.6640625" style="904" customWidth="1"/>
    <col min="10" max="10" width="14" style="904" customWidth="1"/>
    <col min="11" max="11" width="14.5" style="904" customWidth="1"/>
    <col min="12" max="24" width="9.1640625" style="904"/>
    <col min="25" max="25" width="16.6640625" style="904" customWidth="1"/>
    <col min="26" max="16384" width="9.1640625" style="904"/>
  </cols>
  <sheetData>
    <row r="3" spans="1:26" ht="32">
      <c r="A3" s="905"/>
      <c r="B3" s="934" t="s">
        <v>1284</v>
      </c>
      <c r="C3" s="934" t="s">
        <v>1133</v>
      </c>
      <c r="D3" s="934" t="s">
        <v>1275</v>
      </c>
      <c r="E3" s="934" t="s">
        <v>1276</v>
      </c>
      <c r="F3" s="933" t="s">
        <v>340</v>
      </c>
      <c r="G3" s="933" t="s">
        <v>341</v>
      </c>
      <c r="H3" s="933" t="s">
        <v>342</v>
      </c>
      <c r="I3" s="933" t="s">
        <v>343</v>
      </c>
      <c r="J3" s="933" t="s">
        <v>344</v>
      </c>
      <c r="K3" s="933" t="s">
        <v>1274</v>
      </c>
      <c r="L3" s="933" t="s">
        <v>339</v>
      </c>
      <c r="M3" s="933" t="s">
        <v>1264</v>
      </c>
      <c r="N3" s="905"/>
      <c r="O3" s="905"/>
      <c r="P3" s="905"/>
      <c r="Q3" s="905"/>
    </row>
    <row r="4" spans="1:26" ht="48">
      <c r="A4" s="905"/>
      <c r="B4" s="932" t="s">
        <v>1308</v>
      </c>
      <c r="C4" s="932"/>
      <c r="D4" s="978" t="s">
        <v>1272</v>
      </c>
      <c r="E4" s="978" t="s">
        <v>1273</v>
      </c>
      <c r="F4" s="978" t="s">
        <v>1271</v>
      </c>
      <c r="G4" s="978" t="s">
        <v>1270</v>
      </c>
      <c r="H4" s="978" t="s">
        <v>1269</v>
      </c>
      <c r="I4" s="978" t="s">
        <v>1268</v>
      </c>
      <c r="J4" s="978" t="s">
        <v>1267</v>
      </c>
      <c r="K4" s="978" t="s">
        <v>1266</v>
      </c>
      <c r="L4" s="978" t="s">
        <v>1265</v>
      </c>
      <c r="M4" s="978" t="s">
        <v>1263</v>
      </c>
      <c r="N4" s="905"/>
      <c r="O4" s="905"/>
      <c r="P4" s="1328" t="s">
        <v>1307</v>
      </c>
      <c r="Q4" s="1329"/>
    </row>
    <row r="5" spans="1:26" ht="16" thickBot="1">
      <c r="A5" s="905"/>
      <c r="B5" s="931"/>
      <c r="C5" s="931"/>
      <c r="D5" s="977"/>
      <c r="E5" s="977" t="s">
        <v>449</v>
      </c>
      <c r="F5" s="977" t="s">
        <v>1262</v>
      </c>
      <c r="G5" s="977" t="s">
        <v>1262</v>
      </c>
      <c r="H5" s="977" t="s">
        <v>1261</v>
      </c>
      <c r="I5" s="977" t="s">
        <v>351</v>
      </c>
      <c r="J5" s="977" t="s">
        <v>351</v>
      </c>
      <c r="K5" s="977"/>
      <c r="L5" s="977" t="s">
        <v>1260</v>
      </c>
      <c r="M5" s="977" t="s">
        <v>1260</v>
      </c>
      <c r="N5" s="905"/>
      <c r="O5" s="905"/>
      <c r="P5" s="976" t="s">
        <v>1282</v>
      </c>
      <c r="Q5" s="975">
        <v>7.45</v>
      </c>
    </row>
    <row r="6" spans="1:26" ht="15">
      <c r="A6" s="905"/>
      <c r="B6" s="974">
        <f>$Z$15</f>
        <v>22.465873891698152</v>
      </c>
      <c r="C6" s="971">
        <v>2015</v>
      </c>
      <c r="D6" s="969">
        <f>1/(C26/100)</f>
        <v>0.22727272727272727</v>
      </c>
      <c r="E6" s="970">
        <f>C22</f>
        <v>4</v>
      </c>
      <c r="F6" s="969">
        <f>C46*$Q$5</f>
        <v>5.2149999999999999</v>
      </c>
      <c r="G6" s="911">
        <f>C49/1000000*$Q$5</f>
        <v>1.49E-2</v>
      </c>
      <c r="H6" s="968">
        <f>C52*$Q$5/3.6</f>
        <v>4.1388888888888893</v>
      </c>
      <c r="I6" s="973">
        <f>8760*3.6/10^6</f>
        <v>3.1536000000000002E-2</v>
      </c>
      <c r="J6" s="972">
        <f>1-C30/52</f>
        <v>0.99038461538461542</v>
      </c>
      <c r="K6" s="972">
        <v>1</v>
      </c>
      <c r="L6" s="911">
        <v>25</v>
      </c>
      <c r="M6" s="911">
        <f>C32</f>
        <v>0.5</v>
      </c>
      <c r="N6" s="905"/>
      <c r="O6" s="905"/>
      <c r="P6" s="905"/>
      <c r="Q6" s="905"/>
    </row>
    <row r="7" spans="1:26" ht="15">
      <c r="A7" s="905"/>
      <c r="B7" s="905"/>
      <c r="C7" s="971">
        <v>2020</v>
      </c>
      <c r="D7" s="969">
        <f>1/(D26/100)</f>
        <v>0.2</v>
      </c>
      <c r="E7" s="970">
        <f>D22</f>
        <v>4</v>
      </c>
      <c r="F7" s="969">
        <f>D46*$Q$5</f>
        <v>4.9020999999999999</v>
      </c>
      <c r="G7" s="911">
        <f>D49/1000000*$Q$5</f>
        <v>1.49E-2</v>
      </c>
      <c r="H7" s="968">
        <f>D52*$Q$5/3.6</f>
        <v>3.7250000000000001</v>
      </c>
      <c r="I7" s="911"/>
      <c r="J7" s="911"/>
      <c r="K7" s="911"/>
      <c r="L7" s="911"/>
      <c r="M7" s="911"/>
      <c r="N7" s="905"/>
      <c r="O7" s="905"/>
      <c r="P7" s="905"/>
      <c r="Q7" s="905"/>
    </row>
    <row r="8" spans="1:26" ht="15">
      <c r="A8" s="905"/>
      <c r="B8" s="905"/>
      <c r="C8" s="971">
        <v>2030</v>
      </c>
      <c r="D8" s="969">
        <f>1/(E26/100)</f>
        <v>0.16666666666666666</v>
      </c>
      <c r="E8" s="970">
        <f>E22</f>
        <v>4</v>
      </c>
      <c r="F8" s="969">
        <f>E46*$Q$5</f>
        <v>4.4118899999999996</v>
      </c>
      <c r="G8" s="911">
        <f>E49/1000000*$Q$5</f>
        <v>1.49E-2</v>
      </c>
      <c r="H8" s="968">
        <f>E52*$Q$5/3.6</f>
        <v>3.5180555555555553</v>
      </c>
      <c r="I8" s="911"/>
      <c r="J8" s="911"/>
      <c r="K8" s="911"/>
      <c r="L8" s="911"/>
      <c r="M8" s="911"/>
      <c r="N8" s="905"/>
      <c r="O8" s="905"/>
      <c r="P8" s="905"/>
      <c r="Q8" s="905"/>
    </row>
    <row r="9" spans="1:26" ht="15">
      <c r="A9" s="905"/>
      <c r="B9" s="905"/>
      <c r="C9" s="971">
        <v>2050</v>
      </c>
      <c r="D9" s="969">
        <f>1/(F26/100)</f>
        <v>0.13513513513513511</v>
      </c>
      <c r="E9" s="970">
        <f>F22</f>
        <v>4</v>
      </c>
      <c r="F9" s="969">
        <f>F46*$Q$5</f>
        <v>3.970701</v>
      </c>
      <c r="G9" s="911">
        <f>F49/1000000*$Q$5</f>
        <v>1.49E-2</v>
      </c>
      <c r="H9" s="968">
        <f>F52*$Q$5/3.6</f>
        <v>3.3111111111111113</v>
      </c>
      <c r="I9" s="911"/>
      <c r="J9" s="911"/>
      <c r="K9" s="911"/>
      <c r="L9" s="911"/>
      <c r="M9" s="911"/>
      <c r="N9" s="905"/>
      <c r="O9" s="905"/>
      <c r="P9" s="905"/>
      <c r="Q9" s="905"/>
    </row>
    <row r="10" spans="1:26" ht="15">
      <c r="A10" s="967"/>
      <c r="B10" s="964"/>
      <c r="C10" s="964"/>
      <c r="D10" s="962"/>
      <c r="E10" s="963"/>
      <c r="F10" s="962"/>
      <c r="G10" s="961"/>
      <c r="H10" s="961"/>
      <c r="I10" s="965"/>
      <c r="J10" s="966"/>
      <c r="K10" s="965"/>
      <c r="L10" s="961"/>
      <c r="M10" s="905"/>
      <c r="N10" s="905"/>
      <c r="O10" s="905"/>
      <c r="P10" s="905"/>
      <c r="Q10" s="905"/>
    </row>
    <row r="11" spans="1:26" ht="15">
      <c r="A11" s="905"/>
      <c r="B11" s="964"/>
      <c r="C11" s="964"/>
      <c r="D11" s="962"/>
      <c r="E11" s="963"/>
      <c r="F11" s="962"/>
      <c r="G11" s="961"/>
      <c r="H11" s="961"/>
      <c r="I11" s="961"/>
      <c r="J11" s="961"/>
      <c r="K11" s="961"/>
      <c r="L11" s="961"/>
      <c r="M11" s="905"/>
      <c r="N11" s="905"/>
      <c r="O11" s="905"/>
      <c r="P11" s="905"/>
      <c r="Q11" s="905"/>
    </row>
    <row r="12" spans="1:26" ht="15">
      <c r="A12" s="905"/>
      <c r="B12" s="964"/>
      <c r="C12" s="964"/>
      <c r="D12" s="962"/>
      <c r="E12" s="963"/>
      <c r="F12" s="962"/>
      <c r="G12" s="961"/>
      <c r="H12" s="961"/>
      <c r="I12" s="961"/>
      <c r="J12" s="961"/>
      <c r="K12" s="961"/>
      <c r="L12" s="961"/>
      <c r="M12" s="905"/>
      <c r="N12" s="905"/>
      <c r="O12" s="905"/>
      <c r="P12" s="905"/>
      <c r="Q12" s="905"/>
      <c r="Y12" s="904" t="s">
        <v>1306</v>
      </c>
      <c r="Z12" s="904">
        <f>28+273</f>
        <v>301</v>
      </c>
    </row>
    <row r="13" spans="1:26" ht="15">
      <c r="A13" s="905"/>
      <c r="B13" s="964"/>
      <c r="C13" s="964"/>
      <c r="D13" s="962"/>
      <c r="E13" s="963"/>
      <c r="F13" s="962"/>
      <c r="G13" s="961"/>
      <c r="H13" s="961"/>
      <c r="I13" s="961"/>
      <c r="J13" s="961"/>
      <c r="K13" s="961"/>
      <c r="L13" s="961"/>
      <c r="M13" s="905"/>
      <c r="N13" s="905"/>
      <c r="O13" s="905"/>
      <c r="P13" s="905"/>
      <c r="Q13" s="905"/>
      <c r="Y13" s="904" t="s">
        <v>1305</v>
      </c>
      <c r="Z13" s="904">
        <f>17+273</f>
        <v>290</v>
      </c>
    </row>
    <row r="14" spans="1:26" ht="15">
      <c r="A14" s="905"/>
      <c r="B14" s="905"/>
      <c r="C14" s="905"/>
      <c r="D14" s="905"/>
      <c r="E14" s="913"/>
      <c r="F14" s="905"/>
      <c r="G14" s="905"/>
      <c r="H14" s="905"/>
      <c r="I14" s="905"/>
      <c r="J14" s="905"/>
      <c r="K14" s="905"/>
      <c r="L14" s="905"/>
      <c r="M14" s="905"/>
      <c r="N14" s="905"/>
      <c r="O14" s="905"/>
      <c r="P14" s="905"/>
      <c r="Q14" s="905"/>
    </row>
    <row r="15" spans="1:26" ht="15">
      <c r="A15" s="905"/>
      <c r="B15" s="905"/>
      <c r="C15" s="905"/>
      <c r="D15" s="905"/>
      <c r="E15" s="913"/>
      <c r="F15" s="905"/>
      <c r="G15" s="905"/>
      <c r="H15" s="905"/>
      <c r="I15" s="905"/>
      <c r="J15" s="927"/>
      <c r="K15" s="905"/>
      <c r="L15" s="905"/>
      <c r="M15" s="905"/>
      <c r="N15" s="905"/>
      <c r="O15" s="905"/>
      <c r="P15" s="905"/>
      <c r="Q15" s="905"/>
      <c r="Y15" s="904" t="s">
        <v>1304</v>
      </c>
      <c r="Z15" s="960">
        <f>(Z12-Z13)/(LN(Z12/Z13))-273</f>
        <v>22.465873891698152</v>
      </c>
    </row>
    <row r="16" spans="1:26" ht="15">
      <c r="A16" s="905"/>
      <c r="B16" s="905"/>
      <c r="C16" s="905"/>
      <c r="D16" s="905"/>
      <c r="E16" s="913"/>
      <c r="F16" s="905"/>
      <c r="G16" s="905"/>
      <c r="H16" s="905"/>
      <c r="I16" s="905"/>
      <c r="J16" s="905"/>
      <c r="K16" s="905"/>
      <c r="L16" s="905"/>
      <c r="M16" s="905"/>
      <c r="N16" s="905"/>
      <c r="O16" s="905"/>
      <c r="P16" s="905"/>
      <c r="Q16" s="905"/>
    </row>
    <row r="17" spans="2:12" ht="15">
      <c r="B17" s="905" t="s">
        <v>1281</v>
      </c>
      <c r="C17" s="928"/>
      <c r="D17" s="905"/>
      <c r="E17" s="913"/>
      <c r="F17" s="905"/>
      <c r="G17" s="905"/>
      <c r="H17" s="905"/>
      <c r="I17" s="905"/>
      <c r="J17" s="905"/>
      <c r="K17" s="905"/>
      <c r="L17" s="905"/>
    </row>
    <row r="19" spans="2:12" ht="15">
      <c r="B19" s="959" t="s">
        <v>0</v>
      </c>
      <c r="C19" s="1334" t="s">
        <v>1303</v>
      </c>
      <c r="D19" s="1335"/>
      <c r="E19" s="1335"/>
      <c r="F19" s="1335"/>
      <c r="G19" s="1335"/>
      <c r="H19" s="1335"/>
      <c r="I19" s="1335"/>
      <c r="J19" s="1335"/>
      <c r="K19" s="1335"/>
      <c r="L19" s="1336"/>
    </row>
    <row r="20" spans="2:12" ht="14">
      <c r="B20" s="940"/>
      <c r="C20" s="958">
        <v>2015</v>
      </c>
      <c r="D20" s="958">
        <v>2020</v>
      </c>
      <c r="E20" s="958">
        <v>2030</v>
      </c>
      <c r="F20" s="958">
        <v>2050</v>
      </c>
      <c r="G20" s="1334" t="s">
        <v>647</v>
      </c>
      <c r="H20" s="1337"/>
      <c r="I20" s="1334" t="s">
        <v>648</v>
      </c>
      <c r="J20" s="1337"/>
      <c r="K20" s="958" t="s">
        <v>2</v>
      </c>
      <c r="L20" s="958" t="s">
        <v>3</v>
      </c>
    </row>
    <row r="21" spans="2:12" ht="14">
      <c r="B21" s="957" t="s">
        <v>4</v>
      </c>
      <c r="C21" s="956"/>
      <c r="D21" s="956"/>
      <c r="E21" s="956"/>
      <c r="F21" s="956"/>
      <c r="G21" s="956" t="s">
        <v>649</v>
      </c>
      <c r="H21" s="956" t="s">
        <v>650</v>
      </c>
      <c r="I21" s="956" t="s">
        <v>649</v>
      </c>
      <c r="J21" s="956" t="s">
        <v>650</v>
      </c>
      <c r="K21" s="956"/>
      <c r="L21" s="955"/>
    </row>
    <row r="22" spans="2:12" ht="35.25" customHeight="1">
      <c r="B22" s="951" t="s">
        <v>1302</v>
      </c>
      <c r="C22" s="947">
        <v>4</v>
      </c>
      <c r="D22" s="947">
        <v>4</v>
      </c>
      <c r="E22" s="947">
        <v>4</v>
      </c>
      <c r="F22" s="947">
        <v>4</v>
      </c>
      <c r="G22" s="947">
        <v>3</v>
      </c>
      <c r="H22" s="947">
        <v>6</v>
      </c>
      <c r="I22" s="947">
        <v>3</v>
      </c>
      <c r="J22" s="947">
        <v>10</v>
      </c>
      <c r="K22" s="947"/>
      <c r="L22" s="947">
        <v>3</v>
      </c>
    </row>
    <row r="23" spans="2:12" ht="33.75" customHeight="1">
      <c r="B23" s="936" t="s">
        <v>652</v>
      </c>
      <c r="C23" s="944" t="s">
        <v>1301</v>
      </c>
      <c r="D23" s="944" t="s">
        <v>1301</v>
      </c>
      <c r="E23" s="944" t="s">
        <v>1301</v>
      </c>
      <c r="F23" s="944" t="s">
        <v>1301</v>
      </c>
      <c r="G23" s="944" t="s">
        <v>1301</v>
      </c>
      <c r="H23" s="944" t="s">
        <v>1301</v>
      </c>
      <c r="I23" s="944" t="s">
        <v>1301</v>
      </c>
      <c r="J23" s="944" t="s">
        <v>1301</v>
      </c>
      <c r="K23" s="944"/>
      <c r="L23" s="944"/>
    </row>
    <row r="24" spans="2:12" ht="60.75" customHeight="1">
      <c r="B24" s="954" t="s">
        <v>1300</v>
      </c>
      <c r="C24" s="953">
        <v>350</v>
      </c>
      <c r="D24" s="952">
        <v>360</v>
      </c>
      <c r="E24" s="952">
        <v>380</v>
      </c>
      <c r="F24" s="952">
        <v>410</v>
      </c>
      <c r="G24" s="952">
        <v>350</v>
      </c>
      <c r="H24" s="952">
        <v>380</v>
      </c>
      <c r="I24" s="952">
        <v>350</v>
      </c>
      <c r="J24" s="952">
        <v>450</v>
      </c>
      <c r="K24" s="952" t="s">
        <v>1299</v>
      </c>
      <c r="L24" s="952">
        <v>4</v>
      </c>
    </row>
    <row r="25" spans="2:12" ht="57.75" customHeight="1">
      <c r="B25" s="936" t="s">
        <v>1298</v>
      </c>
      <c r="C25" s="935">
        <v>350</v>
      </c>
      <c r="D25" s="935">
        <v>400</v>
      </c>
      <c r="E25" s="935">
        <v>480</v>
      </c>
      <c r="F25" s="935">
        <v>600</v>
      </c>
      <c r="G25" s="935">
        <v>350</v>
      </c>
      <c r="H25" s="935">
        <v>450</v>
      </c>
      <c r="I25" s="935">
        <v>350</v>
      </c>
      <c r="J25" s="935">
        <v>700</v>
      </c>
      <c r="K25" s="935" t="s">
        <v>1295</v>
      </c>
      <c r="L25" s="935" t="s">
        <v>1294</v>
      </c>
    </row>
    <row r="26" spans="2:12" ht="48.75" customHeight="1">
      <c r="B26" s="951" t="s">
        <v>1297</v>
      </c>
      <c r="C26" s="946">
        <v>440</v>
      </c>
      <c r="D26" s="950">
        <v>500</v>
      </c>
      <c r="E26" s="950">
        <v>600</v>
      </c>
      <c r="F26" s="950">
        <v>740</v>
      </c>
      <c r="G26" s="950">
        <v>440</v>
      </c>
      <c r="H26" s="950">
        <v>600</v>
      </c>
      <c r="I26" s="950">
        <v>440</v>
      </c>
      <c r="J26" s="950">
        <v>850</v>
      </c>
      <c r="K26" s="950" t="s">
        <v>1295</v>
      </c>
      <c r="L26" s="950" t="s">
        <v>1294</v>
      </c>
    </row>
    <row r="27" spans="2:12" ht="50.25" customHeight="1">
      <c r="B27" s="949" t="s">
        <v>1296</v>
      </c>
      <c r="C27" s="935">
        <v>700</v>
      </c>
      <c r="D27" s="935">
        <v>900</v>
      </c>
      <c r="E27" s="935">
        <v>1200</v>
      </c>
      <c r="F27" s="935">
        <v>1800</v>
      </c>
      <c r="G27" s="935">
        <v>700</v>
      </c>
      <c r="H27" s="935">
        <v>1200</v>
      </c>
      <c r="I27" s="935">
        <v>700</v>
      </c>
      <c r="J27" s="935">
        <v>2000</v>
      </c>
      <c r="K27" s="935" t="s">
        <v>1295</v>
      </c>
      <c r="L27" s="935" t="s">
        <v>1294</v>
      </c>
    </row>
    <row r="28" spans="2:12" ht="35.25" customHeight="1">
      <c r="B28" s="936" t="s">
        <v>654</v>
      </c>
      <c r="C28" s="935">
        <v>10</v>
      </c>
      <c r="D28" s="935">
        <v>9</v>
      </c>
      <c r="E28" s="935">
        <v>7</v>
      </c>
      <c r="F28" s="935">
        <v>4</v>
      </c>
      <c r="G28" s="935">
        <v>4</v>
      </c>
      <c r="H28" s="935">
        <v>10</v>
      </c>
      <c r="I28" s="935">
        <v>3</v>
      </c>
      <c r="J28" s="935">
        <v>6</v>
      </c>
      <c r="K28" s="935" t="s">
        <v>1293</v>
      </c>
      <c r="L28" s="935">
        <v>3</v>
      </c>
    </row>
    <row r="29" spans="2:12" ht="25.5" customHeight="1">
      <c r="B29" s="936" t="s">
        <v>657</v>
      </c>
      <c r="C29" s="935">
        <v>0</v>
      </c>
      <c r="D29" s="935">
        <v>0</v>
      </c>
      <c r="E29" s="935">
        <v>0</v>
      </c>
      <c r="F29" s="935">
        <v>0</v>
      </c>
      <c r="G29" s="935">
        <v>0</v>
      </c>
      <c r="H29" s="935">
        <v>1</v>
      </c>
      <c r="I29" s="935">
        <v>0</v>
      </c>
      <c r="J29" s="935">
        <v>1</v>
      </c>
      <c r="K29" s="935" t="s">
        <v>33</v>
      </c>
      <c r="L29" s="935">
        <v>3</v>
      </c>
    </row>
    <row r="30" spans="2:12" ht="32.25" customHeight="1">
      <c r="B30" s="948" t="s">
        <v>658</v>
      </c>
      <c r="C30" s="947">
        <v>0.5</v>
      </c>
      <c r="D30" s="947">
        <v>0.5</v>
      </c>
      <c r="E30" s="947">
        <v>0.5</v>
      </c>
      <c r="F30" s="947">
        <v>0.5</v>
      </c>
      <c r="G30" s="947">
        <v>0</v>
      </c>
      <c r="H30" s="947">
        <v>1</v>
      </c>
      <c r="I30" s="947">
        <v>0</v>
      </c>
      <c r="J30" s="947">
        <v>1</v>
      </c>
      <c r="K30" s="947" t="s">
        <v>51</v>
      </c>
      <c r="L30" s="946">
        <v>3</v>
      </c>
    </row>
    <row r="31" spans="2:12" ht="27.75" customHeight="1">
      <c r="B31" s="948" t="s">
        <v>11</v>
      </c>
      <c r="C31" s="947">
        <v>25</v>
      </c>
      <c r="D31" s="947">
        <v>25</v>
      </c>
      <c r="E31" s="947">
        <v>25</v>
      </c>
      <c r="F31" s="947">
        <v>25</v>
      </c>
      <c r="G31" s="947">
        <v>15</v>
      </c>
      <c r="H31" s="947">
        <v>30</v>
      </c>
      <c r="I31" s="947">
        <v>15</v>
      </c>
      <c r="J31" s="947">
        <v>30</v>
      </c>
      <c r="K31" s="947"/>
      <c r="L31" s="946">
        <v>3</v>
      </c>
    </row>
    <row r="32" spans="2:12" ht="28.5" customHeight="1">
      <c r="B32" s="948" t="s">
        <v>273</v>
      </c>
      <c r="C32" s="947">
        <v>0.5</v>
      </c>
      <c r="D32" s="947">
        <v>0.5</v>
      </c>
      <c r="E32" s="947">
        <v>0.5</v>
      </c>
      <c r="F32" s="947">
        <v>0.5</v>
      </c>
      <c r="G32" s="947">
        <v>0.3</v>
      </c>
      <c r="H32" s="947">
        <v>0.7</v>
      </c>
      <c r="I32" s="947">
        <v>0.3</v>
      </c>
      <c r="J32" s="947">
        <v>0.7</v>
      </c>
      <c r="K32" s="947" t="s">
        <v>16</v>
      </c>
      <c r="L32" s="946"/>
    </row>
    <row r="33" spans="2:12" ht="38.25" customHeight="1">
      <c r="B33" s="945" t="s">
        <v>1292</v>
      </c>
      <c r="C33" s="935">
        <v>0.02</v>
      </c>
      <c r="D33" s="935">
        <v>0.02</v>
      </c>
      <c r="E33" s="935">
        <v>0.02</v>
      </c>
      <c r="F33" s="935">
        <v>0.02</v>
      </c>
      <c r="G33" s="935">
        <v>0.01</v>
      </c>
      <c r="H33" s="935">
        <v>0.04</v>
      </c>
      <c r="I33" s="935">
        <v>0.01</v>
      </c>
      <c r="J33" s="937">
        <v>0.04</v>
      </c>
      <c r="K33" s="937"/>
      <c r="L33" s="935">
        <v>1</v>
      </c>
    </row>
    <row r="34" spans="2:12">
      <c r="B34" s="1330" t="s">
        <v>660</v>
      </c>
      <c r="C34" s="1331"/>
      <c r="D34" s="1331"/>
      <c r="E34" s="1331"/>
      <c r="F34" s="1331"/>
      <c r="G34" s="1331"/>
      <c r="H34" s="1331"/>
      <c r="I34" s="1331"/>
      <c r="J34" s="1331"/>
      <c r="K34" s="1331"/>
      <c r="L34" s="1332"/>
    </row>
    <row r="35" spans="2:12" ht="26">
      <c r="B35" s="940" t="s">
        <v>661</v>
      </c>
      <c r="C35" s="937">
        <v>10</v>
      </c>
      <c r="D35" s="937">
        <v>10</v>
      </c>
      <c r="E35" s="937">
        <v>10</v>
      </c>
      <c r="F35" s="937">
        <v>10</v>
      </c>
      <c r="G35" s="937">
        <v>10</v>
      </c>
      <c r="H35" s="937">
        <v>25</v>
      </c>
      <c r="I35" s="937">
        <v>10</v>
      </c>
      <c r="J35" s="937">
        <v>30</v>
      </c>
      <c r="K35" s="937" t="s">
        <v>20</v>
      </c>
      <c r="L35" s="937">
        <v>3</v>
      </c>
    </row>
    <row r="36" spans="2:12" ht="26">
      <c r="B36" s="940" t="s">
        <v>662</v>
      </c>
      <c r="C36" s="937">
        <v>20</v>
      </c>
      <c r="D36" s="937">
        <v>20</v>
      </c>
      <c r="E36" s="937">
        <v>20</v>
      </c>
      <c r="F36" s="937">
        <v>20</v>
      </c>
      <c r="G36" s="937">
        <v>20</v>
      </c>
      <c r="H36" s="937">
        <v>40</v>
      </c>
      <c r="I36" s="937">
        <v>20</v>
      </c>
      <c r="J36" s="937">
        <v>40</v>
      </c>
      <c r="K36" s="937" t="s">
        <v>20</v>
      </c>
      <c r="L36" s="937">
        <v>3</v>
      </c>
    </row>
    <row r="37" spans="2:12">
      <c r="B37" s="940" t="s">
        <v>663</v>
      </c>
      <c r="C37" s="937">
        <v>10</v>
      </c>
      <c r="D37" s="937">
        <v>10</v>
      </c>
      <c r="E37" s="937">
        <v>10</v>
      </c>
      <c r="F37" s="937">
        <v>10</v>
      </c>
      <c r="G37" s="937">
        <v>10</v>
      </c>
      <c r="H37" s="937">
        <v>10</v>
      </c>
      <c r="I37" s="937">
        <v>10</v>
      </c>
      <c r="J37" s="937">
        <v>10</v>
      </c>
      <c r="K37" s="937" t="s">
        <v>20</v>
      </c>
      <c r="L37" s="937">
        <v>3</v>
      </c>
    </row>
    <row r="38" spans="2:12">
      <c r="B38" s="940" t="s">
        <v>664</v>
      </c>
      <c r="C38" s="937">
        <v>0</v>
      </c>
      <c r="D38" s="937">
        <v>0</v>
      </c>
      <c r="E38" s="937">
        <v>0</v>
      </c>
      <c r="F38" s="937">
        <v>0</v>
      </c>
      <c r="G38" s="937">
        <v>0</v>
      </c>
      <c r="H38" s="937">
        <v>1</v>
      </c>
      <c r="I38" s="937">
        <v>0</v>
      </c>
      <c r="J38" s="937">
        <v>1</v>
      </c>
      <c r="K38" s="937"/>
      <c r="L38" s="937">
        <v>3</v>
      </c>
    </row>
    <row r="39" spans="2:12">
      <c r="B39" s="940" t="s">
        <v>666</v>
      </c>
      <c r="C39" s="937">
        <v>6</v>
      </c>
      <c r="D39" s="937">
        <v>6</v>
      </c>
      <c r="E39" s="937">
        <v>6</v>
      </c>
      <c r="F39" s="937">
        <v>6</v>
      </c>
      <c r="G39" s="937">
        <v>1</v>
      </c>
      <c r="H39" s="937">
        <v>12</v>
      </c>
      <c r="I39" s="937">
        <v>1</v>
      </c>
      <c r="J39" s="937">
        <v>12</v>
      </c>
      <c r="K39" s="937" t="s">
        <v>76</v>
      </c>
      <c r="L39" s="937" t="s">
        <v>1291</v>
      </c>
    </row>
    <row r="40" spans="2:12">
      <c r="B40" s="1330" t="s">
        <v>12</v>
      </c>
      <c r="C40" s="1331"/>
      <c r="D40" s="1331"/>
      <c r="E40" s="1331"/>
      <c r="F40" s="1331"/>
      <c r="G40" s="1331"/>
      <c r="H40" s="1331"/>
      <c r="I40" s="1331"/>
      <c r="J40" s="1331"/>
      <c r="K40" s="1331"/>
      <c r="L40" s="1332"/>
    </row>
    <row r="41" spans="2:12">
      <c r="B41" s="940" t="s">
        <v>668</v>
      </c>
      <c r="C41" s="937">
        <v>0</v>
      </c>
      <c r="D41" s="937">
        <v>0</v>
      </c>
      <c r="E41" s="937">
        <v>0</v>
      </c>
      <c r="F41" s="937">
        <v>0</v>
      </c>
      <c r="G41" s="937">
        <v>0</v>
      </c>
      <c r="H41" s="937">
        <v>0</v>
      </c>
      <c r="I41" s="937">
        <v>0</v>
      </c>
      <c r="J41" s="937">
        <v>0</v>
      </c>
      <c r="K41" s="935"/>
      <c r="L41" s="944"/>
    </row>
    <row r="42" spans="2:12">
      <c r="B42" s="940" t="s">
        <v>670</v>
      </c>
      <c r="C42" s="937">
        <v>0</v>
      </c>
      <c r="D42" s="937">
        <v>0</v>
      </c>
      <c r="E42" s="937">
        <v>0</v>
      </c>
      <c r="F42" s="937">
        <v>0</v>
      </c>
      <c r="G42" s="937">
        <v>0</v>
      </c>
      <c r="H42" s="937">
        <v>0</v>
      </c>
      <c r="I42" s="937">
        <v>0</v>
      </c>
      <c r="J42" s="937">
        <v>0</v>
      </c>
      <c r="K42" s="937"/>
      <c r="L42" s="935"/>
    </row>
    <row r="43" spans="2:12">
      <c r="B43" s="940" t="s">
        <v>366</v>
      </c>
      <c r="C43" s="943">
        <v>0</v>
      </c>
      <c r="D43" s="943">
        <v>0</v>
      </c>
      <c r="E43" s="943">
        <v>0</v>
      </c>
      <c r="F43" s="943">
        <v>0</v>
      </c>
      <c r="G43" s="943">
        <v>0</v>
      </c>
      <c r="H43" s="943">
        <v>0</v>
      </c>
      <c r="I43" s="943">
        <v>0</v>
      </c>
      <c r="J43" s="943">
        <v>0</v>
      </c>
      <c r="K43" s="937"/>
      <c r="L43" s="935"/>
    </row>
    <row r="44" spans="2:12">
      <c r="B44" s="940" t="s">
        <v>367</v>
      </c>
      <c r="C44" s="942">
        <v>0</v>
      </c>
      <c r="D44" s="942">
        <v>0</v>
      </c>
      <c r="E44" s="942">
        <v>0</v>
      </c>
      <c r="F44" s="942">
        <v>0</v>
      </c>
      <c r="G44" s="942">
        <v>0</v>
      </c>
      <c r="H44" s="942">
        <v>0</v>
      </c>
      <c r="I44" s="942">
        <v>0</v>
      </c>
      <c r="J44" s="942">
        <v>0</v>
      </c>
      <c r="K44" s="942"/>
      <c r="L44" s="935"/>
    </row>
    <row r="45" spans="2:12">
      <c r="B45" s="1333" t="s">
        <v>674</v>
      </c>
      <c r="C45" s="1333"/>
      <c r="D45" s="1333"/>
      <c r="E45" s="1333"/>
      <c r="F45" s="1333"/>
      <c r="G45" s="1333"/>
      <c r="H45" s="1333"/>
      <c r="I45" s="1333"/>
      <c r="J45" s="1333"/>
      <c r="K45" s="1333"/>
      <c r="L45" s="1333"/>
    </row>
    <row r="46" spans="2:12" ht="37.5" customHeight="1">
      <c r="B46" s="936" t="s">
        <v>1290</v>
      </c>
      <c r="C46" s="941">
        <v>0.7</v>
      </c>
      <c r="D46" s="941">
        <v>0.65799999999999992</v>
      </c>
      <c r="E46" s="941">
        <v>0.59219999999999995</v>
      </c>
      <c r="F46" s="941">
        <v>0.53298000000000001</v>
      </c>
      <c r="G46" s="941">
        <v>0.5</v>
      </c>
      <c r="H46" s="941">
        <v>1</v>
      </c>
      <c r="I46" s="941">
        <v>0.5</v>
      </c>
      <c r="J46" s="941">
        <v>1</v>
      </c>
      <c r="K46" s="937" t="s">
        <v>1289</v>
      </c>
      <c r="L46" s="937"/>
    </row>
    <row r="47" spans="2:12" ht="25.5" customHeight="1">
      <c r="B47" s="940" t="s">
        <v>839</v>
      </c>
      <c r="C47" s="937">
        <v>50</v>
      </c>
      <c r="D47" s="937">
        <v>50</v>
      </c>
      <c r="E47" s="937">
        <v>50</v>
      </c>
      <c r="F47" s="937">
        <v>50</v>
      </c>
      <c r="G47" s="937">
        <v>30</v>
      </c>
      <c r="H47" s="937">
        <v>70</v>
      </c>
      <c r="I47" s="937">
        <v>30</v>
      </c>
      <c r="J47" s="937">
        <v>70</v>
      </c>
      <c r="K47" s="937"/>
      <c r="L47" s="937">
        <v>3</v>
      </c>
    </row>
    <row r="48" spans="2:12" ht="26.25" customHeight="1">
      <c r="B48" s="940" t="s">
        <v>840</v>
      </c>
      <c r="C48" s="937">
        <v>50</v>
      </c>
      <c r="D48" s="937">
        <v>50</v>
      </c>
      <c r="E48" s="937">
        <v>50</v>
      </c>
      <c r="F48" s="937">
        <v>50</v>
      </c>
      <c r="G48" s="937">
        <v>30</v>
      </c>
      <c r="H48" s="937">
        <v>70</v>
      </c>
      <c r="I48" s="937">
        <v>30</v>
      </c>
      <c r="J48" s="937">
        <v>70</v>
      </c>
      <c r="K48" s="937"/>
      <c r="L48" s="937">
        <v>3</v>
      </c>
    </row>
    <row r="49" spans="2:12" ht="30" customHeight="1">
      <c r="B49" s="940" t="s">
        <v>1288</v>
      </c>
      <c r="C49" s="937">
        <v>2000</v>
      </c>
      <c r="D49" s="937">
        <v>2000</v>
      </c>
      <c r="E49" s="937">
        <v>2000</v>
      </c>
      <c r="F49" s="937">
        <v>2000</v>
      </c>
      <c r="G49" s="937">
        <v>1000</v>
      </c>
      <c r="H49" s="937">
        <v>3000</v>
      </c>
      <c r="I49" s="937">
        <v>1000</v>
      </c>
      <c r="J49" s="937">
        <v>3000</v>
      </c>
      <c r="K49" s="937"/>
      <c r="L49" s="937">
        <v>3</v>
      </c>
    </row>
    <row r="50" spans="2:12" ht="30.75" customHeight="1">
      <c r="B50" s="940" t="s">
        <v>1287</v>
      </c>
      <c r="C50" s="938">
        <v>8.4</v>
      </c>
      <c r="D50" s="938">
        <v>8.2000000000000011</v>
      </c>
      <c r="E50" s="938">
        <v>8.7999999999999989</v>
      </c>
      <c r="F50" s="938">
        <v>8.1999999999999993</v>
      </c>
      <c r="G50" s="938">
        <v>4.3</v>
      </c>
      <c r="H50" s="938">
        <v>9.1</v>
      </c>
      <c r="I50" s="938">
        <v>6.5</v>
      </c>
      <c r="J50" s="938">
        <v>11.9</v>
      </c>
      <c r="K50" s="937"/>
      <c r="L50" s="937"/>
    </row>
    <row r="51" spans="2:12" ht="36.75" customHeight="1">
      <c r="B51" s="939" t="s">
        <v>1286</v>
      </c>
      <c r="C51" s="938">
        <v>6.4</v>
      </c>
      <c r="D51" s="938">
        <v>6.4</v>
      </c>
      <c r="E51" s="938">
        <v>7.1</v>
      </c>
      <c r="F51" s="938">
        <v>6.6</v>
      </c>
      <c r="G51" s="938">
        <v>2.8</v>
      </c>
      <c r="H51" s="938">
        <v>7.1</v>
      </c>
      <c r="I51" s="938">
        <v>5</v>
      </c>
      <c r="J51" s="938">
        <v>9.9</v>
      </c>
      <c r="K51" s="937" t="s">
        <v>886</v>
      </c>
      <c r="L51" s="937"/>
    </row>
    <row r="52" spans="2:12" ht="37.5" customHeight="1">
      <c r="B52" s="939" t="s">
        <v>1285</v>
      </c>
      <c r="C52" s="938">
        <v>2</v>
      </c>
      <c r="D52" s="938">
        <v>1.8</v>
      </c>
      <c r="E52" s="938">
        <v>1.7</v>
      </c>
      <c r="F52" s="938">
        <v>1.6</v>
      </c>
      <c r="G52" s="938">
        <v>1.5</v>
      </c>
      <c r="H52" s="938">
        <v>2</v>
      </c>
      <c r="I52" s="938">
        <v>1.5</v>
      </c>
      <c r="J52" s="938">
        <v>2</v>
      </c>
      <c r="K52" s="937" t="s">
        <v>25</v>
      </c>
      <c r="L52" s="937">
        <v>3</v>
      </c>
    </row>
    <row r="53" spans="2:12">
      <c r="B53" s="1330" t="s">
        <v>682</v>
      </c>
      <c r="C53" s="1331"/>
      <c r="D53" s="1331"/>
      <c r="E53" s="1331"/>
      <c r="F53" s="1331"/>
      <c r="G53" s="1331"/>
      <c r="H53" s="1331"/>
      <c r="I53" s="1331"/>
      <c r="J53" s="1331"/>
      <c r="K53" s="1331"/>
      <c r="L53" s="1332"/>
    </row>
    <row r="54" spans="2:12">
      <c r="B54" s="936"/>
      <c r="C54" s="935"/>
      <c r="D54" s="935"/>
      <c r="E54" s="935"/>
      <c r="F54" s="935"/>
      <c r="G54" s="935"/>
      <c r="H54" s="935"/>
      <c r="I54" s="935"/>
      <c r="J54" s="935"/>
      <c r="K54" s="935"/>
      <c r="L54" s="935"/>
    </row>
  </sheetData>
  <mergeCells count="8">
    <mergeCell ref="P4:Q4"/>
    <mergeCell ref="B53:L53"/>
    <mergeCell ref="B45:L45"/>
    <mergeCell ref="C19:L19"/>
    <mergeCell ref="G20:H20"/>
    <mergeCell ref="I20:J20"/>
    <mergeCell ref="B34:L34"/>
    <mergeCell ref="B40:L40"/>
  </mergeCells>
  <pageMargins left="0.7" right="0.7" top="0.75" bottom="0.75" header="0.3" footer="0.3"/>
  <pageSetup paperSize="9" orientation="portrait"/>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F01C-7B84-4D5C-8996-D82722FC84BC}">
  <sheetPr>
    <tabColor theme="4" tint="0.39997558519241921"/>
  </sheetPr>
  <dimension ref="A3:Q54"/>
  <sheetViews>
    <sheetView workbookViewId="0">
      <selection activeCell="M14" sqref="M14"/>
    </sheetView>
  </sheetViews>
  <sheetFormatPr baseColWidth="10" defaultColWidth="9.1640625" defaultRowHeight="15"/>
  <cols>
    <col min="1" max="1" width="9.1640625" style="912"/>
    <col min="2" max="2" width="15.83203125" style="979" customWidth="1"/>
    <col min="3" max="3" width="12.33203125" style="912" bestFit="1" customWidth="1"/>
    <col min="4" max="4" width="9.1640625" style="912"/>
    <col min="5" max="5" width="17.5" style="912" bestFit="1" customWidth="1"/>
    <col min="6" max="16384" width="9.1640625" style="912"/>
  </cols>
  <sheetData>
    <row r="3" spans="1:17" ht="32">
      <c r="B3" s="918" t="s">
        <v>1284</v>
      </c>
      <c r="C3" s="918" t="s">
        <v>1133</v>
      </c>
      <c r="D3" s="918" t="s">
        <v>1275</v>
      </c>
      <c r="E3" s="918" t="s">
        <v>1276</v>
      </c>
      <c r="F3" s="917" t="s">
        <v>340</v>
      </c>
      <c r="G3" s="917" t="s">
        <v>341</v>
      </c>
      <c r="H3" s="917" t="s">
        <v>342</v>
      </c>
      <c r="I3" s="917" t="s">
        <v>343</v>
      </c>
      <c r="J3" s="917" t="s">
        <v>344</v>
      </c>
      <c r="K3" s="917" t="s">
        <v>1274</v>
      </c>
      <c r="L3" s="917" t="s">
        <v>339</v>
      </c>
    </row>
    <row r="4" spans="1:17" ht="42" customHeight="1">
      <c r="B4" s="916" t="s">
        <v>1283</v>
      </c>
      <c r="C4" s="916"/>
      <c r="D4" s="916" t="s">
        <v>1272</v>
      </c>
      <c r="E4" s="916" t="s">
        <v>1273</v>
      </c>
      <c r="F4" s="916" t="s">
        <v>1271</v>
      </c>
      <c r="G4" s="916" t="s">
        <v>1270</v>
      </c>
      <c r="H4" s="916" t="s">
        <v>1269</v>
      </c>
      <c r="I4" s="916" t="s">
        <v>1268</v>
      </c>
      <c r="J4" s="916" t="s">
        <v>1267</v>
      </c>
      <c r="K4" s="916" t="s">
        <v>1266</v>
      </c>
      <c r="L4" s="916" t="s">
        <v>1265</v>
      </c>
    </row>
    <row r="5" spans="1:17" ht="16" thickBot="1">
      <c r="B5" s="915"/>
      <c r="C5" s="915"/>
      <c r="D5" s="915"/>
      <c r="E5" s="915" t="s">
        <v>449</v>
      </c>
      <c r="F5" s="915" t="s">
        <v>1262</v>
      </c>
      <c r="G5" s="915" t="s">
        <v>1262</v>
      </c>
      <c r="H5" s="915" t="s">
        <v>1261</v>
      </c>
      <c r="I5" s="915" t="s">
        <v>351</v>
      </c>
      <c r="J5" s="915" t="s">
        <v>351</v>
      </c>
      <c r="K5" s="915"/>
      <c r="L5" s="915" t="s">
        <v>1260</v>
      </c>
      <c r="P5" s="912" t="s">
        <v>1282</v>
      </c>
      <c r="Q5" s="912">
        <v>7.45</v>
      </c>
    </row>
    <row r="6" spans="1:17">
      <c r="B6" s="979">
        <v>40</v>
      </c>
      <c r="C6" s="979">
        <v>2015</v>
      </c>
      <c r="D6" s="914">
        <f>1/(C27/100)</f>
        <v>0.14285714285714285</v>
      </c>
      <c r="E6" s="913">
        <f>C22</f>
        <v>4</v>
      </c>
      <c r="F6" s="914">
        <f>C46*$Q$5</f>
        <v>5.2149999999999999</v>
      </c>
      <c r="G6" s="912">
        <f>C49/1000000*$Q$5</f>
        <v>1.49E-2</v>
      </c>
      <c r="H6" s="912">
        <f>C52*$Q$5/3.6</f>
        <v>4.1388888888888893</v>
      </c>
      <c r="I6" s="929">
        <v>3.1536000000000002E-2</v>
      </c>
      <c r="J6" s="930">
        <v>0.98</v>
      </c>
      <c r="K6" s="929">
        <v>1</v>
      </c>
      <c r="L6" s="912">
        <f>C31</f>
        <v>25</v>
      </c>
    </row>
    <row r="7" spans="1:17">
      <c r="C7" s="979">
        <v>2020</v>
      </c>
      <c r="D7" s="914">
        <f>1/(D27/100)</f>
        <v>0.1111111111111111</v>
      </c>
      <c r="E7" s="913">
        <f>D22</f>
        <v>4</v>
      </c>
      <c r="F7" s="914">
        <f>D46*$Q$5</f>
        <v>4.9020999999999999</v>
      </c>
      <c r="G7" s="912">
        <f>D49/1000000*$Q$5</f>
        <v>1.49E-2</v>
      </c>
      <c r="H7" s="912">
        <f>D52*$Q$5/3.6</f>
        <v>3.7250000000000001</v>
      </c>
      <c r="L7" s="912">
        <f>D31</f>
        <v>25</v>
      </c>
    </row>
    <row r="8" spans="1:17">
      <c r="C8" s="979">
        <v>2030</v>
      </c>
      <c r="D8" s="914">
        <f>1/(E27/100)</f>
        <v>8.3333333333333329E-2</v>
      </c>
      <c r="E8" s="913">
        <f>E22</f>
        <v>4</v>
      </c>
      <c r="F8" s="914">
        <f>E46*$Q$5</f>
        <v>4.4118899999999996</v>
      </c>
      <c r="G8" s="912">
        <f>E49/1000000*$Q$5</f>
        <v>1.49E-2</v>
      </c>
      <c r="H8" s="912">
        <f>E52*$Q$5/3.6</f>
        <v>3.5180555555555553</v>
      </c>
      <c r="L8" s="912">
        <f>E31</f>
        <v>25</v>
      </c>
    </row>
    <row r="9" spans="1:17">
      <c r="C9" s="979">
        <v>2050</v>
      </c>
      <c r="D9" s="914">
        <f>1/(F27/100)</f>
        <v>5.5555555555555552E-2</v>
      </c>
      <c r="E9" s="913">
        <f>F22</f>
        <v>4</v>
      </c>
      <c r="F9" s="914">
        <f>F46*$Q$5</f>
        <v>3.970701</v>
      </c>
      <c r="G9" s="912">
        <f>F49/1000000*$Q$5</f>
        <v>1.49E-2</v>
      </c>
      <c r="H9" s="912">
        <f>F52*$Q$5/3.6</f>
        <v>3.3111111111111113</v>
      </c>
      <c r="L9" s="912">
        <f>F31</f>
        <v>25</v>
      </c>
    </row>
    <row r="10" spans="1:17">
      <c r="A10" s="1001"/>
      <c r="B10" s="1000">
        <v>80</v>
      </c>
      <c r="C10" s="1000">
        <v>2015</v>
      </c>
      <c r="D10" s="999">
        <f>1/(C27*2/100)</f>
        <v>7.1428571428571425E-2</v>
      </c>
      <c r="E10" s="963">
        <f>C22</f>
        <v>4</v>
      </c>
      <c r="F10" s="999">
        <f>C46*$Q$5</f>
        <v>5.2149999999999999</v>
      </c>
      <c r="G10" s="998">
        <f>C49/1000000*$Q$5</f>
        <v>1.49E-2</v>
      </c>
      <c r="H10" s="998">
        <f>C52*$Q$5/3.6</f>
        <v>4.1388888888888893</v>
      </c>
      <c r="I10" s="965">
        <v>3.1536000000000002E-2</v>
      </c>
      <c r="J10" s="966">
        <v>0.98</v>
      </c>
      <c r="K10" s="965">
        <v>1</v>
      </c>
      <c r="L10" s="998">
        <f>C31</f>
        <v>25</v>
      </c>
    </row>
    <row r="11" spans="1:17">
      <c r="B11" s="1000"/>
      <c r="C11" s="1000">
        <v>2020</v>
      </c>
      <c r="D11" s="999">
        <f>1/(D27*2/100)</f>
        <v>5.5555555555555552E-2</v>
      </c>
      <c r="E11" s="963">
        <f>D22</f>
        <v>4</v>
      </c>
      <c r="F11" s="999">
        <f>D46*$Q$5</f>
        <v>4.9020999999999999</v>
      </c>
      <c r="G11" s="998">
        <f>D49/1000000*$Q$5</f>
        <v>1.49E-2</v>
      </c>
      <c r="H11" s="998">
        <f>D52*$Q$5/3.6</f>
        <v>3.7250000000000001</v>
      </c>
      <c r="I11" s="998"/>
      <c r="J11" s="998"/>
      <c r="K11" s="998"/>
      <c r="L11" s="998">
        <f>D31</f>
        <v>25</v>
      </c>
    </row>
    <row r="12" spans="1:17">
      <c r="B12" s="1000"/>
      <c r="C12" s="1000">
        <v>2030</v>
      </c>
      <c r="D12" s="999">
        <f>1/(E27*2/100)</f>
        <v>4.1666666666666664E-2</v>
      </c>
      <c r="E12" s="963">
        <f>E22</f>
        <v>4</v>
      </c>
      <c r="F12" s="999">
        <f>E46*$Q$5</f>
        <v>4.4118899999999996</v>
      </c>
      <c r="G12" s="998">
        <f>E49/1000000*$Q$5</f>
        <v>1.49E-2</v>
      </c>
      <c r="H12" s="998">
        <f>E52*$Q$5/3.6</f>
        <v>3.5180555555555553</v>
      </c>
      <c r="I12" s="998"/>
      <c r="J12" s="998"/>
      <c r="K12" s="998"/>
      <c r="L12" s="998">
        <f>E31</f>
        <v>25</v>
      </c>
    </row>
    <row r="13" spans="1:17">
      <c r="B13" s="1000"/>
      <c r="C13" s="1000">
        <v>2050</v>
      </c>
      <c r="D13" s="999">
        <f>1/(F27*2/100)</f>
        <v>2.7777777777777776E-2</v>
      </c>
      <c r="E13" s="963">
        <f>F22</f>
        <v>4</v>
      </c>
      <c r="F13" s="999">
        <f>F46*$Q$5</f>
        <v>3.970701</v>
      </c>
      <c r="G13" s="998">
        <f>F49/1000000*$Q$5</f>
        <v>1.49E-2</v>
      </c>
      <c r="H13" s="998">
        <f>F52*$Q$5/3.6</f>
        <v>3.3111111111111113</v>
      </c>
      <c r="I13" s="998"/>
      <c r="J13" s="998"/>
      <c r="K13" s="998"/>
      <c r="L13" s="998">
        <f>F31</f>
        <v>25</v>
      </c>
    </row>
    <row r="14" spans="1:17">
      <c r="E14" s="913"/>
    </row>
    <row r="15" spans="1:17">
      <c r="E15" s="913"/>
    </row>
    <row r="16" spans="1:17">
      <c r="E16" s="913"/>
    </row>
    <row r="17" spans="2:12">
      <c r="B17" s="912" t="s">
        <v>1281</v>
      </c>
      <c r="C17" s="979"/>
      <c r="E17" s="913"/>
    </row>
    <row r="19" spans="2:12">
      <c r="B19" s="997" t="s">
        <v>0</v>
      </c>
      <c r="C19" s="1342" t="s">
        <v>1303</v>
      </c>
      <c r="D19" s="1343"/>
      <c r="E19" s="1343"/>
      <c r="F19" s="1343"/>
      <c r="G19" s="1343"/>
      <c r="H19" s="1343"/>
      <c r="I19" s="1343"/>
      <c r="J19" s="1343"/>
      <c r="K19" s="1343"/>
      <c r="L19" s="1344"/>
    </row>
    <row r="20" spans="2:12">
      <c r="B20" s="985"/>
      <c r="C20" s="996">
        <v>2015</v>
      </c>
      <c r="D20" s="996">
        <v>2020</v>
      </c>
      <c r="E20" s="996">
        <v>2030</v>
      </c>
      <c r="F20" s="996">
        <v>2050</v>
      </c>
      <c r="G20" s="1342" t="s">
        <v>647</v>
      </c>
      <c r="H20" s="1345"/>
      <c r="I20" s="1342" t="s">
        <v>648</v>
      </c>
      <c r="J20" s="1345"/>
      <c r="K20" s="996" t="s">
        <v>2</v>
      </c>
      <c r="L20" s="996" t="s">
        <v>3</v>
      </c>
    </row>
    <row r="21" spans="2:12" ht="28">
      <c r="B21" s="995" t="s">
        <v>4</v>
      </c>
      <c r="C21" s="994"/>
      <c r="D21" s="994"/>
      <c r="E21" s="994"/>
      <c r="F21" s="994"/>
      <c r="G21" s="994" t="s">
        <v>649</v>
      </c>
      <c r="H21" s="994" t="s">
        <v>650</v>
      </c>
      <c r="I21" s="994" t="s">
        <v>649</v>
      </c>
      <c r="J21" s="994" t="s">
        <v>650</v>
      </c>
      <c r="K21" s="994"/>
      <c r="L21" s="993"/>
    </row>
    <row r="22" spans="2:12" ht="39">
      <c r="B22" s="981" t="s">
        <v>1302</v>
      </c>
      <c r="C22" s="982">
        <v>4</v>
      </c>
      <c r="D22" s="982">
        <v>4</v>
      </c>
      <c r="E22" s="982">
        <v>4</v>
      </c>
      <c r="F22" s="982">
        <v>4</v>
      </c>
      <c r="G22" s="982">
        <v>3</v>
      </c>
      <c r="H22" s="982">
        <v>6</v>
      </c>
      <c r="I22" s="982">
        <v>3</v>
      </c>
      <c r="J22" s="982">
        <v>10</v>
      </c>
      <c r="K22" s="982"/>
      <c r="L22" s="982">
        <v>3</v>
      </c>
    </row>
    <row r="23" spans="2:12" ht="26">
      <c r="B23" s="981" t="s">
        <v>652</v>
      </c>
      <c r="C23" s="989" t="s">
        <v>1301</v>
      </c>
      <c r="D23" s="989" t="s">
        <v>1301</v>
      </c>
      <c r="E23" s="989" t="s">
        <v>1301</v>
      </c>
      <c r="F23" s="989" t="s">
        <v>1301</v>
      </c>
      <c r="G23" s="989" t="s">
        <v>1301</v>
      </c>
      <c r="H23" s="989" t="s">
        <v>1301</v>
      </c>
      <c r="I23" s="989" t="s">
        <v>1301</v>
      </c>
      <c r="J23" s="989" t="s">
        <v>1301</v>
      </c>
      <c r="K23" s="989"/>
      <c r="L23" s="989"/>
    </row>
    <row r="24" spans="2:12" ht="65">
      <c r="B24" s="981" t="s">
        <v>1300</v>
      </c>
      <c r="C24" s="980">
        <v>350</v>
      </c>
      <c r="D24" s="992">
        <v>360</v>
      </c>
      <c r="E24" s="992">
        <v>380</v>
      </c>
      <c r="F24" s="992">
        <v>410</v>
      </c>
      <c r="G24" s="992">
        <v>350</v>
      </c>
      <c r="H24" s="992">
        <v>380</v>
      </c>
      <c r="I24" s="992">
        <v>350</v>
      </c>
      <c r="J24" s="992">
        <v>450</v>
      </c>
      <c r="K24" s="992" t="s">
        <v>1299</v>
      </c>
      <c r="L24" s="992">
        <v>4</v>
      </c>
    </row>
    <row r="25" spans="2:12" ht="65">
      <c r="B25" s="981" t="s">
        <v>1298</v>
      </c>
      <c r="C25" s="980">
        <v>350</v>
      </c>
      <c r="D25" s="980">
        <v>400</v>
      </c>
      <c r="E25" s="980">
        <v>480</v>
      </c>
      <c r="F25" s="980">
        <v>600</v>
      </c>
      <c r="G25" s="980">
        <v>350</v>
      </c>
      <c r="H25" s="980">
        <v>450</v>
      </c>
      <c r="I25" s="980">
        <v>350</v>
      </c>
      <c r="J25" s="980">
        <v>700</v>
      </c>
      <c r="K25" s="980" t="s">
        <v>1295</v>
      </c>
      <c r="L25" s="980" t="s">
        <v>1294</v>
      </c>
    </row>
    <row r="26" spans="2:12" ht="65">
      <c r="B26" s="981" t="s">
        <v>1309</v>
      </c>
      <c r="C26" s="980">
        <v>440</v>
      </c>
      <c r="D26" s="980">
        <v>500</v>
      </c>
      <c r="E26" s="980">
        <v>600</v>
      </c>
      <c r="F26" s="980">
        <v>740</v>
      </c>
      <c r="G26" s="980">
        <v>440</v>
      </c>
      <c r="H26" s="980">
        <v>600</v>
      </c>
      <c r="I26" s="980">
        <v>440</v>
      </c>
      <c r="J26" s="980">
        <v>850</v>
      </c>
      <c r="K26" s="980" t="s">
        <v>1295</v>
      </c>
      <c r="L26" s="980" t="s">
        <v>1294</v>
      </c>
    </row>
    <row r="27" spans="2:12" ht="65">
      <c r="B27" s="991" t="s">
        <v>1296</v>
      </c>
      <c r="C27" s="980">
        <v>700</v>
      </c>
      <c r="D27" s="980">
        <v>900</v>
      </c>
      <c r="E27" s="980">
        <v>1200</v>
      </c>
      <c r="F27" s="980">
        <v>1800</v>
      </c>
      <c r="G27" s="980">
        <v>700</v>
      </c>
      <c r="H27" s="980">
        <v>1200</v>
      </c>
      <c r="I27" s="980">
        <v>700</v>
      </c>
      <c r="J27" s="980">
        <v>2000</v>
      </c>
      <c r="K27" s="980" t="s">
        <v>1295</v>
      </c>
      <c r="L27" s="980" t="s">
        <v>1294</v>
      </c>
    </row>
    <row r="28" spans="2:12" ht="52">
      <c r="B28" s="981" t="s">
        <v>654</v>
      </c>
      <c r="C28" s="980">
        <v>10</v>
      </c>
      <c r="D28" s="980">
        <v>9</v>
      </c>
      <c r="E28" s="980">
        <v>7</v>
      </c>
      <c r="F28" s="980">
        <v>4</v>
      </c>
      <c r="G28" s="980">
        <v>4</v>
      </c>
      <c r="H28" s="980">
        <v>10</v>
      </c>
      <c r="I28" s="980">
        <v>3</v>
      </c>
      <c r="J28" s="980">
        <v>6</v>
      </c>
      <c r="K28" s="980" t="s">
        <v>1293</v>
      </c>
      <c r="L28" s="980">
        <v>3</v>
      </c>
    </row>
    <row r="29" spans="2:12">
      <c r="B29" s="981" t="s">
        <v>657</v>
      </c>
      <c r="C29" s="980">
        <v>0</v>
      </c>
      <c r="D29" s="980">
        <v>0</v>
      </c>
      <c r="E29" s="980">
        <v>0</v>
      </c>
      <c r="F29" s="980">
        <v>0</v>
      </c>
      <c r="G29" s="980">
        <v>0</v>
      </c>
      <c r="H29" s="980">
        <v>1</v>
      </c>
      <c r="I29" s="980">
        <v>0</v>
      </c>
      <c r="J29" s="980">
        <v>1</v>
      </c>
      <c r="K29" s="980" t="s">
        <v>33</v>
      </c>
      <c r="L29" s="980">
        <v>3</v>
      </c>
    </row>
    <row r="30" spans="2:12" ht="26">
      <c r="B30" s="985" t="s">
        <v>658</v>
      </c>
      <c r="C30" s="982">
        <v>0.5</v>
      </c>
      <c r="D30" s="982">
        <v>0.5</v>
      </c>
      <c r="E30" s="982">
        <v>0.5</v>
      </c>
      <c r="F30" s="982">
        <v>0.5</v>
      </c>
      <c r="G30" s="982">
        <v>0</v>
      </c>
      <c r="H30" s="982">
        <v>1</v>
      </c>
      <c r="I30" s="982">
        <v>0</v>
      </c>
      <c r="J30" s="982">
        <v>1</v>
      </c>
      <c r="K30" s="982" t="s">
        <v>51</v>
      </c>
      <c r="L30" s="980">
        <v>3</v>
      </c>
    </row>
    <row r="31" spans="2:12" ht="26">
      <c r="B31" s="985" t="s">
        <v>11</v>
      </c>
      <c r="C31" s="982">
        <v>25</v>
      </c>
      <c r="D31" s="982">
        <v>25</v>
      </c>
      <c r="E31" s="982">
        <v>25</v>
      </c>
      <c r="F31" s="982">
        <v>25</v>
      </c>
      <c r="G31" s="982">
        <v>15</v>
      </c>
      <c r="H31" s="982">
        <v>30</v>
      </c>
      <c r="I31" s="982">
        <v>15</v>
      </c>
      <c r="J31" s="982">
        <v>30</v>
      </c>
      <c r="K31" s="982"/>
      <c r="L31" s="980">
        <v>3</v>
      </c>
    </row>
    <row r="32" spans="2:12" ht="26">
      <c r="B32" s="985" t="s">
        <v>273</v>
      </c>
      <c r="C32" s="982">
        <v>0.5</v>
      </c>
      <c r="D32" s="982">
        <v>0.5</v>
      </c>
      <c r="E32" s="982">
        <v>0.5</v>
      </c>
      <c r="F32" s="982">
        <v>0.5</v>
      </c>
      <c r="G32" s="982">
        <v>0.3</v>
      </c>
      <c r="H32" s="982">
        <v>0.7</v>
      </c>
      <c r="I32" s="982">
        <v>0.3</v>
      </c>
      <c r="J32" s="982">
        <v>0.7</v>
      </c>
      <c r="K32" s="982" t="s">
        <v>16</v>
      </c>
      <c r="L32" s="980"/>
    </row>
    <row r="33" spans="2:12" ht="26">
      <c r="B33" s="990" t="s">
        <v>1292</v>
      </c>
      <c r="C33" s="980">
        <v>0.02</v>
      </c>
      <c r="D33" s="980">
        <v>0.02</v>
      </c>
      <c r="E33" s="980">
        <v>0.02</v>
      </c>
      <c r="F33" s="980">
        <v>0.02</v>
      </c>
      <c r="G33" s="980">
        <v>0.01</v>
      </c>
      <c r="H33" s="980">
        <v>0.04</v>
      </c>
      <c r="I33" s="980">
        <v>0.01</v>
      </c>
      <c r="J33" s="982">
        <v>0.04</v>
      </c>
      <c r="K33" s="982"/>
      <c r="L33" s="980">
        <v>1</v>
      </c>
    </row>
    <row r="34" spans="2:12">
      <c r="B34" s="1338" t="s">
        <v>660</v>
      </c>
      <c r="C34" s="1339"/>
      <c r="D34" s="1339"/>
      <c r="E34" s="1339"/>
      <c r="F34" s="1339"/>
      <c r="G34" s="1339"/>
      <c r="H34" s="1339"/>
      <c r="I34" s="1339"/>
      <c r="J34" s="1339"/>
      <c r="K34" s="1339"/>
      <c r="L34" s="1340"/>
    </row>
    <row r="35" spans="2:12" ht="26">
      <c r="B35" s="985" t="s">
        <v>661</v>
      </c>
      <c r="C35" s="982">
        <v>10</v>
      </c>
      <c r="D35" s="982">
        <v>10</v>
      </c>
      <c r="E35" s="982">
        <v>10</v>
      </c>
      <c r="F35" s="982">
        <v>10</v>
      </c>
      <c r="G35" s="982">
        <v>10</v>
      </c>
      <c r="H35" s="982">
        <v>25</v>
      </c>
      <c r="I35" s="982">
        <v>10</v>
      </c>
      <c r="J35" s="982">
        <v>30</v>
      </c>
      <c r="K35" s="982" t="s">
        <v>20</v>
      </c>
      <c r="L35" s="982">
        <v>3</v>
      </c>
    </row>
    <row r="36" spans="2:12" ht="26">
      <c r="B36" s="985" t="s">
        <v>662</v>
      </c>
      <c r="C36" s="982">
        <v>20</v>
      </c>
      <c r="D36" s="982">
        <v>20</v>
      </c>
      <c r="E36" s="982">
        <v>20</v>
      </c>
      <c r="F36" s="982">
        <v>20</v>
      </c>
      <c r="G36" s="982">
        <v>20</v>
      </c>
      <c r="H36" s="982">
        <v>40</v>
      </c>
      <c r="I36" s="982">
        <v>20</v>
      </c>
      <c r="J36" s="982">
        <v>40</v>
      </c>
      <c r="K36" s="982" t="s">
        <v>20</v>
      </c>
      <c r="L36" s="982">
        <v>3</v>
      </c>
    </row>
    <row r="37" spans="2:12" ht="26">
      <c r="B37" s="985" t="s">
        <v>663</v>
      </c>
      <c r="C37" s="982">
        <v>10</v>
      </c>
      <c r="D37" s="982">
        <v>10</v>
      </c>
      <c r="E37" s="982">
        <v>10</v>
      </c>
      <c r="F37" s="982">
        <v>10</v>
      </c>
      <c r="G37" s="982">
        <v>10</v>
      </c>
      <c r="H37" s="982">
        <v>10</v>
      </c>
      <c r="I37" s="982">
        <v>10</v>
      </c>
      <c r="J37" s="982">
        <v>10</v>
      </c>
      <c r="K37" s="982" t="s">
        <v>20</v>
      </c>
      <c r="L37" s="982">
        <v>3</v>
      </c>
    </row>
    <row r="38" spans="2:12" ht="26">
      <c r="B38" s="985" t="s">
        <v>664</v>
      </c>
      <c r="C38" s="982">
        <v>0</v>
      </c>
      <c r="D38" s="982">
        <v>0</v>
      </c>
      <c r="E38" s="982">
        <v>0</v>
      </c>
      <c r="F38" s="982">
        <v>0</v>
      </c>
      <c r="G38" s="982">
        <v>0</v>
      </c>
      <c r="H38" s="982">
        <v>1</v>
      </c>
      <c r="I38" s="982">
        <v>0</v>
      </c>
      <c r="J38" s="982">
        <v>1</v>
      </c>
      <c r="K38" s="982"/>
      <c r="L38" s="982">
        <v>3</v>
      </c>
    </row>
    <row r="39" spans="2:12" ht="26">
      <c r="B39" s="985" t="s">
        <v>666</v>
      </c>
      <c r="C39" s="982">
        <v>6</v>
      </c>
      <c r="D39" s="982">
        <v>6</v>
      </c>
      <c r="E39" s="982">
        <v>6</v>
      </c>
      <c r="F39" s="982">
        <v>6</v>
      </c>
      <c r="G39" s="982">
        <v>1</v>
      </c>
      <c r="H39" s="982">
        <v>12</v>
      </c>
      <c r="I39" s="982">
        <v>1</v>
      </c>
      <c r="J39" s="982">
        <v>12</v>
      </c>
      <c r="K39" s="982" t="s">
        <v>76</v>
      </c>
      <c r="L39" s="982" t="s">
        <v>1291</v>
      </c>
    </row>
    <row r="40" spans="2:12">
      <c r="B40" s="1338" t="s">
        <v>12</v>
      </c>
      <c r="C40" s="1339"/>
      <c r="D40" s="1339"/>
      <c r="E40" s="1339"/>
      <c r="F40" s="1339"/>
      <c r="G40" s="1339"/>
      <c r="H40" s="1339"/>
      <c r="I40" s="1339"/>
      <c r="J40" s="1339"/>
      <c r="K40" s="1339"/>
      <c r="L40" s="1340"/>
    </row>
    <row r="41" spans="2:12">
      <c r="B41" s="985" t="s">
        <v>668</v>
      </c>
      <c r="C41" s="982">
        <v>0</v>
      </c>
      <c r="D41" s="982">
        <v>0</v>
      </c>
      <c r="E41" s="982">
        <v>0</v>
      </c>
      <c r="F41" s="982">
        <v>0</v>
      </c>
      <c r="G41" s="982">
        <v>0</v>
      </c>
      <c r="H41" s="982">
        <v>0</v>
      </c>
      <c r="I41" s="982">
        <v>0</v>
      </c>
      <c r="J41" s="982">
        <v>0</v>
      </c>
      <c r="K41" s="980"/>
      <c r="L41" s="989"/>
    </row>
    <row r="42" spans="2:12">
      <c r="B42" s="985" t="s">
        <v>670</v>
      </c>
      <c r="C42" s="982">
        <v>0</v>
      </c>
      <c r="D42" s="982">
        <v>0</v>
      </c>
      <c r="E42" s="982">
        <v>0</v>
      </c>
      <c r="F42" s="982">
        <v>0</v>
      </c>
      <c r="G42" s="982">
        <v>0</v>
      </c>
      <c r="H42" s="982">
        <v>0</v>
      </c>
      <c r="I42" s="982">
        <v>0</v>
      </c>
      <c r="J42" s="982">
        <v>0</v>
      </c>
      <c r="K42" s="982"/>
      <c r="L42" s="980"/>
    </row>
    <row r="43" spans="2:12">
      <c r="B43" s="985" t="s">
        <v>366</v>
      </c>
      <c r="C43" s="988">
        <v>0</v>
      </c>
      <c r="D43" s="988">
        <v>0</v>
      </c>
      <c r="E43" s="988">
        <v>0</v>
      </c>
      <c r="F43" s="988">
        <v>0</v>
      </c>
      <c r="G43" s="988">
        <v>0</v>
      </c>
      <c r="H43" s="988">
        <v>0</v>
      </c>
      <c r="I43" s="988">
        <v>0</v>
      </c>
      <c r="J43" s="988">
        <v>0</v>
      </c>
      <c r="K43" s="982"/>
      <c r="L43" s="980"/>
    </row>
    <row r="44" spans="2:12">
      <c r="B44" s="985" t="s">
        <v>367</v>
      </c>
      <c r="C44" s="987">
        <v>0</v>
      </c>
      <c r="D44" s="987">
        <v>0</v>
      </c>
      <c r="E44" s="987">
        <v>0</v>
      </c>
      <c r="F44" s="987">
        <v>0</v>
      </c>
      <c r="G44" s="987">
        <v>0</v>
      </c>
      <c r="H44" s="987">
        <v>0</v>
      </c>
      <c r="I44" s="987">
        <v>0</v>
      </c>
      <c r="J44" s="987">
        <v>0</v>
      </c>
      <c r="K44" s="987"/>
      <c r="L44" s="980"/>
    </row>
    <row r="45" spans="2:12">
      <c r="B45" s="1341" t="s">
        <v>674</v>
      </c>
      <c r="C45" s="1341"/>
      <c r="D45" s="1341"/>
      <c r="E45" s="1341"/>
      <c r="F45" s="1341"/>
      <c r="G45" s="1341"/>
      <c r="H45" s="1341"/>
      <c r="I45" s="1341"/>
      <c r="J45" s="1341"/>
      <c r="K45" s="1341"/>
      <c r="L45" s="1341"/>
    </row>
    <row r="46" spans="2:12" ht="26">
      <c r="B46" s="981" t="s">
        <v>1290</v>
      </c>
      <c r="C46" s="986">
        <v>0.7</v>
      </c>
      <c r="D46" s="986">
        <v>0.65799999999999992</v>
      </c>
      <c r="E46" s="986">
        <v>0.59219999999999995</v>
      </c>
      <c r="F46" s="986">
        <v>0.53298000000000001</v>
      </c>
      <c r="G46" s="986">
        <v>0.5</v>
      </c>
      <c r="H46" s="986">
        <v>1</v>
      </c>
      <c r="I46" s="986">
        <v>0.5</v>
      </c>
      <c r="J46" s="986">
        <v>1</v>
      </c>
      <c r="K46" s="982" t="s">
        <v>1289</v>
      </c>
      <c r="L46" s="982"/>
    </row>
    <row r="47" spans="2:12" ht="26">
      <c r="B47" s="985" t="s">
        <v>839</v>
      </c>
      <c r="C47" s="982">
        <v>50</v>
      </c>
      <c r="D47" s="982">
        <v>50</v>
      </c>
      <c r="E47" s="982">
        <v>50</v>
      </c>
      <c r="F47" s="982">
        <v>50</v>
      </c>
      <c r="G47" s="982">
        <v>30</v>
      </c>
      <c r="H47" s="982">
        <v>70</v>
      </c>
      <c r="I47" s="982">
        <v>30</v>
      </c>
      <c r="J47" s="982">
        <v>70</v>
      </c>
      <c r="K47" s="982"/>
      <c r="L47" s="982">
        <v>3</v>
      </c>
    </row>
    <row r="48" spans="2:12" ht="26">
      <c r="B48" s="985" t="s">
        <v>840</v>
      </c>
      <c r="C48" s="982">
        <v>50</v>
      </c>
      <c r="D48" s="982">
        <v>50</v>
      </c>
      <c r="E48" s="982">
        <v>50</v>
      </c>
      <c r="F48" s="982">
        <v>50</v>
      </c>
      <c r="G48" s="982">
        <v>30</v>
      </c>
      <c r="H48" s="982">
        <v>70</v>
      </c>
      <c r="I48" s="982">
        <v>30</v>
      </c>
      <c r="J48" s="982">
        <v>70</v>
      </c>
      <c r="K48" s="982"/>
      <c r="L48" s="982">
        <v>3</v>
      </c>
    </row>
    <row r="49" spans="2:12" ht="26">
      <c r="B49" s="985" t="s">
        <v>1288</v>
      </c>
      <c r="C49" s="982">
        <v>2000</v>
      </c>
      <c r="D49" s="982">
        <v>2000</v>
      </c>
      <c r="E49" s="982">
        <v>2000</v>
      </c>
      <c r="F49" s="982">
        <v>2000</v>
      </c>
      <c r="G49" s="982">
        <v>1000</v>
      </c>
      <c r="H49" s="982">
        <v>3000</v>
      </c>
      <c r="I49" s="982">
        <v>1000</v>
      </c>
      <c r="J49" s="982">
        <v>3000</v>
      </c>
      <c r="K49" s="982"/>
      <c r="L49" s="982">
        <v>3</v>
      </c>
    </row>
    <row r="50" spans="2:12" ht="26">
      <c r="B50" s="985" t="s">
        <v>1287</v>
      </c>
      <c r="C50" s="983">
        <v>8.4</v>
      </c>
      <c r="D50" s="983">
        <v>8.2000000000000011</v>
      </c>
      <c r="E50" s="983">
        <v>8.7999999999999989</v>
      </c>
      <c r="F50" s="983">
        <v>8.1999999999999993</v>
      </c>
      <c r="G50" s="983">
        <v>4.3</v>
      </c>
      <c r="H50" s="983">
        <v>9.1</v>
      </c>
      <c r="I50" s="983">
        <v>6.5</v>
      </c>
      <c r="J50" s="983">
        <v>11.9</v>
      </c>
      <c r="K50" s="982"/>
      <c r="L50" s="982"/>
    </row>
    <row r="51" spans="2:12" ht="39">
      <c r="B51" s="984" t="s">
        <v>1286</v>
      </c>
      <c r="C51" s="983">
        <v>6.4</v>
      </c>
      <c r="D51" s="983">
        <v>6.4</v>
      </c>
      <c r="E51" s="983">
        <v>7.1</v>
      </c>
      <c r="F51" s="983">
        <v>6.6</v>
      </c>
      <c r="G51" s="983">
        <v>2.8</v>
      </c>
      <c r="H51" s="983">
        <v>7.1</v>
      </c>
      <c r="I51" s="983">
        <v>5</v>
      </c>
      <c r="J51" s="983">
        <v>9.9</v>
      </c>
      <c r="K51" s="982" t="s">
        <v>886</v>
      </c>
      <c r="L51" s="982"/>
    </row>
    <row r="52" spans="2:12" ht="39">
      <c r="B52" s="984" t="s">
        <v>1285</v>
      </c>
      <c r="C52" s="983">
        <v>2</v>
      </c>
      <c r="D52" s="983">
        <v>1.8</v>
      </c>
      <c r="E52" s="983">
        <v>1.7</v>
      </c>
      <c r="F52" s="983">
        <v>1.6</v>
      </c>
      <c r="G52" s="983">
        <v>1.5</v>
      </c>
      <c r="H52" s="983">
        <v>2</v>
      </c>
      <c r="I52" s="983">
        <v>1.5</v>
      </c>
      <c r="J52" s="983">
        <v>2</v>
      </c>
      <c r="K52" s="982" t="s">
        <v>25</v>
      </c>
      <c r="L52" s="982">
        <v>3</v>
      </c>
    </row>
    <row r="53" spans="2:12">
      <c r="B53" s="1338" t="s">
        <v>682</v>
      </c>
      <c r="C53" s="1339"/>
      <c r="D53" s="1339"/>
      <c r="E53" s="1339"/>
      <c r="F53" s="1339"/>
      <c r="G53" s="1339"/>
      <c r="H53" s="1339"/>
      <c r="I53" s="1339"/>
      <c r="J53" s="1339"/>
      <c r="K53" s="1339"/>
      <c r="L53" s="1340"/>
    </row>
    <row r="54" spans="2:12">
      <c r="B54" s="981"/>
      <c r="C54" s="980"/>
      <c r="D54" s="980"/>
      <c r="E54" s="980"/>
      <c r="F54" s="980"/>
      <c r="G54" s="980"/>
      <c r="H54" s="980"/>
      <c r="I54" s="980"/>
      <c r="J54" s="980"/>
      <c r="K54" s="980"/>
      <c r="L54" s="980"/>
    </row>
  </sheetData>
  <mergeCells count="7">
    <mergeCell ref="B53:L53"/>
    <mergeCell ref="B45:L45"/>
    <mergeCell ref="C19:L19"/>
    <mergeCell ref="G20:H20"/>
    <mergeCell ref="I20:J20"/>
    <mergeCell ref="B34:L34"/>
    <mergeCell ref="B40:L40"/>
  </mergeCells>
  <pageMargins left="0.7" right="0.7" top="0.75" bottom="0.75" header="0.3" footer="0.3"/>
  <pageSetup orientation="portrait" horizontalDpi="1200" verticalDpi="1200"/>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58962-B9B5-4FA4-9E49-1724C60FCE95}">
  <sheetPr>
    <tabColor theme="4" tint="0.39997558519241921"/>
  </sheetPr>
  <dimension ref="B3:P35"/>
  <sheetViews>
    <sheetView workbookViewId="0">
      <selection activeCell="M14" sqref="M14"/>
    </sheetView>
  </sheetViews>
  <sheetFormatPr baseColWidth="10" defaultColWidth="9.1640625" defaultRowHeight="15"/>
  <cols>
    <col min="1" max="1" width="9.1640625" style="912"/>
    <col min="2" max="2" width="18.83203125" style="912" customWidth="1"/>
    <col min="3" max="3" width="5.5" style="912" bestFit="1" customWidth="1"/>
    <col min="4" max="4" width="8.83203125" style="912" customWidth="1"/>
    <col min="5" max="5" width="12.33203125" style="912" customWidth="1"/>
    <col min="6" max="6" width="12.33203125" style="912" bestFit="1" customWidth="1"/>
    <col min="7" max="7" width="15" style="912" bestFit="1" customWidth="1"/>
    <col min="8" max="8" width="14.1640625" style="912" customWidth="1"/>
    <col min="9" max="9" width="18.6640625" style="912" customWidth="1"/>
    <col min="10" max="10" width="18.33203125" style="912" bestFit="1" customWidth="1"/>
    <col min="11" max="11" width="10.1640625" style="912" customWidth="1"/>
    <col min="12" max="16384" width="9.1640625" style="912"/>
  </cols>
  <sheetData>
    <row r="3" spans="2:16" ht="32">
      <c r="B3" s="918" t="s">
        <v>1284</v>
      </c>
      <c r="C3" s="918" t="s">
        <v>1133</v>
      </c>
      <c r="D3" s="918" t="s">
        <v>337</v>
      </c>
      <c r="E3" s="918" t="s">
        <v>1275</v>
      </c>
      <c r="F3" s="918" t="s">
        <v>1276</v>
      </c>
      <c r="G3" s="917" t="s">
        <v>340</v>
      </c>
      <c r="H3" s="917" t="s">
        <v>341</v>
      </c>
      <c r="I3" s="917" t="s">
        <v>342</v>
      </c>
      <c r="J3" s="917" t="s">
        <v>343</v>
      </c>
      <c r="K3" s="917" t="s">
        <v>344</v>
      </c>
      <c r="L3" s="917" t="s">
        <v>1274</v>
      </c>
      <c r="M3" s="917" t="s">
        <v>339</v>
      </c>
    </row>
    <row r="4" spans="2:16" ht="42.75" customHeight="1">
      <c r="B4" s="916" t="s">
        <v>1283</v>
      </c>
      <c r="C4" s="916"/>
      <c r="D4" s="916"/>
      <c r="E4" s="916" t="s">
        <v>1272</v>
      </c>
      <c r="F4" s="916" t="s">
        <v>1273</v>
      </c>
      <c r="G4" s="916" t="s">
        <v>1271</v>
      </c>
      <c r="H4" s="916" t="s">
        <v>1270</v>
      </c>
      <c r="I4" s="916" t="s">
        <v>1269</v>
      </c>
      <c r="J4" s="916" t="s">
        <v>1268</v>
      </c>
      <c r="K4" s="916" t="s">
        <v>1267</v>
      </c>
      <c r="L4" s="916" t="s">
        <v>1266</v>
      </c>
      <c r="M4" s="916" t="s">
        <v>1265</v>
      </c>
    </row>
    <row r="5" spans="2:16" ht="16" thickBot="1">
      <c r="B5" s="915"/>
      <c r="C5" s="915"/>
      <c r="D5" s="915"/>
      <c r="E5" s="915"/>
      <c r="F5" s="915" t="s">
        <v>330</v>
      </c>
      <c r="G5" s="915" t="s">
        <v>1262</v>
      </c>
      <c r="H5" s="915" t="s">
        <v>1262</v>
      </c>
      <c r="I5" s="915" t="s">
        <v>1261</v>
      </c>
      <c r="J5" s="915" t="s">
        <v>351</v>
      </c>
      <c r="K5" s="915" t="s">
        <v>351</v>
      </c>
      <c r="L5" s="915"/>
      <c r="M5" s="915" t="s">
        <v>1260</v>
      </c>
      <c r="O5" s="912" t="s">
        <v>1282</v>
      </c>
      <c r="P5" s="912">
        <v>7.45</v>
      </c>
    </row>
    <row r="6" spans="2:16">
      <c r="B6" s="979">
        <v>40</v>
      </c>
      <c r="C6" s="979">
        <v>2015</v>
      </c>
      <c r="D6" s="979">
        <f>C20/100</f>
        <v>1</v>
      </c>
      <c r="E6" s="914"/>
      <c r="F6" s="913">
        <f>C17</f>
        <v>250</v>
      </c>
      <c r="G6" s="914">
        <f>C29*$P$5</f>
        <v>0.52150000000000007</v>
      </c>
      <c r="H6" s="912">
        <f>(C34*$P$5/1000000)*1/(C17/1000)</f>
        <v>3.7249999999999998E-2</v>
      </c>
      <c r="I6" s="912">
        <f>C35</f>
        <v>0</v>
      </c>
      <c r="J6" s="929">
        <v>3.1536000000000002E-2</v>
      </c>
      <c r="K6" s="930">
        <v>1</v>
      </c>
      <c r="L6" s="929">
        <v>1</v>
      </c>
      <c r="M6" s="912">
        <f>C21</f>
        <v>20</v>
      </c>
    </row>
    <row r="7" spans="2:16">
      <c r="B7" s="979"/>
      <c r="C7" s="979">
        <v>2020</v>
      </c>
      <c r="D7" s="979">
        <f>D20/100</f>
        <v>1</v>
      </c>
      <c r="E7" s="914"/>
      <c r="F7" s="913">
        <f>D17</f>
        <v>250</v>
      </c>
      <c r="G7" s="914">
        <f>D29*$P$5</f>
        <v>0.52150000000000007</v>
      </c>
      <c r="H7" s="912">
        <f>(D34*$P$5/1000000)*1/(D17/1000)</f>
        <v>3.7249999999999998E-2</v>
      </c>
      <c r="I7" s="912">
        <f>D35</f>
        <v>0</v>
      </c>
      <c r="M7" s="912">
        <f>D21</f>
        <v>20</v>
      </c>
    </row>
    <row r="8" spans="2:16">
      <c r="B8" s="979"/>
      <c r="C8" s="979">
        <v>2030</v>
      </c>
      <c r="D8" s="979">
        <f>E20/100</f>
        <v>1</v>
      </c>
      <c r="E8" s="914"/>
      <c r="F8" s="913">
        <f>E17</f>
        <v>250</v>
      </c>
      <c r="G8" s="914">
        <f>E29*$P$5</f>
        <v>0.52150000000000007</v>
      </c>
      <c r="H8" s="912">
        <f>(E34*$P$5/1000000)*1/(E17/1000)</f>
        <v>3.7249999999999998E-2</v>
      </c>
      <c r="I8" s="912">
        <f>E35</f>
        <v>0</v>
      </c>
      <c r="M8" s="912">
        <f>E21</f>
        <v>20</v>
      </c>
    </row>
    <row r="9" spans="2:16">
      <c r="B9" s="979"/>
      <c r="C9" s="979">
        <v>2050</v>
      </c>
      <c r="D9" s="979">
        <f>F20/100</f>
        <v>1</v>
      </c>
      <c r="E9" s="914"/>
      <c r="F9" s="913">
        <f>F17</f>
        <v>250</v>
      </c>
      <c r="G9" s="914">
        <f>F29*$P$5</f>
        <v>0.52150000000000007</v>
      </c>
      <c r="H9" s="912">
        <f>(F34*$P$5/1000000)*1/(F17/1000)</f>
        <v>3.7249999999999998E-2</v>
      </c>
      <c r="I9" s="912">
        <f>F35</f>
        <v>0</v>
      </c>
      <c r="M9" s="912">
        <f>F21</f>
        <v>20</v>
      </c>
    </row>
    <row r="11" spans="2:16">
      <c r="B11" s="912" t="s">
        <v>1281</v>
      </c>
    </row>
    <row r="12" spans="2:16" ht="16" thickBot="1"/>
    <row r="13" spans="2:16">
      <c r="B13" s="1346" t="s">
        <v>0</v>
      </c>
      <c r="C13" s="1348" t="s">
        <v>58</v>
      </c>
      <c r="D13" s="1349"/>
      <c r="E13" s="1349"/>
      <c r="F13" s="1349"/>
      <c r="G13" s="1349"/>
      <c r="H13" s="1350"/>
    </row>
    <row r="14" spans="2:16" ht="16" thickBot="1">
      <c r="B14" s="1347"/>
      <c r="C14" s="1351" t="s">
        <v>53</v>
      </c>
      <c r="D14" s="1352"/>
      <c r="E14" s="1352"/>
      <c r="F14" s="1352"/>
      <c r="G14" s="1352"/>
      <c r="H14" s="1353"/>
    </row>
    <row r="15" spans="2:16" ht="16" thickBot="1">
      <c r="B15" s="1003"/>
      <c r="C15" s="1002">
        <v>2015</v>
      </c>
      <c r="D15" s="1002">
        <v>2020</v>
      </c>
      <c r="E15" s="1002">
        <v>2030</v>
      </c>
      <c r="F15" s="1002">
        <v>2050</v>
      </c>
      <c r="G15" s="1002" t="s">
        <v>2</v>
      </c>
      <c r="H15" s="1002" t="s">
        <v>3</v>
      </c>
    </row>
    <row r="16" spans="2:16" ht="16" thickBot="1">
      <c r="B16" s="1009" t="s">
        <v>4</v>
      </c>
      <c r="C16" s="1008"/>
      <c r="D16" s="1008"/>
      <c r="E16" s="1008"/>
      <c r="F16" s="1008"/>
      <c r="G16" s="1008"/>
      <c r="H16" s="1007"/>
    </row>
    <row r="17" spans="2:8" ht="28" thickBot="1">
      <c r="B17" s="1003" t="s">
        <v>5</v>
      </c>
      <c r="C17" s="1002">
        <v>250</v>
      </c>
      <c r="D17" s="1002">
        <v>250</v>
      </c>
      <c r="E17" s="1002">
        <v>250</v>
      </c>
      <c r="F17" s="1002">
        <v>250</v>
      </c>
      <c r="G17" s="1002" t="s">
        <v>6</v>
      </c>
      <c r="H17" s="1002"/>
    </row>
    <row r="18" spans="2:8" ht="41" thickBot="1">
      <c r="B18" s="1003" t="s">
        <v>7</v>
      </c>
      <c r="C18" s="1002">
        <v>100</v>
      </c>
      <c r="D18" s="1002">
        <v>100</v>
      </c>
      <c r="E18" s="1002">
        <v>100</v>
      </c>
      <c r="F18" s="1002">
        <v>100</v>
      </c>
      <c r="G18" s="1002"/>
      <c r="H18" s="1002"/>
    </row>
    <row r="19" spans="2:8" ht="41" thickBot="1">
      <c r="B19" s="1003" t="s">
        <v>8</v>
      </c>
      <c r="C19" s="1002">
        <v>100</v>
      </c>
      <c r="D19" s="1002">
        <v>100</v>
      </c>
      <c r="E19" s="1002">
        <v>100</v>
      </c>
      <c r="F19" s="1002">
        <v>100</v>
      </c>
      <c r="G19" s="1002"/>
      <c r="H19" s="1002"/>
    </row>
    <row r="20" spans="2:8" ht="28" thickBot="1">
      <c r="B20" s="1003" t="s">
        <v>9</v>
      </c>
      <c r="C20" s="1002">
        <v>100</v>
      </c>
      <c r="D20" s="1002">
        <v>100</v>
      </c>
      <c r="E20" s="1002">
        <v>100</v>
      </c>
      <c r="F20" s="1002">
        <v>100</v>
      </c>
      <c r="G20" s="1002" t="s">
        <v>59</v>
      </c>
      <c r="H20" s="1002"/>
    </row>
    <row r="21" spans="2:8" ht="16" thickBot="1">
      <c r="B21" s="1003" t="s">
        <v>11</v>
      </c>
      <c r="C21" s="1002">
        <v>20</v>
      </c>
      <c r="D21" s="1002">
        <v>20</v>
      </c>
      <c r="E21" s="1002">
        <v>20</v>
      </c>
      <c r="F21" s="1002">
        <v>20</v>
      </c>
      <c r="G21" s="1002"/>
      <c r="H21" s="1002"/>
    </row>
    <row r="22" spans="2:8" ht="16" thickBot="1">
      <c r="B22" s="1009" t="s">
        <v>12</v>
      </c>
      <c r="C22" s="1008"/>
      <c r="D22" s="1008"/>
      <c r="E22" s="1008"/>
      <c r="F22" s="1008"/>
      <c r="G22" s="1008"/>
      <c r="H22" s="1007"/>
    </row>
    <row r="23" spans="2:8" ht="16" thickBot="1">
      <c r="B23" s="1003" t="s">
        <v>1280</v>
      </c>
      <c r="C23" s="1002" t="s">
        <v>36</v>
      </c>
      <c r="D23" s="1002" t="s">
        <v>36</v>
      </c>
      <c r="E23" s="1002" t="s">
        <v>36</v>
      </c>
      <c r="F23" s="1002" t="s">
        <v>36</v>
      </c>
      <c r="G23" s="1002"/>
      <c r="H23" s="1002"/>
    </row>
    <row r="24" spans="2:8" ht="16" thickBot="1">
      <c r="B24" s="1003" t="s">
        <v>1279</v>
      </c>
      <c r="C24" s="1002" t="s">
        <v>36</v>
      </c>
      <c r="D24" s="1002" t="s">
        <v>36</v>
      </c>
      <c r="E24" s="1002" t="s">
        <v>36</v>
      </c>
      <c r="F24" s="1002" t="s">
        <v>36</v>
      </c>
      <c r="G24" s="1002"/>
      <c r="H24" s="1002"/>
    </row>
    <row r="25" spans="2:8" ht="16" thickBot="1">
      <c r="B25" s="1003" t="s">
        <v>1278</v>
      </c>
      <c r="C25" s="1002" t="s">
        <v>36</v>
      </c>
      <c r="D25" s="1002" t="s">
        <v>36</v>
      </c>
      <c r="E25" s="1002" t="s">
        <v>36</v>
      </c>
      <c r="F25" s="1002" t="s">
        <v>36</v>
      </c>
      <c r="G25" s="1002"/>
      <c r="H25" s="1002"/>
    </row>
    <row r="26" spans="2:8" ht="16" thickBot="1">
      <c r="B26" s="1003" t="s">
        <v>1277</v>
      </c>
      <c r="C26" s="1002" t="s">
        <v>36</v>
      </c>
      <c r="D26" s="1002" t="s">
        <v>36</v>
      </c>
      <c r="E26" s="1002" t="s">
        <v>36</v>
      </c>
      <c r="F26" s="1002" t="s">
        <v>36</v>
      </c>
      <c r="G26" s="1002"/>
      <c r="H26" s="1002"/>
    </row>
    <row r="27" spans="2:8" ht="16" thickBot="1">
      <c r="B27" s="1003" t="s">
        <v>19</v>
      </c>
      <c r="C27" s="1002" t="s">
        <v>36</v>
      </c>
      <c r="D27" s="1002" t="s">
        <v>36</v>
      </c>
      <c r="E27" s="1002" t="s">
        <v>36</v>
      </c>
      <c r="F27" s="1002" t="s">
        <v>36</v>
      </c>
      <c r="G27" s="1002"/>
      <c r="H27" s="1002"/>
    </row>
    <row r="28" spans="2:8" ht="16" thickBot="1">
      <c r="B28" s="1009" t="s">
        <v>22</v>
      </c>
      <c r="C28" s="1008"/>
      <c r="D28" s="1008"/>
      <c r="E28" s="1008"/>
      <c r="F28" s="1008"/>
      <c r="G28" s="1008"/>
      <c r="H28" s="1007"/>
    </row>
    <row r="29" spans="2:8" ht="28" thickBot="1">
      <c r="B29" s="1003" t="s">
        <v>23</v>
      </c>
      <c r="C29" s="1002">
        <v>7.0000000000000007E-2</v>
      </c>
      <c r="D29" s="1002">
        <v>7.0000000000000007E-2</v>
      </c>
      <c r="E29" s="1002">
        <v>7.0000000000000007E-2</v>
      </c>
      <c r="F29" s="1002">
        <v>7.0000000000000007E-2</v>
      </c>
      <c r="G29" s="1002" t="s">
        <v>33</v>
      </c>
      <c r="H29" s="1002" t="s">
        <v>65</v>
      </c>
    </row>
    <row r="30" spans="2:8" ht="27">
      <c r="B30" s="1006" t="s">
        <v>24</v>
      </c>
      <c r="C30" s="1005"/>
      <c r="D30" s="1005"/>
      <c r="E30" s="1005"/>
      <c r="F30" s="1005"/>
      <c r="G30" s="1005"/>
      <c r="H30" s="1005"/>
    </row>
    <row r="31" spans="2:8">
      <c r="B31" s="1006" t="s">
        <v>26</v>
      </c>
      <c r="C31" s="1005" t="s">
        <v>27</v>
      </c>
      <c r="D31" s="1005">
        <v>70</v>
      </c>
      <c r="E31" s="1005">
        <v>70</v>
      </c>
      <c r="F31" s="1005">
        <v>70</v>
      </c>
      <c r="G31" s="1005"/>
      <c r="H31" s="1005"/>
    </row>
    <row r="32" spans="2:8" ht="16" thickBot="1">
      <c r="B32" s="1003" t="s">
        <v>28</v>
      </c>
      <c r="C32" s="1002" t="s">
        <v>29</v>
      </c>
      <c r="D32" s="1002">
        <v>30</v>
      </c>
      <c r="E32" s="1002">
        <v>30</v>
      </c>
      <c r="F32" s="1002">
        <v>30</v>
      </c>
      <c r="G32" s="1002"/>
      <c r="H32" s="1002"/>
    </row>
    <row r="33" spans="2:8" ht="41" thickBot="1">
      <c r="B33" s="1003" t="s">
        <v>30</v>
      </c>
      <c r="C33" s="1002">
        <v>4</v>
      </c>
      <c r="D33" s="1002">
        <v>4</v>
      </c>
      <c r="E33" s="1002">
        <v>4</v>
      </c>
      <c r="F33" s="1002">
        <v>4</v>
      </c>
      <c r="G33" s="1002" t="s">
        <v>20</v>
      </c>
      <c r="H33" s="1002"/>
    </row>
    <row r="34" spans="2:8" ht="16" thickBot="1">
      <c r="B34" s="1003" t="s">
        <v>64</v>
      </c>
      <c r="C34" s="1004">
        <v>1250</v>
      </c>
      <c r="D34" s="1004">
        <v>1250</v>
      </c>
      <c r="E34" s="1004">
        <v>1250</v>
      </c>
      <c r="F34" s="1004">
        <v>1250</v>
      </c>
      <c r="G34" s="1002"/>
      <c r="H34" s="1002">
        <v>7</v>
      </c>
    </row>
    <row r="35" spans="2:8" ht="16" thickBot="1">
      <c r="B35" s="1003" t="s">
        <v>31</v>
      </c>
      <c r="C35" s="1002"/>
      <c r="D35" s="1002"/>
      <c r="E35" s="1002"/>
      <c r="F35" s="1002"/>
      <c r="G35" s="1002"/>
      <c r="H35" s="1002"/>
    </row>
  </sheetData>
  <mergeCells count="3">
    <mergeCell ref="B13:B14"/>
    <mergeCell ref="C13:H13"/>
    <mergeCell ref="C14:H14"/>
  </mergeCell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B86D-53D5-402C-B0B6-B2C5E6670ACE}">
  <sheetPr>
    <tabColor rgb="FF0070C0"/>
  </sheetPr>
  <dimension ref="A1:CD444"/>
  <sheetViews>
    <sheetView tabSelected="1" topLeftCell="AS4" zoomScale="90" zoomScaleNormal="90" workbookViewId="0">
      <selection activeCell="AX18" sqref="AX18"/>
    </sheetView>
  </sheetViews>
  <sheetFormatPr baseColWidth="10" defaultColWidth="9.1640625" defaultRowHeight="15"/>
  <cols>
    <col min="1" max="1" width="12.6640625" style="906" bestFit="1" customWidth="1"/>
    <col min="2" max="2" width="76.6640625" style="906" bestFit="1" customWidth="1"/>
    <col min="3" max="3" width="14" style="906" bestFit="1" customWidth="1"/>
    <col min="4" max="4" width="10.5" style="906" bestFit="1" customWidth="1"/>
    <col min="5" max="5" width="11.5" style="906" bestFit="1" customWidth="1"/>
    <col min="6" max="6" width="16.33203125" style="1010" bestFit="1" customWidth="1"/>
    <col min="7" max="7" width="17.83203125" style="906" bestFit="1" customWidth="1"/>
    <col min="8" max="9" width="16.33203125" style="906" bestFit="1" customWidth="1"/>
    <col min="10" max="10" width="16.5" style="906" bestFit="1" customWidth="1"/>
    <col min="11" max="11" width="9.5" style="906" customWidth="1"/>
    <col min="12" max="12" width="16.33203125" style="906" customWidth="1"/>
    <col min="13" max="13" width="9.1640625" style="906"/>
    <col min="14" max="14" width="59.6640625" style="906" bestFit="1" customWidth="1"/>
    <col min="15" max="26" width="9.1640625" style="906"/>
    <col min="27" max="27" width="12.5" style="906" bestFit="1" customWidth="1"/>
    <col min="28" max="28" width="9.1640625" style="906"/>
    <col min="29" max="29" width="19.33203125" style="906" customWidth="1"/>
    <col min="30" max="30" width="17.83203125" style="906" customWidth="1"/>
    <col min="31" max="31" width="19.33203125" style="906" bestFit="1" customWidth="1"/>
    <col min="32" max="32" width="17.83203125" style="906" bestFit="1" customWidth="1"/>
    <col min="33" max="33" width="16.6640625" style="906" bestFit="1" customWidth="1"/>
    <col min="34" max="34" width="15" style="906" bestFit="1" customWidth="1"/>
    <col min="35" max="35" width="17.6640625" style="906" bestFit="1" customWidth="1"/>
    <col min="36" max="36" width="17.83203125" style="906" bestFit="1" customWidth="1"/>
    <col min="37" max="37" width="9.1640625" style="906"/>
    <col min="38" max="38" width="11.1640625" style="906" bestFit="1" customWidth="1"/>
    <col min="39" max="39" width="10.33203125" style="906" bestFit="1" customWidth="1"/>
    <col min="40" max="46" width="9.1640625" style="906"/>
    <col min="47" max="47" width="12.5" style="906" bestFit="1" customWidth="1"/>
    <col min="48" max="48" width="9.1640625" style="906"/>
    <col min="49" max="49" width="19.33203125" style="906" customWidth="1"/>
    <col min="50" max="50" width="17.83203125" style="906" customWidth="1"/>
    <col min="51" max="51" width="11.5" style="906" customWidth="1"/>
    <col min="52" max="52" width="11.1640625" style="906" customWidth="1"/>
    <col min="53" max="53" width="10.33203125" style="906" customWidth="1"/>
    <col min="54" max="54" width="10.6640625" style="906" customWidth="1"/>
    <col min="55" max="55" width="17.6640625" style="906" bestFit="1" customWidth="1"/>
    <col min="56" max="56" width="17.83203125" style="906" bestFit="1" customWidth="1"/>
    <col min="57" max="57" width="9.1640625" style="906"/>
    <col min="58" max="58" width="11.1640625" style="906" bestFit="1" customWidth="1"/>
    <col min="59" max="60" width="11.1640625" style="906" customWidth="1"/>
    <col min="61" max="61" width="10.33203125" style="906" bestFit="1" customWidth="1"/>
    <col min="62" max="68" width="9.1640625" style="906"/>
    <col min="69" max="69" width="21.1640625" style="906" bestFit="1" customWidth="1"/>
    <col min="70" max="79" width="9.1640625" style="906"/>
    <col min="80" max="80" width="22.1640625" style="906" bestFit="1" customWidth="1"/>
    <col min="81" max="81" width="20.6640625" style="906" bestFit="1" customWidth="1"/>
    <col min="82" max="82" width="21.33203125" style="906" bestFit="1" customWidth="1"/>
    <col min="83" max="16384" width="9.1640625" style="906"/>
  </cols>
  <sheetData>
    <row r="1" spans="1:82">
      <c r="A1" s="906" t="s">
        <v>2000</v>
      </c>
      <c r="B1" s="906" t="s">
        <v>1999</v>
      </c>
      <c r="C1" s="906" t="s">
        <v>1998</v>
      </c>
      <c r="D1" s="906" t="s">
        <v>1997</v>
      </c>
      <c r="E1" s="906" t="s">
        <v>1996</v>
      </c>
      <c r="F1" s="1010" t="s">
        <v>1995</v>
      </c>
      <c r="G1" s="906" t="s">
        <v>1874</v>
      </c>
      <c r="H1" s="906" t="s">
        <v>1873</v>
      </c>
      <c r="I1" s="906" t="s">
        <v>1870</v>
      </c>
      <c r="J1" s="906" t="s">
        <v>1869</v>
      </c>
      <c r="K1" s="906" t="s">
        <v>1994</v>
      </c>
      <c r="L1" s="1105" t="s">
        <v>1993</v>
      </c>
    </row>
    <row r="2" spans="1:82">
      <c r="A2" s="906">
        <v>1</v>
      </c>
      <c r="B2" s="906" t="s">
        <v>1992</v>
      </c>
      <c r="C2" s="906">
        <v>29189</v>
      </c>
      <c r="D2" s="906" t="s">
        <v>1256</v>
      </c>
      <c r="E2" s="906" t="s">
        <v>1258</v>
      </c>
      <c r="F2" s="1015"/>
      <c r="G2" s="1014"/>
      <c r="H2" s="1014"/>
      <c r="I2" s="1014"/>
      <c r="J2" s="1013"/>
      <c r="K2" s="1012"/>
      <c r="L2" s="1011"/>
      <c r="N2" s="1104" t="s">
        <v>1991</v>
      </c>
      <c r="O2" s="1103"/>
      <c r="P2" s="1036">
        <v>75</v>
      </c>
      <c r="Q2" s="1014">
        <v>46</v>
      </c>
      <c r="R2" s="1014">
        <v>81</v>
      </c>
      <c r="S2" s="1013">
        <v>42</v>
      </c>
      <c r="T2" s="1012">
        <v>27.491034722222221</v>
      </c>
      <c r="U2" s="1035">
        <v>0.21000010862127022</v>
      </c>
      <c r="V2" s="906">
        <v>1818.2439999999999</v>
      </c>
      <c r="X2" s="906">
        <v>1</v>
      </c>
      <c r="AA2" s="906" t="s">
        <v>1990</v>
      </c>
      <c r="AU2" s="909" t="s">
        <v>1989</v>
      </c>
    </row>
    <row r="3" spans="1:82" ht="16" thickBot="1">
      <c r="A3" s="906">
        <v>2</v>
      </c>
      <c r="B3" s="906" t="s">
        <v>1988</v>
      </c>
      <c r="C3" s="906">
        <v>60183</v>
      </c>
      <c r="D3" s="906" t="s">
        <v>1256</v>
      </c>
      <c r="E3" s="906" t="s">
        <v>1259</v>
      </c>
      <c r="F3" s="1015"/>
      <c r="H3" s="1014"/>
      <c r="I3" s="1014"/>
      <c r="J3" s="1013"/>
      <c r="K3" s="1012"/>
      <c r="L3" s="1011"/>
      <c r="N3" s="1032" t="s">
        <v>1987</v>
      </c>
      <c r="O3" s="1031"/>
      <c r="P3" s="1030">
        <v>75</v>
      </c>
      <c r="Q3" s="1029">
        <v>37</v>
      </c>
      <c r="R3" s="1029">
        <v>83</v>
      </c>
      <c r="S3" s="1028">
        <v>37</v>
      </c>
      <c r="T3" s="1027"/>
      <c r="U3" s="1026">
        <v>0.27873918417799753</v>
      </c>
      <c r="V3" s="906">
        <v>11.67</v>
      </c>
      <c r="X3" s="906">
        <v>2</v>
      </c>
      <c r="AC3" s="1354" t="s">
        <v>1882</v>
      </c>
      <c r="AD3" s="1354"/>
      <c r="AE3" s="1355" t="s">
        <v>1881</v>
      </c>
      <c r="AF3" s="1355"/>
      <c r="AG3" s="1356" t="s">
        <v>1880</v>
      </c>
      <c r="AH3" s="1356"/>
      <c r="AI3" s="1357" t="s">
        <v>1879</v>
      </c>
      <c r="AJ3" s="1357"/>
      <c r="AL3" s="906" t="s">
        <v>1986</v>
      </c>
      <c r="AV3" s="1096"/>
      <c r="AW3" s="1354" t="s">
        <v>1882</v>
      </c>
      <c r="AX3" s="1354"/>
      <c r="AY3" s="1355" t="s">
        <v>1881</v>
      </c>
      <c r="AZ3" s="1355"/>
      <c r="BA3" s="1356" t="s">
        <v>1880</v>
      </c>
      <c r="BB3" s="1356"/>
      <c r="BC3" s="1357" t="s">
        <v>1879</v>
      </c>
      <c r="BD3" s="1357"/>
      <c r="BF3" s="906" t="s">
        <v>1986</v>
      </c>
    </row>
    <row r="4" spans="1:82" ht="16">
      <c r="A4" s="906">
        <v>3</v>
      </c>
      <c r="B4" s="906" t="s">
        <v>1985</v>
      </c>
      <c r="C4" s="906">
        <v>29189</v>
      </c>
      <c r="D4" s="906" t="s">
        <v>1256</v>
      </c>
      <c r="E4" s="906" t="s">
        <v>1258</v>
      </c>
      <c r="F4" s="1015">
        <f t="shared" ref="F4:L5" si="0">O3</f>
        <v>0</v>
      </c>
      <c r="G4" s="1014">
        <f t="shared" si="0"/>
        <v>75</v>
      </c>
      <c r="H4" s="1014">
        <f t="shared" si="0"/>
        <v>37</v>
      </c>
      <c r="I4" s="1014">
        <f t="shared" si="0"/>
        <v>83</v>
      </c>
      <c r="J4" s="1013">
        <f t="shared" si="0"/>
        <v>37</v>
      </c>
      <c r="K4" s="1012">
        <f t="shared" si="0"/>
        <v>0</v>
      </c>
      <c r="L4" s="1011">
        <f t="shared" si="0"/>
        <v>0.27873918417799753</v>
      </c>
      <c r="N4" s="1032" t="s">
        <v>1984</v>
      </c>
      <c r="O4" s="1031"/>
      <c r="P4" s="1030">
        <v>75</v>
      </c>
      <c r="Q4" s="1029">
        <v>35</v>
      </c>
      <c r="R4" s="1029">
        <v>82</v>
      </c>
      <c r="S4" s="1028">
        <v>38</v>
      </c>
      <c r="T4" s="1027">
        <v>28.778797668068407</v>
      </c>
      <c r="U4" s="1026">
        <v>0.15252544113528155</v>
      </c>
      <c r="V4" s="906">
        <v>9.0772999999999993</v>
      </c>
      <c r="X4" s="906">
        <v>3</v>
      </c>
      <c r="AA4" s="1077"/>
      <c r="AB4" s="1089"/>
      <c r="AC4" s="1076" t="s">
        <v>1876</v>
      </c>
      <c r="AD4" s="1076" t="s">
        <v>1875</v>
      </c>
      <c r="AE4" s="1075" t="s">
        <v>1874</v>
      </c>
      <c r="AF4" s="1075" t="s">
        <v>1873</v>
      </c>
      <c r="AG4" s="1074" t="s">
        <v>1872</v>
      </c>
      <c r="AH4" s="1074" t="s">
        <v>1871</v>
      </c>
      <c r="AI4" s="1073" t="s">
        <v>1870</v>
      </c>
      <c r="AJ4" s="1072" t="s">
        <v>1869</v>
      </c>
      <c r="AK4" s="1102"/>
      <c r="AL4" s="1101"/>
      <c r="AM4" s="1099" t="s">
        <v>1983</v>
      </c>
      <c r="AN4" s="1099"/>
      <c r="AO4" s="1099" t="s">
        <v>1982</v>
      </c>
      <c r="AP4" s="1099"/>
      <c r="AQ4" s="1099" t="s">
        <v>1981</v>
      </c>
      <c r="AR4" s="1098"/>
      <c r="AU4" s="1090" t="s">
        <v>1958</v>
      </c>
      <c r="AV4" s="1089"/>
      <c r="AW4" s="1076" t="s">
        <v>1876</v>
      </c>
      <c r="AX4" s="1076" t="s">
        <v>1875</v>
      </c>
      <c r="AY4" s="1075" t="s">
        <v>1874</v>
      </c>
      <c r="AZ4" s="1075" t="s">
        <v>1873</v>
      </c>
      <c r="BA4" s="1074" t="s">
        <v>1872</v>
      </c>
      <c r="BB4" s="1074" t="s">
        <v>1871</v>
      </c>
      <c r="BC4" s="1073" t="s">
        <v>1870</v>
      </c>
      <c r="BD4" s="1072" t="s">
        <v>1869</v>
      </c>
      <c r="BE4" s="1102"/>
      <c r="BF4" s="1101"/>
      <c r="BG4" s="1100"/>
      <c r="BH4" s="1100"/>
      <c r="BI4" s="1099" t="s">
        <v>1983</v>
      </c>
      <c r="BJ4" s="1099"/>
      <c r="BK4" s="1099" t="s">
        <v>1982</v>
      </c>
      <c r="BL4" s="1099"/>
      <c r="BM4" s="1099" t="s">
        <v>1981</v>
      </c>
      <c r="BN4" s="1098"/>
      <c r="BR4" s="909" t="s">
        <v>1980</v>
      </c>
    </row>
    <row r="5" spans="1:82" ht="21">
      <c r="A5" s="906">
        <v>4</v>
      </c>
      <c r="B5" s="906" t="s">
        <v>1979</v>
      </c>
      <c r="C5" s="906">
        <v>29189</v>
      </c>
      <c r="D5" s="906" t="s">
        <v>1256</v>
      </c>
      <c r="E5" s="906" t="s">
        <v>1258</v>
      </c>
      <c r="F5" s="1015">
        <f t="shared" si="0"/>
        <v>0</v>
      </c>
      <c r="G5" s="1014">
        <f t="shared" si="0"/>
        <v>75</v>
      </c>
      <c r="H5" s="1014">
        <f t="shared" si="0"/>
        <v>35</v>
      </c>
      <c r="I5" s="1014">
        <f t="shared" si="0"/>
        <v>82</v>
      </c>
      <c r="J5" s="1013">
        <f t="shared" si="0"/>
        <v>38</v>
      </c>
      <c r="K5" s="1012">
        <f t="shared" si="0"/>
        <v>28.778797668068407</v>
      </c>
      <c r="L5" s="1011">
        <f t="shared" si="0"/>
        <v>0.15252544113528155</v>
      </c>
      <c r="N5" s="1032" t="s">
        <v>1978</v>
      </c>
      <c r="O5" s="1031">
        <v>2.6848387184879734E-2</v>
      </c>
      <c r="P5" s="1030">
        <v>76</v>
      </c>
      <c r="Q5" s="1029">
        <v>38</v>
      </c>
      <c r="R5" s="1029">
        <v>76</v>
      </c>
      <c r="S5" s="1028">
        <v>34</v>
      </c>
      <c r="T5" s="1027">
        <v>41.416233020206796</v>
      </c>
      <c r="U5" s="1026">
        <v>0.24038731406118438</v>
      </c>
      <c r="V5" s="906">
        <v>10.826000000000001</v>
      </c>
      <c r="X5" s="906">
        <v>4</v>
      </c>
      <c r="AA5" s="1057" t="s">
        <v>1257</v>
      </c>
      <c r="AB5" s="1082" t="s">
        <v>1259</v>
      </c>
      <c r="AC5" s="1071">
        <f t="shared" ref="AC5:AD8" si="1">AG5</f>
        <v>81.850000000000009</v>
      </c>
      <c r="AD5" s="1071">
        <f t="shared" si="1"/>
        <v>48.903125000000003</v>
      </c>
      <c r="AE5" s="1088">
        <f>AVERAGEIFS(G$2:G$439,$E$2:$E$439,"=DKE",$D$2:$D$439,"=Central",G$2:G$439,"&gt;0",G$2:G$439,"&lt;140")</f>
        <v>77.835294117647067</v>
      </c>
      <c r="AF5" s="1088">
        <f>AVERAGEIFS(H$2:H$439,$E$2:$E$439,"=DKE",$D$2:$D$439,"=Central",H$2:H$439,"&gt;0",H$2:H$439,"&lt;60")</f>
        <v>49.1875</v>
      </c>
      <c r="AG5" s="1069">
        <f t="shared" ref="AG5:AH8" si="2">AVERAGE(AE5,AI5)</f>
        <v>81.850000000000009</v>
      </c>
      <c r="AH5" s="1069">
        <f t="shared" si="2"/>
        <v>48.903125000000003</v>
      </c>
      <c r="AI5" s="1068">
        <f>AVERAGEIFS(I$2:I$439,$E$2:$E$439,"=DKE",$D$2:$D$439,"=Central",I$2:I$439,"&gt;0",I$2:I$439,"&lt;140")</f>
        <v>85.864705882352951</v>
      </c>
      <c r="AJ5" s="1067">
        <f>AVERAGEIFS(J$2:J$439,$E$2:$E$439,"=DKE",$D$2:$D$439,"=Central",J$2:J$439,"&gt;0",J$2:J$439,"&lt;60")</f>
        <v>48.618750000000006</v>
      </c>
      <c r="AL5" s="1051" t="s">
        <v>1977</v>
      </c>
      <c r="AM5" s="906">
        <v>47</v>
      </c>
      <c r="AN5" s="1097" t="s">
        <v>1960</v>
      </c>
      <c r="AO5" s="906">
        <v>5</v>
      </c>
      <c r="AQ5" s="906">
        <v>10</v>
      </c>
      <c r="AR5" s="1050"/>
      <c r="AU5" s="1057" t="s">
        <v>1257</v>
      </c>
      <c r="AV5" s="1082" t="s">
        <v>1259</v>
      </c>
      <c r="AW5" s="1071">
        <f t="shared" ref="AW5:BD8" si="3">AC5</f>
        <v>81.850000000000009</v>
      </c>
      <c r="AX5" s="1071">
        <f t="shared" si="3"/>
        <v>48.903125000000003</v>
      </c>
      <c r="AY5" s="1088">
        <f t="shared" si="3"/>
        <v>77.835294117647067</v>
      </c>
      <c r="AZ5" s="1088">
        <f t="shared" si="3"/>
        <v>49.1875</v>
      </c>
      <c r="BA5" s="1069">
        <f t="shared" si="3"/>
        <v>81.850000000000009</v>
      </c>
      <c r="BB5" s="1069">
        <f t="shared" si="3"/>
        <v>48.903125000000003</v>
      </c>
      <c r="BC5" s="1068">
        <f t="shared" si="3"/>
        <v>85.864705882352951</v>
      </c>
      <c r="BD5" s="1067">
        <f t="shared" si="3"/>
        <v>48.618750000000006</v>
      </c>
      <c r="BF5" s="1051" t="s">
        <v>1977</v>
      </c>
      <c r="BG5" s="906">
        <v>37.5</v>
      </c>
      <c r="BH5" s="1096" t="s">
        <v>1958</v>
      </c>
      <c r="BI5" s="906">
        <f>BG5+273.15</f>
        <v>310.64999999999998</v>
      </c>
      <c r="BJ5" s="1096" t="s">
        <v>1946</v>
      </c>
      <c r="BK5" s="906">
        <v>5</v>
      </c>
      <c r="BM5" s="906">
        <f>273.15+15</f>
        <v>288.14999999999998</v>
      </c>
      <c r="BN5" s="1096" t="s">
        <v>1946</v>
      </c>
    </row>
    <row r="6" spans="1:82" ht="21">
      <c r="A6" s="906">
        <v>5</v>
      </c>
      <c r="B6" s="906" t="s">
        <v>1962</v>
      </c>
      <c r="C6" s="906">
        <v>29189</v>
      </c>
      <c r="D6" s="906" t="s">
        <v>1257</v>
      </c>
      <c r="E6" s="906" t="s">
        <v>1258</v>
      </c>
      <c r="F6" s="1015">
        <f t="shared" ref="F6:L6" si="4">O137</f>
        <v>0</v>
      </c>
      <c r="G6" s="1014">
        <f t="shared" si="4"/>
        <v>63</v>
      </c>
      <c r="H6" s="1014">
        <f t="shared" si="4"/>
        <v>63</v>
      </c>
      <c r="I6" s="1014">
        <f t="shared" si="4"/>
        <v>73</v>
      </c>
      <c r="J6" s="1013">
        <f t="shared" si="4"/>
        <v>73</v>
      </c>
      <c r="K6" s="1012">
        <f t="shared" si="4"/>
        <v>20.783333333333335</v>
      </c>
      <c r="L6" s="1011">
        <f t="shared" si="4"/>
        <v>0.21572413793103448</v>
      </c>
      <c r="N6" s="1032" t="s">
        <v>1976</v>
      </c>
      <c r="O6" s="1031">
        <v>7.0248372927870801E-3</v>
      </c>
      <c r="P6" s="1030">
        <v>75</v>
      </c>
      <c r="Q6" s="1029">
        <v>43</v>
      </c>
      <c r="R6" s="1029">
        <v>75</v>
      </c>
      <c r="S6" s="1028">
        <v>38</v>
      </c>
      <c r="T6" s="1027">
        <v>36.218348662556075</v>
      </c>
      <c r="U6" s="1026">
        <v>0.24022658750966139</v>
      </c>
      <c r="V6" s="906">
        <v>66.662000000000006</v>
      </c>
      <c r="X6" s="906">
        <v>5</v>
      </c>
      <c r="AA6" s="1057" t="s">
        <v>1257</v>
      </c>
      <c r="AB6" s="1082" t="s">
        <v>1258</v>
      </c>
      <c r="AC6" s="1071">
        <f t="shared" si="1"/>
        <v>74.086206896551715</v>
      </c>
      <c r="AD6" s="1071">
        <f t="shared" si="1"/>
        <v>41.023807692307699</v>
      </c>
      <c r="AE6" s="1088">
        <f>AVERAGEIFS(G$2:G$439,$E$2:$E$439,"=DKW",$D$2:$D$439,"=Central",G$2:G$439,"&gt;0",G$2:G$439,"&lt;140")</f>
        <v>70.565862068965515</v>
      </c>
      <c r="AF6" s="1088">
        <f>AVERAGEIFS(H$2:H$439,$E$2:$E$439,"=DKW",$D$2:$D$439,"=Central",H$2:H$439,"&gt;0",H$2:H$439,"&lt;60")</f>
        <v>42.59961538461539</v>
      </c>
      <c r="AG6" s="1069">
        <f t="shared" si="2"/>
        <v>74.086206896551715</v>
      </c>
      <c r="AH6" s="1069">
        <f t="shared" si="2"/>
        <v>41.023807692307699</v>
      </c>
      <c r="AI6" s="1068">
        <f>AVERAGEIFS(I$2:I$439,$E$2:$E$439,"=DKW",$D$2:$D$439,"=Central",I$2:I$439,"&gt;0",I$2:I$439,"&lt;140")</f>
        <v>77.60655172413793</v>
      </c>
      <c r="AJ6" s="1067">
        <f>AVERAGEIFS(J$2:J$439,$E$2:$E$439,"=DKW",$D$2:$D$439,"=Central",J$2:J$439,"&gt;0",J$2:J$439,"&lt;60")</f>
        <v>39.448</v>
      </c>
      <c r="AL6" s="1051" t="s">
        <v>1849</v>
      </c>
      <c r="AM6" s="906">
        <v>70</v>
      </c>
      <c r="AN6" s="1097" t="s">
        <v>1960</v>
      </c>
      <c r="AO6" s="906">
        <v>10</v>
      </c>
      <c r="AQ6" s="906">
        <v>10</v>
      </c>
      <c r="AR6" s="1050"/>
      <c r="AU6" s="1057" t="s">
        <v>1257</v>
      </c>
      <c r="AV6" s="1082" t="s">
        <v>1258</v>
      </c>
      <c r="AW6" s="1071">
        <f t="shared" si="3"/>
        <v>74.086206896551715</v>
      </c>
      <c r="AX6" s="1071">
        <f t="shared" si="3"/>
        <v>41.023807692307699</v>
      </c>
      <c r="AY6" s="1088">
        <f t="shared" si="3"/>
        <v>70.565862068965515</v>
      </c>
      <c r="AZ6" s="1088">
        <f t="shared" si="3"/>
        <v>42.59961538461539</v>
      </c>
      <c r="BA6" s="1069">
        <f t="shared" si="3"/>
        <v>74.086206896551715</v>
      </c>
      <c r="BB6" s="1069">
        <f t="shared" si="3"/>
        <v>41.023807692307699</v>
      </c>
      <c r="BC6" s="1068">
        <f t="shared" si="3"/>
        <v>77.60655172413793</v>
      </c>
      <c r="BD6" s="1067">
        <f t="shared" si="3"/>
        <v>39.448</v>
      </c>
      <c r="BF6" s="1051" t="s">
        <v>1849</v>
      </c>
      <c r="BG6" s="906">
        <v>70</v>
      </c>
      <c r="BH6" s="1096" t="s">
        <v>1958</v>
      </c>
      <c r="BI6" s="906">
        <f>BG6+273.15</f>
        <v>343.15</v>
      </c>
      <c r="BJ6" s="1096" t="s">
        <v>1946</v>
      </c>
      <c r="BK6" s="906">
        <v>10</v>
      </c>
      <c r="BM6" s="906">
        <f>273.15+15</f>
        <v>288.14999999999998</v>
      </c>
      <c r="BN6" s="1096" t="s">
        <v>1946</v>
      </c>
      <c r="BQ6" s="909" t="s">
        <v>1975</v>
      </c>
      <c r="BR6" s="909" t="s">
        <v>1133</v>
      </c>
      <c r="BS6" s="909" t="s">
        <v>1974</v>
      </c>
      <c r="BT6" s="909" t="s">
        <v>1973</v>
      </c>
      <c r="BU6" s="909" t="s">
        <v>1972</v>
      </c>
      <c r="BV6" s="909" t="s">
        <v>1971</v>
      </c>
      <c r="BW6" s="909" t="s">
        <v>1970</v>
      </c>
      <c r="BX6" s="909" t="s">
        <v>1969</v>
      </c>
      <c r="BY6" s="909" t="s">
        <v>1968</v>
      </c>
      <c r="BZ6" s="909" t="s">
        <v>1967</v>
      </c>
      <c r="CA6" s="909" t="s">
        <v>1966</v>
      </c>
      <c r="CB6" s="909" t="s">
        <v>1965</v>
      </c>
      <c r="CC6" s="909" t="s">
        <v>1964</v>
      </c>
      <c r="CD6" s="909" t="s">
        <v>1963</v>
      </c>
    </row>
    <row r="7" spans="1:82" ht="21">
      <c r="A7" s="906">
        <v>6</v>
      </c>
      <c r="B7" s="906" t="s">
        <v>1962</v>
      </c>
      <c r="C7" s="906">
        <v>29189</v>
      </c>
      <c r="D7" s="906" t="s">
        <v>1256</v>
      </c>
      <c r="E7" s="906" t="s">
        <v>1258</v>
      </c>
      <c r="F7" s="1015">
        <f t="shared" ref="F7:L7" si="5">F6</f>
        <v>0</v>
      </c>
      <c r="G7" s="1014">
        <f t="shared" si="5"/>
        <v>63</v>
      </c>
      <c r="H7" s="1014">
        <f t="shared" si="5"/>
        <v>63</v>
      </c>
      <c r="I7" s="1014">
        <f t="shared" si="5"/>
        <v>73</v>
      </c>
      <c r="J7" s="1013">
        <f t="shared" si="5"/>
        <v>73</v>
      </c>
      <c r="K7" s="1012">
        <f t="shared" si="5"/>
        <v>20.783333333333335</v>
      </c>
      <c r="L7" s="1011">
        <f t="shared" si="5"/>
        <v>0.21572413793103448</v>
      </c>
      <c r="N7" s="1032" t="s">
        <v>1961</v>
      </c>
      <c r="O7" s="1031"/>
      <c r="P7" s="1030">
        <v>67</v>
      </c>
      <c r="Q7" s="1029">
        <v>38</v>
      </c>
      <c r="R7" s="1029">
        <v>67</v>
      </c>
      <c r="S7" s="1028">
        <v>34</v>
      </c>
      <c r="T7" s="1027">
        <v>32.944934232948974</v>
      </c>
      <c r="U7" s="1026">
        <v>0.25541295960947957</v>
      </c>
      <c r="V7" s="906">
        <v>9.4570000000000007</v>
      </c>
      <c r="X7" s="906">
        <v>6</v>
      </c>
      <c r="AA7" s="1057" t="s">
        <v>1256</v>
      </c>
      <c r="AB7" s="1082" t="s">
        <v>1259</v>
      </c>
      <c r="AC7" s="1071">
        <f t="shared" si="1"/>
        <v>78.112857142857138</v>
      </c>
      <c r="AD7" s="1071">
        <f t="shared" si="1"/>
        <v>44.137931034482762</v>
      </c>
      <c r="AE7" s="1088">
        <f>AVERAGEIFS(G$2:G$439,$E$2:$E$439,"=DKE",$D$2:$D$439,"=Decentral",G$2:G$439,"&gt;0",G$2:G$439,"&lt;140")</f>
        <v>74.52</v>
      </c>
      <c r="AF7" s="1088">
        <f>AVERAGEIFS(H$2:H$439,$E$2:$E$439,"=DKE",$D$2:$D$439,"=Decentral",H$2:H$439,"&gt;0",H$2:H$439,"&lt;60")</f>
        <v>45.817241379310346</v>
      </c>
      <c r="AG7" s="1069">
        <f t="shared" si="2"/>
        <v>78.112857142857138</v>
      </c>
      <c r="AH7" s="1069">
        <f t="shared" si="2"/>
        <v>44.137931034482762</v>
      </c>
      <c r="AI7" s="1068">
        <f>AVERAGEIFS(I$2:I$439,$E$2:$E$439,"=DKE",$D$2:$D$439,"=Decentral",I$2:I$439,"&gt;0",I$2:I$439,"&lt;140")</f>
        <v>81.705714285714279</v>
      </c>
      <c r="AJ7" s="1067">
        <f>AVERAGEIFS(J$2:J$439,$E$2:$E$439,"=DKE",$D$2:$D$439,"=Decentral",J$2:J$439,"&gt;0",J$2:J$439,"&lt;60")</f>
        <v>42.45862068965517</v>
      </c>
      <c r="AL7" s="1051" t="s">
        <v>1959</v>
      </c>
      <c r="AM7" s="906">
        <v>100</v>
      </c>
      <c r="AN7" s="1097" t="s">
        <v>1960</v>
      </c>
      <c r="AO7" s="906">
        <v>5</v>
      </c>
      <c r="AR7" s="1050"/>
      <c r="AU7" s="1057" t="s">
        <v>1256</v>
      </c>
      <c r="AV7" s="1082" t="s">
        <v>1259</v>
      </c>
      <c r="AW7" s="1071">
        <f t="shared" si="3"/>
        <v>78.112857142857138</v>
      </c>
      <c r="AX7" s="1071">
        <f t="shared" si="3"/>
        <v>44.137931034482762</v>
      </c>
      <c r="AY7" s="1088">
        <f t="shared" si="3"/>
        <v>74.52</v>
      </c>
      <c r="AZ7" s="1088">
        <f t="shared" si="3"/>
        <v>45.817241379310346</v>
      </c>
      <c r="BA7" s="1069">
        <f t="shared" si="3"/>
        <v>78.112857142857138</v>
      </c>
      <c r="BB7" s="1069">
        <f t="shared" si="3"/>
        <v>44.137931034482762</v>
      </c>
      <c r="BC7" s="1068">
        <f t="shared" si="3"/>
        <v>81.705714285714279</v>
      </c>
      <c r="BD7" s="1067">
        <f t="shared" si="3"/>
        <v>42.45862068965517</v>
      </c>
      <c r="BF7" s="1051" t="s">
        <v>1959</v>
      </c>
      <c r="BG7" s="906">
        <v>215</v>
      </c>
      <c r="BH7" s="1096" t="s">
        <v>1958</v>
      </c>
      <c r="BI7" s="906">
        <f>BG7+273.15</f>
        <v>488.15</v>
      </c>
      <c r="BJ7" s="1096" t="s">
        <v>1946</v>
      </c>
      <c r="BK7" s="906">
        <v>5</v>
      </c>
      <c r="BM7" s="906">
        <f>273.15+40</f>
        <v>313.14999999999998</v>
      </c>
      <c r="BN7" s="1096" t="s">
        <v>1946</v>
      </c>
      <c r="BQ7" s="909" t="s">
        <v>1939</v>
      </c>
      <c r="BR7" s="906">
        <v>2015</v>
      </c>
      <c r="BS7" s="906">
        <v>3.5</v>
      </c>
      <c r="BV7" s="906">
        <f t="shared" ref="BV7:BV12" si="6">40+273.15</f>
        <v>313.14999999999998</v>
      </c>
      <c r="BW7" s="906">
        <f>80+273.15</f>
        <v>353.15</v>
      </c>
      <c r="BX7" s="906">
        <f t="shared" ref="BX7:BX14" si="7">7.5+273.15</f>
        <v>280.64999999999998</v>
      </c>
      <c r="BY7" s="906">
        <f t="shared" ref="BY7:BY14" si="8">2.5+273.15</f>
        <v>275.64999999999998</v>
      </c>
      <c r="BZ7" s="909" t="s">
        <v>1938</v>
      </c>
      <c r="CA7" s="1087" t="s">
        <v>1937</v>
      </c>
      <c r="CB7" s="908">
        <f t="shared" ref="CB7:CB22" si="9">BS7/((($BV7-$BW7)/LN($BV7/$BW7))/(($BV7-$BW7)/LN($BV7/$BW7)-($BX7-$BY7)/LN($BX7/$BY7)))</f>
        <v>0.57437849443193578</v>
      </c>
      <c r="CC7" s="908"/>
      <c r="CD7" s="908"/>
    </row>
    <row r="8" spans="1:82" ht="22" thickBot="1">
      <c r="A8" s="906">
        <v>7</v>
      </c>
      <c r="B8" s="906" t="s">
        <v>1957</v>
      </c>
      <c r="C8" s="906">
        <v>29189</v>
      </c>
      <c r="D8" s="906" t="s">
        <v>1256</v>
      </c>
      <c r="E8" s="906" t="s">
        <v>1258</v>
      </c>
      <c r="F8" s="1015">
        <f t="shared" ref="F8:L8" si="10">O152</f>
        <v>3.2552457602759412E-2</v>
      </c>
      <c r="G8" s="1014">
        <f t="shared" si="10"/>
        <v>71.3</v>
      </c>
      <c r="H8" s="1014">
        <f t="shared" si="10"/>
        <v>34.6</v>
      </c>
      <c r="I8" s="1014">
        <f t="shared" si="10"/>
        <v>69.5</v>
      </c>
      <c r="J8" s="1013">
        <f t="shared" si="10"/>
        <v>32.6</v>
      </c>
      <c r="K8" s="1012">
        <f t="shared" si="10"/>
        <v>35.553078526925404</v>
      </c>
      <c r="L8" s="1011">
        <f t="shared" si="10"/>
        <v>0.17525811483324669</v>
      </c>
      <c r="N8" s="1032" t="s">
        <v>1956</v>
      </c>
      <c r="O8" s="1031">
        <v>9.2234454031538231E-3</v>
      </c>
      <c r="P8" s="1030">
        <v>72</v>
      </c>
      <c r="Q8" s="1029">
        <v>36.799999999999997</v>
      </c>
      <c r="R8" s="1029">
        <v>72</v>
      </c>
      <c r="S8" s="1028">
        <v>33.299999999999997</v>
      </c>
      <c r="T8" s="1027">
        <v>36.219113113587859</v>
      </c>
      <c r="U8" s="1026">
        <v>0.25401651651651652</v>
      </c>
      <c r="V8" s="906">
        <v>19.873000000000001</v>
      </c>
      <c r="X8" s="906">
        <v>7</v>
      </c>
      <c r="AA8" s="1055" t="s">
        <v>1256</v>
      </c>
      <c r="AB8" s="1081" t="s">
        <v>1258</v>
      </c>
      <c r="AC8" s="1066">
        <f t="shared" si="1"/>
        <v>72.672803468208087</v>
      </c>
      <c r="AD8" s="1066">
        <f t="shared" si="1"/>
        <v>38.255032467532459</v>
      </c>
      <c r="AE8" s="1086">
        <f>AVERAGEIFS(G$2:G$439,$E$2:$E$439,"=DKW",$D$2:$D$439,"=Decentral",G$2:G$439,"&gt;0",G$2:G$439,"&lt;140")</f>
        <v>70.699017341040459</v>
      </c>
      <c r="AF8" s="1086">
        <f>AVERAGEIFS(H$2:H$439,$E$2:$E$439,"=DKW",$D$2:$D$439,"=Decentral",H$2:H$439,"&gt;0",H$2:H$439,"&lt;60")</f>
        <v>39.665064935064933</v>
      </c>
      <c r="AG8" s="1063">
        <f t="shared" si="2"/>
        <v>72.672803468208087</v>
      </c>
      <c r="AH8" s="1063">
        <f t="shared" si="2"/>
        <v>38.255032467532459</v>
      </c>
      <c r="AI8" s="1062">
        <f>AVERAGEIFS(I$2:I$439,$E$2:$E$439,"=DKW",$D$2:$D$439,"=Decentral",I$2:I$439,"&gt;0",I$2:I$439,"&lt;140")</f>
        <v>74.64658959537573</v>
      </c>
      <c r="AJ8" s="1061">
        <f>AVERAGEIFS(J$2:J$439,$E$2:$E$439,"=DKW",$D$2:$D$439,"=Decentral",J$2:J$439,"&gt;0",J$2:J$439,"&lt;60")</f>
        <v>36.844999999999992</v>
      </c>
      <c r="AL8" s="1051" t="s">
        <v>1955</v>
      </c>
      <c r="AM8" s="906">
        <v>0.55000000000000004</v>
      </c>
      <c r="AR8" s="1050"/>
      <c r="AU8" s="1055" t="s">
        <v>1256</v>
      </c>
      <c r="AV8" s="1081" t="s">
        <v>1258</v>
      </c>
      <c r="AW8" s="1066">
        <f t="shared" si="3"/>
        <v>72.672803468208087</v>
      </c>
      <c r="AX8" s="1066">
        <f t="shared" si="3"/>
        <v>38.255032467532459</v>
      </c>
      <c r="AY8" s="1086">
        <f t="shared" si="3"/>
        <v>70.699017341040459</v>
      </c>
      <c r="AZ8" s="1086">
        <f t="shared" si="3"/>
        <v>39.665064935064933</v>
      </c>
      <c r="BA8" s="1063">
        <f t="shared" si="3"/>
        <v>72.672803468208087</v>
      </c>
      <c r="BB8" s="1063">
        <f t="shared" si="3"/>
        <v>38.255032467532459</v>
      </c>
      <c r="BC8" s="1062">
        <f t="shared" si="3"/>
        <v>74.64658959537573</v>
      </c>
      <c r="BD8" s="1061">
        <f t="shared" si="3"/>
        <v>36.844999999999992</v>
      </c>
      <c r="BF8" s="1095" t="s">
        <v>1954</v>
      </c>
      <c r="BI8" s="908">
        <f>CB19</f>
        <v>0.57137667700311223</v>
      </c>
      <c r="BN8" s="1050"/>
      <c r="BQ8" s="909" t="s">
        <v>1939</v>
      </c>
      <c r="BR8" s="906">
        <v>2020</v>
      </c>
      <c r="BS8" s="906">
        <v>3.6</v>
      </c>
      <c r="BT8" s="906">
        <v>3.5</v>
      </c>
      <c r="BU8" s="906">
        <v>3.8</v>
      </c>
      <c r="BV8" s="906">
        <f t="shared" si="6"/>
        <v>313.14999999999998</v>
      </c>
      <c r="BW8" s="906">
        <f>80+273.15</f>
        <v>353.15</v>
      </c>
      <c r="BX8" s="906">
        <f t="shared" si="7"/>
        <v>280.64999999999998</v>
      </c>
      <c r="BY8" s="906">
        <f t="shared" si="8"/>
        <v>275.64999999999998</v>
      </c>
      <c r="BZ8" s="909" t="s">
        <v>1938</v>
      </c>
      <c r="CA8" s="1087" t="s">
        <v>1937</v>
      </c>
      <c r="CB8" s="908">
        <f t="shared" si="9"/>
        <v>0.5907893085585626</v>
      </c>
      <c r="CC8" s="908">
        <f>BT8/((($BV8-$BW8)/LN($BV8/$BW8))/(($BV8-$BW8)/LN($BV8/$BW8)-($BX8-$BY8)/LN($BX8/$BY8)))</f>
        <v>0.57437849443193578</v>
      </c>
      <c r="CD8" s="908">
        <f>BU8/((($BV8-$BW8)/LN($BV8/$BW8))/(($BV8-$BW8)/LN($BV8/$BW8)-($BX8-$BY8)/LN($BX8/$BY8)))</f>
        <v>0.62361093681181601</v>
      </c>
    </row>
    <row r="9" spans="1:82" ht="21">
      <c r="A9" s="906">
        <v>8</v>
      </c>
      <c r="B9" s="906" t="s">
        <v>1953</v>
      </c>
      <c r="C9" s="906">
        <v>29189</v>
      </c>
      <c r="D9" s="906" t="s">
        <v>1256</v>
      </c>
      <c r="E9" s="906" t="s">
        <v>1258</v>
      </c>
      <c r="F9" s="1015"/>
      <c r="G9" s="1014"/>
      <c r="H9" s="1014"/>
      <c r="I9" s="1014"/>
      <c r="J9" s="1013"/>
      <c r="K9" s="1012"/>
      <c r="L9" s="1011"/>
      <c r="N9" s="1032" t="s">
        <v>1952</v>
      </c>
      <c r="O9" s="1031">
        <v>1.8127714881827821E-3</v>
      </c>
      <c r="P9" s="1030">
        <v>72</v>
      </c>
      <c r="Q9" s="1029">
        <v>35</v>
      </c>
      <c r="R9" s="1029">
        <v>72</v>
      </c>
      <c r="S9" s="1028">
        <v>32</v>
      </c>
      <c r="T9" s="1027" t="s">
        <v>842</v>
      </c>
      <c r="U9" s="1026">
        <v>0.28255208333333331</v>
      </c>
      <c r="V9" s="906">
        <v>20.937999999999999</v>
      </c>
      <c r="X9" s="906">
        <v>8</v>
      </c>
      <c r="AL9" s="1093" t="s">
        <v>1951</v>
      </c>
      <c r="AM9" s="1092">
        <v>1</v>
      </c>
      <c r="AN9" s="1092"/>
      <c r="AO9" s="1092"/>
      <c r="AP9" s="1092"/>
      <c r="AQ9" s="1092"/>
      <c r="AR9" s="1091"/>
      <c r="AU9" s="1094"/>
      <c r="AV9" s="1082"/>
      <c r="AW9" s="1071"/>
      <c r="AX9" s="1071"/>
      <c r="AY9" s="1088"/>
      <c r="AZ9" s="1088"/>
      <c r="BA9" s="1069"/>
      <c r="BB9" s="1069"/>
      <c r="BC9" s="1068"/>
      <c r="BD9" s="1068"/>
      <c r="BF9" s="1093" t="s">
        <v>1951</v>
      </c>
      <c r="BG9" s="1092"/>
      <c r="BH9" s="1092"/>
      <c r="BI9" s="1092">
        <v>1</v>
      </c>
      <c r="BJ9" s="1092"/>
      <c r="BK9" s="1092"/>
      <c r="BL9" s="1092"/>
      <c r="BM9" s="1092"/>
      <c r="BN9" s="1091"/>
      <c r="BQ9" s="909" t="s">
        <v>1939</v>
      </c>
      <c r="BR9" s="906">
        <v>2030</v>
      </c>
      <c r="BS9" s="906">
        <v>3.8</v>
      </c>
      <c r="BV9" s="906">
        <f t="shared" si="6"/>
        <v>313.14999999999998</v>
      </c>
      <c r="BW9" s="906">
        <f>80+273.15</f>
        <v>353.15</v>
      </c>
      <c r="BX9" s="906">
        <f t="shared" si="7"/>
        <v>280.64999999999998</v>
      </c>
      <c r="BY9" s="906">
        <f t="shared" si="8"/>
        <v>275.64999999999998</v>
      </c>
      <c r="BZ9" s="909" t="s">
        <v>1938</v>
      </c>
      <c r="CA9" s="1087" t="s">
        <v>1937</v>
      </c>
      <c r="CB9" s="908">
        <f t="shared" si="9"/>
        <v>0.62361093681181601</v>
      </c>
      <c r="CC9" s="908"/>
      <c r="CD9" s="908"/>
    </row>
    <row r="10" spans="1:82" ht="16" thickBot="1">
      <c r="A10" s="906">
        <v>9</v>
      </c>
      <c r="B10" s="906" t="s">
        <v>1950</v>
      </c>
      <c r="C10" s="906">
        <v>29189</v>
      </c>
      <c r="D10" s="906" t="s">
        <v>1256</v>
      </c>
      <c r="E10" s="906" t="s">
        <v>1258</v>
      </c>
      <c r="F10" s="1015">
        <f t="shared" ref="F10:L10" si="11">O5</f>
        <v>2.6848387184879734E-2</v>
      </c>
      <c r="G10" s="1014">
        <f t="shared" si="11"/>
        <v>76</v>
      </c>
      <c r="H10" s="1014">
        <f t="shared" si="11"/>
        <v>38</v>
      </c>
      <c r="I10" s="1014">
        <f t="shared" si="11"/>
        <v>76</v>
      </c>
      <c r="J10" s="1013">
        <f t="shared" si="11"/>
        <v>34</v>
      </c>
      <c r="K10" s="1012">
        <f t="shared" si="11"/>
        <v>41.416233020206796</v>
      </c>
      <c r="L10" s="1011">
        <f t="shared" si="11"/>
        <v>0.24038731406118438</v>
      </c>
      <c r="N10" s="1032" t="s">
        <v>1949</v>
      </c>
      <c r="O10" s="1031"/>
      <c r="P10" s="1030">
        <v>71</v>
      </c>
      <c r="Q10" s="1029">
        <v>39</v>
      </c>
      <c r="R10" s="1029">
        <v>74</v>
      </c>
      <c r="S10" s="1028">
        <v>36</v>
      </c>
      <c r="T10" s="1027">
        <v>36.171486224056316</v>
      </c>
      <c r="U10" s="1026">
        <v>0.28352421318423665</v>
      </c>
      <c r="V10" s="906">
        <v>7.9450000000000003</v>
      </c>
      <c r="X10" s="906">
        <v>9</v>
      </c>
      <c r="AA10" s="906" t="s">
        <v>1836</v>
      </c>
      <c r="AC10" s="906" t="s">
        <v>1848</v>
      </c>
      <c r="AD10" s="906" t="s">
        <v>1847</v>
      </c>
      <c r="AE10" s="906" t="s">
        <v>1846</v>
      </c>
      <c r="AF10" s="906" t="s">
        <v>1845</v>
      </c>
      <c r="AW10" s="1354" t="s">
        <v>1882</v>
      </c>
      <c r="AX10" s="1354"/>
      <c r="AY10" s="1355" t="s">
        <v>1881</v>
      </c>
      <c r="AZ10" s="1355"/>
      <c r="BA10" s="1356" t="s">
        <v>1880</v>
      </c>
      <c r="BB10" s="1356"/>
      <c r="BC10" s="1357" t="s">
        <v>1879</v>
      </c>
      <c r="BD10" s="1357"/>
      <c r="BQ10" s="909" t="s">
        <v>1939</v>
      </c>
      <c r="BR10" s="906">
        <v>2050</v>
      </c>
      <c r="BS10" s="906">
        <v>4.0999999999999996</v>
      </c>
      <c r="BT10" s="906">
        <v>3.5</v>
      </c>
      <c r="BU10" s="906">
        <v>4.5</v>
      </c>
      <c r="BV10" s="906">
        <f t="shared" si="6"/>
        <v>313.14999999999998</v>
      </c>
      <c r="BW10" s="906">
        <f>80+273.15</f>
        <v>353.15</v>
      </c>
      <c r="BX10" s="906">
        <f t="shared" si="7"/>
        <v>280.64999999999998</v>
      </c>
      <c r="BY10" s="906">
        <f t="shared" si="8"/>
        <v>275.64999999999998</v>
      </c>
      <c r="BZ10" s="909" t="s">
        <v>1938</v>
      </c>
      <c r="CA10" s="1087" t="s">
        <v>1937</v>
      </c>
      <c r="CB10" s="908">
        <f t="shared" si="9"/>
        <v>0.67284337919169623</v>
      </c>
      <c r="CC10" s="908">
        <f>BT10/((($BV10-$BW10)/LN($BV10/$BW10))/(($BV10-$BW10)/LN($BV10/$BW10)-($BX10-$BY10)/LN($BX10/$BY10)))</f>
        <v>0.57437849443193578</v>
      </c>
      <c r="CD10" s="908">
        <f>BU10/((($BV10-$BW10)/LN($BV10/$BW10))/(($BV10-$BW10)/LN($BV10/$BW10)-($BX10-$BY10)/LN($BX10/$BY10)))</f>
        <v>0.73848663569820316</v>
      </c>
    </row>
    <row r="11" spans="1:82" ht="19">
      <c r="A11" s="906">
        <v>10</v>
      </c>
      <c r="B11" s="906" t="s">
        <v>1948</v>
      </c>
      <c r="C11" s="906">
        <v>29189</v>
      </c>
      <c r="D11" s="906" t="s">
        <v>1256</v>
      </c>
      <c r="E11" s="906" t="s">
        <v>1258</v>
      </c>
      <c r="F11" s="1015"/>
      <c r="G11" s="1014"/>
      <c r="H11" s="1014"/>
      <c r="I11" s="1014"/>
      <c r="J11" s="1013"/>
      <c r="K11" s="1012"/>
      <c r="L11" s="1011"/>
      <c r="N11" s="1032" t="s">
        <v>1947</v>
      </c>
      <c r="O11" s="1031"/>
      <c r="P11" s="1030">
        <v>67</v>
      </c>
      <c r="Q11" s="1029">
        <v>39</v>
      </c>
      <c r="R11" s="1029">
        <v>68</v>
      </c>
      <c r="S11" s="1028">
        <v>39</v>
      </c>
      <c r="T11" s="1027" t="s">
        <v>842</v>
      </c>
      <c r="U11" s="1026">
        <v>0.13224844990753837</v>
      </c>
      <c r="V11" s="906">
        <v>7.9772400000000001</v>
      </c>
      <c r="X11" s="906">
        <v>10</v>
      </c>
      <c r="AA11" s="1360" t="s">
        <v>1257</v>
      </c>
      <c r="AB11" s="1083" t="s">
        <v>1259</v>
      </c>
      <c r="AC11" s="1059">
        <f>(AC5+273.15+$AO$5)/((AC5+273.15+$AO$5)-($AM$5+273.15-$AO$5))*$AM$8*$AM$9</f>
        <v>4.414715719063544</v>
      </c>
      <c r="AD11" s="1059">
        <f>(AE5+273.15+$AO$5)/((AE5+273.15+$AO$5)-($AM$5+273.15-$AO$5))*$AM$8*$AM$9</f>
        <v>4.7946737251512497</v>
      </c>
      <c r="AE11" s="1059">
        <f>(AG5+273.15+$AO$5)/((AG5+273.15+$AO$5)-($AM$5+273.15-$AO$5))*$AM$8*$AM$9</f>
        <v>4.414715719063544</v>
      </c>
      <c r="AF11" s="1058">
        <f>(AI5+273.15+$AO$5)/((AI5+273.15+$AO$5)-($AM$5+273.15-$AO$5))*$AM$8</f>
        <v>4.097192127121704</v>
      </c>
      <c r="AH11" s="1084"/>
      <c r="AI11" s="1085"/>
      <c r="AJ11" s="1085"/>
      <c r="AK11" s="1085"/>
      <c r="AL11" s="1085"/>
      <c r="AU11" s="1090" t="s">
        <v>1946</v>
      </c>
      <c r="AV11" s="1089"/>
      <c r="AW11" s="1076" t="s">
        <v>1876</v>
      </c>
      <c r="AX11" s="1076" t="s">
        <v>1875</v>
      </c>
      <c r="AY11" s="1075" t="s">
        <v>1874</v>
      </c>
      <c r="AZ11" s="1075" t="s">
        <v>1873</v>
      </c>
      <c r="BA11" s="1074" t="s">
        <v>1872</v>
      </c>
      <c r="BB11" s="1074" t="s">
        <v>1871</v>
      </c>
      <c r="BC11" s="1073" t="s">
        <v>1870</v>
      </c>
      <c r="BD11" s="1072" t="s">
        <v>1869</v>
      </c>
      <c r="BE11" s="1085"/>
      <c r="BF11" s="1085"/>
      <c r="BG11" s="1085"/>
      <c r="BH11" s="1085"/>
      <c r="BQ11" s="909" t="s">
        <v>1939</v>
      </c>
      <c r="BR11" s="906">
        <v>2015</v>
      </c>
      <c r="BS11" s="906">
        <v>3.5</v>
      </c>
      <c r="BV11" s="906">
        <f t="shared" si="6"/>
        <v>313.14999999999998</v>
      </c>
      <c r="BW11" s="906">
        <f>80+273.15</f>
        <v>353.15</v>
      </c>
      <c r="BX11" s="906">
        <f t="shared" si="7"/>
        <v>280.64999999999998</v>
      </c>
      <c r="BY11" s="906">
        <f t="shared" si="8"/>
        <v>275.64999999999998</v>
      </c>
      <c r="BZ11" s="909" t="s">
        <v>1938</v>
      </c>
      <c r="CA11" s="1087" t="s">
        <v>1937</v>
      </c>
      <c r="CB11" s="908">
        <f t="shared" si="9"/>
        <v>0.57437849443193578</v>
      </c>
      <c r="CC11" s="908"/>
      <c r="CD11" s="908"/>
    </row>
    <row r="12" spans="1:82" ht="21">
      <c r="A12" s="906">
        <v>11</v>
      </c>
      <c r="B12" s="906" t="s">
        <v>1945</v>
      </c>
      <c r="C12" s="906">
        <v>29189</v>
      </c>
      <c r="D12" s="906" t="s">
        <v>1256</v>
      </c>
      <c r="E12" s="906" t="s">
        <v>1258</v>
      </c>
      <c r="F12" s="1015">
        <f t="shared" ref="F12:L12" si="12">O6</f>
        <v>7.0248372927870801E-3</v>
      </c>
      <c r="G12" s="1014">
        <f t="shared" si="12"/>
        <v>75</v>
      </c>
      <c r="H12" s="1014">
        <f t="shared" si="12"/>
        <v>43</v>
      </c>
      <c r="I12" s="1014">
        <f t="shared" si="12"/>
        <v>75</v>
      </c>
      <c r="J12" s="1013">
        <f t="shared" si="12"/>
        <v>38</v>
      </c>
      <c r="K12" s="1012">
        <f t="shared" si="12"/>
        <v>36.218348662556075</v>
      </c>
      <c r="L12" s="1011">
        <f t="shared" si="12"/>
        <v>0.24022658750966139</v>
      </c>
      <c r="N12" s="1032" t="s">
        <v>1944</v>
      </c>
      <c r="O12" s="1031"/>
      <c r="P12" s="1030">
        <v>72</v>
      </c>
      <c r="Q12" s="1029">
        <v>42</v>
      </c>
      <c r="R12" s="1029">
        <v>85</v>
      </c>
      <c r="S12" s="1028">
        <v>45</v>
      </c>
      <c r="T12" s="1027">
        <v>32.071334210213017</v>
      </c>
      <c r="U12" s="1026">
        <v>0.16574868264164008</v>
      </c>
      <c r="V12" s="906">
        <v>65.069099999999992</v>
      </c>
      <c r="X12" s="906">
        <v>11</v>
      </c>
      <c r="AA12" s="1358"/>
      <c r="AB12" s="1082" t="s">
        <v>1258</v>
      </c>
      <c r="AC12" s="908">
        <f>(AC6+273.15+$AO$5)/((AC6+273.15+$AO$5)-($AM$5+273.15-$AO$5))*$AM$8*$AM$9</f>
        <v>5.2237726638772637</v>
      </c>
      <c r="AD12" s="908">
        <f>(AE6+273.15+$AO$5)/((AE6+273.15+$AO$5)-($AM$5+273.15-$AO$5))*$AM$8*$AM$9</f>
        <v>5.7139519832341934</v>
      </c>
      <c r="AE12" s="908">
        <f>(AG6+273.15+$AO$5)/((AG6+273.15+$AO$5)-($AM$5+273.15-$AO$5))*$AM$8*$AM$9</f>
        <v>5.2237726638772637</v>
      </c>
      <c r="AF12" s="1056">
        <f>(AI6+273.15+$AO$5)/((AI6+273.15+$AO$5)-($AM$5+273.15-$AO$5))*$AM$8</f>
        <v>4.8185845667847031</v>
      </c>
      <c r="AH12" s="1084"/>
      <c r="AI12" s="1085"/>
      <c r="AJ12" s="1085"/>
      <c r="AK12" s="1085"/>
      <c r="AL12" s="1085"/>
      <c r="AU12" s="1057" t="s">
        <v>1257</v>
      </c>
      <c r="AV12" s="1082" t="s">
        <v>1259</v>
      </c>
      <c r="AW12" s="1071">
        <f t="shared" ref="AW12:BD15" si="13">AC5+273.15</f>
        <v>355</v>
      </c>
      <c r="AX12" s="1071">
        <f t="shared" si="13"/>
        <v>322.05312499999997</v>
      </c>
      <c r="AY12" s="1088">
        <f t="shared" si="13"/>
        <v>350.98529411764707</v>
      </c>
      <c r="AZ12" s="1088">
        <f t="shared" si="13"/>
        <v>322.33749999999998</v>
      </c>
      <c r="BA12" s="1069">
        <f t="shared" si="13"/>
        <v>355</v>
      </c>
      <c r="BB12" s="1069">
        <f t="shared" si="13"/>
        <v>322.05312499999997</v>
      </c>
      <c r="BC12" s="1068">
        <f t="shared" si="13"/>
        <v>359.01470588235293</v>
      </c>
      <c r="BD12" s="1067">
        <f t="shared" si="13"/>
        <v>321.76874999999995</v>
      </c>
      <c r="BE12" s="1085"/>
      <c r="BF12" s="1085"/>
      <c r="BG12" s="1085"/>
      <c r="BH12" s="1085"/>
      <c r="BQ12" s="909" t="s">
        <v>1939</v>
      </c>
      <c r="BR12" s="906">
        <v>2020</v>
      </c>
      <c r="BS12" s="906">
        <v>4</v>
      </c>
      <c r="BT12" s="906">
        <v>3.5</v>
      </c>
      <c r="BU12" s="906">
        <v>4.5</v>
      </c>
      <c r="BV12" s="906">
        <f t="shared" si="6"/>
        <v>313.14999999999998</v>
      </c>
      <c r="BW12" s="906">
        <f>75+273.15</f>
        <v>348.15</v>
      </c>
      <c r="BX12" s="906">
        <f t="shared" si="7"/>
        <v>280.64999999999998</v>
      </c>
      <c r="BY12" s="906">
        <f t="shared" si="8"/>
        <v>275.64999999999998</v>
      </c>
      <c r="BZ12" s="909" t="s">
        <v>1938</v>
      </c>
      <c r="CA12" s="1087" t="s">
        <v>1937</v>
      </c>
      <c r="CB12" s="908">
        <f t="shared" si="9"/>
        <v>0.63205619065481244</v>
      </c>
      <c r="CC12" s="908">
        <f>BT12/((($BV12-$BW12)/LN($BV12/$BW12))/(($BV12-$BW12)/LN($BV12/$BW12)-($BX12-$BY12)/LN($BX12/$BY12)))</f>
        <v>0.5530491668229609</v>
      </c>
      <c r="CD12" s="908">
        <f>BU12/((($BV12-$BW12)/LN($BV12/$BW12))/(($BV12-$BW12)/LN($BV12/$BW12)-($BX12-$BY12)/LN($BX12/$BY12)))</f>
        <v>0.71106321448666399</v>
      </c>
    </row>
    <row r="13" spans="1:82" ht="21">
      <c r="A13" s="906">
        <v>12</v>
      </c>
      <c r="B13" s="906" t="s">
        <v>1943</v>
      </c>
      <c r="C13" s="906">
        <v>29189</v>
      </c>
      <c r="D13" s="906" t="s">
        <v>1256</v>
      </c>
      <c r="E13" s="906" t="s">
        <v>1258</v>
      </c>
      <c r="F13" s="1015"/>
      <c r="G13" s="1014"/>
      <c r="H13" s="1014"/>
      <c r="I13" s="1014"/>
      <c r="J13" s="1013"/>
      <c r="K13" s="1012"/>
      <c r="L13" s="1011"/>
      <c r="N13" s="1032" t="s">
        <v>1942</v>
      </c>
      <c r="O13" s="1031">
        <v>7.1007682553889756E-2</v>
      </c>
      <c r="P13" s="1030">
        <v>68</v>
      </c>
      <c r="Q13" s="1029">
        <v>38</v>
      </c>
      <c r="R13" s="1029">
        <v>72</v>
      </c>
      <c r="S13" s="1028">
        <v>33</v>
      </c>
      <c r="T13" s="1027">
        <v>35.785327457812848</v>
      </c>
      <c r="U13" s="1026">
        <v>0.28133279807306305</v>
      </c>
      <c r="V13" s="906">
        <v>8.9510000000000005</v>
      </c>
      <c r="X13" s="906">
        <v>12</v>
      </c>
      <c r="AA13" s="1358" t="s">
        <v>1256</v>
      </c>
      <c r="AB13" s="1082" t="s">
        <v>1259</v>
      </c>
      <c r="AC13" s="908">
        <f>(AC7+273.15+$AO$5)/((AC7+273.15+$AO$5)-($AM$5+273.15-$AO$5))*$AM$8*$AM$9</f>
        <v>4.7660168873136666</v>
      </c>
      <c r="AD13" s="908">
        <f>(AE7+273.15+$AO$5)/((AE7+273.15+$AO$5)-($AM$5+273.15-$AO$5))*$AM$8*$AM$9</f>
        <v>5.1697361407249485</v>
      </c>
      <c r="AE13" s="908">
        <f>(AG7+273.15+$AO$5)/((AG7+273.15+$AO$5)-($AM$5+273.15-$AO$5))*$AM$8*$AM$9</f>
        <v>4.7660168873136666</v>
      </c>
      <c r="AF13" s="1056">
        <f>(AI7+273.15+$AO$5)/((AI7+273.15+$AO$5)-($AM$5+273.15-$AO$5))*$AM$8</f>
        <v>4.4271889180034503</v>
      </c>
      <c r="AH13" s="1084"/>
      <c r="AI13" s="1084"/>
      <c r="AJ13" s="1084"/>
      <c r="AK13" s="1084"/>
      <c r="AL13" s="1084"/>
      <c r="AU13" s="1057" t="s">
        <v>1257</v>
      </c>
      <c r="AV13" s="1082" t="s">
        <v>1258</v>
      </c>
      <c r="AW13" s="1071">
        <f t="shared" si="13"/>
        <v>347.23620689655172</v>
      </c>
      <c r="AX13" s="1071">
        <f t="shared" si="13"/>
        <v>314.17380769230766</v>
      </c>
      <c r="AY13" s="1088">
        <f t="shared" si="13"/>
        <v>343.71586206896552</v>
      </c>
      <c r="AZ13" s="1088">
        <f t="shared" si="13"/>
        <v>315.74961538461537</v>
      </c>
      <c r="BA13" s="1069">
        <f t="shared" si="13"/>
        <v>347.23620689655172</v>
      </c>
      <c r="BB13" s="1069">
        <f t="shared" si="13"/>
        <v>314.17380769230766</v>
      </c>
      <c r="BC13" s="1068">
        <f t="shared" si="13"/>
        <v>350.75655172413792</v>
      </c>
      <c r="BD13" s="1067">
        <f t="shared" si="13"/>
        <v>312.59799999999996</v>
      </c>
      <c r="BE13" s="1084"/>
      <c r="BF13" s="1084"/>
      <c r="BG13" s="1084"/>
      <c r="BH13" s="1084"/>
      <c r="BQ13" s="909" t="s">
        <v>1939</v>
      </c>
      <c r="BR13" s="906">
        <v>2030</v>
      </c>
      <c r="BS13" s="906">
        <v>4.8</v>
      </c>
      <c r="BV13" s="906">
        <f>35+273.15</f>
        <v>308.14999999999998</v>
      </c>
      <c r="BW13" s="906">
        <f>70+273.15</f>
        <v>343.15</v>
      </c>
      <c r="BX13" s="906">
        <f t="shared" si="7"/>
        <v>280.64999999999998</v>
      </c>
      <c r="BY13" s="906">
        <f t="shared" si="8"/>
        <v>275.64999999999998</v>
      </c>
      <c r="BZ13" s="909" t="s">
        <v>1938</v>
      </c>
      <c r="CA13" s="1087" t="s">
        <v>1937</v>
      </c>
      <c r="CB13" s="908">
        <f t="shared" si="9"/>
        <v>0.69629525282299742</v>
      </c>
      <c r="CC13" s="908"/>
      <c r="CD13" s="908"/>
    </row>
    <row r="14" spans="1:82" ht="22" thickBot="1">
      <c r="A14" s="906">
        <v>13</v>
      </c>
      <c r="B14" s="906" t="s">
        <v>1941</v>
      </c>
      <c r="C14" s="906">
        <v>29189</v>
      </c>
      <c r="D14" s="906" t="s">
        <v>1256</v>
      </c>
      <c r="E14" s="906" t="s">
        <v>1258</v>
      </c>
      <c r="F14" s="1015">
        <f t="shared" ref="F14:L16" si="14">O7</f>
        <v>0</v>
      </c>
      <c r="G14" s="1014">
        <f t="shared" si="14"/>
        <v>67</v>
      </c>
      <c r="H14" s="1014">
        <f t="shared" si="14"/>
        <v>38</v>
      </c>
      <c r="I14" s="1014">
        <f t="shared" si="14"/>
        <v>67</v>
      </c>
      <c r="J14" s="1013">
        <f t="shared" si="14"/>
        <v>34</v>
      </c>
      <c r="K14" s="1012">
        <f t="shared" si="14"/>
        <v>32.944934232948974</v>
      </c>
      <c r="L14" s="1011">
        <f t="shared" si="14"/>
        <v>0.25541295960947957</v>
      </c>
      <c r="N14" s="1032" t="s">
        <v>1940</v>
      </c>
      <c r="O14" s="1031"/>
      <c r="P14" s="1030">
        <v>69</v>
      </c>
      <c r="Q14" s="1029">
        <v>41</v>
      </c>
      <c r="R14" s="1029">
        <v>72</v>
      </c>
      <c r="S14" s="1028">
        <v>36</v>
      </c>
      <c r="T14" s="1027">
        <v>34.4</v>
      </c>
      <c r="U14" s="1026">
        <v>0.18216666666666667</v>
      </c>
      <c r="V14" s="906">
        <v>63.790999999999997</v>
      </c>
      <c r="X14" s="906">
        <v>13</v>
      </c>
      <c r="AA14" s="1359"/>
      <c r="AB14" s="1081" t="s">
        <v>1258</v>
      </c>
      <c r="AC14" s="1054">
        <f>(AC8+273.15+$AO$5)/((AC8+273.15+$AO$5)-($AM$5+273.15-$AO$5))*$AM$8*$AM$9</f>
        <v>5.4089536887527059</v>
      </c>
      <c r="AD14" s="1054">
        <f>(AE8+273.15+$AO$5)/((AE8+273.15+$AO$5)-($AM$5+273.15-$AO$5))*$AM$8*$AM$9</f>
        <v>5.6935476069180924</v>
      </c>
      <c r="AE14" s="1054">
        <f>(AG8+273.15+$AO$5)/((AG8+273.15+$AO$5)-($AM$5+273.15-$AO$5))*$AM$8*$AM$9</f>
        <v>5.4089536887527059</v>
      </c>
      <c r="AF14" s="1053">
        <f>(AI8+273.15+$AO$5)/((AI8+273.15+$AO$5)-($AM$5+273.15-$AO$5))*$AM$8</f>
        <v>5.1542019174371889</v>
      </c>
      <c r="AH14" s="1084"/>
      <c r="AI14" s="1084"/>
      <c r="AJ14" s="1084"/>
      <c r="AU14" s="1057" t="s">
        <v>1256</v>
      </c>
      <c r="AV14" s="1082" t="s">
        <v>1259</v>
      </c>
      <c r="AW14" s="1071">
        <f t="shared" si="13"/>
        <v>351.26285714285711</v>
      </c>
      <c r="AX14" s="1071">
        <f t="shared" si="13"/>
        <v>317.28793103448277</v>
      </c>
      <c r="AY14" s="1088">
        <f t="shared" si="13"/>
        <v>347.66999999999996</v>
      </c>
      <c r="AZ14" s="1088">
        <f t="shared" si="13"/>
        <v>318.96724137931034</v>
      </c>
      <c r="BA14" s="1069">
        <f t="shared" si="13"/>
        <v>351.26285714285711</v>
      </c>
      <c r="BB14" s="1069">
        <f t="shared" si="13"/>
        <v>317.28793103448277</v>
      </c>
      <c r="BC14" s="1068">
        <f t="shared" si="13"/>
        <v>354.85571428571427</v>
      </c>
      <c r="BD14" s="1067">
        <f t="shared" si="13"/>
        <v>315.60862068965514</v>
      </c>
      <c r="BI14" s="908"/>
      <c r="BQ14" s="909" t="s">
        <v>1939</v>
      </c>
      <c r="BR14" s="906">
        <v>2050</v>
      </c>
      <c r="BS14" s="906">
        <v>6</v>
      </c>
      <c r="BT14" s="906">
        <v>3.5</v>
      </c>
      <c r="BU14" s="906">
        <v>7</v>
      </c>
      <c r="BV14" s="906">
        <f>30+273.15</f>
        <v>303.14999999999998</v>
      </c>
      <c r="BW14" s="906">
        <f>60+273.15</f>
        <v>333.15</v>
      </c>
      <c r="BX14" s="906">
        <f t="shared" si="7"/>
        <v>280.64999999999998</v>
      </c>
      <c r="BY14" s="906">
        <f t="shared" si="8"/>
        <v>275.64999999999998</v>
      </c>
      <c r="BZ14" s="909" t="s">
        <v>1938</v>
      </c>
      <c r="CA14" s="1087" t="s">
        <v>1937</v>
      </c>
      <c r="CB14" s="908">
        <f t="shared" si="9"/>
        <v>0.75061048720144463</v>
      </c>
      <c r="CC14" s="908">
        <f>BT14/((($BV14-$BW14)/LN($BV14/$BW14))/(($BV14-$BW14)/LN($BV14/$BW14)-($BX14-$BY14)/LN($BX14/$BY14)))</f>
        <v>0.43785611753417603</v>
      </c>
      <c r="CD14" s="908">
        <f>BU14/((($BV14-$BW14)/LN($BV14/$BW14))/(($BV14-$BW14)/LN($BV14/$BW14)-($BX14-$BY14)/LN($BX14/$BY14)))</f>
        <v>0.87571223506835205</v>
      </c>
    </row>
    <row r="15" spans="1:82" ht="22" thickBot="1">
      <c r="A15" s="906">
        <v>14</v>
      </c>
      <c r="B15" s="906" t="s">
        <v>1936</v>
      </c>
      <c r="C15" s="906">
        <v>29189</v>
      </c>
      <c r="D15" s="906" t="s">
        <v>1256</v>
      </c>
      <c r="E15" s="906" t="s">
        <v>1258</v>
      </c>
      <c r="F15" s="1015">
        <f t="shared" si="14"/>
        <v>9.2234454031538231E-3</v>
      </c>
      <c r="G15" s="1014">
        <f t="shared" si="14"/>
        <v>72</v>
      </c>
      <c r="H15" s="1014">
        <f t="shared" si="14"/>
        <v>36.799999999999997</v>
      </c>
      <c r="I15" s="1014">
        <f t="shared" si="14"/>
        <v>72</v>
      </c>
      <c r="J15" s="1013">
        <f t="shared" si="14"/>
        <v>33.299999999999997</v>
      </c>
      <c r="K15" s="1012">
        <f t="shared" si="14"/>
        <v>36.219113113587859</v>
      </c>
      <c r="L15" s="1011">
        <f t="shared" si="14"/>
        <v>0.25401651651651652</v>
      </c>
      <c r="N15" s="1032" t="s">
        <v>1935</v>
      </c>
      <c r="O15" s="1031"/>
      <c r="P15" s="1030">
        <v>68</v>
      </c>
      <c r="Q15" s="1029">
        <v>38</v>
      </c>
      <c r="R15" s="1029">
        <v>66</v>
      </c>
      <c r="S15" s="1028">
        <v>35</v>
      </c>
      <c r="T15" s="1027" t="s">
        <v>842</v>
      </c>
      <c r="U15" s="1026">
        <v>0.20638929769658007</v>
      </c>
      <c r="V15" s="906">
        <v>28.148578000000001</v>
      </c>
      <c r="X15" s="906">
        <v>14</v>
      </c>
      <c r="AI15" s="1014"/>
      <c r="AU15" s="1055" t="s">
        <v>1256</v>
      </c>
      <c r="AV15" s="1081" t="s">
        <v>1258</v>
      </c>
      <c r="AW15" s="1066">
        <f t="shared" si="13"/>
        <v>345.82280346820806</v>
      </c>
      <c r="AX15" s="1066">
        <f t="shared" si="13"/>
        <v>311.40503246753246</v>
      </c>
      <c r="AY15" s="1086">
        <f t="shared" si="13"/>
        <v>343.84901734104045</v>
      </c>
      <c r="AZ15" s="1086">
        <f t="shared" si="13"/>
        <v>312.81506493506492</v>
      </c>
      <c r="BA15" s="1063">
        <f t="shared" si="13"/>
        <v>345.82280346820806</v>
      </c>
      <c r="BB15" s="1063">
        <f t="shared" si="13"/>
        <v>311.40503246753246</v>
      </c>
      <c r="BC15" s="1062">
        <f t="shared" si="13"/>
        <v>347.79658959537574</v>
      </c>
      <c r="BD15" s="1061">
        <f t="shared" si="13"/>
        <v>309.99499999999995</v>
      </c>
      <c r="BI15" s="908"/>
      <c r="BQ15" s="909" t="s">
        <v>1928</v>
      </c>
      <c r="BR15" s="906">
        <v>2015</v>
      </c>
      <c r="BS15" s="906">
        <v>4.4000000000000004</v>
      </c>
      <c r="BV15" s="906">
        <f>40+273.15</f>
        <v>313.14999999999998</v>
      </c>
      <c r="BW15" s="906">
        <f>80+273.15</f>
        <v>353.15</v>
      </c>
      <c r="BX15" s="906">
        <f>20+273.15</f>
        <v>293.14999999999998</v>
      </c>
      <c r="BY15" s="906">
        <f>15+273.15</f>
        <v>288.14999999999998</v>
      </c>
      <c r="CB15" s="908">
        <f t="shared" si="9"/>
        <v>0.55678200488073171</v>
      </c>
      <c r="CC15" s="908"/>
      <c r="CD15" s="908"/>
    </row>
    <row r="16" spans="1:82">
      <c r="A16" s="906">
        <v>15</v>
      </c>
      <c r="B16" s="906" t="s">
        <v>1934</v>
      </c>
      <c r="C16" s="906">
        <v>29189</v>
      </c>
      <c r="D16" s="906" t="s">
        <v>1256</v>
      </c>
      <c r="E16" s="906" t="s">
        <v>1258</v>
      </c>
      <c r="F16" s="1015">
        <f t="shared" si="14"/>
        <v>1.8127714881827821E-3</v>
      </c>
      <c r="G16" s="1014">
        <f t="shared" si="14"/>
        <v>72</v>
      </c>
      <c r="H16" s="1014">
        <f t="shared" si="14"/>
        <v>35</v>
      </c>
      <c r="I16" s="1014">
        <f t="shared" si="14"/>
        <v>72</v>
      </c>
      <c r="J16" s="1013">
        <f t="shared" si="14"/>
        <v>32</v>
      </c>
      <c r="K16" s="1012" t="str">
        <f t="shared" si="14"/>
        <v/>
      </c>
      <c r="L16" s="1011">
        <f t="shared" si="14"/>
        <v>0.28255208333333331</v>
      </c>
      <c r="N16" s="1032" t="s">
        <v>1933</v>
      </c>
      <c r="O16" s="1031"/>
      <c r="P16" s="1030">
        <v>75</v>
      </c>
      <c r="Q16" s="1029">
        <v>45</v>
      </c>
      <c r="R16" s="1029">
        <v>80</v>
      </c>
      <c r="S16" s="1028">
        <v>42</v>
      </c>
      <c r="T16" s="1027" t="s">
        <v>842</v>
      </c>
      <c r="U16" s="1026">
        <v>0.23425876726886291</v>
      </c>
      <c r="V16" s="906">
        <v>23.058</v>
      </c>
      <c r="X16" s="906">
        <v>15</v>
      </c>
      <c r="BI16" s="908"/>
      <c r="BQ16" s="909" t="s">
        <v>1928</v>
      </c>
      <c r="BR16" s="906">
        <v>2020</v>
      </c>
      <c r="BS16" s="906">
        <v>5</v>
      </c>
      <c r="BT16" s="906">
        <v>4.4000000000000004</v>
      </c>
      <c r="BU16" s="906">
        <v>6</v>
      </c>
      <c r="BV16" s="906">
        <f>40+273.15</f>
        <v>313.14999999999998</v>
      </c>
      <c r="BW16" s="906">
        <f>75+273.15</f>
        <v>348.15</v>
      </c>
      <c r="BX16" s="906">
        <f>20+273.15</f>
        <v>293.14999999999998</v>
      </c>
      <c r="BY16" s="906">
        <f>15+273.15</f>
        <v>288.14999999999998</v>
      </c>
      <c r="CB16" s="908">
        <f t="shared" si="9"/>
        <v>0.60086694739965307</v>
      </c>
      <c r="CC16" s="908">
        <f>BT16/((($BV16-$BW16)/LN($BV16/$BW16))/(($BV16-$BW16)/LN($BV16/$BW16)-($BX16-$BY16)/LN($BX16/$BY16)))</f>
        <v>0.52876291371169482</v>
      </c>
      <c r="CD16" s="908">
        <f>BU16/((($BV16-$BW16)/LN($BV16/$BW16))/(($BV16-$BW16)/LN($BV16/$BW16)-($BX16-$BY16)/LN($BX16/$BY16)))</f>
        <v>0.7210403368795838</v>
      </c>
    </row>
    <row r="17" spans="1:82" ht="16" thickBot="1">
      <c r="A17" s="906">
        <v>16</v>
      </c>
      <c r="B17" s="906" t="s">
        <v>1932</v>
      </c>
      <c r="C17" s="906">
        <v>29189</v>
      </c>
      <c r="D17" s="906" t="s">
        <v>1256</v>
      </c>
      <c r="E17" s="906" t="s">
        <v>1258</v>
      </c>
      <c r="F17" s="1015"/>
      <c r="G17" s="1014"/>
      <c r="H17" s="1014"/>
      <c r="I17" s="1014"/>
      <c r="J17" s="1013"/>
      <c r="K17" s="1012"/>
      <c r="L17" s="1011"/>
      <c r="N17" s="1032" t="s">
        <v>1931</v>
      </c>
      <c r="O17" s="1031"/>
      <c r="P17" s="1030">
        <v>68</v>
      </c>
      <c r="Q17" s="1029">
        <v>42</v>
      </c>
      <c r="R17" s="1029">
        <v>71</v>
      </c>
      <c r="S17" s="1028">
        <v>39</v>
      </c>
      <c r="T17" s="1027"/>
      <c r="U17" s="1026">
        <v>0.36491505815015529</v>
      </c>
      <c r="V17" s="906">
        <v>10.43</v>
      </c>
      <c r="X17" s="906">
        <v>16</v>
      </c>
      <c r="AA17" s="906" t="s">
        <v>1849</v>
      </c>
      <c r="AC17" s="906" t="s">
        <v>1848</v>
      </c>
      <c r="AD17" s="906" t="s">
        <v>1847</v>
      </c>
      <c r="AE17" s="906" t="s">
        <v>1846</v>
      </c>
      <c r="AF17" s="906" t="s">
        <v>1845</v>
      </c>
      <c r="AU17" s="906" t="s">
        <v>1836</v>
      </c>
      <c r="AW17" s="906" t="s">
        <v>1848</v>
      </c>
      <c r="AX17" s="906" t="s">
        <v>1847</v>
      </c>
      <c r="AY17" s="906" t="s">
        <v>1846</v>
      </c>
      <c r="AZ17" s="906" t="s">
        <v>1845</v>
      </c>
      <c r="BI17" s="908"/>
      <c r="BQ17" s="909" t="s">
        <v>1928</v>
      </c>
      <c r="BR17" s="906">
        <v>2030</v>
      </c>
      <c r="BS17" s="906">
        <v>6</v>
      </c>
      <c r="BV17" s="906">
        <f>35+273.15</f>
        <v>308.14999999999998</v>
      </c>
      <c r="BW17" s="906">
        <f>70+273.15</f>
        <v>343.15</v>
      </c>
      <c r="BX17" s="906">
        <f>20+273.15</f>
        <v>293.14999999999998</v>
      </c>
      <c r="BY17" s="906">
        <f>15+273.15</f>
        <v>288.14999999999998</v>
      </c>
      <c r="CB17" s="908">
        <f t="shared" si="9"/>
        <v>0.63983242792604467</v>
      </c>
      <c r="CC17" s="908"/>
      <c r="CD17" s="908"/>
    </row>
    <row r="18" spans="1:82" ht="19">
      <c r="A18" s="906">
        <v>17</v>
      </c>
      <c r="B18" s="906" t="s">
        <v>1930</v>
      </c>
      <c r="C18" s="906">
        <v>55606</v>
      </c>
      <c r="D18" s="906" t="s">
        <v>1257</v>
      </c>
      <c r="E18" s="906" t="s">
        <v>1259</v>
      </c>
      <c r="F18" s="1015">
        <f t="shared" ref="F18:L18" si="15">O47</f>
        <v>0</v>
      </c>
      <c r="G18" s="1014">
        <f t="shared" si="15"/>
        <v>165</v>
      </c>
      <c r="H18" s="1014">
        <f t="shared" si="15"/>
        <v>100</v>
      </c>
      <c r="I18" s="1014">
        <f t="shared" si="15"/>
        <v>165</v>
      </c>
      <c r="J18" s="1013">
        <f t="shared" si="15"/>
        <v>70</v>
      </c>
      <c r="K18" s="1012" t="str">
        <f t="shared" si="15"/>
        <v/>
      </c>
      <c r="L18" s="1011">
        <f t="shared" si="15"/>
        <v>0.2390308275898915</v>
      </c>
      <c r="N18" s="1038" t="s">
        <v>1929</v>
      </c>
      <c r="O18" s="1037"/>
      <c r="P18" s="1036">
        <v>68</v>
      </c>
      <c r="Q18" s="1014">
        <v>0</v>
      </c>
      <c r="R18" s="1014">
        <v>68</v>
      </c>
      <c r="S18" s="1013">
        <v>0</v>
      </c>
      <c r="T18" s="1012" t="s">
        <v>842</v>
      </c>
      <c r="U18" s="1035"/>
      <c r="V18" s="906" t="s">
        <v>842</v>
      </c>
      <c r="X18" s="906">
        <v>17</v>
      </c>
      <c r="AA18" s="1360" t="s">
        <v>1257</v>
      </c>
      <c r="AB18" s="1083" t="s">
        <v>1259</v>
      </c>
      <c r="AC18" s="1059">
        <f>(AC5+273.15+$AO$6)/((AC5+273.15+$AO$6)-($AM$6+273.15-$AO$6))*$AM$8*$AM$9</f>
        <v>6.302982731554156</v>
      </c>
      <c r="AD18" s="1059">
        <f>(AE5+273.15+$AO$6)/((AE5+273.15+$AO$6)-($AM$6+273.15-$AO$6))*$AM$8*$AM$9</f>
        <v>7.1327398562975395</v>
      </c>
      <c r="AE18" s="1059">
        <f>(AG5+273.15+$AO$6)/((AG5+273.15+$AO$6)-($AM$6+273.15-$AO$6))*$AM$8*$AM$9</f>
        <v>6.302982731554156</v>
      </c>
      <c r="AF18" s="1058">
        <f>(AI5+273.15+$AO$6)/((AI5+273.15+$AO$6)-($AM$6+273.15-$AO$6))*$AM$8</f>
        <v>5.6589921272757078</v>
      </c>
      <c r="AU18" s="1360" t="s">
        <v>1257</v>
      </c>
      <c r="AV18" s="1083" t="s">
        <v>1259</v>
      </c>
      <c r="AW18" s="1059">
        <f>((AX12-AW12)/LN(AX12/AW12))/((AX12-AW12)/LN(AX12/AW12)-($BI$5-$BK$5-$BM$5)/LN(($BI$5-$BK$5)/$BM$5))*$BI$8</f>
        <v>4.6633529060719239</v>
      </c>
      <c r="AX18" s="1059">
        <f>((AZ12-AY12)/LN(AZ12/AY12))/((AZ12-AY12)/LN(AZ12/AY12)-($BI$5-$BK$5-$BM$5)/LN(($BI$5-$BK$5)/$BM$5))*$BI$8</f>
        <v>4.8492510247196225</v>
      </c>
      <c r="AY18" s="1059">
        <f>((BB12-BA12)/LN(BB12/BA12))/((BB12-BA12)/LN(BB12/BA12)-($BI$5-$BK$5-$BM$5)/LN(($BI$5-$BK$5)/$BM$5))*$BI$8</f>
        <v>4.6633529060719239</v>
      </c>
      <c r="AZ18" s="1059">
        <f>((BD12-BC12)/LN(BD12/BC12))/((BD12-BC12)/LN(BD12/BC12)-($BI$5-$BK$5-$BM$5)/LN(($BI$5-$BK$5)/$BM$5))*$BI$8</f>
        <v>4.4936985661605204</v>
      </c>
      <c r="BB18" s="1084"/>
      <c r="BC18" s="1085"/>
      <c r="BD18" s="1085"/>
      <c r="BQ18" s="909" t="s">
        <v>1928</v>
      </c>
      <c r="BR18" s="906">
        <v>2050</v>
      </c>
      <c r="BS18" s="906">
        <v>7.4</v>
      </c>
      <c r="BT18" s="906">
        <v>4.4000000000000004</v>
      </c>
      <c r="BU18" s="906">
        <v>8.5</v>
      </c>
      <c r="BV18" s="906">
        <f>30+273.15</f>
        <v>303.14999999999998</v>
      </c>
      <c r="BW18" s="906">
        <f>60+273.15</f>
        <v>333.15</v>
      </c>
      <c r="BX18" s="906">
        <f>20+273.15</f>
        <v>293.14999999999998</v>
      </c>
      <c r="BY18" s="906">
        <f>15+273.15</f>
        <v>288.14999999999998</v>
      </c>
      <c r="CB18" s="908">
        <f t="shared" si="9"/>
        <v>0.63478635747606904</v>
      </c>
      <c r="CC18" s="908">
        <f>BT18/((($BV18-$BW18)/LN($BV18/$BW18))/(($BV18-$BW18)/LN($BV18/$BW18)-($BX18-$BY18)/LN($BX18/$BY18)))</f>
        <v>0.37744053687766266</v>
      </c>
      <c r="CD18" s="908">
        <f>BU18/((($BV18-$BW18)/LN($BV18/$BW18))/(($BV18-$BW18)/LN($BV18/$BW18)-($BX18-$BY18)/LN($BX18/$BY18)))</f>
        <v>0.72914649169548462</v>
      </c>
    </row>
    <row r="19" spans="1:82" ht="19">
      <c r="A19" s="906">
        <v>18</v>
      </c>
      <c r="B19" s="906" t="s">
        <v>1927</v>
      </c>
      <c r="C19" s="906">
        <v>23795</v>
      </c>
      <c r="D19" s="906" t="s">
        <v>1256</v>
      </c>
      <c r="E19" s="906" t="s">
        <v>1258</v>
      </c>
      <c r="F19" s="1015"/>
      <c r="G19" s="1014"/>
      <c r="H19" s="1014"/>
      <c r="I19" s="1014"/>
      <c r="J19" s="1013"/>
      <c r="K19" s="1012"/>
      <c r="L19" s="1011"/>
      <c r="N19" s="1032" t="s">
        <v>1926</v>
      </c>
      <c r="O19" s="1031"/>
      <c r="P19" s="1030">
        <v>70</v>
      </c>
      <c r="Q19" s="1029">
        <v>0</v>
      </c>
      <c r="R19" s="1029">
        <v>75</v>
      </c>
      <c r="S19" s="1028">
        <v>0</v>
      </c>
      <c r="T19" s="1027" t="s">
        <v>842</v>
      </c>
      <c r="U19" s="1026"/>
      <c r="V19" s="906" t="s">
        <v>842</v>
      </c>
      <c r="X19" s="906">
        <v>18</v>
      </c>
      <c r="AA19" s="1358"/>
      <c r="AB19" s="1082" t="s">
        <v>1258</v>
      </c>
      <c r="AC19" s="908">
        <f>(AC6+273.15+$AO$6)/((AC6+273.15+$AO$6)-($AM$6+273.15-$AO$6))*$AM$8*$AM$9</f>
        <v>8.1573622047244037</v>
      </c>
      <c r="AD19" s="908">
        <f>(AE6+273.15+$AO$6)/((AE6+273.15+$AO$6)-($AM$6+273.15-$AO$6))*$AM$8*$AM$9</f>
        <v>9.459546285273543</v>
      </c>
      <c r="AE19" s="908">
        <f>(AG6+273.15+$AO$6)/((AG6+273.15+$AO$6)-($AM$6+273.15-$AO$6))*$AM$8*$AM$9</f>
        <v>8.1573622047244037</v>
      </c>
      <c r="AF19" s="1056">
        <f>(AI6+273.15+$AO$6)/((AI6+273.15+$AO$6)-($AM$6+273.15-$AO$6))*$AM$8</f>
        <v>7.1872831286925862</v>
      </c>
      <c r="AU19" s="1358"/>
      <c r="AV19" s="1082" t="s">
        <v>1258</v>
      </c>
      <c r="AW19" s="908">
        <f>((AX13-AW13)/LN(AX13/AW13))/((AX13-AW13)/LN(AX13/AW13)-($BI$5-$BK$5-$BM$5)/LN(($BI$5-$BK$5)/$BM$5))*$BI$8</f>
        <v>5.6164711608549638</v>
      </c>
      <c r="AX19" s="908">
        <f>((AZ13-AY13)/LN(AZ13/AY13))/((AZ13-AY13)/LN(AZ13/AY13)-($BI$5-$BK$5-$BM$5)/LN(($BI$5-$BK$5)/$BM$5))*$BI$8</f>
        <v>5.7543730542548044</v>
      </c>
      <c r="AY19" s="908">
        <f>((BB13-BA13)/LN(BB13/BA13))/((BB13-BA13)/LN(BB13/BA13)-($BI$5-$BK$5-$BM$5)/LN(($BI$5-$BK$5)/$BM$5))*$BI$8</f>
        <v>5.6164711608549638</v>
      </c>
      <c r="AZ19" s="908">
        <f>((BD13-BC13)/LN(BD13/BC13))/((BD13-BC13)/LN(BD13/BC13)-($BI$5-$BK$5-$BM$5)/LN(($BI$5-$BK$5)/$BM$5))*$BI$8</f>
        <v>5.4875186252728483</v>
      </c>
      <c r="BB19" s="1084"/>
      <c r="BC19" s="1085"/>
      <c r="BD19" s="1085"/>
      <c r="BQ19" s="909" t="s">
        <v>1919</v>
      </c>
      <c r="BR19" s="906">
        <v>2015</v>
      </c>
      <c r="BS19" s="906">
        <v>7</v>
      </c>
      <c r="BV19" s="906">
        <f>40+273.15</f>
        <v>313.14999999999998</v>
      </c>
      <c r="BW19" s="906">
        <f>80+273.15</f>
        <v>353.15</v>
      </c>
      <c r="BX19" s="906">
        <f>40+273.15</f>
        <v>313.14999999999998</v>
      </c>
      <c r="BY19" s="906">
        <f>25+273.15</f>
        <v>298.14999999999998</v>
      </c>
      <c r="CB19" s="908">
        <f t="shared" si="9"/>
        <v>0.57137667700311223</v>
      </c>
      <c r="CC19" s="908"/>
      <c r="CD19" s="908"/>
    </row>
    <row r="20" spans="1:82" ht="19">
      <c r="A20" s="906">
        <v>19</v>
      </c>
      <c r="B20" s="906" t="s">
        <v>1925</v>
      </c>
      <c r="C20" s="906">
        <v>29189</v>
      </c>
      <c r="D20" s="906" t="s">
        <v>1256</v>
      </c>
      <c r="E20" s="906" t="s">
        <v>1258</v>
      </c>
      <c r="F20" s="1015">
        <f t="shared" ref="F20:L24" si="16">O10</f>
        <v>0</v>
      </c>
      <c r="G20" s="1014">
        <f t="shared" si="16"/>
        <v>71</v>
      </c>
      <c r="H20" s="1014">
        <f t="shared" si="16"/>
        <v>39</v>
      </c>
      <c r="I20" s="1014">
        <f t="shared" si="16"/>
        <v>74</v>
      </c>
      <c r="J20" s="1013">
        <f t="shared" si="16"/>
        <v>36</v>
      </c>
      <c r="K20" s="1012">
        <f t="shared" si="16"/>
        <v>36.171486224056316</v>
      </c>
      <c r="L20" s="1011">
        <f t="shared" si="16"/>
        <v>0.28352421318423665</v>
      </c>
      <c r="N20" s="1038" t="s">
        <v>1924</v>
      </c>
      <c r="O20" s="1037">
        <v>1.9270222743259086E-2</v>
      </c>
      <c r="P20" s="1036">
        <v>65</v>
      </c>
      <c r="Q20" s="1014">
        <v>65</v>
      </c>
      <c r="R20" s="1014">
        <v>72</v>
      </c>
      <c r="S20" s="1013">
        <v>72</v>
      </c>
      <c r="T20" s="1012">
        <v>37.546684236792231</v>
      </c>
      <c r="U20" s="1035"/>
      <c r="V20" s="906">
        <v>9.9410000000000002E-3</v>
      </c>
      <c r="X20" s="906">
        <v>19</v>
      </c>
      <c r="AA20" s="1358" t="s">
        <v>1256</v>
      </c>
      <c r="AB20" s="1082" t="s">
        <v>1259</v>
      </c>
      <c r="AC20" s="908">
        <f>(AC7+273.15+$AO$6)/((AC7+273.15+$AO$6)-($AM$6+273.15-$AO$6))*$AM$8*$AM$9</f>
        <v>7.0677473448854125</v>
      </c>
      <c r="AD20" s="908">
        <f>(AE7+273.15+$AO$6)/((AE7+273.15+$AO$6)-($AM$6+273.15-$AO$6))*$AM$8*$AM$9</f>
        <v>8.0227773246329583</v>
      </c>
      <c r="AE20" s="908">
        <f>(AG7+273.15+$AO$6)/((AG7+273.15+$AO$6)-($AM$6+273.15-$AO$6))*$AM$8*$AM$9</f>
        <v>7.0677473448854125</v>
      </c>
      <c r="AF20" s="1056">
        <f>(AI7+273.15+$AO$6)/((AI7+273.15+$AO$6)-($AM$6+273.15-$AO$6))*$AM$8</f>
        <v>6.329163287374965</v>
      </c>
      <c r="AU20" s="1358" t="s">
        <v>1256</v>
      </c>
      <c r="AV20" s="1082" t="s">
        <v>1259</v>
      </c>
      <c r="AW20" s="908">
        <f>((AX14-AW14)/LN(AX14/AW14))/((AX14-AW14)/LN(AX14/AW14)-($BI$5-$BK$5-$BM$5)/LN(($BI$5-$BK$5)/$BM$5))*$BI$8</f>
        <v>5.1335784752540965</v>
      </c>
      <c r="AX20" s="908">
        <f>((AZ14-AY14)/LN(AZ14/AY14))/((AZ14-AY14)/LN(AZ14/AY14)-($BI$5-$BK$5-$BM$5)/LN(($BI$5-$BK$5)/$BM$5))*$BI$8</f>
        <v>5.2435392226385922</v>
      </c>
      <c r="AY20" s="908">
        <f>((BB14-BA14)/LN(BB14/BA14))/((BB14-BA14)/LN(BB14/BA14)-($BI$5-$BK$5-$BM$5)/LN(($BI$5-$BK$5)/$BM$5))*$BI$8</f>
        <v>5.1335784752540965</v>
      </c>
      <c r="AZ20" s="908">
        <f>((BD14-BC14)/LN(BD14/BC14))/((BD14-BC14)/LN(BD14/BC14)-($BI$5-$BK$5-$BM$5)/LN(($BI$5-$BK$5)/$BM$5))*$BI$8</f>
        <v>5.030245890805495</v>
      </c>
      <c r="BB20" s="1084"/>
      <c r="BC20" s="1084"/>
      <c r="BD20" s="1084"/>
      <c r="BQ20" s="909" t="s">
        <v>1919</v>
      </c>
      <c r="BR20" s="906">
        <v>2020</v>
      </c>
      <c r="BS20" s="906">
        <v>9</v>
      </c>
      <c r="BT20" s="906">
        <v>7</v>
      </c>
      <c r="BU20" s="906">
        <v>12</v>
      </c>
      <c r="BV20" s="906">
        <f>40+273.15</f>
        <v>313.14999999999998</v>
      </c>
      <c r="BW20" s="906">
        <f>75+273.15</f>
        <v>348.15</v>
      </c>
      <c r="BX20" s="906">
        <f>40+273.15</f>
        <v>313.14999999999998</v>
      </c>
      <c r="BY20" s="906">
        <f>25+273.15</f>
        <v>298.14999999999998</v>
      </c>
      <c r="CB20" s="908">
        <f t="shared" si="9"/>
        <v>0.67436821805068214</v>
      </c>
      <c r="CC20" s="908">
        <f>BT20/((($BV20-$BW20)/LN($BV20/$BW20))/(($BV20-$BW20)/LN($BV20/$BW20)-($BX20-$BY20)/LN($BX20/$BY20)))</f>
        <v>0.52450861403941951</v>
      </c>
      <c r="CD20" s="908">
        <f>BU20/((($BV20-$BW20)/LN($BV20/$BW20))/(($BV20-$BW20)/LN($BV20/$BW20)-($BX20-$BY20)/LN($BX20/$BY20)))</f>
        <v>0.89915762406757627</v>
      </c>
    </row>
    <row r="21" spans="1:82" ht="20" thickBot="1">
      <c r="A21" s="906">
        <v>20</v>
      </c>
      <c r="B21" s="906" t="s">
        <v>1923</v>
      </c>
      <c r="C21" s="906">
        <v>29189</v>
      </c>
      <c r="D21" s="906" t="s">
        <v>1256</v>
      </c>
      <c r="E21" s="906" t="s">
        <v>1258</v>
      </c>
      <c r="F21" s="1015">
        <f t="shared" si="16"/>
        <v>0</v>
      </c>
      <c r="G21" s="1014">
        <f t="shared" si="16"/>
        <v>67</v>
      </c>
      <c r="H21" s="1014">
        <f t="shared" si="16"/>
        <v>39</v>
      </c>
      <c r="I21" s="1014">
        <f t="shared" si="16"/>
        <v>68</v>
      </c>
      <c r="J21" s="1013">
        <f t="shared" si="16"/>
        <v>39</v>
      </c>
      <c r="K21" s="1012" t="str">
        <f t="shared" si="16"/>
        <v/>
      </c>
      <c r="L21" s="1011">
        <f t="shared" si="16"/>
        <v>0.13224844990753837</v>
      </c>
      <c r="N21" s="1032" t="s">
        <v>1922</v>
      </c>
      <c r="O21" s="1031"/>
      <c r="P21" s="1030">
        <v>72</v>
      </c>
      <c r="Q21" s="1029">
        <v>42</v>
      </c>
      <c r="R21" s="1029">
        <v>74</v>
      </c>
      <c r="S21" s="1028">
        <v>40</v>
      </c>
      <c r="T21" s="1027">
        <v>32.595774946199725</v>
      </c>
      <c r="U21" s="1026">
        <v>0.25657123145912386</v>
      </c>
      <c r="V21" s="906">
        <v>10.776</v>
      </c>
      <c r="X21" s="906">
        <v>20</v>
      </c>
      <c r="AA21" s="1359"/>
      <c r="AB21" s="1081" t="s">
        <v>1258</v>
      </c>
      <c r="AC21" s="1054">
        <f>(AC8+273.15+$AO$6)/((AC8+273.15+$AO$6)-($AM$6+273.15-$AO$6))*$AM$8*$AM$9</f>
        <v>8.6315987426049663</v>
      </c>
      <c r="AD21" s="1054">
        <f>(AE8+273.15+$AO$6)/((AE8+273.15+$AO$6)-($AM$6+273.15-$AO$6))*$AM$8*$AM$9</f>
        <v>9.4022318224595232</v>
      </c>
      <c r="AE21" s="1054">
        <f>(AG8+273.15+$AO$6)/((AG8+273.15+$AO$6)-($AM$6+273.15-$AO$6))*$AM$8*$AM$9</f>
        <v>8.6315987426049663</v>
      </c>
      <c r="AF21" s="1053">
        <f>(AI8+273.15+$AO$6)/((AI8+273.15+$AO$6)-($AM$6+273.15-$AO$6))*$AM$8</f>
        <v>7.9843957118667017</v>
      </c>
      <c r="AU21" s="1359"/>
      <c r="AV21" s="1081" t="s">
        <v>1258</v>
      </c>
      <c r="AW21" s="1054">
        <f>((AX15-AW15)/LN(AX15/AW15))/((AX15-AW15)/LN(AX15/AW15)-($BI$5-$BK$5-$BM$5)/LN(($BI$5-$BK$5)/$BM$5))*$BI$8</f>
        <v>5.9553926797050414</v>
      </c>
      <c r="AX21" s="1054">
        <f>((AZ15-AY15)/LN(AZ15/AY15))/((AZ15-AY15)/LN(AZ15/AY15)-($BI$5-$BK$5-$BM$5)/LN(($BI$5-$BK$5)/$BM$5))*$BI$8</f>
        <v>5.9942745260623997</v>
      </c>
      <c r="AY21" s="1054">
        <f>((BB15-BA15)/LN(BB15/BA15))/((BB15-BA15)/LN(BB15/BA15)-($BI$5-$BK$5-$BM$5)/LN(($BI$5-$BK$5)/$BM$5))*$BI$8</f>
        <v>5.9553926797050414</v>
      </c>
      <c r="AZ21" s="1054">
        <f>((BD15-BC15)/LN(BD15/BC15))/((BD15-BC15)/LN(BD15/BC15)-($BI$5-$BK$5-$BM$5)/LN(($BI$5-$BK$5)/$BM$5))*$BI$8</f>
        <v>5.9180303774552367</v>
      </c>
      <c r="BB21" s="1084"/>
      <c r="BC21" s="1084"/>
      <c r="BD21" s="1084"/>
      <c r="BQ21" s="909" t="s">
        <v>1919</v>
      </c>
      <c r="BR21" s="906">
        <v>2030</v>
      </c>
      <c r="BS21" s="906">
        <v>12</v>
      </c>
      <c r="BV21" s="906">
        <f>35+273.15</f>
        <v>308.14999999999998</v>
      </c>
      <c r="BW21" s="906">
        <f>70+273.15</f>
        <v>343.15</v>
      </c>
      <c r="BX21" s="906">
        <f>40+273.15</f>
        <v>313.14999999999998</v>
      </c>
      <c r="BY21" s="906">
        <f>25+273.15</f>
        <v>298.14999999999998</v>
      </c>
      <c r="CB21" s="908">
        <f t="shared" si="9"/>
        <v>0.72838984888070513</v>
      </c>
      <c r="CC21" s="908"/>
      <c r="CD21" s="908"/>
    </row>
    <row r="22" spans="1:82">
      <c r="A22" s="906">
        <v>21</v>
      </c>
      <c r="B22" s="906" t="s">
        <v>1921</v>
      </c>
      <c r="C22" s="906">
        <v>29189</v>
      </c>
      <c r="D22" s="906" t="s">
        <v>1256</v>
      </c>
      <c r="E22" s="906" t="s">
        <v>1258</v>
      </c>
      <c r="F22" s="1015">
        <f t="shared" si="16"/>
        <v>0</v>
      </c>
      <c r="G22" s="1014">
        <f t="shared" si="16"/>
        <v>72</v>
      </c>
      <c r="H22" s="1014">
        <f t="shared" si="16"/>
        <v>42</v>
      </c>
      <c r="I22" s="1014">
        <f t="shared" si="16"/>
        <v>85</v>
      </c>
      <c r="J22" s="1013">
        <f t="shared" si="16"/>
        <v>45</v>
      </c>
      <c r="K22" s="1012">
        <f t="shared" si="16"/>
        <v>32.071334210213017</v>
      </c>
      <c r="L22" s="1011">
        <f t="shared" si="16"/>
        <v>0.16574868264164008</v>
      </c>
      <c r="N22" s="1032" t="s">
        <v>1920</v>
      </c>
      <c r="O22" s="1031">
        <v>5.0035402407363698E-2</v>
      </c>
      <c r="P22" s="1030">
        <v>72</v>
      </c>
      <c r="Q22" s="1029">
        <v>38</v>
      </c>
      <c r="R22" s="1029">
        <v>76</v>
      </c>
      <c r="S22" s="1028">
        <v>33</v>
      </c>
      <c r="T22" s="1027">
        <v>40.247738014723978</v>
      </c>
      <c r="U22" s="1026">
        <v>0.2653447329192547</v>
      </c>
      <c r="V22" s="906">
        <v>17.736999999999998</v>
      </c>
      <c r="X22" s="906">
        <v>21</v>
      </c>
      <c r="BC22" s="1014"/>
      <c r="BQ22" s="909" t="s">
        <v>1919</v>
      </c>
      <c r="BR22" s="906">
        <v>2050</v>
      </c>
      <c r="BS22" s="906">
        <v>18</v>
      </c>
      <c r="BT22" s="906">
        <v>7</v>
      </c>
      <c r="BU22" s="906">
        <v>20</v>
      </c>
      <c r="BV22" s="906">
        <f>30+273.15</f>
        <v>303.14999999999998</v>
      </c>
      <c r="BW22" s="906">
        <f>60+273.15</f>
        <v>333.15</v>
      </c>
      <c r="BX22" s="906">
        <f>40+273.15</f>
        <v>313.14999999999998</v>
      </c>
      <c r="BY22" s="906">
        <f>25+273.15</f>
        <v>298.14999999999998</v>
      </c>
      <c r="CB22" s="908">
        <f t="shared" si="9"/>
        <v>0.69785695659241953</v>
      </c>
      <c r="CC22" s="908">
        <f>BT22/((($BV22-$BW22)/LN($BV22/$BW22))/(($BV22-$BW22)/LN($BV22/$BW22)-($BX22-$BY22)/LN($BX22/$BY22)))</f>
        <v>0.2713888164526076</v>
      </c>
      <c r="CD22" s="908">
        <f>BU22/((($BV22-$BW22)/LN($BV22/$BW22))/(($BV22-$BW22)/LN($BV22/$BW22)-($BX22-$BY22)/LN($BX22/$BY22)))</f>
        <v>0.7753966184360217</v>
      </c>
    </row>
    <row r="23" spans="1:82">
      <c r="A23" s="906">
        <v>22</v>
      </c>
      <c r="B23" s="906" t="s">
        <v>1918</v>
      </c>
      <c r="C23" s="906">
        <v>29189</v>
      </c>
      <c r="D23" s="906" t="s">
        <v>1256</v>
      </c>
      <c r="E23" s="906" t="s">
        <v>1258</v>
      </c>
      <c r="F23" s="1015">
        <f t="shared" si="16"/>
        <v>7.1007682553889756E-2</v>
      </c>
      <c r="G23" s="1014">
        <f t="shared" si="16"/>
        <v>68</v>
      </c>
      <c r="H23" s="1014">
        <f t="shared" si="16"/>
        <v>38</v>
      </c>
      <c r="I23" s="1014">
        <f t="shared" si="16"/>
        <v>72</v>
      </c>
      <c r="J23" s="1013">
        <f t="shared" si="16"/>
        <v>33</v>
      </c>
      <c r="K23" s="1012">
        <f t="shared" si="16"/>
        <v>35.785327457812848</v>
      </c>
      <c r="L23" s="1011">
        <f t="shared" si="16"/>
        <v>0.28133279807306305</v>
      </c>
      <c r="N23" s="1032" t="s">
        <v>1917</v>
      </c>
      <c r="O23" s="1031"/>
      <c r="P23" s="1030">
        <v>75</v>
      </c>
      <c r="Q23" s="1029">
        <v>39</v>
      </c>
      <c r="R23" s="1029">
        <v>80</v>
      </c>
      <c r="S23" s="1028">
        <v>36</v>
      </c>
      <c r="T23" s="1027" t="s">
        <v>842</v>
      </c>
      <c r="U23" s="1026">
        <v>0.30849074850106378</v>
      </c>
      <c r="V23" s="906">
        <v>21.452000000000002</v>
      </c>
      <c r="X23" s="906">
        <v>22</v>
      </c>
    </row>
    <row r="24" spans="1:82" ht="16" thickBot="1">
      <c r="A24" s="906">
        <v>23</v>
      </c>
      <c r="B24" s="906" t="s">
        <v>1916</v>
      </c>
      <c r="C24" s="906">
        <v>29189</v>
      </c>
      <c r="D24" s="906" t="s">
        <v>1256</v>
      </c>
      <c r="E24" s="906" t="s">
        <v>1258</v>
      </c>
      <c r="F24" s="1015">
        <f t="shared" si="16"/>
        <v>0</v>
      </c>
      <c r="G24" s="1014">
        <f t="shared" si="16"/>
        <v>69</v>
      </c>
      <c r="H24" s="1014">
        <f t="shared" si="16"/>
        <v>41</v>
      </c>
      <c r="I24" s="1014">
        <f t="shared" si="16"/>
        <v>72</v>
      </c>
      <c r="J24" s="1013">
        <f t="shared" si="16"/>
        <v>36</v>
      </c>
      <c r="K24" s="1012">
        <f t="shared" si="16"/>
        <v>34.4</v>
      </c>
      <c r="L24" s="1011">
        <f t="shared" si="16"/>
        <v>0.18216666666666667</v>
      </c>
      <c r="N24" s="1032" t="s">
        <v>1915</v>
      </c>
      <c r="O24" s="1031">
        <v>1.9463230203951222E-2</v>
      </c>
      <c r="P24" s="1030">
        <v>68</v>
      </c>
      <c r="Q24" s="1029">
        <v>38</v>
      </c>
      <c r="R24" s="1029">
        <v>75</v>
      </c>
      <c r="S24" s="1028">
        <v>35</v>
      </c>
      <c r="T24" s="1027">
        <v>36.000250071042913</v>
      </c>
      <c r="U24" s="1026"/>
      <c r="V24" s="906" t="s">
        <v>842</v>
      </c>
      <c r="X24" s="906">
        <v>23</v>
      </c>
      <c r="AA24" s="1080" t="s">
        <v>1901</v>
      </c>
      <c r="AB24" s="1079"/>
      <c r="AC24" s="1079" t="s">
        <v>1900</v>
      </c>
      <c r="AD24" s="1079"/>
      <c r="AE24" s="1079"/>
      <c r="AF24" s="1079"/>
      <c r="AG24" s="1079"/>
      <c r="AH24" s="1079"/>
      <c r="AI24" s="1079"/>
      <c r="AU24" s="906" t="s">
        <v>1849</v>
      </c>
      <c r="AW24" s="906" t="s">
        <v>1848</v>
      </c>
      <c r="AX24" s="906" t="s">
        <v>1847</v>
      </c>
      <c r="AY24" s="906" t="s">
        <v>1846</v>
      </c>
      <c r="AZ24" s="906" t="s">
        <v>1845</v>
      </c>
    </row>
    <row r="25" spans="1:82" ht="19">
      <c r="A25" s="906">
        <v>24</v>
      </c>
      <c r="B25" s="906" t="s">
        <v>1914</v>
      </c>
      <c r="C25" s="906">
        <v>29189</v>
      </c>
      <c r="D25" s="906" t="s">
        <v>1256</v>
      </c>
      <c r="E25" s="906" t="s">
        <v>1258</v>
      </c>
      <c r="F25" s="1015"/>
      <c r="G25" s="1014"/>
      <c r="H25" s="1014"/>
      <c r="I25" s="1014"/>
      <c r="J25" s="1013"/>
      <c r="K25" s="1012"/>
      <c r="L25" s="1011"/>
      <c r="N25" s="1032" t="s">
        <v>1913</v>
      </c>
      <c r="O25" s="1031">
        <v>0.13582889469679427</v>
      </c>
      <c r="P25" s="1030">
        <v>70.3</v>
      </c>
      <c r="Q25" s="1029">
        <v>47.6</v>
      </c>
      <c r="R25" s="1029">
        <v>75.5</v>
      </c>
      <c r="S25" s="1028">
        <v>48.5</v>
      </c>
      <c r="T25" s="1027"/>
      <c r="U25" s="1026">
        <v>0.13322763311626915</v>
      </c>
      <c r="V25" s="906">
        <v>226.101</v>
      </c>
      <c r="X25" s="906">
        <v>24</v>
      </c>
      <c r="AU25" s="1360" t="s">
        <v>1257</v>
      </c>
      <c r="AV25" s="1083" t="s">
        <v>1259</v>
      </c>
      <c r="AW25" s="1059">
        <f>((AX12-AW12)/LN(AX12/AW12))/((AX12-AW12)/LN(AX12/AW12)-($BI$6-$BK$6-$BM$6)/LN(($BI$6-$BK$6)/$BM$6))*$BI$8</f>
        <v>6.865069691519631</v>
      </c>
      <c r="AX25" s="1059">
        <f>((AZ12-AY12)/LN(AZ12/AY12))/((AZ12-AY12)/LN(AZ12/AY12)-($BI$6-$BK$6-$BM$6)/LN(($BI$6-$BK$6)/$BM$6))*$BI$8</f>
        <v>7.2952104605878532</v>
      </c>
      <c r="AY25" s="1059">
        <f>((BB12-BA12)/LN(BB12/BA12))/((BB12-BA12)/LN(BB12/BA12)-($BI$6-$BK$6-$BM$6)/LN(($BI$6-$BK$6)/$BM$6))*$BI$8</f>
        <v>6.865069691519631</v>
      </c>
      <c r="AZ25" s="1059">
        <f>((BD12-BC12)/LN(BD12/BC12))/((BD12-BC12)/LN(BD12/BC12)-($BI$6-$BK$6-$BM$6)/LN(($BI$6-$BK$6)/$BM$6))*$BI$8</f>
        <v>6.4883094676976381</v>
      </c>
      <c r="BA25" s="908"/>
      <c r="BR25" s="909">
        <f>31+28</f>
        <v>59</v>
      </c>
      <c r="BS25" s="906">
        <f>31+30+31+BR25</f>
        <v>151</v>
      </c>
      <c r="BT25" s="906">
        <f>31+30+31+BS25</f>
        <v>243</v>
      </c>
      <c r="BU25" s="906">
        <f>31+30+30+BT25</f>
        <v>334</v>
      </c>
      <c r="BV25" s="906">
        <f>BU25+31</f>
        <v>365</v>
      </c>
    </row>
    <row r="26" spans="1:82" ht="20" thickBot="1">
      <c r="A26" s="906">
        <v>25</v>
      </c>
      <c r="B26" s="906" t="s">
        <v>1912</v>
      </c>
      <c r="C26" s="906">
        <v>29189</v>
      </c>
      <c r="D26" s="906" t="s">
        <v>1256</v>
      </c>
      <c r="E26" s="906" t="s">
        <v>1258</v>
      </c>
      <c r="F26" s="1015"/>
      <c r="G26" s="1014"/>
      <c r="H26" s="1014"/>
      <c r="I26" s="1014"/>
      <c r="J26" s="1013"/>
      <c r="K26" s="1012"/>
      <c r="L26" s="1011"/>
      <c r="N26" s="1032" t="s">
        <v>1911</v>
      </c>
      <c r="O26" s="1031"/>
      <c r="P26" s="1030">
        <v>65</v>
      </c>
      <c r="Q26" s="1029">
        <v>35</v>
      </c>
      <c r="R26" s="1029">
        <v>65</v>
      </c>
      <c r="S26" s="1028">
        <v>33</v>
      </c>
      <c r="T26" s="1027" t="s">
        <v>842</v>
      </c>
      <c r="U26" s="1026">
        <v>0.16795656732669273</v>
      </c>
      <c r="V26" s="906">
        <v>20.632180999999999</v>
      </c>
      <c r="X26" s="906">
        <v>25</v>
      </c>
      <c r="AB26" s="1354" t="s">
        <v>1882</v>
      </c>
      <c r="AC26" s="1354"/>
      <c r="AD26" s="1355" t="s">
        <v>1881</v>
      </c>
      <c r="AE26" s="1355"/>
      <c r="AF26" s="1356" t="s">
        <v>1880</v>
      </c>
      <c r="AG26" s="1356"/>
      <c r="AH26" s="1357" t="s">
        <v>1879</v>
      </c>
      <c r="AI26" s="1357"/>
      <c r="AU26" s="1358"/>
      <c r="AV26" s="1082" t="s">
        <v>1258</v>
      </c>
      <c r="AW26" s="908">
        <f>((AX13-AW13)/LN(AX13/AW13))/((AX13-AW13)/LN(AX13/AW13)-($BI$6-$BK$6-$BM$6)/LN(($BI$6-$BK$6)/$BM$6))*$BI$8</f>
        <v>9.2897896563308411</v>
      </c>
      <c r="AX26" s="908">
        <f>((AZ13-AY13)/LN(AZ13/AY13))/((AZ13-AY13)/LN(AZ13/AY13)-($BI$6-$BK$6-$BM$6)/LN(($BI$6-$BK$6)/$BM$6))*$BI$8</f>
        <v>9.6911318795609045</v>
      </c>
      <c r="AY26" s="908">
        <f>((BB13-BA13)/LN(BB13/BA13))/((BB13-BA13)/LN(BB13/BA13)-($BI$6-$BK$6-$BM$6)/LN(($BI$6-$BK$6)/$BM$6))*$BI$8</f>
        <v>9.2897896563308411</v>
      </c>
      <c r="AZ26" s="908">
        <f>((BD13-BC13)/LN(BD13/BC13))/((BD13-BC13)/LN(BD13/BC13)-($BI$6-$BK$6-$BM$6)/LN(($BI$6-$BK$6)/$BM$6))*$BI$8</f>
        <v>8.9272626825264094</v>
      </c>
      <c r="BA26" s="908"/>
    </row>
    <row r="27" spans="1:82" ht="19">
      <c r="A27" s="906">
        <v>26</v>
      </c>
      <c r="B27" s="906" t="s">
        <v>1910</v>
      </c>
      <c r="C27" s="906">
        <v>29188</v>
      </c>
      <c r="D27" s="906" t="s">
        <v>1256</v>
      </c>
      <c r="E27" s="906" t="s">
        <v>1258</v>
      </c>
      <c r="F27" s="1015">
        <f t="shared" ref="F27:L27" si="17">O15</f>
        <v>0</v>
      </c>
      <c r="G27" s="1014">
        <f t="shared" si="17"/>
        <v>68</v>
      </c>
      <c r="H27" s="1014">
        <f t="shared" si="17"/>
        <v>38</v>
      </c>
      <c r="I27" s="1014">
        <f t="shared" si="17"/>
        <v>66</v>
      </c>
      <c r="J27" s="1013">
        <f t="shared" si="17"/>
        <v>35</v>
      </c>
      <c r="K27" s="1012" t="str">
        <f t="shared" si="17"/>
        <v/>
      </c>
      <c r="L27" s="1011">
        <f t="shared" si="17"/>
        <v>0.20638929769658007</v>
      </c>
      <c r="N27" s="1032" t="s">
        <v>1909</v>
      </c>
      <c r="O27" s="1031"/>
      <c r="P27" s="1030">
        <v>69</v>
      </c>
      <c r="Q27" s="1029">
        <v>0</v>
      </c>
      <c r="R27" s="1029">
        <v>78</v>
      </c>
      <c r="S27" s="1028">
        <v>0</v>
      </c>
      <c r="T27" s="1027" t="s">
        <v>842</v>
      </c>
      <c r="U27" s="1026"/>
      <c r="V27" s="906" t="s">
        <v>842</v>
      </c>
      <c r="X27" s="906">
        <v>26</v>
      </c>
      <c r="AA27" s="1077"/>
      <c r="AB27" s="1076" t="s">
        <v>1876</v>
      </c>
      <c r="AC27" s="1076" t="s">
        <v>1875</v>
      </c>
      <c r="AD27" s="1075" t="s">
        <v>1874</v>
      </c>
      <c r="AE27" s="1075" t="s">
        <v>1873</v>
      </c>
      <c r="AF27" s="1074" t="s">
        <v>1872</v>
      </c>
      <c r="AG27" s="1074" t="s">
        <v>1871</v>
      </c>
      <c r="AH27" s="1073" t="s">
        <v>1870</v>
      </c>
      <c r="AI27" s="1072" t="s">
        <v>1869</v>
      </c>
      <c r="AU27" s="1358" t="s">
        <v>1256</v>
      </c>
      <c r="AV27" s="1082" t="s">
        <v>1259</v>
      </c>
      <c r="AW27" s="908">
        <f>((AX14-AW14)/LN(AX14/AW14))/((AX14-AW14)/LN(AX14/AW14)-($BI$6-$BK$6-$BM$6)/LN(($BI$6-$BK$6)/$BM$6))*$BI$8</f>
        <v>7.9908434205699788</v>
      </c>
      <c r="AX27" s="908">
        <f>((AZ14-AY14)/LN(AZ14/AY14))/((AZ14-AY14)/LN(AZ14/AY14)-($BI$6-$BK$6-$BM$6)/LN(($BI$6-$BK$6)/$BM$6))*$BI$8</f>
        <v>8.2729893765411635</v>
      </c>
      <c r="AY27" s="908">
        <f>((BB14-BA14)/LN(BB14/BA14))/((BB14-BA14)/LN(BB14/BA14)-($BI$6-$BK$6-$BM$6)/LN(($BI$6-$BK$6)/$BM$6))*$BI$8</f>
        <v>7.9908434205699788</v>
      </c>
      <c r="AZ27" s="908">
        <f>((BD14-BC14)/LN(BD14/BC14))/((BD14-BC14)/LN(BD14/BC14)-($BI$6-$BK$6-$BM$6)/LN(($BI$6-$BK$6)/$BM$6))*$BI$8</f>
        <v>7.732517958339483</v>
      </c>
      <c r="BA27" s="908"/>
      <c r="BQ27" s="909" t="s">
        <v>1908</v>
      </c>
    </row>
    <row r="28" spans="1:82" ht="22" thickBot="1">
      <c r="A28" s="906">
        <v>27</v>
      </c>
      <c r="B28" s="906" t="s">
        <v>1907</v>
      </c>
      <c r="C28" s="906">
        <v>26696</v>
      </c>
      <c r="D28" s="906" t="s">
        <v>1256</v>
      </c>
      <c r="E28" s="906" t="s">
        <v>1259</v>
      </c>
      <c r="F28" s="1015"/>
      <c r="G28" s="1014"/>
      <c r="H28" s="1014"/>
      <c r="I28" s="1014"/>
      <c r="J28" s="1013"/>
      <c r="K28" s="1012"/>
      <c r="L28" s="1011"/>
      <c r="N28" s="1032" t="s">
        <v>1906</v>
      </c>
      <c r="O28" s="1031"/>
      <c r="P28" s="1030">
        <v>70</v>
      </c>
      <c r="Q28" s="1029">
        <v>43</v>
      </c>
      <c r="R28" s="1029">
        <v>76</v>
      </c>
      <c r="S28" s="1028">
        <v>36</v>
      </c>
      <c r="T28" s="1027" t="s">
        <v>842</v>
      </c>
      <c r="U28" s="1026">
        <v>0.26724137931034481</v>
      </c>
      <c r="V28" s="906">
        <v>6.29</v>
      </c>
      <c r="X28" s="906">
        <v>27</v>
      </c>
      <c r="AA28" s="1057">
        <v>2020</v>
      </c>
      <c r="AB28" s="1071">
        <v>75</v>
      </c>
      <c r="AC28" s="1071">
        <v>40</v>
      </c>
      <c r="AD28" s="1070">
        <f t="shared" ref="AD28:AE30" si="18">AVERAGE(AE5:AE8)/AVERAGE(AC5:AC8)*AB28</f>
        <v>71.796358027935881</v>
      </c>
      <c r="AE28" s="1070">
        <f t="shared" si="18"/>
        <v>41.1489156189106</v>
      </c>
      <c r="AF28" s="1069">
        <v>75</v>
      </c>
      <c r="AG28" s="1069">
        <v>40</v>
      </c>
      <c r="AH28" s="1068">
        <f t="shared" ref="AH28:AI30" si="19">AVERAGE(AI5:AI8)/AVERAGE(AG5:AG8)*AF28</f>
        <v>78.203641972064148</v>
      </c>
      <c r="AI28" s="1067">
        <f t="shared" si="19"/>
        <v>38.851084381089407</v>
      </c>
      <c r="AU28" s="1359"/>
      <c r="AV28" s="1081" t="s">
        <v>1258</v>
      </c>
      <c r="AW28" s="1054">
        <f>((AX15-AW15)/LN(AX15/AW15))/((AX15-AW15)/LN(AX15/AW15)-($BI$6-$BK$6-$BM$6)/LN(($BI$6-$BK$6)/$BM$6))*$BI$8</f>
        <v>10.30305423297294</v>
      </c>
      <c r="AX28" s="1054">
        <f>((AZ15-AY15)/LN(AZ15/AY15))/((AZ15-AY15)/LN(AZ15/AY15)-($BI$6-$BK$6-$BM$6)/LN(($BI$6-$BK$6)/$BM$6))*$BI$8</f>
        <v>10.425284720592808</v>
      </c>
      <c r="AY28" s="1054">
        <f>((BB15-BA15)/LN(BB15/BA15))/((BB15-BA15)/LN(BB15/BA15)-($BI$6-$BK$6-$BM$6)/LN(($BI$6-$BK$6)/$BM$6))*$BI$8</f>
        <v>10.30305423297294</v>
      </c>
      <c r="AZ28" s="1054">
        <f>((BD15-BC15)/LN(BD15/BC15))/((BD15-BC15)/LN(BD15/BC15)-($BI$6-$BK$6-$BM$6)/LN(($BI$6-$BK$6)/$BM$6))*$BI$8</f>
        <v>10.18680878319549</v>
      </c>
      <c r="BA28" s="908"/>
      <c r="BQ28" s="909" t="s">
        <v>1259</v>
      </c>
      <c r="BR28" s="909" t="s">
        <v>1845</v>
      </c>
      <c r="BS28" s="909" t="s">
        <v>1848</v>
      </c>
      <c r="BT28" s="909" t="s">
        <v>1847</v>
      </c>
      <c r="BU28" s="909" t="s">
        <v>1846</v>
      </c>
    </row>
    <row r="29" spans="1:82" ht="21">
      <c r="A29" s="906">
        <v>28</v>
      </c>
      <c r="B29" s="906" t="s">
        <v>1905</v>
      </c>
      <c r="C29" s="906">
        <v>29189</v>
      </c>
      <c r="D29" s="906" t="s">
        <v>1256</v>
      </c>
      <c r="E29" s="906" t="s">
        <v>1259</v>
      </c>
      <c r="F29" s="1015">
        <f t="shared" ref="F29:L30" si="20">O16</f>
        <v>0</v>
      </c>
      <c r="G29" s="1014">
        <f t="shared" si="20"/>
        <v>75</v>
      </c>
      <c r="H29" s="1014">
        <f t="shared" si="20"/>
        <v>45</v>
      </c>
      <c r="I29" s="1014">
        <f t="shared" si="20"/>
        <v>80</v>
      </c>
      <c r="J29" s="1013">
        <f t="shared" si="20"/>
        <v>42</v>
      </c>
      <c r="K29" s="1012" t="str">
        <f t="shared" si="20"/>
        <v/>
      </c>
      <c r="L29" s="1011">
        <f t="shared" si="20"/>
        <v>0.23425876726886291</v>
      </c>
      <c r="N29" s="1032" t="s">
        <v>1904</v>
      </c>
      <c r="O29" s="1031">
        <v>3.0235450529656475E-2</v>
      </c>
      <c r="P29" s="1030">
        <v>70</v>
      </c>
      <c r="Q29" s="1029">
        <v>39</v>
      </c>
      <c r="R29" s="1029">
        <v>70</v>
      </c>
      <c r="S29" s="1028">
        <v>36</v>
      </c>
      <c r="T29" s="1027">
        <v>34.829437787688285</v>
      </c>
      <c r="U29" s="1026">
        <v>0.24540067220944631</v>
      </c>
      <c r="V29" s="906">
        <v>17.062999999999999</v>
      </c>
      <c r="X29" s="906">
        <v>28</v>
      </c>
      <c r="AA29" s="1057">
        <v>2030</v>
      </c>
      <c r="AB29" s="1071">
        <v>70</v>
      </c>
      <c r="AC29" s="1071">
        <v>35</v>
      </c>
      <c r="AD29" s="1070">
        <f t="shared" si="18"/>
        <v>67.171326169507537</v>
      </c>
      <c r="AE29" s="1070">
        <f t="shared" si="18"/>
        <v>36.322999022606751</v>
      </c>
      <c r="AF29" s="1069">
        <v>70</v>
      </c>
      <c r="AG29" s="1069">
        <v>35</v>
      </c>
      <c r="AH29" s="1068">
        <f t="shared" si="19"/>
        <v>72.828673830492477</v>
      </c>
      <c r="AI29" s="1067">
        <f t="shared" si="19"/>
        <v>33.677000977393234</v>
      </c>
      <c r="BQ29" s="909" t="s">
        <v>1893</v>
      </c>
      <c r="BR29" s="906" t="e">
        <v>#REF!</v>
      </c>
      <c r="BS29" s="906">
        <v>6.1699954710144986</v>
      </c>
      <c r="BT29" s="906" t="e">
        <v>#REF!</v>
      </c>
      <c r="BU29" s="906" t="e">
        <v>#REF!</v>
      </c>
    </row>
    <row r="30" spans="1:82" ht="22" thickBot="1">
      <c r="A30" s="906">
        <v>29</v>
      </c>
      <c r="B30" s="906" t="s">
        <v>1902</v>
      </c>
      <c r="C30" s="906">
        <v>32264</v>
      </c>
      <c r="D30" s="906" t="s">
        <v>1257</v>
      </c>
      <c r="E30" s="906" t="s">
        <v>1258</v>
      </c>
      <c r="F30" s="1015">
        <f t="shared" si="20"/>
        <v>0</v>
      </c>
      <c r="G30" s="1014">
        <f t="shared" si="20"/>
        <v>68</v>
      </c>
      <c r="H30" s="1014">
        <f t="shared" si="20"/>
        <v>42</v>
      </c>
      <c r="I30" s="1014">
        <f t="shared" si="20"/>
        <v>71</v>
      </c>
      <c r="J30" s="1013">
        <f t="shared" si="20"/>
        <v>39</v>
      </c>
      <c r="K30" s="1012">
        <f t="shared" si="20"/>
        <v>0</v>
      </c>
      <c r="L30" s="1011">
        <f t="shared" si="20"/>
        <v>0.36491505815015529</v>
      </c>
      <c r="N30" s="1032" t="s">
        <v>1903</v>
      </c>
      <c r="O30" s="1031"/>
      <c r="P30" s="1030">
        <v>65</v>
      </c>
      <c r="Q30" s="1029">
        <v>48</v>
      </c>
      <c r="R30" s="1029">
        <v>67</v>
      </c>
      <c r="S30" s="1028">
        <v>43</v>
      </c>
      <c r="T30" s="1027">
        <v>27.127571597013578</v>
      </c>
      <c r="U30" s="1026">
        <v>0.32371300580157158</v>
      </c>
      <c r="V30" s="906">
        <v>36.835999999999999</v>
      </c>
      <c r="X30" s="906">
        <v>29</v>
      </c>
      <c r="AA30" s="1055">
        <v>2050</v>
      </c>
      <c r="AB30" s="1066">
        <v>60</v>
      </c>
      <c r="AC30" s="1066">
        <v>30</v>
      </c>
      <c r="AD30" s="1065">
        <f t="shared" si="18"/>
        <v>57.784944570671094</v>
      </c>
      <c r="AE30" s="1064">
        <f t="shared" si="18"/>
        <v>31.124856789118102</v>
      </c>
      <c r="AF30" s="1063">
        <v>60</v>
      </c>
      <c r="AG30" s="1063">
        <v>30</v>
      </c>
      <c r="AH30" s="1062">
        <f t="shared" si="19"/>
        <v>62.215055429328899</v>
      </c>
      <c r="AI30" s="1061">
        <f t="shared" si="19"/>
        <v>28.875143210881898</v>
      </c>
      <c r="BQ30" s="909" t="s">
        <v>1890</v>
      </c>
      <c r="BR30" s="906" t="e">
        <v>#REF!</v>
      </c>
      <c r="BS30" s="906">
        <v>5.3999999999999879</v>
      </c>
      <c r="BT30" s="906" t="e">
        <v>#REF!</v>
      </c>
      <c r="BU30" s="906" t="e">
        <v>#REF!</v>
      </c>
    </row>
    <row r="31" spans="1:82">
      <c r="A31" s="906">
        <v>30</v>
      </c>
      <c r="B31" s="906" t="s">
        <v>1902</v>
      </c>
      <c r="C31" s="906">
        <v>32264</v>
      </c>
      <c r="D31" s="906" t="s">
        <v>1256</v>
      </c>
      <c r="E31" s="906" t="s">
        <v>1258</v>
      </c>
      <c r="F31" s="1015">
        <f t="shared" ref="F31:L31" si="21">O17</f>
        <v>0</v>
      </c>
      <c r="G31" s="1014">
        <f t="shared" si="21"/>
        <v>68</v>
      </c>
      <c r="H31" s="1014">
        <f t="shared" si="21"/>
        <v>42</v>
      </c>
      <c r="I31" s="1014">
        <f t="shared" si="21"/>
        <v>71</v>
      </c>
      <c r="J31" s="1013">
        <f t="shared" si="21"/>
        <v>39</v>
      </c>
      <c r="K31" s="1012">
        <f t="shared" si="21"/>
        <v>0</v>
      </c>
      <c r="L31" s="1011">
        <f t="shared" si="21"/>
        <v>0.36491505815015529</v>
      </c>
      <c r="N31" s="1032" t="s">
        <v>1842</v>
      </c>
      <c r="O31" s="1031">
        <v>1.843368237347295E-2</v>
      </c>
      <c r="P31" s="1030">
        <v>68</v>
      </c>
      <c r="Q31" s="1029">
        <v>36</v>
      </c>
      <c r="R31" s="1029">
        <v>72</v>
      </c>
      <c r="S31" s="1028">
        <v>36</v>
      </c>
      <c r="T31" s="1027">
        <v>34.286461102250577</v>
      </c>
      <c r="U31" s="1026">
        <v>0.16590732303589287</v>
      </c>
      <c r="V31" s="906">
        <v>7.5060000000000002</v>
      </c>
      <c r="X31" s="906">
        <v>30</v>
      </c>
      <c r="AU31" s="1080" t="s">
        <v>1901</v>
      </c>
      <c r="AV31" s="1079"/>
      <c r="AW31" s="1079" t="s">
        <v>1900</v>
      </c>
      <c r="AX31" s="1079"/>
      <c r="AY31" s="1079"/>
      <c r="AZ31" s="1079"/>
      <c r="BA31" s="1079"/>
      <c r="BB31" s="1079"/>
      <c r="BC31" s="1079"/>
      <c r="BP31" s="1078" t="s">
        <v>1887</v>
      </c>
      <c r="BQ31" s="909" t="s">
        <v>1886</v>
      </c>
      <c r="BR31" s="906">
        <f>AVERAGE(3,2.2,4.5)</f>
        <v>3.2333333333333329</v>
      </c>
      <c r="BS31" s="909">
        <f>AVERAGE(6,10.5,3)</f>
        <v>6.5</v>
      </c>
      <c r="BT31" s="906">
        <f>AVERAGE(14.5,17.5,18)</f>
        <v>16.666666666666668</v>
      </c>
      <c r="BU31" s="906">
        <f>AVERAGE(16,12.5,8.5)</f>
        <v>12.333333333333334</v>
      </c>
    </row>
    <row r="32" spans="1:82" ht="17" thickBot="1">
      <c r="A32" s="906">
        <v>31</v>
      </c>
      <c r="B32" s="906" t="s">
        <v>1899</v>
      </c>
      <c r="C32" s="906">
        <v>29189</v>
      </c>
      <c r="D32" s="906" t="s">
        <v>1256</v>
      </c>
      <c r="E32" s="906" t="s">
        <v>1258</v>
      </c>
      <c r="F32" s="1015">
        <f t="shared" ref="F32:K32" si="22">O19</f>
        <v>0</v>
      </c>
      <c r="G32" s="1014">
        <f t="shared" si="22"/>
        <v>70</v>
      </c>
      <c r="H32" s="1014">
        <f t="shared" si="22"/>
        <v>0</v>
      </c>
      <c r="I32" s="1014">
        <f t="shared" si="22"/>
        <v>75</v>
      </c>
      <c r="J32" s="1013">
        <f t="shared" si="22"/>
        <v>0</v>
      </c>
      <c r="K32" s="1012" t="str">
        <f t="shared" si="22"/>
        <v/>
      </c>
      <c r="L32" s="1016">
        <v>0.22800028617798151</v>
      </c>
      <c r="N32" s="1032" t="s">
        <v>1898</v>
      </c>
      <c r="O32" s="1031"/>
      <c r="P32" s="1030">
        <v>70</v>
      </c>
      <c r="Q32" s="1029">
        <v>0</v>
      </c>
      <c r="R32" s="1029">
        <v>76</v>
      </c>
      <c r="S32" s="1028">
        <v>0</v>
      </c>
      <c r="T32" s="1027">
        <v>47.210473186119877</v>
      </c>
      <c r="U32" s="1026">
        <v>0.22411217101482589</v>
      </c>
      <c r="V32" s="906">
        <v>6.7510000000000003</v>
      </c>
      <c r="X32" s="906">
        <v>31</v>
      </c>
      <c r="AA32" s="906" t="s">
        <v>1836</v>
      </c>
      <c r="AB32" s="906" t="s">
        <v>1848</v>
      </c>
      <c r="AC32" s="906" t="s">
        <v>1847</v>
      </c>
      <c r="AD32" s="906" t="s">
        <v>1846</v>
      </c>
      <c r="AE32" s="906" t="s">
        <v>1845</v>
      </c>
      <c r="BQ32" s="909"/>
    </row>
    <row r="33" spans="1:73" ht="20" thickBot="1">
      <c r="A33" s="906">
        <v>32</v>
      </c>
      <c r="B33" s="906" t="s">
        <v>1897</v>
      </c>
      <c r="C33" s="906">
        <v>29189</v>
      </c>
      <c r="D33" s="906" t="s">
        <v>1256</v>
      </c>
      <c r="E33" s="906" t="s">
        <v>1258</v>
      </c>
      <c r="F33" s="1015">
        <f t="shared" ref="F33:L35" si="23">O21</f>
        <v>0</v>
      </c>
      <c r="G33" s="1014">
        <f t="shared" si="23"/>
        <v>72</v>
      </c>
      <c r="H33" s="1014">
        <f t="shared" si="23"/>
        <v>42</v>
      </c>
      <c r="I33" s="1014">
        <f t="shared" si="23"/>
        <v>74</v>
      </c>
      <c r="J33" s="1013">
        <f t="shared" si="23"/>
        <v>40</v>
      </c>
      <c r="K33" s="1012">
        <f t="shared" si="23"/>
        <v>32.595774946199725</v>
      </c>
      <c r="L33" s="1011">
        <f t="shared" si="23"/>
        <v>0.25657123145912386</v>
      </c>
      <c r="N33" s="1032" t="s">
        <v>1896</v>
      </c>
      <c r="O33" s="1031"/>
      <c r="P33" s="1030">
        <v>75</v>
      </c>
      <c r="Q33" s="1029">
        <v>41</v>
      </c>
      <c r="R33" s="1029">
        <v>75</v>
      </c>
      <c r="S33" s="1028">
        <v>36</v>
      </c>
      <c r="T33" s="1027">
        <v>40.59779889728101</v>
      </c>
      <c r="U33" s="1026">
        <v>0.21783451189273578</v>
      </c>
      <c r="V33" s="906">
        <v>42.585000000000001</v>
      </c>
      <c r="X33" s="906">
        <v>32</v>
      </c>
      <c r="AA33" s="1060">
        <v>2020</v>
      </c>
      <c r="AB33" s="1059">
        <f>(AB28+273.15+$AO$5)/((AB28+273.15+$AO$5)-($AM$5+273.15-$AO$5))*$AM$8*$AM$9</f>
        <v>5.111381578947368</v>
      </c>
      <c r="AC33" s="1059">
        <f>(AD28+273.15+$AO$5)/((AD28+273.15+$AO$5)-($AM$5+273.15-$AO$5))*$AM$8*$AM$9</f>
        <v>5.5313402845447772</v>
      </c>
      <c r="AD33" s="1059">
        <f>(AF28+273.15+$AO$5)/((AF28+273.15+$AO$5)-($AM$5+273.15-$AO$5))*$AM$8*$AM$9</f>
        <v>5.111381578947368</v>
      </c>
      <c r="AE33" s="1058">
        <f>(AH28+273.15+$AO$5)/((AH28+273.15+$AO$5)-($AM$5+273.15-$AO$5))*$AM$8</f>
        <v>4.7567276508595668</v>
      </c>
      <c r="AV33" s="1354" t="s">
        <v>1882</v>
      </c>
      <c r="AW33" s="1354"/>
      <c r="AX33" s="1355" t="s">
        <v>1881</v>
      </c>
      <c r="AY33" s="1355"/>
      <c r="AZ33" s="1356" t="s">
        <v>1880</v>
      </c>
      <c r="BA33" s="1356"/>
      <c r="BB33" s="1357" t="s">
        <v>1879</v>
      </c>
      <c r="BC33" s="1357"/>
      <c r="BQ33" s="909" t="s">
        <v>1258</v>
      </c>
      <c r="BR33" s="909" t="s">
        <v>1845</v>
      </c>
      <c r="BS33" s="909" t="s">
        <v>1848</v>
      </c>
      <c r="BT33" s="909" t="s">
        <v>1847</v>
      </c>
      <c r="BU33" s="909" t="s">
        <v>1846</v>
      </c>
    </row>
    <row r="34" spans="1:73" ht="19">
      <c r="A34" s="906">
        <v>33</v>
      </c>
      <c r="B34" s="906" t="s">
        <v>1895</v>
      </c>
      <c r="C34" s="906">
        <v>29189</v>
      </c>
      <c r="D34" s="906" t="s">
        <v>1256</v>
      </c>
      <c r="E34" s="906" t="s">
        <v>1258</v>
      </c>
      <c r="F34" s="1015">
        <f t="shared" si="23"/>
        <v>5.0035402407363698E-2</v>
      </c>
      <c r="G34" s="1014">
        <f t="shared" si="23"/>
        <v>72</v>
      </c>
      <c r="H34" s="1014">
        <f t="shared" si="23"/>
        <v>38</v>
      </c>
      <c r="I34" s="1014">
        <f t="shared" si="23"/>
        <v>76</v>
      </c>
      <c r="J34" s="1013">
        <f t="shared" si="23"/>
        <v>33</v>
      </c>
      <c r="K34" s="1012">
        <f t="shared" si="23"/>
        <v>40.247738014723978</v>
      </c>
      <c r="L34" s="1011">
        <f t="shared" si="23"/>
        <v>0.2653447329192547</v>
      </c>
      <c r="N34" s="1038" t="s">
        <v>1894</v>
      </c>
      <c r="O34" s="1037"/>
      <c r="P34" s="1036">
        <v>65</v>
      </c>
      <c r="Q34" s="1014">
        <v>70</v>
      </c>
      <c r="R34" s="1014">
        <v>70</v>
      </c>
      <c r="S34" s="1013">
        <v>70</v>
      </c>
      <c r="T34" s="1012" t="s">
        <v>842</v>
      </c>
      <c r="U34" s="1035"/>
      <c r="V34" s="906" t="s">
        <v>842</v>
      </c>
      <c r="X34" s="906">
        <v>33</v>
      </c>
      <c r="AA34" s="1057">
        <v>2030</v>
      </c>
      <c r="AB34" s="908">
        <f>(AB29+273.15+$AO$5)/((AB29+273.15+$AO$5)-($AM$5+273.15-$AO$5))*$AM$8*$AM$9</f>
        <v>5.8025000000000002</v>
      </c>
      <c r="AC34" s="908">
        <f>(AD29+273.15+$AO$5)/((AD29+273.15+$AO$5)-($AM$5+273.15-$AO$5))*$AM$8*$AM$9</f>
        <v>6.2949413733486246</v>
      </c>
      <c r="AD34" s="908">
        <f>(AF29+273.15+$AO$5)/((AF29+273.15+$AO$5)-($AM$5+273.15-$AO$5))*$AM$8*$AM$9</f>
        <v>5.8025000000000002</v>
      </c>
      <c r="AE34" s="1056">
        <f>(AH29+273.15+$AO$5)/((AH29+273.15+$AO$5)-($AM$5+273.15-$AO$5))*$AM$8</f>
        <v>5.3878151203710809</v>
      </c>
      <c r="AU34" s="1077"/>
      <c r="AV34" s="1076" t="s">
        <v>1876</v>
      </c>
      <c r="AW34" s="1076" t="s">
        <v>1875</v>
      </c>
      <c r="AX34" s="1075" t="s">
        <v>1874</v>
      </c>
      <c r="AY34" s="1075" t="s">
        <v>1873</v>
      </c>
      <c r="AZ34" s="1074" t="s">
        <v>1872</v>
      </c>
      <c r="BA34" s="1074" t="s">
        <v>1871</v>
      </c>
      <c r="BB34" s="1073" t="s">
        <v>1870</v>
      </c>
      <c r="BC34" s="1072" t="s">
        <v>1869</v>
      </c>
      <c r="BQ34" s="909" t="s">
        <v>1893</v>
      </c>
      <c r="BR34" s="906" t="e">
        <v>#REF!</v>
      </c>
      <c r="BS34" s="906">
        <v>6.0428291062801973</v>
      </c>
      <c r="BT34" s="906" t="e">
        <v>#REF!</v>
      </c>
      <c r="BU34" s="906" t="e">
        <v>#REF!</v>
      </c>
    </row>
    <row r="35" spans="1:73" ht="22" thickBot="1">
      <c r="A35" s="906">
        <v>34</v>
      </c>
      <c r="B35" s="906" t="s">
        <v>1892</v>
      </c>
      <c r="C35" s="906">
        <v>29189</v>
      </c>
      <c r="D35" s="906" t="s">
        <v>1256</v>
      </c>
      <c r="E35" s="906" t="s">
        <v>1258</v>
      </c>
      <c r="F35" s="1015">
        <f t="shared" si="23"/>
        <v>0</v>
      </c>
      <c r="G35" s="1014">
        <f t="shared" si="23"/>
        <v>75</v>
      </c>
      <c r="H35" s="1014">
        <f t="shared" si="23"/>
        <v>39</v>
      </c>
      <c r="I35" s="1014">
        <f t="shared" si="23"/>
        <v>80</v>
      </c>
      <c r="J35" s="1013">
        <f t="shared" si="23"/>
        <v>36</v>
      </c>
      <c r="K35" s="1012" t="str">
        <f t="shared" si="23"/>
        <v/>
      </c>
      <c r="L35" s="1011">
        <f t="shared" si="23"/>
        <v>0.30849074850106378</v>
      </c>
      <c r="N35" s="1032" t="s">
        <v>1891</v>
      </c>
      <c r="O35" s="1031">
        <v>9.067439078143693E-3</v>
      </c>
      <c r="P35" s="1030">
        <v>68</v>
      </c>
      <c r="Q35" s="1029">
        <v>36</v>
      </c>
      <c r="R35" s="1029">
        <v>68</v>
      </c>
      <c r="S35" s="1028">
        <v>36</v>
      </c>
      <c r="T35" s="1027">
        <v>33.374071251901881</v>
      </c>
      <c r="U35" s="1026">
        <v>0.24477346381139989</v>
      </c>
      <c r="V35" s="906">
        <v>11.885</v>
      </c>
      <c r="X35" s="906">
        <v>34</v>
      </c>
      <c r="AA35" s="1055">
        <v>2050</v>
      </c>
      <c r="AB35" s="1054">
        <f>(AB30+273.15+$AO$5)/((AB30+273.15+$AO$5)-($AM$5+273.15-$AO$5))*$AM$8*$AM$9</f>
        <v>8.0861956521739131</v>
      </c>
      <c r="AC35" s="1054">
        <f>(AD30+273.15+$AO$5)/((AD30+273.15+$AO$5)-($AM$5+273.15-$AO$5))*$AM$8*$AM$9</f>
        <v>8.8893294319669955</v>
      </c>
      <c r="AD35" s="1054">
        <f>(AF30+273.15+$AO$5)/((AF30+273.15+$AO$5)-($AM$5+273.15-$AO$5))*$AM$8*$AM$9</f>
        <v>8.0861956521739131</v>
      </c>
      <c r="AE35" s="1053">
        <f>(AH30+273.15+$AO$5)/((AH30+273.15+$AO$5)-($AM$5+273.15-$AO$5))*$AM$8</f>
        <v>7.4241669232417449</v>
      </c>
      <c r="AU35" s="1057">
        <v>2020</v>
      </c>
      <c r="AV35" s="1071">
        <v>75</v>
      </c>
      <c r="AW35" s="1071">
        <v>40</v>
      </c>
      <c r="AX35" s="1070">
        <f t="shared" ref="AX35:AY37" si="24">AVERAGE(AY12:AY15)/AVERAGE(AW12:AW15)*AV35</f>
        <v>74.297783396862442</v>
      </c>
      <c r="AY35" s="1070">
        <f t="shared" si="24"/>
        <v>40.156516646455131</v>
      </c>
      <c r="AZ35" s="1069">
        <v>75</v>
      </c>
      <c r="BA35" s="1069">
        <v>40</v>
      </c>
      <c r="BB35" s="1068">
        <f t="shared" ref="BB35:BC37" si="25">AVERAGE(BC12:BC15)/AVERAGE(BA12:BA15)*AZ35</f>
        <v>75.702216603137543</v>
      </c>
      <c r="BC35" s="1067">
        <f t="shared" si="25"/>
        <v>39.843483353544862</v>
      </c>
      <c r="BQ35" s="909" t="s">
        <v>1890</v>
      </c>
      <c r="BR35" s="906" t="e">
        <v>#REF!</v>
      </c>
      <c r="BS35" s="906">
        <v>5.318840579710165</v>
      </c>
      <c r="BT35" s="906" t="e">
        <v>#REF!</v>
      </c>
      <c r="BU35" s="906" t="e">
        <v>#REF!</v>
      </c>
    </row>
    <row r="36" spans="1:73" ht="21">
      <c r="A36" s="906">
        <v>35</v>
      </c>
      <c r="B36" s="906" t="s">
        <v>1889</v>
      </c>
      <c r="C36" s="906">
        <v>29189</v>
      </c>
      <c r="D36" s="906" t="s">
        <v>1256</v>
      </c>
      <c r="E36" s="906" t="s">
        <v>1258</v>
      </c>
      <c r="F36" s="1015">
        <f t="shared" ref="F36:K37" si="26">O24</f>
        <v>1.9463230203951222E-2</v>
      </c>
      <c r="G36" s="1014">
        <f t="shared" si="26"/>
        <v>68</v>
      </c>
      <c r="H36" s="1014">
        <f t="shared" si="26"/>
        <v>38</v>
      </c>
      <c r="I36" s="1014">
        <f t="shared" si="26"/>
        <v>75</v>
      </c>
      <c r="J36" s="1013">
        <f t="shared" si="26"/>
        <v>35</v>
      </c>
      <c r="K36" s="1012">
        <f t="shared" si="26"/>
        <v>36.000250071042913</v>
      </c>
      <c r="L36" s="1016">
        <v>0.22800028617798151</v>
      </c>
      <c r="N36" s="1032" t="s">
        <v>1888</v>
      </c>
      <c r="O36" s="1031"/>
      <c r="P36" s="1030">
        <v>69</v>
      </c>
      <c r="Q36" s="1029">
        <v>41</v>
      </c>
      <c r="R36" s="1029">
        <v>70</v>
      </c>
      <c r="S36" s="1028">
        <v>39</v>
      </c>
      <c r="T36" s="1027">
        <v>21.286858901815219</v>
      </c>
      <c r="U36" s="1026">
        <v>0.32589612289685443</v>
      </c>
      <c r="V36" s="906">
        <v>1.843</v>
      </c>
      <c r="X36" s="906">
        <v>35</v>
      </c>
      <c r="AU36" s="1057">
        <v>2030</v>
      </c>
      <c r="AV36" s="1071">
        <v>70</v>
      </c>
      <c r="AW36" s="1071">
        <v>35</v>
      </c>
      <c r="AX36" s="1070">
        <f t="shared" si="24"/>
        <v>69.390906973583867</v>
      </c>
      <c r="AY36" s="1070">
        <f t="shared" si="24"/>
        <v>35.173174273027513</v>
      </c>
      <c r="AZ36" s="1069">
        <v>70</v>
      </c>
      <c r="BA36" s="1069">
        <v>35</v>
      </c>
      <c r="BB36" s="1068">
        <f t="shared" si="25"/>
        <v>70.609093026416147</v>
      </c>
      <c r="BC36" s="1067">
        <f t="shared" si="25"/>
        <v>34.826825726972494</v>
      </c>
      <c r="BP36" s="1078" t="s">
        <v>1887</v>
      </c>
      <c r="BQ36" s="909" t="s">
        <v>1886</v>
      </c>
      <c r="BR36" s="906">
        <f>AVERAGE(3.8,3,4.8)</f>
        <v>3.8666666666666667</v>
      </c>
      <c r="BS36" s="909">
        <f>AVERAGE(6,10.5,3.5)</f>
        <v>6.666666666666667</v>
      </c>
      <c r="BT36" s="906">
        <f>AVERAGE(14.5,17,17.8)</f>
        <v>16.433333333333334</v>
      </c>
      <c r="BU36" s="906">
        <f>AVERAGE(15.5,12.5,9)</f>
        <v>12.333333333333334</v>
      </c>
    </row>
    <row r="37" spans="1:73" ht="22" thickBot="1">
      <c r="A37" s="906">
        <v>36</v>
      </c>
      <c r="B37" s="906" t="s">
        <v>1884</v>
      </c>
      <c r="C37" s="906">
        <v>65113</v>
      </c>
      <c r="D37" s="906" t="s">
        <v>1257</v>
      </c>
      <c r="E37" s="906" t="s">
        <v>1259</v>
      </c>
      <c r="F37" s="1015">
        <f t="shared" si="26"/>
        <v>0.13582889469679427</v>
      </c>
      <c r="G37" s="1014">
        <f t="shared" si="26"/>
        <v>70.3</v>
      </c>
      <c r="H37" s="1014">
        <f t="shared" si="26"/>
        <v>47.6</v>
      </c>
      <c r="I37" s="1014">
        <f t="shared" si="26"/>
        <v>75.5</v>
      </c>
      <c r="J37" s="1013">
        <f t="shared" si="26"/>
        <v>48.5</v>
      </c>
      <c r="K37" s="1012">
        <f t="shared" si="26"/>
        <v>0</v>
      </c>
      <c r="L37" s="1011">
        <f>U25</f>
        <v>0.13322763311626915</v>
      </c>
      <c r="N37" s="1032" t="s">
        <v>1885</v>
      </c>
      <c r="O37" s="1031">
        <v>3.3558611046376134E-2</v>
      </c>
      <c r="P37" s="1030">
        <v>70</v>
      </c>
      <c r="Q37" s="1029">
        <v>32</v>
      </c>
      <c r="R37" s="1029">
        <v>70</v>
      </c>
      <c r="S37" s="1028">
        <v>32</v>
      </c>
      <c r="T37" s="1027">
        <v>36.56048017140192</v>
      </c>
      <c r="U37" s="1026">
        <v>0.18971545695683625</v>
      </c>
      <c r="V37" s="906">
        <v>13.441000000000001</v>
      </c>
      <c r="X37" s="906">
        <v>36</v>
      </c>
      <c r="AU37" s="1055">
        <v>2050</v>
      </c>
      <c r="AV37" s="1066">
        <v>60</v>
      </c>
      <c r="AW37" s="1066">
        <v>30</v>
      </c>
      <c r="AX37" s="1065">
        <f t="shared" si="24"/>
        <v>59.520864342685371</v>
      </c>
      <c r="AY37" s="1064">
        <f t="shared" si="24"/>
        <v>30.147417403647317</v>
      </c>
      <c r="AZ37" s="1063">
        <v>60</v>
      </c>
      <c r="BA37" s="1063">
        <v>30</v>
      </c>
      <c r="BB37" s="1062">
        <f t="shared" si="25"/>
        <v>60.479135657314643</v>
      </c>
      <c r="BC37" s="1061">
        <f t="shared" si="25"/>
        <v>29.852582596352686</v>
      </c>
    </row>
    <row r="38" spans="1:73" ht="16" thickBot="1">
      <c r="A38" s="906">
        <v>37</v>
      </c>
      <c r="B38" s="906" t="s">
        <v>1884</v>
      </c>
      <c r="C38" s="906">
        <v>65120</v>
      </c>
      <c r="D38" s="906" t="s">
        <v>1257</v>
      </c>
      <c r="E38" s="906" t="s">
        <v>1259</v>
      </c>
      <c r="F38" s="1015">
        <f t="shared" ref="F38:L38" si="27">O25</f>
        <v>0.13582889469679427</v>
      </c>
      <c r="G38" s="1014">
        <f t="shared" si="27"/>
        <v>70.3</v>
      </c>
      <c r="H38" s="1014">
        <f t="shared" si="27"/>
        <v>47.6</v>
      </c>
      <c r="I38" s="1014">
        <f t="shared" si="27"/>
        <v>75.5</v>
      </c>
      <c r="J38" s="1013">
        <f t="shared" si="27"/>
        <v>48.5</v>
      </c>
      <c r="K38" s="1012">
        <f t="shared" si="27"/>
        <v>0</v>
      </c>
      <c r="L38" s="1011">
        <f t="shared" si="27"/>
        <v>0.13322763311626915</v>
      </c>
      <c r="N38" s="1032" t="s">
        <v>1883</v>
      </c>
      <c r="O38" s="1031"/>
      <c r="P38" s="1030">
        <v>78</v>
      </c>
      <c r="Q38" s="1029">
        <v>0</v>
      </c>
      <c r="R38" s="1029">
        <v>83</v>
      </c>
      <c r="S38" s="1028">
        <v>0</v>
      </c>
      <c r="T38" s="1027" t="s">
        <v>842</v>
      </c>
      <c r="U38" s="1026">
        <v>0.41862845445240532</v>
      </c>
      <c r="V38" s="906">
        <v>6.2480000000000002</v>
      </c>
      <c r="X38" s="906">
        <v>37</v>
      </c>
      <c r="AA38" s="906" t="s">
        <v>1849</v>
      </c>
      <c r="AB38" s="906" t="s">
        <v>1848</v>
      </c>
      <c r="AC38" s="906" t="s">
        <v>1847</v>
      </c>
      <c r="AD38" s="906" t="s">
        <v>1846</v>
      </c>
      <c r="AE38" s="906" t="s">
        <v>1845</v>
      </c>
      <c r="AV38" s="1354" t="s">
        <v>1882</v>
      </c>
      <c r="AW38" s="1354"/>
      <c r="AX38" s="1355" t="s">
        <v>1881</v>
      </c>
      <c r="AY38" s="1355"/>
      <c r="AZ38" s="1356" t="s">
        <v>1880</v>
      </c>
      <c r="BA38" s="1356"/>
      <c r="BB38" s="1357" t="s">
        <v>1879</v>
      </c>
      <c r="BC38" s="1357"/>
    </row>
    <row r="39" spans="1:73" ht="19">
      <c r="A39" s="906">
        <v>38</v>
      </c>
      <c r="B39" s="906" t="s">
        <v>1878</v>
      </c>
      <c r="C39" s="906">
        <v>29189</v>
      </c>
      <c r="D39" s="906" t="s">
        <v>1256</v>
      </c>
      <c r="E39" s="906" t="s">
        <v>1258</v>
      </c>
      <c r="F39" s="1015"/>
      <c r="G39" s="1014"/>
      <c r="H39" s="1014"/>
      <c r="I39" s="1014"/>
      <c r="J39" s="1013"/>
      <c r="K39" s="1012"/>
      <c r="L39" s="1011"/>
      <c r="N39" s="1038" t="s">
        <v>1877</v>
      </c>
      <c r="O39" s="1037"/>
      <c r="P39" s="1036">
        <v>80</v>
      </c>
      <c r="Q39" s="1014">
        <v>44</v>
      </c>
      <c r="R39" s="1014">
        <v>93</v>
      </c>
      <c r="S39" s="1013">
        <v>41</v>
      </c>
      <c r="T39" s="1012" t="s">
        <v>842</v>
      </c>
      <c r="U39" s="1035">
        <v>2.4996677333278809E-2</v>
      </c>
      <c r="V39" s="906">
        <v>286.10399999999998</v>
      </c>
      <c r="X39" s="906">
        <v>38</v>
      </c>
      <c r="AA39" s="1060">
        <v>2020</v>
      </c>
      <c r="AB39" s="1059">
        <f>(AB28+273.15+$AO$6)/((AB28+273.15+$AO$6)-($AM$6+273.15-$AO$6))*$AM$8*$AM$9</f>
        <v>7.8792999999999997</v>
      </c>
      <c r="AC39" s="1059">
        <f>(AD28+273.15+$AO$6)/((AD28+273.15+$AO$6)-($AM$6+273.15-$AO$6))*$AM$8*$AM$9</f>
        <v>8.9565649759081456</v>
      </c>
      <c r="AD39" s="1059">
        <f>(AF28+273.15+$AO$6)/((AF28+273.15+$AO$6)-($AM$6+273.15-$AO$6))*$AM$8*$AM$9</f>
        <v>7.8792999999999997</v>
      </c>
      <c r="AE39" s="1058">
        <f>(AH28+273.15+$AO$6)/((AH28+273.15+$AO$6)-($AM$6+273.15-$AO$6))*$AM$8</f>
        <v>7.0467673388242851</v>
      </c>
      <c r="AU39" s="1077"/>
      <c r="AV39" s="1076" t="s">
        <v>1876</v>
      </c>
      <c r="AW39" s="1076" t="s">
        <v>1875</v>
      </c>
      <c r="AX39" s="1075" t="s">
        <v>1874</v>
      </c>
      <c r="AY39" s="1075" t="s">
        <v>1873</v>
      </c>
      <c r="AZ39" s="1074" t="s">
        <v>1872</v>
      </c>
      <c r="BA39" s="1074" t="s">
        <v>1871</v>
      </c>
      <c r="BB39" s="1073" t="s">
        <v>1870</v>
      </c>
      <c r="BC39" s="1072" t="s">
        <v>1869</v>
      </c>
    </row>
    <row r="40" spans="1:73" ht="21">
      <c r="A40" s="906">
        <v>39</v>
      </c>
      <c r="B40" s="906" t="s">
        <v>1868</v>
      </c>
      <c r="C40" s="906">
        <v>29189</v>
      </c>
      <c r="D40" s="906" t="s">
        <v>1256</v>
      </c>
      <c r="E40" s="906" t="s">
        <v>1258</v>
      </c>
      <c r="F40" s="1015">
        <f t="shared" ref="F40:L40" si="28">O26</f>
        <v>0</v>
      </c>
      <c r="G40" s="1014">
        <f t="shared" si="28"/>
        <v>65</v>
      </c>
      <c r="H40" s="1014">
        <f t="shared" si="28"/>
        <v>35</v>
      </c>
      <c r="I40" s="1014">
        <f t="shared" si="28"/>
        <v>65</v>
      </c>
      <c r="J40" s="1013">
        <f t="shared" si="28"/>
        <v>33</v>
      </c>
      <c r="K40" s="1012" t="str">
        <f t="shared" si="28"/>
        <v/>
      </c>
      <c r="L40" s="1011">
        <f t="shared" si="28"/>
        <v>0.16795656732669273</v>
      </c>
      <c r="N40" s="1038" t="s">
        <v>1867</v>
      </c>
      <c r="O40" s="1037"/>
      <c r="P40" s="1036">
        <v>70</v>
      </c>
      <c r="Q40" s="1014">
        <v>40</v>
      </c>
      <c r="R40" s="1014">
        <v>72</v>
      </c>
      <c r="S40" s="1013">
        <v>36</v>
      </c>
      <c r="T40" s="1012">
        <v>32.408687686394138</v>
      </c>
      <c r="U40" s="1035">
        <v>0.19836697371627801</v>
      </c>
      <c r="V40" s="906">
        <v>448.43799999999999</v>
      </c>
      <c r="X40" s="906">
        <v>39</v>
      </c>
      <c r="AA40" s="1057">
        <v>2030</v>
      </c>
      <c r="AB40" s="908">
        <f>(AB29+273.15+$AO$6)/((AB29+273.15+$AO$6)-($AM$6+273.15-$AO$6))*$AM$8*$AM$9</f>
        <v>9.7116249999999997</v>
      </c>
      <c r="AC40" s="908">
        <f>(AD29+273.15+$AO$6)/((AD29+273.15+$AO$6)-($AM$6+273.15-$AO$6))*$AM$8*$AM$9</f>
        <v>11.220841505845954</v>
      </c>
      <c r="AD40" s="908">
        <f>(AF29+273.15+$AO$6)/((AF29+273.15+$AO$6)-($AM$6+273.15-$AO$6))*$AM$8*$AM$9</f>
        <v>9.7116249999999997</v>
      </c>
      <c r="AE40" s="1056">
        <f>(AH29+273.15+$AO$6)/((AH29+273.15+$AO$6)-($AM$6+273.15-$AO$6))*$AM$8</f>
        <v>8.5764189396431263</v>
      </c>
      <c r="AU40" s="1057">
        <v>2020</v>
      </c>
      <c r="AV40" s="1071">
        <f t="shared" ref="AV40:BC42" si="29">AV35+273.15</f>
        <v>348.15</v>
      </c>
      <c r="AW40" s="1071">
        <f t="shared" si="29"/>
        <v>313.14999999999998</v>
      </c>
      <c r="AX40" s="1070">
        <f t="shared" si="29"/>
        <v>347.44778339686241</v>
      </c>
      <c r="AY40" s="1070">
        <f t="shared" si="29"/>
        <v>313.30651664645512</v>
      </c>
      <c r="AZ40" s="1069">
        <f t="shared" si="29"/>
        <v>348.15</v>
      </c>
      <c r="BA40" s="1069">
        <f t="shared" si="29"/>
        <v>313.14999999999998</v>
      </c>
      <c r="BB40" s="1068">
        <f t="shared" si="29"/>
        <v>348.85221660313755</v>
      </c>
      <c r="BC40" s="1067">
        <f t="shared" si="29"/>
        <v>312.99348335354483</v>
      </c>
    </row>
    <row r="41" spans="1:73" ht="22" thickBot="1">
      <c r="A41" s="906">
        <v>40</v>
      </c>
      <c r="B41" s="906" t="s">
        <v>1866</v>
      </c>
      <c r="C41" s="906">
        <v>29189</v>
      </c>
      <c r="D41" s="906" t="s">
        <v>1256</v>
      </c>
      <c r="E41" s="906" t="s">
        <v>1258</v>
      </c>
      <c r="F41" s="1015">
        <f t="shared" ref="F41:K42" si="30">O27</f>
        <v>0</v>
      </c>
      <c r="G41" s="1014">
        <f t="shared" si="30"/>
        <v>69</v>
      </c>
      <c r="H41" s="1014">
        <f t="shared" si="30"/>
        <v>0</v>
      </c>
      <c r="I41" s="1014">
        <f t="shared" si="30"/>
        <v>78</v>
      </c>
      <c r="J41" s="1013">
        <f t="shared" si="30"/>
        <v>0</v>
      </c>
      <c r="K41" s="1012" t="str">
        <f t="shared" si="30"/>
        <v/>
      </c>
      <c r="L41" s="1016">
        <v>0.22800028617798151</v>
      </c>
      <c r="N41" s="1032" t="s">
        <v>1865</v>
      </c>
      <c r="O41" s="1031"/>
      <c r="P41" s="1030">
        <v>75</v>
      </c>
      <c r="Q41" s="1029">
        <v>40</v>
      </c>
      <c r="R41" s="1029">
        <v>85</v>
      </c>
      <c r="S41" s="1028">
        <v>38</v>
      </c>
      <c r="T41" s="1027" t="s">
        <v>842</v>
      </c>
      <c r="U41" s="1026">
        <v>0.10113396244729383</v>
      </c>
      <c r="V41" s="906">
        <v>842.69500000000005</v>
      </c>
      <c r="X41" s="906">
        <v>40</v>
      </c>
      <c r="AA41" s="1055">
        <v>2050</v>
      </c>
      <c r="AB41" s="1054">
        <f>(AB30+273.15+$AO$6)/((AB30+273.15+$AO$6)-($AM$6+273.15-$AO$6))*$AM$8*$AM$9</f>
        <v>18.873249999999999</v>
      </c>
      <c r="AC41" s="1054">
        <f>(AD30+273.15+$AO$6)/((AD30+273.15+$AO$6)-($AM$6+273.15-$AO$6))*$AM$8*$AM$9</f>
        <v>24.086776445436499</v>
      </c>
      <c r="AD41" s="1054">
        <f>(AF30+273.15+$AO$6)/((AF30+273.15+$AO$6)-($AM$6+273.15-$AO$6))*$AM$8*$AM$9</f>
        <v>18.873249999999999</v>
      </c>
      <c r="AE41" s="1053">
        <f>(AH30+273.15+$AO$6)/((AH30+273.15+$AO$6)-($AM$6+273.15-$AO$6))*$AM$8</f>
        <v>15.550545929578862</v>
      </c>
      <c r="AU41" s="1057">
        <v>2030</v>
      </c>
      <c r="AV41" s="1071">
        <f t="shared" si="29"/>
        <v>343.15</v>
      </c>
      <c r="AW41" s="1071">
        <f t="shared" si="29"/>
        <v>308.14999999999998</v>
      </c>
      <c r="AX41" s="1070">
        <f t="shared" si="29"/>
        <v>342.54090697358384</v>
      </c>
      <c r="AY41" s="1070">
        <f t="shared" si="29"/>
        <v>308.32317427302746</v>
      </c>
      <c r="AZ41" s="1069">
        <f t="shared" si="29"/>
        <v>343.15</v>
      </c>
      <c r="BA41" s="1069">
        <f t="shared" si="29"/>
        <v>308.14999999999998</v>
      </c>
      <c r="BB41" s="1068">
        <f t="shared" si="29"/>
        <v>343.75909302641611</v>
      </c>
      <c r="BC41" s="1067">
        <f t="shared" si="29"/>
        <v>307.97682572697249</v>
      </c>
    </row>
    <row r="42" spans="1:73" ht="22" thickBot="1">
      <c r="A42" s="906">
        <v>41</v>
      </c>
      <c r="B42" s="906" t="s">
        <v>1864</v>
      </c>
      <c r="C42" s="906">
        <v>29189</v>
      </c>
      <c r="D42" s="906" t="s">
        <v>1256</v>
      </c>
      <c r="E42" s="906" t="s">
        <v>1258</v>
      </c>
      <c r="F42" s="1015">
        <f t="shared" si="30"/>
        <v>0</v>
      </c>
      <c r="G42" s="1014">
        <f t="shared" si="30"/>
        <v>70</v>
      </c>
      <c r="H42" s="1014">
        <f t="shared" si="30"/>
        <v>43</v>
      </c>
      <c r="I42" s="1014">
        <f t="shared" si="30"/>
        <v>76</v>
      </c>
      <c r="J42" s="1013">
        <f t="shared" si="30"/>
        <v>36</v>
      </c>
      <c r="K42" s="1012" t="str">
        <f t="shared" si="30"/>
        <v/>
      </c>
      <c r="L42" s="1011">
        <f>U28</f>
        <v>0.26724137931034481</v>
      </c>
      <c r="N42" s="1032" t="s">
        <v>1863</v>
      </c>
      <c r="O42" s="1031"/>
      <c r="P42" s="1030">
        <v>72</v>
      </c>
      <c r="Q42" s="1029">
        <v>40</v>
      </c>
      <c r="R42" s="1029">
        <v>78</v>
      </c>
      <c r="S42" s="1028">
        <v>35</v>
      </c>
      <c r="T42" s="1027">
        <v>54.930040106085251</v>
      </c>
      <c r="U42" s="1026">
        <v>0.28083553337884187</v>
      </c>
      <c r="V42" s="906">
        <v>32.595999999999997</v>
      </c>
      <c r="X42" s="906">
        <v>41</v>
      </c>
      <c r="AU42" s="1055">
        <v>2050</v>
      </c>
      <c r="AV42" s="1066">
        <f t="shared" si="29"/>
        <v>333.15</v>
      </c>
      <c r="AW42" s="1066">
        <f t="shared" si="29"/>
        <v>303.14999999999998</v>
      </c>
      <c r="AX42" s="1065">
        <f t="shared" si="29"/>
        <v>332.67086434268538</v>
      </c>
      <c r="AY42" s="1064">
        <f t="shared" si="29"/>
        <v>303.29741740364727</v>
      </c>
      <c r="AZ42" s="1063">
        <f t="shared" si="29"/>
        <v>333.15</v>
      </c>
      <c r="BA42" s="1063">
        <f t="shared" si="29"/>
        <v>303.14999999999998</v>
      </c>
      <c r="BB42" s="1062">
        <f t="shared" si="29"/>
        <v>333.62913565731463</v>
      </c>
      <c r="BC42" s="1061">
        <f t="shared" si="29"/>
        <v>303.00258259635268</v>
      </c>
    </row>
    <row r="43" spans="1:73">
      <c r="A43" s="906">
        <v>42</v>
      </c>
      <c r="B43" s="906" t="s">
        <v>1862</v>
      </c>
      <c r="C43" s="906">
        <v>29189</v>
      </c>
      <c r="D43" s="906" t="s">
        <v>1256</v>
      </c>
      <c r="E43" s="906" t="s">
        <v>1258</v>
      </c>
      <c r="F43" s="1015"/>
      <c r="G43" s="1014"/>
      <c r="H43" s="1014"/>
      <c r="I43" s="1014"/>
      <c r="J43" s="1013"/>
      <c r="K43" s="1012"/>
      <c r="L43" s="1011"/>
      <c r="N43" s="1032" t="s">
        <v>1861</v>
      </c>
      <c r="O43" s="1031"/>
      <c r="P43" s="1030">
        <v>72</v>
      </c>
      <c r="Q43" s="1029">
        <v>0</v>
      </c>
      <c r="R43" s="1029">
        <v>80</v>
      </c>
      <c r="S43" s="1028">
        <v>0</v>
      </c>
      <c r="T43" s="1027" t="s">
        <v>842</v>
      </c>
      <c r="U43" s="1026"/>
      <c r="V43" s="906" t="s">
        <v>842</v>
      </c>
      <c r="X43" s="906">
        <v>42</v>
      </c>
    </row>
    <row r="44" spans="1:73" ht="16" thickBot="1">
      <c r="A44" s="906">
        <v>43</v>
      </c>
      <c r="B44" s="906" t="s">
        <v>1860</v>
      </c>
      <c r="C44" s="906">
        <v>29189</v>
      </c>
      <c r="D44" s="906" t="s">
        <v>1256</v>
      </c>
      <c r="E44" s="906" t="s">
        <v>1258</v>
      </c>
      <c r="F44" s="1015">
        <f t="shared" ref="F44:L44" si="31">O29</f>
        <v>3.0235450529656475E-2</v>
      </c>
      <c r="G44" s="1014">
        <f t="shared" si="31"/>
        <v>70</v>
      </c>
      <c r="H44" s="1014">
        <f t="shared" si="31"/>
        <v>39</v>
      </c>
      <c r="I44" s="1014">
        <f t="shared" si="31"/>
        <v>70</v>
      </c>
      <c r="J44" s="1013">
        <f t="shared" si="31"/>
        <v>36</v>
      </c>
      <c r="K44" s="1012">
        <f t="shared" si="31"/>
        <v>34.829437787688285</v>
      </c>
      <c r="L44" s="1011">
        <f t="shared" si="31"/>
        <v>0.24540067220944631</v>
      </c>
      <c r="N44" s="1032" t="s">
        <v>1859</v>
      </c>
      <c r="O44" s="1031">
        <v>4.4507744347516464E-3</v>
      </c>
      <c r="P44" s="1030">
        <v>72</v>
      </c>
      <c r="Q44" s="1029">
        <v>42</v>
      </c>
      <c r="R44" s="1029">
        <v>75</v>
      </c>
      <c r="S44" s="1028">
        <v>39</v>
      </c>
      <c r="T44" s="1027" t="s">
        <v>842</v>
      </c>
      <c r="U44" s="1026">
        <v>0.28107117310443491</v>
      </c>
      <c r="V44" s="906">
        <v>16.081</v>
      </c>
      <c r="X44" s="906">
        <v>43</v>
      </c>
      <c r="AC44" s="1361" t="str">
        <f>AA32</f>
        <v>LTMEH</v>
      </c>
      <c r="AD44" s="1361"/>
      <c r="AE44" s="1361"/>
      <c r="AU44" s="906" t="s">
        <v>1836</v>
      </c>
      <c r="AV44" s="906" t="s">
        <v>1848</v>
      </c>
      <c r="AW44" s="906" t="s">
        <v>1847</v>
      </c>
      <c r="AX44" s="906" t="s">
        <v>1846</v>
      </c>
      <c r="AY44" s="906" t="s">
        <v>1845</v>
      </c>
    </row>
    <row r="45" spans="1:73" ht="19">
      <c r="A45" s="906">
        <v>44</v>
      </c>
      <c r="B45" s="906" t="s">
        <v>1858</v>
      </c>
      <c r="C45" s="906">
        <v>29188</v>
      </c>
      <c r="D45" s="906" t="s">
        <v>1256</v>
      </c>
      <c r="E45" s="906" t="s">
        <v>1259</v>
      </c>
      <c r="F45" s="1015"/>
      <c r="G45" s="1014"/>
      <c r="H45" s="1014"/>
      <c r="I45" s="1014"/>
      <c r="J45" s="1013"/>
      <c r="K45" s="1012"/>
      <c r="L45" s="1011"/>
      <c r="N45" s="1032" t="s">
        <v>1857</v>
      </c>
      <c r="O45" s="1031">
        <v>0.26081833761782347</v>
      </c>
      <c r="P45" s="1030">
        <v>75</v>
      </c>
      <c r="Q45" s="1029">
        <v>42</v>
      </c>
      <c r="R45" s="1029">
        <v>85</v>
      </c>
      <c r="S45" s="1028">
        <v>42</v>
      </c>
      <c r="T45" s="1027" t="s">
        <v>842</v>
      </c>
      <c r="U45" s="1026"/>
      <c r="V45" s="906" t="s">
        <v>842</v>
      </c>
      <c r="X45" s="906">
        <v>44</v>
      </c>
      <c r="AC45" s="906" t="s">
        <v>694</v>
      </c>
      <c r="AD45" s="906">
        <v>2020</v>
      </c>
      <c r="AE45" s="908">
        <f>AE33</f>
        <v>4.7567276508595668</v>
      </c>
      <c r="AU45" s="1060">
        <v>2020</v>
      </c>
      <c r="AV45" s="1059">
        <f>((AW40-AV40)/LN(AW40/AV40))/((AW40-AV40)/LN(AW40/AV40)-($BI$5-$BK$5-$BM$5)/LN(($BI$5-$BK$5)/$BM$5))*$CB20</f>
        <v>6.6445378076781401</v>
      </c>
      <c r="AW45" s="1059">
        <f>((AY40-AX40)/LN(AY40/AX40))/((AY40-AX40)/LN(AY40/AX40)-($BI$5-$BK$5-$BM$5)/LN(($BI$5-$BK$5)/$BM$5))*$CB20</f>
        <v>6.6908556685573926</v>
      </c>
      <c r="AX45" s="1059">
        <f>((BA40-AZ40)/LN(BA40/AZ40))/((BA40-AZ40)/LN(BA40/AZ40)-($BI$5-$BK$5-$BM$5)/LN(($BI$5-$BK$5)/$BM$5))*$CB20</f>
        <v>6.6445378076781401</v>
      </c>
      <c r="AY45" s="1058">
        <f>((BC40-BB40)/LN(BC40/BB40))/((BC40-BB40)/LN(BC40/BB40)-($BI$5-$BK$5-$BM$5)/LN(($BI$5-$BK$5)/$BM$5))*$CB20</f>
        <v>6.5989887992630001</v>
      </c>
      <c r="BA45" s="908"/>
    </row>
    <row r="46" spans="1:73" ht="19">
      <c r="A46" s="906">
        <v>45</v>
      </c>
      <c r="B46" s="906" t="s">
        <v>1856</v>
      </c>
      <c r="C46" s="906">
        <v>29189</v>
      </c>
      <c r="D46" s="906" t="s">
        <v>1256</v>
      </c>
      <c r="E46" s="906" t="s">
        <v>1258</v>
      </c>
      <c r="F46" s="1015">
        <f t="shared" ref="F46:L46" si="32">O30</f>
        <v>0</v>
      </c>
      <c r="G46" s="1014">
        <f t="shared" si="32"/>
        <v>65</v>
      </c>
      <c r="H46" s="1014">
        <f t="shared" si="32"/>
        <v>48</v>
      </c>
      <c r="I46" s="1014">
        <f t="shared" si="32"/>
        <v>67</v>
      </c>
      <c r="J46" s="1013">
        <f t="shared" si="32"/>
        <v>43</v>
      </c>
      <c r="K46" s="1012">
        <f t="shared" si="32"/>
        <v>27.127571597013578</v>
      </c>
      <c r="L46" s="1011">
        <f t="shared" si="32"/>
        <v>0.32371300580157158</v>
      </c>
      <c r="N46" s="1032" t="s">
        <v>1793</v>
      </c>
      <c r="O46" s="1031"/>
      <c r="P46" s="1030">
        <v>75</v>
      </c>
      <c r="Q46" s="1029">
        <v>42</v>
      </c>
      <c r="R46" s="1029">
        <v>85</v>
      </c>
      <c r="S46" s="1028">
        <v>36</v>
      </c>
      <c r="T46" s="1027">
        <v>34.802769684210524</v>
      </c>
      <c r="U46" s="1026">
        <v>0.17170737620018459</v>
      </c>
      <c r="V46" s="906">
        <v>1590.2919999999999</v>
      </c>
      <c r="X46" s="906">
        <v>45</v>
      </c>
      <c r="AC46" s="906" t="s">
        <v>691</v>
      </c>
      <c r="AD46" s="906">
        <v>2020</v>
      </c>
      <c r="AE46" s="908">
        <f>AB33</f>
        <v>5.111381578947368</v>
      </c>
      <c r="AU46" s="1057">
        <v>2030</v>
      </c>
      <c r="AV46" s="908">
        <f>((AW41-AV41)/LN(AW41/AV41))/((AW41-AV41)/LN(AW41/AV41)-($BI$5-$BK$5-$BM$5)/LN(($BI$5-$BK$5)/$BM$5))*$CB21</f>
        <v>8.3083053026786882</v>
      </c>
      <c r="AW46" s="908">
        <f>((AY41-AX41)/LN(AY41/AX41))/((AY41-AX41)/LN(AY41/AX41)-($BI$5-$BK$5-$BM$5)/LN(($BI$5-$BK$5)/$BM$5))*$CB21</f>
        <v>8.3629861752110095</v>
      </c>
      <c r="AX46" s="908">
        <f>((BA41-AZ41)/LN(BA41/AZ41))/((BA41-AZ41)/LN(BA41/AZ41)-($BI$5-$BK$5-$BM$5)/LN(($BI$5-$BK$5)/$BM$5))*$CB21</f>
        <v>8.3083053026786882</v>
      </c>
      <c r="AY46" s="1056">
        <f>((BC41-BB41)/LN(BC41/BB41))/((BC41-BB41)/LN(BC41/BB41)-($BI$5-$BK$5-$BM$5)/LN(($BI$5-$BK$5)/$BM$5))*$CB21</f>
        <v>8.2544797063462862</v>
      </c>
      <c r="BA46" s="908"/>
    </row>
    <row r="47" spans="1:73" ht="20" thickBot="1">
      <c r="A47" s="906">
        <v>46</v>
      </c>
      <c r="B47" s="906" t="s">
        <v>1855</v>
      </c>
      <c r="C47" s="906">
        <v>29189</v>
      </c>
      <c r="D47" s="906" t="s">
        <v>1256</v>
      </c>
      <c r="E47" s="906" t="s">
        <v>1259</v>
      </c>
      <c r="F47" s="1015"/>
      <c r="G47" s="1014"/>
      <c r="H47" s="1014"/>
      <c r="I47" s="1014"/>
      <c r="J47" s="1013"/>
      <c r="K47" s="1012"/>
      <c r="L47" s="1011"/>
      <c r="N47" s="1032" t="s">
        <v>1854</v>
      </c>
      <c r="O47" s="1031"/>
      <c r="P47" s="1030">
        <v>165</v>
      </c>
      <c r="Q47" s="1029">
        <v>100</v>
      </c>
      <c r="R47" s="1029">
        <v>165</v>
      </c>
      <c r="S47" s="1028">
        <v>70</v>
      </c>
      <c r="T47" s="1027" t="s">
        <v>842</v>
      </c>
      <c r="U47" s="1026">
        <v>0.2390308275898915</v>
      </c>
      <c r="V47" s="1018">
        <v>71.215299999999999</v>
      </c>
      <c r="W47" s="1018"/>
      <c r="X47" s="1018">
        <v>46</v>
      </c>
      <c r="AC47" s="906" t="s">
        <v>693</v>
      </c>
      <c r="AD47" s="906">
        <v>2020</v>
      </c>
      <c r="AE47" s="908">
        <f>AC33</f>
        <v>5.5313402845447772</v>
      </c>
      <c r="AU47" s="1055">
        <v>2050</v>
      </c>
      <c r="AV47" s="1054">
        <f>((AW42-AV42)/LN(AW42/AV42))/((AW42-AV42)/LN(AW42/AV42)-($BI$5-$BK$5-$BM$5)/LN(($BI$5-$BK$5)/$BM$5))*$CB22</f>
        <v>10.514574982307002</v>
      </c>
      <c r="AW47" s="1054">
        <f>((AY42-AX42)/LN(AY42/AX42))/((AY42-AX42)/LN(AY42/AX42)-($BI$5-$BK$5-$BM$5)/LN(($BI$5-$BK$5)/$BM$5))*$CB22</f>
        <v>10.5877985827362</v>
      </c>
      <c r="AX47" s="1054">
        <f>((BA42-AZ42)/LN(BA42/AZ42))/((BA42-AZ42)/LN(BA42/AZ42)-($BI$5-$BK$5-$BM$5)/LN(($BI$5-$BK$5)/$BM$5))*$CB22</f>
        <v>10.514574982307002</v>
      </c>
      <c r="AY47" s="1053">
        <f>((BC42-BB42)/LN(BC42/BB42))/((BC42-BB42)/LN(BC42/BB42)-($BI$5-$BK$5-$BM$5)/LN(($BI$5-$BK$5)/$BM$5))*$CB22</f>
        <v>10.442517635565746</v>
      </c>
      <c r="BA47" s="908"/>
    </row>
    <row r="48" spans="1:73">
      <c r="A48" s="906">
        <v>47</v>
      </c>
      <c r="B48" s="906" t="s">
        <v>1853</v>
      </c>
      <c r="C48" s="906">
        <v>29189</v>
      </c>
      <c r="D48" s="906" t="s">
        <v>1256</v>
      </c>
      <c r="E48" s="906" t="s">
        <v>1258</v>
      </c>
      <c r="F48" s="1015"/>
      <c r="G48" s="1014"/>
      <c r="H48" s="1014"/>
      <c r="I48" s="1014"/>
      <c r="J48" s="1013"/>
      <c r="K48" s="1012"/>
      <c r="L48" s="1011"/>
      <c r="N48" s="1032" t="s">
        <v>1787</v>
      </c>
      <c r="O48" s="1031"/>
      <c r="P48" s="1030">
        <v>76</v>
      </c>
      <c r="Q48" s="1029">
        <v>0</v>
      </c>
      <c r="R48" s="1029">
        <v>80</v>
      </c>
      <c r="S48" s="1028">
        <v>0</v>
      </c>
      <c r="T48" s="1027" t="s">
        <v>842</v>
      </c>
      <c r="U48" s="1026">
        <v>0.30656911045818702</v>
      </c>
      <c r="V48" s="906">
        <v>43.52</v>
      </c>
      <c r="X48" s="906">
        <v>47</v>
      </c>
      <c r="AC48" s="906" t="s">
        <v>25</v>
      </c>
      <c r="AD48" s="906">
        <v>2020</v>
      </c>
      <c r="AE48" s="908">
        <f>AD33</f>
        <v>5.111381578947368</v>
      </c>
    </row>
    <row r="49" spans="1:63">
      <c r="A49" s="906">
        <v>48</v>
      </c>
      <c r="B49" s="906" t="s">
        <v>1852</v>
      </c>
      <c r="C49" s="906">
        <v>29189</v>
      </c>
      <c r="D49" s="906" t="s">
        <v>1256</v>
      </c>
      <c r="E49" s="906" t="s">
        <v>1258</v>
      </c>
      <c r="F49" s="1015"/>
      <c r="G49" s="1014"/>
      <c r="H49" s="1014"/>
      <c r="I49" s="1014"/>
      <c r="J49" s="1013"/>
      <c r="K49" s="1012"/>
      <c r="L49" s="1011"/>
      <c r="N49" s="1032" t="s">
        <v>1780</v>
      </c>
      <c r="O49" s="1031"/>
      <c r="P49" s="1030">
        <v>65</v>
      </c>
      <c r="Q49" s="1029">
        <v>45</v>
      </c>
      <c r="R49" s="1029">
        <v>75</v>
      </c>
      <c r="S49" s="1028">
        <v>41</v>
      </c>
      <c r="T49" s="1027">
        <v>31.617746183189187</v>
      </c>
      <c r="U49" s="1026">
        <v>0.12362072151822474</v>
      </c>
      <c r="V49" s="906">
        <v>238.42746296000001</v>
      </c>
      <c r="X49" s="906">
        <v>48</v>
      </c>
      <c r="AC49" s="906" t="s">
        <v>694</v>
      </c>
      <c r="AD49" s="906">
        <v>2030</v>
      </c>
      <c r="AE49" s="908">
        <f>AE34</f>
        <v>5.3878151203710809</v>
      </c>
    </row>
    <row r="50" spans="1:63" ht="16" thickBot="1">
      <c r="A50" s="906">
        <v>49</v>
      </c>
      <c r="B50" s="906" t="s">
        <v>1851</v>
      </c>
      <c r="C50" s="906">
        <v>29189</v>
      </c>
      <c r="D50" s="906" t="s">
        <v>1256</v>
      </c>
      <c r="E50" s="906" t="s">
        <v>1258</v>
      </c>
      <c r="F50" s="1015"/>
      <c r="G50" s="1014"/>
      <c r="H50" s="1014"/>
      <c r="I50" s="1014"/>
      <c r="J50" s="1013"/>
      <c r="K50" s="1012"/>
      <c r="L50" s="1011"/>
      <c r="N50" s="1032" t="s">
        <v>1850</v>
      </c>
      <c r="O50" s="1031">
        <v>2.4049357844371694E-2</v>
      </c>
      <c r="P50" s="1030">
        <v>70</v>
      </c>
      <c r="Q50" s="1029">
        <v>40</v>
      </c>
      <c r="R50" s="1029">
        <v>73</v>
      </c>
      <c r="S50" s="1028">
        <v>33</v>
      </c>
      <c r="T50" s="1027">
        <v>35.076642969526986</v>
      </c>
      <c r="U50" s="1026">
        <v>0.25854728422139078</v>
      </c>
      <c r="V50" s="906">
        <v>11.494</v>
      </c>
      <c r="X50" s="906">
        <v>49</v>
      </c>
      <c r="AC50" s="906" t="s">
        <v>691</v>
      </c>
      <c r="AD50" s="906">
        <v>2030</v>
      </c>
      <c r="AE50" s="908">
        <f>AB34</f>
        <v>5.8025000000000002</v>
      </c>
      <c r="AU50" s="906" t="s">
        <v>1849</v>
      </c>
      <c r="AV50" s="906" t="s">
        <v>1848</v>
      </c>
      <c r="AW50" s="906" t="s">
        <v>1847</v>
      </c>
      <c r="AX50" s="906" t="s">
        <v>1846</v>
      </c>
      <c r="AY50" s="906" t="s">
        <v>1845</v>
      </c>
    </row>
    <row r="51" spans="1:63" ht="19">
      <c r="A51" s="906">
        <v>50</v>
      </c>
      <c r="B51" s="906" t="s">
        <v>1844</v>
      </c>
      <c r="C51" s="906">
        <v>11715</v>
      </c>
      <c r="D51" s="906" t="s">
        <v>1257</v>
      </c>
      <c r="E51" s="906" t="s">
        <v>1259</v>
      </c>
      <c r="F51" s="1015"/>
      <c r="G51" s="1014"/>
      <c r="H51" s="1014"/>
      <c r="I51" s="1014"/>
      <c r="J51" s="1013"/>
      <c r="K51" s="1012"/>
      <c r="L51" s="1011"/>
      <c r="N51" s="1032" t="s">
        <v>1843</v>
      </c>
      <c r="O51" s="1031"/>
      <c r="P51" s="1030">
        <v>75.900000000000006</v>
      </c>
      <c r="Q51" s="1029">
        <v>49.2</v>
      </c>
      <c r="R51" s="1029">
        <v>82.5</v>
      </c>
      <c r="S51" s="1028">
        <v>47.9</v>
      </c>
      <c r="T51" s="1027" t="s">
        <v>842</v>
      </c>
      <c r="U51" s="1026">
        <v>7.2431643736827686E-2</v>
      </c>
      <c r="V51" s="906">
        <v>663.69</v>
      </c>
      <c r="X51" s="906">
        <v>50</v>
      </c>
      <c r="AC51" s="906" t="s">
        <v>693</v>
      </c>
      <c r="AD51" s="906">
        <v>2030</v>
      </c>
      <c r="AE51" s="908">
        <f>AC34</f>
        <v>6.2949413733486246</v>
      </c>
      <c r="AU51" s="1060">
        <v>2020</v>
      </c>
      <c r="AV51" s="1059">
        <f>((AW40-AV40)/LN(AW40/AV40))/((AW40-AV40)/LN(AW40/AV40)-($BI$6-$BK$6-$BM$6)/LN(($BI$6-$BK$6)/$BM$6))*$CB20</f>
        <v>11.009210126041081</v>
      </c>
      <c r="AW51" s="1059">
        <f>((AY40-AX40)/LN(AY40/AX40))/((AY40-AX40)/LN(AY40/AX40)-($BI$6-$BK$6-$BM$6)/LN(($BI$6-$BK$6)/$BM$6))*$CB20</f>
        <v>11.142739240666591</v>
      </c>
      <c r="AX51" s="1059">
        <f>((BA40-AZ40)/LN(BA40/AZ40))/((BA40-AZ40)/LN(BA40/AZ40)-($BI$6-$BK$6-$BM$6)/LN(($BI$6-$BK$6)/$BM$6))*$CB20</f>
        <v>11.009210126041081</v>
      </c>
      <c r="AY51" s="1058">
        <f>((BC40-BB40)/LN(BC40/BB40))/((BC40-BB40)/LN(BC40/BB40)-($BI$6-$BK$6-$BM$6)/LN(($BI$6-$BK$6)/$BM$6))*$CB20</f>
        <v>10.87921819581009</v>
      </c>
    </row>
    <row r="52" spans="1:63" ht="19">
      <c r="A52" s="906">
        <v>51</v>
      </c>
      <c r="B52" s="906" t="s">
        <v>1842</v>
      </c>
      <c r="C52" s="906">
        <v>29189</v>
      </c>
      <c r="D52" s="906" t="s">
        <v>1256</v>
      </c>
      <c r="E52" s="906" t="s">
        <v>1258</v>
      </c>
      <c r="F52" s="1015">
        <f t="shared" ref="F52:L53" si="33">O31</f>
        <v>1.843368237347295E-2</v>
      </c>
      <c r="G52" s="1014">
        <f t="shared" si="33"/>
        <v>68</v>
      </c>
      <c r="H52" s="1014">
        <f t="shared" si="33"/>
        <v>36</v>
      </c>
      <c r="I52" s="1014">
        <f t="shared" si="33"/>
        <v>72</v>
      </c>
      <c r="J52" s="1013">
        <f t="shared" si="33"/>
        <v>36</v>
      </c>
      <c r="K52" s="1012">
        <f t="shared" si="33"/>
        <v>34.286461102250577</v>
      </c>
      <c r="L52" s="1011">
        <f t="shared" si="33"/>
        <v>0.16590732303589287</v>
      </c>
      <c r="N52" s="1032" t="s">
        <v>1774</v>
      </c>
      <c r="O52" s="1031">
        <v>2.7058694647798771E-2</v>
      </c>
      <c r="P52" s="1030">
        <v>75</v>
      </c>
      <c r="Q52" s="1029">
        <v>70</v>
      </c>
      <c r="R52" s="1029">
        <v>85</v>
      </c>
      <c r="S52" s="1028">
        <v>75</v>
      </c>
      <c r="T52" s="1027"/>
      <c r="U52" s="1026">
        <v>0.17929211337935086</v>
      </c>
      <c r="V52" s="906">
        <v>167.64599999999999</v>
      </c>
      <c r="X52" s="906">
        <v>51</v>
      </c>
      <c r="AC52" s="906" t="s">
        <v>25</v>
      </c>
      <c r="AD52" s="906">
        <v>2030</v>
      </c>
      <c r="AE52" s="908">
        <f>AD34</f>
        <v>5.8025000000000002</v>
      </c>
      <c r="AU52" s="1057">
        <v>2030</v>
      </c>
      <c r="AV52" s="908">
        <f>((AW41-AV41)/LN(AW41/AV41))/((AW41-AV41)/LN(AW41/AV41)-($BI$6-$BK$6-$BM$6)/LN(($BI$6-$BK$6)/$BM$6))*$CB21</f>
        <v>15.559264158948105</v>
      </c>
      <c r="AW52" s="908">
        <f>((AY41-AX41)/LN(AY41/AX41))/((AY41-AX41)/LN(AY41/AX41)-($BI$6-$BK$6-$BM$6)/LN(($BI$6-$BK$6)/$BM$6))*$CB21</f>
        <v>15.760895171138014</v>
      </c>
      <c r="AX52" s="908">
        <f>((BA41-AZ41)/LN(BA41/AZ41))/((BA41-AZ41)/LN(BA41/AZ41)-($BI$6-$BK$6-$BM$6)/LN(($BI$6-$BK$6)/$BM$6))*$CB21</f>
        <v>15.559264158948105</v>
      </c>
      <c r="AY52" s="1056">
        <f>((BC41-BB41)/LN(BC41/BB41))/((BC41-BB41)/LN(BC41/BB41)-($BI$6-$BK$6-$BM$6)/LN(($BI$6-$BK$6)/$BM$6))*$CB21</f>
        <v>15.363251250973041</v>
      </c>
    </row>
    <row r="53" spans="1:63" ht="20" thickBot="1">
      <c r="A53" s="906">
        <v>52</v>
      </c>
      <c r="B53" s="906" t="s">
        <v>1841</v>
      </c>
      <c r="C53" s="906">
        <v>29189</v>
      </c>
      <c r="D53" s="906" t="s">
        <v>1256</v>
      </c>
      <c r="E53" s="906" t="s">
        <v>1258</v>
      </c>
      <c r="F53" s="1015">
        <f t="shared" si="33"/>
        <v>0</v>
      </c>
      <c r="G53" s="1014">
        <f t="shared" si="33"/>
        <v>70</v>
      </c>
      <c r="H53" s="1014">
        <f t="shared" si="33"/>
        <v>0</v>
      </c>
      <c r="I53" s="1014">
        <f t="shared" si="33"/>
        <v>76</v>
      </c>
      <c r="J53" s="1013">
        <f t="shared" si="33"/>
        <v>0</v>
      </c>
      <c r="K53" s="1012">
        <f t="shared" si="33"/>
        <v>47.210473186119877</v>
      </c>
      <c r="L53" s="1011">
        <f t="shared" si="33"/>
        <v>0.22411217101482589</v>
      </c>
      <c r="N53" s="1032" t="s">
        <v>1840</v>
      </c>
      <c r="O53" s="1031"/>
      <c r="P53" s="1030">
        <v>69</v>
      </c>
      <c r="Q53" s="1029">
        <v>44</v>
      </c>
      <c r="R53" s="1029">
        <v>75</v>
      </c>
      <c r="S53" s="1028">
        <v>41</v>
      </c>
      <c r="T53" s="1027" t="s">
        <v>842</v>
      </c>
      <c r="U53" s="1026"/>
      <c r="V53" s="906" t="s">
        <v>842</v>
      </c>
      <c r="X53" s="906">
        <v>52</v>
      </c>
      <c r="AC53" s="906" t="s">
        <v>694</v>
      </c>
      <c r="AD53" s="906">
        <v>2050</v>
      </c>
      <c r="AE53" s="908">
        <f>AE35</f>
        <v>7.4241669232417449</v>
      </c>
      <c r="AU53" s="1055">
        <v>2050</v>
      </c>
      <c r="AV53" s="1054">
        <f>((AW42-AV42)/LN(AW42/AV42))/((AW42-AV42)/LN(AW42/AV42)-($BI$6-$BK$6-$BM$6)/LN(($BI$6-$BK$6)/$BM$6))*$CB22</f>
        <v>28.413900873646334</v>
      </c>
      <c r="AW53" s="1054">
        <f>((AY42-AX42)/LN(AY42/AX42))/((AY42-AX42)/LN(AY42/AX42)-($BI$6-$BK$6-$BM$6)/LN(($BI$6-$BK$6)/$BM$6))*$CB22</f>
        <v>28.979755737759366</v>
      </c>
      <c r="AX53" s="1054">
        <f>((BA42-AZ42)/LN(BA42/AZ42))/((BA42-AZ42)/LN(BA42/AZ42)-($BI$6-$BK$6-$BM$6)/LN(($BI$6-$BK$6)/$BM$6))*$CB22</f>
        <v>28.413900873646334</v>
      </c>
      <c r="AY53" s="1053">
        <f>((BC42-BB42)/LN(BC42/BB42))/((BC42-BB42)/LN(BC42/BB42)-($BI$6-$BK$6-$BM$6)/LN(($BI$6-$BK$6)/$BM$6))*$CB22</f>
        <v>27.870914179192194</v>
      </c>
    </row>
    <row r="54" spans="1:63">
      <c r="A54" s="906">
        <v>53</v>
      </c>
      <c r="B54" s="906" t="s">
        <v>1839</v>
      </c>
      <c r="C54" s="906">
        <v>29188</v>
      </c>
      <c r="D54" s="906" t="s">
        <v>1256</v>
      </c>
      <c r="E54" s="906" t="s">
        <v>1259</v>
      </c>
      <c r="F54" s="1015"/>
      <c r="G54" s="1014"/>
      <c r="H54" s="1014"/>
      <c r="I54" s="1014"/>
      <c r="J54" s="1013"/>
      <c r="K54" s="1012"/>
      <c r="L54" s="1011"/>
      <c r="N54" s="1032" t="s">
        <v>1768</v>
      </c>
      <c r="O54" s="1031"/>
      <c r="P54" s="1030">
        <v>70</v>
      </c>
      <c r="Q54" s="1029">
        <v>0</v>
      </c>
      <c r="R54" s="1029">
        <v>80</v>
      </c>
      <c r="S54" s="1028">
        <v>0</v>
      </c>
      <c r="T54" s="1027" t="s">
        <v>842</v>
      </c>
      <c r="U54" s="1026"/>
      <c r="V54" s="906" t="s">
        <v>842</v>
      </c>
      <c r="X54" s="906">
        <v>53</v>
      </c>
      <c r="AC54" s="906" t="s">
        <v>691</v>
      </c>
      <c r="AD54" s="906">
        <v>2050</v>
      </c>
      <c r="AE54" s="908">
        <f>AB35</f>
        <v>8.0861956521739131</v>
      </c>
    </row>
    <row r="55" spans="1:63" ht="16">
      <c r="A55" s="906">
        <v>54</v>
      </c>
      <c r="B55" s="906" t="s">
        <v>1839</v>
      </c>
      <c r="C55" s="906">
        <v>29189</v>
      </c>
      <c r="D55" s="906" t="s">
        <v>1256</v>
      </c>
      <c r="E55" s="906" t="s">
        <v>1259</v>
      </c>
      <c r="F55" s="1015"/>
      <c r="G55" s="1014"/>
      <c r="H55" s="1014"/>
      <c r="I55" s="1014"/>
      <c r="J55" s="1013"/>
      <c r="K55" s="1012"/>
      <c r="L55" s="1011"/>
      <c r="N55" s="1032" t="s">
        <v>1838</v>
      </c>
      <c r="O55" s="1031"/>
      <c r="P55" s="1030">
        <v>75</v>
      </c>
      <c r="Q55" s="1029">
        <v>37</v>
      </c>
      <c r="R55" s="1029">
        <v>78</v>
      </c>
      <c r="S55" s="1028">
        <v>37</v>
      </c>
      <c r="T55" s="1027" t="s">
        <v>842</v>
      </c>
      <c r="U55" s="1026">
        <v>0.17356165075516491</v>
      </c>
      <c r="V55" s="1018">
        <v>32.722000000000001</v>
      </c>
      <c r="W55" s="1018"/>
      <c r="X55" s="1018">
        <v>54</v>
      </c>
      <c r="AC55" s="906" t="s">
        <v>693</v>
      </c>
      <c r="AD55" s="906">
        <v>2050</v>
      </c>
      <c r="AE55" s="908">
        <f>AC35</f>
        <v>8.8893294319669955</v>
      </c>
      <c r="AY55" s="910" t="s">
        <v>1259</v>
      </c>
      <c r="AZ55" s="910" t="s">
        <v>1259</v>
      </c>
      <c r="BA55" s="909" t="s">
        <v>1258</v>
      </c>
      <c r="BB55" s="909" t="s">
        <v>1258</v>
      </c>
      <c r="BC55" s="909"/>
      <c r="BD55" s="909"/>
      <c r="BH55" s="910" t="s">
        <v>1259</v>
      </c>
      <c r="BI55" s="910" t="s">
        <v>1259</v>
      </c>
      <c r="BJ55" s="909" t="s">
        <v>1258</v>
      </c>
      <c r="BK55" s="909" t="s">
        <v>1258</v>
      </c>
    </row>
    <row r="56" spans="1:63">
      <c r="A56" s="906">
        <v>55</v>
      </c>
      <c r="B56" s="906" t="s">
        <v>1834</v>
      </c>
      <c r="C56" s="906">
        <v>18957</v>
      </c>
      <c r="D56" s="906" t="s">
        <v>1256</v>
      </c>
      <c r="E56" s="906" t="s">
        <v>1259</v>
      </c>
      <c r="F56" s="1015"/>
      <c r="G56" s="1014"/>
      <c r="H56" s="1014"/>
      <c r="I56" s="1014"/>
      <c r="J56" s="1013"/>
      <c r="K56" s="1012"/>
      <c r="L56" s="1011"/>
      <c r="N56" s="1032" t="s">
        <v>1837</v>
      </c>
      <c r="O56" s="1031"/>
      <c r="P56" s="1030">
        <v>72</v>
      </c>
      <c r="Q56" s="1029">
        <v>36</v>
      </c>
      <c r="R56" s="1029">
        <v>74</v>
      </c>
      <c r="S56" s="1028">
        <v>37</v>
      </c>
      <c r="T56" s="1027"/>
      <c r="U56" s="1026">
        <v>0.30976614978254435</v>
      </c>
      <c r="V56" s="1018">
        <v>30.312999999999999</v>
      </c>
      <c r="W56" s="1018"/>
      <c r="X56" s="1018">
        <v>55</v>
      </c>
      <c r="AC56" s="906" t="s">
        <v>25</v>
      </c>
      <c r="AD56" s="906">
        <v>2050</v>
      </c>
      <c r="AE56" s="908">
        <f>AD35</f>
        <v>8.0861956521739131</v>
      </c>
      <c r="AV56" s="1361" t="str">
        <f>AU44</f>
        <v>LTMEH</v>
      </c>
      <c r="AW56" s="1361"/>
      <c r="AX56" s="1361"/>
      <c r="AY56" s="909" t="s">
        <v>1257</v>
      </c>
      <c r="AZ56" s="909" t="s">
        <v>1256</v>
      </c>
      <c r="BA56" s="909" t="s">
        <v>1257</v>
      </c>
      <c r="BB56" s="909" t="s">
        <v>1256</v>
      </c>
      <c r="BC56" s="909"/>
      <c r="BE56" s="1361" t="s">
        <v>1836</v>
      </c>
      <c r="BF56" s="1361"/>
      <c r="BG56" s="1361"/>
      <c r="BH56" s="909" t="s">
        <v>1257</v>
      </c>
      <c r="BI56" s="909" t="s">
        <v>1256</v>
      </c>
      <c r="BJ56" s="909" t="s">
        <v>1257</v>
      </c>
      <c r="BK56" s="909" t="s">
        <v>1256</v>
      </c>
    </row>
    <row r="57" spans="1:63">
      <c r="A57" s="906">
        <v>56</v>
      </c>
      <c r="B57" s="906" t="s">
        <v>1834</v>
      </c>
      <c r="C57" s="906">
        <v>29188</v>
      </c>
      <c r="D57" s="906" t="s">
        <v>1256</v>
      </c>
      <c r="E57" s="906" t="s">
        <v>1259</v>
      </c>
      <c r="F57" s="1015"/>
      <c r="G57" s="1014"/>
      <c r="H57" s="1014"/>
      <c r="I57" s="1014"/>
      <c r="J57" s="1013"/>
      <c r="K57" s="1012"/>
      <c r="L57" s="1011"/>
      <c r="N57" s="1032" t="s">
        <v>1835</v>
      </c>
      <c r="O57" s="1031"/>
      <c r="P57" s="1027">
        <v>67.900000000000006</v>
      </c>
      <c r="Q57" s="1040">
        <v>44</v>
      </c>
      <c r="R57" s="1040">
        <v>68.52</v>
      </c>
      <c r="S57" s="1039">
        <v>38</v>
      </c>
      <c r="T57" s="1027"/>
      <c r="U57" s="1026">
        <v>0.25009485094850947</v>
      </c>
      <c r="V57" s="1018">
        <v>55.343000000000004</v>
      </c>
      <c r="W57" s="1018"/>
      <c r="X57" s="1018">
        <v>56</v>
      </c>
      <c r="AC57" s="1362" t="str">
        <f>AA38</f>
        <v>MTEH</v>
      </c>
      <c r="AD57" s="1362"/>
      <c r="AE57" s="1362"/>
      <c r="AV57" s="907"/>
      <c r="AW57" s="906" t="s">
        <v>694</v>
      </c>
      <c r="AX57" s="906">
        <v>2015</v>
      </c>
      <c r="AY57" s="908">
        <f>AZ18</f>
        <v>4.4936985661605204</v>
      </c>
      <c r="AZ57" s="908">
        <f>AZ20</f>
        <v>5.030245890805495</v>
      </c>
      <c r="BA57" s="908">
        <f>AZ19</f>
        <v>5.4875186252728483</v>
      </c>
      <c r="BB57" s="908">
        <f>AZ21</f>
        <v>5.9180303774552367</v>
      </c>
      <c r="BC57" s="908"/>
      <c r="BD57" s="908"/>
      <c r="BE57" s="907"/>
      <c r="BF57" s="906" t="s">
        <v>694</v>
      </c>
      <c r="BG57" s="906">
        <v>2015</v>
      </c>
      <c r="BH57" s="908">
        <f t="shared" ref="BH57:BK60" si="34">AY57</f>
        <v>4.4936985661605204</v>
      </c>
      <c r="BI57" s="908">
        <f t="shared" si="34"/>
        <v>5.030245890805495</v>
      </c>
      <c r="BJ57" s="908">
        <f t="shared" si="34"/>
        <v>5.4875186252728483</v>
      </c>
      <c r="BK57" s="908">
        <f t="shared" si="34"/>
        <v>5.9180303774552367</v>
      </c>
    </row>
    <row r="58" spans="1:63">
      <c r="A58" s="906">
        <v>57</v>
      </c>
      <c r="B58" s="906" t="s">
        <v>1834</v>
      </c>
      <c r="C58" s="906">
        <v>29189</v>
      </c>
      <c r="D58" s="906" t="s">
        <v>1256</v>
      </c>
      <c r="E58" s="906" t="s">
        <v>1259</v>
      </c>
      <c r="F58" s="1015"/>
      <c r="G58" s="1014"/>
      <c r="H58" s="1014"/>
      <c r="I58" s="1014"/>
      <c r="J58" s="1013"/>
      <c r="K58" s="1012"/>
      <c r="L58" s="1011"/>
      <c r="N58" s="1032" t="s">
        <v>1833</v>
      </c>
      <c r="O58" s="1031">
        <v>0.05</v>
      </c>
      <c r="P58" s="1030">
        <v>68</v>
      </c>
      <c r="Q58" s="1029">
        <v>33</v>
      </c>
      <c r="R58" s="1029">
        <v>72</v>
      </c>
      <c r="S58" s="1028">
        <v>35</v>
      </c>
      <c r="T58" s="1027">
        <v>35.964255843641325</v>
      </c>
      <c r="U58" s="1026">
        <v>0.27610526315789474</v>
      </c>
      <c r="V58" s="1018">
        <v>6.8769999999999998</v>
      </c>
      <c r="W58" s="1018"/>
      <c r="X58" s="1018">
        <v>57</v>
      </c>
      <c r="AC58" s="906" t="s">
        <v>694</v>
      </c>
      <c r="AD58" s="906">
        <v>2020</v>
      </c>
      <c r="AE58" s="908">
        <f>AE39</f>
        <v>7.0467673388242851</v>
      </c>
      <c r="AV58" s="907"/>
      <c r="AW58" s="906" t="s">
        <v>691</v>
      </c>
      <c r="AX58" s="906">
        <v>2015</v>
      </c>
      <c r="AY58" s="908">
        <f>AW18</f>
        <v>4.6633529060719239</v>
      </c>
      <c r="AZ58" s="908">
        <f>AW20</f>
        <v>5.1335784752540965</v>
      </c>
      <c r="BA58" s="908">
        <f>AW19</f>
        <v>5.6164711608549638</v>
      </c>
      <c r="BB58" s="908">
        <f>AW21</f>
        <v>5.9553926797050414</v>
      </c>
      <c r="BC58" s="908"/>
      <c r="BE58" s="907"/>
      <c r="BF58" s="906" t="s">
        <v>691</v>
      </c>
      <c r="BG58" s="906">
        <v>2015</v>
      </c>
      <c r="BH58" s="908">
        <f t="shared" si="34"/>
        <v>4.6633529060719239</v>
      </c>
      <c r="BI58" s="908">
        <f t="shared" si="34"/>
        <v>5.1335784752540965</v>
      </c>
      <c r="BJ58" s="908">
        <f t="shared" si="34"/>
        <v>5.6164711608549638</v>
      </c>
      <c r="BK58" s="908">
        <f t="shared" si="34"/>
        <v>5.9553926797050414</v>
      </c>
    </row>
    <row r="59" spans="1:63">
      <c r="A59" s="906">
        <v>58</v>
      </c>
      <c r="B59" s="906" t="s">
        <v>1832</v>
      </c>
      <c r="C59" s="906">
        <v>29189</v>
      </c>
      <c r="D59" s="906" t="s">
        <v>1256</v>
      </c>
      <c r="E59" s="906" t="s">
        <v>1258</v>
      </c>
      <c r="F59" s="1015">
        <f t="shared" ref="F59:L59" si="35">O33</f>
        <v>0</v>
      </c>
      <c r="G59" s="1014">
        <f t="shared" si="35"/>
        <v>75</v>
      </c>
      <c r="H59" s="1014">
        <f t="shared" si="35"/>
        <v>41</v>
      </c>
      <c r="I59" s="1014">
        <f t="shared" si="35"/>
        <v>75</v>
      </c>
      <c r="J59" s="1013">
        <f t="shared" si="35"/>
        <v>36</v>
      </c>
      <c r="K59" s="1012">
        <f t="shared" si="35"/>
        <v>40.59779889728101</v>
      </c>
      <c r="L59" s="1011">
        <f t="shared" si="35"/>
        <v>0.21783451189273578</v>
      </c>
      <c r="N59" s="1032" t="s">
        <v>1831</v>
      </c>
      <c r="O59" s="1031">
        <v>1.2185833968012186E-2</v>
      </c>
      <c r="P59" s="1030">
        <v>65</v>
      </c>
      <c r="Q59" s="1029">
        <v>40</v>
      </c>
      <c r="R59" s="1029">
        <v>72</v>
      </c>
      <c r="S59" s="1028">
        <v>38</v>
      </c>
      <c r="T59" s="1027">
        <v>28.453720804465171</v>
      </c>
      <c r="U59" s="1026">
        <v>0.40100231303006939</v>
      </c>
      <c r="V59" s="1018">
        <v>7.7690000000000001</v>
      </c>
      <c r="W59" s="1018"/>
      <c r="X59" s="1018">
        <v>58</v>
      </c>
      <c r="AC59" s="906" t="s">
        <v>691</v>
      </c>
      <c r="AD59" s="906">
        <v>2020</v>
      </c>
      <c r="AE59" s="908">
        <f>AB39</f>
        <v>7.8792999999999997</v>
      </c>
      <c r="AV59" s="907"/>
      <c r="AW59" s="906" t="s">
        <v>693</v>
      </c>
      <c r="AX59" s="906">
        <v>2015</v>
      </c>
      <c r="AY59" s="1052">
        <f>AX18</f>
        <v>4.8492510247196225</v>
      </c>
      <c r="AZ59" s="908">
        <f>AX20</f>
        <v>5.2435392226385922</v>
      </c>
      <c r="BA59" s="908">
        <f>AX19</f>
        <v>5.7543730542548044</v>
      </c>
      <c r="BB59" s="908">
        <f>AX21</f>
        <v>5.9942745260623997</v>
      </c>
      <c r="BC59" s="908"/>
      <c r="BE59" s="907"/>
      <c r="BF59" s="906" t="s">
        <v>693</v>
      </c>
      <c r="BG59" s="906">
        <v>2015</v>
      </c>
      <c r="BH59" s="908">
        <f t="shared" si="34"/>
        <v>4.8492510247196225</v>
      </c>
      <c r="BI59" s="908">
        <f t="shared" si="34"/>
        <v>5.2435392226385922</v>
      </c>
      <c r="BJ59" s="908">
        <f t="shared" si="34"/>
        <v>5.7543730542548044</v>
      </c>
      <c r="BK59" s="908">
        <f t="shared" si="34"/>
        <v>5.9942745260623997</v>
      </c>
    </row>
    <row r="60" spans="1:63">
      <c r="A60" s="906">
        <v>59</v>
      </c>
      <c r="B60" s="906" t="s">
        <v>1830</v>
      </c>
      <c r="C60" s="906">
        <v>29189</v>
      </c>
      <c r="D60" s="906" t="s">
        <v>1256</v>
      </c>
      <c r="E60" s="906" t="s">
        <v>1258</v>
      </c>
      <c r="F60" s="1015"/>
      <c r="G60" s="1014"/>
      <c r="H60" s="1014"/>
      <c r="I60" s="1014"/>
      <c r="J60" s="1013"/>
      <c r="K60" s="1012"/>
      <c r="L60" s="1011"/>
      <c r="N60" s="1038" t="s">
        <v>1829</v>
      </c>
      <c r="O60" s="1037">
        <v>1.6662200001848274E-2</v>
      </c>
      <c r="P60" s="1036">
        <v>70</v>
      </c>
      <c r="Q60" s="1014">
        <v>45</v>
      </c>
      <c r="R60" s="1014">
        <v>82</v>
      </c>
      <c r="S60" s="1013">
        <v>37</v>
      </c>
      <c r="T60" s="1012">
        <v>34.709931774311684</v>
      </c>
      <c r="U60" s="1035">
        <v>0.23961994624363286</v>
      </c>
      <c r="V60" s="906">
        <v>80.909000000000006</v>
      </c>
      <c r="X60" s="906">
        <v>59</v>
      </c>
      <c r="AC60" s="906" t="s">
        <v>693</v>
      </c>
      <c r="AD60" s="906">
        <v>2020</v>
      </c>
      <c r="AE60" s="908">
        <f>AC39</f>
        <v>8.9565649759081456</v>
      </c>
      <c r="AV60" s="907"/>
      <c r="AW60" s="906" t="s">
        <v>25</v>
      </c>
      <c r="AX60" s="906">
        <v>2015</v>
      </c>
      <c r="AY60" s="908">
        <f>AY18</f>
        <v>4.6633529060719239</v>
      </c>
      <c r="AZ60" s="908">
        <f>AY20</f>
        <v>5.1335784752540965</v>
      </c>
      <c r="BA60" s="908">
        <f>AY19</f>
        <v>5.6164711608549638</v>
      </c>
      <c r="BB60" s="908">
        <f>AY21</f>
        <v>5.9553926797050414</v>
      </c>
      <c r="BC60" s="908"/>
      <c r="BE60" s="907"/>
      <c r="BF60" s="906" t="s">
        <v>25</v>
      </c>
      <c r="BG60" s="906">
        <v>2015</v>
      </c>
      <c r="BH60" s="908">
        <f t="shared" si="34"/>
        <v>4.6633529060719239</v>
      </c>
      <c r="BI60" s="908">
        <f t="shared" si="34"/>
        <v>5.1335784752540965</v>
      </c>
      <c r="BJ60" s="908">
        <f t="shared" si="34"/>
        <v>5.6164711608549638</v>
      </c>
      <c r="BK60" s="908">
        <f t="shared" si="34"/>
        <v>5.9553926797050414</v>
      </c>
    </row>
    <row r="61" spans="1:63">
      <c r="A61" s="906">
        <v>60</v>
      </c>
      <c r="B61" s="906" t="s">
        <v>1828</v>
      </c>
      <c r="C61" s="906">
        <v>29189</v>
      </c>
      <c r="D61" s="906" t="s">
        <v>1256</v>
      </c>
      <c r="E61" s="906" t="s">
        <v>1258</v>
      </c>
      <c r="F61" s="1015">
        <f t="shared" ref="F61:L63" si="36">O35</f>
        <v>9.067439078143693E-3</v>
      </c>
      <c r="G61" s="1014">
        <f t="shared" si="36"/>
        <v>68</v>
      </c>
      <c r="H61" s="1014">
        <f t="shared" si="36"/>
        <v>36</v>
      </c>
      <c r="I61" s="1014">
        <f t="shared" si="36"/>
        <v>68</v>
      </c>
      <c r="J61" s="1013">
        <f t="shared" si="36"/>
        <v>36</v>
      </c>
      <c r="K61" s="1012">
        <f t="shared" si="36"/>
        <v>33.374071251901881</v>
      </c>
      <c r="L61" s="1011">
        <f t="shared" si="36"/>
        <v>0.24477346381139989</v>
      </c>
      <c r="N61" s="1032" t="s">
        <v>1827</v>
      </c>
      <c r="O61" s="1031">
        <v>6.0532337821525582E-2</v>
      </c>
      <c r="P61" s="1030">
        <v>76</v>
      </c>
      <c r="Q61" s="1029">
        <v>43</v>
      </c>
      <c r="R61" s="1029">
        <v>77</v>
      </c>
      <c r="S61" s="1028">
        <v>41</v>
      </c>
      <c r="T61" s="1027">
        <v>36.951352733977416</v>
      </c>
      <c r="U61" s="1026">
        <v>0.32881061639588244</v>
      </c>
      <c r="V61" s="1018">
        <v>27.059000000000001</v>
      </c>
      <c r="W61" s="1018"/>
      <c r="X61" s="1018">
        <v>60</v>
      </c>
      <c r="AC61" s="906" t="s">
        <v>25</v>
      </c>
      <c r="AD61" s="906">
        <v>2020</v>
      </c>
      <c r="AE61" s="908">
        <f>AD39</f>
        <v>7.8792999999999997</v>
      </c>
      <c r="AV61" s="907"/>
      <c r="AW61" s="906" t="s">
        <v>694</v>
      </c>
      <c r="AX61" s="906">
        <v>2020</v>
      </c>
      <c r="AY61" s="908">
        <f>AY45</f>
        <v>6.5989887992630001</v>
      </c>
      <c r="AZ61" s="908">
        <f t="shared" ref="AZ61:BB72" si="37">AY61</f>
        <v>6.5989887992630001</v>
      </c>
      <c r="BA61" s="908">
        <f t="shared" si="37"/>
        <v>6.5989887992630001</v>
      </c>
      <c r="BB61" s="908">
        <f t="shared" si="37"/>
        <v>6.5989887992630001</v>
      </c>
      <c r="BC61" s="908"/>
      <c r="BE61" s="907"/>
      <c r="BF61" s="906" t="s">
        <v>694</v>
      </c>
      <c r="BG61" s="906">
        <v>2020</v>
      </c>
      <c r="BH61" s="908">
        <f t="shared" ref="BH61:BK64" si="38">BH57/$CB$19*$CB$20</f>
        <v>5.3036947717452412</v>
      </c>
      <c r="BI61" s="908">
        <f t="shared" si="38"/>
        <v>5.9369555921177213</v>
      </c>
      <c r="BJ61" s="908">
        <f t="shared" si="38"/>
        <v>6.476652453255495</v>
      </c>
      <c r="BK61" s="908">
        <f t="shared" si="38"/>
        <v>6.9847646231324125</v>
      </c>
    </row>
    <row r="62" spans="1:63">
      <c r="A62" s="906">
        <v>61</v>
      </c>
      <c r="B62" s="906" t="s">
        <v>1826</v>
      </c>
      <c r="C62" s="906">
        <v>29189</v>
      </c>
      <c r="D62" s="906" t="s">
        <v>1256</v>
      </c>
      <c r="E62" s="906" t="s">
        <v>1258</v>
      </c>
      <c r="F62" s="1015">
        <f t="shared" si="36"/>
        <v>0</v>
      </c>
      <c r="G62" s="1014">
        <f t="shared" si="36"/>
        <v>69</v>
      </c>
      <c r="H62" s="1014">
        <f t="shared" si="36"/>
        <v>41</v>
      </c>
      <c r="I62" s="1014">
        <f t="shared" si="36"/>
        <v>70</v>
      </c>
      <c r="J62" s="1013">
        <f t="shared" si="36"/>
        <v>39</v>
      </c>
      <c r="K62" s="1012">
        <f t="shared" si="36"/>
        <v>21.286858901815219</v>
      </c>
      <c r="L62" s="1011">
        <f t="shared" si="36"/>
        <v>0.32589612289685443</v>
      </c>
      <c r="N62" s="1032" t="s">
        <v>1825</v>
      </c>
      <c r="O62" s="1031"/>
      <c r="P62" s="1030">
        <v>67</v>
      </c>
      <c r="Q62" s="1029">
        <v>36</v>
      </c>
      <c r="R62" s="1029">
        <v>71</v>
      </c>
      <c r="S62" s="1028">
        <v>34</v>
      </c>
      <c r="T62" s="1027">
        <v>35.586149795173704</v>
      </c>
      <c r="U62" s="1026">
        <v>0.33608655188459746</v>
      </c>
      <c r="V62" s="1018">
        <v>5.7069999999999999</v>
      </c>
      <c r="W62" s="1018"/>
      <c r="X62" s="1018">
        <v>61</v>
      </c>
      <c r="AC62" s="906" t="s">
        <v>694</v>
      </c>
      <c r="AD62" s="906">
        <v>2030</v>
      </c>
      <c r="AE62" s="908">
        <f>AE40</f>
        <v>8.5764189396431263</v>
      </c>
      <c r="AV62" s="907"/>
      <c r="AW62" s="906" t="s">
        <v>691</v>
      </c>
      <c r="AX62" s="906">
        <v>2020</v>
      </c>
      <c r="AY62" s="908">
        <f>AV45</f>
        <v>6.6445378076781401</v>
      </c>
      <c r="AZ62" s="908">
        <f t="shared" si="37"/>
        <v>6.6445378076781401</v>
      </c>
      <c r="BA62" s="908">
        <f t="shared" si="37"/>
        <v>6.6445378076781401</v>
      </c>
      <c r="BB62" s="908">
        <f t="shared" si="37"/>
        <v>6.6445378076781401</v>
      </c>
      <c r="BC62" s="908"/>
      <c r="BE62" s="907"/>
      <c r="BF62" s="906" t="s">
        <v>691</v>
      </c>
      <c r="BG62" s="906">
        <v>2020</v>
      </c>
      <c r="BH62" s="908">
        <f t="shared" si="38"/>
        <v>5.5039295721761912</v>
      </c>
      <c r="BI62" s="908">
        <f t="shared" si="38"/>
        <v>6.0589140367757546</v>
      </c>
      <c r="BJ62" s="908">
        <f t="shared" si="38"/>
        <v>6.6288488853705481</v>
      </c>
      <c r="BK62" s="908">
        <f t="shared" si="38"/>
        <v>7.0288615388879272</v>
      </c>
    </row>
    <row r="63" spans="1:63">
      <c r="A63" s="906">
        <v>62</v>
      </c>
      <c r="B63" s="906" t="s">
        <v>1824</v>
      </c>
      <c r="C63" s="906">
        <v>29189</v>
      </c>
      <c r="D63" s="906" t="s">
        <v>1256</v>
      </c>
      <c r="E63" s="906" t="s">
        <v>1258</v>
      </c>
      <c r="F63" s="1015">
        <f t="shared" si="36"/>
        <v>3.3558611046376134E-2</v>
      </c>
      <c r="G63" s="1014">
        <f t="shared" si="36"/>
        <v>70</v>
      </c>
      <c r="H63" s="1014">
        <f t="shared" si="36"/>
        <v>32</v>
      </c>
      <c r="I63" s="1014">
        <f t="shared" si="36"/>
        <v>70</v>
      </c>
      <c r="J63" s="1013">
        <f t="shared" si="36"/>
        <v>32</v>
      </c>
      <c r="K63" s="1012">
        <f t="shared" si="36"/>
        <v>36.56048017140192</v>
      </c>
      <c r="L63" s="1011">
        <f t="shared" si="36"/>
        <v>0.18971545695683625</v>
      </c>
      <c r="N63" s="1032" t="s">
        <v>1823</v>
      </c>
      <c r="O63" s="1031"/>
      <c r="P63" s="1030">
        <v>80</v>
      </c>
      <c r="Q63" s="1029">
        <v>50</v>
      </c>
      <c r="R63" s="1029">
        <v>90</v>
      </c>
      <c r="S63" s="1028">
        <v>55</v>
      </c>
      <c r="T63" s="1027">
        <v>26.462430536530587</v>
      </c>
      <c r="U63" s="1026">
        <v>0.10822587144872053</v>
      </c>
      <c r="V63" s="1018">
        <v>70.813999999999993</v>
      </c>
      <c r="W63" s="1018"/>
      <c r="X63" s="1018">
        <v>62</v>
      </c>
      <c r="AC63" s="906" t="s">
        <v>691</v>
      </c>
      <c r="AD63" s="906">
        <v>2030</v>
      </c>
      <c r="AE63" s="908">
        <f>AB40</f>
        <v>9.7116249999999997</v>
      </c>
      <c r="AV63" s="907"/>
      <c r="AW63" s="906" t="s">
        <v>693</v>
      </c>
      <c r="AX63" s="906">
        <v>2020</v>
      </c>
      <c r="AY63" s="1052">
        <f>AW45</f>
        <v>6.6908556685573926</v>
      </c>
      <c r="AZ63" s="908">
        <f t="shared" si="37"/>
        <v>6.6908556685573926</v>
      </c>
      <c r="BA63" s="908">
        <f t="shared" si="37"/>
        <v>6.6908556685573926</v>
      </c>
      <c r="BB63" s="908">
        <f t="shared" si="37"/>
        <v>6.6908556685573926</v>
      </c>
      <c r="BC63" s="908"/>
      <c r="BE63" s="907"/>
      <c r="BF63" s="906" t="s">
        <v>693</v>
      </c>
      <c r="BG63" s="906">
        <v>2020</v>
      </c>
      <c r="BH63" s="908">
        <f t="shared" si="38"/>
        <v>5.723336117905288</v>
      </c>
      <c r="BI63" s="908">
        <f t="shared" si="38"/>
        <v>6.1886953811213852</v>
      </c>
      <c r="BJ63" s="908">
        <f t="shared" si="38"/>
        <v>6.7916078110684532</v>
      </c>
      <c r="BK63" s="908">
        <f t="shared" si="38"/>
        <v>7.0747518989566309</v>
      </c>
    </row>
    <row r="64" spans="1:63">
      <c r="A64" s="906">
        <v>63</v>
      </c>
      <c r="B64" s="906" t="s">
        <v>1822</v>
      </c>
      <c r="C64" s="906">
        <v>29188</v>
      </c>
      <c r="D64" s="906" t="s">
        <v>1256</v>
      </c>
      <c r="E64" s="906" t="s">
        <v>1259</v>
      </c>
      <c r="F64" s="1015"/>
      <c r="G64" s="1014"/>
      <c r="H64" s="1014"/>
      <c r="I64" s="1014"/>
      <c r="J64" s="1013"/>
      <c r="K64" s="1012"/>
      <c r="L64" s="1011"/>
      <c r="N64" s="1038" t="s">
        <v>1821</v>
      </c>
      <c r="O64" s="1037">
        <v>1.212241653418124E-2</v>
      </c>
      <c r="P64" s="1036">
        <v>68</v>
      </c>
      <c r="Q64" s="1014">
        <v>40</v>
      </c>
      <c r="R64" s="1014">
        <v>75</v>
      </c>
      <c r="S64" s="1013">
        <v>37</v>
      </c>
      <c r="T64" s="1012">
        <v>30.688489286098847</v>
      </c>
      <c r="U64" s="1035">
        <v>0.20056326694830015</v>
      </c>
      <c r="V64" s="906">
        <v>3.9740000000000002</v>
      </c>
      <c r="X64" s="906">
        <v>63</v>
      </c>
      <c r="AC64" s="906" t="s">
        <v>693</v>
      </c>
      <c r="AD64" s="906">
        <v>2030</v>
      </c>
      <c r="AE64" s="908">
        <f>AC40</f>
        <v>11.220841505845954</v>
      </c>
      <c r="AV64" s="907"/>
      <c r="AW64" s="906" t="s">
        <v>25</v>
      </c>
      <c r="AX64" s="906">
        <v>2020</v>
      </c>
      <c r="AY64" s="908">
        <f>AX45</f>
        <v>6.6445378076781401</v>
      </c>
      <c r="AZ64" s="908">
        <f t="shared" si="37"/>
        <v>6.6445378076781401</v>
      </c>
      <c r="BA64" s="908">
        <f t="shared" si="37"/>
        <v>6.6445378076781401</v>
      </c>
      <c r="BB64" s="908">
        <f t="shared" si="37"/>
        <v>6.6445378076781401</v>
      </c>
      <c r="BC64" s="908"/>
      <c r="BE64" s="907"/>
      <c r="BF64" s="906" t="s">
        <v>25</v>
      </c>
      <c r="BG64" s="906">
        <v>2020</v>
      </c>
      <c r="BH64" s="908">
        <f t="shared" si="38"/>
        <v>5.5039295721761912</v>
      </c>
      <c r="BI64" s="908">
        <f t="shared" si="38"/>
        <v>6.0589140367757546</v>
      </c>
      <c r="BJ64" s="908">
        <f t="shared" si="38"/>
        <v>6.6288488853705481</v>
      </c>
      <c r="BK64" s="908">
        <f t="shared" si="38"/>
        <v>7.0288615388879272</v>
      </c>
    </row>
    <row r="65" spans="1:63">
      <c r="A65" s="906">
        <v>64</v>
      </c>
      <c r="B65" s="906" t="s">
        <v>1820</v>
      </c>
      <c r="C65" s="906">
        <v>29189</v>
      </c>
      <c r="D65" s="906" t="s">
        <v>1256</v>
      </c>
      <c r="E65" s="906" t="s">
        <v>1258</v>
      </c>
      <c r="F65" s="1015">
        <f t="shared" ref="F65:L65" si="39">O38</f>
        <v>0</v>
      </c>
      <c r="G65" s="1014">
        <f t="shared" si="39"/>
        <v>78</v>
      </c>
      <c r="H65" s="1014">
        <f t="shared" si="39"/>
        <v>0</v>
      </c>
      <c r="I65" s="1014">
        <f t="shared" si="39"/>
        <v>83</v>
      </c>
      <c r="J65" s="1013">
        <f t="shared" si="39"/>
        <v>0</v>
      </c>
      <c r="K65" s="1012" t="str">
        <f t="shared" si="39"/>
        <v/>
      </c>
      <c r="L65" s="1011">
        <f t="shared" si="39"/>
        <v>0.41862845445240532</v>
      </c>
      <c r="N65" s="1032" t="s">
        <v>1819</v>
      </c>
      <c r="O65" s="1031"/>
      <c r="P65" s="1030">
        <v>75</v>
      </c>
      <c r="Q65" s="1029">
        <v>36</v>
      </c>
      <c r="R65" s="1029">
        <v>75</v>
      </c>
      <c r="S65" s="1028">
        <v>34</v>
      </c>
      <c r="T65" s="1027" t="s">
        <v>842</v>
      </c>
      <c r="U65" s="1026">
        <v>0.27605633802816903</v>
      </c>
      <c r="V65" s="1018">
        <v>18.247</v>
      </c>
      <c r="W65" s="1018"/>
      <c r="X65" s="1018">
        <v>64</v>
      </c>
      <c r="AC65" s="906" t="s">
        <v>25</v>
      </c>
      <c r="AD65" s="906">
        <v>2030</v>
      </c>
      <c r="AE65" s="908">
        <f>AD40</f>
        <v>9.7116249999999997</v>
      </c>
      <c r="AV65" s="907"/>
      <c r="AW65" s="906" t="s">
        <v>694</v>
      </c>
      <c r="AX65" s="906">
        <v>2030</v>
      </c>
      <c r="AY65" s="908">
        <f>AY45</f>
        <v>6.5989887992630001</v>
      </c>
      <c r="AZ65" s="908">
        <f t="shared" si="37"/>
        <v>6.5989887992630001</v>
      </c>
      <c r="BA65" s="908">
        <f t="shared" si="37"/>
        <v>6.5989887992630001</v>
      </c>
      <c r="BB65" s="908">
        <f t="shared" si="37"/>
        <v>6.5989887992630001</v>
      </c>
      <c r="BC65" s="908"/>
      <c r="BE65" s="907"/>
      <c r="BF65" s="906" t="s">
        <v>694</v>
      </c>
      <c r="BG65" s="906">
        <v>2030</v>
      </c>
      <c r="BH65" s="908">
        <f t="shared" ref="BH65:BK68" si="40">BH57/$CB$19*$CB$21</f>
        <v>5.7285579745553292</v>
      </c>
      <c r="BI65" s="908">
        <f t="shared" si="40"/>
        <v>6.4125474344775277</v>
      </c>
      <c r="BJ65" s="908">
        <f t="shared" si="40"/>
        <v>6.9954778048645707</v>
      </c>
      <c r="BK65" s="908">
        <f t="shared" si="40"/>
        <v>7.5442933283791742</v>
      </c>
    </row>
    <row r="66" spans="1:63">
      <c r="A66" s="906">
        <v>65</v>
      </c>
      <c r="B66" s="906" t="s">
        <v>1817</v>
      </c>
      <c r="C66" s="906">
        <v>29189</v>
      </c>
      <c r="D66" s="906" t="s">
        <v>1257</v>
      </c>
      <c r="E66" s="906" t="s">
        <v>1258</v>
      </c>
      <c r="F66" s="1015"/>
      <c r="G66" s="1014"/>
      <c r="H66" s="1014"/>
      <c r="I66" s="1014"/>
      <c r="J66" s="1013"/>
      <c r="K66" s="1012"/>
      <c r="L66" s="1011"/>
      <c r="N66" s="1032" t="s">
        <v>1818</v>
      </c>
      <c r="O66" s="1031"/>
      <c r="P66" s="1030">
        <v>68</v>
      </c>
      <c r="Q66" s="1029">
        <v>41</v>
      </c>
      <c r="R66" s="1029">
        <v>70</v>
      </c>
      <c r="S66" s="1028">
        <v>36</v>
      </c>
      <c r="T66" s="1027">
        <v>30.64825300254796</v>
      </c>
      <c r="U66" s="1026">
        <v>0.19962812148031642</v>
      </c>
      <c r="V66" s="1018">
        <v>120.095</v>
      </c>
      <c r="W66" s="1018"/>
      <c r="X66" s="1018">
        <v>65</v>
      </c>
      <c r="AC66" s="906" t="s">
        <v>694</v>
      </c>
      <c r="AD66" s="906">
        <v>2050</v>
      </c>
      <c r="AE66" s="908">
        <f>AE41</f>
        <v>15.550545929578862</v>
      </c>
      <c r="AV66" s="907"/>
      <c r="AW66" s="906" t="s">
        <v>691</v>
      </c>
      <c r="AX66" s="906">
        <v>2030</v>
      </c>
      <c r="AY66" s="908">
        <f>AV45</f>
        <v>6.6445378076781401</v>
      </c>
      <c r="AZ66" s="908">
        <f t="shared" si="37"/>
        <v>6.6445378076781401</v>
      </c>
      <c r="BA66" s="908">
        <f t="shared" si="37"/>
        <v>6.6445378076781401</v>
      </c>
      <c r="BB66" s="908">
        <f t="shared" si="37"/>
        <v>6.6445378076781401</v>
      </c>
      <c r="BC66" s="908"/>
      <c r="BE66" s="907"/>
      <c r="BF66" s="906" t="s">
        <v>691</v>
      </c>
      <c r="BG66" s="906">
        <v>2030</v>
      </c>
      <c r="BH66" s="908">
        <f t="shared" si="40"/>
        <v>5.9448329888911866</v>
      </c>
      <c r="BI66" s="908">
        <f t="shared" si="40"/>
        <v>6.5442756071529411</v>
      </c>
      <c r="BJ66" s="908">
        <f t="shared" si="40"/>
        <v>7.159866240175047</v>
      </c>
      <c r="BK66" s="908">
        <f t="shared" si="40"/>
        <v>7.5919227168104806</v>
      </c>
    </row>
    <row r="67" spans="1:63">
      <c r="A67" s="906">
        <v>66</v>
      </c>
      <c r="B67" s="906" t="s">
        <v>1817</v>
      </c>
      <c r="C67" s="906">
        <v>29189</v>
      </c>
      <c r="D67" s="906" t="s">
        <v>1256</v>
      </c>
      <c r="E67" s="906" t="s">
        <v>1258</v>
      </c>
      <c r="F67" s="1015"/>
      <c r="G67" s="1014"/>
      <c r="H67" s="1014"/>
      <c r="I67" s="1014"/>
      <c r="J67" s="1013"/>
      <c r="K67" s="1012"/>
      <c r="L67" s="1011"/>
      <c r="N67" s="1032" t="s">
        <v>1816</v>
      </c>
      <c r="O67" s="1031"/>
      <c r="P67" s="1030">
        <v>80.5</v>
      </c>
      <c r="Q67" s="1029">
        <v>52.2</v>
      </c>
      <c r="R67" s="1029">
        <v>85</v>
      </c>
      <c r="S67" s="1028">
        <v>51.2</v>
      </c>
      <c r="T67" s="1027" t="s">
        <v>842</v>
      </c>
      <c r="U67" s="1026">
        <v>9.8541692509985887E-2</v>
      </c>
      <c r="V67" s="1018">
        <v>90.837699999999998</v>
      </c>
      <c r="W67" s="1018"/>
      <c r="X67" s="1018">
        <v>66</v>
      </c>
      <c r="AC67" s="906" t="s">
        <v>691</v>
      </c>
      <c r="AD67" s="906">
        <v>2050</v>
      </c>
      <c r="AE67" s="908">
        <f>AB41</f>
        <v>18.873249999999999</v>
      </c>
      <c r="AV67" s="907"/>
      <c r="AW67" s="906" t="s">
        <v>693</v>
      </c>
      <c r="AX67" s="906">
        <v>2030</v>
      </c>
      <c r="AY67" s="908">
        <f>AW45</f>
        <v>6.6908556685573926</v>
      </c>
      <c r="AZ67" s="908">
        <f t="shared" si="37"/>
        <v>6.6908556685573926</v>
      </c>
      <c r="BA67" s="908">
        <f t="shared" si="37"/>
        <v>6.6908556685573926</v>
      </c>
      <c r="BB67" s="908">
        <f t="shared" si="37"/>
        <v>6.6908556685573926</v>
      </c>
      <c r="BC67" s="908"/>
      <c r="BE67" s="907"/>
      <c r="BF67" s="906" t="s">
        <v>693</v>
      </c>
      <c r="BG67" s="906">
        <v>2030</v>
      </c>
      <c r="BH67" s="908">
        <f t="shared" si="40"/>
        <v>6.1818155399802768</v>
      </c>
      <c r="BI67" s="908">
        <f t="shared" si="40"/>
        <v>6.6844533487266764</v>
      </c>
      <c r="BJ67" s="908">
        <f t="shared" si="40"/>
        <v>7.3356632989922135</v>
      </c>
      <c r="BK67" s="908">
        <f t="shared" si="40"/>
        <v>7.64148921704109</v>
      </c>
    </row>
    <row r="68" spans="1:63">
      <c r="A68" s="906">
        <v>67</v>
      </c>
      <c r="B68" s="906" t="s">
        <v>1814</v>
      </c>
      <c r="C68" s="906">
        <v>29189</v>
      </c>
      <c r="D68" s="906" t="s">
        <v>1257</v>
      </c>
      <c r="E68" s="906" t="s">
        <v>1258</v>
      </c>
      <c r="F68" s="1015">
        <f t="shared" ref="F68:L68" si="41">O41</f>
        <v>0</v>
      </c>
      <c r="G68" s="1014">
        <f t="shared" si="41"/>
        <v>75</v>
      </c>
      <c r="H68" s="1014">
        <f t="shared" si="41"/>
        <v>40</v>
      </c>
      <c r="I68" s="1014">
        <f t="shared" si="41"/>
        <v>85</v>
      </c>
      <c r="J68" s="1013">
        <f t="shared" si="41"/>
        <v>38</v>
      </c>
      <c r="K68" s="1012" t="str">
        <f t="shared" si="41"/>
        <v/>
      </c>
      <c r="L68" s="1011">
        <f t="shared" si="41"/>
        <v>0.10113396244729383</v>
      </c>
      <c r="N68" s="1032" t="s">
        <v>1815</v>
      </c>
      <c r="O68" s="1031"/>
      <c r="P68" s="1030">
        <v>77</v>
      </c>
      <c r="Q68" s="1029">
        <v>42</v>
      </c>
      <c r="R68" s="1029">
        <v>77</v>
      </c>
      <c r="S68" s="1028">
        <v>38</v>
      </c>
      <c r="T68" s="1027">
        <v>36.021988361628907</v>
      </c>
      <c r="U68" s="1026">
        <v>0.33411008062636904</v>
      </c>
      <c r="V68" s="1018">
        <v>14.288</v>
      </c>
      <c r="W68" s="1018"/>
      <c r="X68" s="1018">
        <v>67</v>
      </c>
      <c r="AC68" s="906" t="s">
        <v>693</v>
      </c>
      <c r="AD68" s="906">
        <v>2050</v>
      </c>
      <c r="AE68" s="908">
        <f>AC41</f>
        <v>24.086776445436499</v>
      </c>
      <c r="AV68" s="907"/>
      <c r="AW68" s="906" t="s">
        <v>25</v>
      </c>
      <c r="AX68" s="906">
        <v>2030</v>
      </c>
      <c r="AY68" s="908">
        <f>AX45</f>
        <v>6.6445378076781401</v>
      </c>
      <c r="AZ68" s="908">
        <f t="shared" si="37"/>
        <v>6.6445378076781401</v>
      </c>
      <c r="BA68" s="908">
        <f t="shared" si="37"/>
        <v>6.6445378076781401</v>
      </c>
      <c r="BB68" s="908">
        <f t="shared" si="37"/>
        <v>6.6445378076781401</v>
      </c>
      <c r="BC68" s="908"/>
      <c r="BE68" s="907"/>
      <c r="BF68" s="906" t="s">
        <v>25</v>
      </c>
      <c r="BG68" s="906">
        <v>2030</v>
      </c>
      <c r="BH68" s="908">
        <f t="shared" si="40"/>
        <v>5.9448329888911866</v>
      </c>
      <c r="BI68" s="908">
        <f t="shared" si="40"/>
        <v>6.5442756071529411</v>
      </c>
      <c r="BJ68" s="908">
        <f t="shared" si="40"/>
        <v>7.159866240175047</v>
      </c>
      <c r="BK68" s="908">
        <f t="shared" si="40"/>
        <v>7.5919227168104806</v>
      </c>
    </row>
    <row r="69" spans="1:63">
      <c r="A69" s="906">
        <v>68</v>
      </c>
      <c r="B69" s="906" t="s">
        <v>1814</v>
      </c>
      <c r="C69" s="906">
        <v>29189</v>
      </c>
      <c r="D69" s="906" t="s">
        <v>1256</v>
      </c>
      <c r="E69" s="906" t="s">
        <v>1258</v>
      </c>
      <c r="F69" s="1015">
        <f t="shared" ref="F69:L69" si="42">F68</f>
        <v>0</v>
      </c>
      <c r="G69" s="1014">
        <f t="shared" si="42"/>
        <v>75</v>
      </c>
      <c r="H69" s="1014">
        <f t="shared" si="42"/>
        <v>40</v>
      </c>
      <c r="I69" s="1014">
        <f t="shared" si="42"/>
        <v>85</v>
      </c>
      <c r="J69" s="1013">
        <f t="shared" si="42"/>
        <v>38</v>
      </c>
      <c r="K69" s="1012" t="str">
        <f t="shared" si="42"/>
        <v/>
      </c>
      <c r="L69" s="1011">
        <f t="shared" si="42"/>
        <v>0.10113396244729383</v>
      </c>
      <c r="N69" s="1032" t="s">
        <v>1813</v>
      </c>
      <c r="O69" s="1031"/>
      <c r="P69" s="1030">
        <v>75</v>
      </c>
      <c r="Q69" s="1029">
        <v>40</v>
      </c>
      <c r="R69" s="1029">
        <v>75</v>
      </c>
      <c r="S69" s="1028">
        <v>38</v>
      </c>
      <c r="T69" s="1027" t="s">
        <v>842</v>
      </c>
      <c r="U69" s="1026">
        <v>0.27943296492071118</v>
      </c>
      <c r="V69" s="1018">
        <v>23.992000000000001</v>
      </c>
      <c r="W69" s="1018"/>
      <c r="X69" s="1018">
        <v>68</v>
      </c>
      <c r="AC69" s="906" t="s">
        <v>25</v>
      </c>
      <c r="AD69" s="906">
        <v>2050</v>
      </c>
      <c r="AE69" s="908">
        <f>AD41</f>
        <v>18.873249999999999</v>
      </c>
      <c r="AV69" s="907"/>
      <c r="AW69" s="906" t="s">
        <v>694</v>
      </c>
      <c r="AX69" s="906">
        <v>2050</v>
      </c>
      <c r="AY69" s="908">
        <f>AY47</f>
        <v>10.442517635565746</v>
      </c>
      <c r="AZ69" s="908">
        <f t="shared" si="37"/>
        <v>10.442517635565746</v>
      </c>
      <c r="BA69" s="908">
        <f t="shared" si="37"/>
        <v>10.442517635565746</v>
      </c>
      <c r="BB69" s="908">
        <f t="shared" si="37"/>
        <v>10.442517635565746</v>
      </c>
      <c r="BC69" s="908"/>
      <c r="BE69" s="907"/>
      <c r="BF69" s="906" t="s">
        <v>694</v>
      </c>
      <c r="BG69" s="906">
        <v>2050</v>
      </c>
      <c r="BH69" s="908">
        <f t="shared" ref="BH69:BK72" si="43">BH57/$CB$19*$CB$22</f>
        <v>5.4884263419233319</v>
      </c>
      <c r="BI69" s="908">
        <f t="shared" si="43"/>
        <v>6.1437441000937572</v>
      </c>
      <c r="BJ69" s="908">
        <f t="shared" si="43"/>
        <v>6.7022389978586201</v>
      </c>
      <c r="BK69" s="908">
        <f t="shared" si="43"/>
        <v>7.2280490864521294</v>
      </c>
    </row>
    <row r="70" spans="1:63">
      <c r="A70" s="906">
        <v>69</v>
      </c>
      <c r="B70" s="906" t="s">
        <v>1812</v>
      </c>
      <c r="C70" s="906">
        <v>29189</v>
      </c>
      <c r="D70" s="906" t="s">
        <v>1256</v>
      </c>
      <c r="E70" s="906" t="s">
        <v>1258</v>
      </c>
      <c r="F70" s="1015">
        <f t="shared" ref="F70:L70" si="44">O42</f>
        <v>0</v>
      </c>
      <c r="G70" s="1014">
        <f t="shared" si="44"/>
        <v>72</v>
      </c>
      <c r="H70" s="1014">
        <f t="shared" si="44"/>
        <v>40</v>
      </c>
      <c r="I70" s="1014">
        <f t="shared" si="44"/>
        <v>78</v>
      </c>
      <c r="J70" s="1013">
        <f t="shared" si="44"/>
        <v>35</v>
      </c>
      <c r="K70" s="1012">
        <f t="shared" si="44"/>
        <v>54.930040106085251</v>
      </c>
      <c r="L70" s="1011">
        <f t="shared" si="44"/>
        <v>0.28083553337884187</v>
      </c>
      <c r="N70" s="1032" t="s">
        <v>1811</v>
      </c>
      <c r="O70" s="1031"/>
      <c r="P70" s="1030">
        <v>78</v>
      </c>
      <c r="Q70" s="1029">
        <v>45</v>
      </c>
      <c r="R70" s="1029">
        <v>84</v>
      </c>
      <c r="S70" s="1028">
        <v>40</v>
      </c>
      <c r="T70" s="1027">
        <v>38.648805715167462</v>
      </c>
      <c r="U70" s="1026">
        <v>0.2534529513430398</v>
      </c>
      <c r="V70" s="1018">
        <v>164.40700000000001</v>
      </c>
      <c r="W70" s="1018"/>
      <c r="X70" s="1018">
        <v>69</v>
      </c>
      <c r="AV70" s="907"/>
      <c r="AW70" s="906" t="s">
        <v>691</v>
      </c>
      <c r="AX70" s="906">
        <v>2050</v>
      </c>
      <c r="AY70" s="908">
        <f>AV47</f>
        <v>10.514574982307002</v>
      </c>
      <c r="AZ70" s="908">
        <f t="shared" si="37"/>
        <v>10.514574982307002</v>
      </c>
      <c r="BA70" s="908">
        <f t="shared" si="37"/>
        <v>10.514574982307002</v>
      </c>
      <c r="BB70" s="908">
        <f t="shared" si="37"/>
        <v>10.514574982307002</v>
      </c>
      <c r="BC70" s="908"/>
      <c r="BE70" s="907"/>
      <c r="BF70" s="906" t="s">
        <v>691</v>
      </c>
      <c r="BG70" s="906">
        <v>2050</v>
      </c>
      <c r="BH70" s="908">
        <f t="shared" si="43"/>
        <v>5.6956354669864169</v>
      </c>
      <c r="BI70" s="908">
        <f t="shared" si="43"/>
        <v>6.2699504466292098</v>
      </c>
      <c r="BJ70" s="908">
        <f t="shared" si="43"/>
        <v>6.8597365430825761</v>
      </c>
      <c r="BK70" s="908">
        <f t="shared" si="43"/>
        <v>7.2736819300538169</v>
      </c>
    </row>
    <row r="71" spans="1:63">
      <c r="A71" s="906">
        <v>70</v>
      </c>
      <c r="B71" s="906" t="s">
        <v>1810</v>
      </c>
      <c r="C71" s="906">
        <v>29188</v>
      </c>
      <c r="D71" s="906" t="s">
        <v>1256</v>
      </c>
      <c r="E71" s="906" t="s">
        <v>1259</v>
      </c>
      <c r="F71" s="1015"/>
      <c r="G71" s="1014"/>
      <c r="H71" s="1014"/>
      <c r="I71" s="1014"/>
      <c r="J71" s="1013"/>
      <c r="K71" s="1012"/>
      <c r="L71" s="1011"/>
      <c r="N71" s="1032" t="s">
        <v>1809</v>
      </c>
      <c r="O71" s="1031">
        <v>2.9754204398447608E-2</v>
      </c>
      <c r="P71" s="1030">
        <v>65</v>
      </c>
      <c r="Q71" s="1029">
        <v>40</v>
      </c>
      <c r="R71" s="1029">
        <v>75</v>
      </c>
      <c r="S71" s="1028">
        <v>39</v>
      </c>
      <c r="T71" s="1027"/>
      <c r="U71" s="1026">
        <v>0.39011764705882351</v>
      </c>
      <c r="V71" s="1018">
        <v>7.7759999999999998</v>
      </c>
      <c r="W71" s="1018"/>
      <c r="X71" s="1018">
        <v>70</v>
      </c>
      <c r="AV71" s="907"/>
      <c r="AW71" s="906" t="s">
        <v>693</v>
      </c>
      <c r="AX71" s="906">
        <v>2050</v>
      </c>
      <c r="AY71" s="908">
        <f>AW47</f>
        <v>10.5877985827362</v>
      </c>
      <c r="AZ71" s="908">
        <f t="shared" si="37"/>
        <v>10.5877985827362</v>
      </c>
      <c r="BA71" s="908">
        <f t="shared" si="37"/>
        <v>10.5877985827362</v>
      </c>
      <c r="BB71" s="908">
        <f t="shared" si="37"/>
        <v>10.5877985827362</v>
      </c>
      <c r="BC71" s="908"/>
      <c r="BE71" s="907"/>
      <c r="BF71" s="906" t="s">
        <v>693</v>
      </c>
      <c r="BG71" s="906">
        <v>2050</v>
      </c>
      <c r="BH71" s="908">
        <f t="shared" si="43"/>
        <v>5.9226841032663904</v>
      </c>
      <c r="BI71" s="908">
        <f t="shared" si="43"/>
        <v>6.404252170173228</v>
      </c>
      <c r="BJ71" s="908">
        <f t="shared" si="43"/>
        <v>7.0281644812705757</v>
      </c>
      <c r="BK71" s="908">
        <f t="shared" si="43"/>
        <v>7.3211706849465772</v>
      </c>
    </row>
    <row r="72" spans="1:63" ht="16">
      <c r="A72" s="906">
        <v>71</v>
      </c>
      <c r="B72" s="906" t="s">
        <v>1808</v>
      </c>
      <c r="C72" s="906">
        <v>29188</v>
      </c>
      <c r="D72" s="906" t="s">
        <v>1256</v>
      </c>
      <c r="E72" s="906" t="s">
        <v>1259</v>
      </c>
      <c r="F72" s="1015">
        <f t="shared" ref="F72:K72" si="45">O43</f>
        <v>0</v>
      </c>
      <c r="G72" s="1014">
        <f t="shared" si="45"/>
        <v>72</v>
      </c>
      <c r="H72" s="1014">
        <f t="shared" si="45"/>
        <v>0</v>
      </c>
      <c r="I72" s="1014">
        <f t="shared" si="45"/>
        <v>80</v>
      </c>
      <c r="J72" s="1013">
        <f t="shared" si="45"/>
        <v>0</v>
      </c>
      <c r="K72" s="1012" t="str">
        <f t="shared" si="45"/>
        <v/>
      </c>
      <c r="L72" s="1016">
        <v>0.22800028617798151</v>
      </c>
      <c r="N72" s="1038" t="s">
        <v>1807</v>
      </c>
      <c r="O72" s="1037"/>
      <c r="P72" s="1036">
        <v>75</v>
      </c>
      <c r="Q72" s="1014">
        <v>35</v>
      </c>
      <c r="R72" s="1014">
        <v>80</v>
      </c>
      <c r="S72" s="1013">
        <v>35</v>
      </c>
      <c r="T72" s="1012">
        <v>36.925362639902907</v>
      </c>
      <c r="U72" s="1035">
        <v>0.24807918793113118</v>
      </c>
      <c r="V72" s="906">
        <v>13.407500000000001</v>
      </c>
      <c r="X72" s="906">
        <v>71</v>
      </c>
      <c r="AV72" s="907"/>
      <c r="AW72" s="906" t="s">
        <v>25</v>
      </c>
      <c r="AX72" s="906">
        <v>2050</v>
      </c>
      <c r="AY72" s="908">
        <f>AX47</f>
        <v>10.514574982307002</v>
      </c>
      <c r="AZ72" s="908">
        <f t="shared" si="37"/>
        <v>10.514574982307002</v>
      </c>
      <c r="BA72" s="908">
        <f t="shared" si="37"/>
        <v>10.514574982307002</v>
      </c>
      <c r="BB72" s="908">
        <f t="shared" si="37"/>
        <v>10.514574982307002</v>
      </c>
      <c r="BC72" s="908"/>
      <c r="BE72" s="907"/>
      <c r="BF72" s="906" t="s">
        <v>25</v>
      </c>
      <c r="BG72" s="906">
        <v>2050</v>
      </c>
      <c r="BH72" s="908">
        <f t="shared" si="43"/>
        <v>5.6956354669864169</v>
      </c>
      <c r="BI72" s="908">
        <f t="shared" si="43"/>
        <v>6.2699504466292098</v>
      </c>
      <c r="BJ72" s="908">
        <f t="shared" si="43"/>
        <v>6.8597365430825761</v>
      </c>
      <c r="BK72" s="908">
        <f t="shared" si="43"/>
        <v>7.2736819300538169</v>
      </c>
    </row>
    <row r="73" spans="1:63" ht="16">
      <c r="A73" s="906">
        <v>72</v>
      </c>
      <c r="B73" s="906" t="s">
        <v>1806</v>
      </c>
      <c r="C73" s="906">
        <v>29189</v>
      </c>
      <c r="D73" s="906" t="s">
        <v>1256</v>
      </c>
      <c r="E73" s="906" t="s">
        <v>1258</v>
      </c>
      <c r="F73" s="1015"/>
      <c r="G73" s="1014"/>
      <c r="H73" s="1014"/>
      <c r="I73" s="1014"/>
      <c r="J73" s="1013"/>
      <c r="K73" s="1012"/>
      <c r="L73" s="1011"/>
      <c r="N73" s="1032" t="s">
        <v>1805</v>
      </c>
      <c r="O73" s="1031"/>
      <c r="P73" s="1030">
        <v>75</v>
      </c>
      <c r="Q73" s="1029">
        <v>42</v>
      </c>
      <c r="R73" s="1029">
        <v>82</v>
      </c>
      <c r="S73" s="1028">
        <v>40</v>
      </c>
      <c r="T73" s="1027" t="s">
        <v>842</v>
      </c>
      <c r="U73" s="1026">
        <v>0.15905077413790744</v>
      </c>
      <c r="V73" s="1018">
        <v>122.861</v>
      </c>
      <c r="W73" s="1018"/>
      <c r="X73" s="1018">
        <v>72</v>
      </c>
      <c r="BC73" s="908"/>
      <c r="BH73" s="910" t="s">
        <v>1259</v>
      </c>
      <c r="BI73" s="910" t="s">
        <v>1259</v>
      </c>
      <c r="BJ73" s="909" t="s">
        <v>1258</v>
      </c>
      <c r="BK73" s="909" t="s">
        <v>1258</v>
      </c>
    </row>
    <row r="74" spans="1:63">
      <c r="A74" s="906">
        <v>73</v>
      </c>
      <c r="B74" s="906" t="s">
        <v>1804</v>
      </c>
      <c r="C74" s="906">
        <v>29189</v>
      </c>
      <c r="D74" s="906" t="s">
        <v>1256</v>
      </c>
      <c r="E74" s="906" t="s">
        <v>1259</v>
      </c>
      <c r="F74" s="1015">
        <f t="shared" ref="F74:L74" si="46">O44</f>
        <v>4.4507744347516464E-3</v>
      </c>
      <c r="G74" s="1014">
        <f t="shared" si="46"/>
        <v>72</v>
      </c>
      <c r="H74" s="1014">
        <f t="shared" si="46"/>
        <v>42</v>
      </c>
      <c r="I74" s="1014">
        <f t="shared" si="46"/>
        <v>75</v>
      </c>
      <c r="J74" s="1013">
        <f t="shared" si="46"/>
        <v>39</v>
      </c>
      <c r="K74" s="1012" t="str">
        <f t="shared" si="46"/>
        <v/>
      </c>
      <c r="L74" s="1011">
        <f t="shared" si="46"/>
        <v>0.28107117310443491</v>
      </c>
      <c r="N74" s="1032" t="s">
        <v>1803</v>
      </c>
      <c r="O74" s="1031">
        <v>1.7511330861145447E-3</v>
      </c>
      <c r="P74" s="1030">
        <v>64</v>
      </c>
      <c r="Q74" s="1029">
        <v>45</v>
      </c>
      <c r="R74" s="1029">
        <v>78</v>
      </c>
      <c r="S74" s="1028">
        <v>39</v>
      </c>
      <c r="T74" s="1027">
        <v>41.341454254271277</v>
      </c>
      <c r="U74" s="1026">
        <v>0.23941212022937336</v>
      </c>
      <c r="V74" s="1018">
        <v>51.595999999999997</v>
      </c>
      <c r="W74" s="1018"/>
      <c r="X74" s="1018">
        <v>73</v>
      </c>
      <c r="BC74" s="908"/>
      <c r="BE74" s="1361">
        <f>BD62</f>
        <v>0</v>
      </c>
      <c r="BF74" s="1361"/>
      <c r="BG74" s="1361"/>
      <c r="BH74" s="909" t="s">
        <v>1257</v>
      </c>
      <c r="BI74" s="909" t="s">
        <v>1256</v>
      </c>
      <c r="BJ74" s="909" t="s">
        <v>1257</v>
      </c>
      <c r="BK74" s="909" t="s">
        <v>1256</v>
      </c>
    </row>
    <row r="75" spans="1:63">
      <c r="A75" s="906">
        <v>74</v>
      </c>
      <c r="B75" s="906" t="s">
        <v>1802</v>
      </c>
      <c r="C75" s="906">
        <v>29188</v>
      </c>
      <c r="D75" s="906" t="s">
        <v>1256</v>
      </c>
      <c r="E75" s="906" t="s">
        <v>1258</v>
      </c>
      <c r="F75" s="1015"/>
      <c r="G75" s="1014"/>
      <c r="H75" s="1014"/>
      <c r="I75" s="1014"/>
      <c r="J75" s="1013"/>
      <c r="K75" s="1012"/>
      <c r="L75" s="1011"/>
      <c r="N75" s="1032" t="s">
        <v>1801</v>
      </c>
      <c r="O75" s="1031"/>
      <c r="P75" s="1030">
        <v>68.400000000000006</v>
      </c>
      <c r="Q75" s="1029">
        <v>38.1</v>
      </c>
      <c r="R75" s="1029">
        <v>73.3</v>
      </c>
      <c r="S75" s="1028">
        <v>33.1</v>
      </c>
      <c r="T75" s="1027">
        <v>45.625742555994066</v>
      </c>
      <c r="U75" s="1026">
        <v>0.23402607664954564</v>
      </c>
      <c r="V75" s="1018">
        <v>48.466999999999999</v>
      </c>
      <c r="W75" s="1018"/>
      <c r="X75" s="1018">
        <v>74</v>
      </c>
      <c r="BD75" s="907"/>
      <c r="BE75" s="907"/>
      <c r="BG75" s="906">
        <v>2015</v>
      </c>
      <c r="BH75" s="908">
        <f>AVERAGE(BH57:BH60)</f>
        <v>4.6674138507559979</v>
      </c>
      <c r="BI75" s="908">
        <f>AVERAGE(BI57:BI60)</f>
        <v>5.1352355159880698</v>
      </c>
      <c r="BJ75" s="908">
        <f>AVERAGE(BJ57:BJ60)</f>
        <v>5.6187085003093955</v>
      </c>
      <c r="BK75" s="908">
        <f>AVERAGE(BK57:BK60)</f>
        <v>5.9557725657319303</v>
      </c>
    </row>
    <row r="76" spans="1:63">
      <c r="A76" s="906">
        <v>75</v>
      </c>
      <c r="B76" s="906" t="s">
        <v>1800</v>
      </c>
      <c r="C76" s="906">
        <v>29188</v>
      </c>
      <c r="D76" s="906" t="s">
        <v>1256</v>
      </c>
      <c r="E76" s="906" t="s">
        <v>1258</v>
      </c>
      <c r="F76" s="1015"/>
      <c r="G76" s="1014"/>
      <c r="H76" s="1014"/>
      <c r="I76" s="1014"/>
      <c r="J76" s="1013"/>
      <c r="K76" s="1012"/>
      <c r="L76" s="1011"/>
      <c r="N76" s="1032" t="s">
        <v>1799</v>
      </c>
      <c r="O76" s="1031"/>
      <c r="P76" s="1030">
        <v>70</v>
      </c>
      <c r="Q76" s="1029">
        <v>38</v>
      </c>
      <c r="R76" s="1029">
        <v>71</v>
      </c>
      <c r="S76" s="1028">
        <v>34</v>
      </c>
      <c r="T76" s="1027">
        <v>39.165090999099291</v>
      </c>
      <c r="U76" s="1026">
        <v>0.24730127576054955</v>
      </c>
      <c r="V76" s="1018">
        <v>19.942</v>
      </c>
      <c r="W76" s="1018"/>
      <c r="X76" s="1018">
        <v>75</v>
      </c>
      <c r="BD76" s="907"/>
      <c r="BE76" s="907"/>
      <c r="BG76" s="906">
        <v>2020</v>
      </c>
      <c r="BH76" s="908">
        <f>AVERAGE(BH61:BH64)</f>
        <v>5.5087225085007274</v>
      </c>
      <c r="BI76" s="908">
        <f>AVERAGE(BI61:BI64)</f>
        <v>6.0608697616976537</v>
      </c>
      <c r="BJ76" s="908">
        <f>AVERAGE(BJ61:BJ64)</f>
        <v>6.6314895087662613</v>
      </c>
      <c r="BK76" s="908">
        <f>AVERAGE(BK61:BK64)</f>
        <v>7.0293098999662247</v>
      </c>
    </row>
    <row r="77" spans="1:63" ht="16">
      <c r="A77" s="906">
        <v>76</v>
      </c>
      <c r="B77" s="906" t="s">
        <v>1798</v>
      </c>
      <c r="C77" s="906">
        <v>29189</v>
      </c>
      <c r="D77" s="906" t="s">
        <v>1256</v>
      </c>
      <c r="E77" s="906" t="s">
        <v>1258</v>
      </c>
      <c r="F77" s="1015">
        <f t="shared" ref="F77:K77" si="47">O45</f>
        <v>0.26081833761782347</v>
      </c>
      <c r="G77" s="1014">
        <f t="shared" si="47"/>
        <v>75</v>
      </c>
      <c r="H77" s="1014">
        <f t="shared" si="47"/>
        <v>42</v>
      </c>
      <c r="I77" s="1014">
        <f t="shared" si="47"/>
        <v>85</v>
      </c>
      <c r="J77" s="1013">
        <f t="shared" si="47"/>
        <v>42</v>
      </c>
      <c r="K77" s="1012" t="str">
        <f t="shared" si="47"/>
        <v/>
      </c>
      <c r="L77" s="1016">
        <v>0.22800028617798151</v>
      </c>
      <c r="N77" s="1032" t="s">
        <v>1797</v>
      </c>
      <c r="O77" s="1031"/>
      <c r="P77" s="1030">
        <v>75</v>
      </c>
      <c r="Q77" s="1029">
        <v>40</v>
      </c>
      <c r="R77" s="1029">
        <v>80</v>
      </c>
      <c r="S77" s="1028">
        <v>37</v>
      </c>
      <c r="T77" s="1027" t="s">
        <v>842</v>
      </c>
      <c r="U77" s="1026"/>
      <c r="V77" s="1018" t="s">
        <v>842</v>
      </c>
      <c r="W77" s="1018"/>
      <c r="X77" s="1018">
        <v>76</v>
      </c>
      <c r="BD77" s="907"/>
      <c r="BE77" s="907"/>
      <c r="BG77" s="906">
        <v>2030</v>
      </c>
      <c r="BH77" s="908">
        <f>AVERAGE(BH65:BH68)</f>
        <v>5.9500098730794946</v>
      </c>
      <c r="BI77" s="908">
        <f>AVERAGE(BI65:BI68)</f>
        <v>6.5463879993775214</v>
      </c>
      <c r="BJ77" s="908">
        <f>AVERAGE(BJ65:BJ68)</f>
        <v>7.1627183960517193</v>
      </c>
      <c r="BK77" s="908">
        <f>AVERAGE(BK65:BK68)</f>
        <v>7.5924069947603066</v>
      </c>
    </row>
    <row r="78" spans="1:63">
      <c r="A78" s="906">
        <v>77</v>
      </c>
      <c r="B78" s="906" t="s">
        <v>1796</v>
      </c>
      <c r="C78" s="906">
        <v>29189</v>
      </c>
      <c r="D78" s="906" t="s">
        <v>1256</v>
      </c>
      <c r="E78" s="906" t="s">
        <v>1258</v>
      </c>
      <c r="F78" s="1015"/>
      <c r="G78" s="1014"/>
      <c r="H78" s="1014"/>
      <c r="I78" s="1014"/>
      <c r="J78" s="1013"/>
      <c r="K78" s="1012"/>
      <c r="L78" s="1011"/>
      <c r="N78" s="1032" t="s">
        <v>1795</v>
      </c>
      <c r="O78" s="1031"/>
      <c r="P78" s="1034">
        <v>71</v>
      </c>
      <c r="Q78" s="1018">
        <v>42</v>
      </c>
      <c r="R78" s="1018">
        <v>77</v>
      </c>
      <c r="S78" s="1033">
        <v>40</v>
      </c>
      <c r="T78" s="1027" t="s">
        <v>842</v>
      </c>
      <c r="U78" s="1026">
        <v>0.22894129556392462</v>
      </c>
      <c r="V78" s="1018">
        <v>89.88</v>
      </c>
      <c r="W78" s="1018"/>
      <c r="X78" s="1018">
        <v>77</v>
      </c>
      <c r="BC78" s="908"/>
      <c r="BD78" s="907"/>
      <c r="BE78" s="907"/>
      <c r="BG78" s="906">
        <v>2050</v>
      </c>
      <c r="BH78" s="908">
        <f>AVERAGE(BH69:BH72)</f>
        <v>5.7005953447906395</v>
      </c>
      <c r="BI78" s="908">
        <f>AVERAGE(BI69:BI72)</f>
        <v>6.2719742908813512</v>
      </c>
      <c r="BJ78" s="908">
        <f>AVERAGE(BJ69:BJ72)</f>
        <v>6.8624691413235865</v>
      </c>
      <c r="BK78" s="908">
        <f>AVERAGE(BK69:BK72)</f>
        <v>7.2741459078765853</v>
      </c>
    </row>
    <row r="79" spans="1:63">
      <c r="A79" s="906">
        <v>78</v>
      </c>
      <c r="B79" s="906" t="s">
        <v>1793</v>
      </c>
      <c r="C79" s="906">
        <v>29188</v>
      </c>
      <c r="D79" s="906" t="s">
        <v>1257</v>
      </c>
      <c r="E79" s="906" t="s">
        <v>1258</v>
      </c>
      <c r="F79" s="1015">
        <f t="shared" ref="F79:L79" si="48">O46</f>
        <v>0</v>
      </c>
      <c r="G79" s="1014">
        <f t="shared" si="48"/>
        <v>75</v>
      </c>
      <c r="H79" s="1014">
        <f t="shared" si="48"/>
        <v>42</v>
      </c>
      <c r="I79" s="1014">
        <f t="shared" si="48"/>
        <v>85</v>
      </c>
      <c r="J79" s="1013">
        <f t="shared" si="48"/>
        <v>36</v>
      </c>
      <c r="K79" s="1012">
        <f t="shared" si="48"/>
        <v>34.802769684210524</v>
      </c>
      <c r="L79" s="1011">
        <f t="shared" si="48"/>
        <v>0.17170737620018459</v>
      </c>
      <c r="N79" s="1032" t="s">
        <v>1685</v>
      </c>
      <c r="O79" s="1031"/>
      <c r="P79" s="1030">
        <v>73</v>
      </c>
      <c r="Q79" s="1029">
        <v>42</v>
      </c>
      <c r="R79" s="1029">
        <v>73</v>
      </c>
      <c r="S79" s="1028">
        <v>38</v>
      </c>
      <c r="T79" s="1027">
        <v>29.801433962264152</v>
      </c>
      <c r="U79" s="1026">
        <v>0.26657954916693893</v>
      </c>
      <c r="V79" s="1018">
        <v>6.7350000000000003</v>
      </c>
      <c r="W79" s="1018"/>
      <c r="X79" s="1018">
        <v>78</v>
      </c>
      <c r="AV79" s="907"/>
      <c r="AY79" s="908"/>
      <c r="AZ79" s="908"/>
      <c r="BA79" s="908"/>
      <c r="BB79" s="908"/>
      <c r="BD79" s="907"/>
      <c r="BG79" s="908"/>
      <c r="BH79" s="908"/>
      <c r="BI79" s="908"/>
      <c r="BJ79" s="908"/>
    </row>
    <row r="80" spans="1:63">
      <c r="A80" s="906">
        <v>79</v>
      </c>
      <c r="B80" s="906" t="s">
        <v>1793</v>
      </c>
      <c r="C80" s="906">
        <v>35209</v>
      </c>
      <c r="D80" s="906" t="s">
        <v>1257</v>
      </c>
      <c r="E80" s="906" t="s">
        <v>1258</v>
      </c>
      <c r="F80" s="1015">
        <f t="shared" ref="F80:L81" si="49">F79</f>
        <v>0</v>
      </c>
      <c r="G80" s="1014">
        <f t="shared" si="49"/>
        <v>75</v>
      </c>
      <c r="H80" s="1014">
        <f t="shared" si="49"/>
        <v>42</v>
      </c>
      <c r="I80" s="1014">
        <f t="shared" si="49"/>
        <v>85</v>
      </c>
      <c r="J80" s="1013">
        <f t="shared" si="49"/>
        <v>36</v>
      </c>
      <c r="K80" s="1012">
        <f t="shared" si="49"/>
        <v>34.802769684210524</v>
      </c>
      <c r="L80" s="1011">
        <f t="shared" si="49"/>
        <v>0.17170737620018459</v>
      </c>
      <c r="N80" s="1032" t="s">
        <v>1794</v>
      </c>
      <c r="O80" s="1031">
        <v>7.1261491595495843E-2</v>
      </c>
      <c r="P80" s="1030">
        <v>68</v>
      </c>
      <c r="Q80" s="1029">
        <v>43</v>
      </c>
      <c r="R80" s="1029">
        <v>72</v>
      </c>
      <c r="S80" s="1028">
        <v>40</v>
      </c>
      <c r="T80" s="1027">
        <v>30.647035126791668</v>
      </c>
      <c r="U80" s="1026">
        <v>0.28758859017161598</v>
      </c>
      <c r="V80" s="1018">
        <v>12.163</v>
      </c>
      <c r="W80" s="1018"/>
      <c r="X80" s="1018">
        <v>79</v>
      </c>
      <c r="AV80" s="907"/>
      <c r="AY80" s="908"/>
      <c r="AZ80" s="908"/>
      <c r="BA80" s="908"/>
      <c r="BB80" s="908"/>
      <c r="BD80" s="907"/>
      <c r="BG80" s="908"/>
      <c r="BH80" s="908"/>
      <c r="BI80" s="908"/>
      <c r="BJ80" s="908"/>
    </row>
    <row r="81" spans="1:62">
      <c r="A81" s="906">
        <v>80</v>
      </c>
      <c r="B81" s="906" t="s">
        <v>1793</v>
      </c>
      <c r="C81" s="906">
        <v>35209</v>
      </c>
      <c r="D81" s="906" t="s">
        <v>1256</v>
      </c>
      <c r="E81" s="906" t="s">
        <v>1258</v>
      </c>
      <c r="F81" s="1015">
        <f t="shared" si="49"/>
        <v>0</v>
      </c>
      <c r="G81" s="1014">
        <f t="shared" si="49"/>
        <v>75</v>
      </c>
      <c r="H81" s="1014">
        <f t="shared" si="49"/>
        <v>42</v>
      </c>
      <c r="I81" s="1014">
        <f t="shared" si="49"/>
        <v>85</v>
      </c>
      <c r="J81" s="1013">
        <f t="shared" si="49"/>
        <v>36</v>
      </c>
      <c r="K81" s="1012">
        <f t="shared" si="49"/>
        <v>34.802769684210524</v>
      </c>
      <c r="L81" s="1011">
        <f t="shared" si="49"/>
        <v>0.17170737620018459</v>
      </c>
      <c r="N81" s="1032" t="s">
        <v>1792</v>
      </c>
      <c r="O81" s="1031"/>
      <c r="P81" s="1030">
        <v>78</v>
      </c>
      <c r="Q81" s="1029">
        <v>0</v>
      </c>
      <c r="R81" s="1029">
        <v>78</v>
      </c>
      <c r="S81" s="1028">
        <v>0</v>
      </c>
      <c r="T81" s="1027" t="s">
        <v>842</v>
      </c>
      <c r="U81" s="1026"/>
      <c r="V81" s="1018" t="s">
        <v>842</v>
      </c>
      <c r="W81" s="1018"/>
      <c r="X81" s="1018">
        <v>80</v>
      </c>
      <c r="AV81" s="907"/>
      <c r="AY81" s="908"/>
      <c r="AZ81" s="908"/>
      <c r="BA81" s="908"/>
      <c r="BB81" s="908"/>
      <c r="BD81" s="907"/>
      <c r="BG81" s="908"/>
      <c r="BH81" s="908"/>
      <c r="BI81" s="908"/>
      <c r="BJ81" s="908"/>
    </row>
    <row r="82" spans="1:62">
      <c r="A82" s="906">
        <v>81</v>
      </c>
      <c r="B82" s="906" t="s">
        <v>1791</v>
      </c>
      <c r="C82" s="906">
        <v>55606</v>
      </c>
      <c r="D82" s="906" t="s">
        <v>1257</v>
      </c>
      <c r="E82" s="906" t="s">
        <v>1259</v>
      </c>
      <c r="F82" s="1015">
        <f t="shared" ref="F82:L82" si="50">O47</f>
        <v>0</v>
      </c>
      <c r="G82" s="1014">
        <f t="shared" si="50"/>
        <v>165</v>
      </c>
      <c r="H82" s="1014">
        <f t="shared" si="50"/>
        <v>100</v>
      </c>
      <c r="I82" s="1014">
        <f t="shared" si="50"/>
        <v>165</v>
      </c>
      <c r="J82" s="1013">
        <f t="shared" si="50"/>
        <v>70</v>
      </c>
      <c r="K82" s="1012" t="str">
        <f t="shared" si="50"/>
        <v/>
      </c>
      <c r="L82" s="1011">
        <f t="shared" si="50"/>
        <v>0.2390308275898915</v>
      </c>
      <c r="N82" s="1032" t="s">
        <v>1790</v>
      </c>
      <c r="O82" s="1031"/>
      <c r="P82" s="1030">
        <v>72</v>
      </c>
      <c r="Q82" s="1029">
        <v>49.3</v>
      </c>
      <c r="R82" s="1029">
        <v>72</v>
      </c>
      <c r="S82" s="1028">
        <v>43.7</v>
      </c>
      <c r="T82" s="1027">
        <v>26.738828983587556</v>
      </c>
      <c r="U82" s="1026">
        <v>0.22799820425097142</v>
      </c>
      <c r="V82" s="1018">
        <v>49.869</v>
      </c>
      <c r="W82" s="1018"/>
      <c r="X82" s="1018">
        <v>81</v>
      </c>
      <c r="AV82" s="907"/>
      <c r="AY82" s="908"/>
      <c r="AZ82" s="908"/>
      <c r="BA82" s="908"/>
      <c r="BB82" s="908"/>
      <c r="BD82" s="907"/>
      <c r="BG82" s="908"/>
      <c r="BH82" s="908"/>
      <c r="BI82" s="908"/>
      <c r="BJ82" s="908"/>
    </row>
    <row r="83" spans="1:62">
      <c r="A83" s="906">
        <v>82</v>
      </c>
      <c r="B83" s="906" t="s">
        <v>1789</v>
      </c>
      <c r="C83" s="906">
        <v>29188</v>
      </c>
      <c r="D83" s="906" t="s">
        <v>1256</v>
      </c>
      <c r="E83" s="906" t="s">
        <v>1259</v>
      </c>
      <c r="F83" s="1015">
        <f t="shared" ref="F83:L83" si="51">O253</f>
        <v>1.6757865937072503E-2</v>
      </c>
      <c r="G83" s="1014">
        <f t="shared" si="51"/>
        <v>70</v>
      </c>
      <c r="H83" s="1014">
        <f t="shared" si="51"/>
        <v>0</v>
      </c>
      <c r="I83" s="1014">
        <f t="shared" si="51"/>
        <v>80</v>
      </c>
      <c r="J83" s="1013">
        <f t="shared" si="51"/>
        <v>0</v>
      </c>
      <c r="K83" s="1012" t="str">
        <f t="shared" si="51"/>
        <v/>
      </c>
      <c r="L83" s="1011">
        <f t="shared" si="51"/>
        <v>0.30536956521739128</v>
      </c>
      <c r="N83" s="1032" t="s">
        <v>1788</v>
      </c>
      <c r="O83" s="1031">
        <v>1.2080536912751677E-2</v>
      </c>
      <c r="P83" s="1030">
        <v>65</v>
      </c>
      <c r="Q83" s="1029">
        <v>43</v>
      </c>
      <c r="R83" s="1029">
        <v>75</v>
      </c>
      <c r="S83" s="1028">
        <v>38</v>
      </c>
      <c r="T83" s="1027">
        <v>33.747721896932802</v>
      </c>
      <c r="U83" s="1026">
        <v>0.3286808300395257</v>
      </c>
      <c r="V83" s="1018">
        <v>5.4349999999999996</v>
      </c>
      <c r="W83" s="1018"/>
      <c r="X83" s="1018">
        <v>82</v>
      </c>
      <c r="AV83" s="907"/>
      <c r="AY83" s="908"/>
      <c r="AZ83" s="908"/>
      <c r="BA83" s="908"/>
      <c r="BB83" s="908"/>
      <c r="BD83" s="907"/>
      <c r="BG83" s="908"/>
      <c r="BH83" s="908"/>
      <c r="BI83" s="908"/>
      <c r="BJ83" s="908"/>
    </row>
    <row r="84" spans="1:62">
      <c r="A84" s="906">
        <v>83</v>
      </c>
      <c r="B84" s="906" t="s">
        <v>1787</v>
      </c>
      <c r="C84" s="906">
        <v>29189</v>
      </c>
      <c r="D84" s="906" t="s">
        <v>1256</v>
      </c>
      <c r="E84" s="906" t="s">
        <v>1258</v>
      </c>
      <c r="F84" s="1015">
        <f t="shared" ref="F84:L84" si="52">O48</f>
        <v>0</v>
      </c>
      <c r="G84" s="1014">
        <f t="shared" si="52"/>
        <v>76</v>
      </c>
      <c r="H84" s="1014">
        <f t="shared" si="52"/>
        <v>0</v>
      </c>
      <c r="I84" s="1014">
        <f t="shared" si="52"/>
        <v>80</v>
      </c>
      <c r="J84" s="1013">
        <f t="shared" si="52"/>
        <v>0</v>
      </c>
      <c r="K84" s="1012" t="str">
        <f t="shared" si="52"/>
        <v/>
      </c>
      <c r="L84" s="1011">
        <f t="shared" si="52"/>
        <v>0.30656911045818702</v>
      </c>
      <c r="N84" s="1032" t="s">
        <v>1670</v>
      </c>
      <c r="O84" s="1031">
        <v>3.2411973850212182E-2</v>
      </c>
      <c r="P84" s="1030">
        <v>70</v>
      </c>
      <c r="Q84" s="1029">
        <v>45</v>
      </c>
      <c r="R84" s="1029">
        <v>80</v>
      </c>
      <c r="S84" s="1028">
        <v>40</v>
      </c>
      <c r="T84" s="1027">
        <v>31.777020942610172</v>
      </c>
      <c r="U84" s="1026">
        <v>0.26890616850789434</v>
      </c>
      <c r="V84" s="1018">
        <v>30.838999999999999</v>
      </c>
      <c r="W84" s="1018"/>
      <c r="X84" s="1018">
        <v>83</v>
      </c>
      <c r="AV84" s="907"/>
      <c r="AY84" s="908"/>
      <c r="AZ84" s="908"/>
      <c r="BA84" s="908"/>
      <c r="BB84" s="908"/>
      <c r="BD84" s="907"/>
      <c r="BG84" s="908"/>
      <c r="BH84" s="908"/>
      <c r="BI84" s="908"/>
      <c r="BJ84" s="908"/>
    </row>
    <row r="85" spans="1:62">
      <c r="A85" s="906">
        <v>84</v>
      </c>
      <c r="B85" s="906" t="s">
        <v>1786</v>
      </c>
      <c r="C85" s="906">
        <v>29189</v>
      </c>
      <c r="D85" s="906" t="s">
        <v>1256</v>
      </c>
      <c r="E85" s="906" t="s">
        <v>1258</v>
      </c>
      <c r="F85" s="1015"/>
      <c r="G85" s="1014"/>
      <c r="H85" s="1014"/>
      <c r="I85" s="1014"/>
      <c r="J85" s="1013"/>
      <c r="K85" s="1012"/>
      <c r="L85" s="1011"/>
      <c r="N85" s="1032" t="s">
        <v>1785</v>
      </c>
      <c r="O85" s="1031"/>
      <c r="P85" s="1030">
        <v>68</v>
      </c>
      <c r="Q85" s="1029">
        <v>47</v>
      </c>
      <c r="R85" s="1029">
        <v>75</v>
      </c>
      <c r="S85" s="1028">
        <v>37</v>
      </c>
      <c r="T85" s="1027" t="s">
        <v>842</v>
      </c>
      <c r="U85" s="1026">
        <v>0.25414852895132867</v>
      </c>
      <c r="V85" s="1018">
        <v>59.078000000000003</v>
      </c>
      <c r="W85" s="1018"/>
      <c r="X85" s="1018">
        <v>84</v>
      </c>
      <c r="AV85" s="907"/>
      <c r="AY85" s="908"/>
      <c r="AZ85" s="908"/>
      <c r="BA85" s="908"/>
      <c r="BB85" s="908"/>
      <c r="BD85" s="907"/>
      <c r="BG85" s="908"/>
      <c r="BH85" s="908"/>
      <c r="BI85" s="908"/>
      <c r="BJ85" s="908"/>
    </row>
    <row r="86" spans="1:62">
      <c r="A86" s="906">
        <v>85</v>
      </c>
      <c r="B86" s="906" t="s">
        <v>1784</v>
      </c>
      <c r="C86" s="906">
        <v>64502</v>
      </c>
      <c r="D86" s="906" t="s">
        <v>1256</v>
      </c>
      <c r="E86" s="906" t="s">
        <v>1259</v>
      </c>
      <c r="F86" s="1015"/>
      <c r="G86" s="1014"/>
      <c r="H86" s="1014"/>
      <c r="I86" s="1014"/>
      <c r="J86" s="1013"/>
      <c r="K86" s="1012"/>
      <c r="L86" s="1011"/>
      <c r="N86" s="1049" t="s">
        <v>1783</v>
      </c>
      <c r="O86" s="1048">
        <v>1.0352179986765679E-2</v>
      </c>
      <c r="P86" s="1047">
        <v>74</v>
      </c>
      <c r="Q86" s="1046">
        <v>39</v>
      </c>
      <c r="R86" s="1046">
        <v>70</v>
      </c>
      <c r="S86" s="1045">
        <v>37</v>
      </c>
      <c r="T86" s="1044">
        <v>45.378171948085345</v>
      </c>
      <c r="U86" s="1043">
        <v>0.27424555355789659</v>
      </c>
      <c r="V86" s="1042">
        <v>48.844000000000001</v>
      </c>
      <c r="W86" s="1042"/>
      <c r="X86" s="1042">
        <v>85</v>
      </c>
      <c r="AV86" s="907"/>
      <c r="AY86" s="908"/>
      <c r="AZ86" s="908"/>
      <c r="BA86" s="908"/>
      <c r="BB86" s="908"/>
      <c r="BD86" s="907"/>
      <c r="BG86" s="908"/>
      <c r="BH86" s="908"/>
      <c r="BI86" s="908"/>
      <c r="BJ86" s="908"/>
    </row>
    <row r="87" spans="1:62">
      <c r="A87" s="906">
        <v>86</v>
      </c>
      <c r="B87" s="906" t="s">
        <v>1782</v>
      </c>
      <c r="C87" s="906">
        <v>29188</v>
      </c>
      <c r="D87" s="906" t="s">
        <v>1256</v>
      </c>
      <c r="E87" s="906" t="s">
        <v>1259</v>
      </c>
      <c r="F87" s="1015"/>
      <c r="G87" s="1014"/>
      <c r="H87" s="1014"/>
      <c r="I87" s="1014"/>
      <c r="J87" s="1013"/>
      <c r="K87" s="1012"/>
      <c r="L87" s="1011"/>
      <c r="N87" s="1049" t="s">
        <v>1781</v>
      </c>
      <c r="O87" s="1048"/>
      <c r="P87" s="1047">
        <v>75</v>
      </c>
      <c r="Q87" s="1046">
        <v>42</v>
      </c>
      <c r="R87" s="1046">
        <v>80</v>
      </c>
      <c r="S87" s="1045">
        <v>37</v>
      </c>
      <c r="T87" s="1044" t="s">
        <v>842</v>
      </c>
      <c r="U87" s="1043">
        <v>0.27379140817043196</v>
      </c>
      <c r="V87" s="1042">
        <v>24.815999999999999</v>
      </c>
      <c r="W87" s="1042"/>
      <c r="X87" s="1042">
        <v>86</v>
      </c>
      <c r="AV87" s="907"/>
      <c r="AY87" s="908"/>
      <c r="AZ87" s="908"/>
      <c r="BA87" s="908"/>
      <c r="BB87" s="908"/>
      <c r="BD87" s="907"/>
      <c r="BG87" s="908"/>
      <c r="BH87" s="908"/>
      <c r="BI87" s="908"/>
      <c r="BJ87" s="908"/>
    </row>
    <row r="88" spans="1:62">
      <c r="A88" s="906">
        <v>87</v>
      </c>
      <c r="B88" s="906" t="s">
        <v>1780</v>
      </c>
      <c r="C88" s="906">
        <v>69116</v>
      </c>
      <c r="D88" s="906" t="s">
        <v>1257</v>
      </c>
      <c r="E88" s="906" t="s">
        <v>1258</v>
      </c>
      <c r="F88" s="1015">
        <f t="shared" ref="F88:L91" si="53">O49</f>
        <v>0</v>
      </c>
      <c r="G88" s="1014">
        <f t="shared" si="53"/>
        <v>65</v>
      </c>
      <c r="H88" s="1014">
        <f t="shared" si="53"/>
        <v>45</v>
      </c>
      <c r="I88" s="1014">
        <f t="shared" si="53"/>
        <v>75</v>
      </c>
      <c r="J88" s="1013">
        <f t="shared" si="53"/>
        <v>41</v>
      </c>
      <c r="K88" s="1012">
        <f t="shared" si="53"/>
        <v>31.617746183189187</v>
      </c>
      <c r="L88" s="1011">
        <f t="shared" si="53"/>
        <v>0.12362072151822474</v>
      </c>
      <c r="N88" s="1049" t="s">
        <v>1779</v>
      </c>
      <c r="O88" s="1048"/>
      <c r="P88" s="1047">
        <v>75</v>
      </c>
      <c r="Q88" s="1046">
        <v>42</v>
      </c>
      <c r="R88" s="1046">
        <v>80</v>
      </c>
      <c r="S88" s="1045">
        <v>42</v>
      </c>
      <c r="T88" s="1044" t="s">
        <v>842</v>
      </c>
      <c r="U88" s="1043">
        <v>0.19338545966684473</v>
      </c>
      <c r="V88" s="1042">
        <v>16.609000000000002</v>
      </c>
      <c r="W88" s="1042"/>
      <c r="X88" s="1042">
        <v>87</v>
      </c>
      <c r="AV88" s="907"/>
      <c r="AY88" s="908"/>
      <c r="AZ88" s="908"/>
      <c r="BA88" s="908"/>
      <c r="BB88" s="908"/>
      <c r="BD88" s="907"/>
      <c r="BG88" s="908"/>
      <c r="BH88" s="908"/>
      <c r="BI88" s="908"/>
      <c r="BJ88" s="908"/>
    </row>
    <row r="89" spans="1:62">
      <c r="A89" s="906">
        <v>88</v>
      </c>
      <c r="B89" s="906" t="s">
        <v>1778</v>
      </c>
      <c r="C89" s="906">
        <v>29189</v>
      </c>
      <c r="D89" s="906" t="s">
        <v>1256</v>
      </c>
      <c r="E89" s="906" t="s">
        <v>1258</v>
      </c>
      <c r="F89" s="1015">
        <f t="shared" si="53"/>
        <v>2.4049357844371694E-2</v>
      </c>
      <c r="G89" s="1014">
        <f t="shared" si="53"/>
        <v>70</v>
      </c>
      <c r="H89" s="1014">
        <f t="shared" si="53"/>
        <v>40</v>
      </c>
      <c r="I89" s="1014">
        <f t="shared" si="53"/>
        <v>73</v>
      </c>
      <c r="J89" s="1013">
        <f t="shared" si="53"/>
        <v>33</v>
      </c>
      <c r="K89" s="1012">
        <f t="shared" si="53"/>
        <v>35.076642969526986</v>
      </c>
      <c r="L89" s="1011">
        <f t="shared" si="53"/>
        <v>0.25854728422139078</v>
      </c>
      <c r="N89" s="1049" t="s">
        <v>1777</v>
      </c>
      <c r="O89" s="1048"/>
      <c r="P89" s="1047">
        <v>68</v>
      </c>
      <c r="Q89" s="1046">
        <v>45</v>
      </c>
      <c r="R89" s="1046">
        <v>76</v>
      </c>
      <c r="S89" s="1045">
        <v>41</v>
      </c>
      <c r="T89" s="1044">
        <v>33.24808408180693</v>
      </c>
      <c r="U89" s="1043">
        <v>0.19381967805610387</v>
      </c>
      <c r="V89" s="1042">
        <v>231.98</v>
      </c>
      <c r="W89" s="1042"/>
      <c r="X89" s="1042">
        <v>88</v>
      </c>
      <c r="AV89" s="907"/>
      <c r="AY89" s="908"/>
      <c r="AZ89" s="908"/>
      <c r="BA89" s="908"/>
      <c r="BB89" s="908"/>
      <c r="BD89" s="907"/>
      <c r="BG89" s="908"/>
      <c r="BH89" s="908"/>
      <c r="BI89" s="908"/>
      <c r="BJ89" s="908"/>
    </row>
    <row r="90" spans="1:62">
      <c r="A90" s="906">
        <v>89</v>
      </c>
      <c r="B90" s="906" t="s">
        <v>1776</v>
      </c>
      <c r="C90" s="906">
        <v>11259</v>
      </c>
      <c r="D90" s="906" t="s">
        <v>1257</v>
      </c>
      <c r="E90" s="906" t="s">
        <v>1259</v>
      </c>
      <c r="F90" s="1015">
        <f t="shared" si="53"/>
        <v>0</v>
      </c>
      <c r="G90" s="1014">
        <f t="shared" si="53"/>
        <v>75.900000000000006</v>
      </c>
      <c r="H90" s="1014">
        <f t="shared" si="53"/>
        <v>49.2</v>
      </c>
      <c r="I90" s="1014">
        <f t="shared" si="53"/>
        <v>82.5</v>
      </c>
      <c r="J90" s="1013">
        <f t="shared" si="53"/>
        <v>47.9</v>
      </c>
      <c r="K90" s="1012" t="str">
        <f t="shared" si="53"/>
        <v/>
      </c>
      <c r="L90" s="1011">
        <f t="shared" si="53"/>
        <v>7.2431643736827686E-2</v>
      </c>
      <c r="N90" s="1049" t="s">
        <v>1775</v>
      </c>
      <c r="O90" s="1048"/>
      <c r="P90" s="1047">
        <v>72.900000000000006</v>
      </c>
      <c r="Q90" s="1046">
        <v>40.200000000000003</v>
      </c>
      <c r="R90" s="1046">
        <v>80.099999999999994</v>
      </c>
      <c r="S90" s="1045">
        <v>49.7</v>
      </c>
      <c r="T90" s="1044">
        <v>40.717182043157479</v>
      </c>
      <c r="U90" s="1043">
        <v>0.21341618305097992</v>
      </c>
      <c r="V90" s="1042">
        <v>40.255000000000003</v>
      </c>
      <c r="W90" s="1042"/>
      <c r="X90" s="1042">
        <v>89</v>
      </c>
    </row>
    <row r="91" spans="1:62">
      <c r="A91" s="906">
        <v>90</v>
      </c>
      <c r="B91" s="906" t="s">
        <v>1774</v>
      </c>
      <c r="C91" s="906">
        <v>29189</v>
      </c>
      <c r="D91" s="906" t="s">
        <v>1256</v>
      </c>
      <c r="E91" s="906" t="s">
        <v>1258</v>
      </c>
      <c r="F91" s="1015">
        <f t="shared" si="53"/>
        <v>2.7058694647798771E-2</v>
      </c>
      <c r="G91" s="1014">
        <f t="shared" si="53"/>
        <v>75</v>
      </c>
      <c r="H91" s="1014">
        <f t="shared" si="53"/>
        <v>70</v>
      </c>
      <c r="I91" s="1014">
        <f t="shared" si="53"/>
        <v>85</v>
      </c>
      <c r="J91" s="1013">
        <f t="shared" si="53"/>
        <v>75</v>
      </c>
      <c r="K91" s="1012">
        <f t="shared" si="53"/>
        <v>0</v>
      </c>
      <c r="L91" s="1011">
        <f t="shared" si="53"/>
        <v>0.17929211337935086</v>
      </c>
      <c r="N91" s="1038" t="s">
        <v>1773</v>
      </c>
      <c r="O91" s="1037"/>
      <c r="P91" s="1036">
        <v>82</v>
      </c>
      <c r="Q91" s="1014">
        <v>48</v>
      </c>
      <c r="R91" s="1014">
        <v>71</v>
      </c>
      <c r="S91" s="1013">
        <v>50</v>
      </c>
      <c r="T91" s="1012" t="s">
        <v>842</v>
      </c>
      <c r="U91" s="1035">
        <v>0.15440123823992286</v>
      </c>
      <c r="V91" s="906">
        <v>3842.29</v>
      </c>
      <c r="X91" s="906">
        <v>90</v>
      </c>
    </row>
    <row r="92" spans="1:62">
      <c r="A92" s="906">
        <v>91</v>
      </c>
      <c r="B92" s="906" t="s">
        <v>1772</v>
      </c>
      <c r="C92" s="906">
        <v>29189</v>
      </c>
      <c r="D92" s="906" t="s">
        <v>1256</v>
      </c>
      <c r="E92" s="906" t="s">
        <v>1258</v>
      </c>
      <c r="F92" s="1015"/>
      <c r="G92" s="1014"/>
      <c r="H92" s="1014"/>
      <c r="I92" s="1014"/>
      <c r="J92" s="1013"/>
      <c r="K92" s="1012"/>
      <c r="L92" s="1011"/>
      <c r="N92" s="1049" t="s">
        <v>1771</v>
      </c>
      <c r="O92" s="1048"/>
      <c r="P92" s="1047">
        <v>67</v>
      </c>
      <c r="Q92" s="1046">
        <v>47</v>
      </c>
      <c r="R92" s="1046">
        <v>71</v>
      </c>
      <c r="S92" s="1045">
        <v>42</v>
      </c>
      <c r="T92" s="1044">
        <v>32.374826091609592</v>
      </c>
      <c r="U92" s="1043">
        <v>0.27105062099109822</v>
      </c>
      <c r="V92" s="1042">
        <v>41.026000000000003</v>
      </c>
      <c r="W92" s="1042"/>
      <c r="X92" s="1042">
        <v>91</v>
      </c>
    </row>
    <row r="93" spans="1:62" ht="16">
      <c r="A93" s="906">
        <v>92</v>
      </c>
      <c r="B93" s="906" t="s">
        <v>1770</v>
      </c>
      <c r="C93" s="906">
        <v>29189</v>
      </c>
      <c r="D93" s="906" t="s">
        <v>1256</v>
      </c>
      <c r="E93" s="906" t="s">
        <v>1259</v>
      </c>
      <c r="F93" s="1015">
        <f t="shared" ref="F93:K94" si="54">O53</f>
        <v>0</v>
      </c>
      <c r="G93" s="1014">
        <f t="shared" si="54"/>
        <v>69</v>
      </c>
      <c r="H93" s="1014">
        <f t="shared" si="54"/>
        <v>44</v>
      </c>
      <c r="I93" s="1014">
        <f t="shared" si="54"/>
        <v>75</v>
      </c>
      <c r="J93" s="1013">
        <f t="shared" si="54"/>
        <v>41</v>
      </c>
      <c r="K93" s="1012" t="str">
        <f t="shared" si="54"/>
        <v/>
      </c>
      <c r="L93" s="1016">
        <v>0.22800028617798151</v>
      </c>
      <c r="N93" s="1049" t="s">
        <v>1769</v>
      </c>
      <c r="O93" s="1048"/>
      <c r="P93" s="1047">
        <v>71</v>
      </c>
      <c r="Q93" s="1046">
        <v>41</v>
      </c>
      <c r="R93" s="1046">
        <v>73</v>
      </c>
      <c r="S93" s="1045">
        <v>38</v>
      </c>
      <c r="T93" s="1044" t="s">
        <v>842</v>
      </c>
      <c r="U93" s="1043"/>
      <c r="V93" s="1042" t="s">
        <v>842</v>
      </c>
      <c r="W93" s="1042"/>
      <c r="X93" s="1042">
        <v>92</v>
      </c>
    </row>
    <row r="94" spans="1:62" ht="16">
      <c r="A94" s="906">
        <v>93</v>
      </c>
      <c r="B94" s="906" t="s">
        <v>1768</v>
      </c>
      <c r="C94" s="906">
        <v>29189</v>
      </c>
      <c r="D94" s="906" t="s">
        <v>1256</v>
      </c>
      <c r="E94" s="906" t="s">
        <v>1258</v>
      </c>
      <c r="F94" s="1015">
        <f t="shared" si="54"/>
        <v>0</v>
      </c>
      <c r="G94" s="1014">
        <f t="shared" si="54"/>
        <v>70</v>
      </c>
      <c r="H94" s="1014">
        <f t="shared" si="54"/>
        <v>0</v>
      </c>
      <c r="I94" s="1014">
        <f t="shared" si="54"/>
        <v>80</v>
      </c>
      <c r="J94" s="1013">
        <f t="shared" si="54"/>
        <v>0</v>
      </c>
      <c r="K94" s="1012" t="str">
        <f t="shared" si="54"/>
        <v/>
      </c>
      <c r="L94" s="1016">
        <v>0.22800028617798151</v>
      </c>
      <c r="N94" s="1038" t="s">
        <v>1767</v>
      </c>
      <c r="O94" s="1037"/>
      <c r="P94" s="1051">
        <v>78</v>
      </c>
      <c r="Q94" s="906">
        <v>55</v>
      </c>
      <c r="R94" s="906">
        <v>85</v>
      </c>
      <c r="S94" s="1050">
        <v>50</v>
      </c>
      <c r="T94" s="1012" t="s">
        <v>842</v>
      </c>
      <c r="U94" s="1035">
        <v>0.19652124828266659</v>
      </c>
      <c r="V94" s="906">
        <v>68.893000000000001</v>
      </c>
      <c r="X94" s="906">
        <v>93</v>
      </c>
    </row>
    <row r="95" spans="1:62">
      <c r="A95" s="906">
        <v>94</v>
      </c>
      <c r="B95" s="906" t="s">
        <v>1766</v>
      </c>
      <c r="C95" s="906">
        <v>29189</v>
      </c>
      <c r="D95" s="906" t="s">
        <v>1256</v>
      </c>
      <c r="E95" s="906" t="s">
        <v>1258</v>
      </c>
      <c r="F95" s="1015"/>
      <c r="G95" s="1014"/>
      <c r="H95" s="1014"/>
      <c r="I95" s="1014"/>
      <c r="J95" s="1013"/>
      <c r="K95" s="1012"/>
      <c r="L95" s="1011"/>
      <c r="N95" s="1049" t="s">
        <v>1765</v>
      </c>
      <c r="O95" s="1048"/>
      <c r="P95" s="1047">
        <v>75</v>
      </c>
      <c r="Q95" s="1046">
        <v>0</v>
      </c>
      <c r="R95" s="1046">
        <v>90</v>
      </c>
      <c r="S95" s="1045">
        <v>0</v>
      </c>
      <c r="T95" s="1044" t="s">
        <v>842</v>
      </c>
      <c r="U95" s="1043"/>
      <c r="V95" s="1042" t="s">
        <v>842</v>
      </c>
      <c r="W95" s="1042"/>
      <c r="X95" s="1042">
        <v>94</v>
      </c>
    </row>
    <row r="96" spans="1:62">
      <c r="A96" s="906">
        <v>95</v>
      </c>
      <c r="B96" s="906" t="s">
        <v>1764</v>
      </c>
      <c r="C96" s="906">
        <v>29189</v>
      </c>
      <c r="D96" s="906" t="s">
        <v>1256</v>
      </c>
      <c r="E96" s="906" t="s">
        <v>1258</v>
      </c>
      <c r="F96" s="1015">
        <f t="shared" ref="F96:L97" si="55">O55</f>
        <v>0</v>
      </c>
      <c r="G96" s="1014">
        <f t="shared" si="55"/>
        <v>75</v>
      </c>
      <c r="H96" s="1014">
        <f t="shared" si="55"/>
        <v>37</v>
      </c>
      <c r="I96" s="1014">
        <f t="shared" si="55"/>
        <v>78</v>
      </c>
      <c r="J96" s="1013">
        <f t="shared" si="55"/>
        <v>37</v>
      </c>
      <c r="K96" s="1012" t="str">
        <f t="shared" si="55"/>
        <v/>
      </c>
      <c r="L96" s="1011">
        <f t="shared" si="55"/>
        <v>0.17356165075516491</v>
      </c>
      <c r="N96" s="1049" t="s">
        <v>1763</v>
      </c>
      <c r="O96" s="1048"/>
      <c r="P96" s="1047">
        <v>66</v>
      </c>
      <c r="Q96" s="1046">
        <v>38</v>
      </c>
      <c r="R96" s="1046">
        <v>80</v>
      </c>
      <c r="S96" s="1045">
        <v>36</v>
      </c>
      <c r="T96" s="1044" t="s">
        <v>842</v>
      </c>
      <c r="U96" s="1043"/>
      <c r="V96" s="1042" t="s">
        <v>842</v>
      </c>
      <c r="W96" s="1042"/>
      <c r="X96" s="1042">
        <v>95</v>
      </c>
    </row>
    <row r="97" spans="1:24">
      <c r="A97" s="906">
        <v>96</v>
      </c>
      <c r="B97" s="906" t="s">
        <v>1762</v>
      </c>
      <c r="C97" s="906">
        <v>29189</v>
      </c>
      <c r="D97" s="906" t="s">
        <v>1257</v>
      </c>
      <c r="E97" s="906" t="s">
        <v>1258</v>
      </c>
      <c r="F97" s="1015">
        <f t="shared" si="55"/>
        <v>0</v>
      </c>
      <c r="G97" s="1014">
        <f t="shared" si="55"/>
        <v>72</v>
      </c>
      <c r="H97" s="1014">
        <f t="shared" si="55"/>
        <v>36</v>
      </c>
      <c r="I97" s="1014">
        <f t="shared" si="55"/>
        <v>74</v>
      </c>
      <c r="J97" s="1013">
        <f t="shared" si="55"/>
        <v>37</v>
      </c>
      <c r="K97" s="1012">
        <f t="shared" si="55"/>
        <v>0</v>
      </c>
      <c r="L97" s="1011">
        <f t="shared" si="55"/>
        <v>0.30976614978254435</v>
      </c>
      <c r="N97" s="1049" t="s">
        <v>1761</v>
      </c>
      <c r="O97" s="1048"/>
      <c r="P97" s="1047">
        <v>67</v>
      </c>
      <c r="Q97" s="1046">
        <v>48</v>
      </c>
      <c r="R97" s="1046">
        <v>69</v>
      </c>
      <c r="S97" s="1045">
        <v>42</v>
      </c>
      <c r="T97" s="1044">
        <v>24.980858148348673</v>
      </c>
      <c r="U97" s="1043">
        <v>0.1265196059700936</v>
      </c>
      <c r="V97" s="1042">
        <v>187.45151300000001</v>
      </c>
      <c r="W97" s="1042"/>
      <c r="X97" s="1042">
        <v>96</v>
      </c>
    </row>
    <row r="98" spans="1:24">
      <c r="A98" s="906">
        <v>97</v>
      </c>
      <c r="B98" s="906" t="s">
        <v>1759</v>
      </c>
      <c r="C98" s="906">
        <v>35209</v>
      </c>
      <c r="D98" s="906" t="s">
        <v>1257</v>
      </c>
      <c r="E98" s="906" t="s">
        <v>1258</v>
      </c>
      <c r="F98" s="1015"/>
      <c r="G98" s="1014"/>
      <c r="H98" s="1014"/>
      <c r="I98" s="1014"/>
      <c r="J98" s="1013"/>
      <c r="K98" s="1012"/>
      <c r="L98" s="1011"/>
      <c r="N98" s="1049" t="s">
        <v>1760</v>
      </c>
      <c r="O98" s="1048">
        <v>3.4891220672580145E-2</v>
      </c>
      <c r="P98" s="1047">
        <v>69</v>
      </c>
      <c r="Q98" s="1046">
        <v>39</v>
      </c>
      <c r="R98" s="1046">
        <v>70</v>
      </c>
      <c r="S98" s="1045">
        <v>35</v>
      </c>
      <c r="T98" s="1044">
        <v>30.593606605570255</v>
      </c>
      <c r="U98" s="1043">
        <v>0.27331848232250644</v>
      </c>
      <c r="V98" s="1042">
        <v>10.112500000000001</v>
      </c>
      <c r="W98" s="1042"/>
      <c r="X98" s="1042">
        <v>97</v>
      </c>
    </row>
    <row r="99" spans="1:24">
      <c r="A99" s="906">
        <v>98</v>
      </c>
      <c r="B99" s="906" t="s">
        <v>1759</v>
      </c>
      <c r="C99" s="906">
        <v>35209</v>
      </c>
      <c r="D99" s="906" t="s">
        <v>1256</v>
      </c>
      <c r="E99" s="906" t="s">
        <v>1258</v>
      </c>
      <c r="F99" s="1015"/>
      <c r="G99" s="1014"/>
      <c r="H99" s="1014"/>
      <c r="I99" s="1014"/>
      <c r="J99" s="1013"/>
      <c r="K99" s="1012"/>
      <c r="L99" s="1011"/>
      <c r="N99" s="1049" t="s">
        <v>1758</v>
      </c>
      <c r="O99" s="1048"/>
      <c r="P99" s="1047">
        <v>70</v>
      </c>
      <c r="Q99" s="1046">
        <v>42</v>
      </c>
      <c r="R99" s="1046">
        <v>70</v>
      </c>
      <c r="S99" s="1045">
        <v>38</v>
      </c>
      <c r="T99" s="1044" t="s">
        <v>842</v>
      </c>
      <c r="U99" s="1043">
        <v>0.23610619469026548</v>
      </c>
      <c r="V99" s="1042">
        <v>34.527999999999999</v>
      </c>
      <c r="W99" s="1042"/>
      <c r="X99" s="1042">
        <v>98</v>
      </c>
    </row>
    <row r="100" spans="1:24">
      <c r="A100" s="906">
        <v>99</v>
      </c>
      <c r="B100" s="906" t="s">
        <v>1756</v>
      </c>
      <c r="C100" s="906">
        <v>35209</v>
      </c>
      <c r="D100" s="906" t="s">
        <v>1257</v>
      </c>
      <c r="E100" s="906" t="s">
        <v>1258</v>
      </c>
      <c r="F100" s="1015"/>
      <c r="G100" s="1014"/>
      <c r="H100" s="1014"/>
      <c r="I100" s="1014"/>
      <c r="J100" s="1013"/>
      <c r="K100" s="1012"/>
      <c r="L100" s="1011"/>
      <c r="N100" s="1038" t="s">
        <v>1757</v>
      </c>
      <c r="O100" s="1037"/>
      <c r="P100" s="1036">
        <v>70</v>
      </c>
      <c r="Q100" s="1014">
        <v>0</v>
      </c>
      <c r="R100" s="1014">
        <v>75</v>
      </c>
      <c r="S100" s="1013">
        <v>0</v>
      </c>
      <c r="T100" s="1012" t="s">
        <v>842</v>
      </c>
      <c r="U100" s="1035"/>
      <c r="V100" s="906" t="s">
        <v>842</v>
      </c>
      <c r="X100" s="906">
        <v>99</v>
      </c>
    </row>
    <row r="101" spans="1:24">
      <c r="A101" s="906">
        <v>100</v>
      </c>
      <c r="B101" s="906" t="s">
        <v>1756</v>
      </c>
      <c r="C101" s="906">
        <v>35209</v>
      </c>
      <c r="D101" s="906" t="s">
        <v>1256</v>
      </c>
      <c r="E101" s="906" t="s">
        <v>1258</v>
      </c>
      <c r="F101" s="1015"/>
      <c r="G101" s="1014"/>
      <c r="H101" s="1014"/>
      <c r="I101" s="1014"/>
      <c r="J101" s="1013"/>
      <c r="K101" s="1012"/>
      <c r="L101" s="1011"/>
      <c r="N101" s="1049" t="s">
        <v>1755</v>
      </c>
      <c r="O101" s="1048"/>
      <c r="P101" s="1047">
        <v>72</v>
      </c>
      <c r="Q101" s="1046">
        <v>45</v>
      </c>
      <c r="R101" s="1046">
        <v>80</v>
      </c>
      <c r="S101" s="1045">
        <v>42</v>
      </c>
      <c r="T101" s="1044"/>
      <c r="U101" s="1043">
        <v>0.28730906781643772</v>
      </c>
      <c r="V101" s="1042">
        <v>21.323</v>
      </c>
      <c r="W101" s="1042"/>
      <c r="X101" s="1042">
        <v>100</v>
      </c>
    </row>
    <row r="102" spans="1:24">
      <c r="A102" s="906">
        <v>101</v>
      </c>
      <c r="B102" s="906" t="s">
        <v>1753</v>
      </c>
      <c r="C102" s="906">
        <v>35209</v>
      </c>
      <c r="D102" s="906" t="s">
        <v>1257</v>
      </c>
      <c r="E102" s="906" t="s">
        <v>1258</v>
      </c>
      <c r="F102" s="1015"/>
      <c r="G102" s="1014"/>
      <c r="H102" s="1014"/>
      <c r="I102" s="1014"/>
      <c r="J102" s="1013"/>
      <c r="K102" s="1012"/>
      <c r="L102" s="1011"/>
      <c r="N102" s="1049" t="s">
        <v>1754</v>
      </c>
      <c r="O102" s="1048"/>
      <c r="P102" s="1047">
        <v>74.3</v>
      </c>
      <c r="Q102" s="1046">
        <v>37.5</v>
      </c>
      <c r="R102" s="1046">
        <v>75.5</v>
      </c>
      <c r="S102" s="1045">
        <v>34.5</v>
      </c>
      <c r="T102" s="1044" t="s">
        <v>842</v>
      </c>
      <c r="U102" s="1043">
        <v>0.26546329054096318</v>
      </c>
      <c r="V102" s="1042">
        <v>10.568</v>
      </c>
      <c r="W102" s="1042"/>
      <c r="X102" s="1042">
        <v>101</v>
      </c>
    </row>
    <row r="103" spans="1:24">
      <c r="A103" s="906">
        <v>102</v>
      </c>
      <c r="B103" s="906" t="s">
        <v>1753</v>
      </c>
      <c r="C103" s="906">
        <v>35209</v>
      </c>
      <c r="D103" s="906" t="s">
        <v>1256</v>
      </c>
      <c r="E103" s="906" t="s">
        <v>1258</v>
      </c>
      <c r="F103" s="1015"/>
      <c r="G103" s="1014"/>
      <c r="H103" s="1014"/>
      <c r="I103" s="1014"/>
      <c r="J103" s="1013"/>
      <c r="K103" s="1012"/>
      <c r="L103" s="1011"/>
      <c r="N103" s="1049" t="s">
        <v>1752</v>
      </c>
      <c r="O103" s="1048">
        <v>4.198931344086293E-2</v>
      </c>
      <c r="P103" s="1047">
        <v>70</v>
      </c>
      <c r="Q103" s="1046">
        <v>40</v>
      </c>
      <c r="R103" s="1046">
        <v>80</v>
      </c>
      <c r="S103" s="1045">
        <v>39</v>
      </c>
      <c r="T103" s="1044">
        <v>31.889129498295652</v>
      </c>
      <c r="U103" s="1043">
        <v>0.31770808967621539</v>
      </c>
      <c r="V103" s="1042">
        <v>26.251999999999999</v>
      </c>
      <c r="W103" s="1042"/>
      <c r="X103" s="1042">
        <v>102</v>
      </c>
    </row>
    <row r="104" spans="1:24">
      <c r="A104" s="906">
        <v>103</v>
      </c>
      <c r="B104" s="906" t="s">
        <v>1751</v>
      </c>
      <c r="C104" s="906">
        <v>35209</v>
      </c>
      <c r="D104" s="906" t="s">
        <v>1257</v>
      </c>
      <c r="E104" s="906" t="s">
        <v>1258</v>
      </c>
      <c r="F104" s="1015"/>
      <c r="G104" s="1014"/>
      <c r="H104" s="1014"/>
      <c r="I104" s="1014"/>
      <c r="J104" s="1013"/>
      <c r="K104" s="1012"/>
      <c r="L104" s="1011"/>
      <c r="N104" s="1049" t="s">
        <v>1750</v>
      </c>
      <c r="O104" s="1048"/>
      <c r="P104" s="1047">
        <v>74</v>
      </c>
      <c r="Q104" s="1046">
        <v>48</v>
      </c>
      <c r="R104" s="1046">
        <v>88</v>
      </c>
      <c r="S104" s="1045">
        <v>42</v>
      </c>
      <c r="T104" s="1044">
        <v>31.018432008135505</v>
      </c>
      <c r="U104" s="1043">
        <v>0.3725274241155998</v>
      </c>
      <c r="V104" s="1042">
        <v>14.243</v>
      </c>
      <c r="W104" s="1042"/>
      <c r="X104" s="1042">
        <v>103</v>
      </c>
    </row>
    <row r="105" spans="1:24">
      <c r="A105" s="906">
        <v>104</v>
      </c>
      <c r="B105" s="906" t="s">
        <v>1749</v>
      </c>
      <c r="C105" s="906">
        <v>29189</v>
      </c>
      <c r="D105" s="906" t="s">
        <v>1256</v>
      </c>
      <c r="E105" s="906" t="s">
        <v>1258</v>
      </c>
      <c r="F105" s="1015"/>
      <c r="G105" s="1014"/>
      <c r="H105" s="1014"/>
      <c r="I105" s="1014"/>
      <c r="J105" s="1013"/>
      <c r="K105" s="1012"/>
      <c r="L105" s="1011"/>
      <c r="N105" s="1049" t="s">
        <v>1748</v>
      </c>
      <c r="O105" s="1048"/>
      <c r="P105" s="1047">
        <v>80</v>
      </c>
      <c r="Q105" s="1046">
        <v>45</v>
      </c>
      <c r="R105" s="1046">
        <v>85</v>
      </c>
      <c r="S105" s="1045">
        <v>45</v>
      </c>
      <c r="T105" s="1044" t="s">
        <v>842</v>
      </c>
      <c r="U105" s="1043">
        <v>0.10795193210896252</v>
      </c>
      <c r="V105" s="1042">
        <v>137.70099999999999</v>
      </c>
      <c r="W105" s="1042"/>
      <c r="X105" s="1042">
        <v>104</v>
      </c>
    </row>
    <row r="106" spans="1:24">
      <c r="A106" s="906">
        <v>105</v>
      </c>
      <c r="B106" s="906" t="s">
        <v>1747</v>
      </c>
      <c r="C106" s="906">
        <v>29189</v>
      </c>
      <c r="D106" s="906" t="s">
        <v>1257</v>
      </c>
      <c r="E106" s="906" t="s">
        <v>1258</v>
      </c>
      <c r="F106" s="1015">
        <f t="shared" ref="F106:L106" si="56">O57</f>
        <v>0</v>
      </c>
      <c r="G106" s="1014">
        <f t="shared" si="56"/>
        <v>67.900000000000006</v>
      </c>
      <c r="H106" s="1014">
        <f t="shared" si="56"/>
        <v>44</v>
      </c>
      <c r="I106" s="1014">
        <f t="shared" si="56"/>
        <v>68.52</v>
      </c>
      <c r="J106" s="1013">
        <f t="shared" si="56"/>
        <v>38</v>
      </c>
      <c r="K106" s="1012">
        <f t="shared" si="56"/>
        <v>0</v>
      </c>
      <c r="L106" s="1011">
        <f t="shared" si="56"/>
        <v>0.25009485094850947</v>
      </c>
      <c r="N106" s="1049" t="s">
        <v>1611</v>
      </c>
      <c r="O106" s="1048"/>
      <c r="P106" s="1047">
        <v>74</v>
      </c>
      <c r="Q106" s="1046">
        <v>52</v>
      </c>
      <c r="R106" s="1046">
        <v>82</v>
      </c>
      <c r="S106" s="1045">
        <v>48</v>
      </c>
      <c r="T106" s="1044" t="s">
        <v>842</v>
      </c>
      <c r="U106" s="1043">
        <v>0.1757134564395425</v>
      </c>
      <c r="V106" s="1042">
        <v>262.69600000000003</v>
      </c>
      <c r="W106" s="1042"/>
      <c r="X106" s="1042">
        <v>105</v>
      </c>
    </row>
    <row r="107" spans="1:24">
      <c r="A107" s="906">
        <v>106</v>
      </c>
      <c r="B107" s="906" t="s">
        <v>1746</v>
      </c>
      <c r="C107" s="906">
        <v>29188</v>
      </c>
      <c r="D107" s="906" t="s">
        <v>1256</v>
      </c>
      <c r="E107" s="906" t="s">
        <v>1259</v>
      </c>
      <c r="F107" s="1015"/>
      <c r="G107" s="1014"/>
      <c r="H107" s="1014"/>
      <c r="I107" s="1014"/>
      <c r="J107" s="1013"/>
      <c r="K107" s="1012"/>
      <c r="L107" s="1011"/>
      <c r="N107" s="1049" t="s">
        <v>1745</v>
      </c>
      <c r="O107" s="1048">
        <v>1.6020721412125863E-2</v>
      </c>
      <c r="P107" s="1047">
        <v>75</v>
      </c>
      <c r="Q107" s="1046">
        <v>41</v>
      </c>
      <c r="R107" s="1046">
        <v>76</v>
      </c>
      <c r="S107" s="1045">
        <v>36</v>
      </c>
      <c r="T107" s="1044">
        <v>38.430332926347113</v>
      </c>
      <c r="U107" s="1043">
        <v>0.28141756848981181</v>
      </c>
      <c r="V107" s="1042">
        <v>29.481999999999999</v>
      </c>
      <c r="W107" s="1042"/>
      <c r="X107" s="1042">
        <v>106</v>
      </c>
    </row>
    <row r="108" spans="1:24">
      <c r="A108" s="906">
        <v>107</v>
      </c>
      <c r="B108" s="906" t="s">
        <v>1744</v>
      </c>
      <c r="C108" s="906">
        <v>29189</v>
      </c>
      <c r="D108" s="906" t="s">
        <v>1256</v>
      </c>
      <c r="E108" s="906" t="s">
        <v>1258</v>
      </c>
      <c r="F108" s="1015"/>
      <c r="G108" s="1014"/>
      <c r="H108" s="1014"/>
      <c r="I108" s="1014"/>
      <c r="J108" s="1013"/>
      <c r="K108" s="1012"/>
      <c r="L108" s="1011"/>
      <c r="N108" s="1032" t="s">
        <v>1599</v>
      </c>
      <c r="O108" s="1031">
        <v>3.8071326441955766E-2</v>
      </c>
      <c r="P108" s="1030">
        <v>68.7</v>
      </c>
      <c r="Q108" s="1029">
        <v>49.7</v>
      </c>
      <c r="R108" s="1029">
        <v>70.8</v>
      </c>
      <c r="S108" s="1028">
        <v>46</v>
      </c>
      <c r="T108" s="1027">
        <v>22.152504600492247</v>
      </c>
      <c r="U108" s="1026">
        <v>0.20717171142467</v>
      </c>
      <c r="V108" s="1018">
        <v>111.47799999999999</v>
      </c>
      <c r="W108" s="1018"/>
      <c r="X108" s="1018">
        <v>107</v>
      </c>
    </row>
    <row r="109" spans="1:24">
      <c r="A109" s="906">
        <v>108</v>
      </c>
      <c r="B109" s="906" t="s">
        <v>1743</v>
      </c>
      <c r="C109" s="906">
        <v>29189</v>
      </c>
      <c r="D109" s="906" t="s">
        <v>1256</v>
      </c>
      <c r="E109" s="906" t="s">
        <v>1258</v>
      </c>
      <c r="F109" s="1015">
        <f t="shared" ref="F109:L110" si="57">O58</f>
        <v>0.05</v>
      </c>
      <c r="G109" s="1014">
        <f t="shared" si="57"/>
        <v>68</v>
      </c>
      <c r="H109" s="1014">
        <f t="shared" si="57"/>
        <v>33</v>
      </c>
      <c r="I109" s="1014">
        <f t="shared" si="57"/>
        <v>72</v>
      </c>
      <c r="J109" s="1013">
        <f t="shared" si="57"/>
        <v>35</v>
      </c>
      <c r="K109" s="1012">
        <f t="shared" si="57"/>
        <v>35.964255843641325</v>
      </c>
      <c r="L109" s="1011">
        <f t="shared" si="57"/>
        <v>0.27610526315789474</v>
      </c>
      <c r="N109" s="1049" t="s">
        <v>1592</v>
      </c>
      <c r="O109" s="1048"/>
      <c r="P109" s="1047">
        <v>69</v>
      </c>
      <c r="Q109" s="1046">
        <v>40</v>
      </c>
      <c r="R109" s="1046">
        <v>73</v>
      </c>
      <c r="S109" s="1045">
        <v>36</v>
      </c>
      <c r="T109" s="1044">
        <v>42.092665479648893</v>
      </c>
      <c r="U109" s="1043">
        <v>0.23629304613748173</v>
      </c>
      <c r="V109" s="1042">
        <v>143.596</v>
      </c>
      <c r="W109" s="1042"/>
      <c r="X109" s="1042">
        <v>108</v>
      </c>
    </row>
    <row r="110" spans="1:24">
      <c r="A110" s="906">
        <v>109</v>
      </c>
      <c r="B110" s="906" t="s">
        <v>1742</v>
      </c>
      <c r="C110" s="906">
        <v>29189</v>
      </c>
      <c r="D110" s="906" t="s">
        <v>1256</v>
      </c>
      <c r="E110" s="906" t="s">
        <v>1258</v>
      </c>
      <c r="F110" s="1015">
        <f t="shared" si="57"/>
        <v>1.2185833968012186E-2</v>
      </c>
      <c r="G110" s="1014">
        <f t="shared" si="57"/>
        <v>65</v>
      </c>
      <c r="H110" s="1014">
        <f t="shared" si="57"/>
        <v>40</v>
      </c>
      <c r="I110" s="1014">
        <f t="shared" si="57"/>
        <v>72</v>
      </c>
      <c r="J110" s="1013">
        <f t="shared" si="57"/>
        <v>38</v>
      </c>
      <c r="K110" s="1012">
        <f t="shared" si="57"/>
        <v>28.453720804465171</v>
      </c>
      <c r="L110" s="1011">
        <f t="shared" si="57"/>
        <v>0.40100231303006939</v>
      </c>
      <c r="N110" s="1049" t="s">
        <v>1741</v>
      </c>
      <c r="O110" s="1048"/>
      <c r="P110" s="1047">
        <v>85</v>
      </c>
      <c r="Q110" s="1046">
        <v>50</v>
      </c>
      <c r="R110" s="1046">
        <v>105</v>
      </c>
      <c r="S110" s="1045">
        <v>50</v>
      </c>
      <c r="T110" s="1044" t="s">
        <v>842</v>
      </c>
      <c r="U110" s="1043"/>
      <c r="V110" s="1042" t="s">
        <v>842</v>
      </c>
      <c r="W110" s="1042"/>
      <c r="X110" s="1042">
        <v>109</v>
      </c>
    </row>
    <row r="111" spans="1:24">
      <c r="A111" s="906">
        <v>110</v>
      </c>
      <c r="B111" s="906" t="s">
        <v>1740</v>
      </c>
      <c r="C111" s="906">
        <v>19438</v>
      </c>
      <c r="D111" s="906" t="s">
        <v>1257</v>
      </c>
      <c r="E111" s="906" t="s">
        <v>1259</v>
      </c>
      <c r="F111" s="1015"/>
      <c r="G111" s="1014"/>
      <c r="H111" s="1014"/>
      <c r="I111" s="1014"/>
      <c r="J111" s="1013"/>
      <c r="K111" s="1012"/>
      <c r="L111" s="1011"/>
      <c r="N111" s="1049" t="s">
        <v>1586</v>
      </c>
      <c r="O111" s="1048"/>
      <c r="P111" s="1047">
        <v>70</v>
      </c>
      <c r="Q111" s="1046">
        <v>36</v>
      </c>
      <c r="R111" s="1046">
        <v>73</v>
      </c>
      <c r="S111" s="1045">
        <v>34</v>
      </c>
      <c r="T111" s="1044">
        <v>37.872396067668497</v>
      </c>
      <c r="U111" s="1043">
        <v>0.19338463012036652</v>
      </c>
      <c r="V111" s="1042">
        <v>25.263999999999999</v>
      </c>
      <c r="W111" s="1042"/>
      <c r="X111" s="1042">
        <v>110</v>
      </c>
    </row>
    <row r="112" spans="1:24">
      <c r="A112" s="906">
        <v>111</v>
      </c>
      <c r="B112" s="906" t="s">
        <v>1740</v>
      </c>
      <c r="C112" s="906">
        <v>19438</v>
      </c>
      <c r="D112" s="906" t="s">
        <v>1256</v>
      </c>
      <c r="E112" s="906" t="s">
        <v>1259</v>
      </c>
      <c r="F112" s="1015"/>
      <c r="G112" s="1014"/>
      <c r="H112" s="1014"/>
      <c r="I112" s="1014"/>
      <c r="J112" s="1013"/>
      <c r="K112" s="1012"/>
      <c r="L112" s="1011"/>
      <c r="N112" s="1049" t="s">
        <v>1739</v>
      </c>
      <c r="O112" s="1048"/>
      <c r="P112" s="1047">
        <v>72</v>
      </c>
      <c r="Q112" s="1046">
        <v>0</v>
      </c>
      <c r="R112" s="1046">
        <v>72</v>
      </c>
      <c r="S112" s="1045">
        <v>0</v>
      </c>
      <c r="T112" s="1044" t="s">
        <v>842</v>
      </c>
      <c r="U112" s="1043"/>
      <c r="V112" s="1042" t="s">
        <v>842</v>
      </c>
      <c r="W112" s="1042"/>
      <c r="X112" s="1042">
        <v>111</v>
      </c>
    </row>
    <row r="113" spans="1:24">
      <c r="A113" s="906">
        <v>112</v>
      </c>
      <c r="B113" s="906" t="s">
        <v>1738</v>
      </c>
      <c r="C113" s="906">
        <v>29189</v>
      </c>
      <c r="D113" s="906" t="s">
        <v>1256</v>
      </c>
      <c r="E113" s="906" t="s">
        <v>1258</v>
      </c>
      <c r="F113" s="1015"/>
      <c r="G113" s="1014"/>
      <c r="H113" s="1014"/>
      <c r="I113" s="1014"/>
      <c r="J113" s="1013"/>
      <c r="K113" s="1012"/>
      <c r="L113" s="1011"/>
      <c r="N113" s="1049" t="s">
        <v>1737</v>
      </c>
      <c r="O113" s="1048">
        <v>1.1251839242953175E-2</v>
      </c>
      <c r="P113" s="1047">
        <v>67</v>
      </c>
      <c r="Q113" s="1046">
        <v>40</v>
      </c>
      <c r="R113" s="1046">
        <v>80</v>
      </c>
      <c r="S113" s="1045">
        <v>38</v>
      </c>
      <c r="T113" s="1044">
        <v>32.019368239910655</v>
      </c>
      <c r="U113" s="1043">
        <v>0.30101251787225353</v>
      </c>
      <c r="V113" s="1042">
        <v>23.954999999999998</v>
      </c>
      <c r="W113" s="1042"/>
      <c r="X113" s="1042">
        <v>112</v>
      </c>
    </row>
    <row r="114" spans="1:24">
      <c r="A114" s="906">
        <v>113</v>
      </c>
      <c r="B114" s="906" t="s">
        <v>1736</v>
      </c>
      <c r="C114" s="906">
        <v>29188</v>
      </c>
      <c r="D114" s="906" t="s">
        <v>1256</v>
      </c>
      <c r="E114" s="906" t="s">
        <v>1259</v>
      </c>
      <c r="F114" s="1015">
        <f t="shared" ref="F114:L114" si="58">O61</f>
        <v>6.0532337821525582E-2</v>
      </c>
      <c r="G114" s="1014">
        <f t="shared" si="58"/>
        <v>76</v>
      </c>
      <c r="H114" s="1014">
        <f t="shared" si="58"/>
        <v>43</v>
      </c>
      <c r="I114" s="1014">
        <f t="shared" si="58"/>
        <v>77</v>
      </c>
      <c r="J114" s="1013">
        <f t="shared" si="58"/>
        <v>41</v>
      </c>
      <c r="K114" s="1012">
        <f t="shared" si="58"/>
        <v>36.951352733977416</v>
      </c>
      <c r="L114" s="1011">
        <f t="shared" si="58"/>
        <v>0.32881061639588244</v>
      </c>
      <c r="N114" s="1049" t="s">
        <v>1735</v>
      </c>
      <c r="O114" s="1048"/>
      <c r="P114" s="1047">
        <v>83.5</v>
      </c>
      <c r="Q114" s="1046">
        <v>55.9</v>
      </c>
      <c r="R114" s="1046">
        <v>87.3</v>
      </c>
      <c r="S114" s="1045">
        <v>51.9</v>
      </c>
      <c r="T114" s="1044" t="s">
        <v>842</v>
      </c>
      <c r="U114" s="1043">
        <v>0.24901553425563058</v>
      </c>
      <c r="V114" s="1042">
        <v>159.05099999999999</v>
      </c>
      <c r="W114" s="1042"/>
      <c r="X114" s="1042">
        <v>113</v>
      </c>
    </row>
    <row r="115" spans="1:24">
      <c r="A115" s="906">
        <v>114</v>
      </c>
      <c r="B115" s="906" t="s">
        <v>1734</v>
      </c>
      <c r="C115" s="906">
        <v>29189</v>
      </c>
      <c r="D115" s="906" t="s">
        <v>1256</v>
      </c>
      <c r="E115" s="906" t="s">
        <v>1258</v>
      </c>
      <c r="F115" s="1015"/>
      <c r="G115" s="1014"/>
      <c r="H115" s="1014"/>
      <c r="I115" s="1014"/>
      <c r="J115" s="1013"/>
      <c r="K115" s="1012"/>
      <c r="L115" s="1011"/>
      <c r="N115" s="1049" t="s">
        <v>1733</v>
      </c>
      <c r="O115" s="1048"/>
      <c r="P115" s="1047">
        <v>68</v>
      </c>
      <c r="Q115" s="1046">
        <v>0</v>
      </c>
      <c r="R115" s="1046">
        <v>70</v>
      </c>
      <c r="S115" s="1045">
        <v>0</v>
      </c>
      <c r="T115" s="1044" t="s">
        <v>842</v>
      </c>
      <c r="U115" s="1043"/>
      <c r="V115" s="1042" t="s">
        <v>842</v>
      </c>
      <c r="W115" s="1042"/>
      <c r="X115" s="1042">
        <v>114</v>
      </c>
    </row>
    <row r="116" spans="1:24">
      <c r="A116" s="906">
        <v>115</v>
      </c>
      <c r="B116" s="906" t="s">
        <v>1732</v>
      </c>
      <c r="C116" s="906">
        <v>29189</v>
      </c>
      <c r="D116" s="906" t="s">
        <v>1256</v>
      </c>
      <c r="E116" s="906" t="s">
        <v>1258</v>
      </c>
      <c r="F116" s="1015"/>
      <c r="G116" s="1014"/>
      <c r="H116" s="1014"/>
      <c r="I116" s="1014"/>
      <c r="J116" s="1013"/>
      <c r="K116" s="1012"/>
      <c r="L116" s="1011"/>
      <c r="N116" s="1049" t="s">
        <v>1731</v>
      </c>
      <c r="O116" s="1048"/>
      <c r="P116" s="1047">
        <v>65</v>
      </c>
      <c r="Q116" s="1046">
        <v>33</v>
      </c>
      <c r="R116" s="1046">
        <v>65</v>
      </c>
      <c r="S116" s="1045">
        <v>34</v>
      </c>
      <c r="T116" s="1044" t="s">
        <v>842</v>
      </c>
      <c r="U116" s="1043">
        <v>0.26867898178124799</v>
      </c>
      <c r="V116" s="1042">
        <v>23.041</v>
      </c>
      <c r="W116" s="1042"/>
      <c r="X116" s="1042">
        <v>115</v>
      </c>
    </row>
    <row r="117" spans="1:24">
      <c r="A117" s="906">
        <v>116</v>
      </c>
      <c r="B117" s="906" t="s">
        <v>1730</v>
      </c>
      <c r="C117" s="906">
        <v>29189</v>
      </c>
      <c r="D117" s="906" t="s">
        <v>1256</v>
      </c>
      <c r="E117" s="906" t="s">
        <v>1258</v>
      </c>
      <c r="F117" s="1015">
        <f t="shared" ref="F117:L117" si="59">O62</f>
        <v>0</v>
      </c>
      <c r="G117" s="1014">
        <f t="shared" si="59"/>
        <v>67</v>
      </c>
      <c r="H117" s="1014">
        <f t="shared" si="59"/>
        <v>36</v>
      </c>
      <c r="I117" s="1014">
        <f t="shared" si="59"/>
        <v>71</v>
      </c>
      <c r="J117" s="1013">
        <f t="shared" si="59"/>
        <v>34</v>
      </c>
      <c r="K117" s="1012">
        <f t="shared" si="59"/>
        <v>35.586149795173704</v>
      </c>
      <c r="L117" s="1011">
        <f t="shared" si="59"/>
        <v>0.33608655188459746</v>
      </c>
      <c r="N117" s="1049" t="s">
        <v>1729</v>
      </c>
      <c r="O117" s="1048"/>
      <c r="P117" s="1047">
        <v>68</v>
      </c>
      <c r="Q117" s="1046">
        <v>31</v>
      </c>
      <c r="R117" s="1046">
        <v>70</v>
      </c>
      <c r="S117" s="1045">
        <v>32</v>
      </c>
      <c r="T117" s="1044">
        <v>36.00190348631601</v>
      </c>
      <c r="U117" s="1043">
        <v>0.18422348746035186</v>
      </c>
      <c r="V117" s="1042">
        <v>41.408000000000001</v>
      </c>
      <c r="W117" s="1042"/>
      <c r="X117" s="1042">
        <v>116</v>
      </c>
    </row>
    <row r="118" spans="1:24">
      <c r="A118" s="906">
        <v>117</v>
      </c>
      <c r="B118" s="906" t="s">
        <v>1728</v>
      </c>
      <c r="C118" s="906">
        <v>62761</v>
      </c>
      <c r="D118" s="906" t="s">
        <v>1257</v>
      </c>
      <c r="E118" s="906" t="s">
        <v>1259</v>
      </c>
      <c r="F118" s="1015"/>
      <c r="G118" s="1014"/>
      <c r="H118" s="1014"/>
      <c r="I118" s="1014"/>
      <c r="J118" s="1013"/>
      <c r="K118" s="1012"/>
      <c r="L118" s="1011"/>
      <c r="N118" s="1049" t="s">
        <v>1727</v>
      </c>
      <c r="O118" s="1048"/>
      <c r="P118" s="1047">
        <v>70</v>
      </c>
      <c r="Q118" s="1046">
        <v>40</v>
      </c>
      <c r="R118" s="1046">
        <v>75</v>
      </c>
      <c r="S118" s="1045">
        <v>35</v>
      </c>
      <c r="T118" s="1044" t="s">
        <v>842</v>
      </c>
      <c r="U118" s="1043"/>
      <c r="V118" s="1042" t="s">
        <v>842</v>
      </c>
      <c r="W118" s="1042"/>
      <c r="X118" s="1042">
        <v>117</v>
      </c>
    </row>
    <row r="119" spans="1:24">
      <c r="A119" s="906">
        <v>118</v>
      </c>
      <c r="B119" s="906" t="s">
        <v>1726</v>
      </c>
      <c r="C119" s="906">
        <v>29189</v>
      </c>
      <c r="D119" s="906" t="s">
        <v>1256</v>
      </c>
      <c r="E119" s="906" t="s">
        <v>1258</v>
      </c>
      <c r="F119" s="1015"/>
      <c r="G119" s="1014"/>
      <c r="H119" s="1014"/>
      <c r="I119" s="1014"/>
      <c r="J119" s="1013"/>
      <c r="K119" s="1012"/>
      <c r="L119" s="1011"/>
      <c r="N119" s="1049" t="s">
        <v>1725</v>
      </c>
      <c r="O119" s="1048"/>
      <c r="P119" s="1047">
        <v>65</v>
      </c>
      <c r="Q119" s="1046">
        <v>35</v>
      </c>
      <c r="R119" s="1046">
        <v>80</v>
      </c>
      <c r="S119" s="1045">
        <v>32</v>
      </c>
      <c r="T119" s="1044"/>
      <c r="U119" s="1043">
        <v>0.3172579453067258</v>
      </c>
      <c r="V119" s="1042">
        <v>11.085000000000001</v>
      </c>
      <c r="W119" s="1042"/>
      <c r="X119" s="1042">
        <v>118</v>
      </c>
    </row>
    <row r="120" spans="1:24">
      <c r="A120" s="906">
        <v>119</v>
      </c>
      <c r="B120" s="906" t="s">
        <v>1724</v>
      </c>
      <c r="C120" s="906">
        <v>65120</v>
      </c>
      <c r="D120" s="906" t="s">
        <v>1257</v>
      </c>
      <c r="E120" s="906" t="s">
        <v>1259</v>
      </c>
      <c r="F120" s="1015">
        <f t="shared" ref="F120:L120" si="60">O63</f>
        <v>0</v>
      </c>
      <c r="G120" s="1014">
        <f t="shared" si="60"/>
        <v>80</v>
      </c>
      <c r="H120" s="1014">
        <f t="shared" si="60"/>
        <v>50</v>
      </c>
      <c r="I120" s="1014">
        <f t="shared" si="60"/>
        <v>90</v>
      </c>
      <c r="J120" s="1013">
        <f t="shared" si="60"/>
        <v>55</v>
      </c>
      <c r="K120" s="1012">
        <f t="shared" si="60"/>
        <v>26.462430536530587</v>
      </c>
      <c r="L120" s="1011">
        <f t="shared" si="60"/>
        <v>0.10822587144872053</v>
      </c>
      <c r="N120" s="1049" t="s">
        <v>1723</v>
      </c>
      <c r="O120" s="1048">
        <v>0.27485276378343859</v>
      </c>
      <c r="P120" s="1047">
        <v>73</v>
      </c>
      <c r="Q120" s="1046">
        <v>36</v>
      </c>
      <c r="R120" s="1046">
        <v>75</v>
      </c>
      <c r="S120" s="1045">
        <v>38</v>
      </c>
      <c r="T120" s="1044">
        <v>35.047064945836929</v>
      </c>
      <c r="U120" s="1043">
        <v>0.27305641176182788</v>
      </c>
      <c r="V120" s="1042">
        <v>14.858000000000001</v>
      </c>
      <c r="W120" s="1042"/>
      <c r="X120" s="1042">
        <v>119</v>
      </c>
    </row>
    <row r="121" spans="1:24">
      <c r="A121" s="906">
        <v>120</v>
      </c>
      <c r="B121" s="906" t="s">
        <v>1722</v>
      </c>
      <c r="C121" s="906">
        <v>29189</v>
      </c>
      <c r="D121" s="906" t="s">
        <v>1256</v>
      </c>
      <c r="E121" s="906" t="s">
        <v>1258</v>
      </c>
      <c r="F121" s="1015">
        <f t="shared" ref="F121:L123" si="61">O65</f>
        <v>0</v>
      </c>
      <c r="G121" s="1014">
        <f t="shared" si="61"/>
        <v>75</v>
      </c>
      <c r="H121" s="1014">
        <f t="shared" si="61"/>
        <v>36</v>
      </c>
      <c r="I121" s="1014">
        <f t="shared" si="61"/>
        <v>75</v>
      </c>
      <c r="J121" s="1013">
        <f t="shared" si="61"/>
        <v>34</v>
      </c>
      <c r="K121" s="1012" t="str">
        <f t="shared" si="61"/>
        <v/>
      </c>
      <c r="L121" s="1011">
        <f t="shared" si="61"/>
        <v>0.27605633802816903</v>
      </c>
      <c r="N121" s="1049" t="s">
        <v>1721</v>
      </c>
      <c r="O121" s="1048"/>
      <c r="P121" s="1047">
        <v>72</v>
      </c>
      <c r="Q121" s="1046">
        <v>42</v>
      </c>
      <c r="R121" s="1046">
        <v>74</v>
      </c>
      <c r="S121" s="1045">
        <v>37</v>
      </c>
      <c r="T121" s="1044">
        <v>32.767900746998279</v>
      </c>
      <c r="U121" s="1043">
        <v>0.32580379714834662</v>
      </c>
      <c r="V121" s="1042">
        <v>5.3337009999999996</v>
      </c>
      <c r="W121" s="1042"/>
      <c r="X121" s="1042">
        <v>120</v>
      </c>
    </row>
    <row r="122" spans="1:24">
      <c r="A122" s="906">
        <v>121</v>
      </c>
      <c r="B122" s="906" t="s">
        <v>1720</v>
      </c>
      <c r="C122" s="906">
        <v>29189</v>
      </c>
      <c r="D122" s="906" t="s">
        <v>1256</v>
      </c>
      <c r="E122" s="906" t="s">
        <v>1258</v>
      </c>
      <c r="F122" s="1015">
        <f t="shared" si="61"/>
        <v>0</v>
      </c>
      <c r="G122" s="1014">
        <f t="shared" si="61"/>
        <v>68</v>
      </c>
      <c r="H122" s="1014">
        <f t="shared" si="61"/>
        <v>41</v>
      </c>
      <c r="I122" s="1014">
        <f t="shared" si="61"/>
        <v>70</v>
      </c>
      <c r="J122" s="1013">
        <f t="shared" si="61"/>
        <v>36</v>
      </c>
      <c r="K122" s="1012">
        <f t="shared" si="61"/>
        <v>30.64825300254796</v>
      </c>
      <c r="L122" s="1011">
        <f t="shared" si="61"/>
        <v>0.19962812148031642</v>
      </c>
      <c r="N122" s="1049" t="s">
        <v>1541</v>
      </c>
      <c r="O122" s="1048">
        <v>2.1120897419043862E-2</v>
      </c>
      <c r="P122" s="1047">
        <v>80</v>
      </c>
      <c r="Q122" s="1046">
        <v>40</v>
      </c>
      <c r="R122" s="1046">
        <v>80</v>
      </c>
      <c r="S122" s="1045">
        <v>40</v>
      </c>
      <c r="T122" s="1044">
        <v>51.616798161181421</v>
      </c>
      <c r="U122" s="1043">
        <v>0.11332199292716773</v>
      </c>
      <c r="V122" s="1042">
        <v>39.615000000000002</v>
      </c>
      <c r="W122" s="1042"/>
      <c r="X122" s="1042">
        <v>121</v>
      </c>
    </row>
    <row r="123" spans="1:24">
      <c r="A123" s="906">
        <v>122</v>
      </c>
      <c r="B123" s="906" t="s">
        <v>1719</v>
      </c>
      <c r="C123" s="906">
        <v>44023</v>
      </c>
      <c r="D123" s="906" t="s">
        <v>1257</v>
      </c>
      <c r="E123" s="906" t="s">
        <v>1259</v>
      </c>
      <c r="F123" s="1015">
        <f t="shared" si="61"/>
        <v>0</v>
      </c>
      <c r="G123" s="1014">
        <f t="shared" si="61"/>
        <v>80.5</v>
      </c>
      <c r="H123" s="1014">
        <f t="shared" si="61"/>
        <v>52.2</v>
      </c>
      <c r="I123" s="1014">
        <f t="shared" si="61"/>
        <v>85</v>
      </c>
      <c r="J123" s="1013">
        <f t="shared" si="61"/>
        <v>51.2</v>
      </c>
      <c r="K123" s="1012" t="str">
        <f t="shared" si="61"/>
        <v/>
      </c>
      <c r="L123" s="1011">
        <f t="shared" si="61"/>
        <v>9.8541692509985887E-2</v>
      </c>
      <c r="N123" s="1049" t="s">
        <v>1718</v>
      </c>
      <c r="O123" s="1048"/>
      <c r="P123" s="1047">
        <v>66</v>
      </c>
      <c r="Q123" s="1046">
        <v>37.5</v>
      </c>
      <c r="R123" s="1046">
        <v>75</v>
      </c>
      <c r="S123" s="1045">
        <v>36</v>
      </c>
      <c r="T123" s="1044">
        <v>28.233937756446295</v>
      </c>
      <c r="U123" s="1043">
        <v>0.18274293308797218</v>
      </c>
      <c r="V123" s="1042">
        <v>63.951999999999998</v>
      </c>
      <c r="W123" s="1042"/>
      <c r="X123" s="1042">
        <v>122</v>
      </c>
    </row>
    <row r="124" spans="1:24">
      <c r="A124" s="906">
        <v>123</v>
      </c>
      <c r="B124" s="906" t="s">
        <v>1717</v>
      </c>
      <c r="C124" s="906">
        <v>44023</v>
      </c>
      <c r="D124" s="906" t="s">
        <v>1257</v>
      </c>
      <c r="E124" s="906" t="s">
        <v>1259</v>
      </c>
      <c r="F124" s="1015">
        <f t="shared" ref="F124:L124" si="62">F123</f>
        <v>0</v>
      </c>
      <c r="G124" s="1014">
        <f t="shared" si="62"/>
        <v>80.5</v>
      </c>
      <c r="H124" s="1014">
        <f t="shared" si="62"/>
        <v>52.2</v>
      </c>
      <c r="I124" s="1014">
        <f t="shared" si="62"/>
        <v>85</v>
      </c>
      <c r="J124" s="1013">
        <f t="shared" si="62"/>
        <v>51.2</v>
      </c>
      <c r="K124" s="1012" t="str">
        <f t="shared" si="62"/>
        <v/>
      </c>
      <c r="L124" s="1011">
        <f t="shared" si="62"/>
        <v>9.8541692509985887E-2</v>
      </c>
      <c r="N124" s="1049" t="s">
        <v>1716</v>
      </c>
      <c r="O124" s="1048"/>
      <c r="P124" s="1047">
        <v>65</v>
      </c>
      <c r="Q124" s="1046">
        <v>43</v>
      </c>
      <c r="R124" s="1046">
        <v>68</v>
      </c>
      <c r="S124" s="1045">
        <v>36</v>
      </c>
      <c r="T124" s="1044">
        <v>28.562911929118126</v>
      </c>
      <c r="U124" s="1043">
        <v>0.25218417118295644</v>
      </c>
      <c r="V124" s="1042">
        <v>64.025000000000006</v>
      </c>
      <c r="W124" s="1042"/>
      <c r="X124" s="1042">
        <v>123</v>
      </c>
    </row>
    <row r="125" spans="1:24">
      <c r="A125" s="906">
        <v>124</v>
      </c>
      <c r="B125" s="906" t="s">
        <v>1715</v>
      </c>
      <c r="C125" s="906">
        <v>29189</v>
      </c>
      <c r="D125" s="906" t="s">
        <v>1256</v>
      </c>
      <c r="E125" s="906" t="s">
        <v>1258</v>
      </c>
      <c r="F125" s="1015"/>
      <c r="G125" s="1014"/>
      <c r="H125" s="1014"/>
      <c r="I125" s="1014"/>
      <c r="J125" s="1013"/>
      <c r="K125" s="1012"/>
      <c r="L125" s="1011"/>
      <c r="N125" s="1049" t="s">
        <v>1714</v>
      </c>
      <c r="O125" s="1048">
        <v>2.4506092104357405E-2</v>
      </c>
      <c r="P125" s="1047">
        <v>70</v>
      </c>
      <c r="Q125" s="1046">
        <v>36</v>
      </c>
      <c r="R125" s="1046">
        <v>75</v>
      </c>
      <c r="S125" s="1045">
        <v>33</v>
      </c>
      <c r="T125" s="1044">
        <v>35.419468841367362</v>
      </c>
      <c r="U125" s="1043">
        <v>0.27393973608072825</v>
      </c>
      <c r="V125" s="1042">
        <v>10.289</v>
      </c>
      <c r="W125" s="1042"/>
      <c r="X125" s="1042">
        <v>124</v>
      </c>
    </row>
    <row r="126" spans="1:24">
      <c r="A126" s="906">
        <v>125</v>
      </c>
      <c r="B126" s="906" t="s">
        <v>1713</v>
      </c>
      <c r="C126" s="906">
        <v>29188</v>
      </c>
      <c r="D126" s="906" t="s">
        <v>1256</v>
      </c>
      <c r="E126" s="906" t="s">
        <v>1259</v>
      </c>
      <c r="F126" s="1015">
        <f t="shared" ref="F126:L129" si="63">O68</f>
        <v>0</v>
      </c>
      <c r="G126" s="1014">
        <f t="shared" si="63"/>
        <v>77</v>
      </c>
      <c r="H126" s="1014">
        <f t="shared" si="63"/>
        <v>42</v>
      </c>
      <c r="I126" s="1014">
        <f t="shared" si="63"/>
        <v>77</v>
      </c>
      <c r="J126" s="1013">
        <f t="shared" si="63"/>
        <v>38</v>
      </c>
      <c r="K126" s="1012">
        <f t="shared" si="63"/>
        <v>36.021988361628907</v>
      </c>
      <c r="L126" s="1011">
        <f t="shared" si="63"/>
        <v>0.33411008062636904</v>
      </c>
      <c r="N126" s="1049" t="s">
        <v>1712</v>
      </c>
      <c r="O126" s="1048"/>
      <c r="P126" s="1047">
        <v>75</v>
      </c>
      <c r="Q126" s="1046">
        <v>43</v>
      </c>
      <c r="R126" s="1046">
        <v>80</v>
      </c>
      <c r="S126" s="1045">
        <v>40</v>
      </c>
      <c r="T126" s="1044" t="s">
        <v>842</v>
      </c>
      <c r="U126" s="1043">
        <v>0.26871273487421904</v>
      </c>
      <c r="V126" s="1042">
        <v>61.57</v>
      </c>
      <c r="W126" s="1042"/>
      <c r="X126" s="1042">
        <v>125</v>
      </c>
    </row>
    <row r="127" spans="1:24">
      <c r="A127" s="906">
        <v>126</v>
      </c>
      <c r="B127" s="906" t="s">
        <v>1711</v>
      </c>
      <c r="C127" s="906">
        <v>29189</v>
      </c>
      <c r="D127" s="906" t="s">
        <v>1256</v>
      </c>
      <c r="E127" s="906" t="s">
        <v>1258</v>
      </c>
      <c r="F127" s="1015">
        <f t="shared" si="63"/>
        <v>0</v>
      </c>
      <c r="G127" s="1014">
        <f t="shared" si="63"/>
        <v>75</v>
      </c>
      <c r="H127" s="1014">
        <f t="shared" si="63"/>
        <v>40</v>
      </c>
      <c r="I127" s="1014">
        <f t="shared" si="63"/>
        <v>75</v>
      </c>
      <c r="J127" s="1013">
        <f t="shared" si="63"/>
        <v>38</v>
      </c>
      <c r="K127" s="1012" t="str">
        <f t="shared" si="63"/>
        <v/>
      </c>
      <c r="L127" s="1011">
        <f t="shared" si="63"/>
        <v>0.27943296492071118</v>
      </c>
      <c r="N127" s="1038" t="s">
        <v>1710</v>
      </c>
      <c r="O127" s="1037">
        <v>0.13181579101162993</v>
      </c>
      <c r="P127" s="1036">
        <v>69</v>
      </c>
      <c r="Q127" s="1014">
        <v>38</v>
      </c>
      <c r="R127" s="1014">
        <v>72</v>
      </c>
      <c r="S127" s="1013">
        <v>34</v>
      </c>
      <c r="T127" s="1012">
        <v>34.959378292219078</v>
      </c>
      <c r="U127" s="1035">
        <v>0.24600316381138299</v>
      </c>
      <c r="V127" s="906">
        <v>22.402000000000001</v>
      </c>
      <c r="X127" s="906">
        <v>126</v>
      </c>
    </row>
    <row r="128" spans="1:24">
      <c r="A128" s="906">
        <v>127</v>
      </c>
      <c r="B128" s="906" t="s">
        <v>1709</v>
      </c>
      <c r="C128" s="906">
        <v>29188</v>
      </c>
      <c r="D128" s="906" t="s">
        <v>1256</v>
      </c>
      <c r="E128" s="906" t="s">
        <v>1259</v>
      </c>
      <c r="F128" s="1015">
        <f t="shared" si="63"/>
        <v>0</v>
      </c>
      <c r="G128" s="1014">
        <f t="shared" si="63"/>
        <v>78</v>
      </c>
      <c r="H128" s="1014">
        <f t="shared" si="63"/>
        <v>45</v>
      </c>
      <c r="I128" s="1014">
        <f t="shared" si="63"/>
        <v>84</v>
      </c>
      <c r="J128" s="1013">
        <f t="shared" si="63"/>
        <v>40</v>
      </c>
      <c r="K128" s="1012">
        <f t="shared" si="63"/>
        <v>38.648805715167462</v>
      </c>
      <c r="L128" s="1011">
        <f t="shared" si="63"/>
        <v>0.2534529513430398</v>
      </c>
      <c r="N128" s="1049" t="s">
        <v>1708</v>
      </c>
      <c r="O128" s="1048"/>
      <c r="P128" s="1047">
        <v>70</v>
      </c>
      <c r="Q128" s="1046">
        <v>42</v>
      </c>
      <c r="R128" s="1046">
        <v>72</v>
      </c>
      <c r="S128" s="1045">
        <v>35</v>
      </c>
      <c r="T128" s="1044">
        <v>31.90301255026986</v>
      </c>
      <c r="U128" s="1043">
        <v>0.24153851746828081</v>
      </c>
      <c r="V128" s="1042">
        <v>20.863</v>
      </c>
      <c r="W128" s="1042"/>
      <c r="X128" s="1042">
        <v>127</v>
      </c>
    </row>
    <row r="129" spans="1:24">
      <c r="A129" s="906">
        <v>128</v>
      </c>
      <c r="B129" s="906" t="s">
        <v>1707</v>
      </c>
      <c r="C129" s="906">
        <v>32264</v>
      </c>
      <c r="D129" s="906" t="s">
        <v>1256</v>
      </c>
      <c r="E129" s="906" t="s">
        <v>1258</v>
      </c>
      <c r="F129" s="1015">
        <f t="shared" si="63"/>
        <v>2.9754204398447608E-2</v>
      </c>
      <c r="G129" s="1014">
        <f t="shared" si="63"/>
        <v>65</v>
      </c>
      <c r="H129" s="1014">
        <f t="shared" si="63"/>
        <v>40</v>
      </c>
      <c r="I129" s="1014">
        <f t="shared" si="63"/>
        <v>75</v>
      </c>
      <c r="J129" s="1013">
        <f t="shared" si="63"/>
        <v>39</v>
      </c>
      <c r="K129" s="1012">
        <f t="shared" si="63"/>
        <v>0</v>
      </c>
      <c r="L129" s="1011">
        <f t="shared" si="63"/>
        <v>0.39011764705882351</v>
      </c>
      <c r="N129" s="1049" t="s">
        <v>1706</v>
      </c>
      <c r="O129" s="1048"/>
      <c r="P129" s="1047">
        <v>68</v>
      </c>
      <c r="Q129" s="1046">
        <v>44</v>
      </c>
      <c r="R129" s="1046">
        <v>70</v>
      </c>
      <c r="S129" s="1045">
        <v>39</v>
      </c>
      <c r="T129" s="1044">
        <v>27.076615304008193</v>
      </c>
      <c r="U129" s="1043">
        <v>0.49924357034795763</v>
      </c>
      <c r="V129" s="1042">
        <v>5.9580000000000002</v>
      </c>
      <c r="W129" s="1042"/>
      <c r="X129" s="1042">
        <v>128</v>
      </c>
    </row>
    <row r="130" spans="1:24">
      <c r="A130" s="906">
        <v>129</v>
      </c>
      <c r="B130" s="906" t="s">
        <v>1705</v>
      </c>
      <c r="C130" s="906">
        <v>29189</v>
      </c>
      <c r="D130" s="906" t="s">
        <v>1257</v>
      </c>
      <c r="E130" s="906" t="s">
        <v>1258</v>
      </c>
      <c r="F130" s="1015"/>
      <c r="G130" s="1014"/>
      <c r="H130" s="1014"/>
      <c r="I130" s="1014"/>
      <c r="J130" s="1013"/>
      <c r="K130" s="1012"/>
      <c r="L130" s="1011"/>
      <c r="N130" s="1049" t="s">
        <v>1704</v>
      </c>
      <c r="O130" s="1048"/>
      <c r="P130" s="1047">
        <v>66</v>
      </c>
      <c r="Q130" s="1046">
        <v>37</v>
      </c>
      <c r="R130" s="1046">
        <v>65</v>
      </c>
      <c r="S130" s="1045">
        <v>35</v>
      </c>
      <c r="T130" s="1044" t="s">
        <v>842</v>
      </c>
      <c r="U130" s="1043">
        <v>0.22099775357097445</v>
      </c>
      <c r="V130" s="1042">
        <v>18.379000000000001</v>
      </c>
      <c r="W130" s="1042"/>
      <c r="X130" s="1042">
        <v>129</v>
      </c>
    </row>
    <row r="131" spans="1:24">
      <c r="A131" s="906">
        <v>130</v>
      </c>
      <c r="B131" s="906" t="s">
        <v>1703</v>
      </c>
      <c r="C131" s="906">
        <v>29189</v>
      </c>
      <c r="D131" s="906" t="s">
        <v>1256</v>
      </c>
      <c r="E131" s="906" t="s">
        <v>1258</v>
      </c>
      <c r="F131" s="1015">
        <f t="shared" ref="F131:L131" si="64">O73</f>
        <v>0</v>
      </c>
      <c r="G131" s="1014">
        <f t="shared" si="64"/>
        <v>75</v>
      </c>
      <c r="H131" s="1014">
        <f t="shared" si="64"/>
        <v>42</v>
      </c>
      <c r="I131" s="1014">
        <f t="shared" si="64"/>
        <v>82</v>
      </c>
      <c r="J131" s="1013">
        <f t="shared" si="64"/>
        <v>40</v>
      </c>
      <c r="K131" s="1012" t="str">
        <f t="shared" si="64"/>
        <v/>
      </c>
      <c r="L131" s="1011">
        <f t="shared" si="64"/>
        <v>0.15905077413790744</v>
      </c>
      <c r="N131" s="1049" t="s">
        <v>1702</v>
      </c>
      <c r="O131" s="1048"/>
      <c r="P131" s="1047">
        <v>60.38</v>
      </c>
      <c r="Q131" s="1046">
        <v>38</v>
      </c>
      <c r="R131" s="1046">
        <v>68</v>
      </c>
      <c r="S131" s="1045">
        <v>35</v>
      </c>
      <c r="T131" s="1044" t="s">
        <v>842</v>
      </c>
      <c r="U131" s="1043"/>
      <c r="V131" s="1042" t="s">
        <v>842</v>
      </c>
      <c r="W131" s="1042"/>
      <c r="X131" s="1042">
        <v>130</v>
      </c>
    </row>
    <row r="132" spans="1:24">
      <c r="A132" s="906">
        <v>131</v>
      </c>
      <c r="B132" s="906" t="s">
        <v>1701</v>
      </c>
      <c r="C132" s="906">
        <v>29189</v>
      </c>
      <c r="D132" s="906" t="s">
        <v>1256</v>
      </c>
      <c r="E132" s="906" t="s">
        <v>1258</v>
      </c>
      <c r="F132" s="1015"/>
      <c r="G132" s="1014"/>
      <c r="H132" s="1014"/>
      <c r="I132" s="1014"/>
      <c r="J132" s="1013"/>
      <c r="K132" s="1012"/>
      <c r="L132" s="1011"/>
      <c r="N132" s="1049" t="s">
        <v>1700</v>
      </c>
      <c r="O132" s="1048">
        <v>0.2041240088577756</v>
      </c>
      <c r="P132" s="1047">
        <v>70</v>
      </c>
      <c r="Q132" s="1046">
        <v>42</v>
      </c>
      <c r="R132" s="1046">
        <v>72</v>
      </c>
      <c r="S132" s="1045">
        <v>35</v>
      </c>
      <c r="T132" s="1044">
        <v>27.81311459801638</v>
      </c>
      <c r="U132" s="1043">
        <v>0.24184353444267848</v>
      </c>
      <c r="V132" s="1042">
        <v>21.117439999999998</v>
      </c>
      <c r="W132" s="1042"/>
      <c r="X132" s="1042">
        <v>131</v>
      </c>
    </row>
    <row r="133" spans="1:24">
      <c r="A133" s="906">
        <v>132</v>
      </c>
      <c r="B133" s="906" t="s">
        <v>1699</v>
      </c>
      <c r="C133" s="906">
        <v>29189</v>
      </c>
      <c r="D133" s="906" t="s">
        <v>1256</v>
      </c>
      <c r="E133" s="906" t="s">
        <v>1258</v>
      </c>
      <c r="F133" s="1015">
        <f t="shared" ref="F133:L134" si="65">O74</f>
        <v>1.7511330861145447E-3</v>
      </c>
      <c r="G133" s="1014">
        <f t="shared" si="65"/>
        <v>64</v>
      </c>
      <c r="H133" s="1014">
        <f t="shared" si="65"/>
        <v>45</v>
      </c>
      <c r="I133" s="1014">
        <f t="shared" si="65"/>
        <v>78</v>
      </c>
      <c r="J133" s="1013">
        <f t="shared" si="65"/>
        <v>39</v>
      </c>
      <c r="K133" s="1012">
        <f t="shared" si="65"/>
        <v>41.341454254271277</v>
      </c>
      <c r="L133" s="1011">
        <f t="shared" si="65"/>
        <v>0.23941212022937336</v>
      </c>
      <c r="N133" s="1049" t="s">
        <v>1698</v>
      </c>
      <c r="O133" s="1048"/>
      <c r="P133" s="1047">
        <v>64</v>
      </c>
      <c r="Q133" s="1046">
        <v>45</v>
      </c>
      <c r="R133" s="1046">
        <v>65</v>
      </c>
      <c r="S133" s="1045">
        <v>40</v>
      </c>
      <c r="T133" s="1044" t="s">
        <v>842</v>
      </c>
      <c r="U133" s="1043">
        <v>0.19586194937631596</v>
      </c>
      <c r="V133" s="1042">
        <v>91.226111000000003</v>
      </c>
      <c r="W133" s="1042"/>
      <c r="X133" s="1042">
        <v>132</v>
      </c>
    </row>
    <row r="134" spans="1:24">
      <c r="A134" s="906">
        <v>133</v>
      </c>
      <c r="B134" s="906" t="s">
        <v>1697</v>
      </c>
      <c r="C134" s="906">
        <v>29189</v>
      </c>
      <c r="D134" s="906" t="s">
        <v>1256</v>
      </c>
      <c r="E134" s="906" t="s">
        <v>1258</v>
      </c>
      <c r="F134" s="1015">
        <f t="shared" si="65"/>
        <v>0</v>
      </c>
      <c r="G134" s="1014">
        <f t="shared" si="65"/>
        <v>68.400000000000006</v>
      </c>
      <c r="H134" s="1014">
        <f t="shared" si="65"/>
        <v>38.1</v>
      </c>
      <c r="I134" s="1014">
        <f t="shared" si="65"/>
        <v>73.3</v>
      </c>
      <c r="J134" s="1013">
        <f t="shared" si="65"/>
        <v>33.1</v>
      </c>
      <c r="K134" s="1012">
        <f t="shared" si="65"/>
        <v>45.625742555994066</v>
      </c>
      <c r="L134" s="1011">
        <f t="shared" si="65"/>
        <v>0.23402607664954564</v>
      </c>
      <c r="N134" s="1049" t="s">
        <v>1696</v>
      </c>
      <c r="O134" s="1048"/>
      <c r="P134" s="1047">
        <v>73</v>
      </c>
      <c r="Q134" s="1046">
        <v>0</v>
      </c>
      <c r="R134" s="1046">
        <v>73</v>
      </c>
      <c r="S134" s="1045">
        <v>0</v>
      </c>
      <c r="T134" s="1044" t="s">
        <v>842</v>
      </c>
      <c r="U134" s="1043"/>
      <c r="V134" s="1042" t="s">
        <v>842</v>
      </c>
      <c r="W134" s="1042"/>
      <c r="X134" s="1042">
        <v>133</v>
      </c>
    </row>
    <row r="135" spans="1:24">
      <c r="A135" s="906">
        <v>134</v>
      </c>
      <c r="B135" s="906" t="s">
        <v>1695</v>
      </c>
      <c r="C135" s="906">
        <v>29189</v>
      </c>
      <c r="D135" s="906" t="s">
        <v>1256</v>
      </c>
      <c r="E135" s="906" t="s">
        <v>1258</v>
      </c>
      <c r="F135" s="1015"/>
      <c r="G135" s="1014"/>
      <c r="H135" s="1014"/>
      <c r="I135" s="1014"/>
      <c r="J135" s="1013"/>
      <c r="K135" s="1012"/>
      <c r="L135" s="1011"/>
      <c r="N135" s="1049" t="s">
        <v>1694</v>
      </c>
      <c r="O135" s="1048"/>
      <c r="P135" s="1047">
        <v>73</v>
      </c>
      <c r="Q135" s="1046">
        <v>0</v>
      </c>
      <c r="R135" s="1046">
        <v>73</v>
      </c>
      <c r="S135" s="1045">
        <v>0</v>
      </c>
      <c r="T135" s="1044">
        <v>28.55022805146475</v>
      </c>
      <c r="U135" s="1043">
        <v>0.26233766233766231</v>
      </c>
      <c r="V135" s="1042">
        <v>5.3959999999999999</v>
      </c>
      <c r="W135" s="1042"/>
      <c r="X135" s="1042">
        <v>134</v>
      </c>
    </row>
    <row r="136" spans="1:24">
      <c r="A136" s="906">
        <v>135</v>
      </c>
      <c r="B136" s="906" t="s">
        <v>1693</v>
      </c>
      <c r="C136" s="906">
        <v>29189</v>
      </c>
      <c r="D136" s="906" t="s">
        <v>1256</v>
      </c>
      <c r="E136" s="906" t="s">
        <v>1258</v>
      </c>
      <c r="F136" s="1015">
        <f t="shared" ref="F136:L136" si="66">O76</f>
        <v>0</v>
      </c>
      <c r="G136" s="1014">
        <f t="shared" si="66"/>
        <v>70</v>
      </c>
      <c r="H136" s="1014">
        <f t="shared" si="66"/>
        <v>38</v>
      </c>
      <c r="I136" s="1014">
        <f t="shared" si="66"/>
        <v>71</v>
      </c>
      <c r="J136" s="1013">
        <f t="shared" si="66"/>
        <v>34</v>
      </c>
      <c r="K136" s="1012">
        <f t="shared" si="66"/>
        <v>39.165090999099291</v>
      </c>
      <c r="L136" s="1011">
        <f t="shared" si="66"/>
        <v>0.24730127576054955</v>
      </c>
      <c r="N136" s="1049" t="s">
        <v>1692</v>
      </c>
      <c r="O136" s="1048">
        <v>7.3937588207621141E-2</v>
      </c>
      <c r="P136" s="1047">
        <v>70</v>
      </c>
      <c r="Q136" s="1046">
        <v>34.5</v>
      </c>
      <c r="R136" s="1046">
        <v>72</v>
      </c>
      <c r="S136" s="1045">
        <v>33</v>
      </c>
      <c r="T136" s="1044">
        <v>33.602151604771642</v>
      </c>
      <c r="U136" s="1043">
        <v>0.21691643383286766</v>
      </c>
      <c r="V136" s="1042">
        <v>9.2490000000000006</v>
      </c>
      <c r="W136" s="1042"/>
      <c r="X136" s="1042">
        <v>135</v>
      </c>
    </row>
    <row r="137" spans="1:24">
      <c r="A137" s="906">
        <v>136</v>
      </c>
      <c r="B137" s="906" t="s">
        <v>1691</v>
      </c>
      <c r="C137" s="906">
        <v>29188</v>
      </c>
      <c r="D137" s="906" t="s">
        <v>1256</v>
      </c>
      <c r="E137" s="906" t="s">
        <v>1259</v>
      </c>
      <c r="F137" s="1015"/>
      <c r="G137" s="1014"/>
      <c r="H137" s="1014"/>
      <c r="I137" s="1014"/>
      <c r="J137" s="1013"/>
      <c r="K137" s="1012"/>
      <c r="L137" s="1011"/>
      <c r="N137" s="1032" t="s">
        <v>1690</v>
      </c>
      <c r="O137" s="1031"/>
      <c r="P137" s="1030">
        <v>63</v>
      </c>
      <c r="Q137" s="1029">
        <v>63</v>
      </c>
      <c r="R137" s="1029">
        <v>73</v>
      </c>
      <c r="S137" s="1028">
        <v>73</v>
      </c>
      <c r="T137" s="1027">
        <v>20.783333333333335</v>
      </c>
      <c r="U137" s="1026">
        <v>0.21572413793103448</v>
      </c>
      <c r="V137" s="1018">
        <v>45.488</v>
      </c>
      <c r="W137" s="1018"/>
      <c r="X137" s="1018">
        <v>136</v>
      </c>
    </row>
    <row r="138" spans="1:24" ht="16">
      <c r="A138" s="906">
        <v>137</v>
      </c>
      <c r="B138" s="906" t="s">
        <v>1689</v>
      </c>
      <c r="C138" s="906">
        <v>29189</v>
      </c>
      <c r="D138" s="906" t="s">
        <v>1256</v>
      </c>
      <c r="E138" s="906" t="s">
        <v>1258</v>
      </c>
      <c r="F138" s="1015">
        <f t="shared" ref="F138:K140" si="67">O77</f>
        <v>0</v>
      </c>
      <c r="G138" s="1014">
        <f t="shared" si="67"/>
        <v>75</v>
      </c>
      <c r="H138" s="1014">
        <f t="shared" si="67"/>
        <v>40</v>
      </c>
      <c r="I138" s="1014">
        <f t="shared" si="67"/>
        <v>80</v>
      </c>
      <c r="J138" s="1013">
        <f t="shared" si="67"/>
        <v>37</v>
      </c>
      <c r="K138" s="1012" t="str">
        <f t="shared" si="67"/>
        <v/>
      </c>
      <c r="L138" s="1016">
        <v>0.22800028617798151</v>
      </c>
      <c r="N138" s="1032" t="s">
        <v>1688</v>
      </c>
      <c r="O138" s="1031"/>
      <c r="P138" s="1030">
        <v>72</v>
      </c>
      <c r="Q138" s="1029">
        <v>40</v>
      </c>
      <c r="R138" s="1029">
        <v>72</v>
      </c>
      <c r="S138" s="1028">
        <v>40</v>
      </c>
      <c r="T138" s="1027" t="s">
        <v>842</v>
      </c>
      <c r="U138" s="1026">
        <v>0.2803927933776984</v>
      </c>
      <c r="V138" s="1018">
        <v>8.8670000000000009</v>
      </c>
      <c r="W138" s="1018"/>
      <c r="X138" s="1018">
        <v>137</v>
      </c>
    </row>
    <row r="139" spans="1:24">
      <c r="A139" s="906">
        <v>138</v>
      </c>
      <c r="B139" s="906" t="s">
        <v>1687</v>
      </c>
      <c r="C139" s="906">
        <v>29189</v>
      </c>
      <c r="D139" s="906" t="s">
        <v>1256</v>
      </c>
      <c r="E139" s="906" t="s">
        <v>1258</v>
      </c>
      <c r="F139" s="1015">
        <f t="shared" si="67"/>
        <v>0</v>
      </c>
      <c r="G139" s="1014">
        <f t="shared" si="67"/>
        <v>71</v>
      </c>
      <c r="H139" s="1014">
        <f t="shared" si="67"/>
        <v>42</v>
      </c>
      <c r="I139" s="1014">
        <f t="shared" si="67"/>
        <v>77</v>
      </c>
      <c r="J139" s="1013">
        <f t="shared" si="67"/>
        <v>40</v>
      </c>
      <c r="K139" s="1012" t="str">
        <f t="shared" si="67"/>
        <v/>
      </c>
      <c r="L139" s="1011">
        <f>U78</f>
        <v>0.22894129556392462</v>
      </c>
      <c r="N139" s="1032" t="s">
        <v>1686</v>
      </c>
      <c r="O139" s="1031">
        <v>9.4308389379192305E-3</v>
      </c>
      <c r="P139" s="1030">
        <v>67</v>
      </c>
      <c r="Q139" s="1029">
        <v>42</v>
      </c>
      <c r="R139" s="1029">
        <v>81</v>
      </c>
      <c r="S139" s="1028">
        <v>34</v>
      </c>
      <c r="T139" s="1027">
        <v>32.415217939027464</v>
      </c>
      <c r="U139" s="1026">
        <v>0.3305003819709702</v>
      </c>
      <c r="V139" s="1018">
        <v>7.0110000000000001</v>
      </c>
      <c r="W139" s="1018"/>
      <c r="X139" s="1018">
        <v>138</v>
      </c>
    </row>
    <row r="140" spans="1:24">
      <c r="A140" s="906">
        <v>139</v>
      </c>
      <c r="B140" s="906" t="s">
        <v>1685</v>
      </c>
      <c r="C140" s="906">
        <v>29189</v>
      </c>
      <c r="D140" s="906" t="s">
        <v>1256</v>
      </c>
      <c r="E140" s="906" t="s">
        <v>1258</v>
      </c>
      <c r="F140" s="1015">
        <f t="shared" si="67"/>
        <v>0</v>
      </c>
      <c r="G140" s="1014">
        <f t="shared" si="67"/>
        <v>73</v>
      </c>
      <c r="H140" s="1014">
        <f t="shared" si="67"/>
        <v>42</v>
      </c>
      <c r="I140" s="1014">
        <f t="shared" si="67"/>
        <v>73</v>
      </c>
      <c r="J140" s="1013">
        <f t="shared" si="67"/>
        <v>38</v>
      </c>
      <c r="K140" s="1012">
        <f t="shared" si="67"/>
        <v>29.801433962264152</v>
      </c>
      <c r="L140" s="1011">
        <f>U79</f>
        <v>0.26657954916693893</v>
      </c>
      <c r="N140" s="1032" t="s">
        <v>1684</v>
      </c>
      <c r="O140" s="1031"/>
      <c r="P140" s="1030">
        <v>71</v>
      </c>
      <c r="Q140" s="1029">
        <v>0</v>
      </c>
      <c r="R140" s="1029">
        <v>79</v>
      </c>
      <c r="S140" s="1028">
        <v>0</v>
      </c>
      <c r="T140" s="1027" t="s">
        <v>842</v>
      </c>
      <c r="U140" s="1026"/>
      <c r="V140" s="1018" t="s">
        <v>842</v>
      </c>
      <c r="W140" s="1018"/>
      <c r="X140" s="1018">
        <v>139</v>
      </c>
    </row>
    <row r="141" spans="1:24">
      <c r="A141" s="906">
        <v>140</v>
      </c>
      <c r="B141" s="906" t="s">
        <v>1683</v>
      </c>
      <c r="C141" s="906">
        <v>29189</v>
      </c>
      <c r="D141" s="906" t="s">
        <v>1256</v>
      </c>
      <c r="E141" s="906" t="s">
        <v>1258</v>
      </c>
      <c r="F141" s="1015"/>
      <c r="G141" s="1014"/>
      <c r="H141" s="1014"/>
      <c r="I141" s="1014"/>
      <c r="J141" s="1013"/>
      <c r="K141" s="1012"/>
      <c r="L141" s="1011"/>
      <c r="N141" s="1032" t="s">
        <v>1682</v>
      </c>
      <c r="O141" s="1031"/>
      <c r="P141" s="1030">
        <v>70</v>
      </c>
      <c r="Q141" s="1029">
        <v>41</v>
      </c>
      <c r="R141" s="1029">
        <v>70</v>
      </c>
      <c r="S141" s="1028">
        <v>41</v>
      </c>
      <c r="T141" s="1027" t="s">
        <v>842</v>
      </c>
      <c r="U141" s="1026">
        <v>0.31760591573840757</v>
      </c>
      <c r="V141" s="1018">
        <v>5.7953000000000001</v>
      </c>
      <c r="W141" s="1018"/>
      <c r="X141" s="1018">
        <v>140</v>
      </c>
    </row>
    <row r="142" spans="1:24">
      <c r="A142" s="906">
        <v>141</v>
      </c>
      <c r="B142" s="906" t="s">
        <v>1681</v>
      </c>
      <c r="C142" s="906">
        <v>29189</v>
      </c>
      <c r="D142" s="906" t="s">
        <v>1256</v>
      </c>
      <c r="E142" s="906" t="s">
        <v>1258</v>
      </c>
      <c r="F142" s="1015">
        <f t="shared" ref="F142:L142" si="68">O80</f>
        <v>7.1261491595495843E-2</v>
      </c>
      <c r="G142" s="1014">
        <f t="shared" si="68"/>
        <v>68</v>
      </c>
      <c r="H142" s="1014">
        <f t="shared" si="68"/>
        <v>43</v>
      </c>
      <c r="I142" s="1014">
        <f t="shared" si="68"/>
        <v>72</v>
      </c>
      <c r="J142" s="1013">
        <f t="shared" si="68"/>
        <v>40</v>
      </c>
      <c r="K142" s="1012">
        <f t="shared" si="68"/>
        <v>30.647035126791668</v>
      </c>
      <c r="L142" s="1011">
        <f t="shared" si="68"/>
        <v>0.28758859017161598</v>
      </c>
      <c r="N142" s="1032" t="s">
        <v>1680</v>
      </c>
      <c r="O142" s="1031"/>
      <c r="P142" s="1030">
        <v>60</v>
      </c>
      <c r="Q142" s="1029">
        <v>0</v>
      </c>
      <c r="R142" s="1029">
        <v>80</v>
      </c>
      <c r="S142" s="1028">
        <v>0</v>
      </c>
      <c r="T142" s="1027" t="s">
        <v>842</v>
      </c>
      <c r="U142" s="1026"/>
      <c r="V142" s="1018" t="s">
        <v>842</v>
      </c>
      <c r="W142" s="1018"/>
      <c r="X142" s="1018">
        <v>141</v>
      </c>
    </row>
    <row r="143" spans="1:24" ht="16">
      <c r="A143" s="906">
        <v>142</v>
      </c>
      <c r="B143" s="906" t="s">
        <v>1679</v>
      </c>
      <c r="C143" s="906">
        <v>29188</v>
      </c>
      <c r="D143" s="906" t="s">
        <v>1256</v>
      </c>
      <c r="E143" s="906" t="s">
        <v>1259</v>
      </c>
      <c r="F143" s="1015">
        <f t="shared" ref="F143:K145" si="69">O81</f>
        <v>0</v>
      </c>
      <c r="G143" s="1014">
        <f t="shared" si="69"/>
        <v>78</v>
      </c>
      <c r="H143" s="1014">
        <f t="shared" si="69"/>
        <v>0</v>
      </c>
      <c r="I143" s="1014">
        <f t="shared" si="69"/>
        <v>78</v>
      </c>
      <c r="J143" s="1013">
        <f t="shared" si="69"/>
        <v>0</v>
      </c>
      <c r="K143" s="1012" t="str">
        <f t="shared" si="69"/>
        <v/>
      </c>
      <c r="L143" s="1016">
        <v>0.22800028617798151</v>
      </c>
      <c r="N143" s="1032" t="s">
        <v>1678</v>
      </c>
      <c r="O143" s="1031">
        <v>7.2396076599719368E-3</v>
      </c>
      <c r="P143" s="1030">
        <v>72</v>
      </c>
      <c r="Q143" s="1029">
        <v>38</v>
      </c>
      <c r="R143" s="1029">
        <v>76</v>
      </c>
      <c r="S143" s="1028">
        <v>35</v>
      </c>
      <c r="T143" s="1027">
        <v>34.726955023416103</v>
      </c>
      <c r="U143" s="1026">
        <v>0.15658695901921843</v>
      </c>
      <c r="V143" s="1018">
        <v>15.417</v>
      </c>
      <c r="W143" s="1018"/>
      <c r="X143" s="1018">
        <v>142</v>
      </c>
    </row>
    <row r="144" spans="1:24">
      <c r="A144" s="906">
        <v>143</v>
      </c>
      <c r="B144" s="906" t="s">
        <v>1677</v>
      </c>
      <c r="C144" s="906">
        <v>29188</v>
      </c>
      <c r="D144" s="906" t="s">
        <v>1256</v>
      </c>
      <c r="E144" s="906" t="s">
        <v>1259</v>
      </c>
      <c r="F144" s="1015">
        <f t="shared" si="69"/>
        <v>0</v>
      </c>
      <c r="G144" s="1014">
        <f t="shared" si="69"/>
        <v>72</v>
      </c>
      <c r="H144" s="1014">
        <f t="shared" si="69"/>
        <v>49.3</v>
      </c>
      <c r="I144" s="1014">
        <f t="shared" si="69"/>
        <v>72</v>
      </c>
      <c r="J144" s="1013">
        <f t="shared" si="69"/>
        <v>43.7</v>
      </c>
      <c r="K144" s="1012">
        <f t="shared" si="69"/>
        <v>26.738828983587556</v>
      </c>
      <c r="L144" s="1011">
        <f>U82</f>
        <v>0.22799820425097142</v>
      </c>
      <c r="N144" s="1038" t="s">
        <v>1676</v>
      </c>
      <c r="O144" s="1037"/>
      <c r="P144" s="1036">
        <v>71</v>
      </c>
      <c r="Q144" s="1014">
        <v>46</v>
      </c>
      <c r="R144" s="1014">
        <v>76</v>
      </c>
      <c r="S144" s="1013">
        <v>40</v>
      </c>
      <c r="T144" s="1012">
        <v>33.153323059986747</v>
      </c>
      <c r="U144" s="1035">
        <v>0.20928852603192599</v>
      </c>
      <c r="V144" s="906">
        <v>149.24600000000001</v>
      </c>
      <c r="X144" s="906">
        <v>143</v>
      </c>
    </row>
    <row r="145" spans="1:24">
      <c r="A145" s="906">
        <v>144</v>
      </c>
      <c r="B145" s="906" t="s">
        <v>1675</v>
      </c>
      <c r="C145" s="906">
        <v>29189</v>
      </c>
      <c r="D145" s="906" t="s">
        <v>1256</v>
      </c>
      <c r="E145" s="906" t="s">
        <v>1258</v>
      </c>
      <c r="F145" s="1015">
        <f t="shared" si="69"/>
        <v>1.2080536912751677E-2</v>
      </c>
      <c r="G145" s="1014">
        <f t="shared" si="69"/>
        <v>65</v>
      </c>
      <c r="H145" s="1014">
        <f t="shared" si="69"/>
        <v>43</v>
      </c>
      <c r="I145" s="1014">
        <f t="shared" si="69"/>
        <v>75</v>
      </c>
      <c r="J145" s="1013">
        <f t="shared" si="69"/>
        <v>38</v>
      </c>
      <c r="K145" s="1012">
        <f t="shared" si="69"/>
        <v>33.747721896932802</v>
      </c>
      <c r="L145" s="1011">
        <f>U83</f>
        <v>0.3286808300395257</v>
      </c>
      <c r="N145" s="1032" t="s">
        <v>1674</v>
      </c>
      <c r="O145" s="1031"/>
      <c r="P145" s="1030">
        <v>74</v>
      </c>
      <c r="Q145" s="1029">
        <v>40</v>
      </c>
      <c r="R145" s="1029">
        <v>74</v>
      </c>
      <c r="S145" s="1028">
        <v>38</v>
      </c>
      <c r="T145" s="1027">
        <v>36.844128774010883</v>
      </c>
      <c r="U145" s="1026">
        <v>0.2188596691126202</v>
      </c>
      <c r="V145" s="1018">
        <v>34.277999999999999</v>
      </c>
      <c r="W145" s="1018"/>
      <c r="X145" s="1018">
        <v>144</v>
      </c>
    </row>
    <row r="146" spans="1:24">
      <c r="A146" s="906">
        <v>145</v>
      </c>
      <c r="B146" s="906" t="s">
        <v>1673</v>
      </c>
      <c r="C146" s="906">
        <v>29189</v>
      </c>
      <c r="D146" s="906" t="s">
        <v>1256</v>
      </c>
      <c r="E146" s="906" t="s">
        <v>1258</v>
      </c>
      <c r="F146" s="1015"/>
      <c r="G146" s="1014"/>
      <c r="H146" s="1014"/>
      <c r="I146" s="1014"/>
      <c r="J146" s="1013"/>
      <c r="K146" s="1012"/>
      <c r="L146" s="1011"/>
      <c r="N146" s="1032" t="s">
        <v>1672</v>
      </c>
      <c r="O146" s="1031"/>
      <c r="P146" s="1030">
        <v>73</v>
      </c>
      <c r="Q146" s="1029">
        <v>41</v>
      </c>
      <c r="R146" s="1029">
        <v>75</v>
      </c>
      <c r="S146" s="1028">
        <v>40</v>
      </c>
      <c r="T146" s="1027">
        <v>3.5520143126997965</v>
      </c>
      <c r="U146" s="1026">
        <v>0.27656720684271863</v>
      </c>
      <c r="V146" s="1018">
        <v>32.901000000000003</v>
      </c>
      <c r="W146" s="1018"/>
      <c r="X146" s="1018">
        <v>145</v>
      </c>
    </row>
    <row r="147" spans="1:24">
      <c r="A147" s="906">
        <v>146</v>
      </c>
      <c r="B147" s="906" t="s">
        <v>1671</v>
      </c>
      <c r="C147" s="906">
        <v>29189</v>
      </c>
      <c r="D147" s="906" t="s">
        <v>1256</v>
      </c>
      <c r="E147" s="906" t="s">
        <v>1258</v>
      </c>
      <c r="F147" s="1015"/>
      <c r="G147" s="1014"/>
      <c r="H147" s="1014"/>
      <c r="I147" s="1014"/>
      <c r="J147" s="1013"/>
      <c r="K147" s="1012"/>
      <c r="L147" s="1011"/>
      <c r="N147" s="1032" t="s">
        <v>1472</v>
      </c>
      <c r="O147" s="1031"/>
      <c r="P147" s="1030">
        <v>67</v>
      </c>
      <c r="Q147" s="1029">
        <v>67</v>
      </c>
      <c r="R147" s="1029">
        <v>71</v>
      </c>
      <c r="S147" s="1028">
        <v>71</v>
      </c>
      <c r="T147" s="1027">
        <v>33.030288913026958</v>
      </c>
      <c r="U147" s="1026">
        <v>0.26487182298263534</v>
      </c>
      <c r="V147" s="1018">
        <v>11.497999999999999</v>
      </c>
      <c r="W147" s="1018"/>
      <c r="X147" s="1018">
        <v>146</v>
      </c>
    </row>
    <row r="148" spans="1:24">
      <c r="A148" s="906">
        <v>147</v>
      </c>
      <c r="B148" s="906" t="s">
        <v>1670</v>
      </c>
      <c r="C148" s="906">
        <v>29188</v>
      </c>
      <c r="D148" s="906" t="s">
        <v>1256</v>
      </c>
      <c r="E148" s="906" t="s">
        <v>1259</v>
      </c>
      <c r="F148" s="1015">
        <f t="shared" ref="F148:L148" si="70">O84</f>
        <v>3.2411973850212182E-2</v>
      </c>
      <c r="G148" s="1014">
        <f t="shared" si="70"/>
        <v>70</v>
      </c>
      <c r="H148" s="1014">
        <f t="shared" si="70"/>
        <v>45</v>
      </c>
      <c r="I148" s="1014">
        <f t="shared" si="70"/>
        <v>80</v>
      </c>
      <c r="J148" s="1013">
        <f t="shared" si="70"/>
        <v>40</v>
      </c>
      <c r="K148" s="1012">
        <f t="shared" si="70"/>
        <v>31.777020942610172</v>
      </c>
      <c r="L148" s="1011">
        <f t="shared" si="70"/>
        <v>0.26890616850789434</v>
      </c>
      <c r="N148" s="1032" t="s">
        <v>1669</v>
      </c>
      <c r="O148" s="1031"/>
      <c r="P148" s="1034">
        <v>75</v>
      </c>
      <c r="Q148" s="1018">
        <v>53</v>
      </c>
      <c r="R148" s="1018">
        <v>85</v>
      </c>
      <c r="S148" s="1033">
        <v>47</v>
      </c>
      <c r="T148" s="1027">
        <v>34.118186758900578</v>
      </c>
      <c r="U148" s="1026">
        <v>0.19083493483106331</v>
      </c>
      <c r="V148" s="1018">
        <v>173.892</v>
      </c>
      <c r="W148" s="1018"/>
      <c r="X148" s="1018">
        <v>147</v>
      </c>
    </row>
    <row r="149" spans="1:24">
      <c r="A149" s="906">
        <v>148</v>
      </c>
      <c r="B149" s="906" t="s">
        <v>1668</v>
      </c>
      <c r="C149" s="906">
        <v>29189</v>
      </c>
      <c r="D149" s="906" t="s">
        <v>1256</v>
      </c>
      <c r="E149" s="906" t="s">
        <v>1258</v>
      </c>
      <c r="F149" s="1015"/>
      <c r="G149" s="1014"/>
      <c r="H149" s="1014"/>
      <c r="I149" s="1014"/>
      <c r="J149" s="1013"/>
      <c r="K149" s="1012"/>
      <c r="L149" s="1011"/>
      <c r="N149" s="1032" t="s">
        <v>1667</v>
      </c>
      <c r="O149" s="1031"/>
      <c r="P149" s="1030">
        <v>68</v>
      </c>
      <c r="Q149" s="1029">
        <v>40</v>
      </c>
      <c r="R149" s="1029">
        <v>70</v>
      </c>
      <c r="S149" s="1028">
        <v>37</v>
      </c>
      <c r="T149" s="1027" t="s">
        <v>842</v>
      </c>
      <c r="U149" s="1026">
        <v>0.23822738827421522</v>
      </c>
      <c r="V149" s="1018">
        <v>18.789349999999999</v>
      </c>
      <c r="W149" s="1018"/>
      <c r="X149" s="1018">
        <v>148</v>
      </c>
    </row>
    <row r="150" spans="1:24">
      <c r="A150" s="906">
        <v>149</v>
      </c>
      <c r="B150" s="906" t="s">
        <v>1666</v>
      </c>
      <c r="C150" s="906">
        <v>29189</v>
      </c>
      <c r="D150" s="906" t="s">
        <v>1256</v>
      </c>
      <c r="E150" s="906" t="s">
        <v>1259</v>
      </c>
      <c r="F150" s="1015"/>
      <c r="G150" s="1014"/>
      <c r="H150" s="1014"/>
      <c r="I150" s="1014"/>
      <c r="J150" s="1013"/>
      <c r="K150" s="1012"/>
      <c r="L150" s="1011"/>
      <c r="N150" s="1032" t="s">
        <v>1665</v>
      </c>
      <c r="O150" s="1031"/>
      <c r="P150" s="1030">
        <v>75</v>
      </c>
      <c r="Q150" s="1029">
        <v>52</v>
      </c>
      <c r="R150" s="1029">
        <v>80</v>
      </c>
      <c r="S150" s="1028">
        <v>45</v>
      </c>
      <c r="T150" s="1027" t="s">
        <v>842</v>
      </c>
      <c r="U150" s="1026">
        <v>0.25359712230215825</v>
      </c>
      <c r="V150" s="1018">
        <v>16.184999999999999</v>
      </c>
      <c r="W150" s="1018"/>
      <c r="X150" s="1018">
        <v>149</v>
      </c>
    </row>
    <row r="151" spans="1:24">
      <c r="A151" s="906">
        <v>150</v>
      </c>
      <c r="B151" s="906" t="s">
        <v>1664</v>
      </c>
      <c r="C151" s="906">
        <v>29189</v>
      </c>
      <c r="D151" s="906" t="s">
        <v>1256</v>
      </c>
      <c r="E151" s="906" t="s">
        <v>1258</v>
      </c>
      <c r="F151" s="1015">
        <f t="shared" ref="F151:L155" si="71">O85</f>
        <v>0</v>
      </c>
      <c r="G151" s="1014">
        <f t="shared" si="71"/>
        <v>68</v>
      </c>
      <c r="H151" s="1014">
        <f t="shared" si="71"/>
        <v>47</v>
      </c>
      <c r="I151" s="1014">
        <f t="shared" si="71"/>
        <v>75</v>
      </c>
      <c r="J151" s="1013">
        <f t="shared" si="71"/>
        <v>37</v>
      </c>
      <c r="K151" s="1012" t="str">
        <f t="shared" si="71"/>
        <v/>
      </c>
      <c r="L151" s="1011">
        <f t="shared" si="71"/>
        <v>0.25414852895132867</v>
      </c>
      <c r="N151" s="1032" t="s">
        <v>1663</v>
      </c>
      <c r="O151" s="1031"/>
      <c r="P151" s="1030">
        <v>69.13</v>
      </c>
      <c r="Q151" s="1029">
        <v>44.59</v>
      </c>
      <c r="R151" s="1029">
        <v>73.069999999999993</v>
      </c>
      <c r="S151" s="1028">
        <v>39.200000000000003</v>
      </c>
      <c r="T151" s="1027"/>
      <c r="U151" s="1026">
        <v>0.24214000347403161</v>
      </c>
      <c r="V151" s="1018">
        <v>78.534000000000006</v>
      </c>
      <c r="W151" s="1018"/>
      <c r="X151" s="1018">
        <v>150</v>
      </c>
    </row>
    <row r="152" spans="1:24">
      <c r="A152" s="906">
        <v>151</v>
      </c>
      <c r="B152" s="906" t="s">
        <v>1662</v>
      </c>
      <c r="C152" s="906">
        <v>29189</v>
      </c>
      <c r="D152" s="906" t="s">
        <v>1256</v>
      </c>
      <c r="E152" s="906" t="s">
        <v>1258</v>
      </c>
      <c r="F152" s="1015">
        <f t="shared" si="71"/>
        <v>1.0352179986765679E-2</v>
      </c>
      <c r="G152" s="1014">
        <f t="shared" si="71"/>
        <v>74</v>
      </c>
      <c r="H152" s="1014">
        <f t="shared" si="71"/>
        <v>39</v>
      </c>
      <c r="I152" s="1014">
        <f t="shared" si="71"/>
        <v>70</v>
      </c>
      <c r="J152" s="1013">
        <f t="shared" si="71"/>
        <v>37</v>
      </c>
      <c r="K152" s="1012">
        <f t="shared" si="71"/>
        <v>45.378171948085345</v>
      </c>
      <c r="L152" s="1011">
        <f t="shared" si="71"/>
        <v>0.27424555355789659</v>
      </c>
      <c r="N152" s="1032" t="s">
        <v>1661</v>
      </c>
      <c r="O152" s="1031">
        <v>3.2552457602759412E-2</v>
      </c>
      <c r="P152" s="1030">
        <v>71.3</v>
      </c>
      <c r="Q152" s="1029">
        <v>34.6</v>
      </c>
      <c r="R152" s="1029">
        <v>69.5</v>
      </c>
      <c r="S152" s="1028">
        <v>32.6</v>
      </c>
      <c r="T152" s="1027">
        <v>35.553078526925404</v>
      </c>
      <c r="U152" s="1026">
        <v>0.17525811483324669</v>
      </c>
      <c r="V152" s="1018">
        <v>22.207000000000001</v>
      </c>
      <c r="W152" s="1018"/>
      <c r="X152" s="1018">
        <v>151</v>
      </c>
    </row>
    <row r="153" spans="1:24">
      <c r="A153" s="906">
        <v>152</v>
      </c>
      <c r="B153" s="906" t="s">
        <v>1660</v>
      </c>
      <c r="C153" s="906">
        <v>29189</v>
      </c>
      <c r="D153" s="906" t="s">
        <v>1256</v>
      </c>
      <c r="E153" s="906" t="s">
        <v>1258</v>
      </c>
      <c r="F153" s="1015">
        <f t="shared" si="71"/>
        <v>0</v>
      </c>
      <c r="G153" s="1014">
        <f t="shared" si="71"/>
        <v>75</v>
      </c>
      <c r="H153" s="1014">
        <f t="shared" si="71"/>
        <v>42</v>
      </c>
      <c r="I153" s="1014">
        <f t="shared" si="71"/>
        <v>80</v>
      </c>
      <c r="J153" s="1013">
        <f t="shared" si="71"/>
        <v>37</v>
      </c>
      <c r="K153" s="1012" t="str">
        <f t="shared" si="71"/>
        <v/>
      </c>
      <c r="L153" s="1011">
        <f t="shared" si="71"/>
        <v>0.27379140817043196</v>
      </c>
      <c r="N153" s="1032" t="s">
        <v>1659</v>
      </c>
      <c r="O153" s="1031"/>
      <c r="P153" s="1030">
        <v>70</v>
      </c>
      <c r="Q153" s="1029">
        <v>40</v>
      </c>
      <c r="R153" s="1029">
        <v>74</v>
      </c>
      <c r="S153" s="1028">
        <v>36</v>
      </c>
      <c r="T153" s="1027">
        <v>30.217456453888268</v>
      </c>
      <c r="U153" s="1026">
        <v>0.24838776783856875</v>
      </c>
      <c r="V153" s="1018">
        <v>7.226</v>
      </c>
      <c r="W153" s="1018"/>
      <c r="X153" s="1018">
        <v>152</v>
      </c>
    </row>
    <row r="154" spans="1:24">
      <c r="A154" s="906">
        <v>153</v>
      </c>
      <c r="B154" s="906" t="s">
        <v>1658</v>
      </c>
      <c r="C154" s="906">
        <v>29189</v>
      </c>
      <c r="D154" s="906" t="s">
        <v>1257</v>
      </c>
      <c r="E154" s="906" t="s">
        <v>1258</v>
      </c>
      <c r="F154" s="1015">
        <f t="shared" si="71"/>
        <v>0</v>
      </c>
      <c r="G154" s="1014">
        <f t="shared" si="71"/>
        <v>75</v>
      </c>
      <c r="H154" s="1014">
        <f t="shared" si="71"/>
        <v>42</v>
      </c>
      <c r="I154" s="1014">
        <f t="shared" si="71"/>
        <v>80</v>
      </c>
      <c r="J154" s="1013">
        <f t="shared" si="71"/>
        <v>42</v>
      </c>
      <c r="K154" s="1012" t="str">
        <f t="shared" si="71"/>
        <v/>
      </c>
      <c r="L154" s="1011">
        <f t="shared" si="71"/>
        <v>0.19338545966684473</v>
      </c>
      <c r="N154" s="1032" t="s">
        <v>1657</v>
      </c>
      <c r="O154" s="1031"/>
      <c r="P154" s="1030">
        <v>65</v>
      </c>
      <c r="Q154" s="1029">
        <v>40</v>
      </c>
      <c r="R154" s="1029">
        <v>70</v>
      </c>
      <c r="S154" s="1028">
        <v>35</v>
      </c>
      <c r="T154" s="1027">
        <v>32.20957264957265</v>
      </c>
      <c r="U154" s="1026">
        <v>0.24167047010497489</v>
      </c>
      <c r="V154" s="1018">
        <v>9.9689999999999994</v>
      </c>
      <c r="W154" s="1018"/>
      <c r="X154" s="1018">
        <v>153</v>
      </c>
    </row>
    <row r="155" spans="1:24">
      <c r="A155" s="906">
        <v>154</v>
      </c>
      <c r="B155" s="906" t="s">
        <v>1656</v>
      </c>
      <c r="C155" s="906">
        <v>29189</v>
      </c>
      <c r="D155" s="906" t="s">
        <v>1256</v>
      </c>
      <c r="E155" s="906" t="s">
        <v>1258</v>
      </c>
      <c r="F155" s="1015">
        <f t="shared" si="71"/>
        <v>0</v>
      </c>
      <c r="G155" s="1014">
        <f t="shared" si="71"/>
        <v>68</v>
      </c>
      <c r="H155" s="1014">
        <f t="shared" si="71"/>
        <v>45</v>
      </c>
      <c r="I155" s="1014">
        <f t="shared" si="71"/>
        <v>76</v>
      </c>
      <c r="J155" s="1013">
        <f t="shared" si="71"/>
        <v>41</v>
      </c>
      <c r="K155" s="1012">
        <f t="shared" si="71"/>
        <v>33.24808408180693</v>
      </c>
      <c r="L155" s="1011">
        <f t="shared" si="71"/>
        <v>0.19381967805610387</v>
      </c>
      <c r="N155" s="1032" t="s">
        <v>1655</v>
      </c>
      <c r="O155" s="1031"/>
      <c r="P155" s="1030">
        <v>70</v>
      </c>
      <c r="Q155" s="1029">
        <v>40</v>
      </c>
      <c r="R155" s="1029">
        <v>77</v>
      </c>
      <c r="S155" s="1028">
        <v>36</v>
      </c>
      <c r="T155" s="1027"/>
      <c r="U155" s="1026">
        <v>0.24604347931460702</v>
      </c>
      <c r="V155" s="1018">
        <v>31.109000000000002</v>
      </c>
      <c r="W155" s="1018"/>
      <c r="X155" s="1018">
        <v>154</v>
      </c>
    </row>
    <row r="156" spans="1:24">
      <c r="A156" s="906">
        <v>155</v>
      </c>
      <c r="B156" s="906" t="s">
        <v>1652</v>
      </c>
      <c r="C156" s="906">
        <v>19501</v>
      </c>
      <c r="D156" s="906" t="s">
        <v>1257</v>
      </c>
      <c r="E156" s="906" t="s">
        <v>1259</v>
      </c>
      <c r="F156" s="1015"/>
      <c r="G156" s="1014"/>
      <c r="H156" s="1014"/>
      <c r="I156" s="1014"/>
      <c r="J156" s="1013"/>
      <c r="K156" s="1012"/>
      <c r="L156" s="1011"/>
      <c r="N156" s="1032" t="s">
        <v>1654</v>
      </c>
      <c r="O156" s="1031"/>
      <c r="P156" s="1030">
        <v>75</v>
      </c>
      <c r="Q156" s="1029">
        <v>38</v>
      </c>
      <c r="R156" s="1029">
        <v>84</v>
      </c>
      <c r="S156" s="1028">
        <v>40</v>
      </c>
      <c r="T156" s="1027" t="s">
        <v>842</v>
      </c>
      <c r="U156" s="1026">
        <v>0.30186201957507758</v>
      </c>
      <c r="V156" s="1018">
        <v>5.8490000000000002</v>
      </c>
      <c r="W156" s="1018"/>
      <c r="X156" s="1018">
        <v>155</v>
      </c>
    </row>
    <row r="157" spans="1:24">
      <c r="A157" s="906">
        <v>156</v>
      </c>
      <c r="B157" s="906" t="s">
        <v>1652</v>
      </c>
      <c r="C157" s="906">
        <v>29189</v>
      </c>
      <c r="D157" s="906" t="s">
        <v>1256</v>
      </c>
      <c r="E157" s="906" t="s">
        <v>1259</v>
      </c>
      <c r="F157" s="1015"/>
      <c r="G157" s="1014"/>
      <c r="H157" s="1014"/>
      <c r="I157" s="1014"/>
      <c r="J157" s="1013"/>
      <c r="K157" s="1012"/>
      <c r="L157" s="1011"/>
      <c r="N157" s="1032" t="s">
        <v>1653</v>
      </c>
      <c r="O157" s="1031"/>
      <c r="P157" s="1030">
        <v>75</v>
      </c>
      <c r="Q157" s="1029">
        <v>0</v>
      </c>
      <c r="R157" s="1029">
        <v>80</v>
      </c>
      <c r="S157" s="1028">
        <v>0</v>
      </c>
      <c r="T157" s="1027" t="s">
        <v>842</v>
      </c>
      <c r="U157" s="1026">
        <v>0.23113988857099835</v>
      </c>
      <c r="V157" s="1018">
        <v>15.318</v>
      </c>
      <c r="W157" s="1018"/>
      <c r="X157" s="1018">
        <v>156</v>
      </c>
    </row>
    <row r="158" spans="1:24">
      <c r="A158" s="906">
        <v>157</v>
      </c>
      <c r="B158" s="906" t="s">
        <v>1652</v>
      </c>
      <c r="C158" s="906">
        <v>29189</v>
      </c>
      <c r="D158" s="906" t="s">
        <v>1256</v>
      </c>
      <c r="E158" s="906" t="s">
        <v>1258</v>
      </c>
      <c r="F158" s="1015"/>
      <c r="G158" s="1014"/>
      <c r="H158" s="1014"/>
      <c r="I158" s="1014"/>
      <c r="J158" s="1013"/>
      <c r="K158" s="1012"/>
      <c r="L158" s="1011"/>
      <c r="N158" s="1032" t="s">
        <v>1651</v>
      </c>
      <c r="O158" s="1031"/>
      <c r="P158" s="1030">
        <v>74</v>
      </c>
      <c r="Q158" s="1029">
        <v>42</v>
      </c>
      <c r="R158" s="1029">
        <v>77</v>
      </c>
      <c r="S158" s="1028">
        <v>40</v>
      </c>
      <c r="T158" s="1027">
        <v>29.494048140043763</v>
      </c>
      <c r="U158" s="1026">
        <v>0.47068206469725005</v>
      </c>
      <c r="V158" s="1018">
        <v>8.2959999999999994</v>
      </c>
      <c r="W158" s="1018"/>
      <c r="X158" s="1018">
        <v>157</v>
      </c>
    </row>
    <row r="159" spans="1:24">
      <c r="A159" s="906">
        <v>158</v>
      </c>
      <c r="B159" s="906" t="s">
        <v>1650</v>
      </c>
      <c r="C159" s="906">
        <v>29189</v>
      </c>
      <c r="D159" s="906" t="s">
        <v>1256</v>
      </c>
      <c r="E159" s="906" t="s">
        <v>1258</v>
      </c>
      <c r="F159" s="1015">
        <f t="shared" ref="F159:L159" si="72">O90</f>
        <v>0</v>
      </c>
      <c r="G159" s="1014">
        <f t="shared" si="72"/>
        <v>72.900000000000006</v>
      </c>
      <c r="H159" s="1014">
        <f t="shared" si="72"/>
        <v>40.200000000000003</v>
      </c>
      <c r="I159" s="1014">
        <f t="shared" si="72"/>
        <v>80.099999999999994</v>
      </c>
      <c r="J159" s="1013">
        <f t="shared" si="72"/>
        <v>49.7</v>
      </c>
      <c r="K159" s="1012">
        <f t="shared" si="72"/>
        <v>40.717182043157479</v>
      </c>
      <c r="L159" s="1011">
        <f t="shared" si="72"/>
        <v>0.21341618305097992</v>
      </c>
      <c r="N159" s="1032" t="s">
        <v>1649</v>
      </c>
      <c r="O159" s="1031"/>
      <c r="P159" s="1030">
        <v>69</v>
      </c>
      <c r="Q159" s="1029">
        <v>69</v>
      </c>
      <c r="R159" s="1029">
        <v>75</v>
      </c>
      <c r="S159" s="1028">
        <v>75</v>
      </c>
      <c r="T159" s="1027" t="s">
        <v>842</v>
      </c>
      <c r="U159" s="1026"/>
      <c r="V159" s="1018" t="s">
        <v>842</v>
      </c>
      <c r="W159" s="1018"/>
      <c r="X159" s="1018">
        <v>158</v>
      </c>
    </row>
    <row r="160" spans="1:24">
      <c r="A160" s="906">
        <v>159</v>
      </c>
      <c r="B160" s="906" t="s">
        <v>1648</v>
      </c>
      <c r="C160" s="906">
        <v>29188</v>
      </c>
      <c r="D160" s="906" t="s">
        <v>1256</v>
      </c>
      <c r="E160" s="906" t="s">
        <v>1259</v>
      </c>
      <c r="F160" s="1015"/>
      <c r="G160" s="1014"/>
      <c r="H160" s="1014"/>
      <c r="I160" s="1014"/>
      <c r="J160" s="1013"/>
      <c r="K160" s="1012"/>
      <c r="L160" s="1011"/>
      <c r="N160" s="1038" t="s">
        <v>1647</v>
      </c>
      <c r="O160" s="1037">
        <v>6.3045178780834099E-2</v>
      </c>
      <c r="P160" s="1036">
        <v>68</v>
      </c>
      <c r="Q160" s="1014">
        <v>39</v>
      </c>
      <c r="R160" s="1014">
        <v>70</v>
      </c>
      <c r="S160" s="1013">
        <v>37</v>
      </c>
      <c r="T160" s="1012">
        <v>34.619867704569735</v>
      </c>
      <c r="U160" s="1035">
        <v>0.18063503242656337</v>
      </c>
      <c r="V160" s="906">
        <v>55.843000000000004</v>
      </c>
      <c r="X160" s="906">
        <v>159</v>
      </c>
    </row>
    <row r="161" spans="1:24">
      <c r="A161" s="906">
        <v>160</v>
      </c>
      <c r="B161" s="906" t="s">
        <v>1646</v>
      </c>
      <c r="C161" s="906">
        <v>55133</v>
      </c>
      <c r="D161" s="906" t="s">
        <v>1257</v>
      </c>
      <c r="E161" s="906" t="s">
        <v>1258</v>
      </c>
      <c r="F161" s="1015">
        <f t="shared" ref="F161:L161" si="73">O92</f>
        <v>0</v>
      </c>
      <c r="G161" s="1014">
        <f t="shared" si="73"/>
        <v>67</v>
      </c>
      <c r="H161" s="1014">
        <f t="shared" si="73"/>
        <v>47</v>
      </c>
      <c r="I161" s="1014">
        <f t="shared" si="73"/>
        <v>71</v>
      </c>
      <c r="J161" s="1013">
        <f t="shared" si="73"/>
        <v>42</v>
      </c>
      <c r="K161" s="1012">
        <f t="shared" si="73"/>
        <v>32.374826091609592</v>
      </c>
      <c r="L161" s="1011">
        <f t="shared" si="73"/>
        <v>0.27105062099109822</v>
      </c>
      <c r="N161" s="1032" t="s">
        <v>1645</v>
      </c>
      <c r="O161" s="1031"/>
      <c r="P161" s="1030">
        <v>69</v>
      </c>
      <c r="Q161" s="1029">
        <v>42</v>
      </c>
      <c r="R161" s="1029">
        <v>79</v>
      </c>
      <c r="S161" s="1028">
        <v>40</v>
      </c>
      <c r="T161" s="1027">
        <v>31.922208718287816</v>
      </c>
      <c r="U161" s="1026">
        <v>0.25570625535959229</v>
      </c>
      <c r="V161" s="1018">
        <v>44.872800000000005</v>
      </c>
      <c r="W161" s="1018"/>
      <c r="X161" s="1018">
        <v>160</v>
      </c>
    </row>
    <row r="162" spans="1:24" ht="16">
      <c r="A162" s="906">
        <v>161</v>
      </c>
      <c r="B162" s="906" t="s">
        <v>1644</v>
      </c>
      <c r="C162" s="906">
        <v>29189</v>
      </c>
      <c r="D162" s="906" t="s">
        <v>1256</v>
      </c>
      <c r="E162" s="906" t="s">
        <v>1258</v>
      </c>
      <c r="F162" s="1015">
        <f t="shared" ref="F162:K162" si="74">O93</f>
        <v>0</v>
      </c>
      <c r="G162" s="1014">
        <f t="shared" si="74"/>
        <v>71</v>
      </c>
      <c r="H162" s="1014">
        <f t="shared" si="74"/>
        <v>41</v>
      </c>
      <c r="I162" s="1014">
        <f t="shared" si="74"/>
        <v>73</v>
      </c>
      <c r="J162" s="1013">
        <f t="shared" si="74"/>
        <v>38</v>
      </c>
      <c r="K162" s="1012" t="str">
        <f t="shared" si="74"/>
        <v/>
      </c>
      <c r="L162" s="1016">
        <v>0.22800028617798151</v>
      </c>
      <c r="N162" s="1032" t="s">
        <v>1643</v>
      </c>
      <c r="O162" s="1031">
        <v>6.5034355946966028E-3</v>
      </c>
      <c r="P162" s="1030">
        <v>67</v>
      </c>
      <c r="Q162" s="1029">
        <v>39</v>
      </c>
      <c r="R162" s="1029">
        <v>67</v>
      </c>
      <c r="S162" s="1028">
        <v>35</v>
      </c>
      <c r="T162" s="1027" t="s">
        <v>842</v>
      </c>
      <c r="U162" s="1026">
        <v>0.25355062440335874</v>
      </c>
      <c r="V162" s="1018">
        <v>76.629000000000005</v>
      </c>
      <c r="W162" s="1018"/>
      <c r="X162" s="1018">
        <v>161</v>
      </c>
    </row>
    <row r="163" spans="1:24" ht="16">
      <c r="A163" s="906">
        <v>162</v>
      </c>
      <c r="B163" s="906" t="s">
        <v>1642</v>
      </c>
      <c r="C163" s="906">
        <v>64502</v>
      </c>
      <c r="D163" s="906" t="s">
        <v>1256</v>
      </c>
      <c r="E163" s="906" t="s">
        <v>1259</v>
      </c>
      <c r="F163" s="1015">
        <f t="shared" ref="F163:K166" si="75">O95</f>
        <v>0</v>
      </c>
      <c r="G163" s="1014">
        <f t="shared" si="75"/>
        <v>75</v>
      </c>
      <c r="H163" s="1014">
        <f t="shared" si="75"/>
        <v>0</v>
      </c>
      <c r="I163" s="1014">
        <f t="shared" si="75"/>
        <v>90</v>
      </c>
      <c r="J163" s="1013">
        <f t="shared" si="75"/>
        <v>0</v>
      </c>
      <c r="K163" s="1012" t="str">
        <f t="shared" si="75"/>
        <v/>
      </c>
      <c r="L163" s="1016">
        <v>0.22800028617798151</v>
      </c>
      <c r="N163" s="1032" t="s">
        <v>1641</v>
      </c>
      <c r="O163" s="1031"/>
      <c r="P163" s="1030">
        <v>75</v>
      </c>
      <c r="Q163" s="1029">
        <v>45</v>
      </c>
      <c r="R163" s="1029">
        <v>85</v>
      </c>
      <c r="S163" s="1028">
        <v>48</v>
      </c>
      <c r="T163" s="1027"/>
      <c r="U163" s="1026">
        <v>0.18813899613899615</v>
      </c>
      <c r="V163" s="1018">
        <v>105.136</v>
      </c>
      <c r="W163" s="1018"/>
      <c r="X163" s="1018">
        <v>162</v>
      </c>
    </row>
    <row r="164" spans="1:24" ht="16">
      <c r="A164" s="906">
        <v>163</v>
      </c>
      <c r="B164" s="906" t="s">
        <v>1640</v>
      </c>
      <c r="C164" s="906">
        <v>29189</v>
      </c>
      <c r="D164" s="906" t="s">
        <v>1257</v>
      </c>
      <c r="E164" s="906" t="s">
        <v>1258</v>
      </c>
      <c r="F164" s="1015">
        <f t="shared" si="75"/>
        <v>0</v>
      </c>
      <c r="G164" s="1014">
        <f t="shared" si="75"/>
        <v>66</v>
      </c>
      <c r="H164" s="1014">
        <f t="shared" si="75"/>
        <v>38</v>
      </c>
      <c r="I164" s="1014">
        <f t="shared" si="75"/>
        <v>80</v>
      </c>
      <c r="J164" s="1013">
        <f t="shared" si="75"/>
        <v>36</v>
      </c>
      <c r="K164" s="1012" t="str">
        <f t="shared" si="75"/>
        <v/>
      </c>
      <c r="L164" s="1016">
        <v>0.17374718282373314</v>
      </c>
      <c r="N164" s="1032" t="s">
        <v>1639</v>
      </c>
      <c r="O164" s="1031"/>
      <c r="P164" s="1030">
        <v>84</v>
      </c>
      <c r="Q164" s="1029">
        <v>40</v>
      </c>
      <c r="R164" s="1029">
        <v>82</v>
      </c>
      <c r="S164" s="1028">
        <v>36</v>
      </c>
      <c r="T164" s="1027" t="s">
        <v>842</v>
      </c>
      <c r="U164" s="1026">
        <v>0.34889287851585876</v>
      </c>
      <c r="V164" s="1018">
        <v>2.1760000000000002</v>
      </c>
      <c r="W164" s="1018"/>
      <c r="X164" s="1018">
        <v>163</v>
      </c>
    </row>
    <row r="165" spans="1:24" ht="16">
      <c r="A165" s="906">
        <v>164</v>
      </c>
      <c r="B165" s="906" t="s">
        <v>1638</v>
      </c>
      <c r="C165" s="906">
        <v>29189</v>
      </c>
      <c r="D165" s="906" t="s">
        <v>1256</v>
      </c>
      <c r="E165" s="906" t="s">
        <v>1258</v>
      </c>
      <c r="F165" s="1015">
        <f t="shared" si="75"/>
        <v>0</v>
      </c>
      <c r="G165" s="1014">
        <f t="shared" si="75"/>
        <v>67</v>
      </c>
      <c r="H165" s="1014">
        <f t="shared" si="75"/>
        <v>48</v>
      </c>
      <c r="I165" s="1014">
        <f t="shared" si="75"/>
        <v>69</v>
      </c>
      <c r="J165" s="1013">
        <f t="shared" si="75"/>
        <v>42</v>
      </c>
      <c r="K165" s="1012">
        <f t="shared" si="75"/>
        <v>24.980858148348673</v>
      </c>
      <c r="L165" s="1041">
        <f>U97</f>
        <v>0.1265196059700936</v>
      </c>
      <c r="N165" s="1032" t="s">
        <v>1442</v>
      </c>
      <c r="O165" s="1031"/>
      <c r="P165" s="1030">
        <v>76</v>
      </c>
      <c r="Q165" s="1029">
        <v>48</v>
      </c>
      <c r="R165" s="1029">
        <v>77</v>
      </c>
      <c r="S165" s="1028">
        <v>46</v>
      </c>
      <c r="T165" s="1027">
        <v>30.891617926391213</v>
      </c>
      <c r="U165" s="1026">
        <v>0.19897859012715033</v>
      </c>
      <c r="V165" s="1018">
        <v>342.709</v>
      </c>
      <c r="W165" s="1018"/>
      <c r="X165" s="1018">
        <v>164</v>
      </c>
    </row>
    <row r="166" spans="1:24">
      <c r="A166" s="906">
        <v>165</v>
      </c>
      <c r="B166" s="906" t="s">
        <v>1637</v>
      </c>
      <c r="C166" s="906">
        <v>29189</v>
      </c>
      <c r="D166" s="906" t="s">
        <v>1256</v>
      </c>
      <c r="E166" s="906" t="s">
        <v>1258</v>
      </c>
      <c r="F166" s="1015">
        <f t="shared" si="75"/>
        <v>3.4891220672580145E-2</v>
      </c>
      <c r="G166" s="1014">
        <f t="shared" si="75"/>
        <v>69</v>
      </c>
      <c r="H166" s="1014">
        <f t="shared" si="75"/>
        <v>39</v>
      </c>
      <c r="I166" s="1014">
        <f t="shared" si="75"/>
        <v>70</v>
      </c>
      <c r="J166" s="1013">
        <f t="shared" si="75"/>
        <v>35</v>
      </c>
      <c r="K166" s="1012">
        <f t="shared" si="75"/>
        <v>30.593606605570255</v>
      </c>
      <c r="L166" s="1011">
        <f>U98</f>
        <v>0.27331848232250644</v>
      </c>
      <c r="N166" s="1038" t="s">
        <v>1636</v>
      </c>
      <c r="O166" s="1037"/>
      <c r="P166" s="1036">
        <v>69</v>
      </c>
      <c r="Q166" s="1014">
        <v>44</v>
      </c>
      <c r="R166" s="1014">
        <v>69</v>
      </c>
      <c r="S166" s="1013">
        <v>40</v>
      </c>
      <c r="T166" s="1012">
        <v>27.059326758843259</v>
      </c>
      <c r="U166" s="1035">
        <v>0.17438589911869493</v>
      </c>
      <c r="V166" s="906">
        <v>8.8059999999999992</v>
      </c>
      <c r="X166" s="906">
        <v>165</v>
      </c>
    </row>
    <row r="167" spans="1:24">
      <c r="A167" s="906">
        <v>166</v>
      </c>
      <c r="B167" s="906" t="s">
        <v>1635</v>
      </c>
      <c r="C167" s="906">
        <v>29188</v>
      </c>
      <c r="D167" s="906" t="s">
        <v>1256</v>
      </c>
      <c r="E167" s="906" t="s">
        <v>1259</v>
      </c>
      <c r="F167" s="1015"/>
      <c r="G167" s="1014"/>
      <c r="H167" s="1014"/>
      <c r="I167" s="1014"/>
      <c r="J167" s="1013"/>
      <c r="K167" s="1012"/>
      <c r="L167" s="1011"/>
      <c r="N167" s="1038" t="s">
        <v>1634</v>
      </c>
      <c r="O167" s="1037"/>
      <c r="P167" s="1036">
        <v>73</v>
      </c>
      <c r="Q167" s="1014">
        <v>47</v>
      </c>
      <c r="R167" s="1014">
        <v>75</v>
      </c>
      <c r="S167" s="1013">
        <v>44</v>
      </c>
      <c r="T167" s="1012">
        <v>29.46588670296757</v>
      </c>
      <c r="U167" s="1035">
        <v>0.21280308596620132</v>
      </c>
      <c r="V167" s="906">
        <v>119.994</v>
      </c>
      <c r="X167" s="906">
        <v>166</v>
      </c>
    </row>
    <row r="168" spans="1:24">
      <c r="A168" s="906">
        <v>167</v>
      </c>
      <c r="B168" s="906" t="s">
        <v>1633</v>
      </c>
      <c r="C168" s="906">
        <v>32264</v>
      </c>
      <c r="D168" s="906" t="s">
        <v>1256</v>
      </c>
      <c r="E168" s="906" t="s">
        <v>1258</v>
      </c>
      <c r="F168" s="1015"/>
      <c r="G168" s="1014"/>
      <c r="H168" s="1014"/>
      <c r="I168" s="1014"/>
      <c r="J168" s="1013"/>
      <c r="K168" s="1012"/>
      <c r="L168" s="1011"/>
      <c r="N168" s="1032" t="s">
        <v>1632</v>
      </c>
      <c r="O168" s="1031"/>
      <c r="P168" s="1030">
        <v>66</v>
      </c>
      <c r="Q168" s="1029">
        <v>0</v>
      </c>
      <c r="R168" s="1029">
        <v>72</v>
      </c>
      <c r="S168" s="1028">
        <v>0</v>
      </c>
      <c r="T168" s="1027" t="s">
        <v>842</v>
      </c>
      <c r="U168" s="1026">
        <v>0.22408497568466854</v>
      </c>
      <c r="V168" s="1018">
        <v>42.441000000000003</v>
      </c>
      <c r="W168" s="1018"/>
      <c r="X168" s="1018">
        <v>167</v>
      </c>
    </row>
    <row r="169" spans="1:24">
      <c r="A169" s="906">
        <v>168</v>
      </c>
      <c r="B169" s="906" t="s">
        <v>1631</v>
      </c>
      <c r="C169" s="906">
        <v>29188</v>
      </c>
      <c r="D169" s="906" t="s">
        <v>1256</v>
      </c>
      <c r="E169" s="906" t="s">
        <v>1259</v>
      </c>
      <c r="F169" s="1015"/>
      <c r="G169" s="1014"/>
      <c r="H169" s="1014"/>
      <c r="I169" s="1014"/>
      <c r="J169" s="1013"/>
      <c r="K169" s="1012"/>
      <c r="L169" s="1011"/>
      <c r="N169" s="1032" t="s">
        <v>1630</v>
      </c>
      <c r="O169" s="1031"/>
      <c r="P169" s="1030">
        <v>70</v>
      </c>
      <c r="Q169" s="1029">
        <v>38</v>
      </c>
      <c r="R169" s="1029">
        <v>75</v>
      </c>
      <c r="S169" s="1028">
        <v>38</v>
      </c>
      <c r="T169" s="1027" t="s">
        <v>842</v>
      </c>
      <c r="U169" s="1026">
        <v>0.31825006729629263</v>
      </c>
      <c r="V169" s="1018">
        <v>5.9517110000000004</v>
      </c>
      <c r="W169" s="1018"/>
      <c r="X169" s="1018">
        <v>168</v>
      </c>
    </row>
    <row r="170" spans="1:24">
      <c r="A170" s="906">
        <v>169</v>
      </c>
      <c r="B170" s="906" t="s">
        <v>1629</v>
      </c>
      <c r="C170" s="906">
        <v>29189</v>
      </c>
      <c r="D170" s="906" t="s">
        <v>1256</v>
      </c>
      <c r="E170" s="906" t="s">
        <v>1258</v>
      </c>
      <c r="F170" s="1015">
        <f t="shared" ref="F170:L170" si="76">O99</f>
        <v>0</v>
      </c>
      <c r="G170" s="1014">
        <f t="shared" si="76"/>
        <v>70</v>
      </c>
      <c r="H170" s="1014">
        <f t="shared" si="76"/>
        <v>42</v>
      </c>
      <c r="I170" s="1014">
        <f t="shared" si="76"/>
        <v>70</v>
      </c>
      <c r="J170" s="1013">
        <f t="shared" si="76"/>
        <v>38</v>
      </c>
      <c r="K170" s="1012" t="str">
        <f t="shared" si="76"/>
        <v/>
      </c>
      <c r="L170" s="1011">
        <f t="shared" si="76"/>
        <v>0.23610619469026548</v>
      </c>
      <c r="N170" s="1032" t="s">
        <v>1628</v>
      </c>
      <c r="O170" s="1031"/>
      <c r="P170" s="1030">
        <v>70</v>
      </c>
      <c r="Q170" s="1029">
        <v>40</v>
      </c>
      <c r="R170" s="1029">
        <v>70</v>
      </c>
      <c r="S170" s="1028">
        <v>40</v>
      </c>
      <c r="T170" s="1027" t="s">
        <v>842</v>
      </c>
      <c r="U170" s="1026">
        <v>0.27653055540081334</v>
      </c>
      <c r="V170" s="1018">
        <v>12.987</v>
      </c>
      <c r="W170" s="1018"/>
      <c r="X170" s="1018">
        <v>169</v>
      </c>
    </row>
    <row r="171" spans="1:24">
      <c r="A171" s="906">
        <v>170</v>
      </c>
      <c r="B171" s="906" t="s">
        <v>1627</v>
      </c>
      <c r="C171" s="906">
        <v>29188</v>
      </c>
      <c r="D171" s="906" t="s">
        <v>1256</v>
      </c>
      <c r="E171" s="906" t="s">
        <v>1259</v>
      </c>
      <c r="F171" s="1015">
        <f t="shared" ref="F171:L171" si="77">O101</f>
        <v>0</v>
      </c>
      <c r="G171" s="1014">
        <f t="shared" si="77"/>
        <v>72</v>
      </c>
      <c r="H171" s="1014">
        <f t="shared" si="77"/>
        <v>45</v>
      </c>
      <c r="I171" s="1014">
        <f t="shared" si="77"/>
        <v>80</v>
      </c>
      <c r="J171" s="1013">
        <f t="shared" si="77"/>
        <v>42</v>
      </c>
      <c r="K171" s="1012">
        <f t="shared" si="77"/>
        <v>0</v>
      </c>
      <c r="L171" s="1011">
        <f t="shared" si="77"/>
        <v>0.28730906781643772</v>
      </c>
      <c r="N171" s="1032" t="s">
        <v>1626</v>
      </c>
      <c r="O171" s="1031"/>
      <c r="P171" s="1034">
        <v>68</v>
      </c>
      <c r="Q171" s="1018">
        <v>43</v>
      </c>
      <c r="R171" s="1018">
        <v>72</v>
      </c>
      <c r="S171" s="1033">
        <v>39</v>
      </c>
      <c r="T171" s="1027" t="s">
        <v>842</v>
      </c>
      <c r="U171" s="1026">
        <v>0.4113171659533999</v>
      </c>
      <c r="V171" s="1018">
        <v>3.714</v>
      </c>
      <c r="W171" s="1018"/>
      <c r="X171" s="1018">
        <v>170</v>
      </c>
    </row>
    <row r="172" spans="1:24">
      <c r="A172" s="906">
        <v>171</v>
      </c>
      <c r="B172" s="906" t="s">
        <v>1625</v>
      </c>
      <c r="C172" s="906">
        <v>29189</v>
      </c>
      <c r="D172" s="906" t="s">
        <v>1256</v>
      </c>
      <c r="E172" s="906" t="s">
        <v>1258</v>
      </c>
      <c r="F172" s="1015"/>
      <c r="G172" s="1014"/>
      <c r="H172" s="1014"/>
      <c r="I172" s="1014"/>
      <c r="J172" s="1013"/>
      <c r="K172" s="1012"/>
      <c r="L172" s="1011"/>
      <c r="N172" s="1032" t="s">
        <v>1624</v>
      </c>
      <c r="O172" s="1031">
        <v>4.1460488828909882E-2</v>
      </c>
      <c r="P172" s="1030">
        <v>75</v>
      </c>
      <c r="Q172" s="1029">
        <v>52</v>
      </c>
      <c r="R172" s="1029">
        <v>80</v>
      </c>
      <c r="S172" s="1028">
        <v>45</v>
      </c>
      <c r="T172" s="1027">
        <v>33.037664698547196</v>
      </c>
      <c r="U172" s="1026">
        <v>0.28146265154477906</v>
      </c>
      <c r="V172" s="1018">
        <v>18.373000000000001</v>
      </c>
      <c r="W172" s="1018"/>
      <c r="X172" s="1018">
        <v>171</v>
      </c>
    </row>
    <row r="173" spans="1:24">
      <c r="A173" s="906">
        <v>172</v>
      </c>
      <c r="B173" s="906" t="s">
        <v>1623</v>
      </c>
      <c r="C173" s="906">
        <v>29189</v>
      </c>
      <c r="D173" s="906" t="s">
        <v>1256</v>
      </c>
      <c r="E173" s="906" t="s">
        <v>1258</v>
      </c>
      <c r="F173" s="1015">
        <f t="shared" ref="F173:L175" si="78">O102</f>
        <v>0</v>
      </c>
      <c r="G173" s="1014">
        <f t="shared" si="78"/>
        <v>74.3</v>
      </c>
      <c r="H173" s="1014">
        <f t="shared" si="78"/>
        <v>37.5</v>
      </c>
      <c r="I173" s="1014">
        <f t="shared" si="78"/>
        <v>75.5</v>
      </c>
      <c r="J173" s="1013">
        <f t="shared" si="78"/>
        <v>34.5</v>
      </c>
      <c r="K173" s="1012" t="str">
        <f t="shared" si="78"/>
        <v/>
      </c>
      <c r="L173" s="1011">
        <f t="shared" si="78"/>
        <v>0.26546329054096318</v>
      </c>
      <c r="N173" s="1032" t="s">
        <v>1622</v>
      </c>
      <c r="O173" s="1031"/>
      <c r="P173" s="1030">
        <v>78</v>
      </c>
      <c r="Q173" s="1029">
        <v>49</v>
      </c>
      <c r="R173" s="1029">
        <v>86</v>
      </c>
      <c r="S173" s="1028">
        <v>46</v>
      </c>
      <c r="T173" s="1027">
        <v>28.562707285434296</v>
      </c>
      <c r="U173" s="1026">
        <v>0.23777803861728974</v>
      </c>
      <c r="V173" s="1018">
        <v>25.975000000000001</v>
      </c>
      <c r="W173" s="1018"/>
      <c r="X173" s="1018">
        <v>172</v>
      </c>
    </row>
    <row r="174" spans="1:24">
      <c r="A174" s="906">
        <v>173</v>
      </c>
      <c r="B174" s="906" t="s">
        <v>1621</v>
      </c>
      <c r="C174" s="906">
        <v>29189</v>
      </c>
      <c r="D174" s="906" t="s">
        <v>1256</v>
      </c>
      <c r="E174" s="906" t="s">
        <v>1258</v>
      </c>
      <c r="F174" s="1015">
        <f t="shared" si="78"/>
        <v>4.198931344086293E-2</v>
      </c>
      <c r="G174" s="1014">
        <f t="shared" si="78"/>
        <v>70</v>
      </c>
      <c r="H174" s="1014">
        <f t="shared" si="78"/>
        <v>40</v>
      </c>
      <c r="I174" s="1014">
        <f t="shared" si="78"/>
        <v>80</v>
      </c>
      <c r="J174" s="1013">
        <f t="shared" si="78"/>
        <v>39</v>
      </c>
      <c r="K174" s="1012">
        <f t="shared" si="78"/>
        <v>31.889129498295652</v>
      </c>
      <c r="L174" s="1011">
        <f t="shared" si="78"/>
        <v>0.31770808967621539</v>
      </c>
      <c r="N174" s="1032" t="s">
        <v>1433</v>
      </c>
      <c r="O174" s="1031"/>
      <c r="P174" s="1030">
        <v>77</v>
      </c>
      <c r="Q174" s="1029">
        <v>39</v>
      </c>
      <c r="R174" s="1029">
        <v>77</v>
      </c>
      <c r="S174" s="1028">
        <v>39</v>
      </c>
      <c r="T174" s="1027">
        <v>37.862868754626078</v>
      </c>
      <c r="U174" s="1026">
        <v>4.7737212692701383E-2</v>
      </c>
      <c r="V174" s="1018">
        <v>30.7</v>
      </c>
      <c r="W174" s="1018"/>
      <c r="X174" s="1018">
        <v>173</v>
      </c>
    </row>
    <row r="175" spans="1:24">
      <c r="A175" s="906">
        <v>174</v>
      </c>
      <c r="B175" s="906" t="s">
        <v>1619</v>
      </c>
      <c r="C175" s="906">
        <v>29189</v>
      </c>
      <c r="D175" s="906" t="s">
        <v>1257</v>
      </c>
      <c r="E175" s="906" t="s">
        <v>1259</v>
      </c>
      <c r="F175" s="1015">
        <f t="shared" si="78"/>
        <v>0</v>
      </c>
      <c r="G175" s="1014">
        <f t="shared" si="78"/>
        <v>74</v>
      </c>
      <c r="H175" s="1014">
        <f t="shared" si="78"/>
        <v>48</v>
      </c>
      <c r="I175" s="1014">
        <f t="shared" si="78"/>
        <v>88</v>
      </c>
      <c r="J175" s="1013">
        <f t="shared" si="78"/>
        <v>42</v>
      </c>
      <c r="K175" s="1012">
        <f t="shared" si="78"/>
        <v>31.018432008135505</v>
      </c>
      <c r="L175" s="1011">
        <f t="shared" si="78"/>
        <v>0.3725274241155998</v>
      </c>
      <c r="N175" s="1032" t="s">
        <v>1620</v>
      </c>
      <c r="O175" s="1031"/>
      <c r="P175" s="1030">
        <v>65</v>
      </c>
      <c r="Q175" s="1029">
        <v>41</v>
      </c>
      <c r="R175" s="1029">
        <v>75</v>
      </c>
      <c r="S175" s="1028">
        <v>32</v>
      </c>
      <c r="T175" s="1027" t="s">
        <v>842</v>
      </c>
      <c r="U175" s="1026">
        <v>0.25466067349495247</v>
      </c>
      <c r="V175" s="1018">
        <v>10.115</v>
      </c>
      <c r="W175" s="1018"/>
      <c r="X175" s="1018">
        <v>174</v>
      </c>
    </row>
    <row r="176" spans="1:24">
      <c r="A176" s="906">
        <v>175</v>
      </c>
      <c r="B176" s="906" t="s">
        <v>1619</v>
      </c>
      <c r="C176" s="906">
        <v>29189</v>
      </c>
      <c r="D176" s="906" t="s">
        <v>1256</v>
      </c>
      <c r="E176" s="906" t="s">
        <v>1259</v>
      </c>
      <c r="F176" s="1015">
        <f t="shared" ref="F176:L176" si="79">F175</f>
        <v>0</v>
      </c>
      <c r="G176" s="1014">
        <f t="shared" si="79"/>
        <v>74</v>
      </c>
      <c r="H176" s="1014">
        <f t="shared" si="79"/>
        <v>48</v>
      </c>
      <c r="I176" s="1014">
        <f t="shared" si="79"/>
        <v>88</v>
      </c>
      <c r="J176" s="1013">
        <f t="shared" si="79"/>
        <v>42</v>
      </c>
      <c r="K176" s="1012">
        <f t="shared" si="79"/>
        <v>31.018432008135505</v>
      </c>
      <c r="L176" s="1011">
        <f t="shared" si="79"/>
        <v>0.3725274241155998</v>
      </c>
      <c r="N176" s="1032" t="s">
        <v>1618</v>
      </c>
      <c r="O176" s="1031"/>
      <c r="P176" s="1030">
        <v>70.2</v>
      </c>
      <c r="Q176" s="1029">
        <v>47.3</v>
      </c>
      <c r="R176" s="1029">
        <v>75.900000000000006</v>
      </c>
      <c r="S176" s="1028">
        <v>46.7</v>
      </c>
      <c r="T176" s="1027">
        <v>26.803716840015852</v>
      </c>
      <c r="U176" s="1026">
        <v>7.0796840732193278E-2</v>
      </c>
      <c r="V176" s="1018">
        <v>129.648</v>
      </c>
      <c r="W176" s="1018"/>
      <c r="X176" s="1018">
        <v>175</v>
      </c>
    </row>
    <row r="177" spans="1:24">
      <c r="A177" s="906">
        <v>176</v>
      </c>
      <c r="B177" s="906" t="s">
        <v>1616</v>
      </c>
      <c r="C177" s="906">
        <v>55606</v>
      </c>
      <c r="D177" s="906" t="s">
        <v>1257</v>
      </c>
      <c r="E177" s="906" t="s">
        <v>1259</v>
      </c>
      <c r="F177" s="1015">
        <f t="shared" ref="F177:L177" si="80">O105</f>
        <v>0</v>
      </c>
      <c r="G177" s="1014">
        <f t="shared" si="80"/>
        <v>80</v>
      </c>
      <c r="H177" s="1014">
        <f t="shared" si="80"/>
        <v>45</v>
      </c>
      <c r="I177" s="1014">
        <f t="shared" si="80"/>
        <v>85</v>
      </c>
      <c r="J177" s="1013">
        <f t="shared" si="80"/>
        <v>45</v>
      </c>
      <c r="K177" s="1012" t="str">
        <f t="shared" si="80"/>
        <v/>
      </c>
      <c r="L177" s="1011">
        <f t="shared" si="80"/>
        <v>0.10795193210896252</v>
      </c>
      <c r="N177" s="1032" t="s">
        <v>1617</v>
      </c>
      <c r="O177" s="1031"/>
      <c r="P177" s="1030">
        <v>73</v>
      </c>
      <c r="Q177" s="1029">
        <v>46</v>
      </c>
      <c r="R177" s="1029">
        <v>78</v>
      </c>
      <c r="S177" s="1028">
        <v>46</v>
      </c>
      <c r="T177" s="1027" t="s">
        <v>842</v>
      </c>
      <c r="U177" s="1026">
        <v>0.27856629710890629</v>
      </c>
      <c r="V177" s="1018">
        <v>37.155999999999999</v>
      </c>
      <c r="W177" s="1018"/>
      <c r="X177" s="1018">
        <v>176</v>
      </c>
    </row>
    <row r="178" spans="1:24">
      <c r="A178" s="906">
        <v>177</v>
      </c>
      <c r="B178" s="906" t="s">
        <v>1616</v>
      </c>
      <c r="C178" s="906">
        <v>55606</v>
      </c>
      <c r="D178" s="906" t="s">
        <v>1256</v>
      </c>
      <c r="E178" s="906" t="s">
        <v>1259</v>
      </c>
      <c r="F178" s="1015">
        <f t="shared" ref="F178:L178" si="81">F177</f>
        <v>0</v>
      </c>
      <c r="G178" s="1014">
        <f t="shared" si="81"/>
        <v>80</v>
      </c>
      <c r="H178" s="1014">
        <f t="shared" si="81"/>
        <v>45</v>
      </c>
      <c r="I178" s="1014">
        <f t="shared" si="81"/>
        <v>85</v>
      </c>
      <c r="J178" s="1013">
        <f t="shared" si="81"/>
        <v>45</v>
      </c>
      <c r="K178" s="1012" t="str">
        <f t="shared" si="81"/>
        <v/>
      </c>
      <c r="L178" s="1011">
        <f t="shared" si="81"/>
        <v>0.10795193210896252</v>
      </c>
      <c r="N178" s="1032" t="s">
        <v>1615</v>
      </c>
      <c r="O178" s="1031"/>
      <c r="P178" s="1030">
        <v>72</v>
      </c>
      <c r="Q178" s="1029">
        <v>35</v>
      </c>
      <c r="R178" s="1029">
        <v>75</v>
      </c>
      <c r="S178" s="1028">
        <v>35</v>
      </c>
      <c r="T178" s="1027">
        <v>33.511714440642471</v>
      </c>
      <c r="U178" s="1026">
        <v>0.22924664107485604</v>
      </c>
      <c r="V178" s="1018">
        <v>6.4249999999999998</v>
      </c>
      <c r="W178" s="1018"/>
      <c r="X178" s="1018">
        <v>177</v>
      </c>
    </row>
    <row r="179" spans="1:24">
      <c r="A179" s="906">
        <v>178</v>
      </c>
      <c r="B179" s="906" t="s">
        <v>1614</v>
      </c>
      <c r="C179" s="906">
        <v>29189</v>
      </c>
      <c r="D179" s="906" t="s">
        <v>1256</v>
      </c>
      <c r="E179" s="906" t="s">
        <v>1259</v>
      </c>
      <c r="F179" s="1015"/>
      <c r="G179" s="1014"/>
      <c r="H179" s="1014"/>
      <c r="I179" s="1014"/>
      <c r="J179" s="1013"/>
      <c r="K179" s="1012"/>
      <c r="L179" s="1011"/>
      <c r="N179" s="1032" t="s">
        <v>1613</v>
      </c>
      <c r="O179" s="1031">
        <v>3.628439117406701E-2</v>
      </c>
      <c r="P179" s="1030">
        <v>65</v>
      </c>
      <c r="Q179" s="1029">
        <v>40</v>
      </c>
      <c r="R179" s="1029">
        <v>68</v>
      </c>
      <c r="S179" s="1028">
        <v>34</v>
      </c>
      <c r="T179" s="1027">
        <v>32.310391334359899</v>
      </c>
      <c r="U179" s="1026">
        <v>0.25445191927186389</v>
      </c>
      <c r="V179" s="1018">
        <v>13.188000000000001</v>
      </c>
      <c r="W179" s="1018"/>
      <c r="X179" s="1018">
        <v>178</v>
      </c>
    </row>
    <row r="180" spans="1:24">
      <c r="A180" s="906">
        <v>179</v>
      </c>
      <c r="B180" s="906" t="s">
        <v>1611</v>
      </c>
      <c r="C180" s="906">
        <v>19501</v>
      </c>
      <c r="D180" s="906" t="s">
        <v>1257</v>
      </c>
      <c r="E180" s="906" t="s">
        <v>1259</v>
      </c>
      <c r="F180" s="1015">
        <f t="shared" ref="F180:L180" si="82">O106</f>
        <v>0</v>
      </c>
      <c r="G180" s="1014">
        <f t="shared" si="82"/>
        <v>74</v>
      </c>
      <c r="H180" s="1014">
        <f t="shared" si="82"/>
        <v>52</v>
      </c>
      <c r="I180" s="1014">
        <f t="shared" si="82"/>
        <v>82</v>
      </c>
      <c r="J180" s="1013">
        <f t="shared" si="82"/>
        <v>48</v>
      </c>
      <c r="K180" s="1012" t="str">
        <f t="shared" si="82"/>
        <v/>
      </c>
      <c r="L180" s="1011">
        <f t="shared" si="82"/>
        <v>0.1757134564395425</v>
      </c>
      <c r="N180" s="1038" t="s">
        <v>1612</v>
      </c>
      <c r="O180" s="1037"/>
      <c r="P180" s="1036">
        <v>65</v>
      </c>
      <c r="Q180" s="1014">
        <v>0</v>
      </c>
      <c r="R180" s="1014">
        <v>70</v>
      </c>
      <c r="S180" s="1013">
        <v>0</v>
      </c>
      <c r="T180" s="1012" t="s">
        <v>842</v>
      </c>
      <c r="U180" s="1035"/>
      <c r="V180" s="906" t="s">
        <v>842</v>
      </c>
      <c r="X180" s="906">
        <v>179</v>
      </c>
    </row>
    <row r="181" spans="1:24">
      <c r="A181" s="906">
        <v>180</v>
      </c>
      <c r="B181" s="906" t="s">
        <v>1611</v>
      </c>
      <c r="C181" s="906">
        <v>19501</v>
      </c>
      <c r="D181" s="906" t="s">
        <v>1256</v>
      </c>
      <c r="E181" s="906" t="s">
        <v>1259</v>
      </c>
      <c r="F181" s="1015">
        <f t="shared" ref="F181:L181" si="83">F180</f>
        <v>0</v>
      </c>
      <c r="G181" s="1014">
        <f t="shared" si="83"/>
        <v>74</v>
      </c>
      <c r="H181" s="1014">
        <f t="shared" si="83"/>
        <v>52</v>
      </c>
      <c r="I181" s="1014">
        <f t="shared" si="83"/>
        <v>82</v>
      </c>
      <c r="J181" s="1013">
        <f t="shared" si="83"/>
        <v>48</v>
      </c>
      <c r="K181" s="1012" t="str">
        <f t="shared" si="83"/>
        <v/>
      </c>
      <c r="L181" s="1011">
        <f t="shared" si="83"/>
        <v>0.1757134564395425</v>
      </c>
      <c r="N181" s="1032" t="s">
        <v>1421</v>
      </c>
      <c r="O181" s="1031"/>
      <c r="P181" s="1030">
        <v>68</v>
      </c>
      <c r="Q181" s="1029">
        <v>36</v>
      </c>
      <c r="R181" s="1029">
        <v>70</v>
      </c>
      <c r="S181" s="1028">
        <v>33</v>
      </c>
      <c r="T181" s="1027"/>
      <c r="U181" s="1026">
        <v>0.26015151515151513</v>
      </c>
      <c r="V181" s="1018">
        <v>4.883</v>
      </c>
      <c r="W181" s="1018"/>
      <c r="X181" s="1018">
        <v>180</v>
      </c>
    </row>
    <row r="182" spans="1:24">
      <c r="A182" s="906">
        <v>181</v>
      </c>
      <c r="B182" s="906" t="s">
        <v>1610</v>
      </c>
      <c r="C182" s="906">
        <v>29189</v>
      </c>
      <c r="D182" s="906" t="s">
        <v>1256</v>
      </c>
      <c r="E182" s="906" t="s">
        <v>1258</v>
      </c>
      <c r="F182" s="1015"/>
      <c r="G182" s="1014"/>
      <c r="H182" s="1014"/>
      <c r="I182" s="1014"/>
      <c r="J182" s="1013"/>
      <c r="K182" s="1012"/>
      <c r="L182" s="1011"/>
      <c r="N182" s="1032" t="s">
        <v>1609</v>
      </c>
      <c r="O182" s="1031"/>
      <c r="P182" s="1030">
        <v>66.099999999999994</v>
      </c>
      <c r="Q182" s="1029">
        <v>44</v>
      </c>
      <c r="R182" s="1029">
        <v>69</v>
      </c>
      <c r="S182" s="1028">
        <v>39.5</v>
      </c>
      <c r="T182" s="1027">
        <v>27.789915231702551</v>
      </c>
      <c r="U182" s="1026">
        <v>0.17671806501226486</v>
      </c>
      <c r="V182" s="1018">
        <v>293.33699999999999</v>
      </c>
      <c r="W182" s="1018"/>
      <c r="X182" s="1018">
        <v>181</v>
      </c>
    </row>
    <row r="183" spans="1:24">
      <c r="A183" s="906">
        <v>182</v>
      </c>
      <c r="B183" s="906" t="s">
        <v>1608</v>
      </c>
      <c r="C183" s="906">
        <v>29189</v>
      </c>
      <c r="D183" s="906" t="s">
        <v>1256</v>
      </c>
      <c r="E183" s="906" t="s">
        <v>1259</v>
      </c>
      <c r="F183" s="1015">
        <f t="shared" ref="F183:L183" si="84">O107</f>
        <v>1.6020721412125863E-2</v>
      </c>
      <c r="G183" s="1014">
        <f t="shared" si="84"/>
        <v>75</v>
      </c>
      <c r="H183" s="1014">
        <f t="shared" si="84"/>
        <v>41</v>
      </c>
      <c r="I183" s="1014">
        <f t="shared" si="84"/>
        <v>76</v>
      </c>
      <c r="J183" s="1013">
        <f t="shared" si="84"/>
        <v>36</v>
      </c>
      <c r="K183" s="1012">
        <f t="shared" si="84"/>
        <v>38.430332926347113</v>
      </c>
      <c r="L183" s="1011">
        <f t="shared" si="84"/>
        <v>0.28141756848981181</v>
      </c>
      <c r="N183" s="1032" t="s">
        <v>1607</v>
      </c>
      <c r="O183" s="1031">
        <v>3.3328752061572292E-3</v>
      </c>
      <c r="P183" s="1030">
        <v>68</v>
      </c>
      <c r="Q183" s="1029">
        <v>34</v>
      </c>
      <c r="R183" s="1029">
        <v>68</v>
      </c>
      <c r="S183" s="1028">
        <v>32</v>
      </c>
      <c r="T183" s="1027">
        <v>37.040916326142735</v>
      </c>
      <c r="U183" s="1026">
        <v>0.25273209914848138</v>
      </c>
      <c r="V183" s="1018">
        <v>21.675999999999998</v>
      </c>
      <c r="W183" s="1018"/>
      <c r="X183" s="1018">
        <v>182</v>
      </c>
    </row>
    <row r="184" spans="1:24">
      <c r="A184" s="906">
        <v>183</v>
      </c>
      <c r="B184" s="906" t="s">
        <v>1606</v>
      </c>
      <c r="C184" s="906">
        <v>29189</v>
      </c>
      <c r="D184" s="906" t="s">
        <v>1256</v>
      </c>
      <c r="E184" s="906" t="s">
        <v>1258</v>
      </c>
      <c r="F184" s="1015"/>
      <c r="G184" s="1014"/>
      <c r="H184" s="1014"/>
      <c r="I184" s="1014"/>
      <c r="J184" s="1013"/>
      <c r="K184" s="1012"/>
      <c r="L184" s="1011"/>
      <c r="N184" s="1032" t="s">
        <v>1605</v>
      </c>
      <c r="O184" s="1031">
        <v>1.2688216132485934E-2</v>
      </c>
      <c r="P184" s="1030">
        <v>67</v>
      </c>
      <c r="Q184" s="1029">
        <v>46</v>
      </c>
      <c r="R184" s="1029">
        <v>83</v>
      </c>
      <c r="S184" s="1028">
        <v>41</v>
      </c>
      <c r="T184" s="1027">
        <v>29.11144538321798</v>
      </c>
      <c r="U184" s="1026">
        <v>0.3055235106824789</v>
      </c>
      <c r="V184" s="1018">
        <v>30.1</v>
      </c>
      <c r="W184" s="1018"/>
      <c r="X184" s="1018">
        <v>183</v>
      </c>
    </row>
    <row r="185" spans="1:24">
      <c r="A185" s="906">
        <v>184</v>
      </c>
      <c r="B185" s="906" t="s">
        <v>1604</v>
      </c>
      <c r="C185" s="906">
        <v>29189</v>
      </c>
      <c r="D185" s="906" t="s">
        <v>1256</v>
      </c>
      <c r="E185" s="906" t="s">
        <v>1258</v>
      </c>
      <c r="F185" s="1015"/>
      <c r="G185" s="1014"/>
      <c r="H185" s="1014"/>
      <c r="I185" s="1014"/>
      <c r="J185" s="1013"/>
      <c r="K185" s="1012"/>
      <c r="L185" s="1011"/>
      <c r="N185" s="1032" t="s">
        <v>1603</v>
      </c>
      <c r="O185" s="1031"/>
      <c r="P185" s="1030">
        <v>70</v>
      </c>
      <c r="Q185" s="1029">
        <v>38</v>
      </c>
      <c r="R185" s="1029">
        <v>74</v>
      </c>
      <c r="S185" s="1028">
        <v>34</v>
      </c>
      <c r="T185" s="1027">
        <v>37.892150655978803</v>
      </c>
      <c r="U185" s="1026">
        <v>0.28466427189831445</v>
      </c>
      <c r="V185" s="1018">
        <v>12.944000000000001</v>
      </c>
      <c r="W185" s="1018"/>
      <c r="X185" s="1018">
        <v>184</v>
      </c>
    </row>
    <row r="186" spans="1:24">
      <c r="A186" s="906">
        <v>185</v>
      </c>
      <c r="B186" s="906" t="s">
        <v>1601</v>
      </c>
      <c r="C186" s="906">
        <v>29188</v>
      </c>
      <c r="D186" s="906" t="s">
        <v>1256</v>
      </c>
      <c r="E186" s="906" t="s">
        <v>1259</v>
      </c>
      <c r="F186" s="1015"/>
      <c r="G186" s="1014"/>
      <c r="H186" s="1014"/>
      <c r="I186" s="1014"/>
      <c r="J186" s="1013"/>
      <c r="K186" s="1012"/>
      <c r="L186" s="1011"/>
      <c r="N186" s="1032" t="s">
        <v>1602</v>
      </c>
      <c r="O186" s="1031"/>
      <c r="P186" s="1030">
        <v>65</v>
      </c>
      <c r="Q186" s="1029">
        <v>39</v>
      </c>
      <c r="R186" s="1029">
        <v>75</v>
      </c>
      <c r="S186" s="1028">
        <v>37</v>
      </c>
      <c r="T186" s="1027" t="s">
        <v>842</v>
      </c>
      <c r="U186" s="1026">
        <v>0.22543422128847049</v>
      </c>
      <c r="V186" s="1018">
        <v>193.18600000000001</v>
      </c>
      <c r="W186" s="1018"/>
      <c r="X186" s="1018">
        <v>185</v>
      </c>
    </row>
    <row r="187" spans="1:24">
      <c r="A187" s="906">
        <v>186</v>
      </c>
      <c r="B187" s="906" t="s">
        <v>1601</v>
      </c>
      <c r="C187" s="906">
        <v>70960</v>
      </c>
      <c r="D187" s="906" t="s">
        <v>1256</v>
      </c>
      <c r="E187" s="906" t="s">
        <v>1259</v>
      </c>
      <c r="F187" s="1015"/>
      <c r="G187" s="1014"/>
      <c r="H187" s="1014"/>
      <c r="I187" s="1014"/>
      <c r="J187" s="1013"/>
      <c r="K187" s="1012"/>
      <c r="L187" s="1011"/>
      <c r="N187" s="1032" t="s">
        <v>1600</v>
      </c>
      <c r="O187" s="1031"/>
      <c r="P187" s="1030">
        <v>72</v>
      </c>
      <c r="Q187" s="1029">
        <v>37</v>
      </c>
      <c r="R187" s="1029">
        <v>68</v>
      </c>
      <c r="S187" s="1028">
        <v>33</v>
      </c>
      <c r="T187" s="1027">
        <v>34.04097488484021</v>
      </c>
      <c r="U187" s="1026">
        <v>0.22778636344302505</v>
      </c>
      <c r="V187" s="1018">
        <v>54.465000000000003</v>
      </c>
      <c r="W187" s="1018"/>
      <c r="X187" s="1018">
        <v>186</v>
      </c>
    </row>
    <row r="188" spans="1:24">
      <c r="A188" s="906">
        <v>187</v>
      </c>
      <c r="B188" s="906" t="s">
        <v>1599</v>
      </c>
      <c r="C188" s="906">
        <v>29189</v>
      </c>
      <c r="D188" s="906" t="s">
        <v>1256</v>
      </c>
      <c r="E188" s="906" t="s">
        <v>1258</v>
      </c>
      <c r="F188" s="1015">
        <f t="shared" ref="F188:L188" si="85">O108</f>
        <v>3.8071326441955766E-2</v>
      </c>
      <c r="G188" s="1014">
        <f t="shared" si="85"/>
        <v>68.7</v>
      </c>
      <c r="H188" s="1014">
        <f t="shared" si="85"/>
        <v>49.7</v>
      </c>
      <c r="I188" s="1014">
        <f t="shared" si="85"/>
        <v>70.8</v>
      </c>
      <c r="J188" s="1013">
        <f t="shared" si="85"/>
        <v>46</v>
      </c>
      <c r="K188" s="1012">
        <f t="shared" si="85"/>
        <v>22.152504600492247</v>
      </c>
      <c r="L188" s="1011">
        <f t="shared" si="85"/>
        <v>0.20717171142467</v>
      </c>
      <c r="N188" s="1032" t="s">
        <v>1598</v>
      </c>
      <c r="O188" s="1031"/>
      <c r="P188" s="1030">
        <v>63</v>
      </c>
      <c r="Q188" s="1029">
        <v>38</v>
      </c>
      <c r="R188" s="1029">
        <v>70</v>
      </c>
      <c r="S188" s="1028">
        <v>36</v>
      </c>
      <c r="T188" s="1027"/>
      <c r="U188" s="1026"/>
      <c r="V188" s="1018" t="s">
        <v>842</v>
      </c>
      <c r="W188" s="1018"/>
      <c r="X188" s="1018">
        <v>187</v>
      </c>
    </row>
    <row r="189" spans="1:24">
      <c r="A189" s="906">
        <v>188</v>
      </c>
      <c r="B189" s="906" t="s">
        <v>1595</v>
      </c>
      <c r="C189" s="906">
        <v>29188</v>
      </c>
      <c r="D189" s="906" t="s">
        <v>1256</v>
      </c>
      <c r="E189" s="906" t="s">
        <v>1259</v>
      </c>
      <c r="F189" s="1015"/>
      <c r="G189" s="1014"/>
      <c r="H189" s="1014"/>
      <c r="I189" s="1014"/>
      <c r="J189" s="1013"/>
      <c r="K189" s="1012"/>
      <c r="L189" s="1011"/>
      <c r="N189" s="1038" t="s">
        <v>1597</v>
      </c>
      <c r="O189" s="1037">
        <v>1.1426705843943846E-2</v>
      </c>
      <c r="P189" s="1036">
        <v>69</v>
      </c>
      <c r="Q189" s="1014">
        <v>33</v>
      </c>
      <c r="R189" s="1014">
        <v>69</v>
      </c>
      <c r="S189" s="1013">
        <v>34</v>
      </c>
      <c r="T189" s="1012">
        <v>35.45147203192289</v>
      </c>
      <c r="U189" s="1035">
        <v>0.20369147218552766</v>
      </c>
      <c r="V189" s="906">
        <v>21.701000000000001</v>
      </c>
      <c r="X189" s="906">
        <v>188</v>
      </c>
    </row>
    <row r="190" spans="1:24">
      <c r="A190" s="906">
        <v>189</v>
      </c>
      <c r="B190" s="906" t="s">
        <v>1595</v>
      </c>
      <c r="C190" s="906">
        <v>58271</v>
      </c>
      <c r="D190" s="906" t="s">
        <v>1256</v>
      </c>
      <c r="E190" s="906" t="s">
        <v>1259</v>
      </c>
      <c r="F190" s="1015"/>
      <c r="G190" s="1014"/>
      <c r="H190" s="1014"/>
      <c r="I190" s="1014"/>
      <c r="J190" s="1013"/>
      <c r="K190" s="1012"/>
      <c r="L190" s="1011"/>
      <c r="N190" s="1032" t="s">
        <v>1596</v>
      </c>
      <c r="O190" s="1031"/>
      <c r="P190" s="1030">
        <v>80</v>
      </c>
      <c r="Q190" s="1029">
        <v>37</v>
      </c>
      <c r="R190" s="1029">
        <v>89</v>
      </c>
      <c r="S190" s="1028">
        <v>36</v>
      </c>
      <c r="T190" s="1027" t="s">
        <v>842</v>
      </c>
      <c r="U190" s="1026">
        <v>0.25266230607059842</v>
      </c>
      <c r="V190" s="1018">
        <v>27.65</v>
      </c>
      <c r="W190" s="1018"/>
      <c r="X190" s="1018">
        <v>189</v>
      </c>
    </row>
    <row r="191" spans="1:24">
      <c r="A191" s="906">
        <v>190</v>
      </c>
      <c r="B191" s="906" t="s">
        <v>1595</v>
      </c>
      <c r="C191" s="906">
        <v>63640</v>
      </c>
      <c r="D191" s="906" t="s">
        <v>1256</v>
      </c>
      <c r="E191" s="906" t="s">
        <v>1259</v>
      </c>
      <c r="F191" s="1015"/>
      <c r="G191" s="1014"/>
      <c r="H191" s="1014"/>
      <c r="I191" s="1014"/>
      <c r="J191" s="1013"/>
      <c r="K191" s="1012"/>
      <c r="L191" s="1011"/>
      <c r="N191" s="1038" t="s">
        <v>1594</v>
      </c>
      <c r="O191" s="1037"/>
      <c r="P191" s="1036">
        <v>66</v>
      </c>
      <c r="Q191" s="1014">
        <v>46</v>
      </c>
      <c r="R191" s="1014">
        <v>73</v>
      </c>
      <c r="S191" s="1013">
        <v>42</v>
      </c>
      <c r="T191" s="1012">
        <v>21.990494296577946</v>
      </c>
      <c r="U191" s="1035">
        <v>0.40520446096654272</v>
      </c>
      <c r="V191" s="906">
        <v>3.2</v>
      </c>
      <c r="X191" s="906">
        <v>190</v>
      </c>
    </row>
    <row r="192" spans="1:24">
      <c r="A192" s="906">
        <v>191</v>
      </c>
      <c r="B192" s="906" t="s">
        <v>1592</v>
      </c>
      <c r="C192" s="906">
        <v>29189</v>
      </c>
      <c r="D192" s="906" t="s">
        <v>1257</v>
      </c>
      <c r="E192" s="906" t="s">
        <v>1258</v>
      </c>
      <c r="F192" s="1015">
        <f t="shared" ref="F192:L192" si="86">O109</f>
        <v>0</v>
      </c>
      <c r="G192" s="1014">
        <f t="shared" si="86"/>
        <v>69</v>
      </c>
      <c r="H192" s="1014">
        <f t="shared" si="86"/>
        <v>40</v>
      </c>
      <c r="I192" s="1014">
        <f t="shared" si="86"/>
        <v>73</v>
      </c>
      <c r="J192" s="1013">
        <f t="shared" si="86"/>
        <v>36</v>
      </c>
      <c r="K192" s="1012">
        <f t="shared" si="86"/>
        <v>42.092665479648893</v>
      </c>
      <c r="L192" s="1011">
        <f t="shared" si="86"/>
        <v>0.23629304613748173</v>
      </c>
      <c r="N192" s="1032" t="s">
        <v>1593</v>
      </c>
      <c r="O192" s="1031">
        <v>1.9295246130958989E-2</v>
      </c>
      <c r="P192" s="1030">
        <v>70</v>
      </c>
      <c r="Q192" s="1029">
        <v>47</v>
      </c>
      <c r="R192" s="1029">
        <v>82</v>
      </c>
      <c r="S192" s="1028">
        <v>44</v>
      </c>
      <c r="T192" s="1027">
        <v>35.799021344934445</v>
      </c>
      <c r="U192" s="1026">
        <v>0.28027078427821045</v>
      </c>
      <c r="V192" s="1018">
        <v>31.789000000000001</v>
      </c>
      <c r="W192" s="1018"/>
      <c r="X192" s="1018">
        <v>191</v>
      </c>
    </row>
    <row r="193" spans="1:24">
      <c r="A193" s="906">
        <v>192</v>
      </c>
      <c r="B193" s="906" t="s">
        <v>1592</v>
      </c>
      <c r="C193" s="906">
        <v>29189</v>
      </c>
      <c r="D193" s="906" t="s">
        <v>1256</v>
      </c>
      <c r="E193" s="906" t="s">
        <v>1258</v>
      </c>
      <c r="F193" s="1015">
        <f t="shared" ref="F193:L193" si="87">F192</f>
        <v>0</v>
      </c>
      <c r="G193" s="1014">
        <f t="shared" si="87"/>
        <v>69</v>
      </c>
      <c r="H193" s="1014">
        <f t="shared" si="87"/>
        <v>40</v>
      </c>
      <c r="I193" s="1014">
        <f t="shared" si="87"/>
        <v>73</v>
      </c>
      <c r="J193" s="1013">
        <f t="shared" si="87"/>
        <v>36</v>
      </c>
      <c r="K193" s="1012">
        <f t="shared" si="87"/>
        <v>42.092665479648893</v>
      </c>
      <c r="L193" s="1011">
        <f t="shared" si="87"/>
        <v>0.23629304613748173</v>
      </c>
      <c r="N193" s="1032" t="s">
        <v>1591</v>
      </c>
      <c r="O193" s="1031"/>
      <c r="P193" s="1030">
        <v>68</v>
      </c>
      <c r="Q193" s="1029">
        <v>45</v>
      </c>
      <c r="R193" s="1029">
        <v>73</v>
      </c>
      <c r="S193" s="1028">
        <v>41</v>
      </c>
      <c r="T193" s="1027">
        <v>31.864698078790894</v>
      </c>
      <c r="U193" s="1026">
        <v>0.22919297348272941</v>
      </c>
      <c r="V193" s="1018">
        <v>48.223999999999997</v>
      </c>
      <c r="W193" s="1018"/>
      <c r="X193" s="1018">
        <v>192</v>
      </c>
    </row>
    <row r="194" spans="1:24">
      <c r="A194" s="906">
        <v>193</v>
      </c>
      <c r="B194" s="906" t="s">
        <v>1590</v>
      </c>
      <c r="C194" s="906">
        <v>29189</v>
      </c>
      <c r="D194" s="906" t="s">
        <v>1256</v>
      </c>
      <c r="E194" s="906" t="s">
        <v>1258</v>
      </c>
      <c r="F194" s="1015"/>
      <c r="G194" s="1014"/>
      <c r="H194" s="1014"/>
      <c r="I194" s="1014"/>
      <c r="J194" s="1013"/>
      <c r="K194" s="1012"/>
      <c r="L194" s="1011"/>
      <c r="N194" s="1032" t="s">
        <v>1589</v>
      </c>
      <c r="O194" s="1031">
        <v>7.8280671790492452E-3</v>
      </c>
      <c r="P194" s="1030">
        <v>65</v>
      </c>
      <c r="Q194" s="1029">
        <v>39</v>
      </c>
      <c r="R194" s="1029">
        <v>65</v>
      </c>
      <c r="S194" s="1028">
        <v>32</v>
      </c>
      <c r="T194" s="1027">
        <v>30.509211195928753</v>
      </c>
      <c r="U194" s="1026">
        <v>0.28252761440252472</v>
      </c>
      <c r="V194" s="1018">
        <v>10.003</v>
      </c>
      <c r="W194" s="1018"/>
      <c r="X194" s="1018">
        <v>193</v>
      </c>
    </row>
    <row r="195" spans="1:24" ht="16">
      <c r="A195" s="906">
        <v>194</v>
      </c>
      <c r="B195" s="906" t="s">
        <v>1588</v>
      </c>
      <c r="C195" s="906">
        <v>11931</v>
      </c>
      <c r="D195" s="906" t="s">
        <v>1257</v>
      </c>
      <c r="E195" s="906" t="s">
        <v>1259</v>
      </c>
      <c r="F195" s="1015">
        <f t="shared" ref="F195:K197" si="88">O110</f>
        <v>0</v>
      </c>
      <c r="G195" s="1014">
        <f t="shared" si="88"/>
        <v>85</v>
      </c>
      <c r="H195" s="1014">
        <f t="shared" si="88"/>
        <v>50</v>
      </c>
      <c r="I195" s="1014">
        <f t="shared" si="88"/>
        <v>105</v>
      </c>
      <c r="J195" s="1013">
        <f t="shared" si="88"/>
        <v>50</v>
      </c>
      <c r="K195" s="1012" t="str">
        <f t="shared" si="88"/>
        <v/>
      </c>
      <c r="L195" s="1016">
        <v>0.17374718282373314</v>
      </c>
      <c r="N195" s="1032" t="s">
        <v>1587</v>
      </c>
      <c r="O195" s="1031"/>
      <c r="P195" s="1030">
        <v>70</v>
      </c>
      <c r="Q195" s="1029">
        <v>35</v>
      </c>
      <c r="R195" s="1029">
        <v>70</v>
      </c>
      <c r="S195" s="1028">
        <v>31</v>
      </c>
      <c r="T195" s="1027">
        <v>36.810123456790123</v>
      </c>
      <c r="U195" s="1026">
        <v>0.24733198730891259</v>
      </c>
      <c r="V195" s="1018">
        <v>15.657</v>
      </c>
      <c r="W195" s="1018"/>
      <c r="X195" s="1018">
        <v>194</v>
      </c>
    </row>
    <row r="196" spans="1:24">
      <c r="A196" s="906">
        <v>195</v>
      </c>
      <c r="B196" s="906" t="s">
        <v>1586</v>
      </c>
      <c r="C196" s="906">
        <v>29189</v>
      </c>
      <c r="D196" s="906" t="s">
        <v>1256</v>
      </c>
      <c r="E196" s="906" t="s">
        <v>1258</v>
      </c>
      <c r="F196" s="1015">
        <f t="shared" si="88"/>
        <v>0</v>
      </c>
      <c r="G196" s="1014">
        <f t="shared" si="88"/>
        <v>70</v>
      </c>
      <c r="H196" s="1014">
        <f t="shared" si="88"/>
        <v>36</v>
      </c>
      <c r="I196" s="1014">
        <f t="shared" si="88"/>
        <v>73</v>
      </c>
      <c r="J196" s="1013">
        <f t="shared" si="88"/>
        <v>34</v>
      </c>
      <c r="K196" s="1012">
        <f t="shared" si="88"/>
        <v>37.872396067668497</v>
      </c>
      <c r="L196" s="1011">
        <f>U111</f>
        <v>0.19338463012036652</v>
      </c>
      <c r="N196" s="1032" t="s">
        <v>1398</v>
      </c>
      <c r="O196" s="1031"/>
      <c r="P196" s="1030">
        <v>68.5</v>
      </c>
      <c r="Q196" s="1029">
        <v>41</v>
      </c>
      <c r="R196" s="1029">
        <v>72</v>
      </c>
      <c r="S196" s="1028">
        <v>35</v>
      </c>
      <c r="T196" s="1027">
        <v>38.37406</v>
      </c>
      <c r="U196" s="1026">
        <v>0.23754883724404802</v>
      </c>
      <c r="V196" s="1018">
        <v>102.06399999999999</v>
      </c>
      <c r="W196" s="1018"/>
      <c r="X196" s="1018">
        <v>195</v>
      </c>
    </row>
    <row r="197" spans="1:24" ht="16">
      <c r="A197" s="906">
        <v>196</v>
      </c>
      <c r="B197" s="906" t="s">
        <v>1585</v>
      </c>
      <c r="C197" s="906">
        <v>29189</v>
      </c>
      <c r="D197" s="906" t="s">
        <v>1256</v>
      </c>
      <c r="E197" s="906" t="s">
        <v>1258</v>
      </c>
      <c r="F197" s="1015">
        <f t="shared" si="88"/>
        <v>0</v>
      </c>
      <c r="G197" s="1014">
        <f t="shared" si="88"/>
        <v>72</v>
      </c>
      <c r="H197" s="1014">
        <f t="shared" si="88"/>
        <v>0</v>
      </c>
      <c r="I197" s="1014">
        <f t="shared" si="88"/>
        <v>72</v>
      </c>
      <c r="J197" s="1013">
        <f t="shared" si="88"/>
        <v>0</v>
      </c>
      <c r="K197" s="1012" t="str">
        <f t="shared" si="88"/>
        <v/>
      </c>
      <c r="L197" s="1016">
        <v>0.22800028617798151</v>
      </c>
      <c r="N197" s="1032" t="s">
        <v>1584</v>
      </c>
      <c r="O197" s="1031">
        <v>1.1500633141945221E-2</v>
      </c>
      <c r="P197" s="1030">
        <v>69</v>
      </c>
      <c r="Q197" s="1029">
        <v>0</v>
      </c>
      <c r="R197" s="1029">
        <v>72</v>
      </c>
      <c r="S197" s="1028">
        <v>0</v>
      </c>
      <c r="T197" s="1027" t="s">
        <v>842</v>
      </c>
      <c r="U197" s="1026">
        <v>0.23712841750605412</v>
      </c>
      <c r="V197" s="1018">
        <v>43.472999999999999</v>
      </c>
      <c r="W197" s="1018"/>
      <c r="X197" s="1018">
        <v>196</v>
      </c>
    </row>
    <row r="198" spans="1:24">
      <c r="A198" s="906">
        <v>197</v>
      </c>
      <c r="B198" s="906" t="s">
        <v>1583</v>
      </c>
      <c r="C198" s="906">
        <v>29189</v>
      </c>
      <c r="D198" s="906" t="s">
        <v>1256</v>
      </c>
      <c r="E198" s="906" t="s">
        <v>1258</v>
      </c>
      <c r="F198" s="1015"/>
      <c r="G198" s="1014"/>
      <c r="H198" s="1014"/>
      <c r="I198" s="1014"/>
      <c r="J198" s="1013"/>
      <c r="K198" s="1012"/>
      <c r="L198" s="1011"/>
      <c r="N198" s="1032" t="s">
        <v>1582</v>
      </c>
      <c r="O198" s="1031"/>
      <c r="P198" s="1030">
        <v>72</v>
      </c>
      <c r="Q198" s="1029">
        <v>41</v>
      </c>
      <c r="R198" s="1029">
        <v>88</v>
      </c>
      <c r="S198" s="1028">
        <v>39</v>
      </c>
      <c r="T198" s="1027"/>
      <c r="U198" s="1026"/>
      <c r="V198" s="1018">
        <v>9.5470000000000006</v>
      </c>
      <c r="W198" s="1018"/>
      <c r="X198" s="1018">
        <v>197</v>
      </c>
    </row>
    <row r="199" spans="1:24">
      <c r="A199" s="906">
        <v>198</v>
      </c>
      <c r="B199" s="906" t="s">
        <v>1581</v>
      </c>
      <c r="C199" s="906">
        <v>29189</v>
      </c>
      <c r="D199" s="906" t="s">
        <v>1256</v>
      </c>
      <c r="E199" s="906" t="s">
        <v>1259</v>
      </c>
      <c r="F199" s="1015"/>
      <c r="G199" s="1014"/>
      <c r="H199" s="1014"/>
      <c r="I199" s="1014"/>
      <c r="J199" s="1013"/>
      <c r="K199" s="1012"/>
      <c r="L199" s="1011"/>
      <c r="N199" s="1032" t="s">
        <v>1580</v>
      </c>
      <c r="O199" s="1031"/>
      <c r="P199" s="1030">
        <v>85</v>
      </c>
      <c r="Q199" s="1029">
        <v>45</v>
      </c>
      <c r="R199" s="1029">
        <v>85</v>
      </c>
      <c r="S199" s="1028">
        <v>45</v>
      </c>
      <c r="T199" s="1027" t="s">
        <v>842</v>
      </c>
      <c r="U199" s="1026">
        <v>0.22411913419097065</v>
      </c>
      <c r="V199" s="1018">
        <v>131.66</v>
      </c>
      <c r="W199" s="1018"/>
      <c r="X199" s="1018">
        <v>198</v>
      </c>
    </row>
    <row r="200" spans="1:24">
      <c r="A200" s="906">
        <v>199</v>
      </c>
      <c r="B200" s="906" t="s">
        <v>1579</v>
      </c>
      <c r="C200" s="906">
        <v>29189</v>
      </c>
      <c r="D200" s="906" t="s">
        <v>1256</v>
      </c>
      <c r="E200" s="906" t="s">
        <v>1259</v>
      </c>
      <c r="F200" s="1015">
        <f t="shared" ref="F200:L200" si="89">O113</f>
        <v>1.1251839242953175E-2</v>
      </c>
      <c r="G200" s="1014">
        <f t="shared" si="89"/>
        <v>67</v>
      </c>
      <c r="H200" s="1014">
        <f t="shared" si="89"/>
        <v>40</v>
      </c>
      <c r="I200" s="1014">
        <f t="shared" si="89"/>
        <v>80</v>
      </c>
      <c r="J200" s="1013">
        <f t="shared" si="89"/>
        <v>38</v>
      </c>
      <c r="K200" s="1012">
        <f t="shared" si="89"/>
        <v>32.019368239910655</v>
      </c>
      <c r="L200" s="1011">
        <f t="shared" si="89"/>
        <v>0.30101251787225353</v>
      </c>
      <c r="N200" s="1032" t="s">
        <v>1578</v>
      </c>
      <c r="O200" s="1031">
        <v>2.6783337769496939E-2</v>
      </c>
      <c r="P200" s="1030">
        <v>71.2</v>
      </c>
      <c r="Q200" s="1029">
        <v>44.4</v>
      </c>
      <c r="R200" s="1029">
        <v>76.7</v>
      </c>
      <c r="S200" s="1028">
        <v>37.6</v>
      </c>
      <c r="T200" s="1027">
        <v>46.516443384276855</v>
      </c>
      <c r="U200" s="1026">
        <v>0.33448429113534578</v>
      </c>
      <c r="V200" s="1018">
        <v>19.466999999999999</v>
      </c>
      <c r="W200" s="1018"/>
      <c r="X200" s="1018">
        <v>199</v>
      </c>
    </row>
    <row r="201" spans="1:24">
      <c r="A201" s="906">
        <v>200</v>
      </c>
      <c r="B201" s="906" t="s">
        <v>1577</v>
      </c>
      <c r="C201" s="906">
        <v>26696</v>
      </c>
      <c r="D201" s="906" t="s">
        <v>1256</v>
      </c>
      <c r="E201" s="906" t="s">
        <v>1259</v>
      </c>
      <c r="F201" s="1015"/>
      <c r="G201" s="1014"/>
      <c r="H201" s="1014"/>
      <c r="I201" s="1014"/>
      <c r="J201" s="1013"/>
      <c r="K201" s="1012"/>
      <c r="L201" s="1011"/>
      <c r="N201" s="1032" t="s">
        <v>1392</v>
      </c>
      <c r="O201" s="1031"/>
      <c r="P201" s="1030">
        <v>80</v>
      </c>
      <c r="Q201" s="1029">
        <v>40</v>
      </c>
      <c r="R201" s="1029">
        <v>80</v>
      </c>
      <c r="S201" s="1028">
        <v>38</v>
      </c>
      <c r="T201" s="1027" t="s">
        <v>842</v>
      </c>
      <c r="U201" s="1026">
        <v>0.42861396949343217</v>
      </c>
      <c r="V201" s="1018">
        <v>17.268999999999998</v>
      </c>
      <c r="W201" s="1018"/>
      <c r="X201" s="1018">
        <v>200</v>
      </c>
    </row>
    <row r="202" spans="1:24">
      <c r="A202" s="906">
        <v>201</v>
      </c>
      <c r="B202" s="906" t="s">
        <v>1576</v>
      </c>
      <c r="C202" s="906">
        <v>29189</v>
      </c>
      <c r="D202" s="906" t="s">
        <v>1257</v>
      </c>
      <c r="E202" s="906" t="s">
        <v>1259</v>
      </c>
      <c r="F202" s="1015">
        <f t="shared" ref="F202:L202" si="90">O114</f>
        <v>0</v>
      </c>
      <c r="G202" s="1014">
        <f t="shared" si="90"/>
        <v>83.5</v>
      </c>
      <c r="H202" s="1014">
        <f t="shared" si="90"/>
        <v>55.9</v>
      </c>
      <c r="I202" s="1014">
        <f t="shared" si="90"/>
        <v>87.3</v>
      </c>
      <c r="J202" s="1013">
        <f t="shared" si="90"/>
        <v>51.9</v>
      </c>
      <c r="K202" s="1012" t="str">
        <f t="shared" si="90"/>
        <v/>
      </c>
      <c r="L202" s="1011">
        <f t="shared" si="90"/>
        <v>0.24901553425563058</v>
      </c>
      <c r="N202" s="1032" t="s">
        <v>1575</v>
      </c>
      <c r="O202" s="1031"/>
      <c r="P202" s="1030">
        <v>66</v>
      </c>
      <c r="Q202" s="1029">
        <v>43</v>
      </c>
      <c r="R202" s="1029">
        <v>75</v>
      </c>
      <c r="S202" s="1028">
        <v>34</v>
      </c>
      <c r="T202" s="1027">
        <v>33.189646441843678</v>
      </c>
      <c r="U202" s="1026">
        <v>0.27482968574272526</v>
      </c>
      <c r="V202" s="1018">
        <v>56.097000000000001</v>
      </c>
      <c r="W202" s="1018"/>
      <c r="X202" s="1018">
        <v>201</v>
      </c>
    </row>
    <row r="203" spans="1:24" ht="16">
      <c r="A203" s="906">
        <v>202</v>
      </c>
      <c r="B203" s="906" t="s">
        <v>1574</v>
      </c>
      <c r="C203" s="906">
        <v>29189</v>
      </c>
      <c r="D203" s="906" t="s">
        <v>1256</v>
      </c>
      <c r="E203" s="906" t="s">
        <v>1258</v>
      </c>
      <c r="F203" s="1015">
        <f t="shared" ref="F203:K203" si="91">O115</f>
        <v>0</v>
      </c>
      <c r="G203" s="1014">
        <f t="shared" si="91"/>
        <v>68</v>
      </c>
      <c r="H203" s="1014">
        <f t="shared" si="91"/>
        <v>0</v>
      </c>
      <c r="I203" s="1014">
        <f t="shared" si="91"/>
        <v>70</v>
      </c>
      <c r="J203" s="1013">
        <f t="shared" si="91"/>
        <v>0</v>
      </c>
      <c r="K203" s="1012" t="str">
        <f t="shared" si="91"/>
        <v/>
      </c>
      <c r="L203" s="1016">
        <v>0.22800028617798151</v>
      </c>
      <c r="N203" s="1032" t="s">
        <v>1573</v>
      </c>
      <c r="O203" s="1031"/>
      <c r="P203" s="1030">
        <v>79.430000000000007</v>
      </c>
      <c r="Q203" s="1029">
        <v>46.72</v>
      </c>
      <c r="R203" s="1029">
        <v>80.959999999999994</v>
      </c>
      <c r="S203" s="1028">
        <v>41.73</v>
      </c>
      <c r="T203" s="1027" t="s">
        <v>842</v>
      </c>
      <c r="U203" s="1026">
        <v>0.24484052532833017</v>
      </c>
      <c r="V203" s="1018">
        <v>223.6129</v>
      </c>
      <c r="W203" s="1018"/>
      <c r="X203" s="1018">
        <v>202</v>
      </c>
    </row>
    <row r="204" spans="1:24">
      <c r="A204" s="906">
        <v>203</v>
      </c>
      <c r="B204" s="906" t="s">
        <v>1572</v>
      </c>
      <c r="C204" s="906">
        <v>64942</v>
      </c>
      <c r="D204" s="906" t="s">
        <v>1257</v>
      </c>
      <c r="E204" s="906" t="s">
        <v>1259</v>
      </c>
      <c r="F204" s="1015"/>
      <c r="G204" s="1014"/>
      <c r="H204" s="1014"/>
      <c r="I204" s="1014"/>
      <c r="J204" s="1013"/>
      <c r="K204" s="1012"/>
      <c r="L204" s="1011"/>
      <c r="N204" s="1032" t="s">
        <v>1571</v>
      </c>
      <c r="O204" s="1031">
        <v>2.081651726921254E-3</v>
      </c>
      <c r="P204" s="1030">
        <v>71</v>
      </c>
      <c r="Q204" s="1029">
        <v>39</v>
      </c>
      <c r="R204" s="1029">
        <v>75</v>
      </c>
      <c r="S204" s="1028">
        <v>39</v>
      </c>
      <c r="T204" s="1027" t="s">
        <v>842</v>
      </c>
      <c r="U204" s="1026">
        <v>0.31176387115084431</v>
      </c>
      <c r="V204" s="1018">
        <v>4.8499999999999996</v>
      </c>
      <c r="W204" s="1018"/>
      <c r="X204" s="1018">
        <v>203</v>
      </c>
    </row>
    <row r="205" spans="1:24">
      <c r="A205" s="906">
        <v>204</v>
      </c>
      <c r="B205" s="906" t="s">
        <v>1569</v>
      </c>
      <c r="C205" s="906">
        <v>29189</v>
      </c>
      <c r="D205" s="906" t="s">
        <v>1257</v>
      </c>
      <c r="E205" s="906" t="s">
        <v>1258</v>
      </c>
      <c r="F205" s="1015"/>
      <c r="G205" s="1014"/>
      <c r="H205" s="1014"/>
      <c r="I205" s="1014"/>
      <c r="J205" s="1013"/>
      <c r="K205" s="1012"/>
      <c r="L205" s="1011"/>
      <c r="N205" s="1032" t="s">
        <v>1570</v>
      </c>
      <c r="O205" s="1031">
        <v>4.4325885514862207E-3</v>
      </c>
      <c r="P205" s="1027">
        <v>65.5</v>
      </c>
      <c r="Q205" s="1040">
        <v>35.5</v>
      </c>
      <c r="R205" s="1040">
        <v>65.5</v>
      </c>
      <c r="S205" s="1039">
        <v>35.5</v>
      </c>
      <c r="T205" s="1027">
        <v>31.893521451711237</v>
      </c>
      <c r="U205" s="1026"/>
      <c r="V205" s="1018" t="s">
        <v>842</v>
      </c>
      <c r="W205" s="1018"/>
      <c r="X205" s="1018">
        <v>204</v>
      </c>
    </row>
    <row r="206" spans="1:24">
      <c r="A206" s="906">
        <v>205</v>
      </c>
      <c r="B206" s="906" t="s">
        <v>1569</v>
      </c>
      <c r="C206" s="906">
        <v>29189</v>
      </c>
      <c r="D206" s="906" t="s">
        <v>1256</v>
      </c>
      <c r="E206" s="906" t="s">
        <v>1258</v>
      </c>
      <c r="F206" s="1015"/>
      <c r="G206" s="1014"/>
      <c r="H206" s="1014"/>
      <c r="I206" s="1014"/>
      <c r="J206" s="1013"/>
      <c r="K206" s="1012"/>
      <c r="L206" s="1011"/>
      <c r="N206" s="1032" t="s">
        <v>1568</v>
      </c>
      <c r="O206" s="1031"/>
      <c r="P206" s="1030">
        <v>68</v>
      </c>
      <c r="Q206" s="1029">
        <v>42</v>
      </c>
      <c r="R206" s="1029">
        <v>73</v>
      </c>
      <c r="S206" s="1028">
        <v>39</v>
      </c>
      <c r="T206" s="1027" t="s">
        <v>842</v>
      </c>
      <c r="U206" s="1026">
        <v>0.14821221131063564</v>
      </c>
      <c r="V206" s="1018">
        <v>166.447</v>
      </c>
      <c r="W206" s="1018"/>
      <c r="X206" s="1018">
        <v>205</v>
      </c>
    </row>
    <row r="207" spans="1:24">
      <c r="A207" s="906">
        <v>206</v>
      </c>
      <c r="B207" s="906" t="s">
        <v>1567</v>
      </c>
      <c r="C207" s="906">
        <v>29189</v>
      </c>
      <c r="D207" s="906" t="s">
        <v>1256</v>
      </c>
      <c r="E207" s="906" t="s">
        <v>1258</v>
      </c>
      <c r="F207" s="1015">
        <f t="shared" ref="F207:L208" si="92">O116</f>
        <v>0</v>
      </c>
      <c r="G207" s="1014">
        <f t="shared" si="92"/>
        <v>65</v>
      </c>
      <c r="H207" s="1014">
        <f t="shared" si="92"/>
        <v>33</v>
      </c>
      <c r="I207" s="1014">
        <f t="shared" si="92"/>
        <v>65</v>
      </c>
      <c r="J207" s="1013">
        <f t="shared" si="92"/>
        <v>34</v>
      </c>
      <c r="K207" s="1012" t="str">
        <f t="shared" si="92"/>
        <v/>
      </c>
      <c r="L207" s="1011">
        <f t="shared" si="92"/>
        <v>0.26867898178124799</v>
      </c>
      <c r="N207" s="1032" t="s">
        <v>1566</v>
      </c>
      <c r="O207" s="1031">
        <v>1.7211703958691909E-2</v>
      </c>
      <c r="P207" s="1030">
        <v>70</v>
      </c>
      <c r="Q207" s="1029">
        <v>45</v>
      </c>
      <c r="R207" s="1029">
        <v>75</v>
      </c>
      <c r="S207" s="1028">
        <v>40</v>
      </c>
      <c r="T207" s="1027">
        <v>35.546450856340392</v>
      </c>
      <c r="U207" s="1026">
        <v>0.43957968476357268</v>
      </c>
      <c r="V207" s="1018">
        <v>1.6</v>
      </c>
      <c r="W207" s="1018"/>
      <c r="X207" s="1018">
        <v>206</v>
      </c>
    </row>
    <row r="208" spans="1:24">
      <c r="A208" s="906">
        <v>207</v>
      </c>
      <c r="B208" s="906" t="s">
        <v>1565</v>
      </c>
      <c r="C208" s="906">
        <v>29189</v>
      </c>
      <c r="D208" s="906" t="s">
        <v>1256</v>
      </c>
      <c r="E208" s="906" t="s">
        <v>1258</v>
      </c>
      <c r="F208" s="1015">
        <f t="shared" si="92"/>
        <v>0</v>
      </c>
      <c r="G208" s="1014">
        <f t="shared" si="92"/>
        <v>68</v>
      </c>
      <c r="H208" s="1014">
        <f t="shared" si="92"/>
        <v>31</v>
      </c>
      <c r="I208" s="1014">
        <f t="shared" si="92"/>
        <v>70</v>
      </c>
      <c r="J208" s="1013">
        <f t="shared" si="92"/>
        <v>32</v>
      </c>
      <c r="K208" s="1012">
        <f t="shared" si="92"/>
        <v>36.00190348631601</v>
      </c>
      <c r="L208" s="1011">
        <f t="shared" si="92"/>
        <v>0.18422348746035186</v>
      </c>
      <c r="N208" s="1032" t="s">
        <v>1382</v>
      </c>
      <c r="O208" s="1031"/>
      <c r="P208" s="1030">
        <v>67</v>
      </c>
      <c r="Q208" s="1029">
        <v>40</v>
      </c>
      <c r="R208" s="1029">
        <v>80</v>
      </c>
      <c r="S208" s="1028">
        <v>40</v>
      </c>
      <c r="T208" s="1027" t="s">
        <v>842</v>
      </c>
      <c r="U208" s="1026"/>
      <c r="V208" s="1018" t="s">
        <v>842</v>
      </c>
      <c r="W208" s="1018"/>
      <c r="X208" s="1018">
        <v>207</v>
      </c>
    </row>
    <row r="209" spans="1:24">
      <c r="A209" s="906">
        <v>208</v>
      </c>
      <c r="B209" s="906" t="s">
        <v>1564</v>
      </c>
      <c r="C209" s="906">
        <v>29189</v>
      </c>
      <c r="D209" s="906" t="s">
        <v>1256</v>
      </c>
      <c r="E209" s="906" t="s">
        <v>1258</v>
      </c>
      <c r="F209" s="1015"/>
      <c r="G209" s="1014"/>
      <c r="H209" s="1014"/>
      <c r="I209" s="1014"/>
      <c r="J209" s="1013"/>
      <c r="K209" s="1012"/>
      <c r="L209" s="1011"/>
      <c r="N209" s="1032" t="s">
        <v>1380</v>
      </c>
      <c r="O209" s="1031"/>
      <c r="P209" s="1030">
        <v>73</v>
      </c>
      <c r="Q209" s="1029">
        <v>38</v>
      </c>
      <c r="R209" s="1029">
        <v>75</v>
      </c>
      <c r="S209" s="1028">
        <v>40</v>
      </c>
      <c r="T209" s="1027">
        <v>34.207606774484091</v>
      </c>
      <c r="U209" s="1026">
        <v>0.32759604195234043</v>
      </c>
      <c r="V209" s="1018">
        <v>18.143476</v>
      </c>
      <c r="W209" s="1018"/>
      <c r="X209" s="1018">
        <v>208</v>
      </c>
    </row>
    <row r="210" spans="1:24">
      <c r="A210" s="906">
        <v>209</v>
      </c>
      <c r="B210" s="906" t="s">
        <v>1563</v>
      </c>
      <c r="C210" s="906">
        <v>29189</v>
      </c>
      <c r="D210" s="906" t="s">
        <v>1256</v>
      </c>
      <c r="E210" s="906" t="s">
        <v>1258</v>
      </c>
      <c r="F210" s="1015"/>
      <c r="G210" s="1014"/>
      <c r="H210" s="1014"/>
      <c r="I210" s="1014"/>
      <c r="J210" s="1013"/>
      <c r="K210" s="1012"/>
      <c r="L210" s="1011"/>
      <c r="N210" s="1032" t="s">
        <v>1562</v>
      </c>
      <c r="O210" s="1031"/>
      <c r="P210" s="1030">
        <v>73</v>
      </c>
      <c r="Q210" s="1029">
        <v>34</v>
      </c>
      <c r="R210" s="1029">
        <v>73</v>
      </c>
      <c r="S210" s="1028">
        <v>34</v>
      </c>
      <c r="T210" s="1027" t="s">
        <v>842</v>
      </c>
      <c r="U210" s="1026">
        <v>0.20877817319098457</v>
      </c>
      <c r="V210" s="1018">
        <v>8.0039999999999996</v>
      </c>
      <c r="W210" s="1018"/>
      <c r="X210" s="1018">
        <v>209</v>
      </c>
    </row>
    <row r="211" spans="1:24">
      <c r="A211" s="906">
        <v>210</v>
      </c>
      <c r="B211" s="906" t="s">
        <v>1561</v>
      </c>
      <c r="C211" s="906">
        <v>29189</v>
      </c>
      <c r="D211" s="906" t="s">
        <v>1256</v>
      </c>
      <c r="E211" s="906" t="s">
        <v>1258</v>
      </c>
      <c r="F211" s="1015"/>
      <c r="G211" s="1014"/>
      <c r="H211" s="1014"/>
      <c r="I211" s="1014"/>
      <c r="J211" s="1013"/>
      <c r="K211" s="1012"/>
      <c r="L211" s="1011"/>
      <c r="N211" s="1038" t="s">
        <v>1560</v>
      </c>
      <c r="O211" s="1037">
        <v>0.1210063584268781</v>
      </c>
      <c r="P211" s="1036">
        <v>73</v>
      </c>
      <c r="Q211" s="1014">
        <v>39</v>
      </c>
      <c r="R211" s="1014">
        <v>70</v>
      </c>
      <c r="S211" s="1013">
        <v>38</v>
      </c>
      <c r="T211" s="1012">
        <v>32.423737373737374</v>
      </c>
      <c r="U211" s="1035">
        <v>0.20634070104934138</v>
      </c>
      <c r="V211" s="906">
        <v>17.774000000000001</v>
      </c>
      <c r="X211" s="906">
        <v>210</v>
      </c>
    </row>
    <row r="212" spans="1:24">
      <c r="A212" s="906">
        <v>211</v>
      </c>
      <c r="B212" s="906" t="s">
        <v>1559</v>
      </c>
      <c r="C212" s="906">
        <v>29189</v>
      </c>
      <c r="D212" s="906" t="s">
        <v>1256</v>
      </c>
      <c r="E212" s="906" t="s">
        <v>1258</v>
      </c>
      <c r="F212" s="1015"/>
      <c r="G212" s="1014"/>
      <c r="H212" s="1014"/>
      <c r="I212" s="1014"/>
      <c r="J212" s="1013"/>
      <c r="K212" s="1012"/>
      <c r="L212" s="1011"/>
      <c r="N212" s="1032" t="s">
        <v>1558</v>
      </c>
      <c r="O212" s="1031"/>
      <c r="P212" s="1034">
        <v>61</v>
      </c>
      <c r="Q212" s="1018">
        <v>36</v>
      </c>
      <c r="R212" s="1018">
        <v>67</v>
      </c>
      <c r="S212" s="1033">
        <v>34</v>
      </c>
      <c r="T212" s="1027">
        <v>46.755165262807544</v>
      </c>
      <c r="U212" s="1026">
        <v>0.11627030845302566</v>
      </c>
      <c r="V212" s="1018">
        <v>18.765999999999998</v>
      </c>
      <c r="W212" s="1018"/>
      <c r="X212" s="1018">
        <v>211</v>
      </c>
    </row>
    <row r="213" spans="1:24">
      <c r="A213" s="906">
        <v>212</v>
      </c>
      <c r="B213" s="906" t="s">
        <v>1557</v>
      </c>
      <c r="C213" s="906">
        <v>29189</v>
      </c>
      <c r="D213" s="906" t="s">
        <v>1256</v>
      </c>
      <c r="E213" s="906" t="s">
        <v>1258</v>
      </c>
      <c r="F213" s="1015"/>
      <c r="G213" s="1014"/>
      <c r="H213" s="1014"/>
      <c r="I213" s="1014"/>
      <c r="J213" s="1013"/>
      <c r="K213" s="1012"/>
      <c r="L213" s="1011"/>
      <c r="N213" s="1032" t="s">
        <v>1556</v>
      </c>
      <c r="O213" s="1031"/>
      <c r="P213" s="1030">
        <v>72</v>
      </c>
      <c r="Q213" s="1029">
        <v>33</v>
      </c>
      <c r="R213" s="1029">
        <v>75</v>
      </c>
      <c r="S213" s="1028">
        <v>0</v>
      </c>
      <c r="T213" s="1027"/>
      <c r="U213" s="1026"/>
      <c r="V213" s="1018" t="s">
        <v>842</v>
      </c>
      <c r="W213" s="1018"/>
      <c r="X213" s="1018">
        <v>212</v>
      </c>
    </row>
    <row r="214" spans="1:24">
      <c r="A214" s="906">
        <v>213</v>
      </c>
      <c r="B214" s="906" t="s">
        <v>1555</v>
      </c>
      <c r="C214" s="906">
        <v>29189</v>
      </c>
      <c r="D214" s="906" t="s">
        <v>1256</v>
      </c>
      <c r="E214" s="906" t="s">
        <v>1258</v>
      </c>
      <c r="F214" s="1015"/>
      <c r="G214" s="1014"/>
      <c r="H214" s="1014"/>
      <c r="I214" s="1014"/>
      <c r="J214" s="1013"/>
      <c r="K214" s="1012"/>
      <c r="L214" s="1011"/>
      <c r="N214" s="1032" t="s">
        <v>1554</v>
      </c>
      <c r="O214" s="1031"/>
      <c r="P214" s="1030">
        <v>74</v>
      </c>
      <c r="Q214" s="1029">
        <v>38</v>
      </c>
      <c r="R214" s="1029">
        <v>75</v>
      </c>
      <c r="S214" s="1028">
        <v>34</v>
      </c>
      <c r="T214" s="1027" t="s">
        <v>842</v>
      </c>
      <c r="U214" s="1026">
        <v>0.33361204013377926</v>
      </c>
      <c r="V214" s="1018">
        <v>3.1880000000000002</v>
      </c>
      <c r="W214" s="1018"/>
      <c r="X214" s="1018">
        <v>213</v>
      </c>
    </row>
    <row r="215" spans="1:24" ht="16">
      <c r="A215" s="906">
        <v>214</v>
      </c>
      <c r="B215" s="906" t="s">
        <v>1553</v>
      </c>
      <c r="C215" s="906">
        <v>29189</v>
      </c>
      <c r="D215" s="906" t="s">
        <v>1256</v>
      </c>
      <c r="E215" s="906" t="s">
        <v>1258</v>
      </c>
      <c r="F215" s="1015">
        <f t="shared" ref="F215:K216" si="93">O118</f>
        <v>0</v>
      </c>
      <c r="G215" s="1014">
        <f t="shared" si="93"/>
        <v>70</v>
      </c>
      <c r="H215" s="1014">
        <f t="shared" si="93"/>
        <v>40</v>
      </c>
      <c r="I215" s="1014">
        <f t="shared" si="93"/>
        <v>75</v>
      </c>
      <c r="J215" s="1013">
        <f t="shared" si="93"/>
        <v>35</v>
      </c>
      <c r="K215" s="1012" t="str">
        <f t="shared" si="93"/>
        <v/>
      </c>
      <c r="L215" s="1016">
        <v>0.22800028617798151</v>
      </c>
      <c r="N215" s="1032" t="s">
        <v>1373</v>
      </c>
      <c r="O215" s="1031"/>
      <c r="P215" s="1030">
        <v>68</v>
      </c>
      <c r="Q215" s="1029">
        <v>45</v>
      </c>
      <c r="R215" s="1029">
        <v>82</v>
      </c>
      <c r="S215" s="1028">
        <v>43</v>
      </c>
      <c r="T215" s="1027" t="s">
        <v>842</v>
      </c>
      <c r="U215" s="1026">
        <v>0.23974527108974802</v>
      </c>
      <c r="V215" s="1018">
        <v>647.53099999999995</v>
      </c>
      <c r="W215" s="1018"/>
      <c r="X215" s="1018">
        <v>214</v>
      </c>
    </row>
    <row r="216" spans="1:24">
      <c r="A216" s="906">
        <v>215</v>
      </c>
      <c r="B216" s="906" t="s">
        <v>1552</v>
      </c>
      <c r="C216" s="906">
        <v>29188</v>
      </c>
      <c r="D216" s="906" t="s">
        <v>1256</v>
      </c>
      <c r="E216" s="906" t="s">
        <v>1258</v>
      </c>
      <c r="F216" s="1015">
        <f t="shared" si="93"/>
        <v>0</v>
      </c>
      <c r="G216" s="1014">
        <f t="shared" si="93"/>
        <v>65</v>
      </c>
      <c r="H216" s="1014">
        <f t="shared" si="93"/>
        <v>35</v>
      </c>
      <c r="I216" s="1014">
        <f t="shared" si="93"/>
        <v>80</v>
      </c>
      <c r="J216" s="1013">
        <f t="shared" si="93"/>
        <v>32</v>
      </c>
      <c r="K216" s="1012">
        <f t="shared" si="93"/>
        <v>0</v>
      </c>
      <c r="L216" s="1011">
        <f>U119</f>
        <v>0.3172579453067258</v>
      </c>
      <c r="N216" s="1032" t="s">
        <v>1551</v>
      </c>
      <c r="O216" s="1031"/>
      <c r="P216" s="1030">
        <v>72</v>
      </c>
      <c r="Q216" s="1029">
        <v>0</v>
      </c>
      <c r="R216" s="1029">
        <v>76</v>
      </c>
      <c r="S216" s="1028">
        <v>0</v>
      </c>
      <c r="T216" s="1027" t="s">
        <v>842</v>
      </c>
      <c r="U216" s="1026"/>
      <c r="V216" s="1018" t="s">
        <v>842</v>
      </c>
      <c r="W216" s="1018"/>
      <c r="X216" s="1018">
        <v>215</v>
      </c>
    </row>
    <row r="217" spans="1:24">
      <c r="A217" s="906">
        <v>216</v>
      </c>
      <c r="B217" s="906" t="s">
        <v>1550</v>
      </c>
      <c r="C217" s="906">
        <v>29189</v>
      </c>
      <c r="D217" s="906" t="s">
        <v>1256</v>
      </c>
      <c r="E217" s="906" t="s">
        <v>1259</v>
      </c>
      <c r="F217" s="1015"/>
      <c r="G217" s="1014"/>
      <c r="H217" s="1014"/>
      <c r="I217" s="1014"/>
      <c r="J217" s="1013"/>
      <c r="K217" s="1012"/>
      <c r="L217" s="1011"/>
      <c r="N217" s="1032" t="s">
        <v>1549</v>
      </c>
      <c r="O217" s="1031">
        <v>5.3880879568952962E-3</v>
      </c>
      <c r="P217" s="1030">
        <v>70</v>
      </c>
      <c r="Q217" s="1029">
        <v>35</v>
      </c>
      <c r="R217" s="1029">
        <v>72</v>
      </c>
      <c r="S217" s="1028">
        <v>35</v>
      </c>
      <c r="T217" s="1027">
        <v>33.324634063315557</v>
      </c>
      <c r="U217" s="1026">
        <v>0.35754026354319179</v>
      </c>
      <c r="V217" s="1018">
        <v>4.3879999999999999</v>
      </c>
      <c r="W217" s="1018"/>
      <c r="X217" s="1018">
        <v>216</v>
      </c>
    </row>
    <row r="218" spans="1:24">
      <c r="A218" s="906">
        <v>217</v>
      </c>
      <c r="B218" s="906" t="s">
        <v>1548</v>
      </c>
      <c r="C218" s="906">
        <v>29189</v>
      </c>
      <c r="D218" s="906" t="s">
        <v>1256</v>
      </c>
      <c r="E218" s="906" t="s">
        <v>1258</v>
      </c>
      <c r="F218" s="1015"/>
      <c r="G218" s="1014"/>
      <c r="H218" s="1014"/>
      <c r="I218" s="1014"/>
      <c r="J218" s="1013"/>
      <c r="K218" s="1012"/>
      <c r="L218" s="1011"/>
      <c r="N218" s="1032" t="s">
        <v>1547</v>
      </c>
      <c r="O218" s="1031"/>
      <c r="P218" s="1030">
        <v>98</v>
      </c>
      <c r="Q218" s="1029">
        <v>46</v>
      </c>
      <c r="R218" s="1029">
        <v>100</v>
      </c>
      <c r="S218" s="1028">
        <v>43</v>
      </c>
      <c r="T218" s="1027" t="s">
        <v>842</v>
      </c>
      <c r="U218" s="1026"/>
      <c r="V218" s="1018" t="s">
        <v>842</v>
      </c>
      <c r="W218" s="1018"/>
      <c r="X218" s="1018">
        <v>217</v>
      </c>
    </row>
    <row r="219" spans="1:24">
      <c r="A219" s="906">
        <v>218</v>
      </c>
      <c r="B219" s="906" t="s">
        <v>1546</v>
      </c>
      <c r="C219" s="906">
        <v>29189</v>
      </c>
      <c r="D219" s="906" t="s">
        <v>1256</v>
      </c>
      <c r="E219" s="906" t="s">
        <v>1258</v>
      </c>
      <c r="F219" s="1015"/>
      <c r="G219" s="1014"/>
      <c r="H219" s="1014"/>
      <c r="I219" s="1014"/>
      <c r="J219" s="1013"/>
      <c r="K219" s="1012"/>
      <c r="L219" s="1011"/>
      <c r="N219" s="1038" t="s">
        <v>1545</v>
      </c>
      <c r="O219" s="1037"/>
      <c r="P219" s="1036">
        <v>72</v>
      </c>
      <c r="Q219" s="1014">
        <v>39</v>
      </c>
      <c r="R219" s="1014">
        <v>73</v>
      </c>
      <c r="S219" s="1013">
        <v>38</v>
      </c>
      <c r="T219" s="1012">
        <v>36.147820191133363</v>
      </c>
      <c r="U219" s="1035">
        <v>0.22652780102218159</v>
      </c>
      <c r="V219" s="906">
        <v>60.081000000000003</v>
      </c>
      <c r="X219" s="906">
        <v>218</v>
      </c>
    </row>
    <row r="220" spans="1:24">
      <c r="A220" s="906">
        <v>219</v>
      </c>
      <c r="B220" s="906" t="s">
        <v>1544</v>
      </c>
      <c r="C220" s="906">
        <v>29189</v>
      </c>
      <c r="D220" s="906" t="s">
        <v>1256</v>
      </c>
      <c r="E220" s="906" t="s">
        <v>1258</v>
      </c>
      <c r="F220" s="1015">
        <f t="shared" ref="F220:L223" si="94">O120</f>
        <v>0.27485276378343859</v>
      </c>
      <c r="G220" s="1014">
        <f t="shared" si="94"/>
        <v>73</v>
      </c>
      <c r="H220" s="1014">
        <f t="shared" si="94"/>
        <v>36</v>
      </c>
      <c r="I220" s="1014">
        <f t="shared" si="94"/>
        <v>75</v>
      </c>
      <c r="J220" s="1013">
        <f t="shared" si="94"/>
        <v>38</v>
      </c>
      <c r="K220" s="1012">
        <f t="shared" si="94"/>
        <v>35.047064945836929</v>
      </c>
      <c r="L220" s="1011">
        <f t="shared" si="94"/>
        <v>0.27305641176182788</v>
      </c>
      <c r="N220" s="1032" t="s">
        <v>1543</v>
      </c>
      <c r="O220" s="1031"/>
      <c r="P220" s="1030">
        <v>69</v>
      </c>
      <c r="Q220" s="1029">
        <v>39</v>
      </c>
      <c r="R220" s="1029">
        <v>74</v>
      </c>
      <c r="S220" s="1028">
        <v>34</v>
      </c>
      <c r="T220" s="1027" t="s">
        <v>842</v>
      </c>
      <c r="U220" s="1026">
        <v>0.31348259115976623</v>
      </c>
      <c r="V220" s="1018">
        <v>16.681000000000001</v>
      </c>
      <c r="W220" s="1018"/>
      <c r="X220" s="1018">
        <v>219</v>
      </c>
    </row>
    <row r="221" spans="1:24">
      <c r="A221" s="906">
        <v>220</v>
      </c>
      <c r="B221" s="906" t="s">
        <v>1542</v>
      </c>
      <c r="C221" s="906">
        <v>29189</v>
      </c>
      <c r="D221" s="906" t="s">
        <v>1256</v>
      </c>
      <c r="E221" s="906" t="s">
        <v>1258</v>
      </c>
      <c r="F221" s="1015">
        <f t="shared" si="94"/>
        <v>0</v>
      </c>
      <c r="G221" s="1014">
        <f t="shared" si="94"/>
        <v>72</v>
      </c>
      <c r="H221" s="1014">
        <f t="shared" si="94"/>
        <v>42</v>
      </c>
      <c r="I221" s="1014">
        <f t="shared" si="94"/>
        <v>74</v>
      </c>
      <c r="J221" s="1013">
        <f t="shared" si="94"/>
        <v>37</v>
      </c>
      <c r="K221" s="1012">
        <f t="shared" si="94"/>
        <v>32.767900746998279</v>
      </c>
      <c r="L221" s="1011">
        <f t="shared" si="94"/>
        <v>0.32580379714834662</v>
      </c>
      <c r="N221" s="1032" t="s">
        <v>1367</v>
      </c>
      <c r="O221" s="1031"/>
      <c r="P221" s="1030">
        <v>80</v>
      </c>
      <c r="Q221" s="1029">
        <v>52</v>
      </c>
      <c r="R221" s="1029">
        <v>98</v>
      </c>
      <c r="S221" s="1028">
        <v>56</v>
      </c>
      <c r="T221" s="1027">
        <v>35.229012561938589</v>
      </c>
      <c r="U221" s="1026">
        <v>4.4888546380582095E-2</v>
      </c>
      <c r="V221" s="1018">
        <v>164.83600000000001</v>
      </c>
      <c r="W221" s="1018"/>
      <c r="X221" s="1018">
        <v>220</v>
      </c>
    </row>
    <row r="222" spans="1:24">
      <c r="A222" s="906">
        <v>221</v>
      </c>
      <c r="B222" s="906" t="s">
        <v>1541</v>
      </c>
      <c r="C222" s="906">
        <v>29189</v>
      </c>
      <c r="D222" s="906" t="s">
        <v>1256</v>
      </c>
      <c r="E222" s="906" t="s">
        <v>1258</v>
      </c>
      <c r="F222" s="1015">
        <f t="shared" si="94"/>
        <v>2.1120897419043862E-2</v>
      </c>
      <c r="G222" s="1014">
        <f t="shared" si="94"/>
        <v>80</v>
      </c>
      <c r="H222" s="1014">
        <f t="shared" si="94"/>
        <v>40</v>
      </c>
      <c r="I222" s="1014">
        <f t="shared" si="94"/>
        <v>80</v>
      </c>
      <c r="J222" s="1013">
        <f t="shared" si="94"/>
        <v>40</v>
      </c>
      <c r="K222" s="1012">
        <f t="shared" si="94"/>
        <v>51.616798161181421</v>
      </c>
      <c r="L222" s="1011">
        <f t="shared" si="94"/>
        <v>0.11332199292716773</v>
      </c>
      <c r="N222" s="1032" t="s">
        <v>1540</v>
      </c>
      <c r="O222" s="1031">
        <v>8.5511899301839681E-2</v>
      </c>
      <c r="P222" s="1030">
        <v>68</v>
      </c>
      <c r="Q222" s="1029">
        <v>44</v>
      </c>
      <c r="R222" s="1029">
        <v>74</v>
      </c>
      <c r="S222" s="1028">
        <v>34</v>
      </c>
      <c r="T222" s="1027"/>
      <c r="U222" s="1026">
        <v>0.23148509334076345</v>
      </c>
      <c r="V222" s="1018">
        <v>13.791</v>
      </c>
      <c r="W222" s="1018"/>
      <c r="X222" s="1018">
        <v>221</v>
      </c>
    </row>
    <row r="223" spans="1:24">
      <c r="A223" s="906">
        <v>222</v>
      </c>
      <c r="B223" s="906" t="s">
        <v>1539</v>
      </c>
      <c r="C223" s="906">
        <v>29189</v>
      </c>
      <c r="D223" s="906" t="s">
        <v>1256</v>
      </c>
      <c r="E223" s="906" t="s">
        <v>1258</v>
      </c>
      <c r="F223" s="1015">
        <f t="shared" si="94"/>
        <v>0</v>
      </c>
      <c r="G223" s="1014">
        <f t="shared" si="94"/>
        <v>66</v>
      </c>
      <c r="H223" s="1014">
        <f t="shared" si="94"/>
        <v>37.5</v>
      </c>
      <c r="I223" s="1014">
        <f t="shared" si="94"/>
        <v>75</v>
      </c>
      <c r="J223" s="1013">
        <f t="shared" si="94"/>
        <v>36</v>
      </c>
      <c r="K223" s="1012">
        <f t="shared" si="94"/>
        <v>28.233937756446295</v>
      </c>
      <c r="L223" s="1011">
        <f t="shared" si="94"/>
        <v>0.18274293308797218</v>
      </c>
      <c r="N223" s="1032" t="s">
        <v>1538</v>
      </c>
      <c r="O223" s="1031"/>
      <c r="P223" s="1030">
        <v>75</v>
      </c>
      <c r="Q223" s="1029">
        <v>0</v>
      </c>
      <c r="R223" s="1029">
        <v>78</v>
      </c>
      <c r="S223" s="1028">
        <v>0</v>
      </c>
      <c r="T223" s="1027" t="s">
        <v>842</v>
      </c>
      <c r="U223" s="1026"/>
      <c r="V223" s="1018" t="s">
        <v>842</v>
      </c>
      <c r="W223" s="1018"/>
      <c r="X223" s="1018">
        <v>222</v>
      </c>
    </row>
    <row r="224" spans="1:24">
      <c r="A224" s="906">
        <v>223</v>
      </c>
      <c r="B224" s="906" t="s">
        <v>1537</v>
      </c>
      <c r="C224" s="906">
        <v>29189</v>
      </c>
      <c r="D224" s="906" t="s">
        <v>1256</v>
      </c>
      <c r="E224" s="906" t="s">
        <v>1258</v>
      </c>
      <c r="F224" s="1015"/>
      <c r="G224" s="1014"/>
      <c r="H224" s="1014"/>
      <c r="I224" s="1014"/>
      <c r="J224" s="1013"/>
      <c r="K224" s="1012"/>
      <c r="L224" s="1011"/>
      <c r="N224" s="1032" t="s">
        <v>1536</v>
      </c>
      <c r="O224" s="1031"/>
      <c r="P224" s="1030">
        <v>71</v>
      </c>
      <c r="Q224" s="1029">
        <v>38</v>
      </c>
      <c r="R224" s="1029">
        <v>71.7</v>
      </c>
      <c r="S224" s="1028">
        <v>35</v>
      </c>
      <c r="T224" s="1027">
        <v>59.151992880300043</v>
      </c>
      <c r="U224" s="1026">
        <v>0.2341783293724144</v>
      </c>
      <c r="V224" s="1018">
        <v>17.401</v>
      </c>
      <c r="W224" s="1018"/>
      <c r="X224" s="1018">
        <v>223</v>
      </c>
    </row>
    <row r="225" spans="1:24">
      <c r="A225" s="906">
        <v>224</v>
      </c>
      <c r="B225" s="906" t="s">
        <v>1535</v>
      </c>
      <c r="C225" s="906">
        <v>29188</v>
      </c>
      <c r="D225" s="906" t="s">
        <v>1256</v>
      </c>
      <c r="E225" s="906" t="s">
        <v>1258</v>
      </c>
      <c r="F225" s="1015"/>
      <c r="G225" s="1014"/>
      <c r="H225" s="1014"/>
      <c r="I225" s="1014"/>
      <c r="J225" s="1013"/>
      <c r="K225" s="1012"/>
      <c r="L225" s="1011"/>
      <c r="N225" s="1032" t="s">
        <v>1534</v>
      </c>
      <c r="O225" s="1031"/>
      <c r="P225" s="1030">
        <v>70</v>
      </c>
      <c r="Q225" s="1029">
        <v>38</v>
      </c>
      <c r="R225" s="1029">
        <v>78</v>
      </c>
      <c r="S225" s="1028">
        <v>34</v>
      </c>
      <c r="T225" s="1027" t="s">
        <v>842</v>
      </c>
      <c r="U225" s="1026">
        <v>0.2257401699822546</v>
      </c>
      <c r="V225" s="1018">
        <v>8.2899999999999991</v>
      </c>
      <c r="W225" s="1018"/>
      <c r="X225" s="1018">
        <v>224</v>
      </c>
    </row>
    <row r="226" spans="1:24">
      <c r="A226" s="906">
        <v>225</v>
      </c>
      <c r="B226" s="906" t="s">
        <v>1533</v>
      </c>
      <c r="C226" s="906">
        <v>29188</v>
      </c>
      <c r="D226" s="906" t="s">
        <v>1256</v>
      </c>
      <c r="E226" s="906" t="s">
        <v>1259</v>
      </c>
      <c r="F226" s="1015"/>
      <c r="G226" s="1014"/>
      <c r="H226" s="1014"/>
      <c r="I226" s="1014"/>
      <c r="J226" s="1013"/>
      <c r="K226" s="1012"/>
      <c r="L226" s="1011"/>
      <c r="N226" s="1032" t="s">
        <v>1532</v>
      </c>
      <c r="O226" s="1031"/>
      <c r="P226" s="1030">
        <v>80</v>
      </c>
      <c r="Q226" s="1029">
        <v>45</v>
      </c>
      <c r="R226" s="1029">
        <v>80</v>
      </c>
      <c r="S226" s="1028">
        <v>45</v>
      </c>
      <c r="T226" s="1027" t="s">
        <v>842</v>
      </c>
      <c r="U226" s="1026">
        <v>0.38391819660701837</v>
      </c>
      <c r="V226" s="1018">
        <v>2.6509999999999998</v>
      </c>
      <c r="W226" s="1018"/>
      <c r="X226" s="1018">
        <v>225</v>
      </c>
    </row>
    <row r="227" spans="1:24">
      <c r="A227" s="906">
        <v>226</v>
      </c>
      <c r="B227" s="906" t="s">
        <v>1531</v>
      </c>
      <c r="C227" s="906">
        <v>55133</v>
      </c>
      <c r="D227" s="906" t="s">
        <v>1257</v>
      </c>
      <c r="E227" s="906" t="s">
        <v>1258</v>
      </c>
      <c r="F227" s="1015">
        <f t="shared" ref="F227:L227" si="95">O124</f>
        <v>0</v>
      </c>
      <c r="G227" s="1014">
        <f t="shared" si="95"/>
        <v>65</v>
      </c>
      <c r="H227" s="1014">
        <f t="shared" si="95"/>
        <v>43</v>
      </c>
      <c r="I227" s="1014">
        <f t="shared" si="95"/>
        <v>68</v>
      </c>
      <c r="J227" s="1013">
        <f t="shared" si="95"/>
        <v>36</v>
      </c>
      <c r="K227" s="1012">
        <f t="shared" si="95"/>
        <v>28.562911929118126</v>
      </c>
      <c r="L227" s="1011">
        <f t="shared" si="95"/>
        <v>0.25218417118295644</v>
      </c>
      <c r="N227" s="1032" t="s">
        <v>1530</v>
      </c>
      <c r="O227" s="1031"/>
      <c r="P227" s="1030">
        <v>70</v>
      </c>
      <c r="Q227" s="1029">
        <v>40</v>
      </c>
      <c r="R227" s="1029">
        <v>80</v>
      </c>
      <c r="S227" s="1028">
        <v>40</v>
      </c>
      <c r="T227" s="1027"/>
      <c r="U227" s="1026">
        <v>0.2169264724372677</v>
      </c>
      <c r="V227" s="1018">
        <v>17.438420999999998</v>
      </c>
      <c r="W227" s="1018"/>
      <c r="X227" s="1018">
        <v>226</v>
      </c>
    </row>
    <row r="228" spans="1:24">
      <c r="A228" s="906">
        <v>227</v>
      </c>
      <c r="B228" s="906" t="s">
        <v>1529</v>
      </c>
      <c r="C228" s="906">
        <v>45973</v>
      </c>
      <c r="D228" s="906" t="s">
        <v>1256</v>
      </c>
      <c r="E228" s="906" t="s">
        <v>1258</v>
      </c>
      <c r="F228" s="1015"/>
      <c r="G228" s="1014"/>
      <c r="H228" s="1014"/>
      <c r="I228" s="1014"/>
      <c r="J228" s="1013"/>
      <c r="K228" s="1012"/>
      <c r="L228" s="1011"/>
      <c r="N228" s="1032" t="s">
        <v>1528</v>
      </c>
      <c r="O228" s="1031"/>
      <c r="P228" s="1030">
        <v>76</v>
      </c>
      <c r="Q228" s="1029">
        <v>39</v>
      </c>
      <c r="R228" s="1029">
        <v>78</v>
      </c>
      <c r="S228" s="1028">
        <v>36</v>
      </c>
      <c r="T228" s="1027">
        <v>52.457577464788734</v>
      </c>
      <c r="U228" s="1026">
        <v>0.21452541485791693</v>
      </c>
      <c r="V228" s="1018">
        <v>25.513000000000002</v>
      </c>
      <c r="W228" s="1018"/>
      <c r="X228" s="1018">
        <v>227</v>
      </c>
    </row>
    <row r="229" spans="1:24">
      <c r="A229" s="906">
        <v>228</v>
      </c>
      <c r="B229" s="906" t="s">
        <v>1527</v>
      </c>
      <c r="C229" s="906">
        <v>29189</v>
      </c>
      <c r="D229" s="906" t="s">
        <v>1256</v>
      </c>
      <c r="E229" s="906" t="s">
        <v>1258</v>
      </c>
      <c r="F229" s="1015">
        <f t="shared" ref="F229:L230" si="96">O125</f>
        <v>2.4506092104357405E-2</v>
      </c>
      <c r="G229" s="1014">
        <f t="shared" si="96"/>
        <v>70</v>
      </c>
      <c r="H229" s="1014">
        <f t="shared" si="96"/>
        <v>36</v>
      </c>
      <c r="I229" s="1014">
        <f t="shared" si="96"/>
        <v>75</v>
      </c>
      <c r="J229" s="1013">
        <f t="shared" si="96"/>
        <v>33</v>
      </c>
      <c r="K229" s="1012">
        <f t="shared" si="96"/>
        <v>35.419468841367362</v>
      </c>
      <c r="L229" s="1011">
        <f t="shared" si="96"/>
        <v>0.27393973608072825</v>
      </c>
      <c r="N229" s="1032" t="s">
        <v>1526</v>
      </c>
      <c r="O229" s="1031">
        <v>8.6365306872473353E-3</v>
      </c>
      <c r="P229" s="1030">
        <v>71</v>
      </c>
      <c r="Q229" s="1029">
        <v>37</v>
      </c>
      <c r="R229" s="1029">
        <v>76</v>
      </c>
      <c r="S229" s="1028">
        <v>36</v>
      </c>
      <c r="T229" s="1027" t="s">
        <v>842</v>
      </c>
      <c r="U229" s="1026">
        <v>0.4715477293790547</v>
      </c>
      <c r="V229" s="1018">
        <v>5.702</v>
      </c>
      <c r="W229" s="1018"/>
      <c r="X229" s="1018">
        <v>228</v>
      </c>
    </row>
    <row r="230" spans="1:24">
      <c r="A230" s="906">
        <v>229</v>
      </c>
      <c r="B230" s="906" t="s">
        <v>1525</v>
      </c>
      <c r="C230" s="906">
        <v>29189</v>
      </c>
      <c r="D230" s="906" t="s">
        <v>1256</v>
      </c>
      <c r="E230" s="906" t="s">
        <v>1258</v>
      </c>
      <c r="F230" s="1015">
        <f t="shared" si="96"/>
        <v>0</v>
      </c>
      <c r="G230" s="1014">
        <f t="shared" si="96"/>
        <v>75</v>
      </c>
      <c r="H230" s="1014">
        <f t="shared" si="96"/>
        <v>43</v>
      </c>
      <c r="I230" s="1014">
        <f t="shared" si="96"/>
        <v>80</v>
      </c>
      <c r="J230" s="1013">
        <f t="shared" si="96"/>
        <v>40</v>
      </c>
      <c r="K230" s="1012" t="str">
        <f t="shared" si="96"/>
        <v/>
      </c>
      <c r="L230" s="1011">
        <f t="shared" si="96"/>
        <v>0.26871273487421904</v>
      </c>
      <c r="N230" s="1032" t="s">
        <v>1524</v>
      </c>
      <c r="O230" s="1031"/>
      <c r="P230" s="1030">
        <v>80</v>
      </c>
      <c r="Q230" s="1029">
        <v>40</v>
      </c>
      <c r="R230" s="1029">
        <v>80</v>
      </c>
      <c r="S230" s="1028">
        <v>40</v>
      </c>
      <c r="T230" s="1027">
        <v>35.000006226187431</v>
      </c>
      <c r="U230" s="1026">
        <v>0.1961182278067885</v>
      </c>
      <c r="V230" s="1018">
        <v>78.819000000000003</v>
      </c>
      <c r="W230" s="1018"/>
      <c r="X230" s="1018">
        <v>229</v>
      </c>
    </row>
    <row r="231" spans="1:24">
      <c r="A231" s="906">
        <v>230</v>
      </c>
      <c r="B231" s="906" t="s">
        <v>1523</v>
      </c>
      <c r="C231" s="906">
        <v>55133</v>
      </c>
      <c r="D231" s="906" t="s">
        <v>1257</v>
      </c>
      <c r="E231" s="906" t="s">
        <v>1258</v>
      </c>
      <c r="F231" s="1015"/>
      <c r="G231" s="1014"/>
      <c r="H231" s="1014"/>
      <c r="I231" s="1014"/>
      <c r="J231" s="1013"/>
      <c r="K231" s="1012"/>
      <c r="L231" s="1011"/>
      <c r="N231" s="1032" t="s">
        <v>1350</v>
      </c>
      <c r="O231" s="1031"/>
      <c r="P231" s="1030">
        <v>63</v>
      </c>
      <c r="Q231" s="1029">
        <v>48</v>
      </c>
      <c r="R231" s="1029">
        <v>72</v>
      </c>
      <c r="S231" s="1028">
        <v>42</v>
      </c>
      <c r="T231" s="1027" t="s">
        <v>842</v>
      </c>
      <c r="U231" s="1026"/>
      <c r="V231" s="1018" t="s">
        <v>842</v>
      </c>
      <c r="W231" s="1018"/>
      <c r="X231" s="1018">
        <v>230</v>
      </c>
    </row>
    <row r="232" spans="1:24">
      <c r="A232" s="906">
        <v>231</v>
      </c>
      <c r="B232" s="906" t="s">
        <v>1522</v>
      </c>
      <c r="C232" s="906">
        <v>29189</v>
      </c>
      <c r="D232" s="906" t="s">
        <v>1256</v>
      </c>
      <c r="E232" s="906" t="s">
        <v>1258</v>
      </c>
      <c r="F232" s="1015"/>
      <c r="G232" s="1014"/>
      <c r="H232" s="1014"/>
      <c r="I232" s="1014"/>
      <c r="J232" s="1013"/>
      <c r="K232" s="1012"/>
      <c r="L232" s="1011"/>
      <c r="N232" s="1032" t="s">
        <v>1521</v>
      </c>
      <c r="O232" s="1031"/>
      <c r="P232" s="1030">
        <v>78</v>
      </c>
      <c r="Q232" s="1029">
        <v>51</v>
      </c>
      <c r="R232" s="1029">
        <v>85</v>
      </c>
      <c r="S232" s="1028">
        <v>42</v>
      </c>
      <c r="T232" s="1027" t="s">
        <v>842</v>
      </c>
      <c r="U232" s="1026">
        <v>0.15945465637516246</v>
      </c>
      <c r="V232" s="1018">
        <v>158.447</v>
      </c>
      <c r="W232" s="1018"/>
      <c r="X232" s="1018">
        <v>231</v>
      </c>
    </row>
    <row r="233" spans="1:24">
      <c r="A233" s="906">
        <v>232</v>
      </c>
      <c r="B233" s="906" t="s">
        <v>1520</v>
      </c>
      <c r="C233" s="906">
        <v>29189</v>
      </c>
      <c r="D233" s="906" t="s">
        <v>1256</v>
      </c>
      <c r="E233" s="906" t="s">
        <v>1258</v>
      </c>
      <c r="F233" s="1015">
        <f t="shared" ref="F233:L233" si="97">O128</f>
        <v>0</v>
      </c>
      <c r="G233" s="1014">
        <f t="shared" si="97"/>
        <v>70</v>
      </c>
      <c r="H233" s="1014">
        <f t="shared" si="97"/>
        <v>42</v>
      </c>
      <c r="I233" s="1014">
        <f t="shared" si="97"/>
        <v>72</v>
      </c>
      <c r="J233" s="1013">
        <f t="shared" si="97"/>
        <v>35</v>
      </c>
      <c r="K233" s="1012">
        <f t="shared" si="97"/>
        <v>31.90301255026986</v>
      </c>
      <c r="L233" s="1011">
        <f t="shared" si="97"/>
        <v>0.24153851746828081</v>
      </c>
      <c r="N233" s="1032" t="s">
        <v>1519</v>
      </c>
      <c r="O233" s="1031"/>
      <c r="P233" s="1030">
        <v>68</v>
      </c>
      <c r="Q233" s="1029">
        <v>0</v>
      </c>
      <c r="R233" s="1029">
        <v>75</v>
      </c>
      <c r="S233" s="1028">
        <v>0</v>
      </c>
      <c r="T233" s="1027" t="s">
        <v>842</v>
      </c>
      <c r="U233" s="1026"/>
      <c r="V233" s="1018" t="s">
        <v>842</v>
      </c>
      <c r="W233" s="1018"/>
      <c r="X233" s="1018">
        <v>232</v>
      </c>
    </row>
    <row r="234" spans="1:24">
      <c r="A234" s="906">
        <v>233</v>
      </c>
      <c r="B234" s="906" t="s">
        <v>1518</v>
      </c>
      <c r="C234" s="906">
        <v>29189</v>
      </c>
      <c r="D234" s="906" t="s">
        <v>1256</v>
      </c>
      <c r="E234" s="906" t="s">
        <v>1258</v>
      </c>
      <c r="F234" s="1015"/>
      <c r="G234" s="1014"/>
      <c r="H234" s="1014"/>
      <c r="I234" s="1014"/>
      <c r="J234" s="1013"/>
      <c r="K234" s="1012"/>
      <c r="L234" s="1011"/>
      <c r="N234" s="1032" t="s">
        <v>1346</v>
      </c>
      <c r="O234" s="1031"/>
      <c r="P234" s="1030">
        <v>75</v>
      </c>
      <c r="Q234" s="1029">
        <v>45</v>
      </c>
      <c r="R234" s="1029">
        <v>78</v>
      </c>
      <c r="S234" s="1028">
        <v>41</v>
      </c>
      <c r="T234" s="1027">
        <v>36.022074999995993</v>
      </c>
      <c r="U234" s="1026">
        <v>0.23532574071983792</v>
      </c>
      <c r="V234" s="1018">
        <v>399.69600000000003</v>
      </c>
      <c r="W234" s="1018"/>
      <c r="X234" s="1018">
        <v>233</v>
      </c>
    </row>
    <row r="235" spans="1:24">
      <c r="A235" s="906">
        <v>234</v>
      </c>
      <c r="B235" s="906" t="s">
        <v>1517</v>
      </c>
      <c r="C235" s="906">
        <v>29189</v>
      </c>
      <c r="D235" s="906" t="s">
        <v>1256</v>
      </c>
      <c r="E235" s="906" t="s">
        <v>1258</v>
      </c>
      <c r="F235" s="1015">
        <f t="shared" ref="F235:L235" si="98">O129</f>
        <v>0</v>
      </c>
      <c r="G235" s="1014">
        <f t="shared" si="98"/>
        <v>68</v>
      </c>
      <c r="H235" s="1014">
        <f t="shared" si="98"/>
        <v>44</v>
      </c>
      <c r="I235" s="1014">
        <f t="shared" si="98"/>
        <v>70</v>
      </c>
      <c r="J235" s="1013">
        <f t="shared" si="98"/>
        <v>39</v>
      </c>
      <c r="K235" s="1012">
        <f t="shared" si="98"/>
        <v>27.076615304008193</v>
      </c>
      <c r="L235" s="1011">
        <f t="shared" si="98"/>
        <v>0.49924357034795763</v>
      </c>
      <c r="N235" s="1032" t="s">
        <v>1344</v>
      </c>
      <c r="O235" s="1031"/>
      <c r="P235" s="1030">
        <v>100</v>
      </c>
      <c r="Q235" s="1029">
        <v>50</v>
      </c>
      <c r="R235" s="1029">
        <v>115</v>
      </c>
      <c r="S235" s="1028">
        <v>50</v>
      </c>
      <c r="T235" s="1027" t="s">
        <v>842</v>
      </c>
      <c r="U235" s="1026">
        <v>2.4610781342834634E-2</v>
      </c>
      <c r="V235" s="1018">
        <v>2094.7809999999999</v>
      </c>
      <c r="W235" s="1018"/>
      <c r="X235" s="1018">
        <v>234</v>
      </c>
    </row>
    <row r="236" spans="1:24">
      <c r="A236" s="906">
        <v>235</v>
      </c>
      <c r="B236" s="906" t="s">
        <v>1516</v>
      </c>
      <c r="C236" s="906">
        <v>29189</v>
      </c>
      <c r="D236" s="906" t="s">
        <v>1256</v>
      </c>
      <c r="E236" s="906" t="s">
        <v>1258</v>
      </c>
      <c r="F236" s="1015"/>
      <c r="G236" s="1014"/>
      <c r="H236" s="1014"/>
      <c r="I236" s="1014"/>
      <c r="J236" s="1013"/>
      <c r="K236" s="1012"/>
      <c r="L236" s="1011"/>
      <c r="N236" s="1032" t="s">
        <v>1515</v>
      </c>
      <c r="O236" s="1031">
        <v>2.9994380443944927E-2</v>
      </c>
      <c r="P236" s="1030">
        <v>66</v>
      </c>
      <c r="Q236" s="1029">
        <v>35</v>
      </c>
      <c r="R236" s="1029">
        <v>66</v>
      </c>
      <c r="S236" s="1028">
        <v>33</v>
      </c>
      <c r="T236" s="1027" t="s">
        <v>842</v>
      </c>
      <c r="U236" s="1026">
        <v>0.18794264610036926</v>
      </c>
      <c r="V236" s="1018">
        <v>11.213700000000001</v>
      </c>
      <c r="W236" s="1018"/>
      <c r="X236" s="1018">
        <v>235</v>
      </c>
    </row>
    <row r="237" spans="1:24">
      <c r="A237" s="906">
        <v>236</v>
      </c>
      <c r="B237" s="906" t="s">
        <v>1514</v>
      </c>
      <c r="C237" s="906">
        <v>29189</v>
      </c>
      <c r="D237" s="906" t="s">
        <v>1256</v>
      </c>
      <c r="E237" s="906" t="s">
        <v>1258</v>
      </c>
      <c r="F237" s="1015">
        <f t="shared" ref="F237:L237" si="99">O130</f>
        <v>0</v>
      </c>
      <c r="G237" s="1014">
        <f t="shared" si="99"/>
        <v>66</v>
      </c>
      <c r="H237" s="1014">
        <f t="shared" si="99"/>
        <v>37</v>
      </c>
      <c r="I237" s="1014">
        <f t="shared" si="99"/>
        <v>65</v>
      </c>
      <c r="J237" s="1013">
        <f t="shared" si="99"/>
        <v>35</v>
      </c>
      <c r="K237" s="1012" t="str">
        <f t="shared" si="99"/>
        <v/>
      </c>
      <c r="L237" s="1011">
        <f t="shared" si="99"/>
        <v>0.22099775357097445</v>
      </c>
      <c r="N237" s="1032" t="s">
        <v>1513</v>
      </c>
      <c r="O237" s="1031"/>
      <c r="P237" s="1034">
        <v>125</v>
      </c>
      <c r="Q237" s="1018">
        <v>63</v>
      </c>
      <c r="R237" s="1018">
        <v>125</v>
      </c>
      <c r="S237" s="1033">
        <v>60</v>
      </c>
      <c r="T237" s="1027" t="s">
        <v>842</v>
      </c>
      <c r="U237" s="1026">
        <v>5.0171516695280242E-2</v>
      </c>
      <c r="V237" s="1018">
        <v>1152.9739999999999</v>
      </c>
      <c r="W237" s="1018"/>
      <c r="X237" s="1018">
        <v>236</v>
      </c>
    </row>
    <row r="238" spans="1:24" ht="16">
      <c r="A238" s="906">
        <v>237</v>
      </c>
      <c r="B238" s="906" t="s">
        <v>1512</v>
      </c>
      <c r="C238" s="906">
        <v>55133</v>
      </c>
      <c r="D238" s="906" t="s">
        <v>1257</v>
      </c>
      <c r="E238" s="906" t="s">
        <v>1258</v>
      </c>
      <c r="F238" s="1015">
        <f t="shared" ref="F238:K238" si="100">O131</f>
        <v>0</v>
      </c>
      <c r="G238" s="1014">
        <f t="shared" si="100"/>
        <v>60.38</v>
      </c>
      <c r="H238" s="1014">
        <f t="shared" si="100"/>
        <v>38</v>
      </c>
      <c r="I238" s="1014">
        <f t="shared" si="100"/>
        <v>68</v>
      </c>
      <c r="J238" s="1013">
        <f t="shared" si="100"/>
        <v>35</v>
      </c>
      <c r="K238" s="1012" t="str">
        <f t="shared" si="100"/>
        <v/>
      </c>
      <c r="L238" s="1016">
        <v>0.17374718282373314</v>
      </c>
      <c r="N238" s="1032" t="s">
        <v>1342</v>
      </c>
      <c r="O238" s="1031">
        <v>2.2939456417796597E-3</v>
      </c>
      <c r="P238" s="1030">
        <v>67</v>
      </c>
      <c r="Q238" s="1029">
        <v>41</v>
      </c>
      <c r="R238" s="1029">
        <v>78</v>
      </c>
      <c r="S238" s="1028">
        <v>38</v>
      </c>
      <c r="T238" s="1027">
        <v>36.03034015456042</v>
      </c>
      <c r="U238" s="1026">
        <v>0.23961749844871907</v>
      </c>
      <c r="V238" s="1018">
        <v>274.49200000000002</v>
      </c>
      <c r="W238" s="1018"/>
      <c r="X238" s="1018">
        <v>237</v>
      </c>
    </row>
    <row r="239" spans="1:24">
      <c r="A239" s="906">
        <v>238</v>
      </c>
      <c r="B239" s="906" t="s">
        <v>1511</v>
      </c>
      <c r="C239" s="906">
        <v>29189</v>
      </c>
      <c r="D239" s="906" t="s">
        <v>1256</v>
      </c>
      <c r="E239" s="906" t="s">
        <v>1258</v>
      </c>
      <c r="F239" s="1015"/>
      <c r="G239" s="1014"/>
      <c r="H239" s="1014"/>
      <c r="I239" s="1014"/>
      <c r="J239" s="1013"/>
      <c r="K239" s="1012"/>
      <c r="L239" s="1011"/>
      <c r="N239" s="1032" t="s">
        <v>1341</v>
      </c>
      <c r="O239" s="1031"/>
      <c r="P239" s="1030">
        <v>66.8</v>
      </c>
      <c r="Q239" s="1029">
        <v>41.3</v>
      </c>
      <c r="R239" s="1029">
        <v>68.5</v>
      </c>
      <c r="S239" s="1028">
        <v>39.200000000000003</v>
      </c>
      <c r="T239" s="1027">
        <v>28.157887120078705</v>
      </c>
      <c r="U239" s="1026">
        <v>0.23081406264668147</v>
      </c>
      <c r="V239" s="1018">
        <v>196.64699999999999</v>
      </c>
      <c r="W239" s="1018"/>
      <c r="X239" s="1018">
        <v>238</v>
      </c>
    </row>
    <row r="240" spans="1:24">
      <c r="A240" s="906">
        <v>239</v>
      </c>
      <c r="B240" s="906" t="s">
        <v>1510</v>
      </c>
      <c r="C240" s="906">
        <v>29189</v>
      </c>
      <c r="D240" s="906" t="s">
        <v>1256</v>
      </c>
      <c r="E240" s="906" t="s">
        <v>1258</v>
      </c>
      <c r="F240" s="1015"/>
      <c r="G240" s="1014"/>
      <c r="H240" s="1014"/>
      <c r="I240" s="1014"/>
      <c r="J240" s="1013"/>
      <c r="K240" s="1012"/>
      <c r="L240" s="1011"/>
      <c r="N240" s="1032" t="s">
        <v>1340</v>
      </c>
      <c r="O240" s="1031">
        <v>3.4953395472703062E-2</v>
      </c>
      <c r="P240" s="1030">
        <v>71</v>
      </c>
      <c r="Q240" s="1029">
        <v>37</v>
      </c>
      <c r="R240" s="1029">
        <v>77</v>
      </c>
      <c r="S240" s="1028">
        <v>32</v>
      </c>
      <c r="T240" s="1027" t="s">
        <v>842</v>
      </c>
      <c r="U240" s="1026">
        <v>0.24870645050017248</v>
      </c>
      <c r="V240" s="1018">
        <v>28.314</v>
      </c>
      <c r="W240" s="1018"/>
      <c r="X240" s="1018">
        <v>239</v>
      </c>
    </row>
    <row r="241" spans="1:24">
      <c r="A241" s="906">
        <v>240</v>
      </c>
      <c r="B241" s="906" t="s">
        <v>1509</v>
      </c>
      <c r="C241" s="906">
        <v>28856</v>
      </c>
      <c r="D241" s="906" t="s">
        <v>1256</v>
      </c>
      <c r="E241" s="906" t="s">
        <v>1258</v>
      </c>
      <c r="F241" s="1015">
        <f t="shared" ref="F241:L241" si="101">O132</f>
        <v>0.2041240088577756</v>
      </c>
      <c r="G241" s="1014">
        <f t="shared" si="101"/>
        <v>70</v>
      </c>
      <c r="H241" s="1014">
        <f t="shared" si="101"/>
        <v>42</v>
      </c>
      <c r="I241" s="1014">
        <f t="shared" si="101"/>
        <v>72</v>
      </c>
      <c r="J241" s="1013">
        <f t="shared" si="101"/>
        <v>35</v>
      </c>
      <c r="K241" s="1012">
        <f t="shared" si="101"/>
        <v>27.81311459801638</v>
      </c>
      <c r="L241" s="1011">
        <f t="shared" si="101"/>
        <v>0.24184353444267848</v>
      </c>
      <c r="N241" s="1032" t="s">
        <v>1508</v>
      </c>
      <c r="O241" s="1031">
        <v>8.3595919483172906E-3</v>
      </c>
      <c r="P241" s="1030">
        <v>65</v>
      </c>
      <c r="Q241" s="1029">
        <v>35</v>
      </c>
      <c r="R241" s="1029">
        <v>72</v>
      </c>
      <c r="S241" s="1028">
        <v>34</v>
      </c>
      <c r="T241" s="1027">
        <v>42.243755862120082</v>
      </c>
      <c r="U241" s="1026">
        <v>0.24847939640162503</v>
      </c>
      <c r="V241" s="1018">
        <v>25.897400000000001</v>
      </c>
      <c r="W241" s="1018"/>
      <c r="X241" s="1018">
        <v>240</v>
      </c>
    </row>
    <row r="242" spans="1:24">
      <c r="A242" s="906">
        <v>241</v>
      </c>
      <c r="B242" s="906" t="s">
        <v>1507</v>
      </c>
      <c r="C242" s="906">
        <v>29189</v>
      </c>
      <c r="D242" s="906" t="s">
        <v>1256</v>
      </c>
      <c r="E242" s="906" t="s">
        <v>1258</v>
      </c>
      <c r="F242" s="1015"/>
      <c r="G242" s="1014"/>
      <c r="H242" s="1014"/>
      <c r="I242" s="1014"/>
      <c r="J242" s="1013"/>
      <c r="K242" s="1012"/>
      <c r="L242" s="1011"/>
      <c r="N242" s="1032" t="s">
        <v>1506</v>
      </c>
      <c r="O242" s="1031"/>
      <c r="P242" s="1030">
        <v>68</v>
      </c>
      <c r="Q242" s="1029">
        <v>0</v>
      </c>
      <c r="R242" s="1029">
        <v>74</v>
      </c>
      <c r="S242" s="1028">
        <v>0</v>
      </c>
      <c r="T242" s="1027" t="s">
        <v>842</v>
      </c>
      <c r="U242" s="1026">
        <v>0.31993156544054746</v>
      </c>
      <c r="V242" s="1018">
        <v>3.18</v>
      </c>
      <c r="W242" s="1018"/>
      <c r="X242" s="1018">
        <v>241</v>
      </c>
    </row>
    <row r="243" spans="1:24">
      <c r="A243" s="906">
        <v>242</v>
      </c>
      <c r="B243" s="906" t="s">
        <v>1505</v>
      </c>
      <c r="C243" s="906">
        <v>29189</v>
      </c>
      <c r="D243" s="906" t="s">
        <v>1256</v>
      </c>
      <c r="E243" s="906" t="s">
        <v>1258</v>
      </c>
      <c r="F243" s="1015"/>
      <c r="G243" s="1014"/>
      <c r="H243" s="1014"/>
      <c r="I243" s="1014"/>
      <c r="J243" s="1013"/>
      <c r="K243" s="1012"/>
      <c r="L243" s="1011"/>
      <c r="N243" s="1032" t="s">
        <v>1334</v>
      </c>
      <c r="O243" s="1031"/>
      <c r="P243" s="1034">
        <v>76</v>
      </c>
      <c r="Q243" s="1018">
        <v>42</v>
      </c>
      <c r="R243" s="1018">
        <v>76</v>
      </c>
      <c r="S243" s="1033">
        <v>39</v>
      </c>
      <c r="T243" s="1027">
        <v>38.756086174042636</v>
      </c>
      <c r="U243" s="1026">
        <v>0.25674584447590576</v>
      </c>
      <c r="V243" s="1018">
        <v>39.374203880000003</v>
      </c>
      <c r="W243" s="1018"/>
      <c r="X243" s="1018">
        <v>242</v>
      </c>
    </row>
    <row r="244" spans="1:24">
      <c r="A244" s="906">
        <v>243</v>
      </c>
      <c r="B244" s="906" t="s">
        <v>1504</v>
      </c>
      <c r="C244" s="906">
        <v>29189</v>
      </c>
      <c r="D244" s="906" t="s">
        <v>1256</v>
      </c>
      <c r="E244" s="906" t="s">
        <v>1259</v>
      </c>
      <c r="F244" s="1015"/>
      <c r="G244" s="1014"/>
      <c r="H244" s="1014"/>
      <c r="I244" s="1014"/>
      <c r="J244" s="1013"/>
      <c r="K244" s="1012"/>
      <c r="L244" s="1011"/>
      <c r="N244" s="1032" t="s">
        <v>1503</v>
      </c>
      <c r="O244" s="1031"/>
      <c r="P244" s="1030">
        <v>67</v>
      </c>
      <c r="Q244" s="1029">
        <v>42</v>
      </c>
      <c r="R244" s="1029">
        <v>70</v>
      </c>
      <c r="S244" s="1028">
        <v>37</v>
      </c>
      <c r="T244" s="1027" t="s">
        <v>842</v>
      </c>
      <c r="U244" s="1026">
        <v>0.40074330242143225</v>
      </c>
      <c r="V244" s="1018">
        <v>4.6526290000000001</v>
      </c>
      <c r="W244" s="1018"/>
      <c r="X244" s="1018">
        <v>243</v>
      </c>
    </row>
    <row r="245" spans="1:24">
      <c r="A245" s="906">
        <v>244</v>
      </c>
      <c r="B245" s="906" t="s">
        <v>1502</v>
      </c>
      <c r="C245" s="906">
        <v>29189</v>
      </c>
      <c r="D245" s="906" t="s">
        <v>1257</v>
      </c>
      <c r="E245" s="906" t="s">
        <v>1258</v>
      </c>
      <c r="F245" s="1015">
        <f t="shared" ref="F245:L245" si="102">O133</f>
        <v>0</v>
      </c>
      <c r="G245" s="1014">
        <f t="shared" si="102"/>
        <v>64</v>
      </c>
      <c r="H245" s="1014">
        <f t="shared" si="102"/>
        <v>45</v>
      </c>
      <c r="I245" s="1014">
        <f t="shared" si="102"/>
        <v>65</v>
      </c>
      <c r="J245" s="1013">
        <f t="shared" si="102"/>
        <v>40</v>
      </c>
      <c r="K245" s="1012" t="str">
        <f t="shared" si="102"/>
        <v/>
      </c>
      <c r="L245" s="1011">
        <f t="shared" si="102"/>
        <v>0.19586194937631596</v>
      </c>
      <c r="N245" s="1032" t="s">
        <v>1501</v>
      </c>
      <c r="O245" s="1031"/>
      <c r="P245" s="1030">
        <v>68</v>
      </c>
      <c r="Q245" s="1029">
        <v>45</v>
      </c>
      <c r="R245" s="1029">
        <v>70</v>
      </c>
      <c r="S245" s="1028">
        <v>43</v>
      </c>
      <c r="T245" s="1027" t="s">
        <v>842</v>
      </c>
      <c r="U245" s="1026">
        <v>0.17581161874834209</v>
      </c>
      <c r="V245" s="1018">
        <v>40.390999999999998</v>
      </c>
      <c r="W245" s="1018"/>
      <c r="X245" s="1018">
        <v>244</v>
      </c>
    </row>
    <row r="246" spans="1:24" ht="16">
      <c r="A246" s="906">
        <v>245</v>
      </c>
      <c r="B246" s="906" t="s">
        <v>1500</v>
      </c>
      <c r="C246" s="906">
        <v>29188</v>
      </c>
      <c r="D246" s="906" t="s">
        <v>1256</v>
      </c>
      <c r="E246" s="906" t="s">
        <v>1258</v>
      </c>
      <c r="F246" s="1015">
        <f t="shared" ref="F246:K246" si="103">O134</f>
        <v>0</v>
      </c>
      <c r="G246" s="1014">
        <f t="shared" si="103"/>
        <v>73</v>
      </c>
      <c r="H246" s="1014">
        <f t="shared" si="103"/>
        <v>0</v>
      </c>
      <c r="I246" s="1014">
        <f t="shared" si="103"/>
        <v>73</v>
      </c>
      <c r="J246" s="1013">
        <f t="shared" si="103"/>
        <v>0</v>
      </c>
      <c r="K246" s="1012" t="str">
        <f t="shared" si="103"/>
        <v/>
      </c>
      <c r="L246" s="1016">
        <v>0.22800028617798151</v>
      </c>
      <c r="N246" s="1032" t="s">
        <v>1499</v>
      </c>
      <c r="O246" s="1031"/>
      <c r="P246" s="1030">
        <v>73</v>
      </c>
      <c r="Q246" s="1029">
        <v>40</v>
      </c>
      <c r="R246" s="1029">
        <v>74</v>
      </c>
      <c r="S246" s="1028">
        <v>38</v>
      </c>
      <c r="T246" s="1027">
        <v>33.293261760135614</v>
      </c>
      <c r="U246" s="1026">
        <v>0.48748877941981389</v>
      </c>
      <c r="V246" s="1018">
        <v>2.8090739999999998</v>
      </c>
      <c r="W246" s="1018"/>
      <c r="X246" s="1018">
        <v>245</v>
      </c>
    </row>
    <row r="247" spans="1:24">
      <c r="A247" s="906">
        <v>246</v>
      </c>
      <c r="B247" s="906" t="s">
        <v>1498</v>
      </c>
      <c r="C247" s="906">
        <v>41333</v>
      </c>
      <c r="D247" s="906" t="s">
        <v>1256</v>
      </c>
      <c r="E247" s="906" t="s">
        <v>1258</v>
      </c>
      <c r="F247" s="1015"/>
      <c r="G247" s="1014"/>
      <c r="H247" s="1014"/>
      <c r="I247" s="1014"/>
      <c r="J247" s="1013"/>
      <c r="K247" s="1012"/>
      <c r="L247" s="1011"/>
      <c r="N247" s="1032" t="s">
        <v>1497</v>
      </c>
      <c r="O247" s="1031"/>
      <c r="P247" s="1030">
        <v>74</v>
      </c>
      <c r="Q247" s="1029">
        <v>39</v>
      </c>
      <c r="R247" s="1029">
        <v>76</v>
      </c>
      <c r="S247" s="1028">
        <v>34</v>
      </c>
      <c r="T247" s="1027" t="s">
        <v>842</v>
      </c>
      <c r="U247" s="1026">
        <v>0.25546265720508676</v>
      </c>
      <c r="V247" s="1018">
        <v>10.597</v>
      </c>
      <c r="W247" s="1018"/>
      <c r="X247" s="1018">
        <v>246</v>
      </c>
    </row>
    <row r="248" spans="1:24">
      <c r="A248" s="906">
        <v>247</v>
      </c>
      <c r="B248" s="906" t="s">
        <v>1496</v>
      </c>
      <c r="C248" s="906">
        <v>44023</v>
      </c>
      <c r="D248" s="906" t="s">
        <v>1257</v>
      </c>
      <c r="E248" s="906" t="s">
        <v>1259</v>
      </c>
      <c r="F248" s="1015">
        <f t="shared" ref="F248:L248" si="104">O135</f>
        <v>0</v>
      </c>
      <c r="G248" s="1014">
        <f t="shared" si="104"/>
        <v>73</v>
      </c>
      <c r="H248" s="1014">
        <f t="shared" si="104"/>
        <v>0</v>
      </c>
      <c r="I248" s="1014">
        <f t="shared" si="104"/>
        <v>73</v>
      </c>
      <c r="J248" s="1013">
        <f t="shared" si="104"/>
        <v>0</v>
      </c>
      <c r="K248" s="1012">
        <f t="shared" si="104"/>
        <v>28.55022805146475</v>
      </c>
      <c r="L248" s="1011">
        <f t="shared" si="104"/>
        <v>0.26233766233766231</v>
      </c>
      <c r="N248" s="1032" t="s">
        <v>1495</v>
      </c>
      <c r="O248" s="1031">
        <v>3.4430193439865435E-3</v>
      </c>
      <c r="P248" s="1030">
        <v>66</v>
      </c>
      <c r="Q248" s="1029">
        <v>39</v>
      </c>
      <c r="R248" s="1029">
        <v>70</v>
      </c>
      <c r="S248" s="1028">
        <v>36</v>
      </c>
      <c r="T248" s="1027">
        <v>31.196659204408473</v>
      </c>
      <c r="U248" s="1026">
        <v>0.21267505340612392</v>
      </c>
      <c r="V248" s="1018">
        <v>29.853000000000002</v>
      </c>
      <c r="W248" s="1018"/>
      <c r="X248" s="1018">
        <v>247</v>
      </c>
    </row>
    <row r="249" spans="1:24">
      <c r="A249" s="906">
        <v>248</v>
      </c>
      <c r="B249" s="906" t="s">
        <v>1494</v>
      </c>
      <c r="C249" s="906">
        <v>29189</v>
      </c>
      <c r="D249" s="906" t="s">
        <v>1256</v>
      </c>
      <c r="E249" s="906" t="s">
        <v>1258</v>
      </c>
      <c r="F249" s="1015"/>
      <c r="G249" s="1014"/>
      <c r="H249" s="1014"/>
      <c r="I249" s="1014"/>
      <c r="J249" s="1013"/>
      <c r="K249" s="1012"/>
      <c r="L249" s="1011"/>
      <c r="N249" s="1032" t="s">
        <v>1493</v>
      </c>
      <c r="O249" s="1031"/>
      <c r="P249" s="1030">
        <v>67</v>
      </c>
      <c r="Q249" s="1029">
        <v>37</v>
      </c>
      <c r="R249" s="1029">
        <v>70</v>
      </c>
      <c r="S249" s="1028">
        <v>34</v>
      </c>
      <c r="T249" s="1027">
        <v>32.745812737811598</v>
      </c>
      <c r="U249" s="1026">
        <v>0.26686901704412797</v>
      </c>
      <c r="V249" s="1018">
        <v>9.42</v>
      </c>
      <c r="W249" s="1018"/>
      <c r="X249" s="1018">
        <v>248</v>
      </c>
    </row>
    <row r="250" spans="1:24">
      <c r="A250" s="906">
        <v>249</v>
      </c>
      <c r="B250" s="906" t="s">
        <v>1492</v>
      </c>
      <c r="C250" s="906">
        <v>29189</v>
      </c>
      <c r="D250" s="906" t="s">
        <v>1256</v>
      </c>
      <c r="E250" s="906" t="s">
        <v>1258</v>
      </c>
      <c r="F250" s="1015">
        <f t="shared" ref="F250:L250" si="105">O136</f>
        <v>7.3937588207621141E-2</v>
      </c>
      <c r="G250" s="1014">
        <f t="shared" si="105"/>
        <v>70</v>
      </c>
      <c r="H250" s="1014">
        <f t="shared" si="105"/>
        <v>34.5</v>
      </c>
      <c r="I250" s="1014">
        <f t="shared" si="105"/>
        <v>72</v>
      </c>
      <c r="J250" s="1013">
        <f t="shared" si="105"/>
        <v>33</v>
      </c>
      <c r="K250" s="1012">
        <f t="shared" si="105"/>
        <v>33.602151604771642</v>
      </c>
      <c r="L250" s="1011">
        <f t="shared" si="105"/>
        <v>0.21691643383286766</v>
      </c>
      <c r="N250" s="1032" t="s">
        <v>1491</v>
      </c>
      <c r="O250" s="1031">
        <v>6.973014434139879E-5</v>
      </c>
      <c r="P250" s="1030">
        <v>72</v>
      </c>
      <c r="Q250" s="1029">
        <v>39</v>
      </c>
      <c r="R250" s="1029">
        <v>76</v>
      </c>
      <c r="S250" s="1028">
        <v>34</v>
      </c>
      <c r="T250" s="1027">
        <v>34.869991065066671</v>
      </c>
      <c r="U250" s="1026">
        <v>0.26729428172942815</v>
      </c>
      <c r="V250" s="1018">
        <v>10.507</v>
      </c>
      <c r="W250" s="1018"/>
      <c r="X250" s="1018">
        <v>249</v>
      </c>
    </row>
    <row r="251" spans="1:24">
      <c r="A251" s="906">
        <v>250</v>
      </c>
      <c r="B251" s="906" t="s">
        <v>1490</v>
      </c>
      <c r="C251" s="906">
        <v>29189</v>
      </c>
      <c r="D251" s="906" t="s">
        <v>1256</v>
      </c>
      <c r="E251" s="906" t="s">
        <v>1258</v>
      </c>
      <c r="F251" s="1015">
        <f t="shared" ref="F251:L252" si="106">O138</f>
        <v>0</v>
      </c>
      <c r="G251" s="1014">
        <f t="shared" si="106"/>
        <v>72</v>
      </c>
      <c r="H251" s="1014">
        <f t="shared" si="106"/>
        <v>40</v>
      </c>
      <c r="I251" s="1014">
        <f t="shared" si="106"/>
        <v>72</v>
      </c>
      <c r="J251" s="1013">
        <f t="shared" si="106"/>
        <v>40</v>
      </c>
      <c r="K251" s="1012" t="str">
        <f t="shared" si="106"/>
        <v/>
      </c>
      <c r="L251" s="1011">
        <f t="shared" si="106"/>
        <v>0.2803927933776984</v>
      </c>
      <c r="N251" s="1032" t="s">
        <v>1489</v>
      </c>
      <c r="O251" s="1031"/>
      <c r="P251" s="1030">
        <v>66</v>
      </c>
      <c r="Q251" s="1029">
        <v>38</v>
      </c>
      <c r="R251" s="1029">
        <v>73</v>
      </c>
      <c r="S251" s="1028">
        <v>36</v>
      </c>
      <c r="T251" s="1027">
        <v>30.201102191033733</v>
      </c>
      <c r="U251" s="1026">
        <v>0.31531005647263249</v>
      </c>
      <c r="V251" s="1018">
        <v>6.3046249999999997</v>
      </c>
      <c r="W251" s="1018"/>
      <c r="X251" s="1018">
        <v>250</v>
      </c>
    </row>
    <row r="252" spans="1:24">
      <c r="A252" s="906">
        <v>251</v>
      </c>
      <c r="B252" s="906" t="s">
        <v>1488</v>
      </c>
      <c r="C252" s="906">
        <v>29189</v>
      </c>
      <c r="D252" s="906" t="s">
        <v>1256</v>
      </c>
      <c r="E252" s="906" t="s">
        <v>1259</v>
      </c>
      <c r="F252" s="1015">
        <f t="shared" si="106"/>
        <v>9.4308389379192305E-3</v>
      </c>
      <c r="G252" s="1014">
        <f t="shared" si="106"/>
        <v>67</v>
      </c>
      <c r="H252" s="1014">
        <f t="shared" si="106"/>
        <v>42</v>
      </c>
      <c r="I252" s="1014">
        <f t="shared" si="106"/>
        <v>81</v>
      </c>
      <c r="J252" s="1013">
        <f t="shared" si="106"/>
        <v>34</v>
      </c>
      <c r="K252" s="1012">
        <f t="shared" si="106"/>
        <v>32.415217939027464</v>
      </c>
      <c r="L252" s="1011">
        <f t="shared" si="106"/>
        <v>0.3305003819709702</v>
      </c>
      <c r="N252" s="1032" t="s">
        <v>1487</v>
      </c>
      <c r="O252" s="1031">
        <v>1.3805119957110307E-2</v>
      </c>
      <c r="P252" s="1030">
        <v>72</v>
      </c>
      <c r="Q252" s="1029">
        <v>41</v>
      </c>
      <c r="R252" s="1029">
        <v>73</v>
      </c>
      <c r="S252" s="1028">
        <v>39</v>
      </c>
      <c r="T252" s="1027"/>
      <c r="U252" s="1026">
        <v>0.45528676270725743</v>
      </c>
      <c r="V252" s="1018">
        <v>4.008</v>
      </c>
      <c r="W252" s="1018"/>
      <c r="X252" s="1018">
        <v>251</v>
      </c>
    </row>
    <row r="253" spans="1:24">
      <c r="A253" s="906">
        <v>252</v>
      </c>
      <c r="B253" s="906" t="s">
        <v>1485</v>
      </c>
      <c r="C253" s="906">
        <v>29189</v>
      </c>
      <c r="D253" s="906" t="s">
        <v>1257</v>
      </c>
      <c r="E253" s="906" t="s">
        <v>1258</v>
      </c>
      <c r="F253" s="1015"/>
      <c r="G253" s="1014"/>
      <c r="H253" s="1014"/>
      <c r="I253" s="1014"/>
      <c r="J253" s="1013"/>
      <c r="K253" s="1012"/>
      <c r="L253" s="1011"/>
      <c r="N253" s="1032" t="s">
        <v>1486</v>
      </c>
      <c r="O253" s="1031">
        <v>1.6757865937072503E-2</v>
      </c>
      <c r="P253" s="1030">
        <v>70</v>
      </c>
      <c r="Q253" s="1029">
        <v>0</v>
      </c>
      <c r="R253" s="1029">
        <v>80</v>
      </c>
      <c r="S253" s="1028">
        <v>0</v>
      </c>
      <c r="T253" s="1027" t="s">
        <v>842</v>
      </c>
      <c r="U253" s="1026">
        <v>0.30536956521739128</v>
      </c>
      <c r="V253" s="1018">
        <v>31.952999999999999</v>
      </c>
      <c r="W253" s="1018"/>
      <c r="X253" s="1018">
        <v>252</v>
      </c>
    </row>
    <row r="254" spans="1:24">
      <c r="A254" s="906">
        <v>253</v>
      </c>
      <c r="B254" s="906" t="s">
        <v>1485</v>
      </c>
      <c r="C254" s="906">
        <v>29189</v>
      </c>
      <c r="D254" s="906" t="s">
        <v>1256</v>
      </c>
      <c r="E254" s="906" t="s">
        <v>1258</v>
      </c>
      <c r="F254" s="1015"/>
      <c r="G254" s="1014"/>
      <c r="H254" s="1014"/>
      <c r="I254" s="1014"/>
      <c r="J254" s="1013"/>
      <c r="K254" s="1012"/>
      <c r="L254" s="1011"/>
      <c r="N254" s="1032" t="s">
        <v>1484</v>
      </c>
      <c r="O254" s="1031"/>
      <c r="P254" s="1030">
        <v>70</v>
      </c>
      <c r="Q254" s="1029">
        <v>35</v>
      </c>
      <c r="R254" s="1029">
        <v>75</v>
      </c>
      <c r="S254" s="1028">
        <v>32</v>
      </c>
      <c r="T254" s="1027">
        <v>39.619779176581176</v>
      </c>
      <c r="U254" s="1026">
        <v>0.22868686868686869</v>
      </c>
      <c r="V254" s="1018">
        <v>11.454000000000001</v>
      </c>
      <c r="W254" s="1018"/>
      <c r="X254" s="1018">
        <v>253</v>
      </c>
    </row>
    <row r="255" spans="1:24" ht="16">
      <c r="A255" s="906">
        <v>254</v>
      </c>
      <c r="B255" s="906" t="s">
        <v>1483</v>
      </c>
      <c r="C255" s="906">
        <v>29189</v>
      </c>
      <c r="D255" s="906" t="s">
        <v>1256</v>
      </c>
      <c r="E255" s="906" t="s">
        <v>1258</v>
      </c>
      <c r="F255" s="1015">
        <f t="shared" ref="F255:K257" si="107">O140</f>
        <v>0</v>
      </c>
      <c r="G255" s="1014">
        <f t="shared" si="107"/>
        <v>71</v>
      </c>
      <c r="H255" s="1014">
        <f t="shared" si="107"/>
        <v>0</v>
      </c>
      <c r="I255" s="1014">
        <f t="shared" si="107"/>
        <v>79</v>
      </c>
      <c r="J255" s="1013">
        <f t="shared" si="107"/>
        <v>0</v>
      </c>
      <c r="K255" s="1012" t="str">
        <f t="shared" si="107"/>
        <v/>
      </c>
      <c r="L255" s="1016">
        <v>0.22800028617798151</v>
      </c>
      <c r="N255" s="1032" t="s">
        <v>1482</v>
      </c>
      <c r="O255" s="1031"/>
      <c r="P255" s="1030">
        <v>73</v>
      </c>
      <c r="Q255" s="1029">
        <v>42</v>
      </c>
      <c r="R255" s="1029">
        <v>75</v>
      </c>
      <c r="S255" s="1028">
        <v>40</v>
      </c>
      <c r="T255" s="1027" t="s">
        <v>842</v>
      </c>
      <c r="U255" s="1026">
        <v>0.26005738797750855</v>
      </c>
      <c r="V255" s="1018">
        <v>204.23599999999999</v>
      </c>
      <c r="W255" s="1018"/>
      <c r="X255" s="1018">
        <v>254</v>
      </c>
    </row>
    <row r="256" spans="1:24">
      <c r="A256" s="906">
        <v>255</v>
      </c>
      <c r="B256" s="906" t="s">
        <v>1481</v>
      </c>
      <c r="C256" s="906">
        <v>29189</v>
      </c>
      <c r="D256" s="906" t="s">
        <v>1256</v>
      </c>
      <c r="E256" s="906" t="s">
        <v>1258</v>
      </c>
      <c r="F256" s="1015">
        <f t="shared" si="107"/>
        <v>0</v>
      </c>
      <c r="G256" s="1014">
        <f t="shared" si="107"/>
        <v>70</v>
      </c>
      <c r="H256" s="1014">
        <f t="shared" si="107"/>
        <v>41</v>
      </c>
      <c r="I256" s="1014">
        <f t="shared" si="107"/>
        <v>70</v>
      </c>
      <c r="J256" s="1013">
        <f t="shared" si="107"/>
        <v>41</v>
      </c>
      <c r="K256" s="1012" t="str">
        <f t="shared" si="107"/>
        <v/>
      </c>
      <c r="L256" s="1011">
        <f>U141</f>
        <v>0.31760591573840757</v>
      </c>
      <c r="N256" s="1032" t="s">
        <v>1480</v>
      </c>
      <c r="O256" s="1031"/>
      <c r="P256" s="1030">
        <v>75</v>
      </c>
      <c r="Q256" s="1029">
        <v>40</v>
      </c>
      <c r="R256" s="1029">
        <v>82</v>
      </c>
      <c r="S256" s="1028">
        <v>39</v>
      </c>
      <c r="T256" s="1027">
        <v>42.554670479371481</v>
      </c>
      <c r="U256" s="1026">
        <v>0.16509396556642708</v>
      </c>
      <c r="V256" s="1018">
        <v>73.992999999999995</v>
      </c>
      <c r="W256" s="1018"/>
      <c r="X256" s="1018">
        <v>255</v>
      </c>
    </row>
    <row r="257" spans="1:24" ht="16">
      <c r="A257" s="906">
        <v>256</v>
      </c>
      <c r="B257" s="906" t="s">
        <v>1479</v>
      </c>
      <c r="C257" s="906">
        <v>31210</v>
      </c>
      <c r="D257" s="906" t="s">
        <v>1257</v>
      </c>
      <c r="E257" s="906" t="s">
        <v>1258</v>
      </c>
      <c r="F257" s="1015">
        <f t="shared" si="107"/>
        <v>0</v>
      </c>
      <c r="G257" s="1014">
        <f t="shared" si="107"/>
        <v>60</v>
      </c>
      <c r="H257" s="1014">
        <f t="shared" si="107"/>
        <v>0</v>
      </c>
      <c r="I257" s="1014">
        <f t="shared" si="107"/>
        <v>80</v>
      </c>
      <c r="J257" s="1013">
        <f t="shared" si="107"/>
        <v>0</v>
      </c>
      <c r="K257" s="1012" t="str">
        <f t="shared" si="107"/>
        <v/>
      </c>
      <c r="L257" s="1016">
        <v>0.17374718282373314</v>
      </c>
      <c r="N257" s="1025" t="s">
        <v>1478</v>
      </c>
      <c r="O257" s="1024"/>
      <c r="P257" s="1023">
        <v>78</v>
      </c>
      <c r="Q257" s="1022">
        <v>40</v>
      </c>
      <c r="R257" s="1022">
        <v>82</v>
      </c>
      <c r="S257" s="1021">
        <v>35</v>
      </c>
      <c r="T257" s="1020" t="s">
        <v>842</v>
      </c>
      <c r="U257" s="1019">
        <v>0.2564394908904763</v>
      </c>
      <c r="V257" s="1018">
        <v>95.867999999999995</v>
      </c>
      <c r="W257" s="1018"/>
      <c r="X257" s="1018">
        <v>256</v>
      </c>
    </row>
    <row r="258" spans="1:24">
      <c r="A258" s="906">
        <v>257</v>
      </c>
      <c r="B258" s="906" t="s">
        <v>1477</v>
      </c>
      <c r="C258" s="906">
        <v>29188</v>
      </c>
      <c r="D258" s="906" t="s">
        <v>1256</v>
      </c>
      <c r="E258" s="906" t="s">
        <v>1259</v>
      </c>
      <c r="F258" s="1015">
        <f t="shared" ref="F258:L258" si="108">O150</f>
        <v>0</v>
      </c>
      <c r="G258" s="1014">
        <f t="shared" si="108"/>
        <v>75</v>
      </c>
      <c r="H258" s="1014">
        <f t="shared" si="108"/>
        <v>52</v>
      </c>
      <c r="I258" s="1014">
        <f t="shared" si="108"/>
        <v>80</v>
      </c>
      <c r="J258" s="1013">
        <f t="shared" si="108"/>
        <v>45</v>
      </c>
      <c r="K258" s="1012" t="str">
        <f t="shared" si="108"/>
        <v/>
      </c>
      <c r="L258" s="1011">
        <f t="shared" si="108"/>
        <v>0.25359712230215825</v>
      </c>
    </row>
    <row r="259" spans="1:24">
      <c r="A259" s="906">
        <v>258</v>
      </c>
      <c r="B259" s="906" t="s">
        <v>1476</v>
      </c>
      <c r="C259" s="906">
        <v>29189</v>
      </c>
      <c r="D259" s="906" t="s">
        <v>1256</v>
      </c>
      <c r="E259" s="906" t="s">
        <v>1258</v>
      </c>
      <c r="F259" s="1015"/>
      <c r="G259" s="1014"/>
      <c r="H259" s="1014"/>
      <c r="I259" s="1014"/>
      <c r="J259" s="1013"/>
      <c r="K259" s="1012"/>
      <c r="L259" s="1011"/>
    </row>
    <row r="260" spans="1:24">
      <c r="A260" s="906">
        <v>259</v>
      </c>
      <c r="B260" s="906" t="s">
        <v>1475</v>
      </c>
      <c r="C260" s="906">
        <v>23795</v>
      </c>
      <c r="D260" s="906" t="s">
        <v>1256</v>
      </c>
      <c r="E260" s="906" t="s">
        <v>1258</v>
      </c>
      <c r="F260" s="1015"/>
      <c r="G260" s="1014"/>
      <c r="H260" s="1014"/>
      <c r="I260" s="1014"/>
      <c r="J260" s="1013"/>
      <c r="K260" s="1012"/>
      <c r="L260" s="1011"/>
    </row>
    <row r="261" spans="1:24">
      <c r="A261" s="906">
        <v>260</v>
      </c>
      <c r="B261" s="906" t="s">
        <v>1475</v>
      </c>
      <c r="C261" s="906">
        <v>29189</v>
      </c>
      <c r="D261" s="906" t="s">
        <v>1256</v>
      </c>
      <c r="E261" s="906" t="s">
        <v>1258</v>
      </c>
      <c r="F261" s="1015"/>
      <c r="G261" s="1014"/>
      <c r="H261" s="1014"/>
      <c r="I261" s="1014"/>
      <c r="J261" s="1013"/>
      <c r="K261" s="1012"/>
      <c r="L261" s="1011"/>
    </row>
    <row r="262" spans="1:24">
      <c r="A262" s="906">
        <v>261</v>
      </c>
      <c r="B262" s="906" t="s">
        <v>1474</v>
      </c>
      <c r="C262" s="906">
        <v>41333</v>
      </c>
      <c r="D262" s="906" t="s">
        <v>1256</v>
      </c>
      <c r="E262" s="906" t="s">
        <v>1258</v>
      </c>
      <c r="F262" s="1015">
        <f t="shared" ref="F262:L265" si="109">O145</f>
        <v>0</v>
      </c>
      <c r="G262" s="1014">
        <f t="shared" si="109"/>
        <v>74</v>
      </c>
      <c r="H262" s="1014">
        <f t="shared" si="109"/>
        <v>40</v>
      </c>
      <c r="I262" s="1014">
        <f t="shared" si="109"/>
        <v>74</v>
      </c>
      <c r="J262" s="1013">
        <f t="shared" si="109"/>
        <v>38</v>
      </c>
      <c r="K262" s="1012">
        <f t="shared" si="109"/>
        <v>36.844128774010883</v>
      </c>
      <c r="L262" s="1011">
        <f t="shared" si="109"/>
        <v>0.2188596691126202</v>
      </c>
    </row>
    <row r="263" spans="1:24">
      <c r="A263" s="906">
        <v>262</v>
      </c>
      <c r="B263" s="906" t="s">
        <v>1473</v>
      </c>
      <c r="C263" s="906">
        <v>29188</v>
      </c>
      <c r="D263" s="906" t="s">
        <v>1256</v>
      </c>
      <c r="E263" s="906" t="s">
        <v>1259</v>
      </c>
      <c r="F263" s="1015">
        <f t="shared" si="109"/>
        <v>0</v>
      </c>
      <c r="G263" s="1014">
        <f t="shared" si="109"/>
        <v>73</v>
      </c>
      <c r="H263" s="1014">
        <f t="shared" si="109"/>
        <v>41</v>
      </c>
      <c r="I263" s="1014">
        <f t="shared" si="109"/>
        <v>75</v>
      </c>
      <c r="J263" s="1013">
        <f t="shared" si="109"/>
        <v>40</v>
      </c>
      <c r="K263" s="1012">
        <f t="shared" si="109"/>
        <v>3.5520143126997965</v>
      </c>
      <c r="L263" s="1011">
        <f t="shared" si="109"/>
        <v>0.27656720684271863</v>
      </c>
    </row>
    <row r="264" spans="1:24">
      <c r="A264" s="906">
        <v>263</v>
      </c>
      <c r="B264" s="906" t="s">
        <v>1472</v>
      </c>
      <c r="C264" s="906">
        <v>29188</v>
      </c>
      <c r="D264" s="906" t="s">
        <v>1256</v>
      </c>
      <c r="E264" s="906" t="s">
        <v>1259</v>
      </c>
      <c r="F264" s="1015">
        <f t="shared" si="109"/>
        <v>0</v>
      </c>
      <c r="G264" s="1014">
        <f t="shared" si="109"/>
        <v>67</v>
      </c>
      <c r="H264" s="1014">
        <f t="shared" si="109"/>
        <v>67</v>
      </c>
      <c r="I264" s="1014">
        <f t="shared" si="109"/>
        <v>71</v>
      </c>
      <c r="J264" s="1013">
        <f t="shared" si="109"/>
        <v>71</v>
      </c>
      <c r="K264" s="1012">
        <f t="shared" si="109"/>
        <v>33.030288913026958</v>
      </c>
      <c r="L264" s="1011">
        <f t="shared" si="109"/>
        <v>0.26487182298263534</v>
      </c>
    </row>
    <row r="265" spans="1:24">
      <c r="A265" s="906">
        <v>264</v>
      </c>
      <c r="B265" s="906" t="s">
        <v>1471</v>
      </c>
      <c r="C265" s="906">
        <v>29189</v>
      </c>
      <c r="D265" s="906" t="s">
        <v>1256</v>
      </c>
      <c r="E265" s="906" t="s">
        <v>1259</v>
      </c>
      <c r="F265" s="1015">
        <f t="shared" si="109"/>
        <v>0</v>
      </c>
      <c r="G265" s="1014">
        <f t="shared" si="109"/>
        <v>75</v>
      </c>
      <c r="H265" s="1014">
        <f t="shared" si="109"/>
        <v>53</v>
      </c>
      <c r="I265" s="1014">
        <f t="shared" si="109"/>
        <v>85</v>
      </c>
      <c r="J265" s="1013">
        <f t="shared" si="109"/>
        <v>47</v>
      </c>
      <c r="K265" s="1012">
        <f t="shared" si="109"/>
        <v>34.118186758900578</v>
      </c>
      <c r="L265" s="1011">
        <f t="shared" si="109"/>
        <v>0.19083493483106331</v>
      </c>
    </row>
    <row r="266" spans="1:24">
      <c r="A266" s="906">
        <v>265</v>
      </c>
      <c r="B266" s="906" t="s">
        <v>1470</v>
      </c>
      <c r="C266" s="906">
        <v>29189</v>
      </c>
      <c r="D266" s="906" t="s">
        <v>1256</v>
      </c>
      <c r="E266" s="906" t="s">
        <v>1258</v>
      </c>
      <c r="F266" s="1015"/>
      <c r="G266" s="1014"/>
      <c r="H266" s="1014"/>
      <c r="I266" s="1014"/>
      <c r="J266" s="1013"/>
      <c r="K266" s="1012"/>
      <c r="L266" s="1011"/>
    </row>
    <row r="267" spans="1:24">
      <c r="A267" s="906">
        <v>266</v>
      </c>
      <c r="B267" s="906" t="s">
        <v>1469</v>
      </c>
      <c r="C267" s="906">
        <v>29188</v>
      </c>
      <c r="D267" s="906" t="s">
        <v>1256</v>
      </c>
      <c r="E267" s="906" t="s">
        <v>1258</v>
      </c>
      <c r="F267" s="1015"/>
      <c r="G267" s="1014"/>
      <c r="H267" s="1014"/>
      <c r="I267" s="1014"/>
      <c r="J267" s="1013"/>
      <c r="K267" s="1012"/>
      <c r="L267" s="1011"/>
    </row>
    <row r="268" spans="1:24">
      <c r="A268" s="906">
        <v>267</v>
      </c>
      <c r="B268" s="906" t="s">
        <v>1468</v>
      </c>
      <c r="C268" s="906">
        <v>29189</v>
      </c>
      <c r="D268" s="906" t="s">
        <v>1256</v>
      </c>
      <c r="E268" s="906" t="s">
        <v>1258</v>
      </c>
      <c r="F268" s="1015"/>
      <c r="G268" s="1014"/>
      <c r="H268" s="1014"/>
      <c r="I268" s="1014"/>
      <c r="J268" s="1013"/>
      <c r="K268" s="1012"/>
      <c r="L268" s="1011"/>
    </row>
    <row r="269" spans="1:24">
      <c r="A269" s="906">
        <v>268</v>
      </c>
      <c r="B269" s="906" t="s">
        <v>1467</v>
      </c>
      <c r="C269" s="906">
        <v>29189</v>
      </c>
      <c r="D269" s="906" t="s">
        <v>1256</v>
      </c>
      <c r="E269" s="906" t="s">
        <v>1258</v>
      </c>
      <c r="F269" s="1015">
        <f t="shared" ref="F269:L269" si="110">O143</f>
        <v>7.2396076599719368E-3</v>
      </c>
      <c r="G269" s="1014">
        <f t="shared" si="110"/>
        <v>72</v>
      </c>
      <c r="H269" s="1014">
        <f t="shared" si="110"/>
        <v>38</v>
      </c>
      <c r="I269" s="1014">
        <f t="shared" si="110"/>
        <v>76</v>
      </c>
      <c r="J269" s="1013">
        <f t="shared" si="110"/>
        <v>35</v>
      </c>
      <c r="K269" s="1012">
        <f t="shared" si="110"/>
        <v>34.726955023416103</v>
      </c>
      <c r="L269" s="1011">
        <f t="shared" si="110"/>
        <v>0.15658695901921843</v>
      </c>
    </row>
    <row r="270" spans="1:24">
      <c r="A270" s="906">
        <v>269</v>
      </c>
      <c r="B270" s="906" t="s">
        <v>1466</v>
      </c>
      <c r="C270" s="906">
        <v>29189</v>
      </c>
      <c r="D270" s="906" t="s">
        <v>1256</v>
      </c>
      <c r="E270" s="906" t="s">
        <v>1258</v>
      </c>
      <c r="F270" s="1015">
        <f t="shared" ref="F270:L270" si="111">O244</f>
        <v>0</v>
      </c>
      <c r="G270" s="1014">
        <f t="shared" si="111"/>
        <v>67</v>
      </c>
      <c r="H270" s="1014">
        <f t="shared" si="111"/>
        <v>42</v>
      </c>
      <c r="I270" s="1014">
        <f t="shared" si="111"/>
        <v>70</v>
      </c>
      <c r="J270" s="1013">
        <f t="shared" si="111"/>
        <v>37</v>
      </c>
      <c r="K270" s="1012" t="str">
        <f t="shared" si="111"/>
        <v/>
      </c>
      <c r="L270" s="1011">
        <f t="shared" si="111"/>
        <v>0.40074330242143225</v>
      </c>
    </row>
    <row r="271" spans="1:24">
      <c r="A271" s="906">
        <v>270</v>
      </c>
      <c r="B271" s="906" t="s">
        <v>1465</v>
      </c>
      <c r="C271" s="906">
        <v>29189</v>
      </c>
      <c r="D271" s="906" t="s">
        <v>1256</v>
      </c>
      <c r="E271" s="906" t="s">
        <v>1258</v>
      </c>
      <c r="F271" s="1015">
        <f t="shared" ref="F271:L271" si="112">O149</f>
        <v>0</v>
      </c>
      <c r="G271" s="1014">
        <f t="shared" si="112"/>
        <v>68</v>
      </c>
      <c r="H271" s="1014">
        <f t="shared" si="112"/>
        <v>40</v>
      </c>
      <c r="I271" s="1014">
        <f t="shared" si="112"/>
        <v>70</v>
      </c>
      <c r="J271" s="1013">
        <f t="shared" si="112"/>
        <v>37</v>
      </c>
      <c r="K271" s="1012" t="str">
        <f t="shared" si="112"/>
        <v/>
      </c>
      <c r="L271" s="1011">
        <f t="shared" si="112"/>
        <v>0.23822738827421522</v>
      </c>
    </row>
    <row r="272" spans="1:24">
      <c r="A272" s="906">
        <v>271</v>
      </c>
      <c r="B272" s="906" t="s">
        <v>1464</v>
      </c>
      <c r="C272" s="906">
        <v>29189</v>
      </c>
      <c r="D272" s="906" t="s">
        <v>1257</v>
      </c>
      <c r="E272" s="906" t="s">
        <v>1258</v>
      </c>
      <c r="F272" s="1015">
        <f t="shared" ref="F272:L272" si="113">O253</f>
        <v>1.6757865937072503E-2</v>
      </c>
      <c r="G272" s="1014">
        <f t="shared" si="113"/>
        <v>70</v>
      </c>
      <c r="H272" s="1014">
        <f t="shared" si="113"/>
        <v>0</v>
      </c>
      <c r="I272" s="1014">
        <f t="shared" si="113"/>
        <v>80</v>
      </c>
      <c r="J272" s="1013">
        <f t="shared" si="113"/>
        <v>0</v>
      </c>
      <c r="K272" s="1012" t="str">
        <f t="shared" si="113"/>
        <v/>
      </c>
      <c r="L272" s="1011">
        <f t="shared" si="113"/>
        <v>0.30536956521739128</v>
      </c>
    </row>
    <row r="273" spans="1:12">
      <c r="A273" s="906">
        <v>272</v>
      </c>
      <c r="B273" s="906" t="s">
        <v>1463</v>
      </c>
      <c r="C273" s="906">
        <v>32264</v>
      </c>
      <c r="D273" s="906" t="s">
        <v>1257</v>
      </c>
      <c r="E273" s="906" t="s">
        <v>1258</v>
      </c>
      <c r="F273" s="1015">
        <f t="shared" ref="F273:L273" si="114">O151</f>
        <v>0</v>
      </c>
      <c r="G273" s="1014">
        <f t="shared" si="114"/>
        <v>69.13</v>
      </c>
      <c r="H273" s="1014">
        <f t="shared" si="114"/>
        <v>44.59</v>
      </c>
      <c r="I273" s="1014">
        <f t="shared" si="114"/>
        <v>73.069999999999993</v>
      </c>
      <c r="J273" s="1013">
        <f t="shared" si="114"/>
        <v>39.200000000000003</v>
      </c>
      <c r="K273" s="1012">
        <f t="shared" si="114"/>
        <v>0</v>
      </c>
      <c r="L273" s="1011">
        <f t="shared" si="114"/>
        <v>0.24214000347403161</v>
      </c>
    </row>
    <row r="274" spans="1:12">
      <c r="A274" s="906">
        <v>273</v>
      </c>
      <c r="B274" s="906" t="s">
        <v>1462</v>
      </c>
      <c r="C274" s="906">
        <v>29188</v>
      </c>
      <c r="D274" s="906" t="s">
        <v>1256</v>
      </c>
      <c r="E274" s="906" t="s">
        <v>1259</v>
      </c>
      <c r="F274" s="1015"/>
      <c r="G274" s="1014"/>
      <c r="H274" s="1014"/>
      <c r="I274" s="1014"/>
      <c r="J274" s="1013"/>
      <c r="K274" s="1012"/>
      <c r="L274" s="1011"/>
    </row>
    <row r="275" spans="1:12">
      <c r="A275" s="906">
        <v>274</v>
      </c>
      <c r="B275" s="906" t="s">
        <v>1461</v>
      </c>
      <c r="C275" s="906">
        <v>23795</v>
      </c>
      <c r="D275" s="906" t="s">
        <v>1256</v>
      </c>
      <c r="E275" s="906" t="s">
        <v>1258</v>
      </c>
      <c r="F275" s="1015"/>
      <c r="G275" s="1014"/>
      <c r="H275" s="1014"/>
      <c r="I275" s="1014"/>
      <c r="J275" s="1013"/>
      <c r="K275" s="1012"/>
      <c r="L275" s="1011"/>
    </row>
    <row r="276" spans="1:12">
      <c r="A276" s="906">
        <v>275</v>
      </c>
      <c r="B276" s="906" t="s">
        <v>1460</v>
      </c>
      <c r="C276" s="906">
        <v>29189</v>
      </c>
      <c r="D276" s="906" t="s">
        <v>1256</v>
      </c>
      <c r="E276" s="906" t="s">
        <v>1258</v>
      </c>
      <c r="F276" s="1015"/>
      <c r="G276" s="1014"/>
      <c r="H276" s="1014"/>
      <c r="I276" s="1014"/>
      <c r="J276" s="1013"/>
      <c r="K276" s="1012"/>
      <c r="L276" s="1011"/>
    </row>
    <row r="277" spans="1:12">
      <c r="A277" s="906">
        <v>276</v>
      </c>
      <c r="B277" s="906" t="s">
        <v>1459</v>
      </c>
      <c r="C277" s="906">
        <v>29189</v>
      </c>
      <c r="D277" s="906" t="s">
        <v>1256</v>
      </c>
      <c r="E277" s="906" t="s">
        <v>1258</v>
      </c>
      <c r="F277" s="1015">
        <f t="shared" ref="F277:L277" si="115">O154</f>
        <v>0</v>
      </c>
      <c r="G277" s="1014">
        <f t="shared" si="115"/>
        <v>65</v>
      </c>
      <c r="H277" s="1014">
        <f t="shared" si="115"/>
        <v>40</v>
      </c>
      <c r="I277" s="1014">
        <f t="shared" si="115"/>
        <v>70</v>
      </c>
      <c r="J277" s="1013">
        <f t="shared" si="115"/>
        <v>35</v>
      </c>
      <c r="K277" s="1012">
        <f t="shared" si="115"/>
        <v>32.20957264957265</v>
      </c>
      <c r="L277" s="1011">
        <f t="shared" si="115"/>
        <v>0.24167047010497489</v>
      </c>
    </row>
    <row r="278" spans="1:12">
      <c r="A278" s="906">
        <v>277</v>
      </c>
      <c r="B278" s="906" t="s">
        <v>1458</v>
      </c>
      <c r="C278" s="906">
        <v>29189</v>
      </c>
      <c r="D278" s="906" t="s">
        <v>1256</v>
      </c>
      <c r="E278" s="906" t="s">
        <v>1258</v>
      </c>
      <c r="F278" s="1015">
        <f t="shared" ref="F278:L278" si="116">O153</f>
        <v>0</v>
      </c>
      <c r="G278" s="1014">
        <f t="shared" si="116"/>
        <v>70</v>
      </c>
      <c r="H278" s="1014">
        <f t="shared" si="116"/>
        <v>40</v>
      </c>
      <c r="I278" s="1014">
        <f t="shared" si="116"/>
        <v>74</v>
      </c>
      <c r="J278" s="1013">
        <f t="shared" si="116"/>
        <v>36</v>
      </c>
      <c r="K278" s="1012">
        <f t="shared" si="116"/>
        <v>30.217456453888268</v>
      </c>
      <c r="L278" s="1011">
        <f t="shared" si="116"/>
        <v>0.24838776783856875</v>
      </c>
    </row>
    <row r="279" spans="1:12">
      <c r="A279" s="906">
        <v>278</v>
      </c>
      <c r="B279" s="906" t="s">
        <v>1457</v>
      </c>
      <c r="C279" s="906">
        <v>29189</v>
      </c>
      <c r="D279" s="906" t="s">
        <v>1256</v>
      </c>
      <c r="E279" s="906" t="s">
        <v>1258</v>
      </c>
      <c r="F279" s="1015">
        <f t="shared" ref="F279:L280" si="117">O155</f>
        <v>0</v>
      </c>
      <c r="G279" s="1014">
        <f t="shared" si="117"/>
        <v>70</v>
      </c>
      <c r="H279" s="1014">
        <f t="shared" si="117"/>
        <v>40</v>
      </c>
      <c r="I279" s="1014">
        <f t="shared" si="117"/>
        <v>77</v>
      </c>
      <c r="J279" s="1013">
        <f t="shared" si="117"/>
        <v>36</v>
      </c>
      <c r="K279" s="1012">
        <f t="shared" si="117"/>
        <v>0</v>
      </c>
      <c r="L279" s="1011">
        <f t="shared" si="117"/>
        <v>0.24604347931460702</v>
      </c>
    </row>
    <row r="280" spans="1:12">
      <c r="A280" s="906">
        <v>279</v>
      </c>
      <c r="B280" s="906" t="s">
        <v>1456</v>
      </c>
      <c r="C280" s="906">
        <v>29189</v>
      </c>
      <c r="D280" s="906" t="s">
        <v>1257</v>
      </c>
      <c r="E280" s="906" t="s">
        <v>1258</v>
      </c>
      <c r="F280" s="1015">
        <f t="shared" si="117"/>
        <v>0</v>
      </c>
      <c r="G280" s="1014">
        <f t="shared" si="117"/>
        <v>75</v>
      </c>
      <c r="H280" s="1014">
        <f t="shared" si="117"/>
        <v>38</v>
      </c>
      <c r="I280" s="1014">
        <f t="shared" si="117"/>
        <v>84</v>
      </c>
      <c r="J280" s="1013">
        <f t="shared" si="117"/>
        <v>40</v>
      </c>
      <c r="K280" s="1012" t="str">
        <f t="shared" si="117"/>
        <v/>
      </c>
      <c r="L280" s="1011">
        <f t="shared" si="117"/>
        <v>0.30186201957507758</v>
      </c>
    </row>
    <row r="281" spans="1:12">
      <c r="A281" s="906">
        <v>280</v>
      </c>
      <c r="B281" s="906" t="s">
        <v>1455</v>
      </c>
      <c r="C281" s="906">
        <v>29189</v>
      </c>
      <c r="D281" s="906" t="s">
        <v>1256</v>
      </c>
      <c r="E281" s="906" t="s">
        <v>1258</v>
      </c>
      <c r="F281" s="1015"/>
      <c r="G281" s="1014"/>
      <c r="H281" s="1014"/>
      <c r="I281" s="1014"/>
      <c r="J281" s="1013"/>
      <c r="K281" s="1012"/>
      <c r="L281" s="1011"/>
    </row>
    <row r="282" spans="1:12">
      <c r="A282" s="906">
        <v>281</v>
      </c>
      <c r="B282" s="906" t="s">
        <v>1454</v>
      </c>
      <c r="C282" s="906">
        <v>29189</v>
      </c>
      <c r="D282" s="906" t="s">
        <v>1256</v>
      </c>
      <c r="E282" s="906" t="s">
        <v>1259</v>
      </c>
      <c r="F282" s="1015">
        <f t="shared" ref="F282:L282" si="118">O157</f>
        <v>0</v>
      </c>
      <c r="G282" s="1014">
        <f t="shared" si="118"/>
        <v>75</v>
      </c>
      <c r="H282" s="1014">
        <f t="shared" si="118"/>
        <v>0</v>
      </c>
      <c r="I282" s="1014">
        <f t="shared" si="118"/>
        <v>80</v>
      </c>
      <c r="J282" s="1013">
        <f t="shared" si="118"/>
        <v>0</v>
      </c>
      <c r="K282" s="1012" t="str">
        <f t="shared" si="118"/>
        <v/>
      </c>
      <c r="L282" s="1011">
        <f t="shared" si="118"/>
        <v>0.23113988857099835</v>
      </c>
    </row>
    <row r="283" spans="1:12">
      <c r="A283" s="906">
        <v>282</v>
      </c>
      <c r="B283" s="906" t="s">
        <v>1453</v>
      </c>
      <c r="C283" s="906">
        <v>29189</v>
      </c>
      <c r="D283" s="906" t="s">
        <v>1256</v>
      </c>
      <c r="E283" s="906" t="s">
        <v>1258</v>
      </c>
      <c r="F283" s="1015"/>
      <c r="G283" s="1014"/>
      <c r="H283" s="1014"/>
      <c r="I283" s="1014"/>
      <c r="J283" s="1013"/>
      <c r="K283" s="1012"/>
      <c r="L283" s="1011"/>
    </row>
    <row r="284" spans="1:12">
      <c r="A284" s="906">
        <v>283</v>
      </c>
      <c r="B284" s="906" t="s">
        <v>1452</v>
      </c>
      <c r="C284" s="906">
        <v>29189</v>
      </c>
      <c r="D284" s="906" t="s">
        <v>1256</v>
      </c>
      <c r="E284" s="906" t="s">
        <v>1258</v>
      </c>
      <c r="F284" s="1015">
        <f t="shared" ref="F284:L284" si="119">O158</f>
        <v>0</v>
      </c>
      <c r="G284" s="1014">
        <f t="shared" si="119"/>
        <v>74</v>
      </c>
      <c r="H284" s="1014">
        <f t="shared" si="119"/>
        <v>42</v>
      </c>
      <c r="I284" s="1014">
        <f t="shared" si="119"/>
        <v>77</v>
      </c>
      <c r="J284" s="1013">
        <f t="shared" si="119"/>
        <v>40</v>
      </c>
      <c r="K284" s="1012">
        <f t="shared" si="119"/>
        <v>29.494048140043763</v>
      </c>
      <c r="L284" s="1011">
        <f t="shared" si="119"/>
        <v>0.47068206469725005</v>
      </c>
    </row>
    <row r="285" spans="1:12" ht="16">
      <c r="A285" s="906">
        <v>284</v>
      </c>
      <c r="B285" s="906" t="s">
        <v>1451</v>
      </c>
      <c r="C285" s="906">
        <v>29189</v>
      </c>
      <c r="D285" s="906" t="s">
        <v>1256</v>
      </c>
      <c r="E285" s="906" t="s">
        <v>1258</v>
      </c>
      <c r="F285" s="1015">
        <f t="shared" ref="F285:K285" si="120">O159</f>
        <v>0</v>
      </c>
      <c r="G285" s="1014">
        <f t="shared" si="120"/>
        <v>69</v>
      </c>
      <c r="H285" s="1014">
        <f t="shared" si="120"/>
        <v>69</v>
      </c>
      <c r="I285" s="1014">
        <f t="shared" si="120"/>
        <v>75</v>
      </c>
      <c r="J285" s="1013">
        <f t="shared" si="120"/>
        <v>75</v>
      </c>
      <c r="K285" s="1012" t="str">
        <f t="shared" si="120"/>
        <v/>
      </c>
      <c r="L285" s="1016">
        <v>0.22800028617798151</v>
      </c>
    </row>
    <row r="286" spans="1:12">
      <c r="A286" s="906">
        <v>285</v>
      </c>
      <c r="B286" s="906" t="s">
        <v>1450</v>
      </c>
      <c r="C286" s="906">
        <v>29189</v>
      </c>
      <c r="D286" s="906" t="s">
        <v>1256</v>
      </c>
      <c r="E286" s="906" t="s">
        <v>1258</v>
      </c>
      <c r="F286" s="1015"/>
      <c r="G286" s="1014"/>
      <c r="H286" s="1014"/>
      <c r="I286" s="1014"/>
      <c r="J286" s="1013"/>
      <c r="K286" s="1012"/>
      <c r="L286" s="1011"/>
    </row>
    <row r="287" spans="1:12">
      <c r="A287" s="906">
        <v>286</v>
      </c>
      <c r="B287" s="906" t="s">
        <v>1449</v>
      </c>
      <c r="C287" s="906">
        <v>29188</v>
      </c>
      <c r="D287" s="906" t="s">
        <v>1256</v>
      </c>
      <c r="E287" s="906" t="s">
        <v>1259</v>
      </c>
      <c r="F287" s="1015"/>
      <c r="G287" s="1014"/>
      <c r="H287" s="1014"/>
      <c r="I287" s="1014"/>
      <c r="J287" s="1013"/>
      <c r="K287" s="1012"/>
      <c r="L287" s="1011"/>
    </row>
    <row r="288" spans="1:12">
      <c r="A288" s="906">
        <v>287</v>
      </c>
      <c r="B288" s="906" t="s">
        <v>1448</v>
      </c>
      <c r="C288" s="906">
        <v>29188</v>
      </c>
      <c r="D288" s="906" t="s">
        <v>1256</v>
      </c>
      <c r="E288" s="906" t="s">
        <v>1259</v>
      </c>
      <c r="F288" s="1015"/>
      <c r="G288" s="1014"/>
      <c r="H288" s="1014"/>
      <c r="I288" s="1014"/>
      <c r="J288" s="1013"/>
      <c r="K288" s="1012"/>
      <c r="L288" s="1011"/>
    </row>
    <row r="289" spans="1:12">
      <c r="A289" s="906">
        <v>288</v>
      </c>
      <c r="B289" s="906" t="s">
        <v>1447</v>
      </c>
      <c r="C289" s="906">
        <v>29188</v>
      </c>
      <c r="D289" s="906" t="s">
        <v>1256</v>
      </c>
      <c r="E289" s="906" t="s">
        <v>1259</v>
      </c>
      <c r="F289" s="1015"/>
      <c r="G289" s="1014"/>
      <c r="H289" s="1014"/>
      <c r="I289" s="1014"/>
      <c r="J289" s="1013"/>
      <c r="K289" s="1012"/>
      <c r="L289" s="1011"/>
    </row>
    <row r="290" spans="1:12">
      <c r="A290" s="906">
        <v>289</v>
      </c>
      <c r="B290" s="906" t="s">
        <v>1446</v>
      </c>
      <c r="C290" s="906">
        <v>29188</v>
      </c>
      <c r="D290" s="906" t="s">
        <v>1256</v>
      </c>
      <c r="E290" s="906" t="s">
        <v>1258</v>
      </c>
      <c r="F290" s="1015">
        <f t="shared" ref="F290:L294" si="121">O161</f>
        <v>0</v>
      </c>
      <c r="G290" s="1014">
        <f t="shared" si="121"/>
        <v>69</v>
      </c>
      <c r="H290" s="1014">
        <f t="shared" si="121"/>
        <v>42</v>
      </c>
      <c r="I290" s="1014">
        <f t="shared" si="121"/>
        <v>79</v>
      </c>
      <c r="J290" s="1013">
        <f t="shared" si="121"/>
        <v>40</v>
      </c>
      <c r="K290" s="1012">
        <f t="shared" si="121"/>
        <v>31.922208718287816</v>
      </c>
      <c r="L290" s="1011">
        <f t="shared" si="121"/>
        <v>0.25570625535959229</v>
      </c>
    </row>
    <row r="291" spans="1:12">
      <c r="A291" s="906">
        <v>290</v>
      </c>
      <c r="B291" s="906" t="s">
        <v>1445</v>
      </c>
      <c r="C291" s="906">
        <v>29189</v>
      </c>
      <c r="D291" s="906" t="s">
        <v>1256</v>
      </c>
      <c r="E291" s="906" t="s">
        <v>1258</v>
      </c>
      <c r="F291" s="1015">
        <f t="shared" si="121"/>
        <v>6.5034355946966028E-3</v>
      </c>
      <c r="G291" s="1014">
        <f t="shared" si="121"/>
        <v>67</v>
      </c>
      <c r="H291" s="1014">
        <f t="shared" si="121"/>
        <v>39</v>
      </c>
      <c r="I291" s="1014">
        <f t="shared" si="121"/>
        <v>67</v>
      </c>
      <c r="J291" s="1013">
        <f t="shared" si="121"/>
        <v>35</v>
      </c>
      <c r="K291" s="1012" t="str">
        <f t="shared" si="121"/>
        <v/>
      </c>
      <c r="L291" s="1011">
        <f t="shared" si="121"/>
        <v>0.25355062440335874</v>
      </c>
    </row>
    <row r="292" spans="1:12">
      <c r="A292" s="906">
        <v>291</v>
      </c>
      <c r="B292" s="906" t="s">
        <v>1444</v>
      </c>
      <c r="C292" s="906">
        <v>18957</v>
      </c>
      <c r="D292" s="906" t="s">
        <v>1256</v>
      </c>
      <c r="E292" s="906" t="s">
        <v>1259</v>
      </c>
      <c r="F292" s="1015">
        <f t="shared" si="121"/>
        <v>0</v>
      </c>
      <c r="G292" s="1014">
        <f t="shared" si="121"/>
        <v>75</v>
      </c>
      <c r="H292" s="1014">
        <f t="shared" si="121"/>
        <v>45</v>
      </c>
      <c r="I292" s="1014">
        <f t="shared" si="121"/>
        <v>85</v>
      </c>
      <c r="J292" s="1013">
        <f t="shared" si="121"/>
        <v>48</v>
      </c>
      <c r="K292" s="1012">
        <f t="shared" si="121"/>
        <v>0</v>
      </c>
      <c r="L292" s="1011">
        <f t="shared" si="121"/>
        <v>0.18813899613899615</v>
      </c>
    </row>
    <row r="293" spans="1:12">
      <c r="A293" s="906">
        <v>292</v>
      </c>
      <c r="B293" s="906" t="s">
        <v>1443</v>
      </c>
      <c r="C293" s="906">
        <v>28856</v>
      </c>
      <c r="D293" s="906" t="s">
        <v>1256</v>
      </c>
      <c r="E293" s="906" t="s">
        <v>1258</v>
      </c>
      <c r="F293" s="1015">
        <f t="shared" si="121"/>
        <v>0</v>
      </c>
      <c r="G293" s="1014">
        <f t="shared" si="121"/>
        <v>84</v>
      </c>
      <c r="H293" s="1014">
        <f t="shared" si="121"/>
        <v>40</v>
      </c>
      <c r="I293" s="1014">
        <f t="shared" si="121"/>
        <v>82</v>
      </c>
      <c r="J293" s="1013">
        <f t="shared" si="121"/>
        <v>36</v>
      </c>
      <c r="K293" s="1012" t="str">
        <f t="shared" si="121"/>
        <v/>
      </c>
      <c r="L293" s="1011">
        <f t="shared" si="121"/>
        <v>0.34889287851585876</v>
      </c>
    </row>
    <row r="294" spans="1:12">
      <c r="A294" s="906">
        <v>293</v>
      </c>
      <c r="B294" s="906" t="s">
        <v>1442</v>
      </c>
      <c r="C294" s="906">
        <v>29189</v>
      </c>
      <c r="D294" s="906" t="s">
        <v>1257</v>
      </c>
      <c r="E294" s="906" t="s">
        <v>1259</v>
      </c>
      <c r="F294" s="1015">
        <f t="shared" si="121"/>
        <v>0</v>
      </c>
      <c r="G294" s="1014">
        <f t="shared" si="121"/>
        <v>76</v>
      </c>
      <c r="H294" s="1014">
        <f t="shared" si="121"/>
        <v>48</v>
      </c>
      <c r="I294" s="1014">
        <f t="shared" si="121"/>
        <v>77</v>
      </c>
      <c r="J294" s="1013">
        <f t="shared" si="121"/>
        <v>46</v>
      </c>
      <c r="K294" s="1012">
        <f t="shared" si="121"/>
        <v>30.891617926391213</v>
      </c>
      <c r="L294" s="1011">
        <f t="shared" si="121"/>
        <v>0.19897859012715033</v>
      </c>
    </row>
    <row r="295" spans="1:12">
      <c r="A295" s="906">
        <v>294</v>
      </c>
      <c r="B295" s="906" t="s">
        <v>1441</v>
      </c>
      <c r="C295" s="906">
        <v>29189</v>
      </c>
      <c r="D295" s="906" t="s">
        <v>1256</v>
      </c>
      <c r="E295" s="906" t="s">
        <v>1258</v>
      </c>
      <c r="F295" s="1015"/>
      <c r="G295" s="1014"/>
      <c r="H295" s="1014"/>
      <c r="I295" s="1014"/>
      <c r="J295" s="1013"/>
      <c r="K295" s="1012"/>
      <c r="L295" s="1011"/>
    </row>
    <row r="296" spans="1:12">
      <c r="A296" s="906">
        <v>295</v>
      </c>
      <c r="B296" s="906" t="s">
        <v>1440</v>
      </c>
      <c r="C296" s="906">
        <v>29189</v>
      </c>
      <c r="D296" s="906" t="s">
        <v>1256</v>
      </c>
      <c r="E296" s="906" t="s">
        <v>1258</v>
      </c>
      <c r="F296" s="1015"/>
      <c r="G296" s="1014"/>
      <c r="H296" s="1014"/>
      <c r="I296" s="1014"/>
      <c r="J296" s="1013"/>
      <c r="K296" s="1012"/>
      <c r="L296" s="1011"/>
    </row>
    <row r="297" spans="1:12">
      <c r="A297" s="906">
        <v>296</v>
      </c>
      <c r="B297" s="906" t="s">
        <v>1439</v>
      </c>
      <c r="C297" s="906">
        <v>29189</v>
      </c>
      <c r="D297" s="906" t="s">
        <v>1256</v>
      </c>
      <c r="E297" s="906" t="s">
        <v>1258</v>
      </c>
      <c r="F297" s="1015">
        <f t="shared" ref="F297:F305" si="122">O168</f>
        <v>0</v>
      </c>
      <c r="G297" s="1014">
        <f t="shared" ref="G297:G305" si="123">P168</f>
        <v>66</v>
      </c>
      <c r="H297" s="1014">
        <f t="shared" ref="H297:H305" si="124">Q168</f>
        <v>0</v>
      </c>
      <c r="I297" s="1014">
        <f t="shared" ref="I297:I305" si="125">R168</f>
        <v>72</v>
      </c>
      <c r="J297" s="1013">
        <f t="shared" ref="J297:J305" si="126">S168</f>
        <v>0</v>
      </c>
      <c r="K297" s="1012" t="str">
        <f t="shared" ref="K297:K305" si="127">T168</f>
        <v/>
      </c>
      <c r="L297" s="1011">
        <f t="shared" ref="L297:L305" si="128">U168</f>
        <v>0.22408497568466854</v>
      </c>
    </row>
    <row r="298" spans="1:12">
      <c r="A298" s="906">
        <v>297</v>
      </c>
      <c r="B298" s="906" t="s">
        <v>1438</v>
      </c>
      <c r="C298" s="906">
        <v>29189</v>
      </c>
      <c r="D298" s="906" t="s">
        <v>1256</v>
      </c>
      <c r="E298" s="906" t="s">
        <v>1258</v>
      </c>
      <c r="F298" s="1015">
        <f t="shared" si="122"/>
        <v>0</v>
      </c>
      <c r="G298" s="1014">
        <f t="shared" si="123"/>
        <v>70</v>
      </c>
      <c r="H298" s="1014">
        <f t="shared" si="124"/>
        <v>38</v>
      </c>
      <c r="I298" s="1014">
        <f t="shared" si="125"/>
        <v>75</v>
      </c>
      <c r="J298" s="1013">
        <f t="shared" si="126"/>
        <v>38</v>
      </c>
      <c r="K298" s="1012" t="str">
        <f t="shared" si="127"/>
        <v/>
      </c>
      <c r="L298" s="1011">
        <f t="shared" si="128"/>
        <v>0.31825006729629263</v>
      </c>
    </row>
    <row r="299" spans="1:12">
      <c r="A299" s="906">
        <v>298</v>
      </c>
      <c r="B299" s="906" t="s">
        <v>1437</v>
      </c>
      <c r="C299" s="906">
        <v>29189</v>
      </c>
      <c r="D299" s="906" t="s">
        <v>1256</v>
      </c>
      <c r="E299" s="906" t="s">
        <v>1258</v>
      </c>
      <c r="F299" s="1015">
        <f t="shared" si="122"/>
        <v>0</v>
      </c>
      <c r="G299" s="1014">
        <f t="shared" si="123"/>
        <v>70</v>
      </c>
      <c r="H299" s="1014">
        <f t="shared" si="124"/>
        <v>40</v>
      </c>
      <c r="I299" s="1014">
        <f t="shared" si="125"/>
        <v>70</v>
      </c>
      <c r="J299" s="1013">
        <f t="shared" si="126"/>
        <v>40</v>
      </c>
      <c r="K299" s="1012" t="str">
        <f t="shared" si="127"/>
        <v/>
      </c>
      <c r="L299" s="1011">
        <f t="shared" si="128"/>
        <v>0.27653055540081334</v>
      </c>
    </row>
    <row r="300" spans="1:12">
      <c r="A300" s="906">
        <v>299</v>
      </c>
      <c r="B300" s="906" t="s">
        <v>1436</v>
      </c>
      <c r="C300" s="906">
        <v>29189</v>
      </c>
      <c r="D300" s="906" t="s">
        <v>1256</v>
      </c>
      <c r="E300" s="906" t="s">
        <v>1258</v>
      </c>
      <c r="F300" s="1015">
        <f t="shared" si="122"/>
        <v>0</v>
      </c>
      <c r="G300" s="1014">
        <f t="shared" si="123"/>
        <v>68</v>
      </c>
      <c r="H300" s="1014">
        <f t="shared" si="124"/>
        <v>43</v>
      </c>
      <c r="I300" s="1014">
        <f t="shared" si="125"/>
        <v>72</v>
      </c>
      <c r="J300" s="1013">
        <f t="shared" si="126"/>
        <v>39</v>
      </c>
      <c r="K300" s="1012" t="str">
        <f t="shared" si="127"/>
        <v/>
      </c>
      <c r="L300" s="1011">
        <f t="shared" si="128"/>
        <v>0.4113171659533999</v>
      </c>
    </row>
    <row r="301" spans="1:12">
      <c r="A301" s="906">
        <v>300</v>
      </c>
      <c r="B301" s="906" t="s">
        <v>1435</v>
      </c>
      <c r="C301" s="906">
        <v>29188</v>
      </c>
      <c r="D301" s="906" t="s">
        <v>1256</v>
      </c>
      <c r="E301" s="906" t="s">
        <v>1259</v>
      </c>
      <c r="F301" s="1015">
        <f t="shared" si="122"/>
        <v>4.1460488828909882E-2</v>
      </c>
      <c r="G301" s="1014">
        <f t="shared" si="123"/>
        <v>75</v>
      </c>
      <c r="H301" s="1014">
        <f t="shared" si="124"/>
        <v>52</v>
      </c>
      <c r="I301" s="1014">
        <f t="shared" si="125"/>
        <v>80</v>
      </c>
      <c r="J301" s="1013">
        <f t="shared" si="126"/>
        <v>45</v>
      </c>
      <c r="K301" s="1012">
        <f t="shared" si="127"/>
        <v>33.037664698547196</v>
      </c>
      <c r="L301" s="1011">
        <f t="shared" si="128"/>
        <v>0.28146265154477906</v>
      </c>
    </row>
    <row r="302" spans="1:12">
      <c r="A302" s="906">
        <v>301</v>
      </c>
      <c r="B302" s="906" t="s">
        <v>1434</v>
      </c>
      <c r="C302" s="906">
        <v>29188</v>
      </c>
      <c r="D302" s="906" t="s">
        <v>1256</v>
      </c>
      <c r="E302" s="906" t="s">
        <v>1259</v>
      </c>
      <c r="F302" s="1015">
        <f t="shared" si="122"/>
        <v>0</v>
      </c>
      <c r="G302" s="1014">
        <f t="shared" si="123"/>
        <v>78</v>
      </c>
      <c r="H302" s="1014">
        <f t="shared" si="124"/>
        <v>49</v>
      </c>
      <c r="I302" s="1014">
        <f t="shared" si="125"/>
        <v>86</v>
      </c>
      <c r="J302" s="1013">
        <f t="shared" si="126"/>
        <v>46</v>
      </c>
      <c r="K302" s="1012">
        <f t="shared" si="127"/>
        <v>28.562707285434296</v>
      </c>
      <c r="L302" s="1011">
        <f t="shared" si="128"/>
        <v>0.23777803861728974</v>
      </c>
    </row>
    <row r="303" spans="1:12">
      <c r="A303" s="906">
        <v>302</v>
      </c>
      <c r="B303" s="906" t="s">
        <v>1433</v>
      </c>
      <c r="C303" s="906">
        <v>29189</v>
      </c>
      <c r="D303" s="906" t="s">
        <v>1256</v>
      </c>
      <c r="E303" s="906" t="s">
        <v>1258</v>
      </c>
      <c r="F303" s="1015">
        <f t="shared" si="122"/>
        <v>0</v>
      </c>
      <c r="G303" s="1014">
        <f t="shared" si="123"/>
        <v>77</v>
      </c>
      <c r="H303" s="1014">
        <f t="shared" si="124"/>
        <v>39</v>
      </c>
      <c r="I303" s="1014">
        <f t="shared" si="125"/>
        <v>77</v>
      </c>
      <c r="J303" s="1013">
        <f t="shared" si="126"/>
        <v>39</v>
      </c>
      <c r="K303" s="1012">
        <f t="shared" si="127"/>
        <v>37.862868754626078</v>
      </c>
      <c r="L303" s="1011">
        <f t="shared" si="128"/>
        <v>4.7737212692701383E-2</v>
      </c>
    </row>
    <row r="304" spans="1:12">
      <c r="A304" s="906">
        <v>303</v>
      </c>
      <c r="B304" s="906" t="s">
        <v>1432</v>
      </c>
      <c r="C304" s="906">
        <v>29189</v>
      </c>
      <c r="D304" s="906" t="s">
        <v>1256</v>
      </c>
      <c r="E304" s="906" t="s">
        <v>1258</v>
      </c>
      <c r="F304" s="1015">
        <f t="shared" si="122"/>
        <v>0</v>
      </c>
      <c r="G304" s="1014">
        <f t="shared" si="123"/>
        <v>65</v>
      </c>
      <c r="H304" s="1014">
        <f t="shared" si="124"/>
        <v>41</v>
      </c>
      <c r="I304" s="1014">
        <f t="shared" si="125"/>
        <v>75</v>
      </c>
      <c r="J304" s="1013">
        <f t="shared" si="126"/>
        <v>32</v>
      </c>
      <c r="K304" s="1012" t="str">
        <f t="shared" si="127"/>
        <v/>
      </c>
      <c r="L304" s="1011">
        <f t="shared" si="128"/>
        <v>0.25466067349495247</v>
      </c>
    </row>
    <row r="305" spans="1:12">
      <c r="A305" s="906">
        <v>304</v>
      </c>
      <c r="B305" s="906" t="s">
        <v>1431</v>
      </c>
      <c r="C305" s="906">
        <v>65307</v>
      </c>
      <c r="D305" s="906" t="s">
        <v>1257</v>
      </c>
      <c r="E305" s="906" t="s">
        <v>1259</v>
      </c>
      <c r="F305" s="1015">
        <f t="shared" si="122"/>
        <v>0</v>
      </c>
      <c r="G305" s="1014">
        <f t="shared" si="123"/>
        <v>70.2</v>
      </c>
      <c r="H305" s="1014">
        <f t="shared" si="124"/>
        <v>47.3</v>
      </c>
      <c r="I305" s="1014">
        <f t="shared" si="125"/>
        <v>75.900000000000006</v>
      </c>
      <c r="J305" s="1013">
        <f t="shared" si="126"/>
        <v>46.7</v>
      </c>
      <c r="K305" s="1012">
        <f t="shared" si="127"/>
        <v>26.803716840015852</v>
      </c>
      <c r="L305" s="1011">
        <f t="shared" si="128"/>
        <v>7.0796840732193278E-2</v>
      </c>
    </row>
    <row r="306" spans="1:12">
      <c r="A306" s="906">
        <v>305</v>
      </c>
      <c r="B306" s="906" t="s">
        <v>1430</v>
      </c>
      <c r="C306" s="906">
        <v>29189</v>
      </c>
      <c r="D306" s="906" t="s">
        <v>1257</v>
      </c>
      <c r="E306" s="906" t="s">
        <v>1258</v>
      </c>
      <c r="F306" s="1015"/>
      <c r="G306" s="1014"/>
      <c r="H306" s="1014"/>
      <c r="I306" s="1014"/>
      <c r="J306" s="1013"/>
      <c r="K306" s="1012"/>
      <c r="L306" s="1011"/>
    </row>
    <row r="307" spans="1:12">
      <c r="A307" s="906">
        <v>306</v>
      </c>
      <c r="B307" s="906" t="s">
        <v>1429</v>
      </c>
      <c r="C307" s="906">
        <v>26696</v>
      </c>
      <c r="D307" s="906" t="s">
        <v>1257</v>
      </c>
      <c r="E307" s="906" t="s">
        <v>1259</v>
      </c>
      <c r="F307" s="1015"/>
      <c r="G307" s="1014"/>
      <c r="H307" s="1014"/>
      <c r="I307" s="1014"/>
      <c r="J307" s="1013"/>
      <c r="K307" s="1012"/>
      <c r="L307" s="1011"/>
    </row>
    <row r="308" spans="1:12">
      <c r="A308" s="906">
        <v>307</v>
      </c>
      <c r="B308" s="906" t="s">
        <v>1428</v>
      </c>
      <c r="C308" s="906">
        <v>29188</v>
      </c>
      <c r="D308" s="906" t="s">
        <v>1256</v>
      </c>
      <c r="E308" s="906" t="s">
        <v>1259</v>
      </c>
      <c r="F308" s="1015">
        <f t="shared" ref="F308:L309" si="129">O177</f>
        <v>0</v>
      </c>
      <c r="G308" s="1014">
        <f t="shared" si="129"/>
        <v>73</v>
      </c>
      <c r="H308" s="1014">
        <f t="shared" si="129"/>
        <v>46</v>
      </c>
      <c r="I308" s="1014">
        <f t="shared" si="129"/>
        <v>78</v>
      </c>
      <c r="J308" s="1013">
        <f t="shared" si="129"/>
        <v>46</v>
      </c>
      <c r="K308" s="1012" t="str">
        <f t="shared" si="129"/>
        <v/>
      </c>
      <c r="L308" s="1011">
        <f t="shared" si="129"/>
        <v>0.27856629710890629</v>
      </c>
    </row>
    <row r="309" spans="1:12">
      <c r="A309" s="906">
        <v>308</v>
      </c>
      <c r="B309" s="906" t="s">
        <v>1427</v>
      </c>
      <c r="C309" s="906">
        <v>29189</v>
      </c>
      <c r="D309" s="906" t="s">
        <v>1256</v>
      </c>
      <c r="E309" s="906" t="s">
        <v>1258</v>
      </c>
      <c r="F309" s="1015">
        <f t="shared" si="129"/>
        <v>0</v>
      </c>
      <c r="G309" s="1014">
        <f t="shared" si="129"/>
        <v>72</v>
      </c>
      <c r="H309" s="1014">
        <f t="shared" si="129"/>
        <v>35</v>
      </c>
      <c r="I309" s="1014">
        <f t="shared" si="129"/>
        <v>75</v>
      </c>
      <c r="J309" s="1013">
        <f t="shared" si="129"/>
        <v>35</v>
      </c>
      <c r="K309" s="1012">
        <f t="shared" si="129"/>
        <v>33.511714440642471</v>
      </c>
      <c r="L309" s="1011">
        <f t="shared" si="129"/>
        <v>0.22924664107485604</v>
      </c>
    </row>
    <row r="310" spans="1:12">
      <c r="A310" s="906">
        <v>309</v>
      </c>
      <c r="B310" s="906" t="s">
        <v>1426</v>
      </c>
      <c r="C310" s="906">
        <v>29189</v>
      </c>
      <c r="D310" s="906" t="s">
        <v>1256</v>
      </c>
      <c r="E310" s="906" t="s">
        <v>1259</v>
      </c>
      <c r="F310" s="1015"/>
      <c r="G310" s="1014"/>
      <c r="H310" s="1014"/>
      <c r="I310" s="1014"/>
      <c r="J310" s="1013"/>
      <c r="K310" s="1012"/>
      <c r="L310" s="1011"/>
    </row>
    <row r="311" spans="1:12">
      <c r="A311" s="906">
        <v>310</v>
      </c>
      <c r="B311" s="906" t="s">
        <v>1425</v>
      </c>
      <c r="C311" s="906">
        <v>41333</v>
      </c>
      <c r="D311" s="906" t="s">
        <v>1256</v>
      </c>
      <c r="E311" s="906" t="s">
        <v>1258</v>
      </c>
      <c r="F311" s="1015"/>
      <c r="G311" s="1014"/>
      <c r="H311" s="1014"/>
      <c r="I311" s="1014"/>
      <c r="J311" s="1013"/>
      <c r="K311" s="1012"/>
      <c r="L311" s="1011"/>
    </row>
    <row r="312" spans="1:12">
      <c r="A312" s="906">
        <v>311</v>
      </c>
      <c r="B312" s="906" t="s">
        <v>1424</v>
      </c>
      <c r="C312" s="906">
        <v>29189</v>
      </c>
      <c r="D312" s="906" t="s">
        <v>1256</v>
      </c>
      <c r="E312" s="906" t="s">
        <v>1258</v>
      </c>
      <c r="F312" s="1015"/>
      <c r="G312" s="1014"/>
      <c r="H312" s="1014"/>
      <c r="I312" s="1014"/>
      <c r="J312" s="1013"/>
      <c r="K312" s="1012"/>
      <c r="L312" s="1011"/>
    </row>
    <row r="313" spans="1:12">
      <c r="A313" s="906">
        <v>312</v>
      </c>
      <c r="B313" s="906" t="s">
        <v>1423</v>
      </c>
      <c r="C313" s="906">
        <v>29189</v>
      </c>
      <c r="D313" s="906" t="s">
        <v>1256</v>
      </c>
      <c r="E313" s="906" t="s">
        <v>1258</v>
      </c>
      <c r="F313" s="1015">
        <f t="shared" ref="F313:L313" si="130">O179</f>
        <v>3.628439117406701E-2</v>
      </c>
      <c r="G313" s="1014">
        <f t="shared" si="130"/>
        <v>65</v>
      </c>
      <c r="H313" s="1014">
        <f t="shared" si="130"/>
        <v>40</v>
      </c>
      <c r="I313" s="1014">
        <f t="shared" si="130"/>
        <v>68</v>
      </c>
      <c r="J313" s="1013">
        <f t="shared" si="130"/>
        <v>34</v>
      </c>
      <c r="K313" s="1012">
        <f t="shared" si="130"/>
        <v>32.310391334359899</v>
      </c>
      <c r="L313" s="1011">
        <f t="shared" si="130"/>
        <v>0.25445191927186389</v>
      </c>
    </row>
    <row r="314" spans="1:12">
      <c r="A314" s="906">
        <v>313</v>
      </c>
      <c r="B314" s="906" t="s">
        <v>1422</v>
      </c>
      <c r="C314" s="906">
        <v>29188</v>
      </c>
      <c r="D314" s="906" t="s">
        <v>1256</v>
      </c>
      <c r="E314" s="906" t="s">
        <v>1259</v>
      </c>
      <c r="F314" s="1015"/>
      <c r="G314" s="1014"/>
      <c r="H314" s="1014"/>
      <c r="I314" s="1014"/>
      <c r="J314" s="1013"/>
      <c r="K314" s="1012"/>
      <c r="L314" s="1011"/>
    </row>
    <row r="315" spans="1:12">
      <c r="A315" s="906">
        <v>314</v>
      </c>
      <c r="B315" s="906" t="s">
        <v>1422</v>
      </c>
      <c r="C315" s="906">
        <v>29189</v>
      </c>
      <c r="D315" s="906" t="s">
        <v>1256</v>
      </c>
      <c r="E315" s="906" t="s">
        <v>1259</v>
      </c>
      <c r="F315" s="1015"/>
      <c r="G315" s="1014"/>
      <c r="H315" s="1014"/>
      <c r="I315" s="1014"/>
      <c r="J315" s="1013"/>
      <c r="K315" s="1012"/>
      <c r="L315" s="1011"/>
    </row>
    <row r="316" spans="1:12">
      <c r="A316" s="906">
        <v>315</v>
      </c>
      <c r="B316" s="906" t="s">
        <v>1421</v>
      </c>
      <c r="C316" s="906">
        <v>29189</v>
      </c>
      <c r="D316" s="906" t="s">
        <v>1256</v>
      </c>
      <c r="E316" s="906" t="s">
        <v>1258</v>
      </c>
      <c r="F316" s="1015">
        <f t="shared" ref="F316:L318" si="131">O181</f>
        <v>0</v>
      </c>
      <c r="G316" s="1014">
        <f t="shared" si="131"/>
        <v>68</v>
      </c>
      <c r="H316" s="1014">
        <f t="shared" si="131"/>
        <v>36</v>
      </c>
      <c r="I316" s="1014">
        <f t="shared" si="131"/>
        <v>70</v>
      </c>
      <c r="J316" s="1013">
        <f t="shared" si="131"/>
        <v>33</v>
      </c>
      <c r="K316" s="1012">
        <f t="shared" si="131"/>
        <v>0</v>
      </c>
      <c r="L316" s="1011">
        <f t="shared" si="131"/>
        <v>0.26015151515151513</v>
      </c>
    </row>
    <row r="317" spans="1:12">
      <c r="A317" s="906">
        <v>316</v>
      </c>
      <c r="B317" s="906" t="s">
        <v>1420</v>
      </c>
      <c r="C317" s="906">
        <v>29189</v>
      </c>
      <c r="D317" s="906" t="s">
        <v>1256</v>
      </c>
      <c r="E317" s="906" t="s">
        <v>1258</v>
      </c>
      <c r="F317" s="1015">
        <f t="shared" si="131"/>
        <v>0</v>
      </c>
      <c r="G317" s="1014">
        <f t="shared" si="131"/>
        <v>66.099999999999994</v>
      </c>
      <c r="H317" s="1014">
        <f t="shared" si="131"/>
        <v>44</v>
      </c>
      <c r="I317" s="1014">
        <f t="shared" si="131"/>
        <v>69</v>
      </c>
      <c r="J317" s="1013">
        <f t="shared" si="131"/>
        <v>39.5</v>
      </c>
      <c r="K317" s="1012">
        <f t="shared" si="131"/>
        <v>27.789915231702551</v>
      </c>
      <c r="L317" s="1011">
        <f t="shared" si="131"/>
        <v>0.17671806501226486</v>
      </c>
    </row>
    <row r="318" spans="1:12">
      <c r="A318" s="906">
        <v>317</v>
      </c>
      <c r="B318" s="906" t="s">
        <v>1419</v>
      </c>
      <c r="C318" s="906">
        <v>29189</v>
      </c>
      <c r="D318" s="906" t="s">
        <v>1256</v>
      </c>
      <c r="E318" s="906" t="s">
        <v>1258</v>
      </c>
      <c r="F318" s="1015">
        <f t="shared" si="131"/>
        <v>3.3328752061572292E-3</v>
      </c>
      <c r="G318" s="1014">
        <f t="shared" si="131"/>
        <v>68</v>
      </c>
      <c r="H318" s="1014">
        <f t="shared" si="131"/>
        <v>34</v>
      </c>
      <c r="I318" s="1014">
        <f t="shared" si="131"/>
        <v>68</v>
      </c>
      <c r="J318" s="1013">
        <f t="shared" si="131"/>
        <v>32</v>
      </c>
      <c r="K318" s="1012">
        <f t="shared" si="131"/>
        <v>37.040916326142735</v>
      </c>
      <c r="L318" s="1011">
        <f t="shared" si="131"/>
        <v>0.25273209914848138</v>
      </c>
    </row>
    <row r="319" spans="1:12">
      <c r="A319" s="906">
        <v>318</v>
      </c>
      <c r="B319" s="906" t="s">
        <v>1418</v>
      </c>
      <c r="C319" s="906">
        <v>29188</v>
      </c>
      <c r="D319" s="906" t="s">
        <v>1256</v>
      </c>
      <c r="E319" s="906" t="s">
        <v>1259</v>
      </c>
      <c r="F319" s="1015"/>
      <c r="G319" s="1014"/>
      <c r="H319" s="1014"/>
      <c r="I319" s="1014"/>
      <c r="J319" s="1013"/>
      <c r="K319" s="1012"/>
      <c r="L319" s="1011"/>
    </row>
    <row r="320" spans="1:12">
      <c r="A320" s="906">
        <v>319</v>
      </c>
      <c r="B320" s="906" t="s">
        <v>1417</v>
      </c>
      <c r="C320" s="906">
        <v>29189</v>
      </c>
      <c r="D320" s="906" t="s">
        <v>1256</v>
      </c>
      <c r="E320" s="906" t="s">
        <v>1258</v>
      </c>
      <c r="F320" s="1015">
        <f t="shared" ref="F320:L321" si="132">O184</f>
        <v>1.2688216132485934E-2</v>
      </c>
      <c r="G320" s="1014">
        <f t="shared" si="132"/>
        <v>67</v>
      </c>
      <c r="H320" s="1014">
        <f t="shared" si="132"/>
        <v>46</v>
      </c>
      <c r="I320" s="1014">
        <f t="shared" si="132"/>
        <v>83</v>
      </c>
      <c r="J320" s="1013">
        <f t="shared" si="132"/>
        <v>41</v>
      </c>
      <c r="K320" s="1012">
        <f t="shared" si="132"/>
        <v>29.11144538321798</v>
      </c>
      <c r="L320" s="1011">
        <f t="shared" si="132"/>
        <v>0.3055235106824789</v>
      </c>
    </row>
    <row r="321" spans="1:12">
      <c r="A321" s="906">
        <v>320</v>
      </c>
      <c r="B321" s="906" t="s">
        <v>1416</v>
      </c>
      <c r="C321" s="906">
        <v>29189</v>
      </c>
      <c r="D321" s="906" t="s">
        <v>1256</v>
      </c>
      <c r="E321" s="906" t="s">
        <v>1258</v>
      </c>
      <c r="F321" s="1015">
        <f t="shared" si="132"/>
        <v>0</v>
      </c>
      <c r="G321" s="1014">
        <f t="shared" si="132"/>
        <v>70</v>
      </c>
      <c r="H321" s="1014">
        <f t="shared" si="132"/>
        <v>38</v>
      </c>
      <c r="I321" s="1014">
        <f t="shared" si="132"/>
        <v>74</v>
      </c>
      <c r="J321" s="1013">
        <f t="shared" si="132"/>
        <v>34</v>
      </c>
      <c r="K321" s="1012">
        <f t="shared" si="132"/>
        <v>37.892150655978803</v>
      </c>
      <c r="L321" s="1011">
        <f t="shared" si="132"/>
        <v>0.28466427189831445</v>
      </c>
    </row>
    <row r="322" spans="1:12">
      <c r="A322" s="906">
        <v>321</v>
      </c>
      <c r="B322" s="906" t="s">
        <v>1415</v>
      </c>
      <c r="C322" s="906">
        <v>29189</v>
      </c>
      <c r="D322" s="906" t="s">
        <v>1257</v>
      </c>
      <c r="E322" s="906" t="s">
        <v>1258</v>
      </c>
      <c r="F322" s="1015"/>
      <c r="G322" s="1014"/>
      <c r="H322" s="1014"/>
      <c r="I322" s="1014"/>
      <c r="J322" s="1013"/>
      <c r="K322" s="1012"/>
      <c r="L322" s="1011"/>
    </row>
    <row r="323" spans="1:12">
      <c r="A323" s="906">
        <v>322</v>
      </c>
      <c r="B323" s="906" t="s">
        <v>1415</v>
      </c>
      <c r="C323" s="906">
        <v>29189</v>
      </c>
      <c r="D323" s="906" t="s">
        <v>1256</v>
      </c>
      <c r="E323" s="906" t="s">
        <v>1258</v>
      </c>
      <c r="F323" s="1015">
        <f t="shared" ref="F323:L324" si="133">O186</f>
        <v>0</v>
      </c>
      <c r="G323" s="1014">
        <f t="shared" si="133"/>
        <v>65</v>
      </c>
      <c r="H323" s="1014">
        <f t="shared" si="133"/>
        <v>39</v>
      </c>
      <c r="I323" s="1014">
        <f t="shared" si="133"/>
        <v>75</v>
      </c>
      <c r="J323" s="1013">
        <f t="shared" si="133"/>
        <v>37</v>
      </c>
      <c r="K323" s="1012" t="str">
        <f t="shared" si="133"/>
        <v/>
      </c>
      <c r="L323" s="1011">
        <f t="shared" si="133"/>
        <v>0.22543422128847049</v>
      </c>
    </row>
    <row r="324" spans="1:12">
      <c r="A324" s="906">
        <v>323</v>
      </c>
      <c r="B324" s="906" t="s">
        <v>1414</v>
      </c>
      <c r="C324" s="906">
        <v>29189</v>
      </c>
      <c r="D324" s="906" t="s">
        <v>1256</v>
      </c>
      <c r="E324" s="906" t="s">
        <v>1258</v>
      </c>
      <c r="F324" s="1015">
        <f t="shared" si="133"/>
        <v>0</v>
      </c>
      <c r="G324" s="1014">
        <f t="shared" si="133"/>
        <v>72</v>
      </c>
      <c r="H324" s="1014">
        <f t="shared" si="133"/>
        <v>37</v>
      </c>
      <c r="I324" s="1014">
        <f t="shared" si="133"/>
        <v>68</v>
      </c>
      <c r="J324" s="1013">
        <f t="shared" si="133"/>
        <v>33</v>
      </c>
      <c r="K324" s="1012">
        <f t="shared" si="133"/>
        <v>34.04097488484021</v>
      </c>
      <c r="L324" s="1011">
        <f t="shared" si="133"/>
        <v>0.22778636344302505</v>
      </c>
    </row>
    <row r="325" spans="1:12" ht="16">
      <c r="A325" s="906">
        <v>324</v>
      </c>
      <c r="B325" s="906" t="s">
        <v>1413</v>
      </c>
      <c r="C325" s="906">
        <v>29189</v>
      </c>
      <c r="D325" s="906" t="s">
        <v>1256</v>
      </c>
      <c r="E325" s="906" t="s">
        <v>1258</v>
      </c>
      <c r="F325" s="1015">
        <f t="shared" ref="F325:K325" si="134">O188</f>
        <v>0</v>
      </c>
      <c r="G325" s="1014">
        <f t="shared" si="134"/>
        <v>63</v>
      </c>
      <c r="H325" s="1014">
        <f t="shared" si="134"/>
        <v>38</v>
      </c>
      <c r="I325" s="1014">
        <f t="shared" si="134"/>
        <v>70</v>
      </c>
      <c r="J325" s="1013">
        <f t="shared" si="134"/>
        <v>36</v>
      </c>
      <c r="K325" s="1012">
        <f t="shared" si="134"/>
        <v>0</v>
      </c>
      <c r="L325" s="1016">
        <v>0.22800028617798151</v>
      </c>
    </row>
    <row r="326" spans="1:12">
      <c r="A326" s="906">
        <v>325</v>
      </c>
      <c r="B326" s="906" t="s">
        <v>1412</v>
      </c>
      <c r="C326" s="906">
        <v>29189</v>
      </c>
      <c r="D326" s="906" t="s">
        <v>1256</v>
      </c>
      <c r="E326" s="906" t="s">
        <v>1258</v>
      </c>
      <c r="F326" s="1015"/>
      <c r="G326" s="1014"/>
      <c r="H326" s="1014"/>
      <c r="I326" s="1014"/>
      <c r="J326" s="1013"/>
      <c r="K326" s="1012"/>
      <c r="L326" s="1011"/>
    </row>
    <row r="327" spans="1:12">
      <c r="A327" s="906">
        <v>326</v>
      </c>
      <c r="B327" s="906" t="s">
        <v>1411</v>
      </c>
      <c r="C327" s="906">
        <v>29189</v>
      </c>
      <c r="D327" s="906" t="s">
        <v>1256</v>
      </c>
      <c r="E327" s="906" t="s">
        <v>1258</v>
      </c>
      <c r="F327" s="1015">
        <f t="shared" ref="F327:L327" si="135">O190</f>
        <v>0</v>
      </c>
      <c r="G327" s="1014">
        <f t="shared" si="135"/>
        <v>80</v>
      </c>
      <c r="H327" s="1014">
        <f t="shared" si="135"/>
        <v>37</v>
      </c>
      <c r="I327" s="1014">
        <f t="shared" si="135"/>
        <v>89</v>
      </c>
      <c r="J327" s="1013">
        <f t="shared" si="135"/>
        <v>36</v>
      </c>
      <c r="K327" s="1012" t="str">
        <f t="shared" si="135"/>
        <v/>
      </c>
      <c r="L327" s="1011">
        <f t="shared" si="135"/>
        <v>0.25266230607059842</v>
      </c>
    </row>
    <row r="328" spans="1:12">
      <c r="A328" s="906">
        <v>327</v>
      </c>
      <c r="B328" s="906" t="s">
        <v>1410</v>
      </c>
      <c r="C328" s="906">
        <v>29189</v>
      </c>
      <c r="D328" s="906" t="s">
        <v>1256</v>
      </c>
      <c r="E328" s="906" t="s">
        <v>1258</v>
      </c>
      <c r="F328" s="1015"/>
      <c r="G328" s="1014"/>
      <c r="H328" s="1014"/>
      <c r="I328" s="1014"/>
      <c r="J328" s="1013"/>
      <c r="K328" s="1012"/>
      <c r="L328" s="1011"/>
    </row>
    <row r="329" spans="1:12">
      <c r="A329" s="906">
        <v>328</v>
      </c>
      <c r="B329" s="906" t="s">
        <v>1409</v>
      </c>
      <c r="C329" s="906">
        <v>29188</v>
      </c>
      <c r="D329" s="906" t="s">
        <v>1256</v>
      </c>
      <c r="E329" s="906" t="s">
        <v>1259</v>
      </c>
      <c r="F329" s="1015">
        <f t="shared" ref="F329:L329" si="136">O192</f>
        <v>1.9295246130958989E-2</v>
      </c>
      <c r="G329" s="1014">
        <f t="shared" si="136"/>
        <v>70</v>
      </c>
      <c r="H329" s="1014">
        <f t="shared" si="136"/>
        <v>47</v>
      </c>
      <c r="I329" s="1014">
        <f t="shared" si="136"/>
        <v>82</v>
      </c>
      <c r="J329" s="1013">
        <f t="shared" si="136"/>
        <v>44</v>
      </c>
      <c r="K329" s="1012">
        <f t="shared" si="136"/>
        <v>35.799021344934445</v>
      </c>
      <c r="L329" s="1011">
        <f t="shared" si="136"/>
        <v>0.28027078427821045</v>
      </c>
    </row>
    <row r="330" spans="1:12">
      <c r="A330" s="906">
        <v>329</v>
      </c>
      <c r="B330" s="906" t="s">
        <v>1408</v>
      </c>
      <c r="C330" s="906">
        <v>29189</v>
      </c>
      <c r="D330" s="906" t="s">
        <v>1256</v>
      </c>
      <c r="E330" s="906" t="s">
        <v>1258</v>
      </c>
      <c r="F330" s="1015"/>
      <c r="G330" s="1014"/>
      <c r="H330" s="1014"/>
      <c r="I330" s="1014"/>
      <c r="J330" s="1013"/>
      <c r="K330" s="1012"/>
      <c r="L330" s="1011"/>
    </row>
    <row r="331" spans="1:12">
      <c r="A331" s="906">
        <v>330</v>
      </c>
      <c r="B331" s="906" t="s">
        <v>1407</v>
      </c>
      <c r="C331" s="906">
        <v>29189</v>
      </c>
      <c r="D331" s="906" t="s">
        <v>1256</v>
      </c>
      <c r="E331" s="906" t="s">
        <v>1259</v>
      </c>
      <c r="F331" s="1015"/>
      <c r="G331" s="1014"/>
      <c r="H331" s="1014"/>
      <c r="I331" s="1014"/>
      <c r="J331" s="1013"/>
      <c r="K331" s="1012"/>
      <c r="L331" s="1011"/>
    </row>
    <row r="332" spans="1:12">
      <c r="A332" s="906">
        <v>331</v>
      </c>
      <c r="B332" s="906" t="s">
        <v>1406</v>
      </c>
      <c r="C332" s="906">
        <v>68534</v>
      </c>
      <c r="D332" s="906" t="s">
        <v>1256</v>
      </c>
      <c r="E332" s="906" t="s">
        <v>1259</v>
      </c>
      <c r="F332" s="1015">
        <f t="shared" ref="F332:L333" si="137">O193</f>
        <v>0</v>
      </c>
      <c r="G332" s="1014">
        <f t="shared" si="137"/>
        <v>68</v>
      </c>
      <c r="H332" s="1014">
        <f t="shared" si="137"/>
        <v>45</v>
      </c>
      <c r="I332" s="1014">
        <f t="shared" si="137"/>
        <v>73</v>
      </c>
      <c r="J332" s="1013">
        <f t="shared" si="137"/>
        <v>41</v>
      </c>
      <c r="K332" s="1012">
        <f t="shared" si="137"/>
        <v>31.864698078790894</v>
      </c>
      <c r="L332" s="1011">
        <f t="shared" si="137"/>
        <v>0.22919297348272941</v>
      </c>
    </row>
    <row r="333" spans="1:12">
      <c r="A333" s="906">
        <v>332</v>
      </c>
      <c r="B333" s="906" t="s">
        <v>1405</v>
      </c>
      <c r="C333" s="906">
        <v>29189</v>
      </c>
      <c r="D333" s="906" t="s">
        <v>1256</v>
      </c>
      <c r="E333" s="906" t="s">
        <v>1258</v>
      </c>
      <c r="F333" s="1015">
        <f t="shared" si="137"/>
        <v>7.8280671790492452E-3</v>
      </c>
      <c r="G333" s="1014">
        <f t="shared" si="137"/>
        <v>65</v>
      </c>
      <c r="H333" s="1014">
        <f t="shared" si="137"/>
        <v>39</v>
      </c>
      <c r="I333" s="1014">
        <f t="shared" si="137"/>
        <v>65</v>
      </c>
      <c r="J333" s="1013">
        <f t="shared" si="137"/>
        <v>32</v>
      </c>
      <c r="K333" s="1012">
        <f t="shared" si="137"/>
        <v>30.509211195928753</v>
      </c>
      <c r="L333" s="1011">
        <f t="shared" si="137"/>
        <v>0.28252761440252472</v>
      </c>
    </row>
    <row r="334" spans="1:12">
      <c r="A334" s="906">
        <v>333</v>
      </c>
      <c r="B334" s="906" t="s">
        <v>1404</v>
      </c>
      <c r="C334" s="906">
        <v>29189</v>
      </c>
      <c r="D334" s="906" t="s">
        <v>1256</v>
      </c>
      <c r="E334" s="906" t="s">
        <v>1258</v>
      </c>
      <c r="F334" s="1015"/>
      <c r="G334" s="1014"/>
      <c r="H334" s="1014"/>
      <c r="I334" s="1014"/>
      <c r="J334" s="1013"/>
      <c r="K334" s="1012"/>
      <c r="L334" s="1011"/>
    </row>
    <row r="335" spans="1:12">
      <c r="A335" s="906">
        <v>334</v>
      </c>
      <c r="B335" s="906" t="s">
        <v>1403</v>
      </c>
      <c r="C335" s="906">
        <v>29189</v>
      </c>
      <c r="D335" s="906" t="s">
        <v>1256</v>
      </c>
      <c r="E335" s="906" t="s">
        <v>1259</v>
      </c>
      <c r="F335" s="1015"/>
      <c r="G335" s="1014"/>
      <c r="H335" s="1014"/>
      <c r="I335" s="1014"/>
      <c r="J335" s="1013"/>
      <c r="K335" s="1012"/>
      <c r="L335" s="1011"/>
    </row>
    <row r="336" spans="1:12">
      <c r="A336" s="906">
        <v>335</v>
      </c>
      <c r="B336" s="906" t="s">
        <v>1402</v>
      </c>
      <c r="C336" s="906">
        <v>29189</v>
      </c>
      <c r="D336" s="906" t="s">
        <v>1256</v>
      </c>
      <c r="E336" s="906" t="s">
        <v>1259</v>
      </c>
      <c r="F336" s="1015"/>
      <c r="G336" s="1014"/>
      <c r="H336" s="1014"/>
      <c r="I336" s="1014"/>
      <c r="J336" s="1013"/>
      <c r="K336" s="1012"/>
      <c r="L336" s="1011"/>
    </row>
    <row r="337" spans="1:12">
      <c r="A337" s="906">
        <v>336</v>
      </c>
      <c r="B337" s="906" t="s">
        <v>1401</v>
      </c>
      <c r="C337" s="906">
        <v>29189</v>
      </c>
      <c r="D337" s="906" t="s">
        <v>1256</v>
      </c>
      <c r="E337" s="906" t="s">
        <v>1258</v>
      </c>
      <c r="F337" s="1015"/>
      <c r="G337" s="1014"/>
      <c r="H337" s="1014"/>
      <c r="I337" s="1014"/>
      <c r="J337" s="1013"/>
      <c r="K337" s="1012"/>
      <c r="L337" s="1011"/>
    </row>
    <row r="338" spans="1:12">
      <c r="A338" s="906">
        <v>337</v>
      </c>
      <c r="B338" s="906" t="s">
        <v>1400</v>
      </c>
      <c r="C338" s="906">
        <v>29189</v>
      </c>
      <c r="D338" s="906" t="s">
        <v>1256</v>
      </c>
      <c r="E338" s="906" t="s">
        <v>1258</v>
      </c>
      <c r="F338" s="1015"/>
      <c r="G338" s="1014"/>
      <c r="H338" s="1014"/>
      <c r="I338" s="1014"/>
      <c r="J338" s="1013"/>
      <c r="K338" s="1012"/>
      <c r="L338" s="1011"/>
    </row>
    <row r="339" spans="1:12">
      <c r="A339" s="906">
        <v>338</v>
      </c>
      <c r="B339" s="906" t="s">
        <v>1399</v>
      </c>
      <c r="C339" s="906">
        <v>29189</v>
      </c>
      <c r="D339" s="906" t="s">
        <v>1256</v>
      </c>
      <c r="E339" s="906" t="s">
        <v>1258</v>
      </c>
      <c r="F339" s="1015">
        <f t="shared" ref="F339:L341" si="138">O195</f>
        <v>0</v>
      </c>
      <c r="G339" s="1014">
        <f t="shared" si="138"/>
        <v>70</v>
      </c>
      <c r="H339" s="1014">
        <f t="shared" si="138"/>
        <v>35</v>
      </c>
      <c r="I339" s="1014">
        <f t="shared" si="138"/>
        <v>70</v>
      </c>
      <c r="J339" s="1013">
        <f t="shared" si="138"/>
        <v>31</v>
      </c>
      <c r="K339" s="1012">
        <f t="shared" si="138"/>
        <v>36.810123456790123</v>
      </c>
      <c r="L339" s="1011">
        <f t="shared" si="138"/>
        <v>0.24733198730891259</v>
      </c>
    </row>
    <row r="340" spans="1:12">
      <c r="A340" s="906">
        <v>339</v>
      </c>
      <c r="B340" s="906" t="s">
        <v>1398</v>
      </c>
      <c r="C340" s="906">
        <v>29189</v>
      </c>
      <c r="D340" s="906" t="s">
        <v>1256</v>
      </c>
      <c r="E340" s="906" t="s">
        <v>1258</v>
      </c>
      <c r="F340" s="1015">
        <f t="shared" si="138"/>
        <v>0</v>
      </c>
      <c r="G340" s="1014">
        <f t="shared" si="138"/>
        <v>68.5</v>
      </c>
      <c r="H340" s="1014">
        <f t="shared" si="138"/>
        <v>41</v>
      </c>
      <c r="I340" s="1014">
        <f t="shared" si="138"/>
        <v>72</v>
      </c>
      <c r="J340" s="1013">
        <f t="shared" si="138"/>
        <v>35</v>
      </c>
      <c r="K340" s="1012">
        <f t="shared" si="138"/>
        <v>38.37406</v>
      </c>
      <c r="L340" s="1011">
        <f t="shared" si="138"/>
        <v>0.23754883724404802</v>
      </c>
    </row>
    <row r="341" spans="1:12">
      <c r="A341" s="906">
        <v>340</v>
      </c>
      <c r="B341" s="906" t="s">
        <v>1397</v>
      </c>
      <c r="C341" s="906">
        <v>29189</v>
      </c>
      <c r="D341" s="906" t="s">
        <v>1256</v>
      </c>
      <c r="E341" s="906" t="s">
        <v>1258</v>
      </c>
      <c r="F341" s="1015">
        <f t="shared" si="138"/>
        <v>1.1500633141945221E-2</v>
      </c>
      <c r="G341" s="1014">
        <f t="shared" si="138"/>
        <v>69</v>
      </c>
      <c r="H341" s="1014">
        <f t="shared" si="138"/>
        <v>0</v>
      </c>
      <c r="I341" s="1014">
        <f t="shared" si="138"/>
        <v>72</v>
      </c>
      <c r="J341" s="1013">
        <f t="shared" si="138"/>
        <v>0</v>
      </c>
      <c r="K341" s="1012" t="str">
        <f t="shared" si="138"/>
        <v/>
      </c>
      <c r="L341" s="1011">
        <f t="shared" si="138"/>
        <v>0.23712841750605412</v>
      </c>
    </row>
    <row r="342" spans="1:12" ht="16">
      <c r="A342" s="906">
        <v>341</v>
      </c>
      <c r="B342" s="906" t="s">
        <v>1396</v>
      </c>
      <c r="C342" s="906">
        <v>29189</v>
      </c>
      <c r="D342" s="906" t="s">
        <v>1256</v>
      </c>
      <c r="E342" s="906" t="s">
        <v>1259</v>
      </c>
      <c r="F342" s="1015">
        <f t="shared" ref="F342:K343" si="139">O198</f>
        <v>0</v>
      </c>
      <c r="G342" s="1014">
        <f t="shared" si="139"/>
        <v>72</v>
      </c>
      <c r="H342" s="1014">
        <f t="shared" si="139"/>
        <v>41</v>
      </c>
      <c r="I342" s="1014">
        <f t="shared" si="139"/>
        <v>88</v>
      </c>
      <c r="J342" s="1013">
        <f t="shared" si="139"/>
        <v>39</v>
      </c>
      <c r="K342" s="1012">
        <f t="shared" si="139"/>
        <v>0</v>
      </c>
      <c r="L342" s="1016">
        <v>0.22800028617798151</v>
      </c>
    </row>
    <row r="343" spans="1:12">
      <c r="A343" s="906">
        <v>342</v>
      </c>
      <c r="B343" s="906" t="s">
        <v>1395</v>
      </c>
      <c r="C343" s="906">
        <v>29189</v>
      </c>
      <c r="D343" s="906" t="s">
        <v>1256</v>
      </c>
      <c r="E343" s="906" t="s">
        <v>1258</v>
      </c>
      <c r="F343" s="1015">
        <f t="shared" si="139"/>
        <v>0</v>
      </c>
      <c r="G343" s="1014">
        <f t="shared" si="139"/>
        <v>85</v>
      </c>
      <c r="H343" s="1014">
        <f t="shared" si="139"/>
        <v>45</v>
      </c>
      <c r="I343" s="1014">
        <f t="shared" si="139"/>
        <v>85</v>
      </c>
      <c r="J343" s="1013">
        <f t="shared" si="139"/>
        <v>45</v>
      </c>
      <c r="K343" s="1012" t="str">
        <f t="shared" si="139"/>
        <v/>
      </c>
      <c r="L343" s="1011">
        <f>U199</f>
        <v>0.22411913419097065</v>
      </c>
    </row>
    <row r="344" spans="1:12">
      <c r="A344" s="906">
        <v>343</v>
      </c>
      <c r="B344" s="906" t="s">
        <v>1394</v>
      </c>
      <c r="C344" s="906">
        <v>29189</v>
      </c>
      <c r="D344" s="906" t="s">
        <v>1257</v>
      </c>
      <c r="E344" s="906" t="s">
        <v>1259</v>
      </c>
      <c r="F344" s="1015"/>
      <c r="G344" s="1014"/>
      <c r="H344" s="1014"/>
      <c r="I344" s="1014"/>
      <c r="J344" s="1013"/>
      <c r="K344" s="1012"/>
      <c r="L344" s="1011"/>
    </row>
    <row r="345" spans="1:12">
      <c r="A345" s="906">
        <v>344</v>
      </c>
      <c r="B345" s="906" t="s">
        <v>1393</v>
      </c>
      <c r="C345" s="906">
        <v>29188</v>
      </c>
      <c r="D345" s="906" t="s">
        <v>1256</v>
      </c>
      <c r="E345" s="906" t="s">
        <v>1259</v>
      </c>
      <c r="F345" s="1015">
        <f t="shared" ref="F345:L347" si="140">O200</f>
        <v>2.6783337769496939E-2</v>
      </c>
      <c r="G345" s="1014">
        <f t="shared" si="140"/>
        <v>71.2</v>
      </c>
      <c r="H345" s="1014">
        <f t="shared" si="140"/>
        <v>44.4</v>
      </c>
      <c r="I345" s="1014">
        <f t="shared" si="140"/>
        <v>76.7</v>
      </c>
      <c r="J345" s="1013">
        <f t="shared" si="140"/>
        <v>37.6</v>
      </c>
      <c r="K345" s="1012">
        <f t="shared" si="140"/>
        <v>46.516443384276855</v>
      </c>
      <c r="L345" s="1011">
        <f t="shared" si="140"/>
        <v>0.33448429113534578</v>
      </c>
    </row>
    <row r="346" spans="1:12">
      <c r="A346" s="906">
        <v>345</v>
      </c>
      <c r="B346" s="906" t="s">
        <v>1392</v>
      </c>
      <c r="C346" s="906">
        <v>29188</v>
      </c>
      <c r="D346" s="906" t="s">
        <v>1256</v>
      </c>
      <c r="E346" s="906" t="s">
        <v>1258</v>
      </c>
      <c r="F346" s="1015">
        <f t="shared" si="140"/>
        <v>0</v>
      </c>
      <c r="G346" s="1014">
        <f t="shared" si="140"/>
        <v>80</v>
      </c>
      <c r="H346" s="1014">
        <f t="shared" si="140"/>
        <v>40</v>
      </c>
      <c r="I346" s="1014">
        <f t="shared" si="140"/>
        <v>80</v>
      </c>
      <c r="J346" s="1013">
        <f t="shared" si="140"/>
        <v>38</v>
      </c>
      <c r="K346" s="1012" t="str">
        <f t="shared" si="140"/>
        <v/>
      </c>
      <c r="L346" s="1011">
        <f t="shared" si="140"/>
        <v>0.42861396949343217</v>
      </c>
    </row>
    <row r="347" spans="1:12">
      <c r="A347" s="906">
        <v>346</v>
      </c>
      <c r="B347" s="906" t="s">
        <v>1391</v>
      </c>
      <c r="C347" s="906">
        <v>29189</v>
      </c>
      <c r="D347" s="906" t="s">
        <v>1256</v>
      </c>
      <c r="E347" s="906" t="s">
        <v>1258</v>
      </c>
      <c r="F347" s="1015">
        <f t="shared" si="140"/>
        <v>0</v>
      </c>
      <c r="G347" s="1014">
        <f t="shared" si="140"/>
        <v>66</v>
      </c>
      <c r="H347" s="1014">
        <f t="shared" si="140"/>
        <v>43</v>
      </c>
      <c r="I347" s="1014">
        <f t="shared" si="140"/>
        <v>75</v>
      </c>
      <c r="J347" s="1013">
        <f t="shared" si="140"/>
        <v>34</v>
      </c>
      <c r="K347" s="1012">
        <f t="shared" si="140"/>
        <v>33.189646441843678</v>
      </c>
      <c r="L347" s="1011">
        <f t="shared" si="140"/>
        <v>0.27482968574272526</v>
      </c>
    </row>
    <row r="348" spans="1:12">
      <c r="A348" s="906">
        <v>347</v>
      </c>
      <c r="B348" s="906" t="s">
        <v>1390</v>
      </c>
      <c r="C348" s="906">
        <v>29189</v>
      </c>
      <c r="D348" s="906" t="s">
        <v>1256</v>
      </c>
      <c r="E348" s="906" t="s">
        <v>1258</v>
      </c>
      <c r="F348" s="1015"/>
      <c r="G348" s="1014"/>
      <c r="H348" s="1014"/>
      <c r="I348" s="1014"/>
      <c r="J348" s="1013"/>
      <c r="K348" s="1012"/>
      <c r="L348" s="1011"/>
    </row>
    <row r="349" spans="1:12">
      <c r="A349" s="906">
        <v>348</v>
      </c>
      <c r="B349" s="906" t="s">
        <v>1389</v>
      </c>
      <c r="C349" s="906">
        <v>29189</v>
      </c>
      <c r="D349" s="906" t="s">
        <v>1256</v>
      </c>
      <c r="E349" s="906" t="s">
        <v>1258</v>
      </c>
      <c r="F349" s="1015">
        <f t="shared" ref="F349:L350" si="141">O203</f>
        <v>0</v>
      </c>
      <c r="G349" s="1014">
        <f t="shared" si="141"/>
        <v>79.430000000000007</v>
      </c>
      <c r="H349" s="1014">
        <f t="shared" si="141"/>
        <v>46.72</v>
      </c>
      <c r="I349" s="1014">
        <f t="shared" si="141"/>
        <v>80.959999999999994</v>
      </c>
      <c r="J349" s="1013">
        <f t="shared" si="141"/>
        <v>41.73</v>
      </c>
      <c r="K349" s="1012" t="str">
        <f t="shared" si="141"/>
        <v/>
      </c>
      <c r="L349" s="1011">
        <f t="shared" si="141"/>
        <v>0.24484052532833017</v>
      </c>
    </row>
    <row r="350" spans="1:12">
      <c r="A350" s="906">
        <v>349</v>
      </c>
      <c r="B350" s="906" t="s">
        <v>1388</v>
      </c>
      <c r="C350" s="906">
        <v>29189</v>
      </c>
      <c r="D350" s="906" t="s">
        <v>1256</v>
      </c>
      <c r="E350" s="906" t="s">
        <v>1258</v>
      </c>
      <c r="F350" s="1015">
        <f t="shared" si="141"/>
        <v>2.081651726921254E-3</v>
      </c>
      <c r="G350" s="1014">
        <f t="shared" si="141"/>
        <v>71</v>
      </c>
      <c r="H350" s="1014">
        <f t="shared" si="141"/>
        <v>39</v>
      </c>
      <c r="I350" s="1014">
        <f t="shared" si="141"/>
        <v>75</v>
      </c>
      <c r="J350" s="1013">
        <f t="shared" si="141"/>
        <v>39</v>
      </c>
      <c r="K350" s="1012" t="str">
        <f t="shared" si="141"/>
        <v/>
      </c>
      <c r="L350" s="1011">
        <f t="shared" si="141"/>
        <v>0.31176387115084431</v>
      </c>
    </row>
    <row r="351" spans="1:12">
      <c r="A351" s="906">
        <v>350</v>
      </c>
      <c r="B351" s="906" t="s">
        <v>1387</v>
      </c>
      <c r="C351" s="906">
        <v>29189</v>
      </c>
      <c r="D351" s="906" t="s">
        <v>1256</v>
      </c>
      <c r="E351" s="906" t="s">
        <v>1258</v>
      </c>
      <c r="F351" s="1015">
        <f t="shared" ref="F351:K351" si="142">O205</f>
        <v>4.4325885514862207E-3</v>
      </c>
      <c r="G351" s="1014">
        <f t="shared" si="142"/>
        <v>65.5</v>
      </c>
      <c r="H351" s="1014">
        <f t="shared" si="142"/>
        <v>35.5</v>
      </c>
      <c r="I351" s="1014">
        <f t="shared" si="142"/>
        <v>65.5</v>
      </c>
      <c r="J351" s="1013">
        <f t="shared" si="142"/>
        <v>35.5</v>
      </c>
      <c r="K351" s="1012">
        <f t="shared" si="142"/>
        <v>31.893521451711237</v>
      </c>
      <c r="L351" s="1017">
        <v>0.22800028617798151</v>
      </c>
    </row>
    <row r="352" spans="1:12">
      <c r="A352" s="906">
        <v>351</v>
      </c>
      <c r="B352" s="906" t="s">
        <v>1386</v>
      </c>
      <c r="C352" s="906">
        <v>29189</v>
      </c>
      <c r="D352" s="906" t="s">
        <v>1256</v>
      </c>
      <c r="E352" s="906" t="s">
        <v>1258</v>
      </c>
      <c r="F352" s="1015"/>
      <c r="G352" s="1014"/>
      <c r="H352" s="1014"/>
      <c r="I352" s="1014"/>
      <c r="J352" s="1013"/>
      <c r="K352" s="1012"/>
      <c r="L352" s="1011"/>
    </row>
    <row r="353" spans="1:12">
      <c r="A353" s="906">
        <v>352</v>
      </c>
      <c r="B353" s="906" t="s">
        <v>1385</v>
      </c>
      <c r="C353" s="906">
        <v>29189</v>
      </c>
      <c r="D353" s="906" t="s">
        <v>1256</v>
      </c>
      <c r="E353" s="906" t="s">
        <v>1258</v>
      </c>
      <c r="F353" s="1015">
        <f t="shared" ref="F353:L353" si="143">O206</f>
        <v>0</v>
      </c>
      <c r="G353" s="1014">
        <f t="shared" si="143"/>
        <v>68</v>
      </c>
      <c r="H353" s="1014">
        <f t="shared" si="143"/>
        <v>42</v>
      </c>
      <c r="I353" s="1014">
        <f t="shared" si="143"/>
        <v>73</v>
      </c>
      <c r="J353" s="1013">
        <f t="shared" si="143"/>
        <v>39</v>
      </c>
      <c r="K353" s="1012" t="str">
        <f t="shared" si="143"/>
        <v/>
      </c>
      <c r="L353" s="1011">
        <f t="shared" si="143"/>
        <v>0.14821221131063564</v>
      </c>
    </row>
    <row r="354" spans="1:12">
      <c r="A354" s="906">
        <v>353</v>
      </c>
      <c r="B354" s="906" t="s">
        <v>1384</v>
      </c>
      <c r="C354" s="906">
        <v>29189</v>
      </c>
      <c r="D354" s="906" t="s">
        <v>1256</v>
      </c>
      <c r="E354" s="906" t="s">
        <v>1258</v>
      </c>
      <c r="F354" s="1015"/>
      <c r="G354" s="1014"/>
      <c r="H354" s="1014"/>
      <c r="I354" s="1014"/>
      <c r="J354" s="1013"/>
      <c r="K354" s="1012"/>
      <c r="L354" s="1011"/>
    </row>
    <row r="355" spans="1:12">
      <c r="A355" s="906">
        <v>354</v>
      </c>
      <c r="B355" s="906" t="s">
        <v>1383</v>
      </c>
      <c r="C355" s="906">
        <v>29189</v>
      </c>
      <c r="D355" s="906" t="s">
        <v>1256</v>
      </c>
      <c r="E355" s="906" t="s">
        <v>1258</v>
      </c>
      <c r="F355" s="1015">
        <f t="shared" ref="F355:L355" si="144">O207</f>
        <v>1.7211703958691909E-2</v>
      </c>
      <c r="G355" s="1014">
        <f t="shared" si="144"/>
        <v>70</v>
      </c>
      <c r="H355" s="1014">
        <f t="shared" si="144"/>
        <v>45</v>
      </c>
      <c r="I355" s="1014">
        <f t="shared" si="144"/>
        <v>75</v>
      </c>
      <c r="J355" s="1013">
        <f t="shared" si="144"/>
        <v>40</v>
      </c>
      <c r="K355" s="1012">
        <f t="shared" si="144"/>
        <v>35.546450856340392</v>
      </c>
      <c r="L355" s="1011">
        <f t="shared" si="144"/>
        <v>0.43957968476357268</v>
      </c>
    </row>
    <row r="356" spans="1:12" ht="16">
      <c r="A356" s="906">
        <v>355</v>
      </c>
      <c r="B356" s="906" t="s">
        <v>1382</v>
      </c>
      <c r="C356" s="906">
        <v>29189</v>
      </c>
      <c r="D356" s="906" t="s">
        <v>1256</v>
      </c>
      <c r="E356" s="906" t="s">
        <v>1258</v>
      </c>
      <c r="F356" s="1015">
        <f t="shared" ref="F356:K356" si="145">O208</f>
        <v>0</v>
      </c>
      <c r="G356" s="1014">
        <f t="shared" si="145"/>
        <v>67</v>
      </c>
      <c r="H356" s="1014">
        <f t="shared" si="145"/>
        <v>40</v>
      </c>
      <c r="I356" s="1014">
        <f t="shared" si="145"/>
        <v>80</v>
      </c>
      <c r="J356" s="1013">
        <f t="shared" si="145"/>
        <v>40</v>
      </c>
      <c r="K356" s="1012" t="str">
        <f t="shared" si="145"/>
        <v/>
      </c>
      <c r="L356" s="1016">
        <v>0.22800028617798151</v>
      </c>
    </row>
    <row r="357" spans="1:12">
      <c r="A357" s="906">
        <v>356</v>
      </c>
      <c r="B357" s="906" t="s">
        <v>1381</v>
      </c>
      <c r="C357" s="906">
        <v>29189</v>
      </c>
      <c r="D357" s="906" t="s">
        <v>1256</v>
      </c>
      <c r="E357" s="906" t="s">
        <v>1258</v>
      </c>
      <c r="F357" s="1015"/>
      <c r="G357" s="1014"/>
      <c r="H357" s="1014"/>
      <c r="I357" s="1014"/>
      <c r="J357" s="1013"/>
      <c r="K357" s="1012"/>
      <c r="L357" s="1011"/>
    </row>
    <row r="358" spans="1:12">
      <c r="A358" s="906">
        <v>357</v>
      </c>
      <c r="B358" s="906" t="s">
        <v>1380</v>
      </c>
      <c r="C358" s="906">
        <v>29189</v>
      </c>
      <c r="D358" s="906" t="s">
        <v>1256</v>
      </c>
      <c r="E358" s="906" t="s">
        <v>1258</v>
      </c>
      <c r="F358" s="1015">
        <f t="shared" ref="F358:L359" si="146">O209</f>
        <v>0</v>
      </c>
      <c r="G358" s="1014">
        <f t="shared" si="146"/>
        <v>73</v>
      </c>
      <c r="H358" s="1014">
        <f t="shared" si="146"/>
        <v>38</v>
      </c>
      <c r="I358" s="1014">
        <f t="shared" si="146"/>
        <v>75</v>
      </c>
      <c r="J358" s="1013">
        <f t="shared" si="146"/>
        <v>40</v>
      </c>
      <c r="K358" s="1012">
        <f t="shared" si="146"/>
        <v>34.207606774484091</v>
      </c>
      <c r="L358" s="1011">
        <f t="shared" si="146"/>
        <v>0.32759604195234043</v>
      </c>
    </row>
    <row r="359" spans="1:12">
      <c r="A359" s="906">
        <v>358</v>
      </c>
      <c r="B359" s="906" t="s">
        <v>1379</v>
      </c>
      <c r="C359" s="906">
        <v>29189</v>
      </c>
      <c r="D359" s="906" t="s">
        <v>1256</v>
      </c>
      <c r="E359" s="906" t="s">
        <v>1258</v>
      </c>
      <c r="F359" s="1015">
        <f t="shared" si="146"/>
        <v>0</v>
      </c>
      <c r="G359" s="1014">
        <f t="shared" si="146"/>
        <v>73</v>
      </c>
      <c r="H359" s="1014">
        <f t="shared" si="146"/>
        <v>34</v>
      </c>
      <c r="I359" s="1014">
        <f t="shared" si="146"/>
        <v>73</v>
      </c>
      <c r="J359" s="1013">
        <f t="shared" si="146"/>
        <v>34</v>
      </c>
      <c r="K359" s="1012" t="str">
        <f t="shared" si="146"/>
        <v/>
      </c>
      <c r="L359" s="1011">
        <f t="shared" si="146"/>
        <v>0.20877817319098457</v>
      </c>
    </row>
    <row r="360" spans="1:12">
      <c r="A360" s="906">
        <v>359</v>
      </c>
      <c r="B360" s="906" t="s">
        <v>1378</v>
      </c>
      <c r="C360" s="906">
        <v>29189</v>
      </c>
      <c r="D360" s="906" t="s">
        <v>1256</v>
      </c>
      <c r="E360" s="906" t="s">
        <v>1258</v>
      </c>
      <c r="F360" s="1015"/>
      <c r="G360" s="1014"/>
      <c r="H360" s="1014"/>
      <c r="I360" s="1014"/>
      <c r="J360" s="1013"/>
      <c r="K360" s="1012"/>
      <c r="L360" s="1011"/>
    </row>
    <row r="361" spans="1:12">
      <c r="A361" s="906">
        <v>360</v>
      </c>
      <c r="B361" s="906" t="s">
        <v>1377</v>
      </c>
      <c r="C361" s="906">
        <v>29189</v>
      </c>
      <c r="D361" s="906" t="s">
        <v>1256</v>
      </c>
      <c r="E361" s="906" t="s">
        <v>1258</v>
      </c>
      <c r="F361" s="1015">
        <f t="shared" ref="F361:L361" si="147">O212</f>
        <v>0</v>
      </c>
      <c r="G361" s="1014">
        <f t="shared" si="147"/>
        <v>61</v>
      </c>
      <c r="H361" s="1014">
        <f t="shared" si="147"/>
        <v>36</v>
      </c>
      <c r="I361" s="1014">
        <f t="shared" si="147"/>
        <v>67</v>
      </c>
      <c r="J361" s="1013">
        <f t="shared" si="147"/>
        <v>34</v>
      </c>
      <c r="K361" s="1012">
        <f t="shared" si="147"/>
        <v>46.755165262807544</v>
      </c>
      <c r="L361" s="1011">
        <f t="shared" si="147"/>
        <v>0.11627030845302566</v>
      </c>
    </row>
    <row r="362" spans="1:12">
      <c r="A362" s="906">
        <v>361</v>
      </c>
      <c r="B362" s="906" t="s">
        <v>1376</v>
      </c>
      <c r="C362" s="906">
        <v>29189</v>
      </c>
      <c r="D362" s="906" t="s">
        <v>1256</v>
      </c>
      <c r="E362" s="906" t="s">
        <v>1258</v>
      </c>
      <c r="F362" s="1015"/>
      <c r="G362" s="1014"/>
      <c r="H362" s="1014"/>
      <c r="I362" s="1014"/>
      <c r="J362" s="1013"/>
      <c r="K362" s="1012"/>
      <c r="L362" s="1011"/>
    </row>
    <row r="363" spans="1:12" ht="16">
      <c r="A363" s="906">
        <v>362</v>
      </c>
      <c r="B363" s="906" t="s">
        <v>1375</v>
      </c>
      <c r="C363" s="906">
        <v>55133</v>
      </c>
      <c r="D363" s="906" t="s">
        <v>1257</v>
      </c>
      <c r="E363" s="906" t="s">
        <v>1258</v>
      </c>
      <c r="F363" s="1015">
        <f t="shared" ref="F363:K365" si="148">O213</f>
        <v>0</v>
      </c>
      <c r="G363" s="1014">
        <f t="shared" si="148"/>
        <v>72</v>
      </c>
      <c r="H363" s="1014">
        <f t="shared" si="148"/>
        <v>33</v>
      </c>
      <c r="I363" s="1014">
        <f t="shared" si="148"/>
        <v>75</v>
      </c>
      <c r="J363" s="1013">
        <f t="shared" si="148"/>
        <v>0</v>
      </c>
      <c r="K363" s="1012">
        <f t="shared" si="148"/>
        <v>0</v>
      </c>
      <c r="L363" s="1016">
        <v>0.17374718282373314</v>
      </c>
    </row>
    <row r="364" spans="1:12">
      <c r="A364" s="906">
        <v>363</v>
      </c>
      <c r="B364" s="906" t="s">
        <v>1374</v>
      </c>
      <c r="C364" s="906">
        <v>29189</v>
      </c>
      <c r="D364" s="906" t="s">
        <v>1256</v>
      </c>
      <c r="E364" s="906" t="s">
        <v>1258</v>
      </c>
      <c r="F364" s="1015">
        <f t="shared" si="148"/>
        <v>0</v>
      </c>
      <c r="G364" s="1014">
        <f t="shared" si="148"/>
        <v>74</v>
      </c>
      <c r="H364" s="1014">
        <f t="shared" si="148"/>
        <v>38</v>
      </c>
      <c r="I364" s="1014">
        <f t="shared" si="148"/>
        <v>75</v>
      </c>
      <c r="J364" s="1013">
        <f t="shared" si="148"/>
        <v>34</v>
      </c>
      <c r="K364" s="1012" t="str">
        <f t="shared" si="148"/>
        <v/>
      </c>
      <c r="L364" s="1011">
        <f>U214</f>
        <v>0.33361204013377926</v>
      </c>
    </row>
    <row r="365" spans="1:12">
      <c r="A365" s="906">
        <v>364</v>
      </c>
      <c r="B365" s="906" t="s">
        <v>1373</v>
      </c>
      <c r="C365" s="906">
        <v>29189</v>
      </c>
      <c r="D365" s="906" t="s">
        <v>1257</v>
      </c>
      <c r="E365" s="906" t="s">
        <v>1258</v>
      </c>
      <c r="F365" s="1015">
        <f t="shared" si="148"/>
        <v>0</v>
      </c>
      <c r="G365" s="1014">
        <f t="shared" si="148"/>
        <v>68</v>
      </c>
      <c r="H365" s="1014">
        <f t="shared" si="148"/>
        <v>45</v>
      </c>
      <c r="I365" s="1014">
        <f t="shared" si="148"/>
        <v>82</v>
      </c>
      <c r="J365" s="1013">
        <f t="shared" si="148"/>
        <v>43</v>
      </c>
      <c r="K365" s="1012" t="str">
        <f t="shared" si="148"/>
        <v/>
      </c>
      <c r="L365" s="1011">
        <f>U215</f>
        <v>0.23974527108974802</v>
      </c>
    </row>
    <row r="366" spans="1:12">
      <c r="A366" s="906">
        <v>365</v>
      </c>
      <c r="B366" s="906" t="s">
        <v>1373</v>
      </c>
      <c r="C366" s="906">
        <v>29189</v>
      </c>
      <c r="D366" s="906" t="s">
        <v>1256</v>
      </c>
      <c r="E366" s="906" t="s">
        <v>1258</v>
      </c>
      <c r="F366" s="1015">
        <f t="shared" ref="F366:L368" si="149">F365</f>
        <v>0</v>
      </c>
      <c r="G366" s="1014">
        <f t="shared" si="149"/>
        <v>68</v>
      </c>
      <c r="H366" s="1014">
        <f t="shared" si="149"/>
        <v>45</v>
      </c>
      <c r="I366" s="1014">
        <f t="shared" si="149"/>
        <v>82</v>
      </c>
      <c r="J366" s="1013">
        <f t="shared" si="149"/>
        <v>43</v>
      </c>
      <c r="K366" s="1012" t="str">
        <f t="shared" si="149"/>
        <v/>
      </c>
      <c r="L366" s="1011">
        <f t="shared" si="149"/>
        <v>0.23974527108974802</v>
      </c>
    </row>
    <row r="367" spans="1:12">
      <c r="A367" s="906">
        <v>366</v>
      </c>
      <c r="B367" s="906" t="s">
        <v>1373</v>
      </c>
      <c r="C367" s="906">
        <v>69116</v>
      </c>
      <c r="D367" s="906" t="s">
        <v>1257</v>
      </c>
      <c r="E367" s="906" t="s">
        <v>1258</v>
      </c>
      <c r="F367" s="1015">
        <f t="shared" si="149"/>
        <v>0</v>
      </c>
      <c r="G367" s="1014">
        <f t="shared" si="149"/>
        <v>68</v>
      </c>
      <c r="H367" s="1014">
        <f t="shared" si="149"/>
        <v>45</v>
      </c>
      <c r="I367" s="1014">
        <f t="shared" si="149"/>
        <v>82</v>
      </c>
      <c r="J367" s="1013">
        <f t="shared" si="149"/>
        <v>43</v>
      </c>
      <c r="K367" s="1012" t="str">
        <f t="shared" si="149"/>
        <v/>
      </c>
      <c r="L367" s="1011">
        <f t="shared" si="149"/>
        <v>0.23974527108974802</v>
      </c>
    </row>
    <row r="368" spans="1:12">
      <c r="A368" s="906">
        <v>367</v>
      </c>
      <c r="B368" s="906" t="s">
        <v>1373</v>
      </c>
      <c r="C368" s="906">
        <v>69116</v>
      </c>
      <c r="D368" s="906" t="s">
        <v>1256</v>
      </c>
      <c r="E368" s="906" t="s">
        <v>1258</v>
      </c>
      <c r="F368" s="1015">
        <f t="shared" si="149"/>
        <v>0</v>
      </c>
      <c r="G368" s="1014">
        <f t="shared" si="149"/>
        <v>68</v>
      </c>
      <c r="H368" s="1014">
        <f t="shared" si="149"/>
        <v>45</v>
      </c>
      <c r="I368" s="1014">
        <f t="shared" si="149"/>
        <v>82</v>
      </c>
      <c r="J368" s="1013">
        <f t="shared" si="149"/>
        <v>43</v>
      </c>
      <c r="K368" s="1012" t="str">
        <f t="shared" si="149"/>
        <v/>
      </c>
      <c r="L368" s="1011">
        <f t="shared" si="149"/>
        <v>0.23974527108974802</v>
      </c>
    </row>
    <row r="369" spans="1:12">
      <c r="A369" s="906">
        <v>368</v>
      </c>
      <c r="B369" s="906" t="s">
        <v>1372</v>
      </c>
      <c r="C369" s="906">
        <v>29189</v>
      </c>
      <c r="D369" s="906" t="s">
        <v>1256</v>
      </c>
      <c r="E369" s="906" t="s">
        <v>1258</v>
      </c>
      <c r="F369" s="1015"/>
      <c r="G369" s="1014"/>
      <c r="H369" s="1014"/>
      <c r="I369" s="1014"/>
      <c r="J369" s="1013"/>
      <c r="K369" s="1012"/>
      <c r="L369" s="1011"/>
    </row>
    <row r="370" spans="1:12" ht="16">
      <c r="A370" s="906">
        <v>369</v>
      </c>
      <c r="B370" s="906" t="s">
        <v>1371</v>
      </c>
      <c r="C370" s="906">
        <v>29189</v>
      </c>
      <c r="D370" s="906" t="s">
        <v>1256</v>
      </c>
      <c r="E370" s="906" t="s">
        <v>1258</v>
      </c>
      <c r="F370" s="1015">
        <f t="shared" ref="F370:K372" si="150">O216</f>
        <v>0</v>
      </c>
      <c r="G370" s="1014">
        <f t="shared" si="150"/>
        <v>72</v>
      </c>
      <c r="H370" s="1014">
        <f t="shared" si="150"/>
        <v>0</v>
      </c>
      <c r="I370" s="1014">
        <f t="shared" si="150"/>
        <v>76</v>
      </c>
      <c r="J370" s="1013">
        <f t="shared" si="150"/>
        <v>0</v>
      </c>
      <c r="K370" s="1012" t="str">
        <f t="shared" si="150"/>
        <v/>
      </c>
      <c r="L370" s="1016">
        <v>0.22800028617798151</v>
      </c>
    </row>
    <row r="371" spans="1:12">
      <c r="A371" s="906">
        <v>370</v>
      </c>
      <c r="B371" s="906" t="s">
        <v>1370</v>
      </c>
      <c r="C371" s="906">
        <v>29189</v>
      </c>
      <c r="D371" s="906" t="s">
        <v>1256</v>
      </c>
      <c r="E371" s="906" t="s">
        <v>1258</v>
      </c>
      <c r="F371" s="1015">
        <f t="shared" si="150"/>
        <v>5.3880879568952962E-3</v>
      </c>
      <c r="G371" s="1014">
        <f t="shared" si="150"/>
        <v>70</v>
      </c>
      <c r="H371" s="1014">
        <f t="shared" si="150"/>
        <v>35</v>
      </c>
      <c r="I371" s="1014">
        <f t="shared" si="150"/>
        <v>72</v>
      </c>
      <c r="J371" s="1013">
        <f t="shared" si="150"/>
        <v>35</v>
      </c>
      <c r="K371" s="1012">
        <f t="shared" si="150"/>
        <v>33.324634063315557</v>
      </c>
      <c r="L371" s="1011">
        <f>U217</f>
        <v>0.35754026354319179</v>
      </c>
    </row>
    <row r="372" spans="1:12" ht="16">
      <c r="A372" s="906">
        <v>371</v>
      </c>
      <c r="B372" s="906" t="s">
        <v>1369</v>
      </c>
      <c r="C372" s="906">
        <v>29189</v>
      </c>
      <c r="D372" s="906" t="s">
        <v>1257</v>
      </c>
      <c r="E372" s="906" t="s">
        <v>1258</v>
      </c>
      <c r="F372" s="1015">
        <f t="shared" si="150"/>
        <v>0</v>
      </c>
      <c r="G372" s="1014">
        <f t="shared" si="150"/>
        <v>98</v>
      </c>
      <c r="H372" s="1014">
        <f t="shared" si="150"/>
        <v>46</v>
      </c>
      <c r="I372" s="1014">
        <f t="shared" si="150"/>
        <v>100</v>
      </c>
      <c r="J372" s="1013">
        <f t="shared" si="150"/>
        <v>43</v>
      </c>
      <c r="K372" s="1012" t="str">
        <f t="shared" si="150"/>
        <v/>
      </c>
      <c r="L372" s="1016">
        <v>0.22800028617798151</v>
      </c>
    </row>
    <row r="373" spans="1:12" ht="16">
      <c r="A373" s="906">
        <v>372</v>
      </c>
      <c r="B373" s="906" t="s">
        <v>1369</v>
      </c>
      <c r="C373" s="906">
        <v>29189</v>
      </c>
      <c r="D373" s="906" t="s">
        <v>1256</v>
      </c>
      <c r="E373" s="906" t="s">
        <v>1258</v>
      </c>
      <c r="F373" s="1015">
        <f t="shared" ref="F373:L373" si="151">F372</f>
        <v>0</v>
      </c>
      <c r="G373" s="1014">
        <f t="shared" si="151"/>
        <v>98</v>
      </c>
      <c r="H373" s="1014">
        <f t="shared" si="151"/>
        <v>46</v>
      </c>
      <c r="I373" s="1014">
        <f t="shared" si="151"/>
        <v>100</v>
      </c>
      <c r="J373" s="1013">
        <f t="shared" si="151"/>
        <v>43</v>
      </c>
      <c r="K373" s="1012" t="str">
        <f t="shared" si="151"/>
        <v/>
      </c>
      <c r="L373" s="1016">
        <f t="shared" si="151"/>
        <v>0.22800028617798151</v>
      </c>
    </row>
    <row r="374" spans="1:12">
      <c r="A374" s="906">
        <v>373</v>
      </c>
      <c r="B374" s="906" t="s">
        <v>1368</v>
      </c>
      <c r="C374" s="906">
        <v>29189</v>
      </c>
      <c r="D374" s="906" t="s">
        <v>1256</v>
      </c>
      <c r="E374" s="906" t="s">
        <v>1258</v>
      </c>
      <c r="F374" s="1015">
        <f t="shared" ref="F374:L376" si="152">O220</f>
        <v>0</v>
      </c>
      <c r="G374" s="1014">
        <f t="shared" si="152"/>
        <v>69</v>
      </c>
      <c r="H374" s="1014">
        <f t="shared" si="152"/>
        <v>39</v>
      </c>
      <c r="I374" s="1014">
        <f t="shared" si="152"/>
        <v>74</v>
      </c>
      <c r="J374" s="1013">
        <f t="shared" si="152"/>
        <v>34</v>
      </c>
      <c r="K374" s="1012" t="str">
        <f t="shared" si="152"/>
        <v/>
      </c>
      <c r="L374" s="1011">
        <f t="shared" si="152"/>
        <v>0.31348259115976623</v>
      </c>
    </row>
    <row r="375" spans="1:12">
      <c r="A375" s="906">
        <v>374</v>
      </c>
      <c r="B375" s="906" t="s">
        <v>1367</v>
      </c>
      <c r="C375" s="906">
        <v>20310</v>
      </c>
      <c r="D375" s="906" t="s">
        <v>1257</v>
      </c>
      <c r="E375" s="906" t="s">
        <v>1259</v>
      </c>
      <c r="F375" s="1015">
        <f t="shared" si="152"/>
        <v>0</v>
      </c>
      <c r="G375" s="1014">
        <f t="shared" si="152"/>
        <v>80</v>
      </c>
      <c r="H375" s="1014">
        <f t="shared" si="152"/>
        <v>52</v>
      </c>
      <c r="I375" s="1014">
        <f t="shared" si="152"/>
        <v>98</v>
      </c>
      <c r="J375" s="1013">
        <f t="shared" si="152"/>
        <v>56</v>
      </c>
      <c r="K375" s="1012">
        <f t="shared" si="152"/>
        <v>35.229012561938589</v>
      </c>
      <c r="L375" s="1011">
        <f t="shared" si="152"/>
        <v>4.4888546380582095E-2</v>
      </c>
    </row>
    <row r="376" spans="1:12">
      <c r="A376" s="906">
        <v>375</v>
      </c>
      <c r="B376" s="906" t="s">
        <v>1366</v>
      </c>
      <c r="C376" s="906">
        <v>29189</v>
      </c>
      <c r="D376" s="906" t="s">
        <v>1256</v>
      </c>
      <c r="E376" s="906" t="s">
        <v>1258</v>
      </c>
      <c r="F376" s="1015">
        <f t="shared" si="152"/>
        <v>8.5511899301839681E-2</v>
      </c>
      <c r="G376" s="1014">
        <f t="shared" si="152"/>
        <v>68</v>
      </c>
      <c r="H376" s="1014">
        <f t="shared" si="152"/>
        <v>44</v>
      </c>
      <c r="I376" s="1014">
        <f t="shared" si="152"/>
        <v>74</v>
      </c>
      <c r="J376" s="1013">
        <f t="shared" si="152"/>
        <v>34</v>
      </c>
      <c r="K376" s="1012">
        <f t="shared" si="152"/>
        <v>0</v>
      </c>
      <c r="L376" s="1011">
        <f t="shared" si="152"/>
        <v>0.23148509334076345</v>
      </c>
    </row>
    <row r="377" spans="1:12">
      <c r="A377" s="906">
        <v>376</v>
      </c>
      <c r="B377" s="906" t="s">
        <v>1365</v>
      </c>
      <c r="C377" s="906">
        <v>29189</v>
      </c>
      <c r="D377" s="906" t="s">
        <v>1256</v>
      </c>
      <c r="E377" s="906" t="s">
        <v>1258</v>
      </c>
      <c r="F377" s="1015"/>
      <c r="G377" s="1014"/>
      <c r="H377" s="1014"/>
      <c r="I377" s="1014"/>
      <c r="J377" s="1013"/>
      <c r="K377" s="1012"/>
      <c r="L377" s="1011"/>
    </row>
    <row r="378" spans="1:12">
      <c r="A378" s="906">
        <v>377</v>
      </c>
      <c r="B378" s="906" t="s">
        <v>1364</v>
      </c>
      <c r="C378" s="906">
        <v>29189</v>
      </c>
      <c r="D378" s="906" t="s">
        <v>1256</v>
      </c>
      <c r="E378" s="906" t="s">
        <v>1258</v>
      </c>
      <c r="F378" s="1015"/>
      <c r="G378" s="1014"/>
      <c r="H378" s="1014"/>
      <c r="I378" s="1014"/>
      <c r="J378" s="1013"/>
      <c r="K378" s="1012"/>
      <c r="L378" s="1011"/>
    </row>
    <row r="379" spans="1:12" ht="16">
      <c r="A379" s="906">
        <v>378</v>
      </c>
      <c r="B379" s="906" t="s">
        <v>1363</v>
      </c>
      <c r="C379" s="906">
        <v>29189</v>
      </c>
      <c r="D379" s="906" t="s">
        <v>1256</v>
      </c>
      <c r="E379" s="906" t="s">
        <v>1258</v>
      </c>
      <c r="F379" s="1015">
        <f t="shared" ref="F379:K381" si="153">O223</f>
        <v>0</v>
      </c>
      <c r="G379" s="1014">
        <f t="shared" si="153"/>
        <v>75</v>
      </c>
      <c r="H379" s="1014">
        <f t="shared" si="153"/>
        <v>0</v>
      </c>
      <c r="I379" s="1014">
        <f t="shared" si="153"/>
        <v>78</v>
      </c>
      <c r="J379" s="1013">
        <f t="shared" si="153"/>
        <v>0</v>
      </c>
      <c r="K379" s="1012" t="str">
        <f t="shared" si="153"/>
        <v/>
      </c>
      <c r="L379" s="1016">
        <v>0.22800028617798151</v>
      </c>
    </row>
    <row r="380" spans="1:12">
      <c r="A380" s="906">
        <v>379</v>
      </c>
      <c r="B380" s="906" t="s">
        <v>1362</v>
      </c>
      <c r="C380" s="906">
        <v>29189</v>
      </c>
      <c r="D380" s="906" t="s">
        <v>1256</v>
      </c>
      <c r="E380" s="906" t="s">
        <v>1258</v>
      </c>
      <c r="F380" s="1015">
        <f t="shared" si="153"/>
        <v>0</v>
      </c>
      <c r="G380" s="1014">
        <f t="shared" si="153"/>
        <v>71</v>
      </c>
      <c r="H380" s="1014">
        <f t="shared" si="153"/>
        <v>38</v>
      </c>
      <c r="I380" s="1014">
        <f t="shared" si="153"/>
        <v>71.7</v>
      </c>
      <c r="J380" s="1013">
        <f t="shared" si="153"/>
        <v>35</v>
      </c>
      <c r="K380" s="1012">
        <f t="shared" si="153"/>
        <v>59.151992880300043</v>
      </c>
      <c r="L380" s="1011">
        <f>U224</f>
        <v>0.2341783293724144</v>
      </c>
    </row>
    <row r="381" spans="1:12">
      <c r="A381" s="906">
        <v>380</v>
      </c>
      <c r="B381" s="906" t="s">
        <v>1361</v>
      </c>
      <c r="C381" s="906">
        <v>29189</v>
      </c>
      <c r="D381" s="906" t="s">
        <v>1256</v>
      </c>
      <c r="E381" s="906" t="s">
        <v>1258</v>
      </c>
      <c r="F381" s="1015">
        <f t="shared" si="153"/>
        <v>0</v>
      </c>
      <c r="G381" s="1014">
        <f t="shared" si="153"/>
        <v>70</v>
      </c>
      <c r="H381" s="1014">
        <f t="shared" si="153"/>
        <v>38</v>
      </c>
      <c r="I381" s="1014">
        <f t="shared" si="153"/>
        <v>78</v>
      </c>
      <c r="J381" s="1013">
        <f t="shared" si="153"/>
        <v>34</v>
      </c>
      <c r="K381" s="1012" t="str">
        <f t="shared" si="153"/>
        <v/>
      </c>
      <c r="L381" s="1011">
        <f>U225</f>
        <v>0.2257401699822546</v>
      </c>
    </row>
    <row r="382" spans="1:12">
      <c r="A382" s="906">
        <v>381</v>
      </c>
      <c r="B382" s="906" t="s">
        <v>1360</v>
      </c>
      <c r="C382" s="906">
        <v>29189</v>
      </c>
      <c r="D382" s="906" t="s">
        <v>1256</v>
      </c>
      <c r="E382" s="906" t="s">
        <v>1258</v>
      </c>
      <c r="F382" s="1015"/>
      <c r="G382" s="1014"/>
      <c r="H382" s="1014"/>
      <c r="I382" s="1014"/>
      <c r="J382" s="1013"/>
      <c r="K382" s="1012"/>
      <c r="L382" s="1011"/>
    </row>
    <row r="383" spans="1:12">
      <c r="A383" s="906">
        <v>382</v>
      </c>
      <c r="B383" s="906" t="s">
        <v>1359</v>
      </c>
      <c r="C383" s="906">
        <v>29189</v>
      </c>
      <c r="D383" s="906" t="s">
        <v>1256</v>
      </c>
      <c r="E383" s="906" t="s">
        <v>1258</v>
      </c>
      <c r="F383" s="1015">
        <f t="shared" ref="F383:L385" si="154">O226</f>
        <v>0</v>
      </c>
      <c r="G383" s="1014">
        <f t="shared" si="154"/>
        <v>80</v>
      </c>
      <c r="H383" s="1014">
        <f t="shared" si="154"/>
        <v>45</v>
      </c>
      <c r="I383" s="1014">
        <f t="shared" si="154"/>
        <v>80</v>
      </c>
      <c r="J383" s="1013">
        <f t="shared" si="154"/>
        <v>45</v>
      </c>
      <c r="K383" s="1012" t="str">
        <f t="shared" si="154"/>
        <v/>
      </c>
      <c r="L383" s="1011">
        <f t="shared" si="154"/>
        <v>0.38391819660701837</v>
      </c>
    </row>
    <row r="384" spans="1:12">
      <c r="A384" s="906">
        <v>383</v>
      </c>
      <c r="B384" s="906" t="s">
        <v>1358</v>
      </c>
      <c r="C384" s="906">
        <v>19583</v>
      </c>
      <c r="D384" s="906" t="s">
        <v>1257</v>
      </c>
      <c r="E384" s="906" t="s">
        <v>1259</v>
      </c>
      <c r="F384" s="1015">
        <f t="shared" si="154"/>
        <v>0</v>
      </c>
      <c r="G384" s="1014">
        <f t="shared" si="154"/>
        <v>70</v>
      </c>
      <c r="H384" s="1014">
        <f t="shared" si="154"/>
        <v>40</v>
      </c>
      <c r="I384" s="1014">
        <f t="shared" si="154"/>
        <v>80</v>
      </c>
      <c r="J384" s="1013">
        <f t="shared" si="154"/>
        <v>40</v>
      </c>
      <c r="K384" s="1012">
        <f t="shared" si="154"/>
        <v>0</v>
      </c>
      <c r="L384" s="1011">
        <f t="shared" si="154"/>
        <v>0.2169264724372677</v>
      </c>
    </row>
    <row r="385" spans="1:12">
      <c r="A385" s="906">
        <v>384</v>
      </c>
      <c r="B385" s="906" t="s">
        <v>1357</v>
      </c>
      <c r="C385" s="906">
        <v>29189</v>
      </c>
      <c r="D385" s="906" t="s">
        <v>1256</v>
      </c>
      <c r="E385" s="906" t="s">
        <v>1258</v>
      </c>
      <c r="F385" s="1015">
        <f t="shared" si="154"/>
        <v>0</v>
      </c>
      <c r="G385" s="1014">
        <f t="shared" si="154"/>
        <v>76</v>
      </c>
      <c r="H385" s="1014">
        <f t="shared" si="154"/>
        <v>39</v>
      </c>
      <c r="I385" s="1014">
        <f t="shared" si="154"/>
        <v>78</v>
      </c>
      <c r="J385" s="1013">
        <f t="shared" si="154"/>
        <v>36</v>
      </c>
      <c r="K385" s="1012">
        <f t="shared" si="154"/>
        <v>52.457577464788734</v>
      </c>
      <c r="L385" s="1011">
        <f t="shared" si="154"/>
        <v>0.21452541485791693</v>
      </c>
    </row>
    <row r="386" spans="1:12">
      <c r="A386" s="906">
        <v>385</v>
      </c>
      <c r="B386" s="906" t="s">
        <v>1356</v>
      </c>
      <c r="C386" s="906">
        <v>29189</v>
      </c>
      <c r="D386" s="906" t="s">
        <v>1257</v>
      </c>
      <c r="E386" s="906" t="s">
        <v>1258</v>
      </c>
      <c r="F386" s="1015"/>
      <c r="G386" s="1014"/>
      <c r="H386" s="1014"/>
      <c r="I386" s="1014"/>
      <c r="J386" s="1013"/>
      <c r="K386" s="1012"/>
      <c r="L386" s="1011"/>
    </row>
    <row r="387" spans="1:12">
      <c r="A387" s="906">
        <v>386</v>
      </c>
      <c r="B387" s="906" t="s">
        <v>1355</v>
      </c>
      <c r="C387" s="906">
        <v>19583</v>
      </c>
      <c r="D387" s="906" t="s">
        <v>1257</v>
      </c>
      <c r="E387" s="906" t="s">
        <v>1259</v>
      </c>
      <c r="F387" s="1015"/>
      <c r="G387" s="1014"/>
      <c r="H387" s="1014"/>
      <c r="I387" s="1014"/>
      <c r="J387" s="1013"/>
      <c r="K387" s="1012"/>
      <c r="L387" s="1011"/>
    </row>
    <row r="388" spans="1:12">
      <c r="A388" s="906">
        <v>387</v>
      </c>
      <c r="B388" s="906" t="s">
        <v>1355</v>
      </c>
      <c r="C388" s="906">
        <v>66137</v>
      </c>
      <c r="D388" s="906" t="s">
        <v>1257</v>
      </c>
      <c r="E388" s="906" t="s">
        <v>1259</v>
      </c>
      <c r="F388" s="1015"/>
      <c r="G388" s="1014"/>
      <c r="H388" s="1014"/>
      <c r="I388" s="1014"/>
      <c r="J388" s="1013"/>
      <c r="K388" s="1012"/>
      <c r="L388" s="1011"/>
    </row>
    <row r="389" spans="1:12">
      <c r="A389" s="906">
        <v>388</v>
      </c>
      <c r="B389" s="906" t="s">
        <v>1354</v>
      </c>
      <c r="C389" s="906">
        <v>29189</v>
      </c>
      <c r="D389" s="906" t="s">
        <v>1256</v>
      </c>
      <c r="E389" s="906" t="s">
        <v>1258</v>
      </c>
      <c r="F389" s="1015">
        <f t="shared" ref="F389:L389" si="155">O229</f>
        <v>8.6365306872473353E-3</v>
      </c>
      <c r="G389" s="1014">
        <f t="shared" si="155"/>
        <v>71</v>
      </c>
      <c r="H389" s="1014">
        <f t="shared" si="155"/>
        <v>37</v>
      </c>
      <c r="I389" s="1014">
        <f t="shared" si="155"/>
        <v>76</v>
      </c>
      <c r="J389" s="1013">
        <f t="shared" si="155"/>
        <v>36</v>
      </c>
      <c r="K389" s="1012" t="str">
        <f t="shared" si="155"/>
        <v/>
      </c>
      <c r="L389" s="1011">
        <f t="shared" si="155"/>
        <v>0.4715477293790547</v>
      </c>
    </row>
    <row r="390" spans="1:12">
      <c r="A390" s="906">
        <v>389</v>
      </c>
      <c r="B390" s="906" t="s">
        <v>1353</v>
      </c>
      <c r="C390" s="906">
        <v>29189</v>
      </c>
      <c r="D390" s="906" t="s">
        <v>1256</v>
      </c>
      <c r="E390" s="906" t="s">
        <v>1258</v>
      </c>
      <c r="F390" s="1015"/>
      <c r="G390" s="1014"/>
      <c r="H390" s="1014"/>
      <c r="I390" s="1014"/>
      <c r="J390" s="1013"/>
      <c r="K390" s="1012"/>
      <c r="L390" s="1011"/>
    </row>
    <row r="391" spans="1:12">
      <c r="A391" s="906">
        <v>390</v>
      </c>
      <c r="B391" s="906" t="s">
        <v>1352</v>
      </c>
      <c r="C391" s="906">
        <v>29188</v>
      </c>
      <c r="D391" s="906" t="s">
        <v>1256</v>
      </c>
      <c r="E391" s="906" t="s">
        <v>1259</v>
      </c>
      <c r="F391" s="1015"/>
      <c r="G391" s="1014"/>
      <c r="H391" s="1014"/>
      <c r="I391" s="1014"/>
      <c r="J391" s="1013"/>
      <c r="K391" s="1012"/>
      <c r="L391" s="1011"/>
    </row>
    <row r="392" spans="1:12">
      <c r="A392" s="906">
        <v>391</v>
      </c>
      <c r="B392" s="906" t="s">
        <v>1351</v>
      </c>
      <c r="C392" s="906">
        <v>29189</v>
      </c>
      <c r="D392" s="906" t="s">
        <v>1256</v>
      </c>
      <c r="E392" s="906" t="s">
        <v>1258</v>
      </c>
      <c r="F392" s="1015">
        <f t="shared" ref="F392:L392" si="156">O230</f>
        <v>0</v>
      </c>
      <c r="G392" s="1014">
        <f t="shared" si="156"/>
        <v>80</v>
      </c>
      <c r="H392" s="1014">
        <f t="shared" si="156"/>
        <v>40</v>
      </c>
      <c r="I392" s="1014">
        <f t="shared" si="156"/>
        <v>80</v>
      </c>
      <c r="J392" s="1013">
        <f t="shared" si="156"/>
        <v>40</v>
      </c>
      <c r="K392" s="1012">
        <f t="shared" si="156"/>
        <v>35.000006226187431</v>
      </c>
      <c r="L392" s="1011">
        <f t="shared" si="156"/>
        <v>0.1961182278067885</v>
      </c>
    </row>
    <row r="393" spans="1:12" ht="16">
      <c r="A393" s="906">
        <v>392</v>
      </c>
      <c r="B393" s="906" t="s">
        <v>1350</v>
      </c>
      <c r="C393" s="906">
        <v>55133</v>
      </c>
      <c r="D393" s="906" t="s">
        <v>1257</v>
      </c>
      <c r="E393" s="906" t="s">
        <v>1258</v>
      </c>
      <c r="F393" s="1015">
        <f t="shared" ref="F393:K394" si="157">O231</f>
        <v>0</v>
      </c>
      <c r="G393" s="1014">
        <f t="shared" si="157"/>
        <v>63</v>
      </c>
      <c r="H393" s="1014">
        <f t="shared" si="157"/>
        <v>48</v>
      </c>
      <c r="I393" s="1014">
        <f t="shared" si="157"/>
        <v>72</v>
      </c>
      <c r="J393" s="1013">
        <f t="shared" si="157"/>
        <v>42</v>
      </c>
      <c r="K393" s="1012" t="str">
        <f t="shared" si="157"/>
        <v/>
      </c>
      <c r="L393" s="1016">
        <v>0.17374718282373314</v>
      </c>
    </row>
    <row r="394" spans="1:12">
      <c r="A394" s="906">
        <v>393</v>
      </c>
      <c r="B394" s="906" t="s">
        <v>1349</v>
      </c>
      <c r="C394" s="906">
        <v>29189</v>
      </c>
      <c r="D394" s="906" t="s">
        <v>1257</v>
      </c>
      <c r="E394" s="906" t="s">
        <v>1258</v>
      </c>
      <c r="F394" s="1015">
        <f t="shared" si="157"/>
        <v>0</v>
      </c>
      <c r="G394" s="1014">
        <f t="shared" si="157"/>
        <v>78</v>
      </c>
      <c r="H394" s="1014">
        <f t="shared" si="157"/>
        <v>51</v>
      </c>
      <c r="I394" s="1014">
        <f t="shared" si="157"/>
        <v>85</v>
      </c>
      <c r="J394" s="1013">
        <f t="shared" si="157"/>
        <v>42</v>
      </c>
      <c r="K394" s="1012" t="str">
        <f t="shared" si="157"/>
        <v/>
      </c>
      <c r="L394" s="1011">
        <f>U232</f>
        <v>0.15945465637516246</v>
      </c>
    </row>
    <row r="395" spans="1:12">
      <c r="A395" s="906">
        <v>394</v>
      </c>
      <c r="B395" s="906" t="s">
        <v>1348</v>
      </c>
      <c r="C395" s="906">
        <v>19583</v>
      </c>
      <c r="D395" s="906" t="s">
        <v>1257</v>
      </c>
      <c r="E395" s="906" t="s">
        <v>1259</v>
      </c>
      <c r="F395" s="1015"/>
      <c r="G395" s="1014"/>
      <c r="H395" s="1014"/>
      <c r="I395" s="1014"/>
      <c r="J395" s="1013"/>
      <c r="K395" s="1012"/>
      <c r="L395" s="1011"/>
    </row>
    <row r="396" spans="1:12">
      <c r="A396" s="906">
        <v>395</v>
      </c>
      <c r="B396" s="906" t="s">
        <v>1348</v>
      </c>
      <c r="C396" s="906">
        <v>19583</v>
      </c>
      <c r="D396" s="906" t="s">
        <v>1256</v>
      </c>
      <c r="E396" s="906" t="s">
        <v>1259</v>
      </c>
      <c r="F396" s="1015"/>
      <c r="G396" s="1014"/>
      <c r="H396" s="1014"/>
      <c r="I396" s="1014"/>
      <c r="J396" s="1013"/>
      <c r="K396" s="1012"/>
      <c r="L396" s="1011"/>
    </row>
    <row r="397" spans="1:12" ht="16">
      <c r="A397" s="906">
        <v>396</v>
      </c>
      <c r="B397" s="906" t="s">
        <v>1347</v>
      </c>
      <c r="C397" s="906">
        <v>29189</v>
      </c>
      <c r="D397" s="906" t="s">
        <v>1256</v>
      </c>
      <c r="E397" s="906" t="s">
        <v>1258</v>
      </c>
      <c r="F397" s="1015">
        <f t="shared" ref="F397:K398" si="158">O233</f>
        <v>0</v>
      </c>
      <c r="G397" s="1014">
        <f t="shared" si="158"/>
        <v>68</v>
      </c>
      <c r="H397" s="1014">
        <f t="shared" si="158"/>
        <v>0</v>
      </c>
      <c r="I397" s="1014">
        <f t="shared" si="158"/>
        <v>75</v>
      </c>
      <c r="J397" s="1013">
        <f t="shared" si="158"/>
        <v>0</v>
      </c>
      <c r="K397" s="1012" t="str">
        <f t="shared" si="158"/>
        <v/>
      </c>
      <c r="L397" s="1016">
        <v>0.22800028617798151</v>
      </c>
    </row>
    <row r="398" spans="1:12">
      <c r="A398" s="906">
        <v>397</v>
      </c>
      <c r="B398" s="906" t="s">
        <v>1346</v>
      </c>
      <c r="C398" s="906">
        <v>29189</v>
      </c>
      <c r="D398" s="906" t="s">
        <v>1257</v>
      </c>
      <c r="E398" s="906" t="s">
        <v>1258</v>
      </c>
      <c r="F398" s="1015">
        <f t="shared" si="158"/>
        <v>0</v>
      </c>
      <c r="G398" s="1014">
        <f t="shared" si="158"/>
        <v>75</v>
      </c>
      <c r="H398" s="1014">
        <f t="shared" si="158"/>
        <v>45</v>
      </c>
      <c r="I398" s="1014">
        <f t="shared" si="158"/>
        <v>78</v>
      </c>
      <c r="J398" s="1013">
        <f t="shared" si="158"/>
        <v>41</v>
      </c>
      <c r="K398" s="1012">
        <f t="shared" si="158"/>
        <v>36.022074999995993</v>
      </c>
      <c r="L398" s="1011">
        <f>U234</f>
        <v>0.23532574071983792</v>
      </c>
    </row>
    <row r="399" spans="1:12">
      <c r="A399" s="906">
        <v>398</v>
      </c>
      <c r="B399" s="906" t="s">
        <v>1345</v>
      </c>
      <c r="C399" s="906">
        <v>29189</v>
      </c>
      <c r="D399" s="906" t="s">
        <v>1256</v>
      </c>
      <c r="E399" s="906" t="s">
        <v>1258</v>
      </c>
      <c r="F399" s="1015"/>
      <c r="G399" s="1014"/>
      <c r="H399" s="1014"/>
      <c r="I399" s="1014"/>
      <c r="J399" s="1013"/>
      <c r="K399" s="1012"/>
      <c r="L399" s="1011"/>
    </row>
    <row r="400" spans="1:12">
      <c r="A400" s="906">
        <v>399</v>
      </c>
      <c r="B400" s="906" t="s">
        <v>1344</v>
      </c>
      <c r="C400" s="906">
        <v>29189</v>
      </c>
      <c r="D400" s="906" t="s">
        <v>1256</v>
      </c>
      <c r="E400" s="906" t="s">
        <v>1259</v>
      </c>
      <c r="F400" s="1015">
        <f t="shared" ref="F400:L400" si="159">O235</f>
        <v>0</v>
      </c>
      <c r="G400" s="1014">
        <f t="shared" si="159"/>
        <v>100</v>
      </c>
      <c r="H400" s="1014">
        <f t="shared" si="159"/>
        <v>50</v>
      </c>
      <c r="I400" s="1014">
        <f t="shared" si="159"/>
        <v>115</v>
      </c>
      <c r="J400" s="1013">
        <f t="shared" si="159"/>
        <v>50</v>
      </c>
      <c r="K400" s="1012" t="str">
        <f t="shared" si="159"/>
        <v/>
      </c>
      <c r="L400" s="1011">
        <f t="shared" si="159"/>
        <v>2.4610781342834634E-2</v>
      </c>
    </row>
    <row r="401" spans="1:12">
      <c r="A401" s="906">
        <v>400</v>
      </c>
      <c r="B401" s="906" t="s">
        <v>1344</v>
      </c>
      <c r="C401" s="906">
        <v>44023</v>
      </c>
      <c r="D401" s="906" t="s">
        <v>1257</v>
      </c>
      <c r="E401" s="906" t="s">
        <v>1259</v>
      </c>
      <c r="F401" s="1015">
        <f t="shared" ref="F401:L402" si="160">F400</f>
        <v>0</v>
      </c>
      <c r="G401" s="1014">
        <f t="shared" si="160"/>
        <v>100</v>
      </c>
      <c r="H401" s="1014">
        <f t="shared" si="160"/>
        <v>50</v>
      </c>
      <c r="I401" s="1014">
        <f t="shared" si="160"/>
        <v>115</v>
      </c>
      <c r="J401" s="1013">
        <f t="shared" si="160"/>
        <v>50</v>
      </c>
      <c r="K401" s="1012" t="str">
        <f t="shared" si="160"/>
        <v/>
      </c>
      <c r="L401" s="1011">
        <f t="shared" si="160"/>
        <v>2.4610781342834634E-2</v>
      </c>
    </row>
    <row r="402" spans="1:12">
      <c r="A402" s="906">
        <v>401</v>
      </c>
      <c r="B402" s="906" t="s">
        <v>1344</v>
      </c>
      <c r="C402" s="906">
        <v>44023</v>
      </c>
      <c r="D402" s="906" t="s">
        <v>1256</v>
      </c>
      <c r="E402" s="906" t="s">
        <v>1259</v>
      </c>
      <c r="F402" s="1015">
        <f t="shared" si="160"/>
        <v>0</v>
      </c>
      <c r="G402" s="1014">
        <f t="shared" si="160"/>
        <v>100</v>
      </c>
      <c r="H402" s="1014">
        <f t="shared" si="160"/>
        <v>50</v>
      </c>
      <c r="I402" s="1014">
        <f t="shared" si="160"/>
        <v>115</v>
      </c>
      <c r="J402" s="1013">
        <f t="shared" si="160"/>
        <v>50</v>
      </c>
      <c r="K402" s="1012" t="str">
        <f t="shared" si="160"/>
        <v/>
      </c>
      <c r="L402" s="1011">
        <f t="shared" si="160"/>
        <v>2.4610781342834634E-2</v>
      </c>
    </row>
    <row r="403" spans="1:12">
      <c r="A403" s="906">
        <v>402</v>
      </c>
      <c r="B403" s="906" t="s">
        <v>1343</v>
      </c>
      <c r="C403" s="906">
        <v>29189</v>
      </c>
      <c r="D403" s="906" t="s">
        <v>1256</v>
      </c>
      <c r="E403" s="906" t="s">
        <v>1258</v>
      </c>
      <c r="F403" s="1015">
        <f t="shared" ref="F403:L403" si="161">O236</f>
        <v>2.9994380443944927E-2</v>
      </c>
      <c r="G403" s="1014">
        <f t="shared" si="161"/>
        <v>66</v>
      </c>
      <c r="H403" s="1014">
        <f t="shared" si="161"/>
        <v>35</v>
      </c>
      <c r="I403" s="1014">
        <f t="shared" si="161"/>
        <v>66</v>
      </c>
      <c r="J403" s="1013">
        <f t="shared" si="161"/>
        <v>33</v>
      </c>
      <c r="K403" s="1012" t="str">
        <f t="shared" si="161"/>
        <v/>
      </c>
      <c r="L403" s="1011">
        <f t="shared" si="161"/>
        <v>0.18794264610036926</v>
      </c>
    </row>
    <row r="404" spans="1:12">
      <c r="A404" s="906">
        <v>403</v>
      </c>
      <c r="B404" s="906" t="s">
        <v>1342</v>
      </c>
      <c r="C404" s="906">
        <v>29189</v>
      </c>
      <c r="D404" s="906" t="s">
        <v>1256</v>
      </c>
      <c r="E404" s="906" t="s">
        <v>1258</v>
      </c>
      <c r="F404" s="1015">
        <f t="shared" ref="F404:L406" si="162">O238</f>
        <v>2.2939456417796597E-3</v>
      </c>
      <c r="G404" s="1014">
        <f t="shared" si="162"/>
        <v>67</v>
      </c>
      <c r="H404" s="1014">
        <f t="shared" si="162"/>
        <v>41</v>
      </c>
      <c r="I404" s="1014">
        <f t="shared" si="162"/>
        <v>78</v>
      </c>
      <c r="J404" s="1013">
        <f t="shared" si="162"/>
        <v>38</v>
      </c>
      <c r="K404" s="1012">
        <f t="shared" si="162"/>
        <v>36.03034015456042</v>
      </c>
      <c r="L404" s="1011">
        <f t="shared" si="162"/>
        <v>0.23961749844871907</v>
      </c>
    </row>
    <row r="405" spans="1:12">
      <c r="A405" s="906">
        <v>404</v>
      </c>
      <c r="B405" s="906" t="s">
        <v>1341</v>
      </c>
      <c r="C405" s="906">
        <v>29189</v>
      </c>
      <c r="D405" s="906" t="s">
        <v>1256</v>
      </c>
      <c r="E405" s="906" t="s">
        <v>1258</v>
      </c>
      <c r="F405" s="1015">
        <f t="shared" si="162"/>
        <v>0</v>
      </c>
      <c r="G405" s="1014">
        <f t="shared" si="162"/>
        <v>66.8</v>
      </c>
      <c r="H405" s="1014">
        <f t="shared" si="162"/>
        <v>41.3</v>
      </c>
      <c r="I405" s="1014">
        <f t="shared" si="162"/>
        <v>68.5</v>
      </c>
      <c r="J405" s="1013">
        <f t="shared" si="162"/>
        <v>39.200000000000003</v>
      </c>
      <c r="K405" s="1012">
        <f t="shared" si="162"/>
        <v>28.157887120078705</v>
      </c>
      <c r="L405" s="1011">
        <f t="shared" si="162"/>
        <v>0.23081406264668147</v>
      </c>
    </row>
    <row r="406" spans="1:12">
      <c r="A406" s="906">
        <v>405</v>
      </c>
      <c r="B406" s="906" t="s">
        <v>1340</v>
      </c>
      <c r="C406" s="906">
        <v>29189</v>
      </c>
      <c r="D406" s="906" t="s">
        <v>1256</v>
      </c>
      <c r="E406" s="906" t="s">
        <v>1258</v>
      </c>
      <c r="F406" s="1015">
        <f t="shared" si="162"/>
        <v>3.4953395472703062E-2</v>
      </c>
      <c r="G406" s="1014">
        <f t="shared" si="162"/>
        <v>71</v>
      </c>
      <c r="H406" s="1014">
        <f t="shared" si="162"/>
        <v>37</v>
      </c>
      <c r="I406" s="1014">
        <f t="shared" si="162"/>
        <v>77</v>
      </c>
      <c r="J406" s="1013">
        <f t="shared" si="162"/>
        <v>32</v>
      </c>
      <c r="K406" s="1012" t="str">
        <f t="shared" si="162"/>
        <v/>
      </c>
      <c r="L406" s="1011">
        <f t="shared" si="162"/>
        <v>0.24870645050017248</v>
      </c>
    </row>
    <row r="407" spans="1:12">
      <c r="A407" s="906">
        <v>406</v>
      </c>
      <c r="B407" s="906" t="s">
        <v>1339</v>
      </c>
      <c r="C407" s="906">
        <v>29189</v>
      </c>
      <c r="D407" s="906" t="s">
        <v>1256</v>
      </c>
      <c r="E407" s="906" t="s">
        <v>1258</v>
      </c>
      <c r="F407" s="1015"/>
      <c r="G407" s="1014"/>
      <c r="H407" s="1014"/>
      <c r="I407" s="1014"/>
      <c r="J407" s="1013"/>
      <c r="K407" s="1012"/>
      <c r="L407" s="1011"/>
    </row>
    <row r="408" spans="1:12">
      <c r="A408" s="906">
        <v>407</v>
      </c>
      <c r="B408" s="906" t="s">
        <v>1338</v>
      </c>
      <c r="C408" s="906">
        <v>29189</v>
      </c>
      <c r="D408" s="906" t="s">
        <v>1256</v>
      </c>
      <c r="E408" s="906" t="s">
        <v>1258</v>
      </c>
      <c r="F408" s="1015">
        <f t="shared" ref="F408:L408" si="163">O241</f>
        <v>8.3595919483172906E-3</v>
      </c>
      <c r="G408" s="1014">
        <f t="shared" si="163"/>
        <v>65</v>
      </c>
      <c r="H408" s="1014">
        <f t="shared" si="163"/>
        <v>35</v>
      </c>
      <c r="I408" s="1014">
        <f t="shared" si="163"/>
        <v>72</v>
      </c>
      <c r="J408" s="1013">
        <f t="shared" si="163"/>
        <v>34</v>
      </c>
      <c r="K408" s="1012">
        <f t="shared" si="163"/>
        <v>42.243755862120082</v>
      </c>
      <c r="L408" s="1011">
        <f t="shared" si="163"/>
        <v>0.24847939640162503</v>
      </c>
    </row>
    <row r="409" spans="1:12">
      <c r="A409" s="906">
        <v>408</v>
      </c>
      <c r="B409" s="906" t="s">
        <v>1337</v>
      </c>
      <c r="C409" s="906">
        <v>29189</v>
      </c>
      <c r="D409" s="906" t="s">
        <v>1256</v>
      </c>
      <c r="E409" s="906" t="s">
        <v>1258</v>
      </c>
      <c r="F409" s="1015"/>
      <c r="G409" s="1014"/>
      <c r="H409" s="1014"/>
      <c r="I409" s="1014"/>
      <c r="J409" s="1013"/>
      <c r="K409" s="1012"/>
      <c r="L409" s="1011"/>
    </row>
    <row r="410" spans="1:12">
      <c r="A410" s="906">
        <v>409</v>
      </c>
      <c r="B410" s="906" t="s">
        <v>1336</v>
      </c>
      <c r="C410" s="906">
        <v>29189</v>
      </c>
      <c r="D410" s="906" t="s">
        <v>1256</v>
      </c>
      <c r="E410" s="906" t="s">
        <v>1258</v>
      </c>
      <c r="F410" s="1015"/>
      <c r="G410" s="1014"/>
      <c r="H410" s="1014"/>
      <c r="I410" s="1014"/>
      <c r="J410" s="1013"/>
      <c r="K410" s="1012"/>
      <c r="L410" s="1011"/>
    </row>
    <row r="411" spans="1:12">
      <c r="A411" s="906">
        <v>410</v>
      </c>
      <c r="B411" s="906" t="s">
        <v>1335</v>
      </c>
      <c r="C411" s="906">
        <v>29189</v>
      </c>
      <c r="D411" s="906" t="s">
        <v>1256</v>
      </c>
      <c r="E411" s="906" t="s">
        <v>1258</v>
      </c>
      <c r="F411" s="1015">
        <f t="shared" ref="F411:L412" si="164">O242</f>
        <v>0</v>
      </c>
      <c r="G411" s="1014">
        <f t="shared" si="164"/>
        <v>68</v>
      </c>
      <c r="H411" s="1014">
        <f t="shared" si="164"/>
        <v>0</v>
      </c>
      <c r="I411" s="1014">
        <f t="shared" si="164"/>
        <v>74</v>
      </c>
      <c r="J411" s="1013">
        <f t="shared" si="164"/>
        <v>0</v>
      </c>
      <c r="K411" s="1012" t="str">
        <f t="shared" si="164"/>
        <v/>
      </c>
      <c r="L411" s="1011">
        <f t="shared" si="164"/>
        <v>0.31993156544054746</v>
      </c>
    </row>
    <row r="412" spans="1:12">
      <c r="A412" s="906">
        <v>411</v>
      </c>
      <c r="B412" s="906" t="s">
        <v>1334</v>
      </c>
      <c r="C412" s="906">
        <v>29189</v>
      </c>
      <c r="D412" s="906" t="s">
        <v>1256</v>
      </c>
      <c r="E412" s="906" t="s">
        <v>1258</v>
      </c>
      <c r="F412" s="1015">
        <f t="shared" si="164"/>
        <v>0</v>
      </c>
      <c r="G412" s="1014">
        <f t="shared" si="164"/>
        <v>76</v>
      </c>
      <c r="H412" s="1014">
        <f t="shared" si="164"/>
        <v>42</v>
      </c>
      <c r="I412" s="1014">
        <f t="shared" si="164"/>
        <v>76</v>
      </c>
      <c r="J412" s="1013">
        <f t="shared" si="164"/>
        <v>39</v>
      </c>
      <c r="K412" s="1012">
        <f t="shared" si="164"/>
        <v>38.756086174042636</v>
      </c>
      <c r="L412" s="1011">
        <f t="shared" si="164"/>
        <v>0.25674584447590576</v>
      </c>
    </row>
    <row r="413" spans="1:12">
      <c r="A413" s="906">
        <v>412</v>
      </c>
      <c r="B413" s="906" t="s">
        <v>1333</v>
      </c>
      <c r="C413" s="906">
        <v>29189</v>
      </c>
      <c r="D413" s="906" t="s">
        <v>1256</v>
      </c>
      <c r="E413" s="906" t="s">
        <v>1259</v>
      </c>
      <c r="F413" s="1015"/>
      <c r="G413" s="1014"/>
      <c r="H413" s="1014"/>
      <c r="I413" s="1014"/>
      <c r="J413" s="1013"/>
      <c r="K413" s="1012"/>
      <c r="L413" s="1011"/>
    </row>
    <row r="414" spans="1:12">
      <c r="A414" s="906">
        <v>413</v>
      </c>
      <c r="B414" s="906" t="s">
        <v>1332</v>
      </c>
      <c r="C414" s="906">
        <v>29189</v>
      </c>
      <c r="D414" s="906" t="s">
        <v>1256</v>
      </c>
      <c r="E414" s="906" t="s">
        <v>1258</v>
      </c>
      <c r="F414" s="1015"/>
      <c r="G414" s="1014"/>
      <c r="H414" s="1014"/>
      <c r="I414" s="1014"/>
      <c r="J414" s="1013"/>
      <c r="K414" s="1012"/>
      <c r="L414" s="1011"/>
    </row>
    <row r="415" spans="1:12">
      <c r="A415" s="906">
        <v>414</v>
      </c>
      <c r="B415" s="906" t="s">
        <v>1331</v>
      </c>
      <c r="C415" s="906">
        <v>29188</v>
      </c>
      <c r="D415" s="906" t="s">
        <v>1256</v>
      </c>
      <c r="E415" s="906" t="s">
        <v>1259</v>
      </c>
      <c r="F415" s="1015">
        <f t="shared" ref="F415:L416" si="165">O245</f>
        <v>0</v>
      </c>
      <c r="G415" s="1014">
        <f t="shared" si="165"/>
        <v>68</v>
      </c>
      <c r="H415" s="1014">
        <f t="shared" si="165"/>
        <v>45</v>
      </c>
      <c r="I415" s="1014">
        <f t="shared" si="165"/>
        <v>70</v>
      </c>
      <c r="J415" s="1013">
        <f t="shared" si="165"/>
        <v>43</v>
      </c>
      <c r="K415" s="1012" t="str">
        <f t="shared" si="165"/>
        <v/>
      </c>
      <c r="L415" s="1011">
        <f t="shared" si="165"/>
        <v>0.17581161874834209</v>
      </c>
    </row>
    <row r="416" spans="1:12">
      <c r="A416" s="906">
        <v>415</v>
      </c>
      <c r="B416" s="906" t="s">
        <v>1330</v>
      </c>
      <c r="C416" s="906">
        <v>29189</v>
      </c>
      <c r="D416" s="906" t="s">
        <v>1256</v>
      </c>
      <c r="E416" s="906" t="s">
        <v>1258</v>
      </c>
      <c r="F416" s="1015">
        <f t="shared" si="165"/>
        <v>0</v>
      </c>
      <c r="G416" s="1014">
        <f t="shared" si="165"/>
        <v>73</v>
      </c>
      <c r="H416" s="1014">
        <f t="shared" si="165"/>
        <v>40</v>
      </c>
      <c r="I416" s="1014">
        <f t="shared" si="165"/>
        <v>74</v>
      </c>
      <c r="J416" s="1013">
        <f t="shared" si="165"/>
        <v>38</v>
      </c>
      <c r="K416" s="1012">
        <f t="shared" si="165"/>
        <v>33.293261760135614</v>
      </c>
      <c r="L416" s="1011">
        <f t="shared" si="165"/>
        <v>0.48748877941981389</v>
      </c>
    </row>
    <row r="417" spans="1:12">
      <c r="A417" s="906">
        <v>416</v>
      </c>
      <c r="B417" s="906" t="s">
        <v>1329</v>
      </c>
      <c r="C417" s="906">
        <v>55133</v>
      </c>
      <c r="D417" s="906" t="s">
        <v>1257</v>
      </c>
      <c r="E417" s="906" t="s">
        <v>1258</v>
      </c>
      <c r="F417" s="1015"/>
      <c r="G417" s="1014"/>
      <c r="H417" s="1014"/>
      <c r="I417" s="1014"/>
      <c r="J417" s="1013"/>
      <c r="K417" s="1012"/>
      <c r="L417" s="1011"/>
    </row>
    <row r="418" spans="1:12">
      <c r="A418" s="906">
        <v>417</v>
      </c>
      <c r="B418" s="906" t="s">
        <v>1328</v>
      </c>
      <c r="C418" s="906">
        <v>28856</v>
      </c>
      <c r="D418" s="906" t="s">
        <v>1256</v>
      </c>
      <c r="E418" s="906" t="s">
        <v>1258</v>
      </c>
      <c r="F418" s="1015">
        <f t="shared" ref="F418:L418" si="166">O247</f>
        <v>0</v>
      </c>
      <c r="G418" s="1014">
        <f t="shared" si="166"/>
        <v>74</v>
      </c>
      <c r="H418" s="1014">
        <f t="shared" si="166"/>
        <v>39</v>
      </c>
      <c r="I418" s="1014">
        <f t="shared" si="166"/>
        <v>76</v>
      </c>
      <c r="J418" s="1013">
        <f t="shared" si="166"/>
        <v>34</v>
      </c>
      <c r="K418" s="1012" t="str">
        <f t="shared" si="166"/>
        <v/>
      </c>
      <c r="L418" s="1011">
        <f t="shared" si="166"/>
        <v>0.25546265720508676</v>
      </c>
    </row>
    <row r="419" spans="1:12">
      <c r="A419" s="906">
        <v>418</v>
      </c>
      <c r="B419" s="906" t="s">
        <v>1327</v>
      </c>
      <c r="C419" s="906">
        <v>29189</v>
      </c>
      <c r="D419" s="906" t="s">
        <v>1256</v>
      </c>
      <c r="E419" s="906" t="s">
        <v>1258</v>
      </c>
      <c r="F419" s="1015"/>
      <c r="G419" s="1014"/>
      <c r="H419" s="1014"/>
      <c r="I419" s="1014"/>
      <c r="J419" s="1013"/>
      <c r="K419" s="1012"/>
      <c r="L419" s="1011"/>
    </row>
    <row r="420" spans="1:12">
      <c r="A420" s="906">
        <v>419</v>
      </c>
      <c r="B420" s="906" t="s">
        <v>1326</v>
      </c>
      <c r="C420" s="906">
        <v>29189</v>
      </c>
      <c r="D420" s="906" t="s">
        <v>1256</v>
      </c>
      <c r="E420" s="906" t="s">
        <v>1258</v>
      </c>
      <c r="F420" s="1015">
        <f t="shared" ref="F420:L420" si="167">O251</f>
        <v>0</v>
      </c>
      <c r="G420" s="1014">
        <f t="shared" si="167"/>
        <v>66</v>
      </c>
      <c r="H420" s="1014">
        <f t="shared" si="167"/>
        <v>38</v>
      </c>
      <c r="I420" s="1014">
        <f t="shared" si="167"/>
        <v>73</v>
      </c>
      <c r="J420" s="1013">
        <f t="shared" si="167"/>
        <v>36</v>
      </c>
      <c r="K420" s="1012">
        <f t="shared" si="167"/>
        <v>30.201102191033733</v>
      </c>
      <c r="L420" s="1011">
        <f t="shared" si="167"/>
        <v>0.31531005647263249</v>
      </c>
    </row>
    <row r="421" spans="1:12">
      <c r="A421" s="906">
        <v>420</v>
      </c>
      <c r="B421" s="906" t="s">
        <v>1325</v>
      </c>
      <c r="C421" s="906">
        <v>29189</v>
      </c>
      <c r="D421" s="906" t="s">
        <v>1256</v>
      </c>
      <c r="E421" s="906" t="s">
        <v>1258</v>
      </c>
      <c r="F421" s="1015"/>
      <c r="G421" s="1014"/>
      <c r="H421" s="1014"/>
      <c r="I421" s="1014"/>
      <c r="J421" s="1013"/>
      <c r="K421" s="1012"/>
      <c r="L421" s="1011"/>
    </row>
    <row r="422" spans="1:12">
      <c r="A422" s="906">
        <v>421</v>
      </c>
      <c r="B422" s="906" t="s">
        <v>1324</v>
      </c>
      <c r="C422" s="906">
        <v>29189</v>
      </c>
      <c r="D422" s="906" t="s">
        <v>1256</v>
      </c>
      <c r="E422" s="906" t="s">
        <v>1258</v>
      </c>
      <c r="F422" s="1015">
        <f t="shared" ref="F422:L422" si="168">O248</f>
        <v>3.4430193439865435E-3</v>
      </c>
      <c r="G422" s="1014">
        <f t="shared" si="168"/>
        <v>66</v>
      </c>
      <c r="H422" s="1014">
        <f t="shared" si="168"/>
        <v>39</v>
      </c>
      <c r="I422" s="1014">
        <f t="shared" si="168"/>
        <v>70</v>
      </c>
      <c r="J422" s="1013">
        <f t="shared" si="168"/>
        <v>36</v>
      </c>
      <c r="K422" s="1012">
        <f t="shared" si="168"/>
        <v>31.196659204408473</v>
      </c>
      <c r="L422" s="1011">
        <f t="shared" si="168"/>
        <v>0.21267505340612392</v>
      </c>
    </row>
    <row r="423" spans="1:12">
      <c r="A423" s="906">
        <v>422</v>
      </c>
      <c r="B423" s="906" t="s">
        <v>1323</v>
      </c>
      <c r="C423" s="906">
        <v>29189</v>
      </c>
      <c r="D423" s="906" t="s">
        <v>1256</v>
      </c>
      <c r="E423" s="906" t="s">
        <v>1258</v>
      </c>
      <c r="F423" s="1015"/>
      <c r="G423" s="1014"/>
      <c r="H423" s="1014"/>
      <c r="I423" s="1014"/>
      <c r="J423" s="1013"/>
      <c r="K423" s="1012"/>
      <c r="L423" s="1011"/>
    </row>
    <row r="424" spans="1:12">
      <c r="A424" s="906">
        <v>423</v>
      </c>
      <c r="B424" s="906" t="s">
        <v>1322</v>
      </c>
      <c r="C424" s="906">
        <v>29189</v>
      </c>
      <c r="D424" s="906" t="s">
        <v>1256</v>
      </c>
      <c r="E424" s="906" t="s">
        <v>1258</v>
      </c>
      <c r="F424" s="1015"/>
      <c r="G424" s="1014"/>
      <c r="H424" s="1014"/>
      <c r="I424" s="1014"/>
      <c r="J424" s="1013"/>
      <c r="K424" s="1012"/>
      <c r="L424" s="1011"/>
    </row>
    <row r="425" spans="1:12">
      <c r="A425" s="906">
        <v>424</v>
      </c>
      <c r="B425" s="906" t="s">
        <v>1321</v>
      </c>
      <c r="C425" s="906">
        <v>29189</v>
      </c>
      <c r="D425" s="906" t="s">
        <v>1256</v>
      </c>
      <c r="E425" s="906" t="s">
        <v>1258</v>
      </c>
      <c r="F425" s="1015">
        <f t="shared" ref="F425:L426" si="169">O249</f>
        <v>0</v>
      </c>
      <c r="G425" s="1014">
        <f t="shared" si="169"/>
        <v>67</v>
      </c>
      <c r="H425" s="1014">
        <f t="shared" si="169"/>
        <v>37</v>
      </c>
      <c r="I425" s="1014">
        <f t="shared" si="169"/>
        <v>70</v>
      </c>
      <c r="J425" s="1013">
        <f t="shared" si="169"/>
        <v>34</v>
      </c>
      <c r="K425" s="1012">
        <f t="shared" si="169"/>
        <v>32.745812737811598</v>
      </c>
      <c r="L425" s="1011">
        <f t="shared" si="169"/>
        <v>0.26686901704412797</v>
      </c>
    </row>
    <row r="426" spans="1:12">
      <c r="A426" s="906">
        <v>425</v>
      </c>
      <c r="B426" s="906" t="s">
        <v>1320</v>
      </c>
      <c r="C426" s="906">
        <v>29189</v>
      </c>
      <c r="D426" s="906" t="s">
        <v>1256</v>
      </c>
      <c r="E426" s="906" t="s">
        <v>1258</v>
      </c>
      <c r="F426" s="1015">
        <f t="shared" si="169"/>
        <v>6.973014434139879E-5</v>
      </c>
      <c r="G426" s="1014">
        <f t="shared" si="169"/>
        <v>72</v>
      </c>
      <c r="H426" s="1014">
        <f t="shared" si="169"/>
        <v>39</v>
      </c>
      <c r="I426" s="1014">
        <f t="shared" si="169"/>
        <v>76</v>
      </c>
      <c r="J426" s="1013">
        <f t="shared" si="169"/>
        <v>34</v>
      </c>
      <c r="K426" s="1012">
        <f t="shared" si="169"/>
        <v>34.869991065066671</v>
      </c>
      <c r="L426" s="1011">
        <f t="shared" si="169"/>
        <v>0.26729428172942815</v>
      </c>
    </row>
    <row r="427" spans="1:12">
      <c r="A427" s="906">
        <v>426</v>
      </c>
      <c r="B427" s="906" t="s">
        <v>1319</v>
      </c>
      <c r="C427" s="906">
        <v>29189</v>
      </c>
      <c r="D427" s="906" t="s">
        <v>1256</v>
      </c>
      <c r="E427" s="906" t="s">
        <v>1258</v>
      </c>
      <c r="F427" s="1015">
        <f t="shared" ref="F427:L427" si="170">O252</f>
        <v>1.3805119957110307E-2</v>
      </c>
      <c r="G427" s="1014">
        <f t="shared" si="170"/>
        <v>72</v>
      </c>
      <c r="H427" s="1014">
        <f t="shared" si="170"/>
        <v>41</v>
      </c>
      <c r="I427" s="1014">
        <f t="shared" si="170"/>
        <v>73</v>
      </c>
      <c r="J427" s="1013">
        <f t="shared" si="170"/>
        <v>39</v>
      </c>
      <c r="K427" s="1012">
        <f t="shared" si="170"/>
        <v>0</v>
      </c>
      <c r="L427" s="1011">
        <f t="shared" si="170"/>
        <v>0.45528676270725743</v>
      </c>
    </row>
    <row r="428" spans="1:12">
      <c r="A428" s="906">
        <v>427</v>
      </c>
      <c r="B428" s="906" t="s">
        <v>1318</v>
      </c>
      <c r="C428" s="906">
        <v>29189</v>
      </c>
      <c r="D428" s="906" t="s">
        <v>1256</v>
      </c>
      <c r="E428" s="906" t="s">
        <v>1258</v>
      </c>
      <c r="F428" s="1015"/>
      <c r="G428" s="1014"/>
      <c r="H428" s="1014"/>
      <c r="I428" s="1014"/>
      <c r="J428" s="1013"/>
      <c r="K428" s="1012"/>
      <c r="L428" s="1011"/>
    </row>
    <row r="429" spans="1:12">
      <c r="A429" s="906">
        <v>428</v>
      </c>
      <c r="B429" s="906" t="s">
        <v>1317</v>
      </c>
      <c r="C429" s="906">
        <v>29189</v>
      </c>
      <c r="D429" s="906" t="s">
        <v>1256</v>
      </c>
      <c r="E429" s="906" t="s">
        <v>1258</v>
      </c>
      <c r="F429" s="1015">
        <f t="shared" ref="F429:L430" si="171">O254</f>
        <v>0</v>
      </c>
      <c r="G429" s="1014">
        <f t="shared" si="171"/>
        <v>70</v>
      </c>
      <c r="H429" s="1014">
        <f t="shared" si="171"/>
        <v>35</v>
      </c>
      <c r="I429" s="1014">
        <f t="shared" si="171"/>
        <v>75</v>
      </c>
      <c r="J429" s="1013">
        <f t="shared" si="171"/>
        <v>32</v>
      </c>
      <c r="K429" s="1012">
        <f t="shared" si="171"/>
        <v>39.619779176581176</v>
      </c>
      <c r="L429" s="1011">
        <f t="shared" si="171"/>
        <v>0.22868686868686869</v>
      </c>
    </row>
    <row r="430" spans="1:12">
      <c r="A430" s="906">
        <v>429</v>
      </c>
      <c r="B430" s="906" t="s">
        <v>1316</v>
      </c>
      <c r="C430" s="906">
        <v>29189</v>
      </c>
      <c r="D430" s="906" t="s">
        <v>1257</v>
      </c>
      <c r="E430" s="906" t="s">
        <v>1258</v>
      </c>
      <c r="F430" s="1015">
        <f t="shared" si="171"/>
        <v>0</v>
      </c>
      <c r="G430" s="1014">
        <f t="shared" si="171"/>
        <v>73</v>
      </c>
      <c r="H430" s="1014">
        <f t="shared" si="171"/>
        <v>42</v>
      </c>
      <c r="I430" s="1014">
        <f t="shared" si="171"/>
        <v>75</v>
      </c>
      <c r="J430" s="1013">
        <f t="shared" si="171"/>
        <v>40</v>
      </c>
      <c r="K430" s="1012" t="str">
        <f t="shared" si="171"/>
        <v/>
      </c>
      <c r="L430" s="1011">
        <f t="shared" si="171"/>
        <v>0.26005738797750855</v>
      </c>
    </row>
    <row r="431" spans="1:12">
      <c r="A431" s="906">
        <v>430</v>
      </c>
      <c r="B431" s="906" t="s">
        <v>1316</v>
      </c>
      <c r="C431" s="906">
        <v>29189</v>
      </c>
      <c r="D431" s="906" t="s">
        <v>1256</v>
      </c>
      <c r="E431" s="906" t="s">
        <v>1258</v>
      </c>
      <c r="F431" s="1015">
        <f t="shared" ref="F431:L431" si="172">F430</f>
        <v>0</v>
      </c>
      <c r="G431" s="1014">
        <f t="shared" si="172"/>
        <v>73</v>
      </c>
      <c r="H431" s="1014">
        <f t="shared" si="172"/>
        <v>42</v>
      </c>
      <c r="I431" s="1014">
        <f t="shared" si="172"/>
        <v>75</v>
      </c>
      <c r="J431" s="1013">
        <f t="shared" si="172"/>
        <v>40</v>
      </c>
      <c r="K431" s="1012" t="str">
        <f t="shared" si="172"/>
        <v/>
      </c>
      <c r="L431" s="1011">
        <f t="shared" si="172"/>
        <v>0.26005738797750855</v>
      </c>
    </row>
    <row r="432" spans="1:12">
      <c r="A432" s="906">
        <v>431</v>
      </c>
      <c r="B432" s="906" t="s">
        <v>1315</v>
      </c>
      <c r="C432" s="906">
        <v>29189</v>
      </c>
      <c r="D432" s="906" t="s">
        <v>1256</v>
      </c>
      <c r="E432" s="906" t="s">
        <v>1258</v>
      </c>
      <c r="F432" s="1015"/>
      <c r="G432" s="1014"/>
      <c r="H432" s="1014"/>
      <c r="I432" s="1014"/>
      <c r="J432" s="1013"/>
      <c r="K432" s="1012"/>
      <c r="L432" s="1011"/>
    </row>
    <row r="433" spans="1:12">
      <c r="A433" s="906">
        <v>432</v>
      </c>
      <c r="B433" s="906" t="s">
        <v>1314</v>
      </c>
      <c r="C433" s="906">
        <v>29189</v>
      </c>
      <c r="D433" s="906" t="s">
        <v>1256</v>
      </c>
      <c r="E433" s="906" t="s">
        <v>1258</v>
      </c>
      <c r="F433" s="1015"/>
      <c r="G433" s="1014"/>
      <c r="H433" s="1014"/>
      <c r="I433" s="1014"/>
      <c r="J433" s="1013"/>
      <c r="K433" s="1012"/>
      <c r="L433" s="1011"/>
    </row>
    <row r="434" spans="1:12">
      <c r="A434" s="906">
        <v>433</v>
      </c>
      <c r="B434" s="906" t="s">
        <v>1313</v>
      </c>
      <c r="C434" s="906">
        <v>29189</v>
      </c>
      <c r="D434" s="906" t="s">
        <v>1257</v>
      </c>
      <c r="E434" s="906" t="s">
        <v>1258</v>
      </c>
      <c r="F434" s="1015">
        <f t="shared" ref="F434:L434" si="173">O256</f>
        <v>0</v>
      </c>
      <c r="G434" s="1014">
        <f t="shared" si="173"/>
        <v>75</v>
      </c>
      <c r="H434" s="1014">
        <f t="shared" si="173"/>
        <v>40</v>
      </c>
      <c r="I434" s="1014">
        <f t="shared" si="173"/>
        <v>82</v>
      </c>
      <c r="J434" s="1013">
        <f t="shared" si="173"/>
        <v>39</v>
      </c>
      <c r="K434" s="1012">
        <f t="shared" si="173"/>
        <v>42.554670479371481</v>
      </c>
      <c r="L434" s="1011">
        <f t="shared" si="173"/>
        <v>0.16509396556642708</v>
      </c>
    </row>
    <row r="435" spans="1:12">
      <c r="A435" s="906">
        <v>434</v>
      </c>
      <c r="B435" s="906" t="s">
        <v>1313</v>
      </c>
      <c r="C435" s="906">
        <v>29189</v>
      </c>
      <c r="D435" s="906" t="s">
        <v>1256</v>
      </c>
      <c r="E435" s="906" t="s">
        <v>1258</v>
      </c>
      <c r="F435" s="1015">
        <f t="shared" ref="F435:L435" si="174">F434</f>
        <v>0</v>
      </c>
      <c r="G435" s="1014">
        <f t="shared" si="174"/>
        <v>75</v>
      </c>
      <c r="H435" s="1014">
        <f t="shared" si="174"/>
        <v>40</v>
      </c>
      <c r="I435" s="1014">
        <f t="shared" si="174"/>
        <v>82</v>
      </c>
      <c r="J435" s="1013">
        <f t="shared" si="174"/>
        <v>39</v>
      </c>
      <c r="K435" s="1012">
        <f t="shared" si="174"/>
        <v>42.554670479371481</v>
      </c>
      <c r="L435" s="1011">
        <f t="shared" si="174"/>
        <v>0.16509396556642708</v>
      </c>
    </row>
    <row r="436" spans="1:12">
      <c r="A436" s="906">
        <v>435</v>
      </c>
      <c r="B436" s="906" t="s">
        <v>1312</v>
      </c>
      <c r="C436" s="906">
        <v>29189</v>
      </c>
      <c r="D436" s="906" t="s">
        <v>1256</v>
      </c>
      <c r="E436" s="906" t="s">
        <v>1258</v>
      </c>
      <c r="F436" s="1015"/>
      <c r="G436" s="1014"/>
      <c r="H436" s="1014"/>
      <c r="I436" s="1014"/>
      <c r="J436" s="1013"/>
      <c r="K436" s="1012"/>
      <c r="L436" s="1011"/>
    </row>
    <row r="437" spans="1:12">
      <c r="A437" s="906">
        <v>436</v>
      </c>
      <c r="B437" s="906" t="s">
        <v>1311</v>
      </c>
      <c r="C437" s="906">
        <v>55133</v>
      </c>
      <c r="D437" s="906" t="s">
        <v>1257</v>
      </c>
      <c r="E437" s="906" t="s">
        <v>1258</v>
      </c>
      <c r="F437" s="1015">
        <f t="shared" ref="F437:L437" si="175">O2</f>
        <v>0</v>
      </c>
      <c r="G437" s="1014">
        <f t="shared" si="175"/>
        <v>75</v>
      </c>
      <c r="H437" s="1014">
        <f t="shared" si="175"/>
        <v>46</v>
      </c>
      <c r="I437" s="1014">
        <f t="shared" si="175"/>
        <v>81</v>
      </c>
      <c r="J437" s="1013">
        <f t="shared" si="175"/>
        <v>42</v>
      </c>
      <c r="K437" s="1012">
        <f t="shared" si="175"/>
        <v>27.491034722222221</v>
      </c>
      <c r="L437" s="1011">
        <f t="shared" si="175"/>
        <v>0.21000010862127022</v>
      </c>
    </row>
    <row r="438" spans="1:12">
      <c r="A438" s="906">
        <v>437</v>
      </c>
      <c r="B438" s="906" t="s">
        <v>1311</v>
      </c>
      <c r="C438" s="906">
        <v>55133</v>
      </c>
      <c r="D438" s="906" t="s">
        <v>1256</v>
      </c>
      <c r="E438" s="906" t="s">
        <v>1258</v>
      </c>
      <c r="F438" s="1015">
        <f t="shared" ref="F438:L438" si="176">F437</f>
        <v>0</v>
      </c>
      <c r="G438" s="1014">
        <f t="shared" si="176"/>
        <v>75</v>
      </c>
      <c r="H438" s="1014">
        <f t="shared" si="176"/>
        <v>46</v>
      </c>
      <c r="I438" s="1014">
        <f t="shared" si="176"/>
        <v>81</v>
      </c>
      <c r="J438" s="1013">
        <f t="shared" si="176"/>
        <v>42</v>
      </c>
      <c r="K438" s="1012">
        <f t="shared" si="176"/>
        <v>27.491034722222221</v>
      </c>
      <c r="L438" s="1011">
        <f t="shared" si="176"/>
        <v>0.21000010862127022</v>
      </c>
    </row>
    <row r="439" spans="1:12">
      <c r="A439" s="906">
        <v>438</v>
      </c>
      <c r="B439" s="906" t="s">
        <v>1310</v>
      </c>
      <c r="C439" s="906">
        <v>29189</v>
      </c>
      <c r="D439" s="906" t="s">
        <v>1256</v>
      </c>
      <c r="E439" s="906" t="s">
        <v>1258</v>
      </c>
      <c r="F439" s="1015">
        <f t="shared" ref="F439:L439" si="177">O257</f>
        <v>0</v>
      </c>
      <c r="G439" s="1014">
        <f t="shared" si="177"/>
        <v>78</v>
      </c>
      <c r="H439" s="1014">
        <f t="shared" si="177"/>
        <v>40</v>
      </c>
      <c r="I439" s="1014">
        <f t="shared" si="177"/>
        <v>82</v>
      </c>
      <c r="J439" s="1013">
        <f t="shared" si="177"/>
        <v>35</v>
      </c>
      <c r="K439" s="1012" t="str">
        <f t="shared" si="177"/>
        <v/>
      </c>
      <c r="L439" s="1011">
        <f t="shared" si="177"/>
        <v>0.2564394908904763</v>
      </c>
    </row>
    <row r="444" spans="1:12">
      <c r="I444" s="906">
        <f>COUNT(I2:I439)</f>
        <v>256</v>
      </c>
    </row>
  </sheetData>
  <mergeCells count="37">
    <mergeCell ref="BE56:BG56"/>
    <mergeCell ref="AC57:AE57"/>
    <mergeCell ref="BE74:BG74"/>
    <mergeCell ref="AV38:AW38"/>
    <mergeCell ref="AX38:AY38"/>
    <mergeCell ref="AZ38:BA38"/>
    <mergeCell ref="BB38:BC38"/>
    <mergeCell ref="AC44:AE44"/>
    <mergeCell ref="AV56:AX56"/>
    <mergeCell ref="BB33:BC33"/>
    <mergeCell ref="AU27:AU28"/>
    <mergeCell ref="AA11:AA12"/>
    <mergeCell ref="AA13:AA14"/>
    <mergeCell ref="AA18:AA19"/>
    <mergeCell ref="AU18:AU19"/>
    <mergeCell ref="AA20:AA21"/>
    <mergeCell ref="AU20:AU21"/>
    <mergeCell ref="AU25:AU26"/>
    <mergeCell ref="AB26:AC26"/>
    <mergeCell ref="AD26:AE26"/>
    <mergeCell ref="AF26:AG26"/>
    <mergeCell ref="AH26:AI26"/>
    <mergeCell ref="AV33:AW33"/>
    <mergeCell ref="AX33:AY33"/>
    <mergeCell ref="AZ33:BA33"/>
    <mergeCell ref="BC3:BD3"/>
    <mergeCell ref="AW10:AX10"/>
    <mergeCell ref="AY10:AZ10"/>
    <mergeCell ref="BA10:BB10"/>
    <mergeCell ref="BC10:BD10"/>
    <mergeCell ref="AY3:AZ3"/>
    <mergeCell ref="BA3:BB3"/>
    <mergeCell ref="AC3:AD3"/>
    <mergeCell ref="AE3:AF3"/>
    <mergeCell ref="AG3:AH3"/>
    <mergeCell ref="AI3:AJ3"/>
    <mergeCell ref="AW3:AX3"/>
  </mergeCells>
  <hyperlinks>
    <hyperlink ref="BP31" r:id="rId1" xr:uid="{04E32750-07BB-4DD8-935A-337D2E11ABD2}"/>
    <hyperlink ref="BP36" r:id="rId2" xr:uid="{CAD81ACF-8840-422B-93FC-691C9AAA32E2}"/>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E40EAE9C-C9FD-42C1-98CF-82CC64E98A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5848600-2E8A-4836-874B-3D5E5B443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62</vt:i4>
      </vt:variant>
      <vt:variant>
        <vt:lpstr>Named Ranges</vt:lpstr>
      </vt:variant>
      <vt:variant>
        <vt:i4>4</vt:i4>
      </vt:variant>
    </vt:vector>
  </HeadingPairs>
  <TitlesOfParts>
    <vt:vector size="66" baseType="lpstr">
      <vt:lpstr>LOG</vt:lpstr>
      <vt:lpstr>Intro</vt:lpstr>
      <vt:lpstr>READ THIS</vt:lpstr>
      <vt:lpstr>Notes</vt:lpstr>
      <vt:lpstr>IND_Construction_new</vt:lpstr>
      <vt:lpstr>IND_Utilities_new</vt:lpstr>
      <vt:lpstr>IND_Vehicles_new</vt:lpstr>
      <vt:lpstr>IND_PaperPulp_new</vt:lpstr>
      <vt:lpstr>IND_Wood_new</vt:lpstr>
      <vt:lpstr>IND_Other_new</vt:lpstr>
      <vt:lpstr>IND_Mining_new</vt:lpstr>
      <vt:lpstr>IND_IronSteel_new</vt:lpstr>
      <vt:lpstr>IND_Aluminium_new</vt:lpstr>
      <vt:lpstr>IND_Machinery_new</vt:lpstr>
      <vt:lpstr>IND_Food_new</vt:lpstr>
      <vt:lpstr>IND_CHEM_new</vt:lpstr>
      <vt:lpstr>IND_G&amp;C_new</vt:lpstr>
      <vt:lpstr>Carbon Capture Storage</vt:lpstr>
      <vt:lpstr>Transport</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HX_TechData</vt:lpstr>
      <vt:lpstr>HP_TechData</vt:lpstr>
      <vt:lpstr>HP_DATA</vt:lpstr>
      <vt:lpstr>HX_Data</vt:lpstr>
      <vt:lpstr>COP DH_LDC</vt:lpstr>
      <vt:lpstr>'Micro CHP - Stirling engine'!_ftn1</vt:lpstr>
      <vt:lpstr>'Biomass boiler, automatic'!_Toc305146851</vt:lpstr>
      <vt:lpstr>'DHB Wood-Chips'!_Toc305146851</vt:lpstr>
      <vt:lpstr>'COP DH_LDC'!DHareas</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Jonathan Vincents Eriksen</cp:lastModifiedBy>
  <dcterms:created xsi:type="dcterms:W3CDTF">2012-05-21T08:38:35Z</dcterms:created>
  <dcterms:modified xsi:type="dcterms:W3CDTF">2022-05-04T15:08:59Z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779369533061981</vt:r8>
  </property>
</Properties>
</file>